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71"/>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45952</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45952</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45952</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13889-2024</t>
        </is>
      </c>
      <c r="B5" s="1" t="n">
        <v>45391</v>
      </c>
      <c r="C5" s="1" t="n">
        <v>45952</v>
      </c>
      <c r="D5" t="inlineStr">
        <is>
          <t>VÄSTRA GÖTALANDS LÄN</t>
        </is>
      </c>
      <c r="E5" t="inlineStr">
        <is>
          <t>ALE</t>
        </is>
      </c>
      <c r="G5" t="n">
        <v>3</v>
      </c>
      <c r="H5" t="n">
        <v>8</v>
      </c>
      <c r="I5" t="n">
        <v>13</v>
      </c>
      <c r="J5" t="n">
        <v>5</v>
      </c>
      <c r="K5" t="n">
        <v>2</v>
      </c>
      <c r="L5" t="n">
        <v>0</v>
      </c>
      <c r="M5" t="n">
        <v>1</v>
      </c>
      <c r="N5" t="n">
        <v>0</v>
      </c>
      <c r="O5" t="n">
        <v>8</v>
      </c>
      <c r="P5" t="n">
        <v>3</v>
      </c>
      <c r="Q5" t="n">
        <v>25</v>
      </c>
      <c r="R5"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5">
        <f>HYPERLINK("https://klasma.github.io/Logging_1440/artfynd/A 13889-2024 artfynd.xlsx", "A 13889-2024")</f>
        <v/>
      </c>
      <c r="T5">
        <f>HYPERLINK("https://klasma.github.io/Logging_1440/kartor/A 13889-2024 karta.png", "A 13889-2024")</f>
        <v/>
      </c>
      <c r="U5">
        <f>HYPERLINK("https://klasma.github.io/Logging_1440/knärot/A 13889-2024 karta knärot.png", "A 13889-2024")</f>
        <v/>
      </c>
      <c r="V5">
        <f>HYPERLINK("https://klasma.github.io/Logging_1440/klagomål/A 13889-2024 FSC-klagomål.docx", "A 13889-2024")</f>
        <v/>
      </c>
      <c r="W5">
        <f>HYPERLINK("https://klasma.github.io/Logging_1440/klagomålsmail/A 13889-2024 FSC-klagomål mail.docx", "A 13889-2024")</f>
        <v/>
      </c>
      <c r="X5">
        <f>HYPERLINK("https://klasma.github.io/Logging_1440/tillsyn/A 13889-2024 tillsynsbegäran.docx", "A 13889-2024")</f>
        <v/>
      </c>
      <c r="Y5">
        <f>HYPERLINK("https://klasma.github.io/Logging_1440/tillsynsmail/A 13889-2024 tillsynsbegäran mail.docx", "A 13889-2024")</f>
        <v/>
      </c>
      <c r="Z5">
        <f>HYPERLINK("https://klasma.github.io/Logging_1440/fåglar/A 13889-2024 prioriterade fågelarter.docx", "A 13889-2024")</f>
        <v/>
      </c>
    </row>
    <row r="6" ht="15" customHeight="1">
      <c r="A6" t="inlineStr">
        <is>
          <t>A 35468-2025</t>
        </is>
      </c>
      <c r="B6" s="1" t="n">
        <v>45855.6603587963</v>
      </c>
      <c r="C6" s="1" t="n">
        <v>45952</v>
      </c>
      <c r="D6" t="inlineStr">
        <is>
          <t>VÄSTRA GÖTALANDS LÄN</t>
        </is>
      </c>
      <c r="E6" t="inlineStr">
        <is>
          <t>MUNKEDAL</t>
        </is>
      </c>
      <c r="G6" t="n">
        <v>16.5</v>
      </c>
      <c r="H6" t="n">
        <v>2</v>
      </c>
      <c r="I6" t="n">
        <v>18</v>
      </c>
      <c r="J6" t="n">
        <v>5</v>
      </c>
      <c r="K6" t="n">
        <v>1</v>
      </c>
      <c r="L6" t="n">
        <v>0</v>
      </c>
      <c r="M6" t="n">
        <v>0</v>
      </c>
      <c r="N6" t="n">
        <v>0</v>
      </c>
      <c r="O6" t="n">
        <v>6</v>
      </c>
      <c r="P6" t="n">
        <v>1</v>
      </c>
      <c r="Q6" t="n">
        <v>25</v>
      </c>
      <c r="R6"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6">
        <f>HYPERLINK("https://klasma.github.io/Logging_1430/artfynd/A 35468-2025 artfynd.xlsx", "A 35468-2025")</f>
        <v/>
      </c>
      <c r="T6">
        <f>HYPERLINK("https://klasma.github.io/Logging_1430/kartor/A 35468-2025 karta.png", "A 35468-2025")</f>
        <v/>
      </c>
      <c r="V6">
        <f>HYPERLINK("https://klasma.github.io/Logging_1430/klagomål/A 35468-2025 FSC-klagomål.docx", "A 35468-2025")</f>
        <v/>
      </c>
      <c r="W6">
        <f>HYPERLINK("https://klasma.github.io/Logging_1430/klagomålsmail/A 35468-2025 FSC-klagomål mail.docx", "A 35468-2025")</f>
        <v/>
      </c>
      <c r="X6">
        <f>HYPERLINK("https://klasma.github.io/Logging_1430/tillsyn/A 35468-2025 tillsynsbegäran.docx", "A 35468-2025")</f>
        <v/>
      </c>
      <c r="Y6">
        <f>HYPERLINK("https://klasma.github.io/Logging_1430/tillsynsmail/A 35468-2025 tillsynsbegäran mail.docx", "A 35468-2025")</f>
        <v/>
      </c>
      <c r="Z6">
        <f>HYPERLINK("https://klasma.github.io/Logging_1430/fåglar/A 35468-2025 prioriterade fågelarter.docx", "A 35468-2025")</f>
        <v/>
      </c>
    </row>
    <row r="7" ht="15" customHeight="1">
      <c r="A7" t="inlineStr">
        <is>
          <t>A 40826-2025</t>
        </is>
      </c>
      <c r="B7" s="1" t="n">
        <v>45897</v>
      </c>
      <c r="C7" s="1" t="n">
        <v>45952</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45952</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38982-2024</t>
        </is>
      </c>
      <c r="B9" s="1" t="n">
        <v>45548</v>
      </c>
      <c r="C9" s="1" t="n">
        <v>45952</v>
      </c>
      <c r="D9" t="inlineStr">
        <is>
          <t>VÄSTRA GÖTALANDS LÄN</t>
        </is>
      </c>
      <c r="E9" t="inlineStr">
        <is>
          <t>KUNGÄLV</t>
        </is>
      </c>
      <c r="G9" t="n">
        <v>20.3</v>
      </c>
      <c r="H9" t="n">
        <v>6</v>
      </c>
      <c r="I9" t="n">
        <v>11</v>
      </c>
      <c r="J9" t="n">
        <v>6</v>
      </c>
      <c r="K9" t="n">
        <v>1</v>
      </c>
      <c r="L9" t="n">
        <v>0</v>
      </c>
      <c r="M9" t="n">
        <v>0</v>
      </c>
      <c r="N9" t="n">
        <v>0</v>
      </c>
      <c r="O9" t="n">
        <v>7</v>
      </c>
      <c r="P9" t="n">
        <v>1</v>
      </c>
      <c r="Q9" t="n">
        <v>21</v>
      </c>
      <c r="R9"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9">
        <f>HYPERLINK("https://klasma.github.io/Logging_1482/artfynd/A 38982-2024 artfynd.xlsx", "A 38982-2024")</f>
        <v/>
      </c>
      <c r="T9">
        <f>HYPERLINK("https://klasma.github.io/Logging_1482/kartor/A 38982-2024 karta.png", "A 38982-2024")</f>
        <v/>
      </c>
      <c r="V9">
        <f>HYPERLINK("https://klasma.github.io/Logging_1482/klagomål/A 38982-2024 FSC-klagomål.docx", "A 38982-2024")</f>
        <v/>
      </c>
      <c r="W9">
        <f>HYPERLINK("https://klasma.github.io/Logging_1482/klagomålsmail/A 38982-2024 FSC-klagomål mail.docx", "A 38982-2024")</f>
        <v/>
      </c>
      <c r="X9">
        <f>HYPERLINK("https://klasma.github.io/Logging_1482/tillsyn/A 38982-2024 tillsynsbegäran.docx", "A 38982-2024")</f>
        <v/>
      </c>
      <c r="Y9">
        <f>HYPERLINK("https://klasma.github.io/Logging_1482/tillsynsmail/A 38982-2024 tillsynsbegäran mail.docx", "A 38982-2024")</f>
        <v/>
      </c>
      <c r="Z9">
        <f>HYPERLINK("https://klasma.github.io/Logging_1482/fåglar/A 38982-2024 prioriterade fågelarter.docx", "A 38982-2024")</f>
        <v/>
      </c>
    </row>
    <row r="10" ht="15" customHeight="1">
      <c r="A10" t="inlineStr">
        <is>
          <t>A 50775-2025</t>
        </is>
      </c>
      <c r="B10" s="1" t="n">
        <v>45946</v>
      </c>
      <c r="C10" s="1" t="n">
        <v>45952</v>
      </c>
      <c r="D10" t="inlineStr">
        <is>
          <t>VÄSTRA GÖTALANDS LÄN</t>
        </is>
      </c>
      <c r="E10" t="inlineStr">
        <is>
          <t>FALKÖPING</t>
        </is>
      </c>
      <c r="F10" t="inlineStr">
        <is>
          <t>Kommuner</t>
        </is>
      </c>
      <c r="G10" t="n">
        <v>17.5</v>
      </c>
      <c r="H10" t="n">
        <v>18</v>
      </c>
      <c r="I10" t="n">
        <v>1</v>
      </c>
      <c r="J10" t="n">
        <v>14</v>
      </c>
      <c r="K10" t="n">
        <v>1</v>
      </c>
      <c r="L10" t="n">
        <v>1</v>
      </c>
      <c r="M10" t="n">
        <v>0</v>
      </c>
      <c r="N10" t="n">
        <v>0</v>
      </c>
      <c r="O10" t="n">
        <v>16</v>
      </c>
      <c r="P10" t="n">
        <v>2</v>
      </c>
      <c r="Q10" t="n">
        <v>21</v>
      </c>
      <c r="R10"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10">
        <f>HYPERLINK("https://klasma.github.io/Logging_1499/artfynd/A 50775-2025 artfynd.xlsx", "A 50775-2025")</f>
        <v/>
      </c>
      <c r="T10">
        <f>HYPERLINK("https://klasma.github.io/Logging_1499/kartor/A 50775-2025 karta.png", "A 50775-2025")</f>
        <v/>
      </c>
      <c r="V10">
        <f>HYPERLINK("https://klasma.github.io/Logging_1499/klagomål/A 50775-2025 FSC-klagomål.docx", "A 50775-2025")</f>
        <v/>
      </c>
      <c r="W10">
        <f>HYPERLINK("https://klasma.github.io/Logging_1499/klagomålsmail/A 50775-2025 FSC-klagomål mail.docx", "A 50775-2025")</f>
        <v/>
      </c>
      <c r="X10">
        <f>HYPERLINK("https://klasma.github.io/Logging_1499/tillsyn/A 50775-2025 tillsynsbegäran.docx", "A 50775-2025")</f>
        <v/>
      </c>
      <c r="Y10">
        <f>HYPERLINK("https://klasma.github.io/Logging_1499/tillsynsmail/A 50775-2025 tillsynsbegäran mail.docx", "A 50775-2025")</f>
        <v/>
      </c>
      <c r="Z10">
        <f>HYPERLINK("https://klasma.github.io/Logging_1499/fåglar/A 50775-2025 prioriterade fågelarter.docx", "A 50775-2025")</f>
        <v/>
      </c>
    </row>
    <row r="11" ht="15" customHeight="1">
      <c r="A11" t="inlineStr">
        <is>
          <t>A 6469-2022</t>
        </is>
      </c>
      <c r="B11" s="1" t="n">
        <v>44601</v>
      </c>
      <c r="C11" s="1" t="n">
        <v>45952</v>
      </c>
      <c r="D11" t="inlineStr">
        <is>
          <t>VÄSTRA GÖTALANDS LÄN</t>
        </is>
      </c>
      <c r="E11" t="inlineStr">
        <is>
          <t>DALS-ED</t>
        </is>
      </c>
      <c r="G11" t="n">
        <v>5.6</v>
      </c>
      <c r="H11" t="n">
        <v>1</v>
      </c>
      <c r="I11" t="n">
        <v>10</v>
      </c>
      <c r="J11" t="n">
        <v>7</v>
      </c>
      <c r="K11" t="n">
        <v>2</v>
      </c>
      <c r="L11" t="n">
        <v>0</v>
      </c>
      <c r="M11" t="n">
        <v>1</v>
      </c>
      <c r="N11" t="n">
        <v>0</v>
      </c>
      <c r="O11" t="n">
        <v>10</v>
      </c>
      <c r="P11" t="n">
        <v>3</v>
      </c>
      <c r="Q11" t="n">
        <v>20</v>
      </c>
      <c r="R11"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1">
        <f>HYPERLINK("https://klasma.github.io/Logging_1438/artfynd/A 6469-2022 artfynd.xlsx", "A 6469-2022")</f>
        <v/>
      </c>
      <c r="T11">
        <f>HYPERLINK("https://klasma.github.io/Logging_1438/kartor/A 6469-2022 karta.png", "A 6469-2022")</f>
        <v/>
      </c>
      <c r="U11">
        <f>HYPERLINK("https://klasma.github.io/Logging_1438/knärot/A 6469-2022 karta knärot.png", "A 6469-2022")</f>
        <v/>
      </c>
      <c r="V11">
        <f>HYPERLINK("https://klasma.github.io/Logging_1438/klagomål/A 6469-2022 FSC-klagomål.docx", "A 6469-2022")</f>
        <v/>
      </c>
      <c r="W11">
        <f>HYPERLINK("https://klasma.github.io/Logging_1438/klagomålsmail/A 6469-2022 FSC-klagomål mail.docx", "A 6469-2022")</f>
        <v/>
      </c>
      <c r="X11">
        <f>HYPERLINK("https://klasma.github.io/Logging_1438/tillsyn/A 6469-2022 tillsynsbegäran.docx", "A 6469-2022")</f>
        <v/>
      </c>
      <c r="Y11">
        <f>HYPERLINK("https://klasma.github.io/Logging_1438/tillsynsmail/A 6469-2022 tillsynsbegäran mail.docx", "A 6469-2022")</f>
        <v/>
      </c>
    </row>
    <row r="12" ht="15" customHeight="1">
      <c r="A12" t="inlineStr">
        <is>
          <t>A 36673-2023</t>
        </is>
      </c>
      <c r="B12" s="1" t="n">
        <v>45153</v>
      </c>
      <c r="C12" s="1" t="n">
        <v>45952</v>
      </c>
      <c r="D12" t="inlineStr">
        <is>
          <t>VÄSTRA GÖTALANDS LÄN</t>
        </is>
      </c>
      <c r="E12" t="inlineStr">
        <is>
          <t>ALE</t>
        </is>
      </c>
      <c r="G12" t="n">
        <v>6.2</v>
      </c>
      <c r="H12" t="n">
        <v>5</v>
      </c>
      <c r="I12" t="n">
        <v>9</v>
      </c>
      <c r="J12" t="n">
        <v>7</v>
      </c>
      <c r="K12" t="n">
        <v>1</v>
      </c>
      <c r="L12" t="n">
        <v>0</v>
      </c>
      <c r="M12" t="n">
        <v>0</v>
      </c>
      <c r="N12" t="n">
        <v>0</v>
      </c>
      <c r="O12" t="n">
        <v>8</v>
      </c>
      <c r="P12" t="n">
        <v>1</v>
      </c>
      <c r="Q12" t="n">
        <v>20</v>
      </c>
      <c r="R12"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2">
        <f>HYPERLINK("https://klasma.github.io/Logging_1440/artfynd/A 36673-2023 artfynd.xlsx", "A 36673-2023")</f>
        <v/>
      </c>
      <c r="T12">
        <f>HYPERLINK("https://klasma.github.io/Logging_1440/kartor/A 36673-2023 karta.png", "A 36673-2023")</f>
        <v/>
      </c>
      <c r="V12">
        <f>HYPERLINK("https://klasma.github.io/Logging_1440/klagomål/A 36673-2023 FSC-klagomål.docx", "A 36673-2023")</f>
        <v/>
      </c>
      <c r="W12">
        <f>HYPERLINK("https://klasma.github.io/Logging_1440/klagomålsmail/A 36673-2023 FSC-klagomål mail.docx", "A 36673-2023")</f>
        <v/>
      </c>
      <c r="X12">
        <f>HYPERLINK("https://klasma.github.io/Logging_1440/tillsyn/A 36673-2023 tillsynsbegäran.docx", "A 36673-2023")</f>
        <v/>
      </c>
      <c r="Y12">
        <f>HYPERLINK("https://klasma.github.io/Logging_1440/tillsynsmail/A 36673-2023 tillsynsbegäran mail.docx", "A 36673-2023")</f>
        <v/>
      </c>
      <c r="Z12">
        <f>HYPERLINK("https://klasma.github.io/Logging_1440/fåglar/A 36673-2023 prioriterade fågelarter.docx", "A 36673-2023")</f>
        <v/>
      </c>
    </row>
    <row r="13" ht="15" customHeight="1">
      <c r="A13" t="inlineStr">
        <is>
          <t>A 46487-2023</t>
        </is>
      </c>
      <c r="B13" s="1" t="n">
        <v>45197</v>
      </c>
      <c r="C13" s="1" t="n">
        <v>45952</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45952</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34077-2023</t>
        </is>
      </c>
      <c r="B15" s="1" t="n">
        <v>45135</v>
      </c>
      <c r="C15" s="1" t="n">
        <v>45952</v>
      </c>
      <c r="D15" t="inlineStr">
        <is>
          <t>VÄSTRA GÖTALANDS LÄN</t>
        </is>
      </c>
      <c r="E15" t="inlineStr">
        <is>
          <t>STRÖMSTAD</t>
        </is>
      </c>
      <c r="G15" t="n">
        <v>31.1</v>
      </c>
      <c r="H15" t="n">
        <v>8</v>
      </c>
      <c r="I15" t="n">
        <v>2</v>
      </c>
      <c r="J15" t="n">
        <v>8</v>
      </c>
      <c r="K15" t="n">
        <v>1</v>
      </c>
      <c r="L15" t="n">
        <v>1</v>
      </c>
      <c r="M15" t="n">
        <v>1</v>
      </c>
      <c r="N15" t="n">
        <v>0</v>
      </c>
      <c r="O15" t="n">
        <v>11</v>
      </c>
      <c r="P15" t="n">
        <v>3</v>
      </c>
      <c r="Q15" t="n">
        <v>17</v>
      </c>
      <c r="R15" s="2" t="inlineStr">
        <is>
          <t>Skogsalm
Ask
Knärot
Desmeknopp
Motaggsvamp
Månlåsbräken
Slåtterfibbla
Spillkråka
Talltita
Tretåig hackspett
Vårstarr
Honungsvaxing
Svart trolldruva
Kungsfågel
Tjäder
Blåsippa
Gullviva</t>
        </is>
      </c>
      <c r="S15">
        <f>HYPERLINK("https://klasma.github.io/Logging_1486/artfynd/A 34077-2023 artfynd.xlsx", "A 34077-2023")</f>
        <v/>
      </c>
      <c r="T15">
        <f>HYPERLINK("https://klasma.github.io/Logging_1486/kartor/A 34077-2023 karta.png", "A 34077-2023")</f>
        <v/>
      </c>
      <c r="U15">
        <f>HYPERLINK("https://klasma.github.io/Logging_1486/knärot/A 34077-2023 karta knärot.png", "A 34077-2023")</f>
        <v/>
      </c>
      <c r="V15">
        <f>HYPERLINK("https://klasma.github.io/Logging_1486/klagomål/A 34077-2023 FSC-klagomål.docx", "A 34077-2023")</f>
        <v/>
      </c>
      <c r="W15">
        <f>HYPERLINK("https://klasma.github.io/Logging_1486/klagomålsmail/A 34077-2023 FSC-klagomål mail.docx", "A 34077-2023")</f>
        <v/>
      </c>
      <c r="X15">
        <f>HYPERLINK("https://klasma.github.io/Logging_1486/tillsyn/A 34077-2023 tillsynsbegäran.docx", "A 34077-2023")</f>
        <v/>
      </c>
      <c r="Y15">
        <f>HYPERLINK("https://klasma.github.io/Logging_1486/tillsynsmail/A 34077-2023 tillsynsbegäran mail.docx", "A 34077-2023")</f>
        <v/>
      </c>
      <c r="Z15">
        <f>HYPERLINK("https://klasma.github.io/Logging_1486/fåglar/A 34077-2023 prioriterade fågelarter.docx", "A 34077-2023")</f>
        <v/>
      </c>
    </row>
    <row r="16" ht="15" customHeight="1">
      <c r="A16" t="inlineStr">
        <is>
          <t>A 35283-2025</t>
        </is>
      </c>
      <c r="B16" s="1" t="n">
        <v>45854.35061342592</v>
      </c>
      <c r="C16" s="1" t="n">
        <v>45952</v>
      </c>
      <c r="D16" t="inlineStr">
        <is>
          <t>VÄSTRA GÖTALANDS LÄN</t>
        </is>
      </c>
      <c r="E16" t="inlineStr">
        <is>
          <t>VÄNERSBORG</t>
        </is>
      </c>
      <c r="F16" t="inlineStr">
        <is>
          <t>Kommuner</t>
        </is>
      </c>
      <c r="G16" t="n">
        <v>11.2</v>
      </c>
      <c r="H16" t="n">
        <v>15</v>
      </c>
      <c r="I16" t="n">
        <v>1</v>
      </c>
      <c r="J16" t="n">
        <v>8</v>
      </c>
      <c r="K16" t="n">
        <v>2</v>
      </c>
      <c r="L16" t="n">
        <v>1</v>
      </c>
      <c r="M16" t="n">
        <v>0</v>
      </c>
      <c r="N16" t="n">
        <v>0</v>
      </c>
      <c r="O16" t="n">
        <v>11</v>
      </c>
      <c r="P16" t="n">
        <v>3</v>
      </c>
      <c r="Q16" t="n">
        <v>17</v>
      </c>
      <c r="R16" s="2" t="inlineStr">
        <is>
          <t>Tornseglare
Hussvala
Tallbit
Duvhök
Entita
Grönsångare
Havsörn
Igelkott
Mindre hackspett
Svartvit flugsnappare
Ärtsångare
Blodticka
Fiskgjuse
Gröngöling
Grönsiska
Järnsparv
Kungsfågel</t>
        </is>
      </c>
      <c r="S16">
        <f>HYPERLINK("https://klasma.github.io/Logging_1487/artfynd/A 35283-2025 artfynd.xlsx", "A 35283-2025")</f>
        <v/>
      </c>
      <c r="T16">
        <f>HYPERLINK("https://klasma.github.io/Logging_1487/kartor/A 35283-2025 karta.png", "A 35283-2025")</f>
        <v/>
      </c>
      <c r="V16">
        <f>HYPERLINK("https://klasma.github.io/Logging_1487/klagomål/A 35283-2025 FSC-klagomål.docx", "A 35283-2025")</f>
        <v/>
      </c>
      <c r="W16">
        <f>HYPERLINK("https://klasma.github.io/Logging_1487/klagomålsmail/A 35283-2025 FSC-klagomål mail.docx", "A 35283-2025")</f>
        <v/>
      </c>
      <c r="X16">
        <f>HYPERLINK("https://klasma.github.io/Logging_1487/tillsyn/A 35283-2025 tillsynsbegäran.docx", "A 35283-2025")</f>
        <v/>
      </c>
      <c r="Y16">
        <f>HYPERLINK("https://klasma.github.io/Logging_1487/tillsynsmail/A 35283-2025 tillsynsbegäran mail.docx", "A 35283-2025")</f>
        <v/>
      </c>
      <c r="Z16">
        <f>HYPERLINK("https://klasma.github.io/Logging_1487/fåglar/A 35283-2025 prioriterade fågelarter.docx", "A 35283-2025")</f>
        <v/>
      </c>
    </row>
    <row r="17" ht="15" customHeight="1">
      <c r="A17" t="inlineStr">
        <is>
          <t>A 34258-2023</t>
        </is>
      </c>
      <c r="B17" s="1" t="n">
        <v>45138</v>
      </c>
      <c r="C17" s="1" t="n">
        <v>45952</v>
      </c>
      <c r="D17" t="inlineStr">
        <is>
          <t>VÄSTRA GÖTALANDS LÄN</t>
        </is>
      </c>
      <c r="E17" t="inlineStr">
        <is>
          <t>BENGTSFORS</t>
        </is>
      </c>
      <c r="G17" t="n">
        <v>9.800000000000001</v>
      </c>
      <c r="H17" t="n">
        <v>3</v>
      </c>
      <c r="I17" t="n">
        <v>7</v>
      </c>
      <c r="J17" t="n">
        <v>6</v>
      </c>
      <c r="K17" t="n">
        <v>1</v>
      </c>
      <c r="L17" t="n">
        <v>0</v>
      </c>
      <c r="M17" t="n">
        <v>0</v>
      </c>
      <c r="N17" t="n">
        <v>0</v>
      </c>
      <c r="O17" t="n">
        <v>7</v>
      </c>
      <c r="P17" t="n">
        <v>1</v>
      </c>
      <c r="Q17" t="n">
        <v>16</v>
      </c>
      <c r="R17" s="2" t="inlineStr">
        <is>
          <t>Liten hornflikmossa
Oxtungssvamp
Platt spretmossa
Stubbtrådmossa
Talltita
Vedtrappmossa
Vit vedfingersvamp
Blåmossa
Klippfrullania
Korallblylav
Stubbspretmossa
Trind spretmossa
Vanlig rörsvepemossa
Västlig hakmossa
Tjäder
Blåsippa</t>
        </is>
      </c>
      <c r="S17">
        <f>HYPERLINK("https://klasma.github.io/Logging_1460/artfynd/A 34258-2023 artfynd.xlsx", "A 34258-2023")</f>
        <v/>
      </c>
      <c r="T17">
        <f>HYPERLINK("https://klasma.github.io/Logging_1460/kartor/A 34258-2023 karta.png", "A 34258-2023")</f>
        <v/>
      </c>
      <c r="V17">
        <f>HYPERLINK("https://klasma.github.io/Logging_1460/klagomål/A 34258-2023 FSC-klagomål.docx", "A 34258-2023")</f>
        <v/>
      </c>
      <c r="W17">
        <f>HYPERLINK("https://klasma.github.io/Logging_1460/klagomålsmail/A 34258-2023 FSC-klagomål mail.docx", "A 34258-2023")</f>
        <v/>
      </c>
      <c r="X17">
        <f>HYPERLINK("https://klasma.github.io/Logging_1460/tillsyn/A 34258-2023 tillsynsbegäran.docx", "A 34258-2023")</f>
        <v/>
      </c>
      <c r="Y17">
        <f>HYPERLINK("https://klasma.github.io/Logging_1460/tillsynsmail/A 34258-2023 tillsynsbegäran mail.docx", "A 34258-2023")</f>
        <v/>
      </c>
      <c r="Z17">
        <f>HYPERLINK("https://klasma.github.io/Logging_1460/fåglar/A 34258-2023 prioriterade fågelarter.docx", "A 34258-2023")</f>
        <v/>
      </c>
    </row>
    <row r="18" ht="15" customHeight="1">
      <c r="A18" t="inlineStr">
        <is>
          <t>A 33012-2024</t>
        </is>
      </c>
      <c r="B18" s="1" t="n">
        <v>45517.52171296296</v>
      </c>
      <c r="C18" s="1" t="n">
        <v>45952</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45952</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45952</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45952</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45952</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5403-2024</t>
        </is>
      </c>
      <c r="B23" s="1" t="n">
        <v>45331.59417824074</v>
      </c>
      <c r="C23" s="1" t="n">
        <v>45952</v>
      </c>
      <c r="D23" t="inlineStr">
        <is>
          <t>VÄSTRA GÖTALANDS LÄN</t>
        </is>
      </c>
      <c r="E23" t="inlineStr">
        <is>
          <t>DALS-ED</t>
        </is>
      </c>
      <c r="G23" t="n">
        <v>28.3</v>
      </c>
      <c r="H23" t="n">
        <v>5</v>
      </c>
      <c r="I23" t="n">
        <v>6</v>
      </c>
      <c r="J23" t="n">
        <v>4</v>
      </c>
      <c r="K23" t="n">
        <v>0</v>
      </c>
      <c r="L23" t="n">
        <v>0</v>
      </c>
      <c r="M23" t="n">
        <v>0</v>
      </c>
      <c r="N23" t="n">
        <v>0</v>
      </c>
      <c r="O23" t="n">
        <v>4</v>
      </c>
      <c r="P23" t="n">
        <v>0</v>
      </c>
      <c r="Q23" t="n">
        <v>12</v>
      </c>
      <c r="R23" s="2" t="inlineStr">
        <is>
          <t>Spillkråka
Talltita
Tretåig hackspett
Vedskivlav
Blåmossa
Dropptaggsvamp
Mandelriska
Rödgul trumpetsvamp
Stor revmossa
Västlig hakmossa
Gröngöling
Tjäder</t>
        </is>
      </c>
      <c r="S23">
        <f>HYPERLINK("https://klasma.github.io/Logging_1438/artfynd/A 5403-2024 artfynd.xlsx", "A 5403-2024")</f>
        <v/>
      </c>
      <c r="T23">
        <f>HYPERLINK("https://klasma.github.io/Logging_1438/kartor/A 5403-2024 karta.png", "A 5403-2024")</f>
        <v/>
      </c>
      <c r="V23">
        <f>HYPERLINK("https://klasma.github.io/Logging_1438/klagomål/A 5403-2024 FSC-klagomål.docx", "A 5403-2024")</f>
        <v/>
      </c>
      <c r="W23">
        <f>HYPERLINK("https://klasma.github.io/Logging_1438/klagomålsmail/A 5403-2024 FSC-klagomål mail.docx", "A 5403-2024")</f>
        <v/>
      </c>
      <c r="X23">
        <f>HYPERLINK("https://klasma.github.io/Logging_1438/tillsyn/A 5403-2024 tillsynsbegäran.docx", "A 5403-2024")</f>
        <v/>
      </c>
      <c r="Y23">
        <f>HYPERLINK("https://klasma.github.io/Logging_1438/tillsynsmail/A 5403-2024 tillsynsbegäran mail.docx", "A 5403-2024")</f>
        <v/>
      </c>
      <c r="Z23">
        <f>HYPERLINK("https://klasma.github.io/Logging_1438/fåglar/A 5403-2024 prioriterade fågelarter.docx", "A 5403-2024")</f>
        <v/>
      </c>
    </row>
    <row r="24" ht="15" customHeight="1">
      <c r="A24" t="inlineStr">
        <is>
          <t>A 34590-2025</t>
        </is>
      </c>
      <c r="B24" s="1" t="n">
        <v>45847.6196412037</v>
      </c>
      <c r="C24" s="1" t="n">
        <v>45952</v>
      </c>
      <c r="D24" t="inlineStr">
        <is>
          <t>VÄSTRA GÖTALANDS LÄN</t>
        </is>
      </c>
      <c r="E24" t="inlineStr">
        <is>
          <t>FALKÖPING</t>
        </is>
      </c>
      <c r="G24" t="n">
        <v>9.300000000000001</v>
      </c>
      <c r="H24" t="n">
        <v>2</v>
      </c>
      <c r="I24" t="n">
        <v>7</v>
      </c>
      <c r="J24" t="n">
        <v>0</v>
      </c>
      <c r="K24" t="n">
        <v>3</v>
      </c>
      <c r="L24" t="n">
        <v>0</v>
      </c>
      <c r="M24" t="n">
        <v>0</v>
      </c>
      <c r="N24" t="n">
        <v>0</v>
      </c>
      <c r="O24" t="n">
        <v>3</v>
      </c>
      <c r="P24" t="n">
        <v>3</v>
      </c>
      <c r="Q24" t="n">
        <v>12</v>
      </c>
      <c r="R24" s="2" t="inlineStr">
        <is>
          <t>Granrotsspindling
Rosetticka
Vågticka
Blåmossa
Granriska
Gulgrön kantmusseron
Kruskantarell
Rödgul trumpetsvamp
Strimspindling
Trådticka
Blåsippa
Revlummer</t>
        </is>
      </c>
      <c r="S24">
        <f>HYPERLINK("https://klasma.github.io/Logging_1499/artfynd/A 34590-2025 artfynd.xlsx", "A 34590-2025")</f>
        <v/>
      </c>
      <c r="T24">
        <f>HYPERLINK("https://klasma.github.io/Logging_1499/kartor/A 34590-2025 karta.png", "A 34590-2025")</f>
        <v/>
      </c>
      <c r="V24">
        <f>HYPERLINK("https://klasma.github.io/Logging_1499/klagomål/A 34590-2025 FSC-klagomål.docx", "A 34590-2025")</f>
        <v/>
      </c>
      <c r="W24">
        <f>HYPERLINK("https://klasma.github.io/Logging_1499/klagomålsmail/A 34590-2025 FSC-klagomål mail.docx", "A 34590-2025")</f>
        <v/>
      </c>
      <c r="X24">
        <f>HYPERLINK("https://klasma.github.io/Logging_1499/tillsyn/A 34590-2025 tillsynsbegäran.docx", "A 34590-2025")</f>
        <v/>
      </c>
      <c r="Y24">
        <f>HYPERLINK("https://klasma.github.io/Logging_1499/tillsynsmail/A 34590-2025 tillsynsbegäran mail.docx", "A 34590-2025")</f>
        <v/>
      </c>
    </row>
    <row r="25" ht="15" customHeight="1">
      <c r="A25" t="inlineStr">
        <is>
          <t>A 67757-2020</t>
        </is>
      </c>
      <c r="B25" s="1" t="n">
        <v>44182</v>
      </c>
      <c r="C25" s="1" t="n">
        <v>45952</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9166-2022</t>
        </is>
      </c>
      <c r="B26" s="1" t="n">
        <v>44615</v>
      </c>
      <c r="C26" s="1" t="n">
        <v>45952</v>
      </c>
      <c r="D26" t="inlineStr">
        <is>
          <t>VÄSTRA GÖTALANDS LÄN</t>
        </is>
      </c>
      <c r="E26" t="inlineStr">
        <is>
          <t>BENGTSFORS</t>
        </is>
      </c>
      <c r="G26" t="n">
        <v>9.1</v>
      </c>
      <c r="H26" t="n">
        <v>1</v>
      </c>
      <c r="I26" t="n">
        <v>6</v>
      </c>
      <c r="J26" t="n">
        <v>5</v>
      </c>
      <c r="K26" t="n">
        <v>0</v>
      </c>
      <c r="L26" t="n">
        <v>0</v>
      </c>
      <c r="M26" t="n">
        <v>0</v>
      </c>
      <c r="N26" t="n">
        <v>0</v>
      </c>
      <c r="O26" t="n">
        <v>5</v>
      </c>
      <c r="P26" t="n">
        <v>0</v>
      </c>
      <c r="Q26" t="n">
        <v>11</v>
      </c>
      <c r="R26" s="2" t="inlineStr">
        <is>
          <t>Kolflarnlav
Kortskaftad ärgspik
Spillkråka
Tallticka
Vedtrappmossa
Blåmossa
Bronshjon
Dropptaggsvamp
Mindre märgborre
Rostfläck
Vedticka</t>
        </is>
      </c>
      <c r="S26">
        <f>HYPERLINK("https://klasma.github.io/Logging_1460/artfynd/A 9166-2022 artfynd.xlsx", "A 9166-2022")</f>
        <v/>
      </c>
      <c r="T26">
        <f>HYPERLINK("https://klasma.github.io/Logging_1460/kartor/A 9166-2022 karta.png", "A 9166-2022")</f>
        <v/>
      </c>
      <c r="V26">
        <f>HYPERLINK("https://klasma.github.io/Logging_1460/klagomål/A 9166-2022 FSC-klagomål.docx", "A 9166-2022")</f>
        <v/>
      </c>
      <c r="W26">
        <f>HYPERLINK("https://klasma.github.io/Logging_1460/klagomålsmail/A 9166-2022 FSC-klagomål mail.docx", "A 9166-2022")</f>
        <v/>
      </c>
      <c r="X26">
        <f>HYPERLINK("https://klasma.github.io/Logging_1460/tillsyn/A 9166-2022 tillsynsbegäran.docx", "A 9166-2022")</f>
        <v/>
      </c>
      <c r="Y26">
        <f>HYPERLINK("https://klasma.github.io/Logging_1460/tillsynsmail/A 9166-2022 tillsynsbegäran mail.docx", "A 9166-2022")</f>
        <v/>
      </c>
      <c r="Z26">
        <f>HYPERLINK("https://klasma.github.io/Logging_1460/fåglar/A 9166-2022 prioriterade fågelarter.docx", "A 9166-2022")</f>
        <v/>
      </c>
    </row>
    <row r="27" ht="15" customHeight="1">
      <c r="A27" t="inlineStr">
        <is>
          <t>A 49914-2021</t>
        </is>
      </c>
      <c r="B27" s="1" t="n">
        <v>44455</v>
      </c>
      <c r="C27" s="1" t="n">
        <v>45952</v>
      </c>
      <c r="D27" t="inlineStr">
        <is>
          <t>VÄSTRA GÖTALANDS LÄN</t>
        </is>
      </c>
      <c r="E27" t="inlineStr">
        <is>
          <t>BENGTSFORS</t>
        </is>
      </c>
      <c r="G27" t="n">
        <v>10</v>
      </c>
      <c r="H27" t="n">
        <v>0</v>
      </c>
      <c r="I27" t="n">
        <v>8</v>
      </c>
      <c r="J27" t="n">
        <v>3</v>
      </c>
      <c r="K27" t="n">
        <v>0</v>
      </c>
      <c r="L27" t="n">
        <v>0</v>
      </c>
      <c r="M27" t="n">
        <v>0</v>
      </c>
      <c r="N27" t="n">
        <v>0</v>
      </c>
      <c r="O27" t="n">
        <v>3</v>
      </c>
      <c r="P27" t="n">
        <v>0</v>
      </c>
      <c r="Q27" t="n">
        <v>11</v>
      </c>
      <c r="R27" s="2" t="inlineStr">
        <is>
          <t>Skogstrappmossa
Vedflikmossa
Vedtrappmossa
Blåsfliksmossa
Fällmossa
Guldlockmossa
Klippfrullania
Platt fjädermossa
Purpurmylia
Stor revmossa
Västlig hakmossa</t>
        </is>
      </c>
      <c r="S27">
        <f>HYPERLINK("https://klasma.github.io/Logging_1460/artfynd/A 49914-2021 artfynd.xlsx", "A 49914-2021")</f>
        <v/>
      </c>
      <c r="T27">
        <f>HYPERLINK("https://klasma.github.io/Logging_1460/kartor/A 49914-2021 karta.png", "A 49914-2021")</f>
        <v/>
      </c>
      <c r="V27">
        <f>HYPERLINK("https://klasma.github.io/Logging_1460/klagomål/A 49914-2021 FSC-klagomål.docx", "A 49914-2021")</f>
        <v/>
      </c>
      <c r="W27">
        <f>HYPERLINK("https://klasma.github.io/Logging_1460/klagomålsmail/A 49914-2021 FSC-klagomål mail.docx", "A 49914-2021")</f>
        <v/>
      </c>
      <c r="X27">
        <f>HYPERLINK("https://klasma.github.io/Logging_1460/tillsyn/A 49914-2021 tillsynsbegäran.docx", "A 49914-2021")</f>
        <v/>
      </c>
      <c r="Y27">
        <f>HYPERLINK("https://klasma.github.io/Logging_1460/tillsynsmail/A 49914-2021 tillsynsbegäran mail.docx", "A 49914-2021")</f>
        <v/>
      </c>
    </row>
    <row r="28" ht="15" customHeight="1">
      <c r="A28" t="inlineStr">
        <is>
          <t>A 30854-2024</t>
        </is>
      </c>
      <c r="B28" s="1" t="n">
        <v>45497.64619212963</v>
      </c>
      <c r="C28" s="1" t="n">
        <v>45952</v>
      </c>
      <c r="D28" t="inlineStr">
        <is>
          <t>VÄSTRA GÖTALANDS LÄN</t>
        </is>
      </c>
      <c r="E28" t="inlineStr">
        <is>
          <t>MARK</t>
        </is>
      </c>
      <c r="G28" t="n">
        <v>1.4</v>
      </c>
      <c r="H28" t="n">
        <v>10</v>
      </c>
      <c r="I28" t="n">
        <v>1</v>
      </c>
      <c r="J28" t="n">
        <v>5</v>
      </c>
      <c r="K28" t="n">
        <v>2</v>
      </c>
      <c r="L28" t="n">
        <v>1</v>
      </c>
      <c r="M28" t="n">
        <v>0</v>
      </c>
      <c r="N28" t="n">
        <v>0</v>
      </c>
      <c r="O28" t="n">
        <v>8</v>
      </c>
      <c r="P28" t="n">
        <v>3</v>
      </c>
      <c r="Q28" t="n">
        <v>11</v>
      </c>
      <c r="R28" s="2" t="inlineStr">
        <is>
          <t>Tornseglare
Hussvala
Tofsvipa
Buskskvätta
Duvhök
Kornknarr
Kråka
Nordfladdermus
Bårdlav
Dvärgpipistrell
Större brunfladdermus</t>
        </is>
      </c>
      <c r="S28">
        <f>HYPERLINK("https://klasma.github.io/Logging_1463/artfynd/A 30854-2024 artfynd.xlsx", "A 30854-2024")</f>
        <v/>
      </c>
      <c r="T28">
        <f>HYPERLINK("https://klasma.github.io/Logging_1463/kartor/A 30854-2024 karta.png", "A 30854-2024")</f>
        <v/>
      </c>
      <c r="V28">
        <f>HYPERLINK("https://klasma.github.io/Logging_1463/klagomål/A 30854-2024 FSC-klagomål.docx", "A 30854-2024")</f>
        <v/>
      </c>
      <c r="W28">
        <f>HYPERLINK("https://klasma.github.io/Logging_1463/klagomålsmail/A 30854-2024 FSC-klagomål mail.docx", "A 30854-2024")</f>
        <v/>
      </c>
      <c r="X28">
        <f>HYPERLINK("https://klasma.github.io/Logging_1463/tillsyn/A 30854-2024 tillsynsbegäran.docx", "A 30854-2024")</f>
        <v/>
      </c>
      <c r="Y28">
        <f>HYPERLINK("https://klasma.github.io/Logging_1463/tillsynsmail/A 30854-2024 tillsynsbegäran mail.docx", "A 30854-2024")</f>
        <v/>
      </c>
      <c r="Z28">
        <f>HYPERLINK("https://klasma.github.io/Logging_1463/fåglar/A 30854-2024 prioriterade fågelarter.docx", "A 30854-2024")</f>
        <v/>
      </c>
    </row>
    <row r="29" ht="15" customHeight="1">
      <c r="A29" t="inlineStr">
        <is>
          <t>A 33612-2023</t>
        </is>
      </c>
      <c r="B29" s="1" t="n">
        <v>45132</v>
      </c>
      <c r="C29" s="1" t="n">
        <v>45952</v>
      </c>
      <c r="D29" t="inlineStr">
        <is>
          <t>VÄSTRA GÖTALANDS LÄN</t>
        </is>
      </c>
      <c r="E29" t="inlineStr">
        <is>
          <t>TRANEMO</t>
        </is>
      </c>
      <c r="G29" t="n">
        <v>8.9</v>
      </c>
      <c r="H29" t="n">
        <v>0</v>
      </c>
      <c r="I29" t="n">
        <v>7</v>
      </c>
      <c r="J29" t="n">
        <v>3</v>
      </c>
      <c r="K29" t="n">
        <v>0</v>
      </c>
      <c r="L29" t="n">
        <v>0</v>
      </c>
      <c r="M29" t="n">
        <v>0</v>
      </c>
      <c r="N29" t="n">
        <v>0</v>
      </c>
      <c r="O29" t="n">
        <v>3</v>
      </c>
      <c r="P29" t="n">
        <v>0</v>
      </c>
      <c r="Q29" t="n">
        <v>10</v>
      </c>
      <c r="R29" s="2" t="inlineStr">
        <is>
          <t>Garnlav
Granticka
Vedtrappmossa
Blåmossa
Bronshjon
Granbarkgnagare
Kornknutmossa
Stor revmossa
Vedticka
Västlig hakmossa</t>
        </is>
      </c>
      <c r="S29">
        <f>HYPERLINK("https://klasma.github.io/Logging_1452/artfynd/A 33612-2023 artfynd.xlsx", "A 33612-2023")</f>
        <v/>
      </c>
      <c r="T29">
        <f>HYPERLINK("https://klasma.github.io/Logging_1452/kartor/A 33612-2023 karta.png", "A 33612-2023")</f>
        <v/>
      </c>
      <c r="V29">
        <f>HYPERLINK("https://klasma.github.io/Logging_1452/klagomål/A 33612-2023 FSC-klagomål.docx", "A 33612-2023")</f>
        <v/>
      </c>
      <c r="W29">
        <f>HYPERLINK("https://klasma.github.io/Logging_1452/klagomålsmail/A 33612-2023 FSC-klagomål mail.docx", "A 33612-2023")</f>
        <v/>
      </c>
      <c r="X29">
        <f>HYPERLINK("https://klasma.github.io/Logging_1452/tillsyn/A 33612-2023 tillsynsbegäran.docx", "A 33612-2023")</f>
        <v/>
      </c>
      <c r="Y29">
        <f>HYPERLINK("https://klasma.github.io/Logging_1452/tillsynsmail/A 33612-2023 tillsynsbegäran mail.docx", "A 33612-2023")</f>
        <v/>
      </c>
    </row>
    <row r="30" ht="15" customHeight="1">
      <c r="A30" t="inlineStr">
        <is>
          <t>A 59601-2022</t>
        </is>
      </c>
      <c r="B30" s="1" t="n">
        <v>44907</v>
      </c>
      <c r="C30" s="1" t="n">
        <v>45952</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46483-2023</t>
        </is>
      </c>
      <c r="B31" s="1" t="n">
        <v>45197</v>
      </c>
      <c r="C31" s="1" t="n">
        <v>45952</v>
      </c>
      <c r="D31" t="inlineStr">
        <is>
          <t>VÄSTRA GÖTALANDS LÄN</t>
        </is>
      </c>
      <c r="E31" t="inlineStr">
        <is>
          <t>STENUNGSUND</t>
        </is>
      </c>
      <c r="G31" t="n">
        <v>15</v>
      </c>
      <c r="H31" t="n">
        <v>9</v>
      </c>
      <c r="I31" t="n">
        <v>1</v>
      </c>
      <c r="J31" t="n">
        <v>4</v>
      </c>
      <c r="K31" t="n">
        <v>0</v>
      </c>
      <c r="L31" t="n">
        <v>0</v>
      </c>
      <c r="M31" t="n">
        <v>0</v>
      </c>
      <c r="N31" t="n">
        <v>0</v>
      </c>
      <c r="O31" t="n">
        <v>4</v>
      </c>
      <c r="P31" t="n">
        <v>0</v>
      </c>
      <c r="Q31" t="n">
        <v>10</v>
      </c>
      <c r="R31" s="2" t="inlineStr">
        <is>
          <t>Duvhök
Entita
Järpe
Spillkråka
Västlig hakmossa
Grönsiska
Kungsfågel
Orre
Sångsvan
Huggorm</t>
        </is>
      </c>
      <c r="S31">
        <f>HYPERLINK("https://klasma.github.io/Logging_1415/artfynd/A 46483-2023 artfynd.xlsx", "A 46483-2023")</f>
        <v/>
      </c>
      <c r="T31">
        <f>HYPERLINK("https://klasma.github.io/Logging_1415/kartor/A 46483-2023 karta.png", "A 46483-2023")</f>
        <v/>
      </c>
      <c r="V31">
        <f>HYPERLINK("https://klasma.github.io/Logging_1415/klagomål/A 46483-2023 FSC-klagomål.docx", "A 46483-2023")</f>
        <v/>
      </c>
      <c r="W31">
        <f>HYPERLINK("https://klasma.github.io/Logging_1415/klagomålsmail/A 46483-2023 FSC-klagomål mail.docx", "A 46483-2023")</f>
        <v/>
      </c>
      <c r="X31">
        <f>HYPERLINK("https://klasma.github.io/Logging_1415/tillsyn/A 46483-2023 tillsynsbegäran.docx", "A 46483-2023")</f>
        <v/>
      </c>
      <c r="Y31">
        <f>HYPERLINK("https://klasma.github.io/Logging_1415/tillsynsmail/A 46483-2023 tillsynsbegäran mail.docx", "A 46483-2023")</f>
        <v/>
      </c>
      <c r="Z31">
        <f>HYPERLINK("https://klasma.github.io/Logging_1415/fåglar/A 46483-2023 prioriterade fågelarter.docx", "A 46483-2023")</f>
        <v/>
      </c>
    </row>
    <row r="32" ht="15" customHeight="1">
      <c r="A32" t="inlineStr">
        <is>
          <t>A 53463-2024</t>
        </is>
      </c>
      <c r="B32" s="1" t="n">
        <v>45614.55261574074</v>
      </c>
      <c r="C32" s="1" t="n">
        <v>45952</v>
      </c>
      <c r="D32" t="inlineStr">
        <is>
          <t>VÄSTRA GÖTALANDS LÄN</t>
        </is>
      </c>
      <c r="E32" t="inlineStr">
        <is>
          <t>MELLERUD</t>
        </is>
      </c>
      <c r="G32" t="n">
        <v>1.8</v>
      </c>
      <c r="H32" t="n">
        <v>1</v>
      </c>
      <c r="I32" t="n">
        <v>6</v>
      </c>
      <c r="J32" t="n">
        <v>2</v>
      </c>
      <c r="K32" t="n">
        <v>2</v>
      </c>
      <c r="L32" t="n">
        <v>0</v>
      </c>
      <c r="M32" t="n">
        <v>0</v>
      </c>
      <c r="N32" t="n">
        <v>0</v>
      </c>
      <c r="O32" t="n">
        <v>4</v>
      </c>
      <c r="P32" t="n">
        <v>2</v>
      </c>
      <c r="Q32" t="n">
        <v>10</v>
      </c>
      <c r="R32" s="2" t="inlineStr">
        <is>
          <t>Grålila vaxing
Uddbräken
Lädervaxing
Scharlakansvaxing
Blodvaxing
Honungsvaxing
Igelkottsröksvamp
Luktvaxing
Sårläka
Ängsvaxskivling</t>
        </is>
      </c>
      <c r="S32">
        <f>HYPERLINK("https://klasma.github.io/Logging_1461/artfynd/A 53463-2024 artfynd.xlsx", "A 53463-2024")</f>
        <v/>
      </c>
      <c r="T32">
        <f>HYPERLINK("https://klasma.github.io/Logging_1461/kartor/A 53463-2024 karta.png", "A 53463-2024")</f>
        <v/>
      </c>
      <c r="V32">
        <f>HYPERLINK("https://klasma.github.io/Logging_1461/klagomål/A 53463-2024 FSC-klagomål.docx", "A 53463-2024")</f>
        <v/>
      </c>
      <c r="W32">
        <f>HYPERLINK("https://klasma.github.io/Logging_1461/klagomålsmail/A 53463-2024 FSC-klagomål mail.docx", "A 53463-2024")</f>
        <v/>
      </c>
      <c r="X32">
        <f>HYPERLINK("https://klasma.github.io/Logging_1461/tillsyn/A 53463-2024 tillsynsbegäran.docx", "A 53463-2024")</f>
        <v/>
      </c>
      <c r="Y32">
        <f>HYPERLINK("https://klasma.github.io/Logging_1461/tillsynsmail/A 53463-2024 tillsynsbegäran mail.docx", "A 53463-2024")</f>
        <v/>
      </c>
    </row>
    <row r="33" ht="15" customHeight="1">
      <c r="A33" t="inlineStr">
        <is>
          <t>A 28254-2023</t>
        </is>
      </c>
      <c r="B33" s="1" t="n">
        <v>45099</v>
      </c>
      <c r="C33" s="1" t="n">
        <v>45952</v>
      </c>
      <c r="D33" t="inlineStr">
        <is>
          <t>VÄSTRA GÖTALANDS LÄN</t>
        </is>
      </c>
      <c r="E33" t="inlineStr">
        <is>
          <t>GÖTENE</t>
        </is>
      </c>
      <c r="G33" t="n">
        <v>11.6</v>
      </c>
      <c r="H33" t="n">
        <v>6</v>
      </c>
      <c r="I33" t="n">
        <v>2</v>
      </c>
      <c r="J33" t="n">
        <v>4</v>
      </c>
      <c r="K33" t="n">
        <v>1</v>
      </c>
      <c r="L33" t="n">
        <v>0</v>
      </c>
      <c r="M33" t="n">
        <v>0</v>
      </c>
      <c r="N33" t="n">
        <v>0</v>
      </c>
      <c r="O33" t="n">
        <v>5</v>
      </c>
      <c r="P33" t="n">
        <v>1</v>
      </c>
      <c r="Q33" t="n">
        <v>10</v>
      </c>
      <c r="R33" s="2" t="inlineStr">
        <is>
          <t>Rosetticka
Brunlångöra
Dammfladdermus
Dvärglin
Nordfladdermus
Blodticka
Gulpudrad spiklav
Dvärgpipistrell
Större brunfladdermus
Vattenfladdermus</t>
        </is>
      </c>
      <c r="S33">
        <f>HYPERLINK("https://klasma.github.io/Logging_1471/artfynd/A 28254-2023 artfynd.xlsx", "A 28254-2023")</f>
        <v/>
      </c>
      <c r="T33">
        <f>HYPERLINK("https://klasma.github.io/Logging_1471/kartor/A 28254-2023 karta.png", "A 28254-2023")</f>
        <v/>
      </c>
      <c r="V33">
        <f>HYPERLINK("https://klasma.github.io/Logging_1471/klagomål/A 28254-2023 FSC-klagomål.docx", "A 28254-2023")</f>
        <v/>
      </c>
      <c r="W33">
        <f>HYPERLINK("https://klasma.github.io/Logging_1471/klagomålsmail/A 28254-2023 FSC-klagomål mail.docx", "A 28254-2023")</f>
        <v/>
      </c>
      <c r="X33">
        <f>HYPERLINK("https://klasma.github.io/Logging_1471/tillsyn/A 28254-2023 tillsynsbegäran.docx", "A 28254-2023")</f>
        <v/>
      </c>
      <c r="Y33">
        <f>HYPERLINK("https://klasma.github.io/Logging_1471/tillsynsmail/A 28254-2023 tillsynsbegäran mail.docx", "A 28254-2023")</f>
        <v/>
      </c>
    </row>
    <row r="34" ht="15" customHeight="1">
      <c r="A34" t="inlineStr">
        <is>
          <t>A 60410-2024</t>
        </is>
      </c>
      <c r="B34" s="1" t="n">
        <v>45643.5128587963</v>
      </c>
      <c r="C34" s="1" t="n">
        <v>45952</v>
      </c>
      <c r="D34" t="inlineStr">
        <is>
          <t>VÄSTRA GÖTALANDS LÄN</t>
        </is>
      </c>
      <c r="E34" t="inlineStr">
        <is>
          <t>DALS-ED</t>
        </is>
      </c>
      <c r="G34" t="n">
        <v>28</v>
      </c>
      <c r="H34" t="n">
        <v>1</v>
      </c>
      <c r="I34" t="n">
        <v>8</v>
      </c>
      <c r="J34" t="n">
        <v>2</v>
      </c>
      <c r="K34" t="n">
        <v>0</v>
      </c>
      <c r="L34" t="n">
        <v>0</v>
      </c>
      <c r="M34" t="n">
        <v>0</v>
      </c>
      <c r="N34" t="n">
        <v>0</v>
      </c>
      <c r="O34" t="n">
        <v>2</v>
      </c>
      <c r="P34" t="n">
        <v>0</v>
      </c>
      <c r="Q34" t="n">
        <v>10</v>
      </c>
      <c r="R34" s="2" t="inlineStr">
        <is>
          <t>Garnlav
Spillkråka
Barkticka
Blåmossa
Bronshjon
Dropptaggsvamp
Kornknutmossa
Rävticka
Stor revmossa
Vågbandad barkbock</t>
        </is>
      </c>
      <c r="S34">
        <f>HYPERLINK("https://klasma.github.io/Logging_1438/artfynd/A 60410-2024 artfynd.xlsx", "A 60410-2024")</f>
        <v/>
      </c>
      <c r="T34">
        <f>HYPERLINK("https://klasma.github.io/Logging_1438/kartor/A 60410-2024 karta.png", "A 60410-2024")</f>
        <v/>
      </c>
      <c r="V34">
        <f>HYPERLINK("https://klasma.github.io/Logging_1438/klagomål/A 60410-2024 FSC-klagomål.docx", "A 60410-2024")</f>
        <v/>
      </c>
      <c r="W34">
        <f>HYPERLINK("https://klasma.github.io/Logging_1438/klagomålsmail/A 60410-2024 FSC-klagomål mail.docx", "A 60410-2024")</f>
        <v/>
      </c>
      <c r="X34">
        <f>HYPERLINK("https://klasma.github.io/Logging_1438/tillsyn/A 60410-2024 tillsynsbegäran.docx", "A 60410-2024")</f>
        <v/>
      </c>
      <c r="Y34">
        <f>HYPERLINK("https://klasma.github.io/Logging_1438/tillsynsmail/A 60410-2024 tillsynsbegäran mail.docx", "A 60410-2024")</f>
        <v/>
      </c>
      <c r="Z34">
        <f>HYPERLINK("https://klasma.github.io/Logging_1438/fåglar/A 60410-2024 prioriterade fågelarter.docx", "A 60410-2024")</f>
        <v/>
      </c>
    </row>
    <row r="35" ht="15" customHeight="1">
      <c r="A35" t="inlineStr">
        <is>
          <t>A 25348-2023</t>
        </is>
      </c>
      <c r="B35" s="1" t="n">
        <v>45087</v>
      </c>
      <c r="C35" s="1" t="n">
        <v>45952</v>
      </c>
      <c r="D35" t="inlineStr">
        <is>
          <t>VÄSTRA GÖTALANDS LÄN</t>
        </is>
      </c>
      <c r="E35" t="inlineStr">
        <is>
          <t>TRANEMO</t>
        </is>
      </c>
      <c r="G35" t="n">
        <v>10.5</v>
      </c>
      <c r="H35" t="n">
        <v>0</v>
      </c>
      <c r="I35" t="n">
        <v>7</v>
      </c>
      <c r="J35" t="n">
        <v>3</v>
      </c>
      <c r="K35" t="n">
        <v>0</v>
      </c>
      <c r="L35" t="n">
        <v>0</v>
      </c>
      <c r="M35" t="n">
        <v>0</v>
      </c>
      <c r="N35" t="n">
        <v>0</v>
      </c>
      <c r="O35" t="n">
        <v>3</v>
      </c>
      <c r="P35" t="n">
        <v>0</v>
      </c>
      <c r="Q35" t="n">
        <v>10</v>
      </c>
      <c r="R35" s="2" t="inlineStr">
        <is>
          <t>Brunpudrad nållav
Kortskaftad ärgspik
Vedtrappmossa
Blåmossa
Bronshjon
Granbarkgnagare
Kattfotslav
Kornknutmossa
Stor revmossa
Vedticka</t>
        </is>
      </c>
      <c r="S35">
        <f>HYPERLINK("https://klasma.github.io/Logging_1452/artfynd/A 25348-2023 artfynd.xlsx", "A 25348-2023")</f>
        <v/>
      </c>
      <c r="T35">
        <f>HYPERLINK("https://klasma.github.io/Logging_1452/kartor/A 25348-2023 karta.png", "A 25348-2023")</f>
        <v/>
      </c>
      <c r="V35">
        <f>HYPERLINK("https://klasma.github.io/Logging_1452/klagomål/A 25348-2023 FSC-klagomål.docx", "A 25348-2023")</f>
        <v/>
      </c>
      <c r="W35">
        <f>HYPERLINK("https://klasma.github.io/Logging_1452/klagomålsmail/A 25348-2023 FSC-klagomål mail.docx", "A 25348-2023")</f>
        <v/>
      </c>
      <c r="X35">
        <f>HYPERLINK("https://klasma.github.io/Logging_1452/tillsyn/A 25348-2023 tillsynsbegäran.docx", "A 25348-2023")</f>
        <v/>
      </c>
      <c r="Y35">
        <f>HYPERLINK("https://klasma.github.io/Logging_1452/tillsynsmail/A 25348-2023 tillsynsbegäran mail.docx", "A 25348-2023")</f>
        <v/>
      </c>
    </row>
    <row r="36" ht="15" customHeight="1">
      <c r="A36" t="inlineStr">
        <is>
          <t>A 39700-2025</t>
        </is>
      </c>
      <c r="B36" s="1" t="n">
        <v>45890.7078587963</v>
      </c>
      <c r="C36" s="1" t="n">
        <v>45952</v>
      </c>
      <c r="D36" t="inlineStr">
        <is>
          <t>VÄSTRA GÖTALANDS LÄN</t>
        </is>
      </c>
      <c r="E36" t="inlineStr">
        <is>
          <t>BENGTSFORS</t>
        </is>
      </c>
      <c r="G36" t="n">
        <v>15.1</v>
      </c>
      <c r="H36" t="n">
        <v>3</v>
      </c>
      <c r="I36" t="n">
        <v>6</v>
      </c>
      <c r="J36" t="n">
        <v>2</v>
      </c>
      <c r="K36" t="n">
        <v>0</v>
      </c>
      <c r="L36" t="n">
        <v>0</v>
      </c>
      <c r="M36" t="n">
        <v>0</v>
      </c>
      <c r="N36" t="n">
        <v>0</v>
      </c>
      <c r="O36" t="n">
        <v>2</v>
      </c>
      <c r="P36" t="n">
        <v>0</v>
      </c>
      <c r="Q36" t="n">
        <v>10</v>
      </c>
      <c r="R36" s="2" t="inlineStr">
        <is>
          <t>Dofttaggsvamp
Talltita
Fjällig taggsvamp s.str.
Rödgul trumpetsvamp
Skarp dropptaggsvamp
Svavelriska
Sårläka
Ögonpyrola
Kungsfågel
Blåsippa</t>
        </is>
      </c>
      <c r="S36">
        <f>HYPERLINK("https://klasma.github.io/Logging_1460/artfynd/A 39700-2025 artfynd.xlsx", "A 39700-2025")</f>
        <v/>
      </c>
      <c r="T36">
        <f>HYPERLINK("https://klasma.github.io/Logging_1460/kartor/A 39700-2025 karta.png", "A 39700-2025")</f>
        <v/>
      </c>
      <c r="V36">
        <f>HYPERLINK("https://klasma.github.io/Logging_1460/klagomål/A 39700-2025 FSC-klagomål.docx", "A 39700-2025")</f>
        <v/>
      </c>
      <c r="W36">
        <f>HYPERLINK("https://klasma.github.io/Logging_1460/klagomålsmail/A 39700-2025 FSC-klagomål mail.docx", "A 39700-2025")</f>
        <v/>
      </c>
      <c r="X36">
        <f>HYPERLINK("https://klasma.github.io/Logging_1460/tillsyn/A 39700-2025 tillsynsbegäran.docx", "A 39700-2025")</f>
        <v/>
      </c>
      <c r="Y36">
        <f>HYPERLINK("https://klasma.github.io/Logging_1460/tillsynsmail/A 39700-2025 tillsynsbegäran mail.docx", "A 39700-2025")</f>
        <v/>
      </c>
      <c r="Z36">
        <f>HYPERLINK("https://klasma.github.io/Logging_1460/fåglar/A 39700-2025 prioriterade fågelarter.docx", "A 39700-2025")</f>
        <v/>
      </c>
    </row>
    <row r="37" ht="15" customHeight="1">
      <c r="A37" t="inlineStr">
        <is>
          <t>A 41294-2024</t>
        </is>
      </c>
      <c r="B37" s="1" t="n">
        <v>45559</v>
      </c>
      <c r="C37" s="1" t="n">
        <v>45952</v>
      </c>
      <c r="D37" t="inlineStr">
        <is>
          <t>VÄSTRA GÖTALANDS LÄN</t>
        </is>
      </c>
      <c r="E37" t="inlineStr">
        <is>
          <t>ALE</t>
        </is>
      </c>
      <c r="G37" t="n">
        <v>3</v>
      </c>
      <c r="H37" t="n">
        <v>6</v>
      </c>
      <c r="I37" t="n">
        <v>4</v>
      </c>
      <c r="J37" t="n">
        <v>2</v>
      </c>
      <c r="K37" t="n">
        <v>0</v>
      </c>
      <c r="L37" t="n">
        <v>0</v>
      </c>
      <c r="M37" t="n">
        <v>0</v>
      </c>
      <c r="N37" t="n">
        <v>0</v>
      </c>
      <c r="O37" t="n">
        <v>2</v>
      </c>
      <c r="P37" t="n">
        <v>0</v>
      </c>
      <c r="Q37" t="n">
        <v>10</v>
      </c>
      <c r="R37" s="2" t="inlineStr">
        <is>
          <t>Spillkråka
Talltita
Grönpyrola
Kornknutmossa
Smal svampklubba
Stor revmossa
Grönsiska
Kungsfågel
Tjäder
Revlummer</t>
        </is>
      </c>
      <c r="S37">
        <f>HYPERLINK("https://klasma.github.io/Logging_1440/artfynd/A 41294-2024 artfynd.xlsx", "A 41294-2024")</f>
        <v/>
      </c>
      <c r="T37">
        <f>HYPERLINK("https://klasma.github.io/Logging_1440/kartor/A 41294-2024 karta.png", "A 41294-2024")</f>
        <v/>
      </c>
      <c r="V37">
        <f>HYPERLINK("https://klasma.github.io/Logging_1440/klagomål/A 41294-2024 FSC-klagomål.docx", "A 41294-2024")</f>
        <v/>
      </c>
      <c r="W37">
        <f>HYPERLINK("https://klasma.github.io/Logging_1440/klagomålsmail/A 41294-2024 FSC-klagomål mail.docx", "A 41294-2024")</f>
        <v/>
      </c>
      <c r="X37">
        <f>HYPERLINK("https://klasma.github.io/Logging_1440/tillsyn/A 41294-2024 tillsynsbegäran.docx", "A 41294-2024")</f>
        <v/>
      </c>
      <c r="Y37">
        <f>HYPERLINK("https://klasma.github.io/Logging_1440/tillsynsmail/A 41294-2024 tillsynsbegäran mail.docx", "A 41294-2024")</f>
        <v/>
      </c>
      <c r="Z37">
        <f>HYPERLINK("https://klasma.github.io/Logging_1440/fåglar/A 41294-2024 prioriterade fågelarter.docx", "A 41294-2024")</f>
        <v/>
      </c>
    </row>
    <row r="38" ht="15" customHeight="1">
      <c r="A38" t="inlineStr">
        <is>
          <t>A 52265-2023</t>
        </is>
      </c>
      <c r="B38" s="1" t="n">
        <v>45217</v>
      </c>
      <c r="C38" s="1" t="n">
        <v>45952</v>
      </c>
      <c r="D38" t="inlineStr">
        <is>
          <t>VÄSTRA GÖTALANDS LÄN</t>
        </is>
      </c>
      <c r="E38" t="inlineStr">
        <is>
          <t>TANUM</t>
        </is>
      </c>
      <c r="G38" t="n">
        <v>29.1</v>
      </c>
      <c r="H38" t="n">
        <v>3</v>
      </c>
      <c r="I38" t="n">
        <v>6</v>
      </c>
      <c r="J38" t="n">
        <v>3</v>
      </c>
      <c r="K38" t="n">
        <v>0</v>
      </c>
      <c r="L38" t="n">
        <v>0</v>
      </c>
      <c r="M38" t="n">
        <v>0</v>
      </c>
      <c r="N38" t="n">
        <v>0</v>
      </c>
      <c r="O38" t="n">
        <v>3</v>
      </c>
      <c r="P38" t="n">
        <v>0</v>
      </c>
      <c r="Q38" t="n">
        <v>10</v>
      </c>
      <c r="R38" s="2" t="inlineStr">
        <is>
          <t>Motaggsvamp
Spillkråka
Tretåig hackspett
Blåmossa
Grovticka
Klippfrullania
Stor aspticka
Stor revmossa
Västlig hakmossa
Blåsippa</t>
        </is>
      </c>
      <c r="S38">
        <f>HYPERLINK("https://klasma.github.io/Logging_1435/artfynd/A 52265-2023 artfynd.xlsx", "A 52265-2023")</f>
        <v/>
      </c>
      <c r="T38">
        <f>HYPERLINK("https://klasma.github.io/Logging_1435/kartor/A 52265-2023 karta.png", "A 52265-2023")</f>
        <v/>
      </c>
      <c r="V38">
        <f>HYPERLINK("https://klasma.github.io/Logging_1435/klagomål/A 52265-2023 FSC-klagomål.docx", "A 52265-2023")</f>
        <v/>
      </c>
      <c r="W38">
        <f>HYPERLINK("https://klasma.github.io/Logging_1435/klagomålsmail/A 52265-2023 FSC-klagomål mail.docx", "A 52265-2023")</f>
        <v/>
      </c>
      <c r="X38">
        <f>HYPERLINK("https://klasma.github.io/Logging_1435/tillsyn/A 52265-2023 tillsynsbegäran.docx", "A 52265-2023")</f>
        <v/>
      </c>
      <c r="Y38">
        <f>HYPERLINK("https://klasma.github.io/Logging_1435/tillsynsmail/A 52265-2023 tillsynsbegäran mail.docx", "A 52265-2023")</f>
        <v/>
      </c>
      <c r="Z38">
        <f>HYPERLINK("https://klasma.github.io/Logging_1435/fåglar/A 52265-2023 prioriterade fågelarter.docx", "A 52265-2023")</f>
        <v/>
      </c>
    </row>
    <row r="39" ht="15" customHeight="1">
      <c r="A39" t="inlineStr">
        <is>
          <t>A 1293-2021</t>
        </is>
      </c>
      <c r="B39" s="1" t="n">
        <v>44208</v>
      </c>
      <c r="C39" s="1" t="n">
        <v>45952</v>
      </c>
      <c r="D39" t="inlineStr">
        <is>
          <t>VÄSTRA GÖTALANDS LÄN</t>
        </is>
      </c>
      <c r="E39" t="inlineStr">
        <is>
          <t>TANUM</t>
        </is>
      </c>
      <c r="G39" t="n">
        <v>2.5</v>
      </c>
      <c r="H39" t="n">
        <v>5</v>
      </c>
      <c r="I39" t="n">
        <v>3</v>
      </c>
      <c r="J39" t="n">
        <v>4</v>
      </c>
      <c r="K39" t="n">
        <v>1</v>
      </c>
      <c r="L39" t="n">
        <v>0</v>
      </c>
      <c r="M39" t="n">
        <v>0</v>
      </c>
      <c r="N39" t="n">
        <v>0</v>
      </c>
      <c r="O39" t="n">
        <v>5</v>
      </c>
      <c r="P39" t="n">
        <v>1</v>
      </c>
      <c r="Q39" t="n">
        <v>9</v>
      </c>
      <c r="R39" s="2" t="inlineStr">
        <is>
          <t>Knärot
Spillkråka
Talltita
Tretåig hackspett
Vedskivlav
Klippfrullania
Platt fjädermossa
Sotlav
Tjäder</t>
        </is>
      </c>
      <c r="S39">
        <f>HYPERLINK("https://klasma.github.io/Logging_1435/artfynd/A 1293-2021 artfynd.xlsx", "A 1293-2021")</f>
        <v/>
      </c>
      <c r="T39">
        <f>HYPERLINK("https://klasma.github.io/Logging_1435/kartor/A 1293-2021 karta.png", "A 1293-2021")</f>
        <v/>
      </c>
      <c r="U39">
        <f>HYPERLINK("https://klasma.github.io/Logging_1435/knärot/A 1293-2021 karta knärot.png", "A 1293-2021")</f>
        <v/>
      </c>
      <c r="V39">
        <f>HYPERLINK("https://klasma.github.io/Logging_1435/klagomål/A 1293-2021 FSC-klagomål.docx", "A 1293-2021")</f>
        <v/>
      </c>
      <c r="W39">
        <f>HYPERLINK("https://klasma.github.io/Logging_1435/klagomålsmail/A 1293-2021 FSC-klagomål mail.docx", "A 1293-2021")</f>
        <v/>
      </c>
      <c r="X39">
        <f>HYPERLINK("https://klasma.github.io/Logging_1435/tillsyn/A 1293-2021 tillsynsbegäran.docx", "A 1293-2021")</f>
        <v/>
      </c>
      <c r="Y39">
        <f>HYPERLINK("https://klasma.github.io/Logging_1435/tillsynsmail/A 1293-2021 tillsynsbegäran mail.docx", "A 1293-2021")</f>
        <v/>
      </c>
      <c r="Z39">
        <f>HYPERLINK("https://klasma.github.io/Logging_1435/fåglar/A 1293-2021 prioriterade fågelarter.docx", "A 1293-2021")</f>
        <v/>
      </c>
    </row>
    <row r="40" ht="15" customHeight="1">
      <c r="A40" t="inlineStr">
        <is>
          <t>A 31268-2025</t>
        </is>
      </c>
      <c r="B40" s="1" t="n">
        <v>45833.33390046296</v>
      </c>
      <c r="C40" s="1" t="n">
        <v>45952</v>
      </c>
      <c r="D40" t="inlineStr">
        <is>
          <t>VÄSTRA GÖTALANDS LÄN</t>
        </is>
      </c>
      <c r="E40" t="inlineStr">
        <is>
          <t>DALS-ED</t>
        </is>
      </c>
      <c r="G40" t="n">
        <v>11.8</v>
      </c>
      <c r="H40" t="n">
        <v>1</v>
      </c>
      <c r="I40" t="n">
        <v>4</v>
      </c>
      <c r="J40" t="n">
        <v>3</v>
      </c>
      <c r="K40" t="n">
        <v>1</v>
      </c>
      <c r="L40" t="n">
        <v>0</v>
      </c>
      <c r="M40" t="n">
        <v>0</v>
      </c>
      <c r="N40" t="n">
        <v>0</v>
      </c>
      <c r="O40" t="n">
        <v>4</v>
      </c>
      <c r="P40" t="n">
        <v>1</v>
      </c>
      <c r="Q40" t="n">
        <v>9</v>
      </c>
      <c r="R40" s="2" t="inlineStr">
        <is>
          <t>Spricktaggsvamp
Dofttaggsvamp
Gul taggsvamp
Orange taggsvamp
Barkticka
Fjällig taggsvamp s.str.
Huvudlik svampklubba
Zontaggsvamp
Blåsippa</t>
        </is>
      </c>
      <c r="S40">
        <f>HYPERLINK("https://klasma.github.io/Logging_1438/artfynd/A 31268-2025 artfynd.xlsx", "A 31268-2025")</f>
        <v/>
      </c>
      <c r="T40">
        <f>HYPERLINK("https://klasma.github.io/Logging_1438/kartor/A 31268-2025 karta.png", "A 31268-2025")</f>
        <v/>
      </c>
      <c r="V40">
        <f>HYPERLINK("https://klasma.github.io/Logging_1438/klagomål/A 31268-2025 FSC-klagomål.docx", "A 31268-2025")</f>
        <v/>
      </c>
      <c r="W40">
        <f>HYPERLINK("https://klasma.github.io/Logging_1438/klagomålsmail/A 31268-2025 FSC-klagomål mail.docx", "A 31268-2025")</f>
        <v/>
      </c>
      <c r="X40">
        <f>HYPERLINK("https://klasma.github.io/Logging_1438/tillsyn/A 31268-2025 tillsynsbegäran.docx", "A 31268-2025")</f>
        <v/>
      </c>
      <c r="Y40">
        <f>HYPERLINK("https://klasma.github.io/Logging_1438/tillsynsmail/A 31268-2025 tillsynsbegäran mail.docx", "A 31268-2025")</f>
        <v/>
      </c>
    </row>
    <row r="41" ht="15" customHeight="1">
      <c r="A41" t="inlineStr">
        <is>
          <t>A 315-2024</t>
        </is>
      </c>
      <c r="B41" s="1" t="n">
        <v>45295</v>
      </c>
      <c r="C41" s="1" t="n">
        <v>45952</v>
      </c>
      <c r="D41" t="inlineStr">
        <is>
          <t>VÄSTRA GÖTALANDS LÄN</t>
        </is>
      </c>
      <c r="E41" t="inlineStr">
        <is>
          <t>LILLA EDET</t>
        </is>
      </c>
      <c r="F41" t="inlineStr">
        <is>
          <t>Kyrkan</t>
        </is>
      </c>
      <c r="G41" t="n">
        <v>16</v>
      </c>
      <c r="H41" t="n">
        <v>3</v>
      </c>
      <c r="I41" t="n">
        <v>6</v>
      </c>
      <c r="J41" t="n">
        <v>1</v>
      </c>
      <c r="K41" t="n">
        <v>0</v>
      </c>
      <c r="L41" t="n">
        <v>0</v>
      </c>
      <c r="M41" t="n">
        <v>0</v>
      </c>
      <c r="N41" t="n">
        <v>0</v>
      </c>
      <c r="O41" t="n">
        <v>1</v>
      </c>
      <c r="P41" t="n">
        <v>0</v>
      </c>
      <c r="Q41" t="n">
        <v>9</v>
      </c>
      <c r="R41" s="2" t="inlineStr">
        <is>
          <t>Spillkråka
Fällmossa
Havstulpanlav
Kambräken
Klippfrullania
Stor revmossa
Västlig hakmossa
Tjäder
Revlummer</t>
        </is>
      </c>
      <c r="S41">
        <f>HYPERLINK("https://klasma.github.io/Logging_1462/artfynd/A 315-2024 artfynd.xlsx", "A 315-2024")</f>
        <v/>
      </c>
      <c r="T41">
        <f>HYPERLINK("https://klasma.github.io/Logging_1462/kartor/A 315-2024 karta.png", "A 315-2024")</f>
        <v/>
      </c>
      <c r="V41">
        <f>HYPERLINK("https://klasma.github.io/Logging_1462/klagomål/A 315-2024 FSC-klagomål.docx", "A 315-2024")</f>
        <v/>
      </c>
      <c r="W41">
        <f>HYPERLINK("https://klasma.github.io/Logging_1462/klagomålsmail/A 315-2024 FSC-klagomål mail.docx", "A 315-2024")</f>
        <v/>
      </c>
      <c r="X41">
        <f>HYPERLINK("https://klasma.github.io/Logging_1462/tillsyn/A 315-2024 tillsynsbegäran.docx", "A 315-2024")</f>
        <v/>
      </c>
      <c r="Y41">
        <f>HYPERLINK("https://klasma.github.io/Logging_1462/tillsynsmail/A 315-2024 tillsynsbegäran mail.docx", "A 315-2024")</f>
        <v/>
      </c>
      <c r="Z41">
        <f>HYPERLINK("https://klasma.github.io/Logging_1462/fåglar/A 315-2024 prioriterade fågelarter.docx", "A 315-2024")</f>
        <v/>
      </c>
    </row>
    <row r="42" ht="15" customHeight="1">
      <c r="A42" t="inlineStr">
        <is>
          <t>A 35905-2025</t>
        </is>
      </c>
      <c r="B42" s="1" t="n">
        <v>45862</v>
      </c>
      <c r="C42" s="1" t="n">
        <v>45952</v>
      </c>
      <c r="D42" t="inlineStr">
        <is>
          <t>VÄSTRA GÖTALANDS LÄN</t>
        </is>
      </c>
      <c r="E42" t="inlineStr">
        <is>
          <t>ALE</t>
        </is>
      </c>
      <c r="G42" t="n">
        <v>4.2</v>
      </c>
      <c r="H42" t="n">
        <v>5</v>
      </c>
      <c r="I42" t="n">
        <v>3</v>
      </c>
      <c r="J42" t="n">
        <v>2</v>
      </c>
      <c r="K42" t="n">
        <v>0</v>
      </c>
      <c r="L42" t="n">
        <v>0</v>
      </c>
      <c r="M42" t="n">
        <v>0</v>
      </c>
      <c r="N42" t="n">
        <v>0</v>
      </c>
      <c r="O42" t="n">
        <v>2</v>
      </c>
      <c r="P42" t="n">
        <v>0</v>
      </c>
      <c r="Q42" t="n">
        <v>9</v>
      </c>
      <c r="R42" s="2" t="inlineStr">
        <is>
          <t>Skogshare
Spillkråka
Blåmossa
Stor revmossa
Västlig hakmossa
Grönsiska
Kungsfågel
Revlummer
Äkta lopplummer</t>
        </is>
      </c>
      <c r="S42">
        <f>HYPERLINK("https://klasma.github.io/Logging_1440/artfynd/A 35905-2025 artfynd.xlsx", "A 35905-2025")</f>
        <v/>
      </c>
      <c r="T42">
        <f>HYPERLINK("https://klasma.github.io/Logging_1440/kartor/A 35905-2025 karta.png", "A 35905-2025")</f>
        <v/>
      </c>
      <c r="V42">
        <f>HYPERLINK("https://klasma.github.io/Logging_1440/klagomål/A 35905-2025 FSC-klagomål.docx", "A 35905-2025")</f>
        <v/>
      </c>
      <c r="W42">
        <f>HYPERLINK("https://klasma.github.io/Logging_1440/klagomålsmail/A 35905-2025 FSC-klagomål mail.docx", "A 35905-2025")</f>
        <v/>
      </c>
      <c r="X42">
        <f>HYPERLINK("https://klasma.github.io/Logging_1440/tillsyn/A 35905-2025 tillsynsbegäran.docx", "A 35905-2025")</f>
        <v/>
      </c>
      <c r="Y42">
        <f>HYPERLINK("https://klasma.github.io/Logging_1440/tillsynsmail/A 35905-2025 tillsynsbegäran mail.docx", "A 35905-2025")</f>
        <v/>
      </c>
      <c r="Z42">
        <f>HYPERLINK("https://klasma.github.io/Logging_1440/fåglar/A 35905-2025 prioriterade fågelarter.docx", "A 35905-2025")</f>
        <v/>
      </c>
    </row>
    <row r="43" ht="15" customHeight="1">
      <c r="A43" t="inlineStr">
        <is>
          <t>A 45603-2025</t>
        </is>
      </c>
      <c r="B43" s="1" t="n">
        <v>45922.69111111111</v>
      </c>
      <c r="C43" s="1" t="n">
        <v>45952</v>
      </c>
      <c r="D43" t="inlineStr">
        <is>
          <t>VÄSTRA GÖTALANDS LÄN</t>
        </is>
      </c>
      <c r="E43" t="inlineStr">
        <is>
          <t>UDDEVALLA</t>
        </is>
      </c>
      <c r="G43" t="n">
        <v>1.6</v>
      </c>
      <c r="H43" t="n">
        <v>0</v>
      </c>
      <c r="I43" t="n">
        <v>7</v>
      </c>
      <c r="J43" t="n">
        <v>2</v>
      </c>
      <c r="K43" t="n">
        <v>0</v>
      </c>
      <c r="L43" t="n">
        <v>0</v>
      </c>
      <c r="M43" t="n">
        <v>0</v>
      </c>
      <c r="N43" t="n">
        <v>0</v>
      </c>
      <c r="O43" t="n">
        <v>2</v>
      </c>
      <c r="P43" t="n">
        <v>0</v>
      </c>
      <c r="Q43" t="n">
        <v>9</v>
      </c>
      <c r="R43" s="2" t="inlineStr">
        <is>
          <t>Orange taggsvamp
Svart taggsvamp
Blåmossa
Dropptaggsvamp
Kamjordstjärna
Platt fjädermossa
Stor revmossa
Västlig hakmossa
Zontaggsvamp</t>
        </is>
      </c>
      <c r="S43">
        <f>HYPERLINK("https://klasma.github.io/Logging_1485/artfynd/A 45603-2025 artfynd.xlsx", "A 45603-2025")</f>
        <v/>
      </c>
      <c r="T43">
        <f>HYPERLINK("https://klasma.github.io/Logging_1485/kartor/A 45603-2025 karta.png", "A 45603-2025")</f>
        <v/>
      </c>
      <c r="V43">
        <f>HYPERLINK("https://klasma.github.io/Logging_1485/klagomål/A 45603-2025 FSC-klagomål.docx", "A 45603-2025")</f>
        <v/>
      </c>
      <c r="W43">
        <f>HYPERLINK("https://klasma.github.io/Logging_1485/klagomålsmail/A 45603-2025 FSC-klagomål mail.docx", "A 45603-2025")</f>
        <v/>
      </c>
      <c r="X43">
        <f>HYPERLINK("https://klasma.github.io/Logging_1485/tillsyn/A 45603-2025 tillsynsbegäran.docx", "A 45603-2025")</f>
        <v/>
      </c>
      <c r="Y43">
        <f>HYPERLINK("https://klasma.github.io/Logging_1485/tillsynsmail/A 45603-2025 tillsynsbegäran mail.docx", "A 45603-2025")</f>
        <v/>
      </c>
    </row>
    <row r="44" ht="15" customHeight="1">
      <c r="A44" t="inlineStr">
        <is>
          <t>A 44809-2021</t>
        </is>
      </c>
      <c r="B44" s="1" t="n">
        <v>44438</v>
      </c>
      <c r="C44" s="1" t="n">
        <v>45952</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45952</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32849-2023</t>
        </is>
      </c>
      <c r="B46" s="1" t="n">
        <v>45124</v>
      </c>
      <c r="C46" s="1" t="n">
        <v>45952</v>
      </c>
      <c r="D46" t="inlineStr">
        <is>
          <t>VÄSTRA GÖTALANDS LÄN</t>
        </is>
      </c>
      <c r="E46" t="inlineStr">
        <is>
          <t>ALE</t>
        </is>
      </c>
      <c r="G46" t="n">
        <v>5.6</v>
      </c>
      <c r="H46" t="n">
        <v>2</v>
      </c>
      <c r="I46" t="n">
        <v>6</v>
      </c>
      <c r="J46" t="n">
        <v>1</v>
      </c>
      <c r="K46" t="n">
        <v>0</v>
      </c>
      <c r="L46" t="n">
        <v>0</v>
      </c>
      <c r="M46" t="n">
        <v>0</v>
      </c>
      <c r="N46" t="n">
        <v>0</v>
      </c>
      <c r="O46" t="n">
        <v>1</v>
      </c>
      <c r="P46" t="n">
        <v>0</v>
      </c>
      <c r="Q46" t="n">
        <v>8</v>
      </c>
      <c r="R46" s="2" t="inlineStr">
        <is>
          <t>Spillkråka
Blåmossa
Kornknutmossa
Sotriska
Stor revmossa
Stubbspretmossa
Västlig hakmossa
Vanlig groda</t>
        </is>
      </c>
      <c r="S46">
        <f>HYPERLINK("https://klasma.github.io/Logging_1440/artfynd/A 32849-2023 artfynd.xlsx", "A 32849-2023")</f>
        <v/>
      </c>
      <c r="T46">
        <f>HYPERLINK("https://klasma.github.io/Logging_1440/kartor/A 32849-2023 karta.png", "A 32849-2023")</f>
        <v/>
      </c>
      <c r="V46">
        <f>HYPERLINK("https://klasma.github.io/Logging_1440/klagomål/A 32849-2023 FSC-klagomål.docx", "A 32849-2023")</f>
        <v/>
      </c>
      <c r="W46">
        <f>HYPERLINK("https://klasma.github.io/Logging_1440/klagomålsmail/A 32849-2023 FSC-klagomål mail.docx", "A 32849-2023")</f>
        <v/>
      </c>
      <c r="X46">
        <f>HYPERLINK("https://klasma.github.io/Logging_1440/tillsyn/A 32849-2023 tillsynsbegäran.docx", "A 32849-2023")</f>
        <v/>
      </c>
      <c r="Y46">
        <f>HYPERLINK("https://klasma.github.io/Logging_1440/tillsynsmail/A 32849-2023 tillsynsbegäran mail.docx", "A 32849-2023")</f>
        <v/>
      </c>
      <c r="Z46">
        <f>HYPERLINK("https://klasma.github.io/Logging_1440/fåglar/A 32849-2023 prioriterade fågelarter.docx", "A 32849-2023")</f>
        <v/>
      </c>
    </row>
    <row r="47" ht="15" customHeight="1">
      <c r="A47" t="inlineStr">
        <is>
          <t>A 42944-2022</t>
        </is>
      </c>
      <c r="B47" s="1" t="n">
        <v>44833.38484953704</v>
      </c>
      <c r="C47" s="1" t="n">
        <v>45952</v>
      </c>
      <c r="D47" t="inlineStr">
        <is>
          <t>VÄSTRA GÖTALANDS LÄN</t>
        </is>
      </c>
      <c r="E47" t="inlineStr">
        <is>
          <t>DALS-ED</t>
        </is>
      </c>
      <c r="G47" t="n">
        <v>10.6</v>
      </c>
      <c r="H47" t="n">
        <v>2</v>
      </c>
      <c r="I47" t="n">
        <v>3</v>
      </c>
      <c r="J47" t="n">
        <v>4</v>
      </c>
      <c r="K47" t="n">
        <v>0</v>
      </c>
      <c r="L47" t="n">
        <v>0</v>
      </c>
      <c r="M47" t="n">
        <v>0</v>
      </c>
      <c r="N47" t="n">
        <v>0</v>
      </c>
      <c r="O47" t="n">
        <v>4</v>
      </c>
      <c r="P47" t="n">
        <v>0</v>
      </c>
      <c r="Q47" t="n">
        <v>8</v>
      </c>
      <c r="R47" s="2" t="inlineStr">
        <is>
          <t>Garnlav
Kandelabersvamp
Spillkråka
Vedtrappmossa
Bronshjon
Rödgul trumpetsvamp
Stor revmossa
Revlummer</t>
        </is>
      </c>
      <c r="S47">
        <f>HYPERLINK("https://klasma.github.io/Logging_1438/artfynd/A 42944-2022 artfynd.xlsx", "A 42944-2022")</f>
        <v/>
      </c>
      <c r="T47">
        <f>HYPERLINK("https://klasma.github.io/Logging_1438/kartor/A 42944-2022 karta.png", "A 42944-2022")</f>
        <v/>
      </c>
      <c r="V47">
        <f>HYPERLINK("https://klasma.github.io/Logging_1438/klagomål/A 42944-2022 FSC-klagomål.docx", "A 42944-2022")</f>
        <v/>
      </c>
      <c r="W47">
        <f>HYPERLINK("https://klasma.github.io/Logging_1438/klagomålsmail/A 42944-2022 FSC-klagomål mail.docx", "A 42944-2022")</f>
        <v/>
      </c>
      <c r="X47">
        <f>HYPERLINK("https://klasma.github.io/Logging_1438/tillsyn/A 42944-2022 tillsynsbegäran.docx", "A 42944-2022")</f>
        <v/>
      </c>
      <c r="Y47">
        <f>HYPERLINK("https://klasma.github.io/Logging_1438/tillsynsmail/A 42944-2022 tillsynsbegäran mail.docx", "A 42944-2022")</f>
        <v/>
      </c>
      <c r="Z47">
        <f>HYPERLINK("https://klasma.github.io/Logging_1438/fåglar/A 42944-2022 prioriterade fågelarter.docx", "A 42944-2022")</f>
        <v/>
      </c>
    </row>
    <row r="48" ht="15" customHeight="1">
      <c r="A48" t="inlineStr">
        <is>
          <t>A 7086-2025</t>
        </is>
      </c>
      <c r="B48" s="1" t="n">
        <v>45701.71184027778</v>
      </c>
      <c r="C48" s="1" t="n">
        <v>45952</v>
      </c>
      <c r="D48" t="inlineStr">
        <is>
          <t>VÄSTRA GÖTALANDS LÄN</t>
        </is>
      </c>
      <c r="E48" t="inlineStr">
        <is>
          <t>BENGTSFORS</t>
        </is>
      </c>
      <c r="G48" t="n">
        <v>3.6</v>
      </c>
      <c r="H48" t="n">
        <v>2</v>
      </c>
      <c r="I48" t="n">
        <v>6</v>
      </c>
      <c r="J48" t="n">
        <v>1</v>
      </c>
      <c r="K48" t="n">
        <v>0</v>
      </c>
      <c r="L48" t="n">
        <v>0</v>
      </c>
      <c r="M48" t="n">
        <v>0</v>
      </c>
      <c r="N48" t="n">
        <v>0</v>
      </c>
      <c r="O48" t="n">
        <v>1</v>
      </c>
      <c r="P48" t="n">
        <v>0</v>
      </c>
      <c r="Q48" t="n">
        <v>8</v>
      </c>
      <c r="R48" s="2" t="inlineStr">
        <is>
          <t>Svart askbastborre
Grön sköldmossa
Grönpyrola
Guldkremla
Platt fjädermossa
Skarp dropptaggsvamp
Stubbspretmossa
Blåsippa</t>
        </is>
      </c>
      <c r="S48">
        <f>HYPERLINK("https://klasma.github.io/Logging_1460/artfynd/A 7086-2025 artfynd.xlsx", "A 7086-2025")</f>
        <v/>
      </c>
      <c r="T48">
        <f>HYPERLINK("https://klasma.github.io/Logging_1460/kartor/A 7086-2025 karta.png", "A 7086-2025")</f>
        <v/>
      </c>
      <c r="V48">
        <f>HYPERLINK("https://klasma.github.io/Logging_1460/klagomål/A 7086-2025 FSC-klagomål.docx", "A 7086-2025")</f>
        <v/>
      </c>
      <c r="W48">
        <f>HYPERLINK("https://klasma.github.io/Logging_1460/klagomålsmail/A 7086-2025 FSC-klagomål mail.docx", "A 7086-2025")</f>
        <v/>
      </c>
      <c r="X48">
        <f>HYPERLINK("https://klasma.github.io/Logging_1460/tillsyn/A 7086-2025 tillsynsbegäran.docx", "A 7086-2025")</f>
        <v/>
      </c>
      <c r="Y48">
        <f>HYPERLINK("https://klasma.github.io/Logging_1460/tillsynsmail/A 7086-2025 tillsynsbegäran mail.docx", "A 7086-2025")</f>
        <v/>
      </c>
    </row>
    <row r="49" ht="15" customHeight="1">
      <c r="A49" t="inlineStr">
        <is>
          <t>A 318-2024</t>
        </is>
      </c>
      <c r="B49" s="1" t="n">
        <v>45295</v>
      </c>
      <c r="C49" s="1" t="n">
        <v>45952</v>
      </c>
      <c r="D49" t="inlineStr">
        <is>
          <t>VÄSTRA GÖTALANDS LÄN</t>
        </is>
      </c>
      <c r="E49" t="inlineStr">
        <is>
          <t>LILLA EDET</t>
        </is>
      </c>
      <c r="F49" t="inlineStr">
        <is>
          <t>Kyrkan</t>
        </is>
      </c>
      <c r="G49" t="n">
        <v>8.1</v>
      </c>
      <c r="H49" t="n">
        <v>2</v>
      </c>
      <c r="I49" t="n">
        <v>6</v>
      </c>
      <c r="J49" t="n">
        <v>1</v>
      </c>
      <c r="K49" t="n">
        <v>0</v>
      </c>
      <c r="L49" t="n">
        <v>0</v>
      </c>
      <c r="M49" t="n">
        <v>0</v>
      </c>
      <c r="N49" t="n">
        <v>0</v>
      </c>
      <c r="O49" t="n">
        <v>1</v>
      </c>
      <c r="P49" t="n">
        <v>0</v>
      </c>
      <c r="Q49" t="n">
        <v>8</v>
      </c>
      <c r="R49" s="2" t="inlineStr">
        <is>
          <t>Spillkråka
Blåmossa
Fällmossa
Kattfotslav
Klippfrullania
Stor revmossa
Västlig hakmossa
Revlummer</t>
        </is>
      </c>
      <c r="S49">
        <f>HYPERLINK("https://klasma.github.io/Logging_1462/artfynd/A 318-2024 artfynd.xlsx", "A 318-2024")</f>
        <v/>
      </c>
      <c r="T49">
        <f>HYPERLINK("https://klasma.github.io/Logging_1462/kartor/A 318-2024 karta.png", "A 318-2024")</f>
        <v/>
      </c>
      <c r="V49">
        <f>HYPERLINK("https://klasma.github.io/Logging_1462/klagomål/A 318-2024 FSC-klagomål.docx", "A 318-2024")</f>
        <v/>
      </c>
      <c r="W49">
        <f>HYPERLINK("https://klasma.github.io/Logging_1462/klagomålsmail/A 318-2024 FSC-klagomål mail.docx", "A 318-2024")</f>
        <v/>
      </c>
      <c r="X49">
        <f>HYPERLINK("https://klasma.github.io/Logging_1462/tillsyn/A 318-2024 tillsynsbegäran.docx", "A 318-2024")</f>
        <v/>
      </c>
      <c r="Y49">
        <f>HYPERLINK("https://klasma.github.io/Logging_1462/tillsynsmail/A 318-2024 tillsynsbegäran mail.docx", "A 318-2024")</f>
        <v/>
      </c>
      <c r="Z49">
        <f>HYPERLINK("https://klasma.github.io/Logging_1462/fåglar/A 318-2024 prioriterade fågelarter.docx", "A 318-2024")</f>
        <v/>
      </c>
    </row>
    <row r="50" ht="15" customHeight="1">
      <c r="A50" t="inlineStr">
        <is>
          <t>A 22584-2021</t>
        </is>
      </c>
      <c r="B50" s="1" t="n">
        <v>44327</v>
      </c>
      <c r="C50" s="1" t="n">
        <v>45952</v>
      </c>
      <c r="D50" t="inlineStr">
        <is>
          <t>VÄSTRA GÖTALANDS LÄN</t>
        </is>
      </c>
      <c r="E50" t="inlineStr">
        <is>
          <t>STRÖMSTAD</t>
        </is>
      </c>
      <c r="G50" t="n">
        <v>4.9</v>
      </c>
      <c r="H50" t="n">
        <v>2</v>
      </c>
      <c r="I50" t="n">
        <v>5</v>
      </c>
      <c r="J50" t="n">
        <v>1</v>
      </c>
      <c r="K50" t="n">
        <v>0</v>
      </c>
      <c r="L50" t="n">
        <v>0</v>
      </c>
      <c r="M50" t="n">
        <v>0</v>
      </c>
      <c r="N50" t="n">
        <v>0</v>
      </c>
      <c r="O50" t="n">
        <v>1</v>
      </c>
      <c r="P50" t="n">
        <v>0</v>
      </c>
      <c r="Q50" t="n">
        <v>8</v>
      </c>
      <c r="R50" s="2" t="inlineStr">
        <is>
          <t>Veckticka
Granbarkgnagare
Korallblylav
Stor revmossa
Svart trolldruva
Vätteros
Blåsippa
Revlummer</t>
        </is>
      </c>
      <c r="S50">
        <f>HYPERLINK("https://klasma.github.io/Logging_1486/artfynd/A 22584-2021 artfynd.xlsx", "A 22584-2021")</f>
        <v/>
      </c>
      <c r="T50">
        <f>HYPERLINK("https://klasma.github.io/Logging_1486/kartor/A 22584-2021 karta.png", "A 22584-2021")</f>
        <v/>
      </c>
      <c r="V50">
        <f>HYPERLINK("https://klasma.github.io/Logging_1486/klagomål/A 22584-2021 FSC-klagomål.docx", "A 22584-2021")</f>
        <v/>
      </c>
      <c r="W50">
        <f>HYPERLINK("https://klasma.github.io/Logging_1486/klagomålsmail/A 22584-2021 FSC-klagomål mail.docx", "A 22584-2021")</f>
        <v/>
      </c>
      <c r="X50">
        <f>HYPERLINK("https://klasma.github.io/Logging_1486/tillsyn/A 22584-2021 tillsynsbegäran.docx", "A 22584-2021")</f>
        <v/>
      </c>
      <c r="Y50">
        <f>HYPERLINK("https://klasma.github.io/Logging_1486/tillsynsmail/A 22584-2021 tillsynsbegäran mail.docx", "A 22584-2021")</f>
        <v/>
      </c>
    </row>
    <row r="51" ht="15" customHeight="1">
      <c r="A51" t="inlineStr">
        <is>
          <t>A 13969-2024</t>
        </is>
      </c>
      <c r="B51" s="1" t="n">
        <v>45392</v>
      </c>
      <c r="C51" s="1" t="n">
        <v>45952</v>
      </c>
      <c r="D51" t="inlineStr">
        <is>
          <t>VÄSTRA GÖTALANDS LÄN</t>
        </is>
      </c>
      <c r="E51" t="inlineStr">
        <is>
          <t>BENGTSFORS</t>
        </is>
      </c>
      <c r="G51" t="n">
        <v>8</v>
      </c>
      <c r="H51" t="n">
        <v>6</v>
      </c>
      <c r="I51" t="n">
        <v>2</v>
      </c>
      <c r="J51" t="n">
        <v>3</v>
      </c>
      <c r="K51" t="n">
        <v>1</v>
      </c>
      <c r="L51" t="n">
        <v>0</v>
      </c>
      <c r="M51" t="n">
        <v>0</v>
      </c>
      <c r="N51" t="n">
        <v>0</v>
      </c>
      <c r="O51" t="n">
        <v>4</v>
      </c>
      <c r="P51" t="n">
        <v>1</v>
      </c>
      <c r="Q51" t="n">
        <v>8</v>
      </c>
      <c r="R51" s="2" t="inlineStr">
        <is>
          <t>Knärot
Kådvaxskinn
Mindre hackspett
Spillkråka
Grön sköldmossa
Vedticka
Mattlummer
Revlummer</t>
        </is>
      </c>
      <c r="S51">
        <f>HYPERLINK("https://klasma.github.io/Logging_1460/artfynd/A 13969-2024 artfynd.xlsx", "A 13969-2024")</f>
        <v/>
      </c>
      <c r="T51">
        <f>HYPERLINK("https://klasma.github.io/Logging_1460/kartor/A 13969-2024 karta.png", "A 13969-2024")</f>
        <v/>
      </c>
      <c r="U51">
        <f>HYPERLINK("https://klasma.github.io/Logging_1460/knärot/A 13969-2024 karta knärot.png", "A 13969-2024")</f>
        <v/>
      </c>
      <c r="V51">
        <f>HYPERLINK("https://klasma.github.io/Logging_1460/klagomål/A 13969-2024 FSC-klagomål.docx", "A 13969-2024")</f>
        <v/>
      </c>
      <c r="W51">
        <f>HYPERLINK("https://klasma.github.io/Logging_1460/klagomålsmail/A 13969-2024 FSC-klagomål mail.docx", "A 13969-2024")</f>
        <v/>
      </c>
      <c r="X51">
        <f>HYPERLINK("https://klasma.github.io/Logging_1460/tillsyn/A 13969-2024 tillsynsbegäran.docx", "A 13969-2024")</f>
        <v/>
      </c>
      <c r="Y51">
        <f>HYPERLINK("https://klasma.github.io/Logging_1460/tillsynsmail/A 13969-2024 tillsynsbegäran mail.docx", "A 13969-2024")</f>
        <v/>
      </c>
      <c r="Z51">
        <f>HYPERLINK("https://klasma.github.io/Logging_1460/fåglar/A 13969-2024 prioriterade fågelarter.docx", "A 13969-2024")</f>
        <v/>
      </c>
    </row>
    <row r="52" ht="15" customHeight="1">
      <c r="A52" t="inlineStr">
        <is>
          <t>A 35310-2024</t>
        </is>
      </c>
      <c r="B52" s="1" t="n">
        <v>45530.6829050926</v>
      </c>
      <c r="C52" s="1" t="n">
        <v>45952</v>
      </c>
      <c r="D52" t="inlineStr">
        <is>
          <t>VÄSTRA GÖTALANDS LÄN</t>
        </is>
      </c>
      <c r="E52" t="inlineStr">
        <is>
          <t>TANUM</t>
        </is>
      </c>
      <c r="G52" t="n">
        <v>2.1</v>
      </c>
      <c r="H52" t="n">
        <v>5</v>
      </c>
      <c r="I52" t="n">
        <v>3</v>
      </c>
      <c r="J52" t="n">
        <v>3</v>
      </c>
      <c r="K52" t="n">
        <v>1</v>
      </c>
      <c r="L52" t="n">
        <v>0</v>
      </c>
      <c r="M52" t="n">
        <v>0</v>
      </c>
      <c r="N52" t="n">
        <v>0</v>
      </c>
      <c r="O52" t="n">
        <v>4</v>
      </c>
      <c r="P52" t="n">
        <v>1</v>
      </c>
      <c r="Q52" t="n">
        <v>8</v>
      </c>
      <c r="R52" s="2" t="inlineStr">
        <is>
          <t>Knärot
Spillkråka
Talltita
Tretåig hackspett
Korallblylav
Rävticka
Stor revmossa
Tjäder</t>
        </is>
      </c>
      <c r="S52">
        <f>HYPERLINK("https://klasma.github.io/Logging_1435/artfynd/A 35310-2024 artfynd.xlsx", "A 35310-2024")</f>
        <v/>
      </c>
      <c r="T52">
        <f>HYPERLINK("https://klasma.github.io/Logging_1435/kartor/A 35310-2024 karta.png", "A 35310-2024")</f>
        <v/>
      </c>
      <c r="U52">
        <f>HYPERLINK("https://klasma.github.io/Logging_1435/knärot/A 35310-2024 karta knärot.png", "A 35310-2024")</f>
        <v/>
      </c>
      <c r="V52">
        <f>HYPERLINK("https://klasma.github.io/Logging_1435/klagomål/A 35310-2024 FSC-klagomål.docx", "A 35310-2024")</f>
        <v/>
      </c>
      <c r="W52">
        <f>HYPERLINK("https://klasma.github.io/Logging_1435/klagomålsmail/A 35310-2024 FSC-klagomål mail.docx", "A 35310-2024")</f>
        <v/>
      </c>
      <c r="X52">
        <f>HYPERLINK("https://klasma.github.io/Logging_1435/tillsyn/A 35310-2024 tillsynsbegäran.docx", "A 35310-2024")</f>
        <v/>
      </c>
      <c r="Y52">
        <f>HYPERLINK("https://klasma.github.io/Logging_1435/tillsynsmail/A 35310-2024 tillsynsbegäran mail.docx", "A 35310-2024")</f>
        <v/>
      </c>
      <c r="Z52">
        <f>HYPERLINK("https://klasma.github.io/Logging_1435/fåglar/A 35310-2024 prioriterade fågelarter.docx", "A 35310-2024")</f>
        <v/>
      </c>
    </row>
    <row r="53" ht="15" customHeight="1">
      <c r="A53" t="inlineStr">
        <is>
          <t>A 56336-2024</t>
        </is>
      </c>
      <c r="B53" s="1" t="n">
        <v>45624.81018518518</v>
      </c>
      <c r="C53" s="1" t="n">
        <v>45952</v>
      </c>
      <c r="D53" t="inlineStr">
        <is>
          <t>VÄSTRA GÖTALANDS LÄN</t>
        </is>
      </c>
      <c r="E53" t="inlineStr">
        <is>
          <t>MUNKEDAL</t>
        </is>
      </c>
      <c r="G53" t="n">
        <v>11.8</v>
      </c>
      <c r="H53" t="n">
        <v>1</v>
      </c>
      <c r="I53" t="n">
        <v>7</v>
      </c>
      <c r="J53" t="n">
        <v>1</v>
      </c>
      <c r="K53" t="n">
        <v>0</v>
      </c>
      <c r="L53" t="n">
        <v>0</v>
      </c>
      <c r="M53" t="n">
        <v>0</v>
      </c>
      <c r="N53" t="n">
        <v>0</v>
      </c>
      <c r="O53" t="n">
        <v>1</v>
      </c>
      <c r="P53" t="n">
        <v>0</v>
      </c>
      <c r="Q53" t="n">
        <v>8</v>
      </c>
      <c r="R53" s="2" t="inlineStr">
        <is>
          <t>Spillkråka
Dropptaggsvamp
Havstulpanlav
Kattfotslav
Kornknutmossa
Rävticka
Stor aspticka
Vågbandad barkbock</t>
        </is>
      </c>
      <c r="S53">
        <f>HYPERLINK("https://klasma.github.io/Logging_1430/artfynd/A 56336-2024 artfynd.xlsx", "A 56336-2024")</f>
        <v/>
      </c>
      <c r="T53">
        <f>HYPERLINK("https://klasma.github.io/Logging_1430/kartor/A 56336-2024 karta.png", "A 56336-2024")</f>
        <v/>
      </c>
      <c r="V53">
        <f>HYPERLINK("https://klasma.github.io/Logging_1430/klagomål/A 56336-2024 FSC-klagomål.docx", "A 56336-2024")</f>
        <v/>
      </c>
      <c r="W53">
        <f>HYPERLINK("https://klasma.github.io/Logging_1430/klagomålsmail/A 56336-2024 FSC-klagomål mail.docx", "A 56336-2024")</f>
        <v/>
      </c>
      <c r="X53">
        <f>HYPERLINK("https://klasma.github.io/Logging_1430/tillsyn/A 56336-2024 tillsynsbegäran.docx", "A 56336-2024")</f>
        <v/>
      </c>
      <c r="Y53">
        <f>HYPERLINK("https://klasma.github.io/Logging_1430/tillsynsmail/A 56336-2024 tillsynsbegäran mail.docx", "A 56336-2024")</f>
        <v/>
      </c>
      <c r="Z53">
        <f>HYPERLINK("https://klasma.github.io/Logging_1430/fåglar/A 56336-2024 prioriterade fågelarter.docx", "A 56336-2024")</f>
        <v/>
      </c>
    </row>
    <row r="54" ht="15" customHeight="1">
      <c r="A54" t="inlineStr">
        <is>
          <t>A 13115-2025</t>
        </is>
      </c>
      <c r="B54" s="1" t="n">
        <v>45734</v>
      </c>
      <c r="C54" s="1" t="n">
        <v>45952</v>
      </c>
      <c r="D54" t="inlineStr">
        <is>
          <t>VÄSTRA GÖTALANDS LÄN</t>
        </is>
      </c>
      <c r="E54" t="inlineStr">
        <is>
          <t>MELLERUD</t>
        </is>
      </c>
      <c r="G54" t="n">
        <v>1.2</v>
      </c>
      <c r="H54" t="n">
        <v>2</v>
      </c>
      <c r="I54" t="n">
        <v>4</v>
      </c>
      <c r="J54" t="n">
        <v>3</v>
      </c>
      <c r="K54" t="n">
        <v>0</v>
      </c>
      <c r="L54" t="n">
        <v>0</v>
      </c>
      <c r="M54" t="n">
        <v>0</v>
      </c>
      <c r="N54" t="n">
        <v>0</v>
      </c>
      <c r="O54" t="n">
        <v>3</v>
      </c>
      <c r="P54" t="n">
        <v>0</v>
      </c>
      <c r="Q54" t="n">
        <v>8</v>
      </c>
      <c r="R54" s="2" t="inlineStr">
        <is>
          <t>Dofttaggsvamp
Skirmossa
Svart askbastborre
Dunmossa
Kambräken
Korallblylav
Stor revmossa
Blåsippa</t>
        </is>
      </c>
      <c r="S54">
        <f>HYPERLINK("https://klasma.github.io/Logging_1461/artfynd/A 13115-2025 artfynd.xlsx", "A 13115-2025")</f>
        <v/>
      </c>
      <c r="T54">
        <f>HYPERLINK("https://klasma.github.io/Logging_1461/kartor/A 13115-2025 karta.png", "A 13115-2025")</f>
        <v/>
      </c>
      <c r="V54">
        <f>HYPERLINK("https://klasma.github.io/Logging_1461/klagomål/A 13115-2025 FSC-klagomål.docx", "A 13115-2025")</f>
        <v/>
      </c>
      <c r="W54">
        <f>HYPERLINK("https://klasma.github.io/Logging_1461/klagomålsmail/A 13115-2025 FSC-klagomål mail.docx", "A 13115-2025")</f>
        <v/>
      </c>
      <c r="X54">
        <f>HYPERLINK("https://klasma.github.io/Logging_1461/tillsyn/A 13115-2025 tillsynsbegäran.docx", "A 13115-2025")</f>
        <v/>
      </c>
      <c r="Y54">
        <f>HYPERLINK("https://klasma.github.io/Logging_1461/tillsynsmail/A 13115-2025 tillsynsbegäran mail.docx", "A 13115-2025")</f>
        <v/>
      </c>
    </row>
    <row r="55" ht="15" customHeight="1">
      <c r="A55" t="inlineStr">
        <is>
          <t>A 42324-2025</t>
        </is>
      </c>
      <c r="B55" s="1" t="n">
        <v>45904.68368055556</v>
      </c>
      <c r="C55" s="1" t="n">
        <v>45952</v>
      </c>
      <c r="D55" t="inlineStr">
        <is>
          <t>VÄSTRA GÖTALANDS LÄN</t>
        </is>
      </c>
      <c r="E55" t="inlineStr">
        <is>
          <t>FÄRGELANDA</t>
        </is>
      </c>
      <c r="G55" t="n">
        <v>12</v>
      </c>
      <c r="H55" t="n">
        <v>3</v>
      </c>
      <c r="I55" t="n">
        <v>5</v>
      </c>
      <c r="J55" t="n">
        <v>1</v>
      </c>
      <c r="K55" t="n">
        <v>0</v>
      </c>
      <c r="L55" t="n">
        <v>0</v>
      </c>
      <c r="M55" t="n">
        <v>0</v>
      </c>
      <c r="N55" t="n">
        <v>0</v>
      </c>
      <c r="O55" t="n">
        <v>1</v>
      </c>
      <c r="P55" t="n">
        <v>0</v>
      </c>
      <c r="Q55" t="n">
        <v>8</v>
      </c>
      <c r="R55" s="2" t="inlineStr">
        <is>
          <t>Spillkråka
Granbarkgnagare
Grov fjädermossa
Havstulpanlav
Kattfotslav
Vedticka
Kopparödla
Blåsippa</t>
        </is>
      </c>
      <c r="S55">
        <f>HYPERLINK("https://klasma.github.io/Logging_1439/artfynd/A 42324-2025 artfynd.xlsx", "A 42324-2025")</f>
        <v/>
      </c>
      <c r="T55">
        <f>HYPERLINK("https://klasma.github.io/Logging_1439/kartor/A 42324-2025 karta.png", "A 42324-2025")</f>
        <v/>
      </c>
      <c r="V55">
        <f>HYPERLINK("https://klasma.github.io/Logging_1439/klagomål/A 42324-2025 FSC-klagomål.docx", "A 42324-2025")</f>
        <v/>
      </c>
      <c r="W55">
        <f>HYPERLINK("https://klasma.github.io/Logging_1439/klagomålsmail/A 42324-2025 FSC-klagomål mail.docx", "A 42324-2025")</f>
        <v/>
      </c>
      <c r="X55">
        <f>HYPERLINK("https://klasma.github.io/Logging_1439/tillsyn/A 42324-2025 tillsynsbegäran.docx", "A 42324-2025")</f>
        <v/>
      </c>
      <c r="Y55">
        <f>HYPERLINK("https://klasma.github.io/Logging_1439/tillsynsmail/A 42324-2025 tillsynsbegäran mail.docx", "A 42324-2025")</f>
        <v/>
      </c>
      <c r="Z55">
        <f>HYPERLINK("https://klasma.github.io/Logging_1439/fåglar/A 42324-2025 prioriterade fågelarter.docx", "A 42324-2025")</f>
        <v/>
      </c>
    </row>
    <row r="56" ht="15" customHeight="1">
      <c r="A56" t="inlineStr">
        <is>
          <t>A 37370-2023</t>
        </is>
      </c>
      <c r="B56" s="1" t="n">
        <v>45156.51152777778</v>
      </c>
      <c r="C56" s="1" t="n">
        <v>45952</v>
      </c>
      <c r="D56" t="inlineStr">
        <is>
          <t>VÄSTRA GÖTALANDS LÄN</t>
        </is>
      </c>
      <c r="E56" t="inlineStr">
        <is>
          <t>TANUM</t>
        </is>
      </c>
      <c r="G56" t="n">
        <v>14.5</v>
      </c>
      <c r="H56" t="n">
        <v>2</v>
      </c>
      <c r="I56" t="n">
        <v>0</v>
      </c>
      <c r="J56" t="n">
        <v>4</v>
      </c>
      <c r="K56" t="n">
        <v>1</v>
      </c>
      <c r="L56" t="n">
        <v>2</v>
      </c>
      <c r="M56" t="n">
        <v>0</v>
      </c>
      <c r="N56" t="n">
        <v>0</v>
      </c>
      <c r="O56" t="n">
        <v>7</v>
      </c>
      <c r="P56" t="n">
        <v>3</v>
      </c>
      <c r="Q56" t="n">
        <v>8</v>
      </c>
      <c r="R56" s="2" t="inlineStr">
        <is>
          <t>Bredgentiana
Råglosta
Slåttergubbe
Granspira
Slåtterfibbla
Svinrot
Vårstarr
Fläcknycklar</t>
        </is>
      </c>
      <c r="S56">
        <f>HYPERLINK("https://klasma.github.io/Logging_1435/artfynd/A 37370-2023 artfynd.xlsx", "A 37370-2023")</f>
        <v/>
      </c>
      <c r="T56">
        <f>HYPERLINK("https://klasma.github.io/Logging_1435/kartor/A 37370-2023 karta.png", "A 37370-2023")</f>
        <v/>
      </c>
      <c r="V56">
        <f>HYPERLINK("https://klasma.github.io/Logging_1435/klagomål/A 37370-2023 FSC-klagomål.docx", "A 37370-2023")</f>
        <v/>
      </c>
      <c r="W56">
        <f>HYPERLINK("https://klasma.github.io/Logging_1435/klagomålsmail/A 37370-2023 FSC-klagomål mail.docx", "A 37370-2023")</f>
        <v/>
      </c>
      <c r="X56">
        <f>HYPERLINK("https://klasma.github.io/Logging_1435/tillsyn/A 37370-2023 tillsynsbegäran.docx", "A 37370-2023")</f>
        <v/>
      </c>
      <c r="Y56">
        <f>HYPERLINK("https://klasma.github.io/Logging_1435/tillsynsmail/A 37370-2023 tillsynsbegäran mail.docx", "A 37370-2023")</f>
        <v/>
      </c>
    </row>
    <row r="57" ht="15" customHeight="1">
      <c r="A57" t="inlineStr">
        <is>
          <t>A 30285-2025</t>
        </is>
      </c>
      <c r="B57" s="1" t="n">
        <v>45827.464375</v>
      </c>
      <c r="C57" s="1" t="n">
        <v>45952</v>
      </c>
      <c r="D57" t="inlineStr">
        <is>
          <t>VÄSTRA GÖTALANDS LÄN</t>
        </is>
      </c>
      <c r="E57" t="inlineStr">
        <is>
          <t>LILLA EDET</t>
        </is>
      </c>
      <c r="G57" t="n">
        <v>29.6</v>
      </c>
      <c r="H57" t="n">
        <v>3</v>
      </c>
      <c r="I57" t="n">
        <v>4</v>
      </c>
      <c r="J57" t="n">
        <v>2</v>
      </c>
      <c r="K57" t="n">
        <v>0</v>
      </c>
      <c r="L57" t="n">
        <v>0</v>
      </c>
      <c r="M57" t="n">
        <v>0</v>
      </c>
      <c r="N57" t="n">
        <v>0</v>
      </c>
      <c r="O57" t="n">
        <v>2</v>
      </c>
      <c r="P57" t="n">
        <v>0</v>
      </c>
      <c r="Q57" t="n">
        <v>8</v>
      </c>
      <c r="R57" s="2" t="inlineStr">
        <is>
          <t>Dofttaggsvamp
Spillkråka
Blåmossa
Klippfrullania
Stor revmossa
Västlig hakmossa
Mattlummer
Revlummer</t>
        </is>
      </c>
      <c r="S57">
        <f>HYPERLINK("https://klasma.github.io/Logging_1462/artfynd/A 30285-2025 artfynd.xlsx", "A 30285-2025")</f>
        <v/>
      </c>
      <c r="T57">
        <f>HYPERLINK("https://klasma.github.io/Logging_1462/kartor/A 30285-2025 karta.png", "A 30285-2025")</f>
        <v/>
      </c>
      <c r="V57">
        <f>HYPERLINK("https://klasma.github.io/Logging_1462/klagomål/A 30285-2025 FSC-klagomål.docx", "A 30285-2025")</f>
        <v/>
      </c>
      <c r="W57">
        <f>HYPERLINK("https://klasma.github.io/Logging_1462/klagomålsmail/A 30285-2025 FSC-klagomål mail.docx", "A 30285-2025")</f>
        <v/>
      </c>
      <c r="X57">
        <f>HYPERLINK("https://klasma.github.io/Logging_1462/tillsyn/A 30285-2025 tillsynsbegäran.docx", "A 30285-2025")</f>
        <v/>
      </c>
      <c r="Y57">
        <f>HYPERLINK("https://klasma.github.io/Logging_1462/tillsynsmail/A 30285-2025 tillsynsbegäran mail.docx", "A 30285-2025")</f>
        <v/>
      </c>
      <c r="Z57">
        <f>HYPERLINK("https://klasma.github.io/Logging_1462/fåglar/A 30285-2025 prioriterade fågelarter.docx", "A 30285-2025")</f>
        <v/>
      </c>
    </row>
    <row r="58" ht="15" customHeight="1">
      <c r="A58" t="inlineStr">
        <is>
          <t>A 37005-2025</t>
        </is>
      </c>
      <c r="B58" s="1" t="n">
        <v>45874.69311342593</v>
      </c>
      <c r="C58" s="1" t="n">
        <v>45952</v>
      </c>
      <c r="D58" t="inlineStr">
        <is>
          <t>VÄSTRA GÖTALANDS LÄN</t>
        </is>
      </c>
      <c r="E58" t="inlineStr">
        <is>
          <t>ALE</t>
        </is>
      </c>
      <c r="G58" t="n">
        <v>1.9</v>
      </c>
      <c r="H58" t="n">
        <v>4</v>
      </c>
      <c r="I58" t="n">
        <v>3</v>
      </c>
      <c r="J58" t="n">
        <v>1</v>
      </c>
      <c r="K58" t="n">
        <v>0</v>
      </c>
      <c r="L58" t="n">
        <v>0</v>
      </c>
      <c r="M58" t="n">
        <v>1</v>
      </c>
      <c r="N58" t="n">
        <v>0</v>
      </c>
      <c r="O58" t="n">
        <v>2</v>
      </c>
      <c r="P58" t="n">
        <v>1</v>
      </c>
      <c r="Q58" t="n">
        <v>8</v>
      </c>
      <c r="R58" s="2" t="inlineStr">
        <is>
          <t>Skogsalm
Spillkråka
Blomkålssvamp
Grovticka
Västlig hakmossa
Kungsfågel
Vanlig groda
Revlummer</t>
        </is>
      </c>
      <c r="S58">
        <f>HYPERLINK("https://klasma.github.io/Logging_1440/artfynd/A 37005-2025 artfynd.xlsx", "A 37005-2025")</f>
        <v/>
      </c>
      <c r="T58">
        <f>HYPERLINK("https://klasma.github.io/Logging_1440/kartor/A 37005-2025 karta.png", "A 37005-2025")</f>
        <v/>
      </c>
      <c r="V58">
        <f>HYPERLINK("https://klasma.github.io/Logging_1440/klagomål/A 37005-2025 FSC-klagomål.docx", "A 37005-2025")</f>
        <v/>
      </c>
      <c r="W58">
        <f>HYPERLINK("https://klasma.github.io/Logging_1440/klagomålsmail/A 37005-2025 FSC-klagomål mail.docx", "A 37005-2025")</f>
        <v/>
      </c>
      <c r="X58">
        <f>HYPERLINK("https://klasma.github.io/Logging_1440/tillsyn/A 37005-2025 tillsynsbegäran.docx", "A 37005-2025")</f>
        <v/>
      </c>
      <c r="Y58">
        <f>HYPERLINK("https://klasma.github.io/Logging_1440/tillsynsmail/A 37005-2025 tillsynsbegäran mail.docx", "A 37005-2025")</f>
        <v/>
      </c>
      <c r="Z58">
        <f>HYPERLINK("https://klasma.github.io/Logging_1440/fåglar/A 37005-2025 prioriterade fågelarter.docx", "A 37005-2025")</f>
        <v/>
      </c>
    </row>
    <row r="59" ht="15" customHeight="1">
      <c r="A59" t="inlineStr">
        <is>
          <t>A 38162-2025</t>
        </is>
      </c>
      <c r="B59" s="1" t="n">
        <v>45882.62430555555</v>
      </c>
      <c r="C59" s="1" t="n">
        <v>45952</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3655-2021</t>
        </is>
      </c>
      <c r="B60" s="1" t="n">
        <v>44221</v>
      </c>
      <c r="C60" s="1" t="n">
        <v>45952</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45952</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25142-2021</t>
        </is>
      </c>
      <c r="B62" s="1" t="n">
        <v>44341.91210648148</v>
      </c>
      <c r="C62" s="1" t="n">
        <v>45952</v>
      </c>
      <c r="D62" t="inlineStr">
        <is>
          <t>VÄSTRA GÖTALANDS LÄN</t>
        </is>
      </c>
      <c r="E62" t="inlineStr">
        <is>
          <t>TANUM</t>
        </is>
      </c>
      <c r="G62" t="n">
        <v>1.3</v>
      </c>
      <c r="H62" t="n">
        <v>2</v>
      </c>
      <c r="I62" t="n">
        <v>1</v>
      </c>
      <c r="J62" t="n">
        <v>2</v>
      </c>
      <c r="K62" t="n">
        <v>3</v>
      </c>
      <c r="L62" t="n">
        <v>0</v>
      </c>
      <c r="M62" t="n">
        <v>0</v>
      </c>
      <c r="N62" t="n">
        <v>0</v>
      </c>
      <c r="O62" t="n">
        <v>5</v>
      </c>
      <c r="P62" t="n">
        <v>3</v>
      </c>
      <c r="Q62" t="n">
        <v>7</v>
      </c>
      <c r="R62" s="2" t="inlineStr">
        <is>
          <t>Ljungögontröst
Slåttergubbe
Åkerrättika
Rödlånke
Svinrot
Plattlummer
Mattlummer</t>
        </is>
      </c>
      <c r="S62">
        <f>HYPERLINK("https://klasma.github.io/Logging_1435/artfynd/A 25142-2021 artfynd.xlsx", "A 25142-2021")</f>
        <v/>
      </c>
      <c r="T62">
        <f>HYPERLINK("https://klasma.github.io/Logging_1435/kartor/A 25142-2021 karta.png", "A 25142-2021")</f>
        <v/>
      </c>
      <c r="V62">
        <f>HYPERLINK("https://klasma.github.io/Logging_1435/klagomål/A 25142-2021 FSC-klagomål.docx", "A 25142-2021")</f>
        <v/>
      </c>
      <c r="W62">
        <f>HYPERLINK("https://klasma.github.io/Logging_1435/klagomålsmail/A 25142-2021 FSC-klagomål mail.docx", "A 25142-2021")</f>
        <v/>
      </c>
      <c r="X62">
        <f>HYPERLINK("https://klasma.github.io/Logging_1435/tillsyn/A 25142-2021 tillsynsbegäran.docx", "A 25142-2021")</f>
        <v/>
      </c>
      <c r="Y62">
        <f>HYPERLINK("https://klasma.github.io/Logging_1435/tillsynsmail/A 25142-2021 tillsynsbegäran mail.docx", "A 25142-2021")</f>
        <v/>
      </c>
    </row>
    <row r="63" ht="15" customHeight="1">
      <c r="A63" t="inlineStr">
        <is>
          <t>A 60679-2023</t>
        </is>
      </c>
      <c r="B63" s="1" t="n">
        <v>45260.47730324074</v>
      </c>
      <c r="C63" s="1" t="n">
        <v>45952</v>
      </c>
      <c r="D63" t="inlineStr">
        <is>
          <t>VÄSTRA GÖTALANDS LÄN</t>
        </is>
      </c>
      <c r="E63" t="inlineStr">
        <is>
          <t>BENGTSFORS</t>
        </is>
      </c>
      <c r="G63" t="n">
        <v>2.2</v>
      </c>
      <c r="H63" t="n">
        <v>0</v>
      </c>
      <c r="I63" t="n">
        <v>6</v>
      </c>
      <c r="J63" t="n">
        <v>1</v>
      </c>
      <c r="K63" t="n">
        <v>0</v>
      </c>
      <c r="L63" t="n">
        <v>0</v>
      </c>
      <c r="M63" t="n">
        <v>0</v>
      </c>
      <c r="N63" t="n">
        <v>0</v>
      </c>
      <c r="O63" t="n">
        <v>1</v>
      </c>
      <c r="P63" t="n">
        <v>0</v>
      </c>
      <c r="Q63" t="n">
        <v>7</v>
      </c>
      <c r="R63" s="2" t="inlineStr">
        <is>
          <t>Kortskaftad ärgspik
Bronshjon
Grönpyrola
Klippfrullania
Platt fjädermossa
Rävticka
Vedticka</t>
        </is>
      </c>
      <c r="S63">
        <f>HYPERLINK("https://klasma.github.io/Logging_1460/artfynd/A 60679-2023 artfynd.xlsx", "A 60679-2023")</f>
        <v/>
      </c>
      <c r="T63">
        <f>HYPERLINK("https://klasma.github.io/Logging_1460/kartor/A 60679-2023 karta.png", "A 60679-2023")</f>
        <v/>
      </c>
      <c r="V63">
        <f>HYPERLINK("https://klasma.github.io/Logging_1460/klagomål/A 60679-2023 FSC-klagomål.docx", "A 60679-2023")</f>
        <v/>
      </c>
      <c r="W63">
        <f>HYPERLINK("https://klasma.github.io/Logging_1460/klagomålsmail/A 60679-2023 FSC-klagomål mail.docx", "A 60679-2023")</f>
        <v/>
      </c>
      <c r="X63">
        <f>HYPERLINK("https://klasma.github.io/Logging_1460/tillsyn/A 60679-2023 tillsynsbegäran.docx", "A 60679-2023")</f>
        <v/>
      </c>
      <c r="Y63">
        <f>HYPERLINK("https://klasma.github.io/Logging_1460/tillsynsmail/A 60679-2023 tillsynsbegäran mail.docx", "A 60679-2023")</f>
        <v/>
      </c>
    </row>
    <row r="64" ht="15" customHeight="1">
      <c r="A64" t="inlineStr">
        <is>
          <t>A 57763-2024</t>
        </is>
      </c>
      <c r="B64" s="1" t="n">
        <v>45630.85815972222</v>
      </c>
      <c r="C64" s="1" t="n">
        <v>45952</v>
      </c>
      <c r="D64" t="inlineStr">
        <is>
          <t>VÄSTRA GÖTALANDS LÄN</t>
        </is>
      </c>
      <c r="E64" t="inlineStr">
        <is>
          <t>ALINGSÅS</t>
        </is>
      </c>
      <c r="F64" t="inlineStr">
        <is>
          <t>Kommuner</t>
        </is>
      </c>
      <c r="G64" t="n">
        <v>2.3</v>
      </c>
      <c r="H64" t="n">
        <v>7</v>
      </c>
      <c r="I64" t="n">
        <v>0</v>
      </c>
      <c r="J64" t="n">
        <v>3</v>
      </c>
      <c r="K64" t="n">
        <v>0</v>
      </c>
      <c r="L64" t="n">
        <v>0</v>
      </c>
      <c r="M64" t="n">
        <v>0</v>
      </c>
      <c r="N64" t="n">
        <v>0</v>
      </c>
      <c r="O64" t="n">
        <v>3</v>
      </c>
      <c r="P64" t="n">
        <v>0</v>
      </c>
      <c r="Q64" t="n">
        <v>7</v>
      </c>
      <c r="R64" s="2" t="inlineStr">
        <is>
          <t>Björktrast
Grönsångare
Nordfladdermus
Dvärgpipistrell
Grönsiska
Kungsfågel
Större brunfladdermus</t>
        </is>
      </c>
      <c r="S64">
        <f>HYPERLINK("https://klasma.github.io/Logging_1489/artfynd/A 57763-2024 artfynd.xlsx", "A 57763-2024")</f>
        <v/>
      </c>
      <c r="T64">
        <f>HYPERLINK("https://klasma.github.io/Logging_1489/kartor/A 57763-2024 karta.png", "A 57763-2024")</f>
        <v/>
      </c>
      <c r="V64">
        <f>HYPERLINK("https://klasma.github.io/Logging_1489/klagomål/A 57763-2024 FSC-klagomål.docx", "A 57763-2024")</f>
        <v/>
      </c>
      <c r="W64">
        <f>HYPERLINK("https://klasma.github.io/Logging_1489/klagomålsmail/A 57763-2024 FSC-klagomål mail.docx", "A 57763-2024")</f>
        <v/>
      </c>
      <c r="X64">
        <f>HYPERLINK("https://klasma.github.io/Logging_1489/tillsyn/A 57763-2024 tillsynsbegäran.docx", "A 57763-2024")</f>
        <v/>
      </c>
      <c r="Y64">
        <f>HYPERLINK("https://klasma.github.io/Logging_1489/tillsynsmail/A 57763-2024 tillsynsbegäran mail.docx", "A 57763-2024")</f>
        <v/>
      </c>
      <c r="Z64">
        <f>HYPERLINK("https://klasma.github.io/Logging_1489/fåglar/A 57763-2024 prioriterade fågelarter.docx", "A 57763-2024")</f>
        <v/>
      </c>
    </row>
    <row r="65" ht="15" customHeight="1">
      <c r="A65" t="inlineStr">
        <is>
          <t>A 1924-2025</t>
        </is>
      </c>
      <c r="B65" s="1" t="n">
        <v>45671.69804398148</v>
      </c>
      <c r="C65" s="1" t="n">
        <v>45952</v>
      </c>
      <c r="D65" t="inlineStr">
        <is>
          <t>VÄSTRA GÖTALANDS LÄN</t>
        </is>
      </c>
      <c r="E65" t="inlineStr">
        <is>
          <t>BORÅS</t>
        </is>
      </c>
      <c r="F65" t="inlineStr">
        <is>
          <t>Kyrkan</t>
        </is>
      </c>
      <c r="G65" t="n">
        <v>8.4</v>
      </c>
      <c r="H65" t="n">
        <v>4</v>
      </c>
      <c r="I65" t="n">
        <v>3</v>
      </c>
      <c r="J65" t="n">
        <v>2</v>
      </c>
      <c r="K65" t="n">
        <v>0</v>
      </c>
      <c r="L65" t="n">
        <v>0</v>
      </c>
      <c r="M65" t="n">
        <v>0</v>
      </c>
      <c r="N65" t="n">
        <v>0</v>
      </c>
      <c r="O65" t="n">
        <v>2</v>
      </c>
      <c r="P65" t="n">
        <v>0</v>
      </c>
      <c r="Q65" t="n">
        <v>7</v>
      </c>
      <c r="R65" s="2" t="inlineStr">
        <is>
          <t>Spillkråka
Talltita
Kornknutmossa
Stor revmossa
Västlig hakmossa
Kungsfågel
Revlummer</t>
        </is>
      </c>
      <c r="S65">
        <f>HYPERLINK("https://klasma.github.io/Logging_1490/artfynd/A 1924-2025 artfynd.xlsx", "A 1924-2025")</f>
        <v/>
      </c>
      <c r="T65">
        <f>HYPERLINK("https://klasma.github.io/Logging_1490/kartor/A 1924-2025 karta.png", "A 1924-2025")</f>
        <v/>
      </c>
      <c r="V65">
        <f>HYPERLINK("https://klasma.github.io/Logging_1490/klagomål/A 1924-2025 FSC-klagomål.docx", "A 1924-2025")</f>
        <v/>
      </c>
      <c r="W65">
        <f>HYPERLINK("https://klasma.github.io/Logging_1490/klagomålsmail/A 1924-2025 FSC-klagomål mail.docx", "A 1924-2025")</f>
        <v/>
      </c>
      <c r="X65">
        <f>HYPERLINK("https://klasma.github.io/Logging_1490/tillsyn/A 1924-2025 tillsynsbegäran.docx", "A 1924-2025")</f>
        <v/>
      </c>
      <c r="Y65">
        <f>HYPERLINK("https://klasma.github.io/Logging_1490/tillsynsmail/A 1924-2025 tillsynsbegäran mail.docx", "A 1924-2025")</f>
        <v/>
      </c>
      <c r="Z65">
        <f>HYPERLINK("https://klasma.github.io/Logging_1490/fåglar/A 1924-2025 prioriterade fågelarter.docx", "A 1924-2025")</f>
        <v/>
      </c>
    </row>
    <row r="66" ht="15" customHeight="1">
      <c r="A66" t="inlineStr">
        <is>
          <t>A 11036-2025</t>
        </is>
      </c>
      <c r="B66" s="1" t="n">
        <v>45723.47996527778</v>
      </c>
      <c r="C66" s="1" t="n">
        <v>45952</v>
      </c>
      <c r="D66" t="inlineStr">
        <is>
          <t>VÄSTRA GÖTALANDS LÄN</t>
        </is>
      </c>
      <c r="E66" t="inlineStr">
        <is>
          <t>BENGTSFORS</t>
        </is>
      </c>
      <c r="G66" t="n">
        <v>5</v>
      </c>
      <c r="H66" t="n">
        <v>1</v>
      </c>
      <c r="I66" t="n">
        <v>6</v>
      </c>
      <c r="J66" t="n">
        <v>0</v>
      </c>
      <c r="K66" t="n">
        <v>0</v>
      </c>
      <c r="L66" t="n">
        <v>0</v>
      </c>
      <c r="M66" t="n">
        <v>0</v>
      </c>
      <c r="N66" t="n">
        <v>0</v>
      </c>
      <c r="O66" t="n">
        <v>0</v>
      </c>
      <c r="P66" t="n">
        <v>0</v>
      </c>
      <c r="Q66" t="n">
        <v>7</v>
      </c>
      <c r="R66" s="2" t="inlineStr">
        <is>
          <t>Grov fjädermossa
Grönpyrola
Platt fjädermossa
Svavelriska
Trubbfjädermossa
Vårärt
Blåsippa</t>
        </is>
      </c>
      <c r="S66">
        <f>HYPERLINK("https://klasma.github.io/Logging_1460/artfynd/A 11036-2025 artfynd.xlsx", "A 11036-2025")</f>
        <v/>
      </c>
      <c r="T66">
        <f>HYPERLINK("https://klasma.github.io/Logging_1460/kartor/A 11036-2025 karta.png", "A 11036-2025")</f>
        <v/>
      </c>
      <c r="V66">
        <f>HYPERLINK("https://klasma.github.io/Logging_1460/klagomål/A 11036-2025 FSC-klagomål.docx", "A 11036-2025")</f>
        <v/>
      </c>
      <c r="W66">
        <f>HYPERLINK("https://klasma.github.io/Logging_1460/klagomålsmail/A 11036-2025 FSC-klagomål mail.docx", "A 11036-2025")</f>
        <v/>
      </c>
      <c r="X66">
        <f>HYPERLINK("https://klasma.github.io/Logging_1460/tillsyn/A 11036-2025 tillsynsbegäran.docx", "A 11036-2025")</f>
        <v/>
      </c>
      <c r="Y66">
        <f>HYPERLINK("https://klasma.github.io/Logging_1460/tillsynsmail/A 11036-2025 tillsynsbegäran mail.docx", "A 11036-2025")</f>
        <v/>
      </c>
    </row>
    <row r="67" ht="15" customHeight="1">
      <c r="A67" t="inlineStr">
        <is>
          <t>A 23017-2025</t>
        </is>
      </c>
      <c r="B67" s="1" t="n">
        <v>45790.64148148148</v>
      </c>
      <c r="C67" s="1" t="n">
        <v>45952</v>
      </c>
      <c r="D67" t="inlineStr">
        <is>
          <t>VÄSTRA GÖTALANDS LÄN</t>
        </is>
      </c>
      <c r="E67" t="inlineStr">
        <is>
          <t>DALS-ED</t>
        </is>
      </c>
      <c r="G67" t="n">
        <v>9.300000000000001</v>
      </c>
      <c r="H67" t="n">
        <v>2</v>
      </c>
      <c r="I67" t="n">
        <v>1</v>
      </c>
      <c r="J67" t="n">
        <v>5</v>
      </c>
      <c r="K67" t="n">
        <v>0</v>
      </c>
      <c r="L67" t="n">
        <v>0</v>
      </c>
      <c r="M67" t="n">
        <v>0</v>
      </c>
      <c r="N67" t="n">
        <v>0</v>
      </c>
      <c r="O67" t="n">
        <v>5</v>
      </c>
      <c r="P67" t="n">
        <v>0</v>
      </c>
      <c r="Q67" t="n">
        <v>7</v>
      </c>
      <c r="R67" s="2" t="inlineStr">
        <is>
          <t>Garnlav
Motaggsvamp
Tallticka
Tretåig hackspett
Vedskivlav
Dropptaggsvamp
Orre</t>
        </is>
      </c>
      <c r="S67">
        <f>HYPERLINK("https://klasma.github.io/Logging_1438/artfynd/A 23017-2025 artfynd.xlsx", "A 23017-2025")</f>
        <v/>
      </c>
      <c r="T67">
        <f>HYPERLINK("https://klasma.github.io/Logging_1438/kartor/A 23017-2025 karta.png", "A 23017-2025")</f>
        <v/>
      </c>
      <c r="V67">
        <f>HYPERLINK("https://klasma.github.io/Logging_1438/klagomål/A 23017-2025 FSC-klagomål.docx", "A 23017-2025")</f>
        <v/>
      </c>
      <c r="W67">
        <f>HYPERLINK("https://klasma.github.io/Logging_1438/klagomålsmail/A 23017-2025 FSC-klagomål mail.docx", "A 23017-2025")</f>
        <v/>
      </c>
      <c r="X67">
        <f>HYPERLINK("https://klasma.github.io/Logging_1438/tillsyn/A 23017-2025 tillsynsbegäran.docx", "A 23017-2025")</f>
        <v/>
      </c>
      <c r="Y67">
        <f>HYPERLINK("https://klasma.github.io/Logging_1438/tillsynsmail/A 23017-2025 tillsynsbegäran mail.docx", "A 23017-2025")</f>
        <v/>
      </c>
      <c r="Z67">
        <f>HYPERLINK("https://klasma.github.io/Logging_1438/fåglar/A 23017-2025 prioriterade fågelarter.docx", "A 23017-2025")</f>
        <v/>
      </c>
    </row>
    <row r="68" ht="15" customHeight="1">
      <c r="A68" t="inlineStr">
        <is>
          <t>A 40059-2025</t>
        </is>
      </c>
      <c r="B68" s="1" t="n">
        <v>45894.42600694444</v>
      </c>
      <c r="C68" s="1" t="n">
        <v>45952</v>
      </c>
      <c r="D68" t="inlineStr">
        <is>
          <t>VÄSTRA GÖTALANDS LÄN</t>
        </is>
      </c>
      <c r="E68" t="inlineStr">
        <is>
          <t>ALE</t>
        </is>
      </c>
      <c r="G68" t="n">
        <v>0.9</v>
      </c>
      <c r="H68" t="n">
        <v>6</v>
      </c>
      <c r="I68" t="n">
        <v>1</v>
      </c>
      <c r="J68" t="n">
        <v>2</v>
      </c>
      <c r="K68" t="n">
        <v>0</v>
      </c>
      <c r="L68" t="n">
        <v>0</v>
      </c>
      <c r="M68" t="n">
        <v>0</v>
      </c>
      <c r="N68" t="n">
        <v>0</v>
      </c>
      <c r="O68" t="n">
        <v>2</v>
      </c>
      <c r="P68" t="n">
        <v>0</v>
      </c>
      <c r="Q68" t="n">
        <v>7</v>
      </c>
      <c r="R68" s="2" t="inlineStr">
        <is>
          <t>Spillkråka
Talltita
Blåmossa
Grönsiska
Tjäder
Trana
Revlummer</t>
        </is>
      </c>
      <c r="S68">
        <f>HYPERLINK("https://klasma.github.io/Logging_1440/artfynd/A 40059-2025 artfynd.xlsx", "A 40059-2025")</f>
        <v/>
      </c>
      <c r="T68">
        <f>HYPERLINK("https://klasma.github.io/Logging_1440/kartor/A 40059-2025 karta.png", "A 40059-2025")</f>
        <v/>
      </c>
      <c r="V68">
        <f>HYPERLINK("https://klasma.github.io/Logging_1440/klagomål/A 40059-2025 FSC-klagomål.docx", "A 40059-2025")</f>
        <v/>
      </c>
      <c r="W68">
        <f>HYPERLINK("https://klasma.github.io/Logging_1440/klagomålsmail/A 40059-2025 FSC-klagomål mail.docx", "A 40059-2025")</f>
        <v/>
      </c>
      <c r="X68">
        <f>HYPERLINK("https://klasma.github.io/Logging_1440/tillsyn/A 40059-2025 tillsynsbegäran.docx", "A 40059-2025")</f>
        <v/>
      </c>
      <c r="Y68">
        <f>HYPERLINK("https://klasma.github.io/Logging_1440/tillsynsmail/A 40059-2025 tillsynsbegäran mail.docx", "A 40059-2025")</f>
        <v/>
      </c>
      <c r="Z68">
        <f>HYPERLINK("https://klasma.github.io/Logging_1440/fåglar/A 40059-2025 prioriterade fågelarter.docx", "A 40059-2025")</f>
        <v/>
      </c>
    </row>
    <row r="69" ht="15" customHeight="1">
      <c r="A69" t="inlineStr">
        <is>
          <t>A 17566-2024</t>
        </is>
      </c>
      <c r="B69" s="1" t="n">
        <v>45415</v>
      </c>
      <c r="C69" s="1" t="n">
        <v>45952</v>
      </c>
      <c r="D69" t="inlineStr">
        <is>
          <t>VÄSTRA GÖTALANDS LÄN</t>
        </is>
      </c>
      <c r="E69" t="inlineStr">
        <is>
          <t>ALE</t>
        </is>
      </c>
      <c r="G69" t="n">
        <v>6.9</v>
      </c>
      <c r="H69" t="n">
        <v>5</v>
      </c>
      <c r="I69" t="n">
        <v>2</v>
      </c>
      <c r="J69" t="n">
        <v>2</v>
      </c>
      <c r="K69" t="n">
        <v>1</v>
      </c>
      <c r="L69" t="n">
        <v>0</v>
      </c>
      <c r="M69" t="n">
        <v>0</v>
      </c>
      <c r="N69" t="n">
        <v>0</v>
      </c>
      <c r="O69" t="n">
        <v>3</v>
      </c>
      <c r="P69" t="n">
        <v>1</v>
      </c>
      <c r="Q69" t="n">
        <v>7</v>
      </c>
      <c r="R69" s="2" t="inlineStr">
        <is>
          <t>Knärot
Spillkråka
Tretåig hackspett
Blåmossa
Västlig hakmossa
Kungsfågel
Revlummer</t>
        </is>
      </c>
      <c r="S69">
        <f>HYPERLINK("https://klasma.github.io/Logging_1440/artfynd/A 17566-2024 artfynd.xlsx", "A 17566-2024")</f>
        <v/>
      </c>
      <c r="T69">
        <f>HYPERLINK("https://klasma.github.io/Logging_1440/kartor/A 17566-2024 karta.png", "A 17566-2024")</f>
        <v/>
      </c>
      <c r="U69">
        <f>HYPERLINK("https://klasma.github.io/Logging_1440/knärot/A 17566-2024 karta knärot.png", "A 17566-2024")</f>
        <v/>
      </c>
      <c r="V69">
        <f>HYPERLINK("https://klasma.github.io/Logging_1440/klagomål/A 17566-2024 FSC-klagomål.docx", "A 17566-2024")</f>
        <v/>
      </c>
      <c r="W69">
        <f>HYPERLINK("https://klasma.github.io/Logging_1440/klagomålsmail/A 17566-2024 FSC-klagomål mail.docx", "A 17566-2024")</f>
        <v/>
      </c>
      <c r="X69">
        <f>HYPERLINK("https://klasma.github.io/Logging_1440/tillsyn/A 17566-2024 tillsynsbegäran.docx", "A 17566-2024")</f>
        <v/>
      </c>
      <c r="Y69">
        <f>HYPERLINK("https://klasma.github.io/Logging_1440/tillsynsmail/A 17566-2024 tillsynsbegäran mail.docx", "A 17566-2024")</f>
        <v/>
      </c>
      <c r="Z69">
        <f>HYPERLINK("https://klasma.github.io/Logging_1440/fåglar/A 17566-2024 prioriterade fågelarter.docx", "A 17566-2024")</f>
        <v/>
      </c>
    </row>
    <row r="70" ht="15" customHeight="1">
      <c r="A70" t="inlineStr">
        <is>
          <t>A 1202-2024</t>
        </is>
      </c>
      <c r="B70" s="1" t="n">
        <v>45302</v>
      </c>
      <c r="C70" s="1" t="n">
        <v>45952</v>
      </c>
      <c r="D70" t="inlineStr">
        <is>
          <t>VÄSTRA GÖTALANDS LÄN</t>
        </is>
      </c>
      <c r="E70" t="inlineStr">
        <is>
          <t>SKARA</t>
        </is>
      </c>
      <c r="G70" t="n">
        <v>6.7</v>
      </c>
      <c r="H70" t="n">
        <v>2</v>
      </c>
      <c r="I70" t="n">
        <v>4</v>
      </c>
      <c r="J70" t="n">
        <v>0</v>
      </c>
      <c r="K70" t="n">
        <v>0</v>
      </c>
      <c r="L70" t="n">
        <v>1</v>
      </c>
      <c r="M70" t="n">
        <v>1</v>
      </c>
      <c r="N70" t="n">
        <v>0</v>
      </c>
      <c r="O70" t="n">
        <v>2</v>
      </c>
      <c r="P70" t="n">
        <v>2</v>
      </c>
      <c r="Q70" t="n">
        <v>7</v>
      </c>
      <c r="R70" s="2" t="inlineStr">
        <is>
          <t>Skogsalm
Ask
Nästrot
Sårläka
Underviol
Vätteros
Fläcknycklar</t>
        </is>
      </c>
      <c r="S70">
        <f>HYPERLINK("https://klasma.github.io/Logging_1495/artfynd/A 1202-2024 artfynd.xlsx", "A 1202-2024")</f>
        <v/>
      </c>
      <c r="T70">
        <f>HYPERLINK("https://klasma.github.io/Logging_1495/kartor/A 1202-2024 karta.png", "A 1202-2024")</f>
        <v/>
      </c>
      <c r="V70">
        <f>HYPERLINK("https://klasma.github.io/Logging_1495/klagomål/A 1202-2024 FSC-klagomål.docx", "A 1202-2024")</f>
        <v/>
      </c>
      <c r="W70">
        <f>HYPERLINK("https://klasma.github.io/Logging_1495/klagomålsmail/A 1202-2024 FSC-klagomål mail.docx", "A 1202-2024")</f>
        <v/>
      </c>
      <c r="X70">
        <f>HYPERLINK("https://klasma.github.io/Logging_1495/tillsyn/A 1202-2024 tillsynsbegäran.docx", "A 1202-2024")</f>
        <v/>
      </c>
      <c r="Y70">
        <f>HYPERLINK("https://klasma.github.io/Logging_1495/tillsynsmail/A 1202-2024 tillsynsbegäran mail.docx", "A 1202-2024")</f>
        <v/>
      </c>
    </row>
    <row r="71" ht="15" customHeight="1">
      <c r="A71" t="inlineStr">
        <is>
          <t>A 28013-2025</t>
        </is>
      </c>
      <c r="B71" s="1" t="n">
        <v>45817.61070601852</v>
      </c>
      <c r="C71" s="1" t="n">
        <v>45952</v>
      </c>
      <c r="D71" t="inlineStr">
        <is>
          <t>VÄSTRA GÖTALANDS LÄN</t>
        </is>
      </c>
      <c r="E71" t="inlineStr">
        <is>
          <t>DALS-ED</t>
        </is>
      </c>
      <c r="G71" t="n">
        <v>6.5</v>
      </c>
      <c r="H71" t="n">
        <v>1</v>
      </c>
      <c r="I71" t="n">
        <v>4</v>
      </c>
      <c r="J71" t="n">
        <v>3</v>
      </c>
      <c r="K71" t="n">
        <v>0</v>
      </c>
      <c r="L71" t="n">
        <v>0</v>
      </c>
      <c r="M71" t="n">
        <v>0</v>
      </c>
      <c r="N71" t="n">
        <v>0</v>
      </c>
      <c r="O71" t="n">
        <v>3</v>
      </c>
      <c r="P71" t="n">
        <v>0</v>
      </c>
      <c r="Q71" t="n">
        <v>7</v>
      </c>
      <c r="R71" s="2" t="inlineStr">
        <is>
          <t>Kådvaxskinn
Nordtagging
Tretåig hackspett
Barkticka
Brandticka
Jättesvampmal
Mindre märgborre</t>
        </is>
      </c>
      <c r="S71">
        <f>HYPERLINK("https://klasma.github.io/Logging_1438/artfynd/A 28013-2025 artfynd.xlsx", "A 28013-2025")</f>
        <v/>
      </c>
      <c r="T71">
        <f>HYPERLINK("https://klasma.github.io/Logging_1438/kartor/A 28013-2025 karta.png", "A 28013-2025")</f>
        <v/>
      </c>
      <c r="V71">
        <f>HYPERLINK("https://klasma.github.io/Logging_1438/klagomål/A 28013-2025 FSC-klagomål.docx", "A 28013-2025")</f>
        <v/>
      </c>
      <c r="W71">
        <f>HYPERLINK("https://klasma.github.io/Logging_1438/klagomålsmail/A 28013-2025 FSC-klagomål mail.docx", "A 28013-2025")</f>
        <v/>
      </c>
      <c r="X71">
        <f>HYPERLINK("https://klasma.github.io/Logging_1438/tillsyn/A 28013-2025 tillsynsbegäran.docx", "A 28013-2025")</f>
        <v/>
      </c>
      <c r="Y71">
        <f>HYPERLINK("https://klasma.github.io/Logging_1438/tillsynsmail/A 28013-2025 tillsynsbegäran mail.docx", "A 28013-2025")</f>
        <v/>
      </c>
      <c r="Z71">
        <f>HYPERLINK("https://klasma.github.io/Logging_1438/fåglar/A 28013-2025 prioriterade fågelarter.docx", "A 28013-2025")</f>
        <v/>
      </c>
    </row>
    <row r="72" ht="15" customHeight="1">
      <c r="A72" t="inlineStr">
        <is>
          <t>A 43450-2022</t>
        </is>
      </c>
      <c r="B72" s="1" t="n">
        <v>44835</v>
      </c>
      <c r="C72" s="1" t="n">
        <v>45952</v>
      </c>
      <c r="D72" t="inlineStr">
        <is>
          <t>VÄSTRA GÖTALANDS LÄN</t>
        </is>
      </c>
      <c r="E72" t="inlineStr">
        <is>
          <t>DALS-ED</t>
        </is>
      </c>
      <c r="G72" t="n">
        <v>12.8</v>
      </c>
      <c r="H72" t="n">
        <v>2</v>
      </c>
      <c r="I72" t="n">
        <v>5</v>
      </c>
      <c r="J72" t="n">
        <v>2</v>
      </c>
      <c r="K72" t="n">
        <v>0</v>
      </c>
      <c r="L72" t="n">
        <v>0</v>
      </c>
      <c r="M72" t="n">
        <v>0</v>
      </c>
      <c r="N72" t="n">
        <v>0</v>
      </c>
      <c r="O72" t="n">
        <v>2</v>
      </c>
      <c r="P72" t="n">
        <v>0</v>
      </c>
      <c r="Q72" t="n">
        <v>7</v>
      </c>
      <c r="R72" s="2" t="inlineStr">
        <is>
          <t>Spillkråka
Tretåig hackspett
Blåmossa
Dropptaggsvamp
Kattfotslav
Stor revmossa
Västlig hakmossa</t>
        </is>
      </c>
      <c r="S72">
        <f>HYPERLINK("https://klasma.github.io/Logging_1438/artfynd/A 43450-2022 artfynd.xlsx", "A 43450-2022")</f>
        <v/>
      </c>
      <c r="T72">
        <f>HYPERLINK("https://klasma.github.io/Logging_1438/kartor/A 43450-2022 karta.png", "A 43450-2022")</f>
        <v/>
      </c>
      <c r="V72">
        <f>HYPERLINK("https://klasma.github.io/Logging_1438/klagomål/A 43450-2022 FSC-klagomål.docx", "A 43450-2022")</f>
        <v/>
      </c>
      <c r="W72">
        <f>HYPERLINK("https://klasma.github.io/Logging_1438/klagomålsmail/A 43450-2022 FSC-klagomål mail.docx", "A 43450-2022")</f>
        <v/>
      </c>
      <c r="X72">
        <f>HYPERLINK("https://klasma.github.io/Logging_1438/tillsyn/A 43450-2022 tillsynsbegäran.docx", "A 43450-2022")</f>
        <v/>
      </c>
      <c r="Y72">
        <f>HYPERLINK("https://klasma.github.io/Logging_1438/tillsynsmail/A 43450-2022 tillsynsbegäran mail.docx", "A 43450-2022")</f>
        <v/>
      </c>
      <c r="Z72">
        <f>HYPERLINK("https://klasma.github.io/Logging_1438/fåglar/A 43450-2022 prioriterade fågelarter.docx", "A 43450-2022")</f>
        <v/>
      </c>
    </row>
    <row r="73" ht="15" customHeight="1">
      <c r="A73" t="inlineStr">
        <is>
          <t>A 266-2025</t>
        </is>
      </c>
      <c r="B73" s="1" t="n">
        <v>45653</v>
      </c>
      <c r="C73" s="1" t="n">
        <v>45952</v>
      </c>
      <c r="D73" t="inlineStr">
        <is>
          <t>VÄSTRA GÖTALANDS LÄN</t>
        </is>
      </c>
      <c r="E73" t="inlineStr">
        <is>
          <t>UDDEVALLA</t>
        </is>
      </c>
      <c r="G73" t="n">
        <v>15.2</v>
      </c>
      <c r="H73" t="n">
        <v>2</v>
      </c>
      <c r="I73" t="n">
        <v>4</v>
      </c>
      <c r="J73" t="n">
        <v>2</v>
      </c>
      <c r="K73" t="n">
        <v>0</v>
      </c>
      <c r="L73" t="n">
        <v>0</v>
      </c>
      <c r="M73" t="n">
        <v>0</v>
      </c>
      <c r="N73" t="n">
        <v>0</v>
      </c>
      <c r="O73" t="n">
        <v>2</v>
      </c>
      <c r="P73" t="n">
        <v>0</v>
      </c>
      <c r="Q73" t="n">
        <v>7</v>
      </c>
      <c r="R73" s="2" t="inlineStr">
        <is>
          <t>Kortskaftad ärgspik
Spillkråka
Björksplintborre
Blåmossa
Västlig hakmossa
Vågbandad barkbock
Tjäder</t>
        </is>
      </c>
      <c r="S73">
        <f>HYPERLINK("https://klasma.github.io/Logging_1485/artfynd/A 266-2025 artfynd.xlsx", "A 266-2025")</f>
        <v/>
      </c>
      <c r="T73">
        <f>HYPERLINK("https://klasma.github.io/Logging_1485/kartor/A 266-2025 karta.png", "A 266-2025")</f>
        <v/>
      </c>
      <c r="V73">
        <f>HYPERLINK("https://klasma.github.io/Logging_1485/klagomål/A 266-2025 FSC-klagomål.docx", "A 266-2025")</f>
        <v/>
      </c>
      <c r="W73">
        <f>HYPERLINK("https://klasma.github.io/Logging_1485/klagomålsmail/A 266-2025 FSC-klagomål mail.docx", "A 266-2025")</f>
        <v/>
      </c>
      <c r="X73">
        <f>HYPERLINK("https://klasma.github.io/Logging_1485/tillsyn/A 266-2025 tillsynsbegäran.docx", "A 266-2025")</f>
        <v/>
      </c>
      <c r="Y73">
        <f>HYPERLINK("https://klasma.github.io/Logging_1485/tillsynsmail/A 266-2025 tillsynsbegäran mail.docx", "A 266-2025")</f>
        <v/>
      </c>
      <c r="Z73">
        <f>HYPERLINK("https://klasma.github.io/Logging_1485/fåglar/A 266-2025 prioriterade fågelarter.docx", "A 266-2025")</f>
        <v/>
      </c>
    </row>
    <row r="74" ht="15" customHeight="1">
      <c r="A74" t="inlineStr">
        <is>
          <t>A 29174-2025</t>
        </is>
      </c>
      <c r="B74" s="1" t="n">
        <v>45821</v>
      </c>
      <c r="C74" s="1" t="n">
        <v>45952</v>
      </c>
      <c r="D74" t="inlineStr">
        <is>
          <t>VÄSTRA GÖTALANDS LÄN</t>
        </is>
      </c>
      <c r="E74" t="inlineStr">
        <is>
          <t>GULLSPÅNG</t>
        </is>
      </c>
      <c r="G74" t="n">
        <v>2.6</v>
      </c>
      <c r="H74" t="n">
        <v>7</v>
      </c>
      <c r="I74" t="n">
        <v>0</v>
      </c>
      <c r="J74" t="n">
        <v>2</v>
      </c>
      <c r="K74" t="n">
        <v>1</v>
      </c>
      <c r="L74" t="n">
        <v>0</v>
      </c>
      <c r="M74" t="n">
        <v>0</v>
      </c>
      <c r="N74" t="n">
        <v>0</v>
      </c>
      <c r="O74" t="n">
        <v>3</v>
      </c>
      <c r="P74" t="n">
        <v>1</v>
      </c>
      <c r="Q74" t="n">
        <v>7</v>
      </c>
      <c r="R74" s="2" t="inlineStr">
        <is>
          <t>Stare
Gulsparv
Svartvit flugsnappare
Dvärgpipistrell
Järnsparv
Näktergal
Vattenfladdermus</t>
        </is>
      </c>
      <c r="S74">
        <f>HYPERLINK("https://klasma.github.io/Logging_1447/artfynd/A 29174-2025 artfynd.xlsx", "A 29174-2025")</f>
        <v/>
      </c>
      <c r="T74">
        <f>HYPERLINK("https://klasma.github.io/Logging_1447/kartor/A 29174-2025 karta.png", "A 29174-2025")</f>
        <v/>
      </c>
      <c r="V74">
        <f>HYPERLINK("https://klasma.github.io/Logging_1447/klagomål/A 29174-2025 FSC-klagomål.docx", "A 29174-2025")</f>
        <v/>
      </c>
      <c r="W74">
        <f>HYPERLINK("https://klasma.github.io/Logging_1447/klagomålsmail/A 29174-2025 FSC-klagomål mail.docx", "A 29174-2025")</f>
        <v/>
      </c>
      <c r="X74">
        <f>HYPERLINK("https://klasma.github.io/Logging_1447/tillsyn/A 29174-2025 tillsynsbegäran.docx", "A 29174-2025")</f>
        <v/>
      </c>
      <c r="Y74">
        <f>HYPERLINK("https://klasma.github.io/Logging_1447/tillsynsmail/A 29174-2025 tillsynsbegäran mail.docx", "A 29174-2025")</f>
        <v/>
      </c>
      <c r="Z74">
        <f>HYPERLINK("https://klasma.github.io/Logging_1447/fåglar/A 29174-2025 prioriterade fågelarter.docx", "A 29174-2025")</f>
        <v/>
      </c>
    </row>
    <row r="75" ht="15" customHeight="1">
      <c r="A75" t="inlineStr">
        <is>
          <t>A 1291-2025</t>
        </is>
      </c>
      <c r="B75" s="1" t="n">
        <v>45667</v>
      </c>
      <c r="C75" s="1" t="n">
        <v>45952</v>
      </c>
      <c r="D75" t="inlineStr">
        <is>
          <t>VÄSTRA GÖTALANDS LÄN</t>
        </is>
      </c>
      <c r="E75" t="inlineStr">
        <is>
          <t>STENUNGSUND</t>
        </is>
      </c>
      <c r="G75" t="n">
        <v>9.699999999999999</v>
      </c>
      <c r="H75" t="n">
        <v>6</v>
      </c>
      <c r="I75" t="n">
        <v>1</v>
      </c>
      <c r="J75" t="n">
        <v>2</v>
      </c>
      <c r="K75" t="n">
        <v>0</v>
      </c>
      <c r="L75" t="n">
        <v>0</v>
      </c>
      <c r="M75" t="n">
        <v>0</v>
      </c>
      <c r="N75" t="n">
        <v>0</v>
      </c>
      <c r="O75" t="n">
        <v>2</v>
      </c>
      <c r="P75" t="n">
        <v>0</v>
      </c>
      <c r="Q75" t="n">
        <v>7</v>
      </c>
      <c r="R75" s="2" t="inlineStr">
        <is>
          <t>Spillkråka
Talltita
Björksplintborre
Kungsfågel
Tjäder
Revlummer
Äkta lopplummer</t>
        </is>
      </c>
      <c r="S75">
        <f>HYPERLINK("https://klasma.github.io/Logging_1415/artfynd/A 1291-2025 artfynd.xlsx", "A 1291-2025")</f>
        <v/>
      </c>
      <c r="T75">
        <f>HYPERLINK("https://klasma.github.io/Logging_1415/kartor/A 1291-2025 karta.png", "A 1291-2025")</f>
        <v/>
      </c>
      <c r="V75">
        <f>HYPERLINK("https://klasma.github.io/Logging_1415/klagomål/A 1291-2025 FSC-klagomål.docx", "A 1291-2025")</f>
        <v/>
      </c>
      <c r="W75">
        <f>HYPERLINK("https://klasma.github.io/Logging_1415/klagomålsmail/A 1291-2025 FSC-klagomål mail.docx", "A 1291-2025")</f>
        <v/>
      </c>
      <c r="X75">
        <f>HYPERLINK("https://klasma.github.io/Logging_1415/tillsyn/A 1291-2025 tillsynsbegäran.docx", "A 1291-2025")</f>
        <v/>
      </c>
      <c r="Y75">
        <f>HYPERLINK("https://klasma.github.io/Logging_1415/tillsynsmail/A 1291-2025 tillsynsbegäran mail.docx", "A 1291-2025")</f>
        <v/>
      </c>
      <c r="Z75">
        <f>HYPERLINK("https://klasma.github.io/Logging_1415/fåglar/A 1291-2025 prioriterade fågelarter.docx", "A 1291-2025")</f>
        <v/>
      </c>
    </row>
    <row r="76" ht="15" customHeight="1">
      <c r="A76" t="inlineStr">
        <is>
          <t>A 18326-2024</t>
        </is>
      </c>
      <c r="B76" s="1" t="n">
        <v>45422.55388888889</v>
      </c>
      <c r="C76" s="1" t="n">
        <v>45952</v>
      </c>
      <c r="D76" t="inlineStr">
        <is>
          <t>VÄSTRA GÖTALANDS LÄN</t>
        </is>
      </c>
      <c r="E76" t="inlineStr">
        <is>
          <t>DALS-ED</t>
        </is>
      </c>
      <c r="G76" t="n">
        <v>4.3</v>
      </c>
      <c r="H76" t="n">
        <v>1</v>
      </c>
      <c r="I76" t="n">
        <v>6</v>
      </c>
      <c r="J76" t="n">
        <v>1</v>
      </c>
      <c r="K76" t="n">
        <v>0</v>
      </c>
      <c r="L76" t="n">
        <v>0</v>
      </c>
      <c r="M76" t="n">
        <v>0</v>
      </c>
      <c r="N76" t="n">
        <v>0</v>
      </c>
      <c r="O76" t="n">
        <v>1</v>
      </c>
      <c r="P76" t="n">
        <v>0</v>
      </c>
      <c r="Q76" t="n">
        <v>7</v>
      </c>
      <c r="R76" s="2" t="inlineStr">
        <is>
          <t>Spillkråka
Barkticka
Blåmossa
Dropptaggsvamp
Kornknutmossa
Mindre märgborre
Rävticka</t>
        </is>
      </c>
      <c r="S76">
        <f>HYPERLINK("https://klasma.github.io/Logging_1438/artfynd/A 18326-2024 artfynd.xlsx", "A 18326-2024")</f>
        <v/>
      </c>
      <c r="T76">
        <f>HYPERLINK("https://klasma.github.io/Logging_1438/kartor/A 18326-2024 karta.png", "A 18326-2024")</f>
        <v/>
      </c>
      <c r="V76">
        <f>HYPERLINK("https://klasma.github.io/Logging_1438/klagomål/A 18326-2024 FSC-klagomål.docx", "A 18326-2024")</f>
        <v/>
      </c>
      <c r="W76">
        <f>HYPERLINK("https://klasma.github.io/Logging_1438/klagomålsmail/A 18326-2024 FSC-klagomål mail.docx", "A 18326-2024")</f>
        <v/>
      </c>
      <c r="X76">
        <f>HYPERLINK("https://klasma.github.io/Logging_1438/tillsyn/A 18326-2024 tillsynsbegäran.docx", "A 18326-2024")</f>
        <v/>
      </c>
      <c r="Y76">
        <f>HYPERLINK("https://klasma.github.io/Logging_1438/tillsynsmail/A 18326-2024 tillsynsbegäran mail.docx", "A 18326-2024")</f>
        <v/>
      </c>
      <c r="Z76">
        <f>HYPERLINK("https://klasma.github.io/Logging_1438/fåglar/A 18326-2024 prioriterade fågelarter.docx", "A 18326-2024")</f>
        <v/>
      </c>
    </row>
    <row r="77" ht="15" customHeight="1">
      <c r="A77" t="inlineStr">
        <is>
          <t>A 29057-2021</t>
        </is>
      </c>
      <c r="B77" s="1" t="n">
        <v>44358</v>
      </c>
      <c r="C77" s="1" t="n">
        <v>45952</v>
      </c>
      <c r="D77" t="inlineStr">
        <is>
          <t>VÄSTRA GÖTALANDS LÄN</t>
        </is>
      </c>
      <c r="E77" t="inlineStr">
        <is>
          <t>ALINGSÅS</t>
        </is>
      </c>
      <c r="G77" t="n">
        <v>8.199999999999999</v>
      </c>
      <c r="H77" t="n">
        <v>7</v>
      </c>
      <c r="I77" t="n">
        <v>0</v>
      </c>
      <c r="J77" t="n">
        <v>4</v>
      </c>
      <c r="K77" t="n">
        <v>0</v>
      </c>
      <c r="L77" t="n">
        <v>1</v>
      </c>
      <c r="M77" t="n">
        <v>0</v>
      </c>
      <c r="N77" t="n">
        <v>0</v>
      </c>
      <c r="O77" t="n">
        <v>5</v>
      </c>
      <c r="P77" t="n">
        <v>1</v>
      </c>
      <c r="Q77" t="n">
        <v>7</v>
      </c>
      <c r="R77" s="2" t="inlineStr">
        <is>
          <t>Grönfink
Gulsparv
Nordfladdermus
Svartvit flugsnappare
Sydfladdermus
Dvärgpipistrell
Större brunfladdermus</t>
        </is>
      </c>
      <c r="S77">
        <f>HYPERLINK("https://klasma.github.io/Logging_1489/artfynd/A 29057-2021 artfynd.xlsx", "A 29057-2021")</f>
        <v/>
      </c>
      <c r="T77">
        <f>HYPERLINK("https://klasma.github.io/Logging_1489/kartor/A 29057-2021 karta.png", "A 29057-2021")</f>
        <v/>
      </c>
      <c r="V77">
        <f>HYPERLINK("https://klasma.github.io/Logging_1489/klagomål/A 29057-2021 FSC-klagomål.docx", "A 29057-2021")</f>
        <v/>
      </c>
      <c r="W77">
        <f>HYPERLINK("https://klasma.github.io/Logging_1489/klagomålsmail/A 29057-2021 FSC-klagomål mail.docx", "A 29057-2021")</f>
        <v/>
      </c>
      <c r="X77">
        <f>HYPERLINK("https://klasma.github.io/Logging_1489/tillsyn/A 29057-2021 tillsynsbegäran.docx", "A 29057-2021")</f>
        <v/>
      </c>
      <c r="Y77">
        <f>HYPERLINK("https://klasma.github.io/Logging_1489/tillsynsmail/A 29057-2021 tillsynsbegäran mail.docx", "A 29057-2021")</f>
        <v/>
      </c>
      <c r="Z77">
        <f>HYPERLINK("https://klasma.github.io/Logging_1489/fåglar/A 29057-2021 prioriterade fågelarter.docx", "A 29057-2021")</f>
        <v/>
      </c>
    </row>
    <row r="78" ht="15" customHeight="1">
      <c r="A78" t="inlineStr">
        <is>
          <t>A 48654-2021</t>
        </is>
      </c>
      <c r="B78" s="1" t="n">
        <v>44452</v>
      </c>
      <c r="C78" s="1" t="n">
        <v>45952</v>
      </c>
      <c r="D78" t="inlineStr">
        <is>
          <t>VÄSTRA GÖTALANDS LÄN</t>
        </is>
      </c>
      <c r="E78" t="inlineStr">
        <is>
          <t>DALS-ED</t>
        </is>
      </c>
      <c r="G78" t="n">
        <v>3</v>
      </c>
      <c r="H78" t="n">
        <v>4</v>
      </c>
      <c r="I78" t="n">
        <v>2</v>
      </c>
      <c r="J78" t="n">
        <v>2</v>
      </c>
      <c r="K78" t="n">
        <v>1</v>
      </c>
      <c r="L78" t="n">
        <v>0</v>
      </c>
      <c r="M78" t="n">
        <v>0</v>
      </c>
      <c r="N78" t="n">
        <v>0</v>
      </c>
      <c r="O78" t="n">
        <v>3</v>
      </c>
      <c r="P78" t="n">
        <v>1</v>
      </c>
      <c r="Q78" t="n">
        <v>6</v>
      </c>
      <c r="R78" s="2" t="inlineStr">
        <is>
          <t>Knärot
Spillkråka
Tretåig hackspett
Bronshjon
Kattfotslav
Tjäder</t>
        </is>
      </c>
      <c r="S78">
        <f>HYPERLINK("https://klasma.github.io/Logging_1438/artfynd/A 48654-2021 artfynd.xlsx", "A 48654-2021")</f>
        <v/>
      </c>
      <c r="T78">
        <f>HYPERLINK("https://klasma.github.io/Logging_1438/kartor/A 48654-2021 karta.png", "A 48654-2021")</f>
        <v/>
      </c>
      <c r="U78">
        <f>HYPERLINK("https://klasma.github.io/Logging_1438/knärot/A 48654-2021 karta knärot.png", "A 48654-2021")</f>
        <v/>
      </c>
      <c r="V78">
        <f>HYPERLINK("https://klasma.github.io/Logging_1438/klagomål/A 48654-2021 FSC-klagomål.docx", "A 48654-2021")</f>
        <v/>
      </c>
      <c r="W78">
        <f>HYPERLINK("https://klasma.github.io/Logging_1438/klagomålsmail/A 48654-2021 FSC-klagomål mail.docx", "A 48654-2021")</f>
        <v/>
      </c>
      <c r="X78">
        <f>HYPERLINK("https://klasma.github.io/Logging_1438/tillsyn/A 48654-2021 tillsynsbegäran.docx", "A 48654-2021")</f>
        <v/>
      </c>
      <c r="Y78">
        <f>HYPERLINK("https://klasma.github.io/Logging_1438/tillsynsmail/A 48654-2021 tillsynsbegäran mail.docx", "A 48654-2021")</f>
        <v/>
      </c>
      <c r="Z78">
        <f>HYPERLINK("https://klasma.github.io/Logging_1438/fåglar/A 48654-2021 prioriterade fågelarter.docx", "A 48654-2021")</f>
        <v/>
      </c>
    </row>
    <row r="79" ht="15" customHeight="1">
      <c r="A79" t="inlineStr">
        <is>
          <t>A 62846-2023</t>
        </is>
      </c>
      <c r="B79" s="1" t="n">
        <v>45272</v>
      </c>
      <c r="C79" s="1" t="n">
        <v>45952</v>
      </c>
      <c r="D79" t="inlineStr">
        <is>
          <t>VÄSTRA GÖTALANDS LÄN</t>
        </is>
      </c>
      <c r="E79" t="inlineStr">
        <is>
          <t>LILLA EDET</t>
        </is>
      </c>
      <c r="G79" t="n">
        <v>3.4</v>
      </c>
      <c r="H79" t="n">
        <v>2</v>
      </c>
      <c r="I79" t="n">
        <v>4</v>
      </c>
      <c r="J79" t="n">
        <v>0</v>
      </c>
      <c r="K79" t="n">
        <v>0</v>
      </c>
      <c r="L79" t="n">
        <v>0</v>
      </c>
      <c r="M79" t="n">
        <v>0</v>
      </c>
      <c r="N79" t="n">
        <v>0</v>
      </c>
      <c r="O79" t="n">
        <v>0</v>
      </c>
      <c r="P79" t="n">
        <v>0</v>
      </c>
      <c r="Q79" t="n">
        <v>6</v>
      </c>
      <c r="R79" s="2" t="inlineStr">
        <is>
          <t>Blåmossa
Bronshjon
Stor revmossa
Vågbandad barkbock
Större vattensalamander
Revlummer</t>
        </is>
      </c>
      <c r="S79">
        <f>HYPERLINK("https://klasma.github.io/Logging_1462/artfynd/A 62846-2023 artfynd.xlsx", "A 62846-2023")</f>
        <v/>
      </c>
      <c r="T79">
        <f>HYPERLINK("https://klasma.github.io/Logging_1462/kartor/A 62846-2023 karta.png", "A 62846-2023")</f>
        <v/>
      </c>
      <c r="V79">
        <f>HYPERLINK("https://klasma.github.io/Logging_1462/klagomål/A 62846-2023 FSC-klagomål.docx", "A 62846-2023")</f>
        <v/>
      </c>
      <c r="W79">
        <f>HYPERLINK("https://klasma.github.io/Logging_1462/klagomålsmail/A 62846-2023 FSC-klagomål mail.docx", "A 62846-2023")</f>
        <v/>
      </c>
      <c r="X79">
        <f>HYPERLINK("https://klasma.github.io/Logging_1462/tillsyn/A 62846-2023 tillsynsbegäran.docx", "A 62846-2023")</f>
        <v/>
      </c>
      <c r="Y79">
        <f>HYPERLINK("https://klasma.github.io/Logging_1462/tillsynsmail/A 62846-2023 tillsynsbegäran mail.docx", "A 62846-2023")</f>
        <v/>
      </c>
    </row>
    <row r="80" ht="15" customHeight="1">
      <c r="A80" t="inlineStr">
        <is>
          <t>A 36225-2024</t>
        </is>
      </c>
      <c r="B80" s="1" t="n">
        <v>45534</v>
      </c>
      <c r="C80" s="1" t="n">
        <v>45952</v>
      </c>
      <c r="D80" t="inlineStr">
        <is>
          <t>VÄSTRA GÖTALANDS LÄN</t>
        </is>
      </c>
      <c r="E80" t="inlineStr">
        <is>
          <t>TIDAHOLM</t>
        </is>
      </c>
      <c r="F80" t="inlineStr">
        <is>
          <t>Allmännings- och besparingsskogar</t>
        </is>
      </c>
      <c r="G80" t="n">
        <v>8.199999999999999</v>
      </c>
      <c r="H80" t="n">
        <v>0</v>
      </c>
      <c r="I80" t="n">
        <v>2</v>
      </c>
      <c r="J80" t="n">
        <v>4</v>
      </c>
      <c r="K80" t="n">
        <v>0</v>
      </c>
      <c r="L80" t="n">
        <v>0</v>
      </c>
      <c r="M80" t="n">
        <v>0</v>
      </c>
      <c r="N80" t="n">
        <v>0</v>
      </c>
      <c r="O80" t="n">
        <v>4</v>
      </c>
      <c r="P80" t="n">
        <v>0</v>
      </c>
      <c r="Q80" t="n">
        <v>6</v>
      </c>
      <c r="R80" s="2" t="inlineStr">
        <is>
          <t>Motaggsvamp
Orange taggsvamp
Skrovlig taggsvamp
Svart taggsvamp
Dropptaggsvamp
Skarp dropptaggsvamp</t>
        </is>
      </c>
      <c r="S80">
        <f>HYPERLINK("https://klasma.github.io/Logging_1498/artfynd/A 36225-2024 artfynd.xlsx", "A 36225-2024")</f>
        <v/>
      </c>
      <c r="T80">
        <f>HYPERLINK("https://klasma.github.io/Logging_1498/kartor/A 36225-2024 karta.png", "A 36225-2024")</f>
        <v/>
      </c>
      <c r="V80">
        <f>HYPERLINK("https://klasma.github.io/Logging_1498/klagomål/A 36225-2024 FSC-klagomål.docx", "A 36225-2024")</f>
        <v/>
      </c>
      <c r="W80">
        <f>HYPERLINK("https://klasma.github.io/Logging_1498/klagomålsmail/A 36225-2024 FSC-klagomål mail.docx", "A 36225-2024")</f>
        <v/>
      </c>
      <c r="X80">
        <f>HYPERLINK("https://klasma.github.io/Logging_1498/tillsyn/A 36225-2024 tillsynsbegäran.docx", "A 36225-2024")</f>
        <v/>
      </c>
      <c r="Y80">
        <f>HYPERLINK("https://klasma.github.io/Logging_1498/tillsynsmail/A 36225-2024 tillsynsbegäran mail.docx", "A 36225-2024")</f>
        <v/>
      </c>
    </row>
    <row r="81" ht="15" customHeight="1">
      <c r="A81" t="inlineStr">
        <is>
          <t>A 3427-2024</t>
        </is>
      </c>
      <c r="B81" s="1" t="n">
        <v>45317</v>
      </c>
      <c r="C81" s="1" t="n">
        <v>45952</v>
      </c>
      <c r="D81" t="inlineStr">
        <is>
          <t>VÄSTRA GÖTALANDS LÄN</t>
        </is>
      </c>
      <c r="E81" t="inlineStr">
        <is>
          <t>UDDEVALLA</t>
        </is>
      </c>
      <c r="F81" t="inlineStr">
        <is>
          <t>Kyrkan</t>
        </is>
      </c>
      <c r="G81" t="n">
        <v>10.8</v>
      </c>
      <c r="H81" t="n">
        <v>2</v>
      </c>
      <c r="I81" t="n">
        <v>3</v>
      </c>
      <c r="J81" t="n">
        <v>2</v>
      </c>
      <c r="K81" t="n">
        <v>0</v>
      </c>
      <c r="L81" t="n">
        <v>0</v>
      </c>
      <c r="M81" t="n">
        <v>0</v>
      </c>
      <c r="N81" t="n">
        <v>0</v>
      </c>
      <c r="O81" t="n">
        <v>2</v>
      </c>
      <c r="P81" t="n">
        <v>0</v>
      </c>
      <c r="Q81" t="n">
        <v>6</v>
      </c>
      <c r="R81" s="2" t="inlineStr">
        <is>
          <t>Grönhjon
Spillkråka
Klippfrullania
Stor revmossa
Västlig hakmossa
Revlummer</t>
        </is>
      </c>
      <c r="S81">
        <f>HYPERLINK("https://klasma.github.io/Logging_1485/artfynd/A 3427-2024 artfynd.xlsx", "A 3427-2024")</f>
        <v/>
      </c>
      <c r="T81">
        <f>HYPERLINK("https://klasma.github.io/Logging_1485/kartor/A 3427-2024 karta.png", "A 3427-2024")</f>
        <v/>
      </c>
      <c r="V81">
        <f>HYPERLINK("https://klasma.github.io/Logging_1485/klagomål/A 3427-2024 FSC-klagomål.docx", "A 3427-2024")</f>
        <v/>
      </c>
      <c r="W81">
        <f>HYPERLINK("https://klasma.github.io/Logging_1485/klagomålsmail/A 3427-2024 FSC-klagomål mail.docx", "A 3427-2024")</f>
        <v/>
      </c>
      <c r="X81">
        <f>HYPERLINK("https://klasma.github.io/Logging_1485/tillsyn/A 3427-2024 tillsynsbegäran.docx", "A 3427-2024")</f>
        <v/>
      </c>
      <c r="Y81">
        <f>HYPERLINK("https://klasma.github.io/Logging_1485/tillsynsmail/A 3427-2024 tillsynsbegäran mail.docx", "A 3427-2024")</f>
        <v/>
      </c>
      <c r="Z81">
        <f>HYPERLINK("https://klasma.github.io/Logging_1485/fåglar/A 3427-2024 prioriterade fågelarter.docx", "A 3427-2024")</f>
        <v/>
      </c>
    </row>
    <row r="82" ht="15" customHeight="1">
      <c r="A82" t="inlineStr">
        <is>
          <t>A 68519-2021</t>
        </is>
      </c>
      <c r="B82" s="1" t="n">
        <v>44529</v>
      </c>
      <c r="C82" s="1" t="n">
        <v>45952</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32397-2021</t>
        </is>
      </c>
      <c r="B83" s="1" t="n">
        <v>44371</v>
      </c>
      <c r="C83" s="1" t="n">
        <v>45952</v>
      </c>
      <c r="D83" t="inlineStr">
        <is>
          <t>VÄSTRA GÖTALANDS LÄN</t>
        </is>
      </c>
      <c r="E83" t="inlineStr">
        <is>
          <t>MELLERUD</t>
        </is>
      </c>
      <c r="G83" t="n">
        <v>6.9</v>
      </c>
      <c r="H83" t="n">
        <v>2</v>
      </c>
      <c r="I83" t="n">
        <v>3</v>
      </c>
      <c r="J83" t="n">
        <v>2</v>
      </c>
      <c r="K83" t="n">
        <v>0</v>
      </c>
      <c r="L83" t="n">
        <v>0</v>
      </c>
      <c r="M83" t="n">
        <v>0</v>
      </c>
      <c r="N83" t="n">
        <v>0</v>
      </c>
      <c r="O83" t="n">
        <v>2</v>
      </c>
      <c r="P83" t="n">
        <v>0</v>
      </c>
      <c r="Q83" t="n">
        <v>6</v>
      </c>
      <c r="R83" s="2" t="inlineStr">
        <is>
          <t>Skirmossa
Svart askbastborre
Dunmossa
Korallblylav
Stor revmossa
Blåsippa</t>
        </is>
      </c>
      <c r="S83">
        <f>HYPERLINK("https://klasma.github.io/Logging_1461/artfynd/A 32397-2021 artfynd.xlsx", "A 32397-2021")</f>
        <v/>
      </c>
      <c r="T83">
        <f>HYPERLINK("https://klasma.github.io/Logging_1461/kartor/A 32397-2021 karta.png", "A 32397-2021")</f>
        <v/>
      </c>
      <c r="V83">
        <f>HYPERLINK("https://klasma.github.io/Logging_1461/klagomål/A 32397-2021 FSC-klagomål.docx", "A 32397-2021")</f>
        <v/>
      </c>
      <c r="W83">
        <f>HYPERLINK("https://klasma.github.io/Logging_1461/klagomålsmail/A 32397-2021 FSC-klagomål mail.docx", "A 32397-2021")</f>
        <v/>
      </c>
      <c r="X83">
        <f>HYPERLINK("https://klasma.github.io/Logging_1461/tillsyn/A 32397-2021 tillsynsbegäran.docx", "A 32397-2021")</f>
        <v/>
      </c>
      <c r="Y83">
        <f>HYPERLINK("https://klasma.github.io/Logging_1461/tillsynsmail/A 32397-2021 tillsynsbegäran mail.docx", "A 32397-2021")</f>
        <v/>
      </c>
    </row>
    <row r="84" ht="15" customHeight="1">
      <c r="A84" t="inlineStr">
        <is>
          <t>A 54503-2024</t>
        </is>
      </c>
      <c r="B84" s="1" t="n">
        <v>45617.58420138889</v>
      </c>
      <c r="C84" s="1" t="n">
        <v>45952</v>
      </c>
      <c r="D84" t="inlineStr">
        <is>
          <t>VÄSTRA GÖTALANDS LÄN</t>
        </is>
      </c>
      <c r="E84" t="inlineStr">
        <is>
          <t>MARK</t>
        </is>
      </c>
      <c r="G84" t="n">
        <v>14.3</v>
      </c>
      <c r="H84" t="n">
        <v>4</v>
      </c>
      <c r="I84" t="n">
        <v>1</v>
      </c>
      <c r="J84" t="n">
        <v>1</v>
      </c>
      <c r="K84" t="n">
        <v>1</v>
      </c>
      <c r="L84" t="n">
        <v>1</v>
      </c>
      <c r="M84" t="n">
        <v>0</v>
      </c>
      <c r="N84" t="n">
        <v>0</v>
      </c>
      <c r="O84" t="n">
        <v>3</v>
      </c>
      <c r="P84" t="n">
        <v>2</v>
      </c>
      <c r="Q84" t="n">
        <v>6</v>
      </c>
      <c r="R84" s="2" t="inlineStr">
        <is>
          <t>Ask
Knärot
Svinrot
Spindelblomster
Mattlummer
Revlummer</t>
        </is>
      </c>
      <c r="S84">
        <f>HYPERLINK("https://klasma.github.io/Logging_1463/artfynd/A 54503-2024 artfynd.xlsx", "A 54503-2024")</f>
        <v/>
      </c>
      <c r="T84">
        <f>HYPERLINK("https://klasma.github.io/Logging_1463/kartor/A 54503-2024 karta.png", "A 54503-2024")</f>
        <v/>
      </c>
      <c r="U84">
        <f>HYPERLINK("https://klasma.github.io/Logging_1463/knärot/A 54503-2024 karta knärot.png", "A 54503-2024")</f>
        <v/>
      </c>
      <c r="V84">
        <f>HYPERLINK("https://klasma.github.io/Logging_1463/klagomål/A 54503-2024 FSC-klagomål.docx", "A 54503-2024")</f>
        <v/>
      </c>
      <c r="W84">
        <f>HYPERLINK("https://klasma.github.io/Logging_1463/klagomålsmail/A 54503-2024 FSC-klagomål mail.docx", "A 54503-2024")</f>
        <v/>
      </c>
      <c r="X84">
        <f>HYPERLINK("https://klasma.github.io/Logging_1463/tillsyn/A 54503-2024 tillsynsbegäran.docx", "A 54503-2024")</f>
        <v/>
      </c>
      <c r="Y84">
        <f>HYPERLINK("https://klasma.github.io/Logging_1463/tillsynsmail/A 54503-2024 tillsynsbegäran mail.docx", "A 54503-2024")</f>
        <v/>
      </c>
    </row>
    <row r="85" ht="15" customHeight="1">
      <c r="A85" t="inlineStr">
        <is>
          <t>A 22578-2021</t>
        </is>
      </c>
      <c r="B85" s="1" t="n">
        <v>44327</v>
      </c>
      <c r="C85" s="1" t="n">
        <v>45952</v>
      </c>
      <c r="D85" t="inlineStr">
        <is>
          <t>VÄSTRA GÖTALANDS LÄN</t>
        </is>
      </c>
      <c r="E85" t="inlineStr">
        <is>
          <t>STRÖMSTAD</t>
        </is>
      </c>
      <c r="G85" t="n">
        <v>6.7</v>
      </c>
      <c r="H85" t="n">
        <v>0</v>
      </c>
      <c r="I85" t="n">
        <v>5</v>
      </c>
      <c r="J85" t="n">
        <v>1</v>
      </c>
      <c r="K85" t="n">
        <v>0</v>
      </c>
      <c r="L85" t="n">
        <v>0</v>
      </c>
      <c r="M85" t="n">
        <v>0</v>
      </c>
      <c r="N85" t="n">
        <v>0</v>
      </c>
      <c r="O85" t="n">
        <v>1</v>
      </c>
      <c r="P85" t="n">
        <v>0</v>
      </c>
      <c r="Q85" t="n">
        <v>6</v>
      </c>
      <c r="R85" s="2" t="inlineStr">
        <is>
          <t>Tallticka
Granbarkgnagare
Havstulpanlav
Kattfotslav
Klippfrullania
Korallblylav</t>
        </is>
      </c>
      <c r="S85">
        <f>HYPERLINK("https://klasma.github.io/Logging_1486/artfynd/A 22578-2021 artfynd.xlsx", "A 22578-2021")</f>
        <v/>
      </c>
      <c r="T85">
        <f>HYPERLINK("https://klasma.github.io/Logging_1486/kartor/A 22578-2021 karta.png", "A 22578-2021")</f>
        <v/>
      </c>
      <c r="V85">
        <f>HYPERLINK("https://klasma.github.io/Logging_1486/klagomål/A 22578-2021 FSC-klagomål.docx", "A 22578-2021")</f>
        <v/>
      </c>
      <c r="W85">
        <f>HYPERLINK("https://klasma.github.io/Logging_1486/klagomålsmail/A 22578-2021 FSC-klagomål mail.docx", "A 22578-2021")</f>
        <v/>
      </c>
      <c r="X85">
        <f>HYPERLINK("https://klasma.github.io/Logging_1486/tillsyn/A 22578-2021 tillsynsbegäran.docx", "A 22578-2021")</f>
        <v/>
      </c>
      <c r="Y85">
        <f>HYPERLINK("https://klasma.github.io/Logging_1486/tillsynsmail/A 22578-2021 tillsynsbegäran mail.docx", "A 22578-2021")</f>
        <v/>
      </c>
    </row>
    <row r="86" ht="15" customHeight="1">
      <c r="A86" t="inlineStr">
        <is>
          <t>A 3648-2021</t>
        </is>
      </c>
      <c r="B86" s="1" t="n">
        <v>44221</v>
      </c>
      <c r="C86" s="1" t="n">
        <v>45952</v>
      </c>
      <c r="D86" t="inlineStr">
        <is>
          <t>VÄSTRA GÖTALANDS LÄN</t>
        </is>
      </c>
      <c r="E86" t="inlineStr">
        <is>
          <t>HÄRRYDA</t>
        </is>
      </c>
      <c r="G86" t="n">
        <v>4.5</v>
      </c>
      <c r="H86" t="n">
        <v>6</v>
      </c>
      <c r="I86" t="n">
        <v>0</v>
      </c>
      <c r="J86" t="n">
        <v>2</v>
      </c>
      <c r="K86" t="n">
        <v>0</v>
      </c>
      <c r="L86" t="n">
        <v>0</v>
      </c>
      <c r="M86" t="n">
        <v>0</v>
      </c>
      <c r="N86" t="n">
        <v>0</v>
      </c>
      <c r="O86" t="n">
        <v>2</v>
      </c>
      <c r="P86" t="n">
        <v>0</v>
      </c>
      <c r="Q86" t="n">
        <v>6</v>
      </c>
      <c r="R86" s="2" t="inlineStr">
        <is>
          <t>Gulsparv
Nordfladdermus
Enkelbeckasin
Järnsparv
Vanlig groda
Vanlig padda</t>
        </is>
      </c>
      <c r="S86">
        <f>HYPERLINK("https://klasma.github.io/Logging_1401/artfynd/A 3648-2021 artfynd.xlsx", "A 3648-2021")</f>
        <v/>
      </c>
      <c r="T86">
        <f>HYPERLINK("https://klasma.github.io/Logging_1401/kartor/A 3648-2021 karta.png", "A 3648-2021")</f>
        <v/>
      </c>
      <c r="V86">
        <f>HYPERLINK("https://klasma.github.io/Logging_1401/klagomål/A 3648-2021 FSC-klagomål.docx", "A 3648-2021")</f>
        <v/>
      </c>
      <c r="W86">
        <f>HYPERLINK("https://klasma.github.io/Logging_1401/klagomålsmail/A 3648-2021 FSC-klagomål mail.docx", "A 3648-2021")</f>
        <v/>
      </c>
      <c r="X86">
        <f>HYPERLINK("https://klasma.github.io/Logging_1401/tillsyn/A 3648-2021 tillsynsbegäran.docx", "A 3648-2021")</f>
        <v/>
      </c>
      <c r="Y86">
        <f>HYPERLINK("https://klasma.github.io/Logging_1401/tillsynsmail/A 3648-2021 tillsynsbegäran mail.docx", "A 3648-2021")</f>
        <v/>
      </c>
      <c r="Z86">
        <f>HYPERLINK("https://klasma.github.io/Logging_1401/fåglar/A 3648-2021 prioriterade fågelarter.docx", "A 3648-2021")</f>
        <v/>
      </c>
    </row>
    <row r="87" ht="15" customHeight="1">
      <c r="A87" t="inlineStr">
        <is>
          <t>A 44363-2023</t>
        </is>
      </c>
      <c r="B87" s="1" t="n">
        <v>45188</v>
      </c>
      <c r="C87" s="1" t="n">
        <v>45952</v>
      </c>
      <c r="D87" t="inlineStr">
        <is>
          <t>VÄSTRA GÖTALANDS LÄN</t>
        </is>
      </c>
      <c r="E87" t="inlineStr">
        <is>
          <t>DALS-ED</t>
        </is>
      </c>
      <c r="G87" t="n">
        <v>3.5</v>
      </c>
      <c r="H87" t="n">
        <v>1</v>
      </c>
      <c r="I87" t="n">
        <v>4</v>
      </c>
      <c r="J87" t="n">
        <v>2</v>
      </c>
      <c r="K87" t="n">
        <v>0</v>
      </c>
      <c r="L87" t="n">
        <v>0</v>
      </c>
      <c r="M87" t="n">
        <v>0</v>
      </c>
      <c r="N87" t="n">
        <v>0</v>
      </c>
      <c r="O87" t="n">
        <v>2</v>
      </c>
      <c r="P87" t="n">
        <v>0</v>
      </c>
      <c r="Q87" t="n">
        <v>6</v>
      </c>
      <c r="R87" s="2" t="inlineStr">
        <is>
          <t>Spillkråka
Vedtrappmossa
Kattfotslav
Kornknutmossa
Västlig hakmossa
Zontaggsvamp</t>
        </is>
      </c>
      <c r="S87">
        <f>HYPERLINK("https://klasma.github.io/Logging_1438/artfynd/A 44363-2023 artfynd.xlsx", "A 44363-2023")</f>
        <v/>
      </c>
      <c r="T87">
        <f>HYPERLINK("https://klasma.github.io/Logging_1438/kartor/A 44363-2023 karta.png", "A 44363-2023")</f>
        <v/>
      </c>
      <c r="V87">
        <f>HYPERLINK("https://klasma.github.io/Logging_1438/klagomål/A 44363-2023 FSC-klagomål.docx", "A 44363-2023")</f>
        <v/>
      </c>
      <c r="W87">
        <f>HYPERLINK("https://klasma.github.io/Logging_1438/klagomålsmail/A 44363-2023 FSC-klagomål mail.docx", "A 44363-2023")</f>
        <v/>
      </c>
      <c r="X87">
        <f>HYPERLINK("https://klasma.github.io/Logging_1438/tillsyn/A 44363-2023 tillsynsbegäran.docx", "A 44363-2023")</f>
        <v/>
      </c>
      <c r="Y87">
        <f>HYPERLINK("https://klasma.github.io/Logging_1438/tillsynsmail/A 44363-2023 tillsynsbegäran mail.docx", "A 44363-2023")</f>
        <v/>
      </c>
      <c r="Z87">
        <f>HYPERLINK("https://klasma.github.io/Logging_1438/fåglar/A 44363-2023 prioriterade fågelarter.docx", "A 44363-2023")</f>
        <v/>
      </c>
    </row>
    <row r="88" ht="15" customHeight="1">
      <c r="A88" t="inlineStr">
        <is>
          <t>A 5141-2025</t>
        </is>
      </c>
      <c r="B88" s="1" t="n">
        <v>45691.58489583333</v>
      </c>
      <c r="C88" s="1" t="n">
        <v>45952</v>
      </c>
      <c r="D88" t="inlineStr">
        <is>
          <t>VÄSTRA GÖTALANDS LÄN</t>
        </is>
      </c>
      <c r="E88" t="inlineStr">
        <is>
          <t>MARIESTAD</t>
        </is>
      </c>
      <c r="G88" t="n">
        <v>8.800000000000001</v>
      </c>
      <c r="H88" t="n">
        <v>4</v>
      </c>
      <c r="I88" t="n">
        <v>1</v>
      </c>
      <c r="J88" t="n">
        <v>4</v>
      </c>
      <c r="K88" t="n">
        <v>0</v>
      </c>
      <c r="L88" t="n">
        <v>0</v>
      </c>
      <c r="M88" t="n">
        <v>0</v>
      </c>
      <c r="N88" t="n">
        <v>0</v>
      </c>
      <c r="O88" t="n">
        <v>4</v>
      </c>
      <c r="P88" t="n">
        <v>0</v>
      </c>
      <c r="Q88" t="n">
        <v>6</v>
      </c>
      <c r="R88" s="2" t="inlineStr">
        <is>
          <t>Entita
Kortskaftad ärgspik
Spillkråka
Svartvit flugsnappare
Björksplintborre
Kungsfågel</t>
        </is>
      </c>
      <c r="S88">
        <f>HYPERLINK("https://klasma.github.io/Logging_1493/artfynd/A 5141-2025 artfynd.xlsx", "A 5141-2025")</f>
        <v/>
      </c>
      <c r="T88">
        <f>HYPERLINK("https://klasma.github.io/Logging_1493/kartor/A 5141-2025 karta.png", "A 5141-2025")</f>
        <v/>
      </c>
      <c r="V88">
        <f>HYPERLINK("https://klasma.github.io/Logging_1493/klagomål/A 5141-2025 FSC-klagomål.docx", "A 5141-2025")</f>
        <v/>
      </c>
      <c r="W88">
        <f>HYPERLINK("https://klasma.github.io/Logging_1493/klagomålsmail/A 5141-2025 FSC-klagomål mail.docx", "A 5141-2025")</f>
        <v/>
      </c>
      <c r="X88">
        <f>HYPERLINK("https://klasma.github.io/Logging_1493/tillsyn/A 5141-2025 tillsynsbegäran.docx", "A 5141-2025")</f>
        <v/>
      </c>
      <c r="Y88">
        <f>HYPERLINK("https://klasma.github.io/Logging_1493/tillsynsmail/A 5141-2025 tillsynsbegäran mail.docx", "A 5141-2025")</f>
        <v/>
      </c>
      <c r="Z88">
        <f>HYPERLINK("https://klasma.github.io/Logging_1493/fåglar/A 5141-2025 prioriterade fågelarter.docx", "A 5141-2025")</f>
        <v/>
      </c>
    </row>
    <row r="89" ht="15" customHeight="1">
      <c r="A89" t="inlineStr">
        <is>
          <t>A 10368-2025</t>
        </is>
      </c>
      <c r="B89" s="1" t="n">
        <v>45720.54828703704</v>
      </c>
      <c r="C89" s="1" t="n">
        <v>45952</v>
      </c>
      <c r="D89" t="inlineStr">
        <is>
          <t>VÄSTRA GÖTALANDS LÄN</t>
        </is>
      </c>
      <c r="E89" t="inlineStr">
        <is>
          <t>STRÖMSTAD</t>
        </is>
      </c>
      <c r="G89" t="n">
        <v>6.4</v>
      </c>
      <c r="H89" t="n">
        <v>5</v>
      </c>
      <c r="I89" t="n">
        <v>0</v>
      </c>
      <c r="J89" t="n">
        <v>4</v>
      </c>
      <c r="K89" t="n">
        <v>1</v>
      </c>
      <c r="L89" t="n">
        <v>0</v>
      </c>
      <c r="M89" t="n">
        <v>0</v>
      </c>
      <c r="N89" t="n">
        <v>0</v>
      </c>
      <c r="O89" t="n">
        <v>5</v>
      </c>
      <c r="P89" t="n">
        <v>1</v>
      </c>
      <c r="Q89" t="n">
        <v>6</v>
      </c>
      <c r="R89" s="2" t="inlineStr">
        <is>
          <t>Kricka
Desmeknopp
Gravand
Havsörn
Strandskata
Blåsippa</t>
        </is>
      </c>
      <c r="S89">
        <f>HYPERLINK("https://klasma.github.io/Logging_1486/artfynd/A 10368-2025 artfynd.xlsx", "A 10368-2025")</f>
        <v/>
      </c>
      <c r="T89">
        <f>HYPERLINK("https://klasma.github.io/Logging_1486/kartor/A 10368-2025 karta.png", "A 10368-2025")</f>
        <v/>
      </c>
      <c r="V89">
        <f>HYPERLINK("https://klasma.github.io/Logging_1486/klagomål/A 10368-2025 FSC-klagomål.docx", "A 10368-2025")</f>
        <v/>
      </c>
      <c r="W89">
        <f>HYPERLINK("https://klasma.github.io/Logging_1486/klagomålsmail/A 10368-2025 FSC-klagomål mail.docx", "A 10368-2025")</f>
        <v/>
      </c>
      <c r="X89">
        <f>HYPERLINK("https://klasma.github.io/Logging_1486/tillsyn/A 10368-2025 tillsynsbegäran.docx", "A 10368-2025")</f>
        <v/>
      </c>
      <c r="Y89">
        <f>HYPERLINK("https://klasma.github.io/Logging_1486/tillsynsmail/A 10368-2025 tillsynsbegäran mail.docx", "A 10368-2025")</f>
        <v/>
      </c>
      <c r="Z89">
        <f>HYPERLINK("https://klasma.github.io/Logging_1486/fåglar/A 10368-2025 prioriterade fågelarter.docx", "A 10368-2025")</f>
        <v/>
      </c>
    </row>
    <row r="90" ht="15" customHeight="1">
      <c r="A90" t="inlineStr">
        <is>
          <t>A 33191-2022</t>
        </is>
      </c>
      <c r="B90" s="1" t="n">
        <v>44785</v>
      </c>
      <c r="C90" s="1" t="n">
        <v>45952</v>
      </c>
      <c r="D90" t="inlineStr">
        <is>
          <t>VÄSTRA GÖTALANDS LÄN</t>
        </is>
      </c>
      <c r="E90" t="inlineStr">
        <is>
          <t>FÄRGELANDA</t>
        </is>
      </c>
      <c r="G90" t="n">
        <v>13.5</v>
      </c>
      <c r="H90" t="n">
        <v>2</v>
      </c>
      <c r="I90" t="n">
        <v>2</v>
      </c>
      <c r="J90" t="n">
        <v>3</v>
      </c>
      <c r="K90" t="n">
        <v>1</v>
      </c>
      <c r="L90" t="n">
        <v>0</v>
      </c>
      <c r="M90" t="n">
        <v>0</v>
      </c>
      <c r="N90" t="n">
        <v>0</v>
      </c>
      <c r="O90" t="n">
        <v>4</v>
      </c>
      <c r="P90" t="n">
        <v>1</v>
      </c>
      <c r="Q90" t="n">
        <v>6</v>
      </c>
      <c r="R90" s="2" t="inlineStr">
        <is>
          <t>Knärot
Dofttaggsvamp
Gul taggsvamp
Skirmossa
Havstulpanlav
Korallblylav</t>
        </is>
      </c>
      <c r="S90">
        <f>HYPERLINK("https://klasma.github.io/Logging_1439/artfynd/A 33191-2022 artfynd.xlsx", "A 33191-2022")</f>
        <v/>
      </c>
      <c r="T90">
        <f>HYPERLINK("https://klasma.github.io/Logging_1439/kartor/A 33191-2022 karta.png", "A 33191-2022")</f>
        <v/>
      </c>
      <c r="U90">
        <f>HYPERLINK("https://klasma.github.io/Logging_1439/knärot/A 33191-2022 karta knärot.png", "A 33191-2022")</f>
        <v/>
      </c>
      <c r="V90">
        <f>HYPERLINK("https://klasma.github.io/Logging_1439/klagomål/A 33191-2022 FSC-klagomål.docx", "A 33191-2022")</f>
        <v/>
      </c>
      <c r="W90">
        <f>HYPERLINK("https://klasma.github.io/Logging_1439/klagomålsmail/A 33191-2022 FSC-klagomål mail.docx", "A 33191-2022")</f>
        <v/>
      </c>
      <c r="X90">
        <f>HYPERLINK("https://klasma.github.io/Logging_1439/tillsyn/A 33191-2022 tillsynsbegäran.docx", "A 33191-2022")</f>
        <v/>
      </c>
      <c r="Y90">
        <f>HYPERLINK("https://klasma.github.io/Logging_1439/tillsynsmail/A 33191-2022 tillsynsbegäran mail.docx", "A 33191-2022")</f>
        <v/>
      </c>
    </row>
    <row r="91" ht="15" customHeight="1">
      <c r="A91" t="inlineStr">
        <is>
          <t>A 24162-2025</t>
        </is>
      </c>
      <c r="B91" s="1" t="n">
        <v>45796.66684027778</v>
      </c>
      <c r="C91" s="1" t="n">
        <v>45952</v>
      </c>
      <c r="D91" t="inlineStr">
        <is>
          <t>VÄSTRA GÖTALANDS LÄN</t>
        </is>
      </c>
      <c r="E91" t="inlineStr">
        <is>
          <t>ALE</t>
        </is>
      </c>
      <c r="G91" t="n">
        <v>5.5</v>
      </c>
      <c r="H91" t="n">
        <v>4</v>
      </c>
      <c r="I91" t="n">
        <v>2</v>
      </c>
      <c r="J91" t="n">
        <v>1</v>
      </c>
      <c r="K91" t="n">
        <v>0</v>
      </c>
      <c r="L91" t="n">
        <v>0</v>
      </c>
      <c r="M91" t="n">
        <v>0</v>
      </c>
      <c r="N91" t="n">
        <v>0</v>
      </c>
      <c r="O91" t="n">
        <v>1</v>
      </c>
      <c r="P91" t="n">
        <v>0</v>
      </c>
      <c r="Q91" t="n">
        <v>6</v>
      </c>
      <c r="R91" s="2" t="inlineStr">
        <is>
          <t>Spillkråka
Blanksvart trämyra
Blåmossa
Kungsfågel
Trana
Revlummer</t>
        </is>
      </c>
      <c r="S91">
        <f>HYPERLINK("https://klasma.github.io/Logging_1440/artfynd/A 24162-2025 artfynd.xlsx", "A 24162-2025")</f>
        <v/>
      </c>
      <c r="T91">
        <f>HYPERLINK("https://klasma.github.io/Logging_1440/kartor/A 24162-2025 karta.png", "A 24162-2025")</f>
        <v/>
      </c>
      <c r="V91">
        <f>HYPERLINK("https://klasma.github.io/Logging_1440/klagomål/A 24162-2025 FSC-klagomål.docx", "A 24162-2025")</f>
        <v/>
      </c>
      <c r="W91">
        <f>HYPERLINK("https://klasma.github.io/Logging_1440/klagomålsmail/A 24162-2025 FSC-klagomål mail.docx", "A 24162-2025")</f>
        <v/>
      </c>
      <c r="X91">
        <f>HYPERLINK("https://klasma.github.io/Logging_1440/tillsyn/A 24162-2025 tillsynsbegäran.docx", "A 24162-2025")</f>
        <v/>
      </c>
      <c r="Y91">
        <f>HYPERLINK("https://klasma.github.io/Logging_1440/tillsynsmail/A 24162-2025 tillsynsbegäran mail.docx", "A 24162-2025")</f>
        <v/>
      </c>
      <c r="Z91">
        <f>HYPERLINK("https://klasma.github.io/Logging_1440/fåglar/A 24162-2025 prioriterade fågelarter.docx", "A 24162-2025")</f>
        <v/>
      </c>
    </row>
    <row r="92" ht="15" customHeight="1">
      <c r="A92" t="inlineStr">
        <is>
          <t>A 563-2024</t>
        </is>
      </c>
      <c r="B92" s="1" t="n">
        <v>45299</v>
      </c>
      <c r="C92" s="1" t="n">
        <v>45952</v>
      </c>
      <c r="D92" t="inlineStr">
        <is>
          <t>VÄSTRA GÖTALANDS LÄN</t>
        </is>
      </c>
      <c r="E92" t="inlineStr">
        <is>
          <t>ALE</t>
        </is>
      </c>
      <c r="F92" t="inlineStr">
        <is>
          <t>Kyrkan</t>
        </is>
      </c>
      <c r="G92" t="n">
        <v>26</v>
      </c>
      <c r="H92" t="n">
        <v>4</v>
      </c>
      <c r="I92" t="n">
        <v>1</v>
      </c>
      <c r="J92" t="n">
        <v>3</v>
      </c>
      <c r="K92" t="n">
        <v>0</v>
      </c>
      <c r="L92" t="n">
        <v>0</v>
      </c>
      <c r="M92" t="n">
        <v>0</v>
      </c>
      <c r="N92" t="n">
        <v>0</v>
      </c>
      <c r="O92" t="n">
        <v>3</v>
      </c>
      <c r="P92" t="n">
        <v>0</v>
      </c>
      <c r="Q92" t="n">
        <v>6</v>
      </c>
      <c r="R92" s="2" t="inlineStr">
        <is>
          <t>Kortskaftad ärgspik
Spillkråka
Talltita
Björksplintborre
Tjäder
Revlummer</t>
        </is>
      </c>
      <c r="S92">
        <f>HYPERLINK("https://klasma.github.io/Logging_1440/artfynd/A 563-2024 artfynd.xlsx", "A 563-2024")</f>
        <v/>
      </c>
      <c r="T92">
        <f>HYPERLINK("https://klasma.github.io/Logging_1440/kartor/A 563-2024 karta.png", "A 563-2024")</f>
        <v/>
      </c>
      <c r="V92">
        <f>HYPERLINK("https://klasma.github.io/Logging_1440/klagomål/A 563-2024 FSC-klagomål.docx", "A 563-2024")</f>
        <v/>
      </c>
      <c r="W92">
        <f>HYPERLINK("https://klasma.github.io/Logging_1440/klagomålsmail/A 563-2024 FSC-klagomål mail.docx", "A 563-2024")</f>
        <v/>
      </c>
      <c r="X92">
        <f>HYPERLINK("https://klasma.github.io/Logging_1440/tillsyn/A 563-2024 tillsynsbegäran.docx", "A 563-2024")</f>
        <v/>
      </c>
      <c r="Y92">
        <f>HYPERLINK("https://klasma.github.io/Logging_1440/tillsynsmail/A 563-2024 tillsynsbegäran mail.docx", "A 563-2024")</f>
        <v/>
      </c>
      <c r="Z92">
        <f>HYPERLINK("https://klasma.github.io/Logging_1440/fåglar/A 563-2024 prioriterade fågelarter.docx", "A 563-2024")</f>
        <v/>
      </c>
    </row>
    <row r="93" ht="15" customHeight="1">
      <c r="A93" t="inlineStr">
        <is>
          <t>A 31942-2023</t>
        </is>
      </c>
      <c r="B93" s="1" t="n">
        <v>45119.33660879629</v>
      </c>
      <c r="C93" s="1" t="n">
        <v>45952</v>
      </c>
      <c r="D93" t="inlineStr">
        <is>
          <t>VÄSTRA GÖTALANDS LÄN</t>
        </is>
      </c>
      <c r="E93" t="inlineStr">
        <is>
          <t>BORÅS</t>
        </is>
      </c>
      <c r="G93" t="n">
        <v>7.3</v>
      </c>
      <c r="H93" t="n">
        <v>4</v>
      </c>
      <c r="I93" t="n">
        <v>2</v>
      </c>
      <c r="J93" t="n">
        <v>3</v>
      </c>
      <c r="K93" t="n">
        <v>0</v>
      </c>
      <c r="L93" t="n">
        <v>0</v>
      </c>
      <c r="M93" t="n">
        <v>0</v>
      </c>
      <c r="N93" t="n">
        <v>0</v>
      </c>
      <c r="O93" t="n">
        <v>3</v>
      </c>
      <c r="P93" t="n">
        <v>0</v>
      </c>
      <c r="Q93" t="n">
        <v>6</v>
      </c>
      <c r="R93" s="2" t="inlineStr">
        <is>
          <t>Rödvingetrast
Spillkråka
Talltita
Björksplintborre
Stor revmossa
Tjäder</t>
        </is>
      </c>
      <c r="S93">
        <f>HYPERLINK("https://klasma.github.io/Logging_1490/artfynd/A 31942-2023 artfynd.xlsx", "A 31942-2023")</f>
        <v/>
      </c>
      <c r="T93">
        <f>HYPERLINK("https://klasma.github.io/Logging_1490/kartor/A 31942-2023 karta.png", "A 31942-2023")</f>
        <v/>
      </c>
      <c r="V93">
        <f>HYPERLINK("https://klasma.github.io/Logging_1490/klagomål/A 31942-2023 FSC-klagomål.docx", "A 31942-2023")</f>
        <v/>
      </c>
      <c r="W93">
        <f>HYPERLINK("https://klasma.github.io/Logging_1490/klagomålsmail/A 31942-2023 FSC-klagomål mail.docx", "A 31942-2023")</f>
        <v/>
      </c>
      <c r="X93">
        <f>HYPERLINK("https://klasma.github.io/Logging_1490/tillsyn/A 31942-2023 tillsynsbegäran.docx", "A 31942-2023")</f>
        <v/>
      </c>
      <c r="Y93">
        <f>HYPERLINK("https://klasma.github.io/Logging_1490/tillsynsmail/A 31942-2023 tillsynsbegäran mail.docx", "A 31942-2023")</f>
        <v/>
      </c>
      <c r="Z93">
        <f>HYPERLINK("https://klasma.github.io/Logging_1490/fåglar/A 31942-2023 prioriterade fågelarter.docx", "A 31942-2023")</f>
        <v/>
      </c>
    </row>
    <row r="94" ht="15" customHeight="1">
      <c r="A94" t="inlineStr">
        <is>
          <t>A 12671-2023</t>
        </is>
      </c>
      <c r="B94" s="1" t="n">
        <v>45000</v>
      </c>
      <c r="C94" s="1" t="n">
        <v>45952</v>
      </c>
      <c r="D94" t="inlineStr">
        <is>
          <t>VÄSTRA GÖTALANDS LÄN</t>
        </is>
      </c>
      <c r="E94" t="inlineStr">
        <is>
          <t>TANUM</t>
        </is>
      </c>
      <c r="G94" t="n">
        <v>3.7</v>
      </c>
      <c r="H94" t="n">
        <v>5</v>
      </c>
      <c r="I94" t="n">
        <v>1</v>
      </c>
      <c r="J94" t="n">
        <v>3</v>
      </c>
      <c r="K94" t="n">
        <v>0</v>
      </c>
      <c r="L94" t="n">
        <v>0</v>
      </c>
      <c r="M94" t="n">
        <v>0</v>
      </c>
      <c r="N94" t="n">
        <v>0</v>
      </c>
      <c r="O94" t="n">
        <v>3</v>
      </c>
      <c r="P94" t="n">
        <v>0</v>
      </c>
      <c r="Q94" t="n">
        <v>6</v>
      </c>
      <c r="R94" s="2" t="inlineStr">
        <is>
          <t>Spillkråka
Talltita
Tretåig hackspett
Västlig hakmossa
Tjäder
Revlummer</t>
        </is>
      </c>
      <c r="S94">
        <f>HYPERLINK("https://klasma.github.io/Logging_1435/artfynd/A 12671-2023 artfynd.xlsx", "A 12671-2023")</f>
        <v/>
      </c>
      <c r="T94">
        <f>HYPERLINK("https://klasma.github.io/Logging_1435/kartor/A 12671-2023 karta.png", "A 12671-2023")</f>
        <v/>
      </c>
      <c r="V94">
        <f>HYPERLINK("https://klasma.github.io/Logging_1435/klagomål/A 12671-2023 FSC-klagomål.docx", "A 12671-2023")</f>
        <v/>
      </c>
      <c r="W94">
        <f>HYPERLINK("https://klasma.github.io/Logging_1435/klagomålsmail/A 12671-2023 FSC-klagomål mail.docx", "A 12671-2023")</f>
        <v/>
      </c>
      <c r="X94">
        <f>HYPERLINK("https://klasma.github.io/Logging_1435/tillsyn/A 12671-2023 tillsynsbegäran.docx", "A 12671-2023")</f>
        <v/>
      </c>
      <c r="Y94">
        <f>HYPERLINK("https://klasma.github.io/Logging_1435/tillsynsmail/A 12671-2023 tillsynsbegäran mail.docx", "A 12671-2023")</f>
        <v/>
      </c>
      <c r="Z94">
        <f>HYPERLINK("https://klasma.github.io/Logging_1435/fåglar/A 12671-2023 prioriterade fågelarter.docx", "A 12671-2023")</f>
        <v/>
      </c>
    </row>
    <row r="95" ht="15" customHeight="1">
      <c r="A95" t="inlineStr">
        <is>
          <t>A 9226-2022</t>
        </is>
      </c>
      <c r="B95" s="1" t="n">
        <v>44616.34016203704</v>
      </c>
      <c r="C95" s="1" t="n">
        <v>45952</v>
      </c>
      <c r="D95" t="inlineStr">
        <is>
          <t>VÄSTRA GÖTALANDS LÄN</t>
        </is>
      </c>
      <c r="E95" t="inlineStr">
        <is>
          <t>DALS-ED</t>
        </is>
      </c>
      <c r="G95" t="n">
        <v>1.7</v>
      </c>
      <c r="H95" t="n">
        <v>1</v>
      </c>
      <c r="I95" t="n">
        <v>1</v>
      </c>
      <c r="J95" t="n">
        <v>3</v>
      </c>
      <c r="K95" t="n">
        <v>1</v>
      </c>
      <c r="L95" t="n">
        <v>0</v>
      </c>
      <c r="M95" t="n">
        <v>0</v>
      </c>
      <c r="N95" t="n">
        <v>0</v>
      </c>
      <c r="O95" t="n">
        <v>4</v>
      </c>
      <c r="P95" t="n">
        <v>1</v>
      </c>
      <c r="Q95" t="n">
        <v>6</v>
      </c>
      <c r="R95" s="2" t="inlineStr">
        <is>
          <t>Borsttagging
Kandelabersvamp
Kådvaxskinn
Vit vedfingersvamp
Jättesvampmal
Blåsippa</t>
        </is>
      </c>
      <c r="S95">
        <f>HYPERLINK("https://klasma.github.io/Logging_1438/artfynd/A 9226-2022 artfynd.xlsx", "A 9226-2022")</f>
        <v/>
      </c>
      <c r="T95">
        <f>HYPERLINK("https://klasma.github.io/Logging_1438/kartor/A 9226-2022 karta.png", "A 9226-2022")</f>
        <v/>
      </c>
      <c r="V95">
        <f>HYPERLINK("https://klasma.github.io/Logging_1438/klagomål/A 9226-2022 FSC-klagomål.docx", "A 9226-2022")</f>
        <v/>
      </c>
      <c r="W95">
        <f>HYPERLINK("https://klasma.github.io/Logging_1438/klagomålsmail/A 9226-2022 FSC-klagomål mail.docx", "A 9226-2022")</f>
        <v/>
      </c>
      <c r="X95">
        <f>HYPERLINK("https://klasma.github.io/Logging_1438/tillsyn/A 9226-2022 tillsynsbegäran.docx", "A 9226-2022")</f>
        <v/>
      </c>
      <c r="Y95">
        <f>HYPERLINK("https://klasma.github.io/Logging_1438/tillsynsmail/A 9226-2022 tillsynsbegäran mail.docx", "A 9226-2022")</f>
        <v/>
      </c>
    </row>
    <row r="96" ht="15" customHeight="1">
      <c r="A96" t="inlineStr">
        <is>
          <t>A 44635-2025</t>
        </is>
      </c>
      <c r="B96" s="1" t="n">
        <v>45917.49247685185</v>
      </c>
      <c r="C96" s="1" t="n">
        <v>45952</v>
      </c>
      <c r="D96" t="inlineStr">
        <is>
          <t>VÄSTRA GÖTALANDS LÄN</t>
        </is>
      </c>
      <c r="E96" t="inlineStr">
        <is>
          <t>TRANEMO</t>
        </is>
      </c>
      <c r="G96" t="n">
        <v>5.6</v>
      </c>
      <c r="H96" t="n">
        <v>4</v>
      </c>
      <c r="I96" t="n">
        <v>2</v>
      </c>
      <c r="J96" t="n">
        <v>3</v>
      </c>
      <c r="K96" t="n">
        <v>0</v>
      </c>
      <c r="L96" t="n">
        <v>0</v>
      </c>
      <c r="M96" t="n">
        <v>0</v>
      </c>
      <c r="N96" t="n">
        <v>0</v>
      </c>
      <c r="O96" t="n">
        <v>3</v>
      </c>
      <c r="P96" t="n">
        <v>0</v>
      </c>
      <c r="Q96" t="n">
        <v>6</v>
      </c>
      <c r="R96" s="2" t="inlineStr">
        <is>
          <t>Brunlångöra
Fransfladdermus
Nordfladdermus
Thomsons trägnagare
Vågbandad barkbock
Dvärgpipistrell</t>
        </is>
      </c>
      <c r="S96">
        <f>HYPERLINK("https://klasma.github.io/Logging_1452/artfynd/A 44635-2025 artfynd.xlsx", "A 44635-2025")</f>
        <v/>
      </c>
      <c r="T96">
        <f>HYPERLINK("https://klasma.github.io/Logging_1452/kartor/A 44635-2025 karta.png", "A 44635-2025")</f>
        <v/>
      </c>
      <c r="V96">
        <f>HYPERLINK("https://klasma.github.io/Logging_1452/klagomål/A 44635-2025 FSC-klagomål.docx", "A 44635-2025")</f>
        <v/>
      </c>
      <c r="W96">
        <f>HYPERLINK("https://klasma.github.io/Logging_1452/klagomålsmail/A 44635-2025 FSC-klagomål mail.docx", "A 44635-2025")</f>
        <v/>
      </c>
      <c r="X96">
        <f>HYPERLINK("https://klasma.github.io/Logging_1452/tillsyn/A 44635-2025 tillsynsbegäran.docx", "A 44635-2025")</f>
        <v/>
      </c>
      <c r="Y96">
        <f>HYPERLINK("https://klasma.github.io/Logging_1452/tillsynsmail/A 44635-2025 tillsynsbegäran mail.docx", "A 44635-2025")</f>
        <v/>
      </c>
    </row>
    <row r="97" ht="15" customHeight="1">
      <c r="A97" t="inlineStr">
        <is>
          <t>A 45174-2021</t>
        </is>
      </c>
      <c r="B97" s="1" t="n">
        <v>44439</v>
      </c>
      <c r="C97" s="1" t="n">
        <v>45952</v>
      </c>
      <c r="D97" t="inlineStr">
        <is>
          <t>VÄSTRA GÖTALANDS LÄN</t>
        </is>
      </c>
      <c r="E97" t="inlineStr">
        <is>
          <t>MARK</t>
        </is>
      </c>
      <c r="G97" t="n">
        <v>2.4</v>
      </c>
      <c r="H97" t="n">
        <v>1</v>
      </c>
      <c r="I97" t="n">
        <v>2</v>
      </c>
      <c r="J97" t="n">
        <v>0</v>
      </c>
      <c r="K97" t="n">
        <v>1</v>
      </c>
      <c r="L97" t="n">
        <v>1</v>
      </c>
      <c r="M97" t="n">
        <v>1</v>
      </c>
      <c r="N97" t="n">
        <v>0</v>
      </c>
      <c r="O97" t="n">
        <v>3</v>
      </c>
      <c r="P97" t="n">
        <v>3</v>
      </c>
      <c r="Q97" t="n">
        <v>5</v>
      </c>
      <c r="R97" s="2" t="inlineStr">
        <is>
          <t>Skogsalm
Ask
Läderbagge
Guldlockmossa
Platt fjädermossa</t>
        </is>
      </c>
      <c r="S97">
        <f>HYPERLINK("https://klasma.github.io/Logging_1463/artfynd/A 45174-2021 artfynd.xlsx", "A 45174-2021")</f>
        <v/>
      </c>
      <c r="T97">
        <f>HYPERLINK("https://klasma.github.io/Logging_1463/kartor/A 45174-2021 karta.png", "A 45174-2021")</f>
        <v/>
      </c>
      <c r="V97">
        <f>HYPERLINK("https://klasma.github.io/Logging_1463/klagomål/A 45174-2021 FSC-klagomål.docx", "A 45174-2021")</f>
        <v/>
      </c>
      <c r="W97">
        <f>HYPERLINK("https://klasma.github.io/Logging_1463/klagomålsmail/A 45174-2021 FSC-klagomål mail.docx", "A 45174-2021")</f>
        <v/>
      </c>
      <c r="X97">
        <f>HYPERLINK("https://klasma.github.io/Logging_1463/tillsyn/A 45174-2021 tillsynsbegäran.docx", "A 45174-2021")</f>
        <v/>
      </c>
      <c r="Y97">
        <f>HYPERLINK("https://klasma.github.io/Logging_1463/tillsynsmail/A 45174-2021 tillsynsbegäran mail.docx", "A 45174-2021")</f>
        <v/>
      </c>
    </row>
    <row r="98" ht="15" customHeight="1">
      <c r="A98" t="inlineStr">
        <is>
          <t>A 3642-2021</t>
        </is>
      </c>
      <c r="B98" s="1" t="n">
        <v>44221</v>
      </c>
      <c r="C98" s="1" t="n">
        <v>45952</v>
      </c>
      <c r="D98" t="inlineStr">
        <is>
          <t>VÄSTRA GÖTALANDS LÄN</t>
        </is>
      </c>
      <c r="E98" t="inlineStr">
        <is>
          <t>HÄRRYDA</t>
        </is>
      </c>
      <c r="G98" t="n">
        <v>2.1</v>
      </c>
      <c r="H98" t="n">
        <v>4</v>
      </c>
      <c r="I98" t="n">
        <v>1</v>
      </c>
      <c r="J98" t="n">
        <v>1</v>
      </c>
      <c r="K98" t="n">
        <v>0</v>
      </c>
      <c r="L98" t="n">
        <v>0</v>
      </c>
      <c r="M98" t="n">
        <v>0</v>
      </c>
      <c r="N98" t="n">
        <v>0</v>
      </c>
      <c r="O98" t="n">
        <v>1</v>
      </c>
      <c r="P98" t="n">
        <v>0</v>
      </c>
      <c r="Q98" t="n">
        <v>5</v>
      </c>
      <c r="R98" s="2" t="inlineStr">
        <is>
          <t>Nordfladdermus
Vågbandad barkbock
Järnsparv
Kungsfågel
Revlummer</t>
        </is>
      </c>
      <c r="S98">
        <f>HYPERLINK("https://klasma.github.io/Logging_1401/artfynd/A 3642-2021 artfynd.xlsx", "A 3642-2021")</f>
        <v/>
      </c>
      <c r="T98">
        <f>HYPERLINK("https://klasma.github.io/Logging_1401/kartor/A 3642-2021 karta.png", "A 3642-2021")</f>
        <v/>
      </c>
      <c r="V98">
        <f>HYPERLINK("https://klasma.github.io/Logging_1401/klagomål/A 3642-2021 FSC-klagomål.docx", "A 3642-2021")</f>
        <v/>
      </c>
      <c r="W98">
        <f>HYPERLINK("https://klasma.github.io/Logging_1401/klagomålsmail/A 3642-2021 FSC-klagomål mail.docx", "A 3642-2021")</f>
        <v/>
      </c>
      <c r="X98">
        <f>HYPERLINK("https://klasma.github.io/Logging_1401/tillsyn/A 3642-2021 tillsynsbegäran.docx", "A 3642-2021")</f>
        <v/>
      </c>
      <c r="Y98">
        <f>HYPERLINK("https://klasma.github.io/Logging_1401/tillsynsmail/A 3642-2021 tillsynsbegäran mail.docx", "A 3642-2021")</f>
        <v/>
      </c>
      <c r="Z98">
        <f>HYPERLINK("https://klasma.github.io/Logging_1401/fåglar/A 3642-2021 prioriterade fågelarter.docx", "A 3642-2021")</f>
        <v/>
      </c>
    </row>
    <row r="99" ht="15" customHeight="1">
      <c r="A99" t="inlineStr">
        <is>
          <t>A 13848-2021</t>
        </is>
      </c>
      <c r="B99" s="1" t="n">
        <v>44277</v>
      </c>
      <c r="C99" s="1" t="n">
        <v>45952</v>
      </c>
      <c r="D99" t="inlineStr">
        <is>
          <t>VÄSTRA GÖTALANDS LÄN</t>
        </is>
      </c>
      <c r="E99" t="inlineStr">
        <is>
          <t>SKÖVDE</t>
        </is>
      </c>
      <c r="G99" t="n">
        <v>4.9</v>
      </c>
      <c r="H99" t="n">
        <v>2</v>
      </c>
      <c r="I99" t="n">
        <v>2</v>
      </c>
      <c r="J99" t="n">
        <v>1</v>
      </c>
      <c r="K99" t="n">
        <v>0</v>
      </c>
      <c r="L99" t="n">
        <v>0</v>
      </c>
      <c r="M99" t="n">
        <v>1</v>
      </c>
      <c r="N99" t="n">
        <v>0</v>
      </c>
      <c r="O99" t="n">
        <v>2</v>
      </c>
      <c r="P99" t="n">
        <v>1</v>
      </c>
      <c r="Q99" t="n">
        <v>5</v>
      </c>
      <c r="R99" s="2" t="inlineStr">
        <is>
          <t>Skogsalm
Krusfrö
Korallrot
Lundbräsma
Fläcknycklar</t>
        </is>
      </c>
      <c r="S99">
        <f>HYPERLINK("https://klasma.github.io/Logging_1496/artfynd/A 13848-2021 artfynd.xlsx", "A 13848-2021")</f>
        <v/>
      </c>
      <c r="T99">
        <f>HYPERLINK("https://klasma.github.io/Logging_1496/kartor/A 13848-2021 karta.png", "A 13848-2021")</f>
        <v/>
      </c>
      <c r="V99">
        <f>HYPERLINK("https://klasma.github.io/Logging_1496/klagomål/A 13848-2021 FSC-klagomål.docx", "A 13848-2021")</f>
        <v/>
      </c>
      <c r="W99">
        <f>HYPERLINK("https://klasma.github.io/Logging_1496/klagomålsmail/A 13848-2021 FSC-klagomål mail.docx", "A 13848-2021")</f>
        <v/>
      </c>
      <c r="X99">
        <f>HYPERLINK("https://klasma.github.io/Logging_1496/tillsyn/A 13848-2021 tillsynsbegäran.docx", "A 13848-2021")</f>
        <v/>
      </c>
      <c r="Y99">
        <f>HYPERLINK("https://klasma.github.io/Logging_1496/tillsynsmail/A 13848-2021 tillsynsbegäran mail.docx", "A 13848-2021")</f>
        <v/>
      </c>
    </row>
    <row r="100" ht="15" customHeight="1">
      <c r="A100" t="inlineStr">
        <is>
          <t>A 55776-2021</t>
        </is>
      </c>
      <c r="B100" s="1" t="n">
        <v>44476</v>
      </c>
      <c r="C100" s="1" t="n">
        <v>45952</v>
      </c>
      <c r="D100" t="inlineStr">
        <is>
          <t>VÄSTRA GÖTALANDS LÄN</t>
        </is>
      </c>
      <c r="E100" t="inlineStr">
        <is>
          <t>ORUST</t>
        </is>
      </c>
      <c r="G100" t="n">
        <v>4</v>
      </c>
      <c r="H100" t="n">
        <v>1</v>
      </c>
      <c r="I100" t="n">
        <v>4</v>
      </c>
      <c r="J100" t="n">
        <v>0</v>
      </c>
      <c r="K100" t="n">
        <v>1</v>
      </c>
      <c r="L100" t="n">
        <v>0</v>
      </c>
      <c r="M100" t="n">
        <v>0</v>
      </c>
      <c r="N100" t="n">
        <v>0</v>
      </c>
      <c r="O100" t="n">
        <v>1</v>
      </c>
      <c r="P100" t="n">
        <v>1</v>
      </c>
      <c r="Q100" t="n">
        <v>5</v>
      </c>
      <c r="R100" s="2" t="inlineStr">
        <is>
          <t>Knärot
Blåmossa
Purpurmylia
Stor revmossa
Västlig hakmossa</t>
        </is>
      </c>
      <c r="S100">
        <f>HYPERLINK("https://klasma.github.io/Logging_1421/artfynd/A 55776-2021 artfynd.xlsx", "A 55776-2021")</f>
        <v/>
      </c>
      <c r="T100">
        <f>HYPERLINK("https://klasma.github.io/Logging_1421/kartor/A 55776-2021 karta.png", "A 55776-2021")</f>
        <v/>
      </c>
      <c r="U100">
        <f>HYPERLINK("https://klasma.github.io/Logging_1421/knärot/A 55776-2021 karta knärot.png", "A 55776-2021")</f>
        <v/>
      </c>
      <c r="V100">
        <f>HYPERLINK("https://klasma.github.io/Logging_1421/klagomål/A 55776-2021 FSC-klagomål.docx", "A 55776-2021")</f>
        <v/>
      </c>
      <c r="W100">
        <f>HYPERLINK("https://klasma.github.io/Logging_1421/klagomålsmail/A 55776-2021 FSC-klagomål mail.docx", "A 55776-2021")</f>
        <v/>
      </c>
      <c r="X100">
        <f>HYPERLINK("https://klasma.github.io/Logging_1421/tillsyn/A 55776-2021 tillsynsbegäran.docx", "A 55776-2021")</f>
        <v/>
      </c>
      <c r="Y100">
        <f>HYPERLINK("https://klasma.github.io/Logging_1421/tillsynsmail/A 55776-2021 tillsynsbegäran mail.docx", "A 55776-2021")</f>
        <v/>
      </c>
    </row>
    <row r="101" ht="15" customHeight="1">
      <c r="A101" t="inlineStr">
        <is>
          <t>A 2457-2022</t>
        </is>
      </c>
      <c r="B101" s="1" t="n">
        <v>44579</v>
      </c>
      <c r="C101" s="1" t="n">
        <v>45952</v>
      </c>
      <c r="D101" t="inlineStr">
        <is>
          <t>VÄSTRA GÖTALANDS LÄN</t>
        </is>
      </c>
      <c r="E101" t="inlineStr">
        <is>
          <t>SVENLJUNGA</t>
        </is>
      </c>
      <c r="F101" t="inlineStr">
        <is>
          <t>Kyrkan</t>
        </is>
      </c>
      <c r="G101" t="n">
        <v>3.6</v>
      </c>
      <c r="H101" t="n">
        <v>1</v>
      </c>
      <c r="I101" t="n">
        <v>4</v>
      </c>
      <c r="J101" t="n">
        <v>1</v>
      </c>
      <c r="K101" t="n">
        <v>0</v>
      </c>
      <c r="L101" t="n">
        <v>0</v>
      </c>
      <c r="M101" t="n">
        <v>0</v>
      </c>
      <c r="N101" t="n">
        <v>0</v>
      </c>
      <c r="O101" t="n">
        <v>1</v>
      </c>
      <c r="P101" t="n">
        <v>0</v>
      </c>
      <c r="Q101" t="n">
        <v>5</v>
      </c>
      <c r="R101" s="2" t="inlineStr">
        <is>
          <t>Spillkråka
Brandticka
Klippfrullania
Smal svampklubba
Västlig hakmossa</t>
        </is>
      </c>
      <c r="S101">
        <f>HYPERLINK("https://klasma.github.io/Logging_1465/artfynd/A 2457-2022 artfynd.xlsx", "A 2457-2022")</f>
        <v/>
      </c>
      <c r="T101">
        <f>HYPERLINK("https://klasma.github.io/Logging_1465/kartor/A 2457-2022 karta.png", "A 2457-2022")</f>
        <v/>
      </c>
      <c r="V101">
        <f>HYPERLINK("https://klasma.github.io/Logging_1465/klagomål/A 2457-2022 FSC-klagomål.docx", "A 2457-2022")</f>
        <v/>
      </c>
      <c r="W101">
        <f>HYPERLINK("https://klasma.github.io/Logging_1465/klagomålsmail/A 2457-2022 FSC-klagomål mail.docx", "A 2457-2022")</f>
        <v/>
      </c>
      <c r="X101">
        <f>HYPERLINK("https://klasma.github.io/Logging_1465/tillsyn/A 2457-2022 tillsynsbegäran.docx", "A 2457-2022")</f>
        <v/>
      </c>
      <c r="Y101">
        <f>HYPERLINK("https://klasma.github.io/Logging_1465/tillsynsmail/A 2457-2022 tillsynsbegäran mail.docx", "A 2457-2022")</f>
        <v/>
      </c>
      <c r="Z101">
        <f>HYPERLINK("https://klasma.github.io/Logging_1465/fåglar/A 2457-2022 prioriterade fågelarter.docx", "A 2457-2022")</f>
        <v/>
      </c>
    </row>
    <row r="102" ht="15" customHeight="1">
      <c r="A102" t="inlineStr">
        <is>
          <t>A 12353-2022</t>
        </is>
      </c>
      <c r="B102" s="1" t="n">
        <v>44637.65760416666</v>
      </c>
      <c r="C102" s="1" t="n">
        <v>45952</v>
      </c>
      <c r="D102" t="inlineStr">
        <is>
          <t>VÄSTRA GÖTALANDS LÄN</t>
        </is>
      </c>
      <c r="E102" t="inlineStr">
        <is>
          <t>TIDAHOLM</t>
        </is>
      </c>
      <c r="F102" t="inlineStr">
        <is>
          <t>Kommuner</t>
        </is>
      </c>
      <c r="G102" t="n">
        <v>4.1</v>
      </c>
      <c r="H102" t="n">
        <v>0</v>
      </c>
      <c r="I102" t="n">
        <v>4</v>
      </c>
      <c r="J102" t="n">
        <v>1</v>
      </c>
      <c r="K102" t="n">
        <v>0</v>
      </c>
      <c r="L102" t="n">
        <v>0</v>
      </c>
      <c r="M102" t="n">
        <v>0</v>
      </c>
      <c r="N102" t="n">
        <v>0</v>
      </c>
      <c r="O102" t="n">
        <v>1</v>
      </c>
      <c r="P102" t="n">
        <v>0</v>
      </c>
      <c r="Q102" t="n">
        <v>5</v>
      </c>
      <c r="R102" s="2" t="inlineStr">
        <is>
          <t>Mörk dunört
Blåmossa
Bågpraktmossa
Kornknutmossa
Skogsbräsma</t>
        </is>
      </c>
      <c r="S102">
        <f>HYPERLINK("https://klasma.github.io/Logging_1498/artfynd/A 12353-2022 artfynd.xlsx", "A 12353-2022")</f>
        <v/>
      </c>
      <c r="T102">
        <f>HYPERLINK("https://klasma.github.io/Logging_1498/kartor/A 12353-2022 karta.png", "A 12353-2022")</f>
        <v/>
      </c>
      <c r="V102">
        <f>HYPERLINK("https://klasma.github.io/Logging_1498/klagomål/A 12353-2022 FSC-klagomål.docx", "A 12353-2022")</f>
        <v/>
      </c>
      <c r="W102">
        <f>HYPERLINK("https://klasma.github.io/Logging_1498/klagomålsmail/A 12353-2022 FSC-klagomål mail.docx", "A 12353-2022")</f>
        <v/>
      </c>
      <c r="X102">
        <f>HYPERLINK("https://klasma.github.io/Logging_1498/tillsyn/A 12353-2022 tillsynsbegäran.docx", "A 12353-2022")</f>
        <v/>
      </c>
      <c r="Y102">
        <f>HYPERLINK("https://klasma.github.io/Logging_1498/tillsynsmail/A 12353-2022 tillsynsbegäran mail.docx", "A 12353-2022")</f>
        <v/>
      </c>
    </row>
    <row r="103" ht="15" customHeight="1">
      <c r="A103" t="inlineStr">
        <is>
          <t>A 2165-2021</t>
        </is>
      </c>
      <c r="B103" s="1" t="n">
        <v>44210</v>
      </c>
      <c r="C103" s="1" t="n">
        <v>45952</v>
      </c>
      <c r="D103" t="inlineStr">
        <is>
          <t>VÄSTRA GÖTALANDS LÄN</t>
        </is>
      </c>
      <c r="E103" t="inlineStr">
        <is>
          <t>UDDEVALLA</t>
        </is>
      </c>
      <c r="G103" t="n">
        <v>2.7</v>
      </c>
      <c r="H103" t="n">
        <v>5</v>
      </c>
      <c r="I103" t="n">
        <v>0</v>
      </c>
      <c r="J103" t="n">
        <v>2</v>
      </c>
      <c r="K103" t="n">
        <v>0</v>
      </c>
      <c r="L103" t="n">
        <v>0</v>
      </c>
      <c r="M103" t="n">
        <v>0</v>
      </c>
      <c r="N103" t="n">
        <v>0</v>
      </c>
      <c r="O103" t="n">
        <v>2</v>
      </c>
      <c r="P103" t="n">
        <v>0</v>
      </c>
      <c r="Q103" t="n">
        <v>5</v>
      </c>
      <c r="R103" s="2" t="inlineStr">
        <is>
          <t>Entita
Ärtsångare
Gröngöling
Järnsparv
Kungsfågel</t>
        </is>
      </c>
      <c r="S103">
        <f>HYPERLINK("https://klasma.github.io/Logging_1485/artfynd/A 2165-2021 artfynd.xlsx", "A 2165-2021")</f>
        <v/>
      </c>
      <c r="T103">
        <f>HYPERLINK("https://klasma.github.io/Logging_1485/kartor/A 2165-2021 karta.png", "A 2165-2021")</f>
        <v/>
      </c>
      <c r="V103">
        <f>HYPERLINK("https://klasma.github.io/Logging_1485/klagomål/A 2165-2021 FSC-klagomål.docx", "A 2165-2021")</f>
        <v/>
      </c>
      <c r="W103">
        <f>HYPERLINK("https://klasma.github.io/Logging_1485/klagomålsmail/A 2165-2021 FSC-klagomål mail.docx", "A 2165-2021")</f>
        <v/>
      </c>
      <c r="X103">
        <f>HYPERLINK("https://klasma.github.io/Logging_1485/tillsyn/A 2165-2021 tillsynsbegäran.docx", "A 2165-2021")</f>
        <v/>
      </c>
      <c r="Y103">
        <f>HYPERLINK("https://klasma.github.io/Logging_1485/tillsynsmail/A 2165-2021 tillsynsbegäran mail.docx", "A 2165-2021")</f>
        <v/>
      </c>
      <c r="Z103">
        <f>HYPERLINK("https://klasma.github.io/Logging_1485/fåglar/A 2165-2021 prioriterade fågelarter.docx", "A 2165-2021")</f>
        <v/>
      </c>
    </row>
    <row r="104" ht="15" customHeight="1">
      <c r="A104" t="inlineStr">
        <is>
          <t>A 412-2023</t>
        </is>
      </c>
      <c r="B104" s="1" t="n">
        <v>44929</v>
      </c>
      <c r="C104" s="1" t="n">
        <v>45952</v>
      </c>
      <c r="D104" t="inlineStr">
        <is>
          <t>VÄSTRA GÖTALANDS LÄN</t>
        </is>
      </c>
      <c r="E104" t="inlineStr">
        <is>
          <t>KARLSBORG</t>
        </is>
      </c>
      <c r="G104" t="n">
        <v>8.6</v>
      </c>
      <c r="H104" t="n">
        <v>0</v>
      </c>
      <c r="I104" t="n">
        <v>2</v>
      </c>
      <c r="J104" t="n">
        <v>2</v>
      </c>
      <c r="K104" t="n">
        <v>1</v>
      </c>
      <c r="L104" t="n">
        <v>0</v>
      </c>
      <c r="M104" t="n">
        <v>0</v>
      </c>
      <c r="N104" t="n">
        <v>0</v>
      </c>
      <c r="O104" t="n">
        <v>3</v>
      </c>
      <c r="P104" t="n">
        <v>1</v>
      </c>
      <c r="Q104" t="n">
        <v>5</v>
      </c>
      <c r="R104" s="2" t="inlineStr">
        <is>
          <t>Lakritsmusseron
Dofttaggsvamp
Motaggsvamp
Dropptaggsvamp
Zontaggsvamp</t>
        </is>
      </c>
      <c r="S104">
        <f>HYPERLINK("https://klasma.github.io/Logging_1446/artfynd/A 412-2023 artfynd.xlsx", "A 412-2023")</f>
        <v/>
      </c>
      <c r="T104">
        <f>HYPERLINK("https://klasma.github.io/Logging_1446/kartor/A 412-2023 karta.png", "A 412-2023")</f>
        <v/>
      </c>
      <c r="V104">
        <f>HYPERLINK("https://klasma.github.io/Logging_1446/klagomål/A 412-2023 FSC-klagomål.docx", "A 412-2023")</f>
        <v/>
      </c>
      <c r="W104">
        <f>HYPERLINK("https://klasma.github.io/Logging_1446/klagomålsmail/A 412-2023 FSC-klagomål mail.docx", "A 412-2023")</f>
        <v/>
      </c>
      <c r="X104">
        <f>HYPERLINK("https://klasma.github.io/Logging_1446/tillsyn/A 412-2023 tillsynsbegäran.docx", "A 412-2023")</f>
        <v/>
      </c>
      <c r="Y104">
        <f>HYPERLINK("https://klasma.github.io/Logging_1446/tillsynsmail/A 412-2023 tillsynsbegäran mail.docx", "A 412-2023")</f>
        <v/>
      </c>
    </row>
    <row r="105" ht="15" customHeight="1">
      <c r="A105" t="inlineStr">
        <is>
          <t>A 27703-2023</t>
        </is>
      </c>
      <c r="B105" s="1" t="n">
        <v>45098</v>
      </c>
      <c r="C105" s="1" t="n">
        <v>45952</v>
      </c>
      <c r="D105" t="inlineStr">
        <is>
          <t>VÄSTRA GÖTALANDS LÄN</t>
        </is>
      </c>
      <c r="E105" t="inlineStr">
        <is>
          <t>KARLSBORG</t>
        </is>
      </c>
      <c r="G105" t="n">
        <v>2.8</v>
      </c>
      <c r="H105" t="n">
        <v>0</v>
      </c>
      <c r="I105" t="n">
        <v>1</v>
      </c>
      <c r="J105" t="n">
        <v>4</v>
      </c>
      <c r="K105" t="n">
        <v>0</v>
      </c>
      <c r="L105" t="n">
        <v>0</v>
      </c>
      <c r="M105" t="n">
        <v>0</v>
      </c>
      <c r="N105" t="n">
        <v>0</v>
      </c>
      <c r="O105" t="n">
        <v>4</v>
      </c>
      <c r="P105" t="n">
        <v>0</v>
      </c>
      <c r="Q105" t="n">
        <v>5</v>
      </c>
      <c r="R105" s="2" t="inlineStr">
        <is>
          <t>Blå taggsvamp
Motaggsvamp
Svart taggsvamp
Tallriska
Dropptaggsvamp</t>
        </is>
      </c>
      <c r="S105">
        <f>HYPERLINK("https://klasma.github.io/Logging_1446/artfynd/A 27703-2023 artfynd.xlsx", "A 27703-2023")</f>
        <v/>
      </c>
      <c r="T105">
        <f>HYPERLINK("https://klasma.github.io/Logging_1446/kartor/A 27703-2023 karta.png", "A 27703-2023")</f>
        <v/>
      </c>
      <c r="V105">
        <f>HYPERLINK("https://klasma.github.io/Logging_1446/klagomål/A 27703-2023 FSC-klagomål.docx", "A 27703-2023")</f>
        <v/>
      </c>
      <c r="W105">
        <f>HYPERLINK("https://klasma.github.io/Logging_1446/klagomålsmail/A 27703-2023 FSC-klagomål mail.docx", "A 27703-2023")</f>
        <v/>
      </c>
      <c r="X105">
        <f>HYPERLINK("https://klasma.github.io/Logging_1446/tillsyn/A 27703-2023 tillsynsbegäran.docx", "A 27703-2023")</f>
        <v/>
      </c>
      <c r="Y105">
        <f>HYPERLINK("https://klasma.github.io/Logging_1446/tillsynsmail/A 27703-2023 tillsynsbegäran mail.docx", "A 27703-2023")</f>
        <v/>
      </c>
    </row>
    <row r="106" ht="15" customHeight="1">
      <c r="A106" t="inlineStr">
        <is>
          <t>A 12131-2024</t>
        </is>
      </c>
      <c r="B106" s="1" t="n">
        <v>45377</v>
      </c>
      <c r="C106" s="1" t="n">
        <v>45952</v>
      </c>
      <c r="D106" t="inlineStr">
        <is>
          <t>VÄSTRA GÖTALANDS LÄN</t>
        </is>
      </c>
      <c r="E106" t="inlineStr">
        <is>
          <t>BOLLEBYGD</t>
        </is>
      </c>
      <c r="F106" t="inlineStr">
        <is>
          <t>Kommuner</t>
        </is>
      </c>
      <c r="G106" t="n">
        <v>2.1</v>
      </c>
      <c r="H106" t="n">
        <v>3</v>
      </c>
      <c r="I106" t="n">
        <v>2</v>
      </c>
      <c r="J106" t="n">
        <v>1</v>
      </c>
      <c r="K106" t="n">
        <v>0</v>
      </c>
      <c r="L106" t="n">
        <v>0</v>
      </c>
      <c r="M106" t="n">
        <v>0</v>
      </c>
      <c r="N106" t="n">
        <v>0</v>
      </c>
      <c r="O106" t="n">
        <v>1</v>
      </c>
      <c r="P106" t="n">
        <v>0</v>
      </c>
      <c r="Q106" t="n">
        <v>5</v>
      </c>
      <c r="R106" s="2" t="inlineStr">
        <is>
          <t>Talltita
Kattfotslav
Vedticka
Orre
Tjäder</t>
        </is>
      </c>
      <c r="S106">
        <f>HYPERLINK("https://klasma.github.io/Logging_1443/artfynd/A 12131-2024 artfynd.xlsx", "A 12131-2024")</f>
        <v/>
      </c>
      <c r="T106">
        <f>HYPERLINK("https://klasma.github.io/Logging_1443/kartor/A 12131-2024 karta.png", "A 12131-2024")</f>
        <v/>
      </c>
      <c r="V106">
        <f>HYPERLINK("https://klasma.github.io/Logging_1443/klagomål/A 12131-2024 FSC-klagomål.docx", "A 12131-2024")</f>
        <v/>
      </c>
      <c r="W106">
        <f>HYPERLINK("https://klasma.github.io/Logging_1443/klagomålsmail/A 12131-2024 FSC-klagomål mail.docx", "A 12131-2024")</f>
        <v/>
      </c>
      <c r="X106">
        <f>HYPERLINK("https://klasma.github.io/Logging_1443/tillsyn/A 12131-2024 tillsynsbegäran.docx", "A 12131-2024")</f>
        <v/>
      </c>
      <c r="Y106">
        <f>HYPERLINK("https://klasma.github.io/Logging_1443/tillsynsmail/A 12131-2024 tillsynsbegäran mail.docx", "A 12131-2024")</f>
        <v/>
      </c>
      <c r="Z106">
        <f>HYPERLINK("https://klasma.github.io/Logging_1443/fåglar/A 12131-2024 prioriterade fågelarter.docx", "A 12131-2024")</f>
        <v/>
      </c>
    </row>
    <row r="107" ht="15" customHeight="1">
      <c r="A107" t="inlineStr">
        <is>
          <t>A 27085-2024</t>
        </is>
      </c>
      <c r="B107" s="1" t="n">
        <v>45471</v>
      </c>
      <c r="C107" s="1" t="n">
        <v>45952</v>
      </c>
      <c r="D107" t="inlineStr">
        <is>
          <t>VÄSTRA GÖTALANDS LÄN</t>
        </is>
      </c>
      <c r="E107" t="inlineStr">
        <is>
          <t>BORÅS</t>
        </is>
      </c>
      <c r="G107" t="n">
        <v>14.4</v>
      </c>
      <c r="H107" t="n">
        <v>5</v>
      </c>
      <c r="I107" t="n">
        <v>0</v>
      </c>
      <c r="J107" t="n">
        <v>2</v>
      </c>
      <c r="K107" t="n">
        <v>0</v>
      </c>
      <c r="L107" t="n">
        <v>0</v>
      </c>
      <c r="M107" t="n">
        <v>0</v>
      </c>
      <c r="N107" t="n">
        <v>0</v>
      </c>
      <c r="O107" t="n">
        <v>2</v>
      </c>
      <c r="P107" t="n">
        <v>0</v>
      </c>
      <c r="Q107" t="n">
        <v>5</v>
      </c>
      <c r="R107" s="2" t="inlineStr">
        <is>
          <t>Buskskvätta
Spillkråka
Kungsfågel
Trana
Revlummer</t>
        </is>
      </c>
      <c r="S107">
        <f>HYPERLINK("https://klasma.github.io/Logging_1490/artfynd/A 27085-2024 artfynd.xlsx", "A 27085-2024")</f>
        <v/>
      </c>
      <c r="T107">
        <f>HYPERLINK("https://klasma.github.io/Logging_1490/kartor/A 27085-2024 karta.png", "A 27085-2024")</f>
        <v/>
      </c>
      <c r="V107">
        <f>HYPERLINK("https://klasma.github.io/Logging_1490/klagomål/A 27085-2024 FSC-klagomål.docx", "A 27085-2024")</f>
        <v/>
      </c>
      <c r="W107">
        <f>HYPERLINK("https://klasma.github.io/Logging_1490/klagomålsmail/A 27085-2024 FSC-klagomål mail.docx", "A 27085-2024")</f>
        <v/>
      </c>
      <c r="X107">
        <f>HYPERLINK("https://klasma.github.io/Logging_1490/tillsyn/A 27085-2024 tillsynsbegäran.docx", "A 27085-2024")</f>
        <v/>
      </c>
      <c r="Y107">
        <f>HYPERLINK("https://klasma.github.io/Logging_1490/tillsynsmail/A 27085-2024 tillsynsbegäran mail.docx", "A 27085-2024")</f>
        <v/>
      </c>
      <c r="Z107">
        <f>HYPERLINK("https://klasma.github.io/Logging_1490/fåglar/A 27085-2024 prioriterade fågelarter.docx", "A 27085-2024")</f>
        <v/>
      </c>
    </row>
    <row r="108" ht="15" customHeight="1">
      <c r="A108" t="inlineStr">
        <is>
          <t>A 45158-2023</t>
        </is>
      </c>
      <c r="B108" s="1" t="n">
        <v>45191.48938657407</v>
      </c>
      <c r="C108" s="1" t="n">
        <v>45952</v>
      </c>
      <c r="D108" t="inlineStr">
        <is>
          <t>VÄSTRA GÖTALANDS LÄN</t>
        </is>
      </c>
      <c r="E108" t="inlineStr">
        <is>
          <t>TÖREBODA</t>
        </is>
      </c>
      <c r="G108" t="n">
        <v>2.8</v>
      </c>
      <c r="H108" t="n">
        <v>2</v>
      </c>
      <c r="I108" t="n">
        <v>2</v>
      </c>
      <c r="J108" t="n">
        <v>2</v>
      </c>
      <c r="K108" t="n">
        <v>1</v>
      </c>
      <c r="L108" t="n">
        <v>0</v>
      </c>
      <c r="M108" t="n">
        <v>0</v>
      </c>
      <c r="N108" t="n">
        <v>0</v>
      </c>
      <c r="O108" t="n">
        <v>3</v>
      </c>
      <c r="P108" t="n">
        <v>1</v>
      </c>
      <c r="Q108" t="n">
        <v>5</v>
      </c>
      <c r="R108" s="2" t="inlineStr">
        <is>
          <t>Knärot
Garnlav
Spillkråka
Blomkålssvamp
Dropptaggsvamp</t>
        </is>
      </c>
      <c r="S108">
        <f>HYPERLINK("https://klasma.github.io/Logging_1473/artfynd/A 45158-2023 artfynd.xlsx", "A 45158-2023")</f>
        <v/>
      </c>
      <c r="T108">
        <f>HYPERLINK("https://klasma.github.io/Logging_1473/kartor/A 45158-2023 karta.png", "A 45158-2023")</f>
        <v/>
      </c>
      <c r="U108">
        <f>HYPERLINK("https://klasma.github.io/Logging_1473/knärot/A 45158-2023 karta knärot.png", "A 45158-2023")</f>
        <v/>
      </c>
      <c r="V108">
        <f>HYPERLINK("https://klasma.github.io/Logging_1473/klagomål/A 45158-2023 FSC-klagomål.docx", "A 45158-2023")</f>
        <v/>
      </c>
      <c r="W108">
        <f>HYPERLINK("https://klasma.github.io/Logging_1473/klagomålsmail/A 45158-2023 FSC-klagomål mail.docx", "A 45158-2023")</f>
        <v/>
      </c>
      <c r="X108">
        <f>HYPERLINK("https://klasma.github.io/Logging_1473/tillsyn/A 45158-2023 tillsynsbegäran.docx", "A 45158-2023")</f>
        <v/>
      </c>
      <c r="Y108">
        <f>HYPERLINK("https://klasma.github.io/Logging_1473/tillsynsmail/A 45158-2023 tillsynsbegäran mail.docx", "A 45158-2023")</f>
        <v/>
      </c>
      <c r="Z108">
        <f>HYPERLINK("https://klasma.github.io/Logging_1473/fåglar/A 45158-2023 prioriterade fågelarter.docx", "A 45158-2023")</f>
        <v/>
      </c>
    </row>
    <row r="109" ht="15" customHeight="1">
      <c r="A109" t="inlineStr">
        <is>
          <t>A 59265-2024</t>
        </is>
      </c>
      <c r="B109" s="1" t="n">
        <v>45637.60655092593</v>
      </c>
      <c r="C109" s="1" t="n">
        <v>45952</v>
      </c>
      <c r="D109" t="inlineStr">
        <is>
          <t>VÄSTRA GÖTALANDS LÄN</t>
        </is>
      </c>
      <c r="E109" t="inlineStr">
        <is>
          <t>TANUM</t>
        </is>
      </c>
      <c r="G109" t="n">
        <v>8.5</v>
      </c>
      <c r="H109" t="n">
        <v>3</v>
      </c>
      <c r="I109" t="n">
        <v>2</v>
      </c>
      <c r="J109" t="n">
        <v>3</v>
      </c>
      <c r="K109" t="n">
        <v>0</v>
      </c>
      <c r="L109" t="n">
        <v>0</v>
      </c>
      <c r="M109" t="n">
        <v>0</v>
      </c>
      <c r="N109" t="n">
        <v>0</v>
      </c>
      <c r="O109" t="n">
        <v>3</v>
      </c>
      <c r="P109" t="n">
        <v>0</v>
      </c>
      <c r="Q109" t="n">
        <v>5</v>
      </c>
      <c r="R109" s="2" t="inlineStr">
        <is>
          <t>Grönsångare
Gulsparv
Svartvit flugsnappare
Dvärghäxört
Strutbräken</t>
        </is>
      </c>
      <c r="S109">
        <f>HYPERLINK("https://klasma.github.io/Logging_1435/artfynd/A 59265-2024 artfynd.xlsx", "A 59265-2024")</f>
        <v/>
      </c>
      <c r="T109">
        <f>HYPERLINK("https://klasma.github.io/Logging_1435/kartor/A 59265-2024 karta.png", "A 59265-2024")</f>
        <v/>
      </c>
      <c r="V109">
        <f>HYPERLINK("https://klasma.github.io/Logging_1435/klagomål/A 59265-2024 FSC-klagomål.docx", "A 59265-2024")</f>
        <v/>
      </c>
      <c r="W109">
        <f>HYPERLINK("https://klasma.github.io/Logging_1435/klagomålsmail/A 59265-2024 FSC-klagomål mail.docx", "A 59265-2024")</f>
        <v/>
      </c>
      <c r="X109">
        <f>HYPERLINK("https://klasma.github.io/Logging_1435/tillsyn/A 59265-2024 tillsynsbegäran.docx", "A 59265-2024")</f>
        <v/>
      </c>
      <c r="Y109">
        <f>HYPERLINK("https://klasma.github.io/Logging_1435/tillsynsmail/A 59265-2024 tillsynsbegäran mail.docx", "A 59265-2024")</f>
        <v/>
      </c>
      <c r="Z109">
        <f>HYPERLINK("https://klasma.github.io/Logging_1435/fåglar/A 59265-2024 prioriterade fågelarter.docx", "A 59265-2024")</f>
        <v/>
      </c>
    </row>
    <row r="110" ht="15" customHeight="1">
      <c r="A110" t="inlineStr">
        <is>
          <t>A 20830-2025</t>
        </is>
      </c>
      <c r="B110" s="1" t="n">
        <v>45776</v>
      </c>
      <c r="C110" s="1" t="n">
        <v>45952</v>
      </c>
      <c r="D110" t="inlineStr">
        <is>
          <t>VÄSTRA GÖTALANDS LÄN</t>
        </is>
      </c>
      <c r="E110" t="inlineStr">
        <is>
          <t>KARLSBORG</t>
        </is>
      </c>
      <c r="G110" t="n">
        <v>5.6</v>
      </c>
      <c r="H110" t="n">
        <v>3</v>
      </c>
      <c r="I110" t="n">
        <v>1</v>
      </c>
      <c r="J110" t="n">
        <v>3</v>
      </c>
      <c r="K110" t="n">
        <v>1</v>
      </c>
      <c r="L110" t="n">
        <v>0</v>
      </c>
      <c r="M110" t="n">
        <v>0</v>
      </c>
      <c r="N110" t="n">
        <v>0</v>
      </c>
      <c r="O110" t="n">
        <v>4</v>
      </c>
      <c r="P110" t="n">
        <v>1</v>
      </c>
      <c r="Q110" t="n">
        <v>5</v>
      </c>
      <c r="R110" s="2" t="inlineStr">
        <is>
          <t>Knärot
Spillkråka
Tallticka
Tretåig hackspett
Kattfotslav</t>
        </is>
      </c>
      <c r="S110">
        <f>HYPERLINK("https://klasma.github.io/Logging_1446/artfynd/A 20830-2025 artfynd.xlsx", "A 20830-2025")</f>
        <v/>
      </c>
      <c r="T110">
        <f>HYPERLINK("https://klasma.github.io/Logging_1446/kartor/A 20830-2025 karta.png", "A 20830-2025")</f>
        <v/>
      </c>
      <c r="U110">
        <f>HYPERLINK("https://klasma.github.io/Logging_1446/knärot/A 20830-2025 karta knärot.png", "A 20830-2025")</f>
        <v/>
      </c>
      <c r="V110">
        <f>HYPERLINK("https://klasma.github.io/Logging_1446/klagomål/A 20830-2025 FSC-klagomål.docx", "A 20830-2025")</f>
        <v/>
      </c>
      <c r="W110">
        <f>HYPERLINK("https://klasma.github.io/Logging_1446/klagomålsmail/A 20830-2025 FSC-klagomål mail.docx", "A 20830-2025")</f>
        <v/>
      </c>
      <c r="X110">
        <f>HYPERLINK("https://klasma.github.io/Logging_1446/tillsyn/A 20830-2025 tillsynsbegäran.docx", "A 20830-2025")</f>
        <v/>
      </c>
      <c r="Y110">
        <f>HYPERLINK("https://klasma.github.io/Logging_1446/tillsynsmail/A 20830-2025 tillsynsbegäran mail.docx", "A 20830-2025")</f>
        <v/>
      </c>
      <c r="Z110">
        <f>HYPERLINK("https://klasma.github.io/Logging_1446/fåglar/A 20830-2025 prioriterade fågelarter.docx", "A 20830-2025")</f>
        <v/>
      </c>
    </row>
    <row r="111" ht="15" customHeight="1">
      <c r="A111" t="inlineStr">
        <is>
          <t>A 34725-2024</t>
        </is>
      </c>
      <c r="B111" s="1" t="n">
        <v>45526.57324074074</v>
      </c>
      <c r="C111" s="1" t="n">
        <v>45952</v>
      </c>
      <c r="D111" t="inlineStr">
        <is>
          <t>VÄSTRA GÖTALANDS LÄN</t>
        </is>
      </c>
      <c r="E111" t="inlineStr">
        <is>
          <t>KUNGÄLV</t>
        </is>
      </c>
      <c r="G111" t="n">
        <v>14.3</v>
      </c>
      <c r="H111" t="n">
        <v>3</v>
      </c>
      <c r="I111" t="n">
        <v>2</v>
      </c>
      <c r="J111" t="n">
        <v>2</v>
      </c>
      <c r="K111" t="n">
        <v>0</v>
      </c>
      <c r="L111" t="n">
        <v>0</v>
      </c>
      <c r="M111" t="n">
        <v>0</v>
      </c>
      <c r="N111" t="n">
        <v>0</v>
      </c>
      <c r="O111" t="n">
        <v>2</v>
      </c>
      <c r="P111" t="n">
        <v>0</v>
      </c>
      <c r="Q111" t="n">
        <v>5</v>
      </c>
      <c r="R111" s="2" t="inlineStr">
        <is>
          <t>Mindre hackspett
Spillkråka
Blåmossa
Stor revmossa
Kungsfågel</t>
        </is>
      </c>
      <c r="S111">
        <f>HYPERLINK("https://klasma.github.io/Logging_1482/artfynd/A 34725-2024 artfynd.xlsx", "A 34725-2024")</f>
        <v/>
      </c>
      <c r="T111">
        <f>HYPERLINK("https://klasma.github.io/Logging_1482/kartor/A 34725-2024 karta.png", "A 34725-2024")</f>
        <v/>
      </c>
      <c r="V111">
        <f>HYPERLINK("https://klasma.github.io/Logging_1482/klagomål/A 34725-2024 FSC-klagomål.docx", "A 34725-2024")</f>
        <v/>
      </c>
      <c r="W111">
        <f>HYPERLINK("https://klasma.github.io/Logging_1482/klagomålsmail/A 34725-2024 FSC-klagomål mail.docx", "A 34725-2024")</f>
        <v/>
      </c>
      <c r="X111">
        <f>HYPERLINK("https://klasma.github.io/Logging_1482/tillsyn/A 34725-2024 tillsynsbegäran.docx", "A 34725-2024")</f>
        <v/>
      </c>
      <c r="Y111">
        <f>HYPERLINK("https://klasma.github.io/Logging_1482/tillsynsmail/A 34725-2024 tillsynsbegäran mail.docx", "A 34725-2024")</f>
        <v/>
      </c>
      <c r="Z111">
        <f>HYPERLINK("https://klasma.github.io/Logging_1482/fåglar/A 34725-2024 prioriterade fågelarter.docx", "A 34725-2024")</f>
        <v/>
      </c>
    </row>
    <row r="112" ht="15" customHeight="1">
      <c r="A112" t="inlineStr">
        <is>
          <t>A 4921-2021</t>
        </is>
      </c>
      <c r="B112" s="1" t="n">
        <v>44226</v>
      </c>
      <c r="C112" s="1" t="n">
        <v>45952</v>
      </c>
      <c r="D112" t="inlineStr">
        <is>
          <t>VÄSTRA GÖTALANDS LÄN</t>
        </is>
      </c>
      <c r="E112" t="inlineStr">
        <is>
          <t>SKÖVDE</t>
        </is>
      </c>
      <c r="G112" t="n">
        <v>6.5</v>
      </c>
      <c r="H112" t="n">
        <v>1</v>
      </c>
      <c r="I112" t="n">
        <v>3</v>
      </c>
      <c r="J112" t="n">
        <v>0</v>
      </c>
      <c r="K112" t="n">
        <v>0</v>
      </c>
      <c r="L112" t="n">
        <v>1</v>
      </c>
      <c r="M112" t="n">
        <v>0</v>
      </c>
      <c r="N112" t="n">
        <v>0</v>
      </c>
      <c r="O112" t="n">
        <v>1</v>
      </c>
      <c r="P112" t="n">
        <v>1</v>
      </c>
      <c r="Q112" t="n">
        <v>5</v>
      </c>
      <c r="R112" s="2" t="inlineStr">
        <is>
          <t>Ask
Dvärghäxört
Svart trolldruva
Ögonpyrola
Grönvit nattviol</t>
        </is>
      </c>
      <c r="S112">
        <f>HYPERLINK("https://klasma.github.io/Logging_1496/artfynd/A 4921-2021 artfynd.xlsx", "A 4921-2021")</f>
        <v/>
      </c>
      <c r="T112">
        <f>HYPERLINK("https://klasma.github.io/Logging_1496/kartor/A 4921-2021 karta.png", "A 4921-2021")</f>
        <v/>
      </c>
      <c r="V112">
        <f>HYPERLINK("https://klasma.github.io/Logging_1496/klagomål/A 4921-2021 FSC-klagomål.docx", "A 4921-2021")</f>
        <v/>
      </c>
      <c r="W112">
        <f>HYPERLINK("https://klasma.github.io/Logging_1496/klagomålsmail/A 4921-2021 FSC-klagomål mail.docx", "A 4921-2021")</f>
        <v/>
      </c>
      <c r="X112">
        <f>HYPERLINK("https://klasma.github.io/Logging_1496/tillsyn/A 4921-2021 tillsynsbegäran.docx", "A 4921-2021")</f>
        <v/>
      </c>
      <c r="Y112">
        <f>HYPERLINK("https://klasma.github.io/Logging_1496/tillsynsmail/A 4921-2021 tillsynsbegäran mail.docx", "A 4921-2021")</f>
        <v/>
      </c>
    </row>
    <row r="113" ht="15" customHeight="1">
      <c r="A113" t="inlineStr">
        <is>
          <t>A 3607-2023</t>
        </is>
      </c>
      <c r="B113" s="1" t="n">
        <v>44950</v>
      </c>
      <c r="C113" s="1" t="n">
        <v>45952</v>
      </c>
      <c r="D113" t="inlineStr">
        <is>
          <t>VÄSTRA GÖTALANDS LÄN</t>
        </is>
      </c>
      <c r="E113" t="inlineStr">
        <is>
          <t>FALKÖPING</t>
        </is>
      </c>
      <c r="F113" t="inlineStr">
        <is>
          <t>Kommuner</t>
        </is>
      </c>
      <c r="G113" t="n">
        <v>4.1</v>
      </c>
      <c r="H113" t="n">
        <v>3</v>
      </c>
      <c r="I113" t="n">
        <v>0</v>
      </c>
      <c r="J113" t="n">
        <v>3</v>
      </c>
      <c r="K113" t="n">
        <v>0</v>
      </c>
      <c r="L113" t="n">
        <v>0</v>
      </c>
      <c r="M113" t="n">
        <v>0</v>
      </c>
      <c r="N113" t="n">
        <v>0</v>
      </c>
      <c r="O113" t="n">
        <v>3</v>
      </c>
      <c r="P113" t="n">
        <v>0</v>
      </c>
      <c r="Q113" t="n">
        <v>5</v>
      </c>
      <c r="R113" s="2" t="inlineStr">
        <is>
          <t>Backtimjan
Entita
Jordtistel
Grönvit nattviol
Gullviva</t>
        </is>
      </c>
      <c r="S113">
        <f>HYPERLINK("https://klasma.github.io/Logging_1499/artfynd/A 3607-2023 artfynd.xlsx", "A 3607-2023")</f>
        <v/>
      </c>
      <c r="T113">
        <f>HYPERLINK("https://klasma.github.io/Logging_1499/kartor/A 3607-2023 karta.png", "A 3607-2023")</f>
        <v/>
      </c>
      <c r="V113">
        <f>HYPERLINK("https://klasma.github.io/Logging_1499/klagomål/A 3607-2023 FSC-klagomål.docx", "A 3607-2023")</f>
        <v/>
      </c>
      <c r="W113">
        <f>HYPERLINK("https://klasma.github.io/Logging_1499/klagomålsmail/A 3607-2023 FSC-klagomål mail.docx", "A 3607-2023")</f>
        <v/>
      </c>
      <c r="X113">
        <f>HYPERLINK("https://klasma.github.io/Logging_1499/tillsyn/A 3607-2023 tillsynsbegäran.docx", "A 3607-2023")</f>
        <v/>
      </c>
      <c r="Y113">
        <f>HYPERLINK("https://klasma.github.io/Logging_1499/tillsynsmail/A 3607-2023 tillsynsbegäran mail.docx", "A 3607-2023")</f>
        <v/>
      </c>
      <c r="Z113">
        <f>HYPERLINK("https://klasma.github.io/Logging_1499/fåglar/A 3607-2023 prioriterade fågelarter.docx", "A 3607-2023")</f>
        <v/>
      </c>
    </row>
    <row r="114" ht="15" customHeight="1">
      <c r="A114" t="inlineStr">
        <is>
          <t>A 51547-2023</t>
        </is>
      </c>
      <c r="B114" s="1" t="n">
        <v>45222</v>
      </c>
      <c r="C114" s="1" t="n">
        <v>45952</v>
      </c>
      <c r="D114" t="inlineStr">
        <is>
          <t>VÄSTRA GÖTALANDS LÄN</t>
        </is>
      </c>
      <c r="E114" t="inlineStr">
        <is>
          <t>BENGTSFORS</t>
        </is>
      </c>
      <c r="G114" t="n">
        <v>6.9</v>
      </c>
      <c r="H114" t="n">
        <v>2</v>
      </c>
      <c r="I114" t="n">
        <v>3</v>
      </c>
      <c r="J114" t="n">
        <v>0</v>
      </c>
      <c r="K114" t="n">
        <v>1</v>
      </c>
      <c r="L114" t="n">
        <v>0</v>
      </c>
      <c r="M114" t="n">
        <v>0</v>
      </c>
      <c r="N114" t="n">
        <v>0</v>
      </c>
      <c r="O114" t="n">
        <v>1</v>
      </c>
      <c r="P114" t="n">
        <v>1</v>
      </c>
      <c r="Q114" t="n">
        <v>5</v>
      </c>
      <c r="R114" s="2" t="inlineStr">
        <is>
          <t>Knärot
Dropptaggsvamp
Grönpyrola
Stor revmossa
Revlummer</t>
        </is>
      </c>
      <c r="S114">
        <f>HYPERLINK("https://klasma.github.io/Logging_1460/artfynd/A 51547-2023 artfynd.xlsx", "A 51547-2023")</f>
        <v/>
      </c>
      <c r="T114">
        <f>HYPERLINK("https://klasma.github.io/Logging_1460/kartor/A 51547-2023 karta.png", "A 51547-2023")</f>
        <v/>
      </c>
      <c r="U114">
        <f>HYPERLINK("https://klasma.github.io/Logging_1460/knärot/A 51547-2023 karta knärot.png", "A 51547-2023")</f>
        <v/>
      </c>
      <c r="V114">
        <f>HYPERLINK("https://klasma.github.io/Logging_1460/klagomål/A 51547-2023 FSC-klagomål.docx", "A 51547-2023")</f>
        <v/>
      </c>
      <c r="W114">
        <f>HYPERLINK("https://klasma.github.io/Logging_1460/klagomålsmail/A 51547-2023 FSC-klagomål mail.docx", "A 51547-2023")</f>
        <v/>
      </c>
      <c r="X114">
        <f>HYPERLINK("https://klasma.github.io/Logging_1460/tillsyn/A 51547-2023 tillsynsbegäran.docx", "A 51547-2023")</f>
        <v/>
      </c>
      <c r="Y114">
        <f>HYPERLINK("https://klasma.github.io/Logging_1460/tillsynsmail/A 51547-2023 tillsynsbegäran mail.docx", "A 51547-2023")</f>
        <v/>
      </c>
    </row>
    <row r="115" ht="15" customHeight="1">
      <c r="A115" t="inlineStr">
        <is>
          <t>A 11824-2025</t>
        </is>
      </c>
      <c r="B115" s="1" t="n">
        <v>45728.32841435185</v>
      </c>
      <c r="C115" s="1" t="n">
        <v>45952</v>
      </c>
      <c r="D115" t="inlineStr">
        <is>
          <t>VÄSTRA GÖTALANDS LÄN</t>
        </is>
      </c>
      <c r="E115" t="inlineStr">
        <is>
          <t>UDDEVALLA</t>
        </is>
      </c>
      <c r="G115" t="n">
        <v>2.9</v>
      </c>
      <c r="H115" t="n">
        <v>3</v>
      </c>
      <c r="I115" t="n">
        <v>0</v>
      </c>
      <c r="J115" t="n">
        <v>2</v>
      </c>
      <c r="K115" t="n">
        <v>1</v>
      </c>
      <c r="L115" t="n">
        <v>0</v>
      </c>
      <c r="M115" t="n">
        <v>0</v>
      </c>
      <c r="N115" t="n">
        <v>0</v>
      </c>
      <c r="O115" t="n">
        <v>3</v>
      </c>
      <c r="P115" t="n">
        <v>1</v>
      </c>
      <c r="Q115" t="n">
        <v>5</v>
      </c>
      <c r="R115" s="2" t="inlineStr">
        <is>
          <t>Långskägg
Garnlav
Stjärntagging
Kungsfågel
Skogsduva</t>
        </is>
      </c>
      <c r="S115">
        <f>HYPERLINK("https://klasma.github.io/Logging_1485/artfynd/A 11824-2025 artfynd.xlsx", "A 11824-2025")</f>
        <v/>
      </c>
      <c r="T115">
        <f>HYPERLINK("https://klasma.github.io/Logging_1485/kartor/A 11824-2025 karta.png", "A 11824-2025")</f>
        <v/>
      </c>
      <c r="V115">
        <f>HYPERLINK("https://klasma.github.io/Logging_1485/klagomål/A 11824-2025 FSC-klagomål.docx", "A 11824-2025")</f>
        <v/>
      </c>
      <c r="W115">
        <f>HYPERLINK("https://klasma.github.io/Logging_1485/klagomålsmail/A 11824-2025 FSC-klagomål mail.docx", "A 11824-2025")</f>
        <v/>
      </c>
      <c r="X115">
        <f>HYPERLINK("https://klasma.github.io/Logging_1485/tillsyn/A 11824-2025 tillsynsbegäran.docx", "A 11824-2025")</f>
        <v/>
      </c>
      <c r="Y115">
        <f>HYPERLINK("https://klasma.github.io/Logging_1485/tillsynsmail/A 11824-2025 tillsynsbegäran mail.docx", "A 11824-2025")</f>
        <v/>
      </c>
      <c r="Z115">
        <f>HYPERLINK("https://klasma.github.io/Logging_1485/fåglar/A 11824-2025 prioriterade fågelarter.docx", "A 11824-2025")</f>
        <v/>
      </c>
    </row>
    <row r="116" ht="15" customHeight="1">
      <c r="A116" t="inlineStr">
        <is>
          <t>A 40237-2025</t>
        </is>
      </c>
      <c r="B116" s="1" t="n">
        <v>45894.76184027778</v>
      </c>
      <c r="C116" s="1" t="n">
        <v>45952</v>
      </c>
      <c r="D116" t="inlineStr">
        <is>
          <t>VÄSTRA GÖTALANDS LÄN</t>
        </is>
      </c>
      <c r="E116" t="inlineStr">
        <is>
          <t>BENGTSFORS</t>
        </is>
      </c>
      <c r="G116" t="n">
        <v>2.2</v>
      </c>
      <c r="H116" t="n">
        <v>0</v>
      </c>
      <c r="I116" t="n">
        <v>5</v>
      </c>
      <c r="J116" t="n">
        <v>0</v>
      </c>
      <c r="K116" t="n">
        <v>0</v>
      </c>
      <c r="L116" t="n">
        <v>0</v>
      </c>
      <c r="M116" t="n">
        <v>0</v>
      </c>
      <c r="N116" t="n">
        <v>0</v>
      </c>
      <c r="O116" t="n">
        <v>0</v>
      </c>
      <c r="P116" t="n">
        <v>0</v>
      </c>
      <c r="Q116" t="n">
        <v>5</v>
      </c>
      <c r="R116" s="2" t="inlineStr">
        <is>
          <t>Brun klibbskivling
Fjällig taggsvamp s.str.
Guldkremla
Svart trolldruva
Svavelriska</t>
        </is>
      </c>
      <c r="S116">
        <f>HYPERLINK("https://klasma.github.io/Logging_1460/artfynd/A 40237-2025 artfynd.xlsx", "A 40237-2025")</f>
        <v/>
      </c>
      <c r="T116">
        <f>HYPERLINK("https://klasma.github.io/Logging_1460/kartor/A 40237-2025 karta.png", "A 40237-2025")</f>
        <v/>
      </c>
      <c r="V116">
        <f>HYPERLINK("https://klasma.github.io/Logging_1460/klagomål/A 40237-2025 FSC-klagomål.docx", "A 40237-2025")</f>
        <v/>
      </c>
      <c r="W116">
        <f>HYPERLINK("https://klasma.github.io/Logging_1460/klagomålsmail/A 40237-2025 FSC-klagomål mail.docx", "A 40237-2025")</f>
        <v/>
      </c>
      <c r="X116">
        <f>HYPERLINK("https://klasma.github.io/Logging_1460/tillsyn/A 40237-2025 tillsynsbegäran.docx", "A 40237-2025")</f>
        <v/>
      </c>
      <c r="Y116">
        <f>HYPERLINK("https://klasma.github.io/Logging_1460/tillsynsmail/A 40237-2025 tillsynsbegäran mail.docx", "A 40237-2025")</f>
        <v/>
      </c>
    </row>
    <row r="117" ht="15" customHeight="1">
      <c r="A117" t="inlineStr">
        <is>
          <t>A 48663-2025</t>
        </is>
      </c>
      <c r="B117" s="1" t="n">
        <v>45936.57228009259</v>
      </c>
      <c r="C117" s="1" t="n">
        <v>45952</v>
      </c>
      <c r="D117" t="inlineStr">
        <is>
          <t>VÄSTRA GÖTALANDS LÄN</t>
        </is>
      </c>
      <c r="E117" t="inlineStr">
        <is>
          <t>TRANEMO</t>
        </is>
      </c>
      <c r="G117" t="n">
        <v>1.9</v>
      </c>
      <c r="H117" t="n">
        <v>0</v>
      </c>
      <c r="I117" t="n">
        <v>3</v>
      </c>
      <c r="J117" t="n">
        <v>2</v>
      </c>
      <c r="K117" t="n">
        <v>0</v>
      </c>
      <c r="L117" t="n">
        <v>0</v>
      </c>
      <c r="M117" t="n">
        <v>0</v>
      </c>
      <c r="N117" t="n">
        <v>0</v>
      </c>
      <c r="O117" t="n">
        <v>2</v>
      </c>
      <c r="P117" t="n">
        <v>0</v>
      </c>
      <c r="Q117" t="n">
        <v>5</v>
      </c>
      <c r="R117" s="2" t="inlineStr">
        <is>
          <t>Garnlav
Granticka
Kattfotslav
Vedticka
Västlig hakmossa</t>
        </is>
      </c>
      <c r="S117">
        <f>HYPERLINK("https://klasma.github.io/Logging_1452/artfynd/A 48663-2025 artfynd.xlsx", "A 48663-2025")</f>
        <v/>
      </c>
      <c r="T117">
        <f>HYPERLINK("https://klasma.github.io/Logging_1452/kartor/A 48663-2025 karta.png", "A 48663-2025")</f>
        <v/>
      </c>
      <c r="V117">
        <f>HYPERLINK("https://klasma.github.io/Logging_1452/klagomål/A 48663-2025 FSC-klagomål.docx", "A 48663-2025")</f>
        <v/>
      </c>
      <c r="W117">
        <f>HYPERLINK("https://klasma.github.io/Logging_1452/klagomålsmail/A 48663-2025 FSC-klagomål mail.docx", "A 48663-2025")</f>
        <v/>
      </c>
      <c r="X117">
        <f>HYPERLINK("https://klasma.github.io/Logging_1452/tillsyn/A 48663-2025 tillsynsbegäran.docx", "A 48663-2025")</f>
        <v/>
      </c>
      <c r="Y117">
        <f>HYPERLINK("https://klasma.github.io/Logging_1452/tillsynsmail/A 48663-2025 tillsynsbegäran mail.docx", "A 48663-2025")</f>
        <v/>
      </c>
    </row>
    <row r="118" ht="15" customHeight="1">
      <c r="A118" t="inlineStr">
        <is>
          <t>A 22468-2021</t>
        </is>
      </c>
      <c r="B118" s="1" t="n">
        <v>44326.68740740741</v>
      </c>
      <c r="C118" s="1" t="n">
        <v>45952</v>
      </c>
      <c r="D118" t="inlineStr">
        <is>
          <t>VÄSTRA GÖTALANDS LÄN</t>
        </is>
      </c>
      <c r="E118" t="inlineStr">
        <is>
          <t>ORUST</t>
        </is>
      </c>
      <c r="G118" t="n">
        <v>2.5</v>
      </c>
      <c r="H118" t="n">
        <v>1</v>
      </c>
      <c r="I118" t="n">
        <v>0</v>
      </c>
      <c r="J118" t="n">
        <v>4</v>
      </c>
      <c r="K118" t="n">
        <v>0</v>
      </c>
      <c r="L118" t="n">
        <v>0</v>
      </c>
      <c r="M118" t="n">
        <v>0</v>
      </c>
      <c r="N118" t="n">
        <v>0</v>
      </c>
      <c r="O118" t="n">
        <v>4</v>
      </c>
      <c r="P118" t="n">
        <v>0</v>
      </c>
      <c r="Q118" t="n">
        <v>5</v>
      </c>
      <c r="R118" s="2" t="inlineStr">
        <is>
          <t>Borsttåg
Månlåsbräken
Mörk dunört
Saltstarr
Bohusmarrisp</t>
        </is>
      </c>
      <c r="S118">
        <f>HYPERLINK("https://klasma.github.io/Logging_1421/artfynd/A 22468-2021 artfynd.xlsx", "A 22468-2021")</f>
        <v/>
      </c>
      <c r="T118">
        <f>HYPERLINK("https://klasma.github.io/Logging_1421/kartor/A 22468-2021 karta.png", "A 22468-2021")</f>
        <v/>
      </c>
      <c r="V118">
        <f>HYPERLINK("https://klasma.github.io/Logging_1421/klagomål/A 22468-2021 FSC-klagomål.docx", "A 22468-2021")</f>
        <v/>
      </c>
      <c r="W118">
        <f>HYPERLINK("https://klasma.github.io/Logging_1421/klagomålsmail/A 22468-2021 FSC-klagomål mail.docx", "A 22468-2021")</f>
        <v/>
      </c>
      <c r="X118">
        <f>HYPERLINK("https://klasma.github.io/Logging_1421/tillsyn/A 22468-2021 tillsynsbegäran.docx", "A 22468-2021")</f>
        <v/>
      </c>
      <c r="Y118">
        <f>HYPERLINK("https://klasma.github.io/Logging_1421/tillsynsmail/A 22468-2021 tillsynsbegäran mail.docx", "A 22468-2021")</f>
        <v/>
      </c>
    </row>
    <row r="119" ht="15" customHeight="1">
      <c r="A119" t="inlineStr">
        <is>
          <t>A 34396-2023</t>
        </is>
      </c>
      <c r="B119" s="1" t="n">
        <v>45139</v>
      </c>
      <c r="C119" s="1" t="n">
        <v>45952</v>
      </c>
      <c r="D119" t="inlineStr">
        <is>
          <t>VÄSTRA GÖTALANDS LÄN</t>
        </is>
      </c>
      <c r="E119" t="inlineStr">
        <is>
          <t>LILLA EDET</t>
        </is>
      </c>
      <c r="G119" t="n">
        <v>7</v>
      </c>
      <c r="H119" t="n">
        <v>2</v>
      </c>
      <c r="I119" t="n">
        <v>3</v>
      </c>
      <c r="J119" t="n">
        <v>1</v>
      </c>
      <c r="K119" t="n">
        <v>0</v>
      </c>
      <c r="L119" t="n">
        <v>0</v>
      </c>
      <c r="M119" t="n">
        <v>0</v>
      </c>
      <c r="N119" t="n">
        <v>0</v>
      </c>
      <c r="O119" t="n">
        <v>1</v>
      </c>
      <c r="P119" t="n">
        <v>0</v>
      </c>
      <c r="Q119" t="n">
        <v>5</v>
      </c>
      <c r="R119" s="2" t="inlineStr">
        <is>
          <t>Spillkråka
Björksplintborre
Kambräken
Västlig hakmossa
Revlummer</t>
        </is>
      </c>
      <c r="S119">
        <f>HYPERLINK("https://klasma.github.io/Logging_1462/artfynd/A 34396-2023 artfynd.xlsx", "A 34396-2023")</f>
        <v/>
      </c>
      <c r="T119">
        <f>HYPERLINK("https://klasma.github.io/Logging_1462/kartor/A 34396-2023 karta.png", "A 34396-2023")</f>
        <v/>
      </c>
      <c r="V119">
        <f>HYPERLINK("https://klasma.github.io/Logging_1462/klagomål/A 34396-2023 FSC-klagomål.docx", "A 34396-2023")</f>
        <v/>
      </c>
      <c r="W119">
        <f>HYPERLINK("https://klasma.github.io/Logging_1462/klagomålsmail/A 34396-2023 FSC-klagomål mail.docx", "A 34396-2023")</f>
        <v/>
      </c>
      <c r="X119">
        <f>HYPERLINK("https://klasma.github.io/Logging_1462/tillsyn/A 34396-2023 tillsynsbegäran.docx", "A 34396-2023")</f>
        <v/>
      </c>
      <c r="Y119">
        <f>HYPERLINK("https://klasma.github.io/Logging_1462/tillsynsmail/A 34396-2023 tillsynsbegäran mail.docx", "A 34396-2023")</f>
        <v/>
      </c>
      <c r="Z119">
        <f>HYPERLINK("https://klasma.github.io/Logging_1462/fåglar/A 34396-2023 prioriterade fågelarter.docx", "A 34396-2023")</f>
        <v/>
      </c>
    </row>
    <row r="120" ht="15" customHeight="1">
      <c r="A120" t="inlineStr">
        <is>
          <t>A 32950-2025</t>
        </is>
      </c>
      <c r="B120" s="1" t="n">
        <v>45839.68944444445</v>
      </c>
      <c r="C120" s="1" t="n">
        <v>45952</v>
      </c>
      <c r="D120" t="inlineStr">
        <is>
          <t>VÄSTRA GÖTALANDS LÄN</t>
        </is>
      </c>
      <c r="E120" t="inlineStr">
        <is>
          <t>ALINGSÅS</t>
        </is>
      </c>
      <c r="G120" t="n">
        <v>4.6</v>
      </c>
      <c r="H120" t="n">
        <v>1</v>
      </c>
      <c r="I120" t="n">
        <v>4</v>
      </c>
      <c r="J120" t="n">
        <v>0</v>
      </c>
      <c r="K120" t="n">
        <v>0</v>
      </c>
      <c r="L120" t="n">
        <v>0</v>
      </c>
      <c r="M120" t="n">
        <v>0</v>
      </c>
      <c r="N120" t="n">
        <v>0</v>
      </c>
      <c r="O120" t="n">
        <v>0</v>
      </c>
      <c r="P120" t="n">
        <v>0</v>
      </c>
      <c r="Q120" t="n">
        <v>5</v>
      </c>
      <c r="R120" s="2" t="inlineStr">
        <is>
          <t>Kambräken
Klippfrullania
Stor revmossa
Västlig hakmossa
Revlummer</t>
        </is>
      </c>
      <c r="S120">
        <f>HYPERLINK("https://klasma.github.io/Logging_1489/artfynd/A 32950-2025 artfynd.xlsx", "A 32950-2025")</f>
        <v/>
      </c>
      <c r="T120">
        <f>HYPERLINK("https://klasma.github.io/Logging_1489/kartor/A 32950-2025 karta.png", "A 32950-2025")</f>
        <v/>
      </c>
      <c r="V120">
        <f>HYPERLINK("https://klasma.github.io/Logging_1489/klagomål/A 32950-2025 FSC-klagomål.docx", "A 32950-2025")</f>
        <v/>
      </c>
      <c r="W120">
        <f>HYPERLINK("https://klasma.github.io/Logging_1489/klagomålsmail/A 32950-2025 FSC-klagomål mail.docx", "A 32950-2025")</f>
        <v/>
      </c>
      <c r="X120">
        <f>HYPERLINK("https://klasma.github.io/Logging_1489/tillsyn/A 32950-2025 tillsynsbegäran.docx", "A 32950-2025")</f>
        <v/>
      </c>
      <c r="Y120">
        <f>HYPERLINK("https://klasma.github.io/Logging_1489/tillsynsmail/A 32950-2025 tillsynsbegäran mail.docx", "A 32950-2025")</f>
        <v/>
      </c>
    </row>
    <row r="121" ht="15" customHeight="1">
      <c r="A121" t="inlineStr">
        <is>
          <t>A 2975-2022</t>
        </is>
      </c>
      <c r="B121" s="1" t="n">
        <v>44581</v>
      </c>
      <c r="C121" s="1" t="n">
        <v>45952</v>
      </c>
      <c r="D121" t="inlineStr">
        <is>
          <t>VÄSTRA GÖTALANDS LÄN</t>
        </is>
      </c>
      <c r="E121" t="inlineStr">
        <is>
          <t>MUNKEDAL</t>
        </is>
      </c>
      <c r="G121" t="n">
        <v>7.5</v>
      </c>
      <c r="H121" t="n">
        <v>2</v>
      </c>
      <c r="I121" t="n">
        <v>3</v>
      </c>
      <c r="J121" t="n">
        <v>1</v>
      </c>
      <c r="K121" t="n">
        <v>0</v>
      </c>
      <c r="L121" t="n">
        <v>0</v>
      </c>
      <c r="M121" t="n">
        <v>0</v>
      </c>
      <c r="N121" t="n">
        <v>0</v>
      </c>
      <c r="O121" t="n">
        <v>1</v>
      </c>
      <c r="P121" t="n">
        <v>0</v>
      </c>
      <c r="Q121" t="n">
        <v>5</v>
      </c>
      <c r="R121" s="2" t="inlineStr">
        <is>
          <t>Spillkråka
Blåmossa
Mindre märgborre
Trädporella
Mattlummer</t>
        </is>
      </c>
      <c r="S121">
        <f>HYPERLINK("https://klasma.github.io/Logging_1430/artfynd/A 2975-2022 artfynd.xlsx", "A 2975-2022")</f>
        <v/>
      </c>
      <c r="T121">
        <f>HYPERLINK("https://klasma.github.io/Logging_1430/kartor/A 2975-2022 karta.png", "A 2975-2022")</f>
        <v/>
      </c>
      <c r="V121">
        <f>HYPERLINK("https://klasma.github.io/Logging_1430/klagomål/A 2975-2022 FSC-klagomål.docx", "A 2975-2022")</f>
        <v/>
      </c>
      <c r="W121">
        <f>HYPERLINK("https://klasma.github.io/Logging_1430/klagomålsmail/A 2975-2022 FSC-klagomål mail.docx", "A 2975-2022")</f>
        <v/>
      </c>
      <c r="X121">
        <f>HYPERLINK("https://klasma.github.io/Logging_1430/tillsyn/A 2975-2022 tillsynsbegäran.docx", "A 2975-2022")</f>
        <v/>
      </c>
      <c r="Y121">
        <f>HYPERLINK("https://klasma.github.io/Logging_1430/tillsynsmail/A 2975-2022 tillsynsbegäran mail.docx", "A 2975-2022")</f>
        <v/>
      </c>
      <c r="Z121">
        <f>HYPERLINK("https://klasma.github.io/Logging_1430/fåglar/A 2975-2022 prioriterade fågelarter.docx", "A 2975-2022")</f>
        <v/>
      </c>
    </row>
    <row r="122" ht="15" customHeight="1">
      <c r="A122" t="inlineStr">
        <is>
          <t>A 30609-2025</t>
        </is>
      </c>
      <c r="B122" s="1" t="n">
        <v>45831</v>
      </c>
      <c r="C122" s="1" t="n">
        <v>45952</v>
      </c>
      <c r="D122" t="inlineStr">
        <is>
          <t>VÄSTRA GÖTALANDS LÄN</t>
        </is>
      </c>
      <c r="E122" t="inlineStr">
        <is>
          <t>FALKÖPING</t>
        </is>
      </c>
      <c r="G122" t="n">
        <v>16.3</v>
      </c>
      <c r="H122" t="n">
        <v>1</v>
      </c>
      <c r="I122" t="n">
        <v>3</v>
      </c>
      <c r="J122" t="n">
        <v>1</v>
      </c>
      <c r="K122" t="n">
        <v>0</v>
      </c>
      <c r="L122" t="n">
        <v>0</v>
      </c>
      <c r="M122" t="n">
        <v>0</v>
      </c>
      <c r="N122" t="n">
        <v>0</v>
      </c>
      <c r="O122" t="n">
        <v>1</v>
      </c>
      <c r="P122" t="n">
        <v>0</v>
      </c>
      <c r="Q122" t="n">
        <v>5</v>
      </c>
      <c r="R122" s="2" t="inlineStr">
        <is>
          <t>Desmeknopp
Kransrams
Svart trolldruva
Vårärt
Blåsippa</t>
        </is>
      </c>
      <c r="S122">
        <f>HYPERLINK("https://klasma.github.io/Logging_1499/artfynd/A 30609-2025 artfynd.xlsx", "A 30609-2025")</f>
        <v/>
      </c>
      <c r="T122">
        <f>HYPERLINK("https://klasma.github.io/Logging_1499/kartor/A 30609-2025 karta.png", "A 30609-2025")</f>
        <v/>
      </c>
      <c r="V122">
        <f>HYPERLINK("https://klasma.github.io/Logging_1499/klagomål/A 30609-2025 FSC-klagomål.docx", "A 30609-2025")</f>
        <v/>
      </c>
      <c r="W122">
        <f>HYPERLINK("https://klasma.github.io/Logging_1499/klagomålsmail/A 30609-2025 FSC-klagomål mail.docx", "A 30609-2025")</f>
        <v/>
      </c>
      <c r="X122">
        <f>HYPERLINK("https://klasma.github.io/Logging_1499/tillsyn/A 30609-2025 tillsynsbegäran.docx", "A 30609-2025")</f>
        <v/>
      </c>
      <c r="Y122">
        <f>HYPERLINK("https://klasma.github.io/Logging_1499/tillsynsmail/A 30609-2025 tillsynsbegäran mail.docx", "A 30609-2025")</f>
        <v/>
      </c>
    </row>
    <row r="123" ht="15" customHeight="1">
      <c r="A123" t="inlineStr">
        <is>
          <t>A 14860-2025</t>
        </is>
      </c>
      <c r="B123" s="1" t="n">
        <v>45743</v>
      </c>
      <c r="C123" s="1" t="n">
        <v>45952</v>
      </c>
      <c r="D123" t="inlineStr">
        <is>
          <t>VÄSTRA GÖTALANDS LÄN</t>
        </is>
      </c>
      <c r="E123" t="inlineStr">
        <is>
          <t>SKÖVDE</t>
        </is>
      </c>
      <c r="G123" t="n">
        <v>4.5</v>
      </c>
      <c r="H123" t="n">
        <v>2</v>
      </c>
      <c r="I123" t="n">
        <v>3</v>
      </c>
      <c r="J123" t="n">
        <v>1</v>
      </c>
      <c r="K123" t="n">
        <v>0</v>
      </c>
      <c r="L123" t="n">
        <v>0</v>
      </c>
      <c r="M123" t="n">
        <v>1</v>
      </c>
      <c r="N123" t="n">
        <v>0</v>
      </c>
      <c r="O123" t="n">
        <v>2</v>
      </c>
      <c r="P123" t="n">
        <v>1</v>
      </c>
      <c r="Q123" t="n">
        <v>5</v>
      </c>
      <c r="R123" s="2" t="inlineStr">
        <is>
          <t>Skogsalm
Havsörn
Hasselticka
Nästrot
Rävticka</t>
        </is>
      </c>
      <c r="S123">
        <f>HYPERLINK("https://klasma.github.io/Logging_1496/artfynd/A 14860-2025 artfynd.xlsx", "A 14860-2025")</f>
        <v/>
      </c>
      <c r="T123">
        <f>HYPERLINK("https://klasma.github.io/Logging_1496/kartor/A 14860-2025 karta.png", "A 14860-2025")</f>
        <v/>
      </c>
      <c r="V123">
        <f>HYPERLINK("https://klasma.github.io/Logging_1496/klagomål/A 14860-2025 FSC-klagomål.docx", "A 14860-2025")</f>
        <v/>
      </c>
      <c r="W123">
        <f>HYPERLINK("https://klasma.github.io/Logging_1496/klagomålsmail/A 14860-2025 FSC-klagomål mail.docx", "A 14860-2025")</f>
        <v/>
      </c>
      <c r="X123">
        <f>HYPERLINK("https://klasma.github.io/Logging_1496/tillsyn/A 14860-2025 tillsynsbegäran.docx", "A 14860-2025")</f>
        <v/>
      </c>
      <c r="Y123">
        <f>HYPERLINK("https://klasma.github.io/Logging_1496/tillsynsmail/A 14860-2025 tillsynsbegäran mail.docx", "A 14860-2025")</f>
        <v/>
      </c>
      <c r="Z123">
        <f>HYPERLINK("https://klasma.github.io/Logging_1496/fåglar/A 14860-2025 prioriterade fågelarter.docx", "A 14860-2025")</f>
        <v/>
      </c>
    </row>
    <row r="124" ht="15" customHeight="1">
      <c r="A124" t="inlineStr">
        <is>
          <t>A 24984-2025</t>
        </is>
      </c>
      <c r="B124" s="1" t="n">
        <v>45799.60240740741</v>
      </c>
      <c r="C124" s="1" t="n">
        <v>45952</v>
      </c>
      <c r="D124" t="inlineStr">
        <is>
          <t>VÄSTRA GÖTALANDS LÄN</t>
        </is>
      </c>
      <c r="E124" t="inlineStr">
        <is>
          <t>TANUM</t>
        </is>
      </c>
      <c r="G124" t="n">
        <v>1.2</v>
      </c>
      <c r="H124" t="n">
        <v>3</v>
      </c>
      <c r="I124" t="n">
        <v>2</v>
      </c>
      <c r="J124" t="n">
        <v>2</v>
      </c>
      <c r="K124" t="n">
        <v>1</v>
      </c>
      <c r="L124" t="n">
        <v>0</v>
      </c>
      <c r="M124" t="n">
        <v>0</v>
      </c>
      <c r="N124" t="n">
        <v>0</v>
      </c>
      <c r="O124" t="n">
        <v>3</v>
      </c>
      <c r="P124" t="n">
        <v>1</v>
      </c>
      <c r="Q124" t="n">
        <v>5</v>
      </c>
      <c r="R124" s="2" t="inlineStr">
        <is>
          <t>Knärot
Spillkråka
Tretåig hackspett
Rävticka
Stor revmossa</t>
        </is>
      </c>
      <c r="S124">
        <f>HYPERLINK("https://klasma.github.io/Logging_1435/artfynd/A 24984-2025 artfynd.xlsx", "A 24984-2025")</f>
        <v/>
      </c>
      <c r="T124">
        <f>HYPERLINK("https://klasma.github.io/Logging_1435/kartor/A 24984-2025 karta.png", "A 24984-2025")</f>
        <v/>
      </c>
      <c r="U124">
        <f>HYPERLINK("https://klasma.github.io/Logging_1435/knärot/A 24984-2025 karta knärot.png", "A 24984-2025")</f>
        <v/>
      </c>
      <c r="V124">
        <f>HYPERLINK("https://klasma.github.io/Logging_1435/klagomål/A 24984-2025 FSC-klagomål.docx", "A 24984-2025")</f>
        <v/>
      </c>
      <c r="W124">
        <f>HYPERLINK("https://klasma.github.io/Logging_1435/klagomålsmail/A 24984-2025 FSC-klagomål mail.docx", "A 24984-2025")</f>
        <v/>
      </c>
      <c r="X124">
        <f>HYPERLINK("https://klasma.github.io/Logging_1435/tillsyn/A 24984-2025 tillsynsbegäran.docx", "A 24984-2025")</f>
        <v/>
      </c>
      <c r="Y124">
        <f>HYPERLINK("https://klasma.github.io/Logging_1435/tillsynsmail/A 24984-2025 tillsynsbegäran mail.docx", "A 24984-2025")</f>
        <v/>
      </c>
      <c r="Z124">
        <f>HYPERLINK("https://klasma.github.io/Logging_1435/fåglar/A 24984-2025 prioriterade fågelarter.docx", "A 24984-2025")</f>
        <v/>
      </c>
    </row>
    <row r="125" ht="15" customHeight="1">
      <c r="A125" t="inlineStr">
        <is>
          <t>A 35495-2025</t>
        </is>
      </c>
      <c r="B125" s="1" t="n">
        <v>45855.94373842593</v>
      </c>
      <c r="C125" s="1" t="n">
        <v>45952</v>
      </c>
      <c r="D125" t="inlineStr">
        <is>
          <t>VÄSTRA GÖTALANDS LÄN</t>
        </is>
      </c>
      <c r="E125" t="inlineStr">
        <is>
          <t>FALKÖPING</t>
        </is>
      </c>
      <c r="G125" t="n">
        <v>16.3</v>
      </c>
      <c r="H125" t="n">
        <v>1</v>
      </c>
      <c r="I125" t="n">
        <v>3</v>
      </c>
      <c r="J125" t="n">
        <v>1</v>
      </c>
      <c r="K125" t="n">
        <v>0</v>
      </c>
      <c r="L125" t="n">
        <v>0</v>
      </c>
      <c r="M125" t="n">
        <v>0</v>
      </c>
      <c r="N125" t="n">
        <v>0</v>
      </c>
      <c r="O125" t="n">
        <v>1</v>
      </c>
      <c r="P125" t="n">
        <v>0</v>
      </c>
      <c r="Q125" t="n">
        <v>5</v>
      </c>
      <c r="R125" s="2" t="inlineStr">
        <is>
          <t>Desmeknopp
Kransrams
Svart trolldruva
Vårärt
Blåsippa</t>
        </is>
      </c>
      <c r="S125">
        <f>HYPERLINK("https://klasma.github.io/Logging_1499/artfynd/A 35495-2025 artfynd.xlsx", "A 35495-2025")</f>
        <v/>
      </c>
      <c r="T125">
        <f>HYPERLINK("https://klasma.github.io/Logging_1499/kartor/A 35495-2025 karta.png", "A 35495-2025")</f>
        <v/>
      </c>
      <c r="V125">
        <f>HYPERLINK("https://klasma.github.io/Logging_1499/klagomål/A 35495-2025 FSC-klagomål.docx", "A 35495-2025")</f>
        <v/>
      </c>
      <c r="W125">
        <f>HYPERLINK("https://klasma.github.io/Logging_1499/klagomålsmail/A 35495-2025 FSC-klagomål mail.docx", "A 35495-2025")</f>
        <v/>
      </c>
      <c r="X125">
        <f>HYPERLINK("https://klasma.github.io/Logging_1499/tillsyn/A 35495-2025 tillsynsbegäran.docx", "A 35495-2025")</f>
        <v/>
      </c>
      <c r="Y125">
        <f>HYPERLINK("https://klasma.github.io/Logging_1499/tillsynsmail/A 35495-2025 tillsynsbegäran mail.docx", "A 35495-2025")</f>
        <v/>
      </c>
    </row>
    <row r="126" ht="15" customHeight="1">
      <c r="A126" t="inlineStr">
        <is>
          <t>A 27271-2025</t>
        </is>
      </c>
      <c r="B126" s="1" t="n">
        <v>45812</v>
      </c>
      <c r="C126" s="1" t="n">
        <v>45952</v>
      </c>
      <c r="D126" t="inlineStr">
        <is>
          <t>VÄSTRA GÖTALANDS LÄN</t>
        </is>
      </c>
      <c r="E126" t="inlineStr">
        <is>
          <t>ALINGSÅS</t>
        </is>
      </c>
      <c r="G126" t="n">
        <v>8.800000000000001</v>
      </c>
      <c r="H126" t="n">
        <v>3</v>
      </c>
      <c r="I126" t="n">
        <v>0</v>
      </c>
      <c r="J126" t="n">
        <v>2</v>
      </c>
      <c r="K126" t="n">
        <v>1</v>
      </c>
      <c r="L126" t="n">
        <v>0</v>
      </c>
      <c r="M126" t="n">
        <v>0</v>
      </c>
      <c r="N126" t="n">
        <v>0</v>
      </c>
      <c r="O126" t="n">
        <v>3</v>
      </c>
      <c r="P126" t="n">
        <v>1</v>
      </c>
      <c r="Q126" t="n">
        <v>5</v>
      </c>
      <c r="R126" s="2" t="inlineStr">
        <is>
          <t>Flikbålmossa
Loppstarr
Spillkråka
Åkergroda
Äkta lopplummer</t>
        </is>
      </c>
      <c r="S126">
        <f>HYPERLINK("https://klasma.github.io/Logging_1489/artfynd/A 27271-2025 artfynd.xlsx", "A 27271-2025")</f>
        <v/>
      </c>
      <c r="T126">
        <f>HYPERLINK("https://klasma.github.io/Logging_1489/kartor/A 27271-2025 karta.png", "A 27271-2025")</f>
        <v/>
      </c>
      <c r="V126">
        <f>HYPERLINK("https://klasma.github.io/Logging_1489/klagomål/A 27271-2025 FSC-klagomål.docx", "A 27271-2025")</f>
        <v/>
      </c>
      <c r="W126">
        <f>HYPERLINK("https://klasma.github.io/Logging_1489/klagomålsmail/A 27271-2025 FSC-klagomål mail.docx", "A 27271-2025")</f>
        <v/>
      </c>
      <c r="X126">
        <f>HYPERLINK("https://klasma.github.io/Logging_1489/tillsyn/A 27271-2025 tillsynsbegäran.docx", "A 27271-2025")</f>
        <v/>
      </c>
      <c r="Y126">
        <f>HYPERLINK("https://klasma.github.io/Logging_1489/tillsynsmail/A 27271-2025 tillsynsbegäran mail.docx", "A 27271-2025")</f>
        <v/>
      </c>
      <c r="Z126">
        <f>HYPERLINK("https://klasma.github.io/Logging_1489/fåglar/A 27271-2025 prioriterade fågelarter.docx", "A 27271-2025")</f>
        <v/>
      </c>
    </row>
    <row r="127" ht="15" customHeight="1">
      <c r="A127" t="inlineStr">
        <is>
          <t>A 56530-2023</t>
        </is>
      </c>
      <c r="B127" s="1" t="n">
        <v>45243</v>
      </c>
      <c r="C127" s="1" t="n">
        <v>45952</v>
      </c>
      <c r="D127" t="inlineStr">
        <is>
          <t>VÄSTRA GÖTALANDS LÄN</t>
        </is>
      </c>
      <c r="E127" t="inlineStr">
        <is>
          <t>ALINGSÅS</t>
        </is>
      </c>
      <c r="G127" t="n">
        <v>2.4</v>
      </c>
      <c r="H127" t="n">
        <v>5</v>
      </c>
      <c r="I127" t="n">
        <v>0</v>
      </c>
      <c r="J127" t="n">
        <v>5</v>
      </c>
      <c r="K127" t="n">
        <v>0</v>
      </c>
      <c r="L127" t="n">
        <v>0</v>
      </c>
      <c r="M127" t="n">
        <v>0</v>
      </c>
      <c r="N127" t="n">
        <v>0</v>
      </c>
      <c r="O127" t="n">
        <v>5</v>
      </c>
      <c r="P127" t="n">
        <v>0</v>
      </c>
      <c r="Q127" t="n">
        <v>5</v>
      </c>
      <c r="R127" s="2" t="inlineStr">
        <is>
          <t>Entita
Gulsparv
Mindre hackspett
Svartvit flugsnappare
Sävsparv</t>
        </is>
      </c>
      <c r="S127">
        <f>HYPERLINK("https://klasma.github.io/Logging_1489/artfynd/A 56530-2023 artfynd.xlsx", "A 56530-2023")</f>
        <v/>
      </c>
      <c r="T127">
        <f>HYPERLINK("https://klasma.github.io/Logging_1489/kartor/A 56530-2023 karta.png", "A 56530-2023")</f>
        <v/>
      </c>
      <c r="V127">
        <f>HYPERLINK("https://klasma.github.io/Logging_1489/klagomål/A 56530-2023 FSC-klagomål.docx", "A 56530-2023")</f>
        <v/>
      </c>
      <c r="W127">
        <f>HYPERLINK("https://klasma.github.io/Logging_1489/klagomålsmail/A 56530-2023 FSC-klagomål mail.docx", "A 56530-2023")</f>
        <v/>
      </c>
      <c r="X127">
        <f>HYPERLINK("https://klasma.github.io/Logging_1489/tillsyn/A 56530-2023 tillsynsbegäran.docx", "A 56530-2023")</f>
        <v/>
      </c>
      <c r="Y127">
        <f>HYPERLINK("https://klasma.github.io/Logging_1489/tillsynsmail/A 56530-2023 tillsynsbegäran mail.docx", "A 56530-2023")</f>
        <v/>
      </c>
      <c r="Z127">
        <f>HYPERLINK("https://klasma.github.io/Logging_1489/fåglar/A 56530-2023 prioriterade fågelarter.docx", "A 56530-2023")</f>
        <v/>
      </c>
    </row>
    <row r="128" ht="15" customHeight="1">
      <c r="A128" t="inlineStr">
        <is>
          <t>A 62027-2021</t>
        </is>
      </c>
      <c r="B128" s="1" t="n">
        <v>44501</v>
      </c>
      <c r="C128" s="1" t="n">
        <v>45952</v>
      </c>
      <c r="D128" t="inlineStr">
        <is>
          <t>VÄSTRA GÖTALANDS LÄN</t>
        </is>
      </c>
      <c r="E128" t="inlineStr">
        <is>
          <t>BORÅS</t>
        </is>
      </c>
      <c r="G128" t="n">
        <v>4.2</v>
      </c>
      <c r="H128" t="n">
        <v>1</v>
      </c>
      <c r="I128" t="n">
        <v>2</v>
      </c>
      <c r="J128" t="n">
        <v>2</v>
      </c>
      <c r="K128" t="n">
        <v>0</v>
      </c>
      <c r="L128" t="n">
        <v>0</v>
      </c>
      <c r="M128" t="n">
        <v>0</v>
      </c>
      <c r="N128" t="n">
        <v>0</v>
      </c>
      <c r="O128" t="n">
        <v>2</v>
      </c>
      <c r="P128" t="n">
        <v>0</v>
      </c>
      <c r="Q128" t="n">
        <v>4</v>
      </c>
      <c r="R128" s="2" t="inlineStr">
        <is>
          <t>Spillkråka
Svartvit taggsvamp
Blåmossa
Stor revmossa</t>
        </is>
      </c>
      <c r="S128">
        <f>HYPERLINK("https://klasma.github.io/Logging_1490/artfynd/A 62027-2021 artfynd.xlsx", "A 62027-2021")</f>
        <v/>
      </c>
      <c r="T128">
        <f>HYPERLINK("https://klasma.github.io/Logging_1490/kartor/A 62027-2021 karta.png", "A 62027-2021")</f>
        <v/>
      </c>
      <c r="V128">
        <f>HYPERLINK("https://klasma.github.io/Logging_1490/klagomål/A 62027-2021 FSC-klagomål.docx", "A 62027-2021")</f>
        <v/>
      </c>
      <c r="W128">
        <f>HYPERLINK("https://klasma.github.io/Logging_1490/klagomålsmail/A 62027-2021 FSC-klagomål mail.docx", "A 62027-2021")</f>
        <v/>
      </c>
      <c r="X128">
        <f>HYPERLINK("https://klasma.github.io/Logging_1490/tillsyn/A 62027-2021 tillsynsbegäran.docx", "A 62027-2021")</f>
        <v/>
      </c>
      <c r="Y128">
        <f>HYPERLINK("https://klasma.github.io/Logging_1490/tillsynsmail/A 62027-2021 tillsynsbegäran mail.docx", "A 62027-2021")</f>
        <v/>
      </c>
      <c r="Z128">
        <f>HYPERLINK("https://klasma.github.io/Logging_1490/fåglar/A 62027-2021 prioriterade fågelarter.docx", "A 62027-2021")</f>
        <v/>
      </c>
    </row>
    <row r="129" ht="15" customHeight="1">
      <c r="A129" t="inlineStr">
        <is>
          <t>A 33755-2021</t>
        </is>
      </c>
      <c r="B129" s="1" t="n">
        <v>44378</v>
      </c>
      <c r="C129" s="1" t="n">
        <v>45952</v>
      </c>
      <c r="D129" t="inlineStr">
        <is>
          <t>VÄSTRA GÖTALANDS LÄN</t>
        </is>
      </c>
      <c r="E129" t="inlineStr">
        <is>
          <t>VÄNERSBORG</t>
        </is>
      </c>
      <c r="F129" t="inlineStr">
        <is>
          <t>Sveaskog</t>
        </is>
      </c>
      <c r="G129" t="n">
        <v>13.8</v>
      </c>
      <c r="H129" t="n">
        <v>3</v>
      </c>
      <c r="I129" t="n">
        <v>1</v>
      </c>
      <c r="J129" t="n">
        <v>1</v>
      </c>
      <c r="K129" t="n">
        <v>0</v>
      </c>
      <c r="L129" t="n">
        <v>0</v>
      </c>
      <c r="M129" t="n">
        <v>0</v>
      </c>
      <c r="N129" t="n">
        <v>0</v>
      </c>
      <c r="O129" t="n">
        <v>1</v>
      </c>
      <c r="P129" t="n">
        <v>0</v>
      </c>
      <c r="Q129" t="n">
        <v>4</v>
      </c>
      <c r="R129" s="2" t="inlineStr">
        <is>
          <t>Spillkråka
Blåmossa
Sparvuggla
Revlummer</t>
        </is>
      </c>
      <c r="S129">
        <f>HYPERLINK("https://klasma.github.io/Logging_1487/artfynd/A 33755-2021 artfynd.xlsx", "A 33755-2021")</f>
        <v/>
      </c>
      <c r="T129">
        <f>HYPERLINK("https://klasma.github.io/Logging_1487/kartor/A 33755-2021 karta.png", "A 33755-2021")</f>
        <v/>
      </c>
      <c r="V129">
        <f>HYPERLINK("https://klasma.github.io/Logging_1487/klagomål/A 33755-2021 FSC-klagomål.docx", "A 33755-2021")</f>
        <v/>
      </c>
      <c r="W129">
        <f>HYPERLINK("https://klasma.github.io/Logging_1487/klagomålsmail/A 33755-2021 FSC-klagomål mail.docx", "A 33755-2021")</f>
        <v/>
      </c>
      <c r="X129">
        <f>HYPERLINK("https://klasma.github.io/Logging_1487/tillsyn/A 33755-2021 tillsynsbegäran.docx", "A 33755-2021")</f>
        <v/>
      </c>
      <c r="Y129">
        <f>HYPERLINK("https://klasma.github.io/Logging_1487/tillsynsmail/A 33755-2021 tillsynsbegäran mail.docx", "A 33755-2021")</f>
        <v/>
      </c>
      <c r="Z129">
        <f>HYPERLINK("https://klasma.github.io/Logging_1487/fåglar/A 33755-2021 prioriterade fågelarter.docx", "A 33755-2021")</f>
        <v/>
      </c>
    </row>
    <row r="130" ht="15" customHeight="1">
      <c r="A130" t="inlineStr">
        <is>
          <t>A 7577-2021</t>
        </is>
      </c>
      <c r="B130" s="1" t="n">
        <v>44240</v>
      </c>
      <c r="C130" s="1" t="n">
        <v>45952</v>
      </c>
      <c r="D130" t="inlineStr">
        <is>
          <t>VÄSTRA GÖTALANDS LÄN</t>
        </is>
      </c>
      <c r="E130" t="inlineStr">
        <is>
          <t>TANUM</t>
        </is>
      </c>
      <c r="G130" t="n">
        <v>2</v>
      </c>
      <c r="H130" t="n">
        <v>1</v>
      </c>
      <c r="I130" t="n">
        <v>3</v>
      </c>
      <c r="J130" t="n">
        <v>1</v>
      </c>
      <c r="K130" t="n">
        <v>0</v>
      </c>
      <c r="L130" t="n">
        <v>0</v>
      </c>
      <c r="M130" t="n">
        <v>0</v>
      </c>
      <c r="N130" t="n">
        <v>0</v>
      </c>
      <c r="O130" t="n">
        <v>1</v>
      </c>
      <c r="P130" t="n">
        <v>0</v>
      </c>
      <c r="Q130" t="n">
        <v>4</v>
      </c>
      <c r="R130" s="2" t="inlineStr">
        <is>
          <t>Spillkråka
Blåmossa
Dropptaggsvamp
Mindre märgborre</t>
        </is>
      </c>
      <c r="S130">
        <f>HYPERLINK("https://klasma.github.io/Logging_1435/artfynd/A 7577-2021 artfynd.xlsx", "A 7577-2021")</f>
        <v/>
      </c>
      <c r="T130">
        <f>HYPERLINK("https://klasma.github.io/Logging_1435/kartor/A 7577-2021 karta.png", "A 7577-2021")</f>
        <v/>
      </c>
      <c r="V130">
        <f>HYPERLINK("https://klasma.github.io/Logging_1435/klagomål/A 7577-2021 FSC-klagomål.docx", "A 7577-2021")</f>
        <v/>
      </c>
      <c r="W130">
        <f>HYPERLINK("https://klasma.github.io/Logging_1435/klagomålsmail/A 7577-2021 FSC-klagomål mail.docx", "A 7577-2021")</f>
        <v/>
      </c>
      <c r="X130">
        <f>HYPERLINK("https://klasma.github.io/Logging_1435/tillsyn/A 7577-2021 tillsynsbegäran.docx", "A 7577-2021")</f>
        <v/>
      </c>
      <c r="Y130">
        <f>HYPERLINK("https://klasma.github.io/Logging_1435/tillsynsmail/A 7577-2021 tillsynsbegäran mail.docx", "A 7577-2021")</f>
        <v/>
      </c>
      <c r="Z130">
        <f>HYPERLINK("https://klasma.github.io/Logging_1435/fåglar/A 7577-2021 prioriterade fågelarter.docx", "A 7577-2021")</f>
        <v/>
      </c>
    </row>
    <row r="131" ht="15" customHeight="1">
      <c r="A131" t="inlineStr">
        <is>
          <t>A 54706-2021</t>
        </is>
      </c>
      <c r="B131" s="1" t="n">
        <v>44473</v>
      </c>
      <c r="C131" s="1" t="n">
        <v>45952</v>
      </c>
      <c r="D131" t="inlineStr">
        <is>
          <t>VÄSTRA GÖTALANDS LÄN</t>
        </is>
      </c>
      <c r="E131" t="inlineStr">
        <is>
          <t>MARIESTAD</t>
        </is>
      </c>
      <c r="G131" t="n">
        <v>4.2</v>
      </c>
      <c r="H131" t="n">
        <v>4</v>
      </c>
      <c r="I131" t="n">
        <v>0</v>
      </c>
      <c r="J131" t="n">
        <v>2</v>
      </c>
      <c r="K131" t="n">
        <v>1</v>
      </c>
      <c r="L131" t="n">
        <v>0</v>
      </c>
      <c r="M131" t="n">
        <v>0</v>
      </c>
      <c r="N131" t="n">
        <v>0</v>
      </c>
      <c r="O131" t="n">
        <v>3</v>
      </c>
      <c r="P131" t="n">
        <v>1</v>
      </c>
      <c r="Q131" t="n">
        <v>4</v>
      </c>
      <c r="R131" s="2" t="inlineStr">
        <is>
          <t>Tofsvipa
Björktrast
Mindre hackspett
Orre</t>
        </is>
      </c>
      <c r="S131">
        <f>HYPERLINK("https://klasma.github.io/Logging_1493/artfynd/A 54706-2021 artfynd.xlsx", "A 54706-2021")</f>
        <v/>
      </c>
      <c r="T131">
        <f>HYPERLINK("https://klasma.github.io/Logging_1493/kartor/A 54706-2021 karta.png", "A 54706-2021")</f>
        <v/>
      </c>
      <c r="V131">
        <f>HYPERLINK("https://klasma.github.io/Logging_1493/klagomål/A 54706-2021 FSC-klagomål.docx", "A 54706-2021")</f>
        <v/>
      </c>
      <c r="W131">
        <f>HYPERLINK("https://klasma.github.io/Logging_1493/klagomålsmail/A 54706-2021 FSC-klagomål mail.docx", "A 54706-2021")</f>
        <v/>
      </c>
      <c r="X131">
        <f>HYPERLINK("https://klasma.github.io/Logging_1493/tillsyn/A 54706-2021 tillsynsbegäran.docx", "A 54706-2021")</f>
        <v/>
      </c>
      <c r="Y131">
        <f>HYPERLINK("https://klasma.github.io/Logging_1493/tillsynsmail/A 54706-2021 tillsynsbegäran mail.docx", "A 54706-2021")</f>
        <v/>
      </c>
      <c r="Z131">
        <f>HYPERLINK("https://klasma.github.io/Logging_1493/fåglar/A 54706-2021 prioriterade fågelarter.docx", "A 54706-2021")</f>
        <v/>
      </c>
    </row>
    <row r="132" ht="15" customHeight="1">
      <c r="A132" t="inlineStr">
        <is>
          <t>A 5481-2022</t>
        </is>
      </c>
      <c r="B132" s="1" t="n">
        <v>44595</v>
      </c>
      <c r="C132" s="1" t="n">
        <v>45952</v>
      </c>
      <c r="D132" t="inlineStr">
        <is>
          <t>VÄSTRA GÖTALANDS LÄN</t>
        </is>
      </c>
      <c r="E132" t="inlineStr">
        <is>
          <t>SKÖVDE</t>
        </is>
      </c>
      <c r="F132" t="inlineStr">
        <is>
          <t>Kommuner</t>
        </is>
      </c>
      <c r="G132" t="n">
        <v>2.3</v>
      </c>
      <c r="H132" t="n">
        <v>3</v>
      </c>
      <c r="I132" t="n">
        <v>1</v>
      </c>
      <c r="J132" t="n">
        <v>1</v>
      </c>
      <c r="K132" t="n">
        <v>1</v>
      </c>
      <c r="L132" t="n">
        <v>0</v>
      </c>
      <c r="M132" t="n">
        <v>0</v>
      </c>
      <c r="N132" t="n">
        <v>0</v>
      </c>
      <c r="O132" t="n">
        <v>2</v>
      </c>
      <c r="P132" t="n">
        <v>1</v>
      </c>
      <c r="Q132" t="n">
        <v>4</v>
      </c>
      <c r="R132" s="2" t="inlineStr">
        <is>
          <t>Knärot
Grantaggsvamp
Skogsknipprot
Revlummer</t>
        </is>
      </c>
      <c r="S132">
        <f>HYPERLINK("https://klasma.github.io/Logging_1496/artfynd/A 5481-2022 artfynd.xlsx", "A 5481-2022")</f>
        <v/>
      </c>
      <c r="T132">
        <f>HYPERLINK("https://klasma.github.io/Logging_1496/kartor/A 5481-2022 karta.png", "A 5481-2022")</f>
        <v/>
      </c>
      <c r="U132">
        <f>HYPERLINK("https://klasma.github.io/Logging_1496/knärot/A 5481-2022 karta knärot.png", "A 5481-2022")</f>
        <v/>
      </c>
      <c r="V132">
        <f>HYPERLINK("https://klasma.github.io/Logging_1496/klagomål/A 5481-2022 FSC-klagomål.docx", "A 5481-2022")</f>
        <v/>
      </c>
      <c r="W132">
        <f>HYPERLINK("https://klasma.github.io/Logging_1496/klagomålsmail/A 5481-2022 FSC-klagomål mail.docx", "A 5481-2022")</f>
        <v/>
      </c>
      <c r="X132">
        <f>HYPERLINK("https://klasma.github.io/Logging_1496/tillsyn/A 5481-2022 tillsynsbegäran.docx", "A 5481-2022")</f>
        <v/>
      </c>
      <c r="Y132">
        <f>HYPERLINK("https://klasma.github.io/Logging_1496/tillsynsmail/A 5481-2022 tillsynsbegäran mail.docx", "A 5481-2022")</f>
        <v/>
      </c>
    </row>
    <row r="133" ht="15" customHeight="1">
      <c r="A133" t="inlineStr">
        <is>
          <t>A 63367-2021</t>
        </is>
      </c>
      <c r="B133" s="1" t="n">
        <v>44506</v>
      </c>
      <c r="C133" s="1" t="n">
        <v>45952</v>
      </c>
      <c r="D133" t="inlineStr">
        <is>
          <t>VÄSTRA GÖTALANDS LÄN</t>
        </is>
      </c>
      <c r="E133" t="inlineStr">
        <is>
          <t>TANUM</t>
        </is>
      </c>
      <c r="G133" t="n">
        <v>1.7</v>
      </c>
      <c r="H133" t="n">
        <v>4</v>
      </c>
      <c r="I133" t="n">
        <v>0</v>
      </c>
      <c r="J133" t="n">
        <v>4</v>
      </c>
      <c r="K133" t="n">
        <v>0</v>
      </c>
      <c r="L133" t="n">
        <v>0</v>
      </c>
      <c r="M133" t="n">
        <v>0</v>
      </c>
      <c r="N133" t="n">
        <v>0</v>
      </c>
      <c r="O133" t="n">
        <v>4</v>
      </c>
      <c r="P133" t="n">
        <v>0</v>
      </c>
      <c r="Q133" t="n">
        <v>4</v>
      </c>
      <c r="R133" s="2" t="inlineStr">
        <is>
          <t>Grönsångare
Gulsparv
Kråka
Talltita</t>
        </is>
      </c>
      <c r="S133">
        <f>HYPERLINK("https://klasma.github.io/Logging_1435/artfynd/A 63367-2021 artfynd.xlsx", "A 63367-2021")</f>
        <v/>
      </c>
      <c r="T133">
        <f>HYPERLINK("https://klasma.github.io/Logging_1435/kartor/A 63367-2021 karta.png", "A 63367-2021")</f>
        <v/>
      </c>
      <c r="V133">
        <f>HYPERLINK("https://klasma.github.io/Logging_1435/klagomål/A 63367-2021 FSC-klagomål.docx", "A 63367-2021")</f>
        <v/>
      </c>
      <c r="W133">
        <f>HYPERLINK("https://klasma.github.io/Logging_1435/klagomålsmail/A 63367-2021 FSC-klagomål mail.docx", "A 63367-2021")</f>
        <v/>
      </c>
      <c r="X133">
        <f>HYPERLINK("https://klasma.github.io/Logging_1435/tillsyn/A 63367-2021 tillsynsbegäran.docx", "A 63367-2021")</f>
        <v/>
      </c>
      <c r="Y133">
        <f>HYPERLINK("https://klasma.github.io/Logging_1435/tillsynsmail/A 63367-2021 tillsynsbegäran mail.docx", "A 63367-2021")</f>
        <v/>
      </c>
      <c r="Z133">
        <f>HYPERLINK("https://klasma.github.io/Logging_1435/fåglar/A 63367-2021 prioriterade fågelarter.docx", "A 63367-2021")</f>
        <v/>
      </c>
    </row>
    <row r="134" ht="15" customHeight="1">
      <c r="A134" t="inlineStr">
        <is>
          <t>A 17902-2021</t>
        </is>
      </c>
      <c r="B134" s="1" t="n">
        <v>44300</v>
      </c>
      <c r="C134" s="1" t="n">
        <v>45952</v>
      </c>
      <c r="D134" t="inlineStr">
        <is>
          <t>VÄSTRA GÖTALANDS LÄN</t>
        </is>
      </c>
      <c r="E134" t="inlineStr">
        <is>
          <t>STRÖMSTAD</t>
        </is>
      </c>
      <c r="G134" t="n">
        <v>8.5</v>
      </c>
      <c r="H134" t="n">
        <v>1</v>
      </c>
      <c r="I134" t="n">
        <v>3</v>
      </c>
      <c r="J134" t="n">
        <v>1</v>
      </c>
      <c r="K134" t="n">
        <v>0</v>
      </c>
      <c r="L134" t="n">
        <v>0</v>
      </c>
      <c r="M134" t="n">
        <v>0</v>
      </c>
      <c r="N134" t="n">
        <v>0</v>
      </c>
      <c r="O134" t="n">
        <v>1</v>
      </c>
      <c r="P134" t="n">
        <v>0</v>
      </c>
      <c r="Q134" t="n">
        <v>4</v>
      </c>
      <c r="R134" s="2" t="inlineStr">
        <is>
          <t>Spillkråka
Blåmossa
Stor revmossa
Västlig hakmossa</t>
        </is>
      </c>
      <c r="S134">
        <f>HYPERLINK("https://klasma.github.io/Logging_1486/artfynd/A 17902-2021 artfynd.xlsx", "A 17902-2021")</f>
        <v/>
      </c>
      <c r="T134">
        <f>HYPERLINK("https://klasma.github.io/Logging_1486/kartor/A 17902-2021 karta.png", "A 17902-2021")</f>
        <v/>
      </c>
      <c r="V134">
        <f>HYPERLINK("https://klasma.github.io/Logging_1486/klagomål/A 17902-2021 FSC-klagomål.docx", "A 17902-2021")</f>
        <v/>
      </c>
      <c r="W134">
        <f>HYPERLINK("https://klasma.github.io/Logging_1486/klagomålsmail/A 17902-2021 FSC-klagomål mail.docx", "A 17902-2021")</f>
        <v/>
      </c>
      <c r="X134">
        <f>HYPERLINK("https://klasma.github.io/Logging_1486/tillsyn/A 17902-2021 tillsynsbegäran.docx", "A 17902-2021")</f>
        <v/>
      </c>
      <c r="Y134">
        <f>HYPERLINK("https://klasma.github.io/Logging_1486/tillsynsmail/A 17902-2021 tillsynsbegäran mail.docx", "A 17902-2021")</f>
        <v/>
      </c>
      <c r="Z134">
        <f>HYPERLINK("https://klasma.github.io/Logging_1486/fåglar/A 17902-2021 prioriterade fågelarter.docx", "A 17902-2021")</f>
        <v/>
      </c>
    </row>
    <row r="135" ht="15" customHeight="1">
      <c r="A135" t="inlineStr">
        <is>
          <t>A 12865-2022</t>
        </is>
      </c>
      <c r="B135" s="1" t="n">
        <v>44642</v>
      </c>
      <c r="C135" s="1" t="n">
        <v>45952</v>
      </c>
      <c r="D135" t="inlineStr">
        <is>
          <t>VÄSTRA GÖTALANDS LÄN</t>
        </is>
      </c>
      <c r="E135" t="inlineStr">
        <is>
          <t>GÖTENE</t>
        </is>
      </c>
      <c r="G135" t="n">
        <v>0.5</v>
      </c>
      <c r="H135" t="n">
        <v>4</v>
      </c>
      <c r="I135" t="n">
        <v>0</v>
      </c>
      <c r="J135" t="n">
        <v>1</v>
      </c>
      <c r="K135" t="n">
        <v>0</v>
      </c>
      <c r="L135" t="n">
        <v>0</v>
      </c>
      <c r="M135" t="n">
        <v>0</v>
      </c>
      <c r="N135" t="n">
        <v>0</v>
      </c>
      <c r="O135" t="n">
        <v>1</v>
      </c>
      <c r="P135" t="n">
        <v>0</v>
      </c>
      <c r="Q135" t="n">
        <v>4</v>
      </c>
      <c r="R135" s="2" t="inlineStr">
        <is>
          <t>Nordfladdermus
Dvärgpipistrell
Större brunfladdermus
Vattenfladdermus</t>
        </is>
      </c>
      <c r="S135">
        <f>HYPERLINK("https://klasma.github.io/Logging_1471/artfynd/A 12865-2022 artfynd.xlsx", "A 12865-2022")</f>
        <v/>
      </c>
      <c r="T135">
        <f>HYPERLINK("https://klasma.github.io/Logging_1471/kartor/A 12865-2022 karta.png", "A 12865-2022")</f>
        <v/>
      </c>
      <c r="V135">
        <f>HYPERLINK("https://klasma.github.io/Logging_1471/klagomål/A 12865-2022 FSC-klagomål.docx", "A 12865-2022")</f>
        <v/>
      </c>
      <c r="W135">
        <f>HYPERLINK("https://klasma.github.io/Logging_1471/klagomålsmail/A 12865-2022 FSC-klagomål mail.docx", "A 12865-2022")</f>
        <v/>
      </c>
      <c r="X135">
        <f>HYPERLINK("https://klasma.github.io/Logging_1471/tillsyn/A 12865-2022 tillsynsbegäran.docx", "A 12865-2022")</f>
        <v/>
      </c>
      <c r="Y135">
        <f>HYPERLINK("https://klasma.github.io/Logging_1471/tillsynsmail/A 12865-2022 tillsynsbegäran mail.docx", "A 12865-2022")</f>
        <v/>
      </c>
    </row>
    <row r="136" ht="15" customHeight="1">
      <c r="A136" t="inlineStr">
        <is>
          <t>A 10017-2022</t>
        </is>
      </c>
      <c r="B136" s="1" t="n">
        <v>44621.49918981481</v>
      </c>
      <c r="C136" s="1" t="n">
        <v>45952</v>
      </c>
      <c r="D136" t="inlineStr">
        <is>
          <t>VÄSTRA GÖTALANDS LÄN</t>
        </is>
      </c>
      <c r="E136" t="inlineStr">
        <is>
          <t>ALINGSÅS</t>
        </is>
      </c>
      <c r="G136" t="n">
        <v>3.8</v>
      </c>
      <c r="H136" t="n">
        <v>2</v>
      </c>
      <c r="I136" t="n">
        <v>0</v>
      </c>
      <c r="J136" t="n">
        <v>0</v>
      </c>
      <c r="K136" t="n">
        <v>0</v>
      </c>
      <c r="L136" t="n">
        <v>1</v>
      </c>
      <c r="M136" t="n">
        <v>1</v>
      </c>
      <c r="N136" t="n">
        <v>0</v>
      </c>
      <c r="O136" t="n">
        <v>2</v>
      </c>
      <c r="P136" t="n">
        <v>2</v>
      </c>
      <c r="Q136" t="n">
        <v>4</v>
      </c>
      <c r="R136" s="2" t="inlineStr">
        <is>
          <t>Skogsalm
Ask
Skogsödla
Vanlig padda</t>
        </is>
      </c>
      <c r="S136">
        <f>HYPERLINK("https://klasma.github.io/Logging_1489/artfynd/A 10017-2022 artfynd.xlsx", "A 10017-2022")</f>
        <v/>
      </c>
      <c r="T136">
        <f>HYPERLINK("https://klasma.github.io/Logging_1489/kartor/A 10017-2022 karta.png", "A 10017-2022")</f>
        <v/>
      </c>
      <c r="V136">
        <f>HYPERLINK("https://klasma.github.io/Logging_1489/klagomål/A 10017-2022 FSC-klagomål.docx", "A 10017-2022")</f>
        <v/>
      </c>
      <c r="W136">
        <f>HYPERLINK("https://klasma.github.io/Logging_1489/klagomålsmail/A 10017-2022 FSC-klagomål mail.docx", "A 10017-2022")</f>
        <v/>
      </c>
      <c r="X136">
        <f>HYPERLINK("https://klasma.github.io/Logging_1489/tillsyn/A 10017-2022 tillsynsbegäran.docx", "A 10017-2022")</f>
        <v/>
      </c>
      <c r="Y136">
        <f>HYPERLINK("https://klasma.github.io/Logging_1489/tillsynsmail/A 10017-2022 tillsynsbegäran mail.docx", "A 10017-2022")</f>
        <v/>
      </c>
    </row>
    <row r="137" ht="15" customHeight="1">
      <c r="A137" t="inlineStr">
        <is>
          <t>A 54650-2022</t>
        </is>
      </c>
      <c r="B137" s="1" t="n">
        <v>44883.42645833334</v>
      </c>
      <c r="C137" s="1" t="n">
        <v>45952</v>
      </c>
      <c r="D137" t="inlineStr">
        <is>
          <t>VÄSTRA GÖTALANDS LÄN</t>
        </is>
      </c>
      <c r="E137" t="inlineStr">
        <is>
          <t>SVENLJUNGA</t>
        </is>
      </c>
      <c r="F137" t="inlineStr">
        <is>
          <t>Sveaskog</t>
        </is>
      </c>
      <c r="G137" t="n">
        <v>3.3</v>
      </c>
      <c r="H137" t="n">
        <v>0</v>
      </c>
      <c r="I137" t="n">
        <v>0</v>
      </c>
      <c r="J137" t="n">
        <v>2</v>
      </c>
      <c r="K137" t="n">
        <v>1</v>
      </c>
      <c r="L137" t="n">
        <v>1</v>
      </c>
      <c r="M137" t="n">
        <v>0</v>
      </c>
      <c r="N137" t="n">
        <v>0</v>
      </c>
      <c r="O137" t="n">
        <v>4</v>
      </c>
      <c r="P137" t="n">
        <v>2</v>
      </c>
      <c r="Q137" t="n">
        <v>4</v>
      </c>
      <c r="R137" s="2" t="inlineStr">
        <is>
          <t>Ask
Slåttergubbe
Svinrot
Vårstarr</t>
        </is>
      </c>
      <c r="S137">
        <f>HYPERLINK("https://klasma.github.io/Logging_1465/artfynd/A 54650-2022 artfynd.xlsx", "A 54650-2022")</f>
        <v/>
      </c>
      <c r="T137">
        <f>HYPERLINK("https://klasma.github.io/Logging_1465/kartor/A 54650-2022 karta.png", "A 54650-2022")</f>
        <v/>
      </c>
      <c r="V137">
        <f>HYPERLINK("https://klasma.github.io/Logging_1465/klagomål/A 54650-2022 FSC-klagomål.docx", "A 54650-2022")</f>
        <v/>
      </c>
      <c r="W137">
        <f>HYPERLINK("https://klasma.github.io/Logging_1465/klagomålsmail/A 54650-2022 FSC-klagomål mail.docx", "A 54650-2022")</f>
        <v/>
      </c>
      <c r="X137">
        <f>HYPERLINK("https://klasma.github.io/Logging_1465/tillsyn/A 54650-2022 tillsynsbegäran.docx", "A 54650-2022")</f>
        <v/>
      </c>
      <c r="Y137">
        <f>HYPERLINK("https://klasma.github.io/Logging_1465/tillsynsmail/A 54650-2022 tillsynsbegäran mail.docx", "A 54650-2022")</f>
        <v/>
      </c>
    </row>
    <row r="138" ht="15" customHeight="1">
      <c r="A138" t="inlineStr">
        <is>
          <t>A 19284-2022</t>
        </is>
      </c>
      <c r="B138" s="1" t="n">
        <v>44692</v>
      </c>
      <c r="C138" s="1" t="n">
        <v>45952</v>
      </c>
      <c r="D138" t="inlineStr">
        <is>
          <t>VÄSTRA GÖTALANDS LÄN</t>
        </is>
      </c>
      <c r="E138" t="inlineStr">
        <is>
          <t>TANUM</t>
        </is>
      </c>
      <c r="G138" t="n">
        <v>1.5</v>
      </c>
      <c r="H138" t="n">
        <v>0</v>
      </c>
      <c r="I138" t="n">
        <v>4</v>
      </c>
      <c r="J138" t="n">
        <v>0</v>
      </c>
      <c r="K138" t="n">
        <v>0</v>
      </c>
      <c r="L138" t="n">
        <v>0</v>
      </c>
      <c r="M138" t="n">
        <v>0</v>
      </c>
      <c r="N138" t="n">
        <v>0</v>
      </c>
      <c r="O138" t="n">
        <v>0</v>
      </c>
      <c r="P138" t="n">
        <v>0</v>
      </c>
      <c r="Q138" t="n">
        <v>4</v>
      </c>
      <c r="R138" s="2" t="inlineStr">
        <is>
          <t>Kattfotslav
Klippfrullania
Stor revmossa
Västlig hakmossa</t>
        </is>
      </c>
      <c r="S138">
        <f>HYPERLINK("https://klasma.github.io/Logging_1435/artfynd/A 19284-2022 artfynd.xlsx", "A 19284-2022")</f>
        <v/>
      </c>
      <c r="T138">
        <f>HYPERLINK("https://klasma.github.io/Logging_1435/kartor/A 19284-2022 karta.png", "A 19284-2022")</f>
        <v/>
      </c>
      <c r="V138">
        <f>HYPERLINK("https://klasma.github.io/Logging_1435/klagomål/A 19284-2022 FSC-klagomål.docx", "A 19284-2022")</f>
        <v/>
      </c>
      <c r="W138">
        <f>HYPERLINK("https://klasma.github.io/Logging_1435/klagomålsmail/A 19284-2022 FSC-klagomål mail.docx", "A 19284-2022")</f>
        <v/>
      </c>
      <c r="X138">
        <f>HYPERLINK("https://klasma.github.io/Logging_1435/tillsyn/A 19284-2022 tillsynsbegäran.docx", "A 19284-2022")</f>
        <v/>
      </c>
      <c r="Y138">
        <f>HYPERLINK("https://klasma.github.io/Logging_1435/tillsynsmail/A 19284-2022 tillsynsbegäran mail.docx", "A 19284-2022")</f>
        <v/>
      </c>
    </row>
    <row r="139" ht="15" customHeight="1">
      <c r="A139" t="inlineStr">
        <is>
          <t>A 74306-2021</t>
        </is>
      </c>
      <c r="B139" s="1" t="n">
        <v>44559</v>
      </c>
      <c r="C139" s="1" t="n">
        <v>45952</v>
      </c>
      <c r="D139" t="inlineStr">
        <is>
          <t>VÄSTRA GÖTALANDS LÄN</t>
        </is>
      </c>
      <c r="E139" t="inlineStr">
        <is>
          <t>ORUST</t>
        </is>
      </c>
      <c r="G139" t="n">
        <v>14.6</v>
      </c>
      <c r="H139" t="n">
        <v>1</v>
      </c>
      <c r="I139" t="n">
        <v>0</v>
      </c>
      <c r="J139" t="n">
        <v>3</v>
      </c>
      <c r="K139" t="n">
        <v>0</v>
      </c>
      <c r="L139" t="n">
        <v>0</v>
      </c>
      <c r="M139" t="n">
        <v>0</v>
      </c>
      <c r="N139" t="n">
        <v>0</v>
      </c>
      <c r="O139" t="n">
        <v>3</v>
      </c>
      <c r="P139" t="n">
        <v>0</v>
      </c>
      <c r="Q139" t="n">
        <v>4</v>
      </c>
      <c r="R139" s="2" t="inlineStr">
        <is>
          <t>Dvärglin
Kösa
Åkerrödtoppa
Revlummer</t>
        </is>
      </c>
      <c r="S139">
        <f>HYPERLINK("https://klasma.github.io/Logging_1421/artfynd/A 74306-2021 artfynd.xlsx", "A 74306-2021")</f>
        <v/>
      </c>
      <c r="T139">
        <f>HYPERLINK("https://klasma.github.io/Logging_1421/kartor/A 74306-2021 karta.png", "A 74306-2021")</f>
        <v/>
      </c>
      <c r="V139">
        <f>HYPERLINK("https://klasma.github.io/Logging_1421/klagomål/A 74306-2021 FSC-klagomål.docx", "A 74306-2021")</f>
        <v/>
      </c>
      <c r="W139">
        <f>HYPERLINK("https://klasma.github.io/Logging_1421/klagomålsmail/A 74306-2021 FSC-klagomål mail.docx", "A 74306-2021")</f>
        <v/>
      </c>
      <c r="X139">
        <f>HYPERLINK("https://klasma.github.io/Logging_1421/tillsyn/A 74306-2021 tillsynsbegäran.docx", "A 74306-2021")</f>
        <v/>
      </c>
      <c r="Y139">
        <f>HYPERLINK("https://klasma.github.io/Logging_1421/tillsynsmail/A 74306-2021 tillsynsbegäran mail.docx", "A 74306-2021")</f>
        <v/>
      </c>
    </row>
    <row r="140" ht="15" customHeight="1">
      <c r="A140" t="inlineStr">
        <is>
          <t>A 25298-2024</t>
        </is>
      </c>
      <c r="B140" s="1" t="n">
        <v>45462</v>
      </c>
      <c r="C140" s="1" t="n">
        <v>45952</v>
      </c>
      <c r="D140" t="inlineStr">
        <is>
          <t>VÄSTRA GÖTALANDS LÄN</t>
        </is>
      </c>
      <c r="E140" t="inlineStr">
        <is>
          <t>LILLA EDET</t>
        </is>
      </c>
      <c r="F140" t="inlineStr">
        <is>
          <t>Kommuner</t>
        </is>
      </c>
      <c r="G140" t="n">
        <v>5.9</v>
      </c>
      <c r="H140" t="n">
        <v>2</v>
      </c>
      <c r="I140" t="n">
        <v>2</v>
      </c>
      <c r="J140" t="n">
        <v>1</v>
      </c>
      <c r="K140" t="n">
        <v>0</v>
      </c>
      <c r="L140" t="n">
        <v>0</v>
      </c>
      <c r="M140" t="n">
        <v>0</v>
      </c>
      <c r="N140" t="n">
        <v>0</v>
      </c>
      <c r="O140" t="n">
        <v>1</v>
      </c>
      <c r="P140" t="n">
        <v>0</v>
      </c>
      <c r="Q140" t="n">
        <v>4</v>
      </c>
      <c r="R140" s="2" t="inlineStr">
        <is>
          <t>Spillkråka
Björksplintborre
Västlig hakmossa
Revlummer</t>
        </is>
      </c>
      <c r="S140">
        <f>HYPERLINK("https://klasma.github.io/Logging_1462/artfynd/A 25298-2024 artfynd.xlsx", "A 25298-2024")</f>
        <v/>
      </c>
      <c r="T140">
        <f>HYPERLINK("https://klasma.github.io/Logging_1462/kartor/A 25298-2024 karta.png", "A 25298-2024")</f>
        <v/>
      </c>
      <c r="V140">
        <f>HYPERLINK("https://klasma.github.io/Logging_1462/klagomål/A 25298-2024 FSC-klagomål.docx", "A 25298-2024")</f>
        <v/>
      </c>
      <c r="W140">
        <f>HYPERLINK("https://klasma.github.io/Logging_1462/klagomålsmail/A 25298-2024 FSC-klagomål mail.docx", "A 25298-2024")</f>
        <v/>
      </c>
      <c r="X140">
        <f>HYPERLINK("https://klasma.github.io/Logging_1462/tillsyn/A 25298-2024 tillsynsbegäran.docx", "A 25298-2024")</f>
        <v/>
      </c>
      <c r="Y140">
        <f>HYPERLINK("https://klasma.github.io/Logging_1462/tillsynsmail/A 25298-2024 tillsynsbegäran mail.docx", "A 25298-2024")</f>
        <v/>
      </c>
      <c r="Z140">
        <f>HYPERLINK("https://klasma.github.io/Logging_1462/fåglar/A 25298-2024 prioriterade fågelarter.docx", "A 25298-2024")</f>
        <v/>
      </c>
    </row>
    <row r="141" ht="15" customHeight="1">
      <c r="A141" t="inlineStr">
        <is>
          <t>A 52061-2024</t>
        </is>
      </c>
      <c r="B141" s="1" t="n">
        <v>45608.35664351852</v>
      </c>
      <c r="C141" s="1" t="n">
        <v>45952</v>
      </c>
      <c r="D141" t="inlineStr">
        <is>
          <t>VÄSTRA GÖTALANDS LÄN</t>
        </is>
      </c>
      <c r="E141" t="inlineStr">
        <is>
          <t>HÄRRYDA</t>
        </is>
      </c>
      <c r="G141" t="n">
        <v>8.1</v>
      </c>
      <c r="H141" t="n">
        <v>0</v>
      </c>
      <c r="I141" t="n">
        <v>4</v>
      </c>
      <c r="J141" t="n">
        <v>0</v>
      </c>
      <c r="K141" t="n">
        <v>0</v>
      </c>
      <c r="L141" t="n">
        <v>0</v>
      </c>
      <c r="M141" t="n">
        <v>0</v>
      </c>
      <c r="N141" t="n">
        <v>0</v>
      </c>
      <c r="O141" t="n">
        <v>0</v>
      </c>
      <c r="P141" t="n">
        <v>0</v>
      </c>
      <c r="Q141" t="n">
        <v>4</v>
      </c>
      <c r="R141" s="2" t="inlineStr">
        <is>
          <t>Blåmossa
Skuggmossa
Stor revmossa
Vågbandad barkbock</t>
        </is>
      </c>
      <c r="S141">
        <f>HYPERLINK("https://klasma.github.io/Logging_1401/artfynd/A 52061-2024 artfynd.xlsx", "A 52061-2024")</f>
        <v/>
      </c>
      <c r="T141">
        <f>HYPERLINK("https://klasma.github.io/Logging_1401/kartor/A 52061-2024 karta.png", "A 52061-2024")</f>
        <v/>
      </c>
      <c r="V141">
        <f>HYPERLINK("https://klasma.github.io/Logging_1401/klagomål/A 52061-2024 FSC-klagomål.docx", "A 52061-2024")</f>
        <v/>
      </c>
      <c r="W141">
        <f>HYPERLINK("https://klasma.github.io/Logging_1401/klagomålsmail/A 52061-2024 FSC-klagomål mail.docx", "A 52061-2024")</f>
        <v/>
      </c>
      <c r="X141">
        <f>HYPERLINK("https://klasma.github.io/Logging_1401/tillsyn/A 52061-2024 tillsynsbegäran.docx", "A 52061-2024")</f>
        <v/>
      </c>
      <c r="Y141">
        <f>HYPERLINK("https://klasma.github.io/Logging_1401/tillsynsmail/A 52061-2024 tillsynsbegäran mail.docx", "A 52061-2024")</f>
        <v/>
      </c>
    </row>
    <row r="142" ht="15" customHeight="1">
      <c r="A142" t="inlineStr">
        <is>
          <t>A 35643-2023</t>
        </is>
      </c>
      <c r="B142" s="1" t="n">
        <v>45147.57732638889</v>
      </c>
      <c r="C142" s="1" t="n">
        <v>45952</v>
      </c>
      <c r="D142" t="inlineStr">
        <is>
          <t>VÄSTRA GÖTALANDS LÄN</t>
        </is>
      </c>
      <c r="E142" t="inlineStr">
        <is>
          <t>ULRICEHAMN</t>
        </is>
      </c>
      <c r="G142" t="n">
        <v>11.9</v>
      </c>
      <c r="H142" t="n">
        <v>0</v>
      </c>
      <c r="I142" t="n">
        <v>0</v>
      </c>
      <c r="J142" t="n">
        <v>2</v>
      </c>
      <c r="K142" t="n">
        <v>0</v>
      </c>
      <c r="L142" t="n">
        <v>1</v>
      </c>
      <c r="M142" t="n">
        <v>1</v>
      </c>
      <c r="N142" t="n">
        <v>0</v>
      </c>
      <c r="O142" t="n">
        <v>4</v>
      </c>
      <c r="P142" t="n">
        <v>2</v>
      </c>
      <c r="Q142" t="n">
        <v>4</v>
      </c>
      <c r="R142" s="2" t="inlineStr">
        <is>
          <t>Skogsalm
Ask
Svinrot
Åkerkulla</t>
        </is>
      </c>
      <c r="S142">
        <f>HYPERLINK("https://klasma.github.io/Logging_1491/artfynd/A 35643-2023 artfynd.xlsx", "A 35643-2023")</f>
        <v/>
      </c>
      <c r="T142">
        <f>HYPERLINK("https://klasma.github.io/Logging_1491/kartor/A 35643-2023 karta.png", "A 35643-2023")</f>
        <v/>
      </c>
      <c r="V142">
        <f>HYPERLINK("https://klasma.github.io/Logging_1491/klagomål/A 35643-2023 FSC-klagomål.docx", "A 35643-2023")</f>
        <v/>
      </c>
      <c r="W142">
        <f>HYPERLINK("https://klasma.github.io/Logging_1491/klagomålsmail/A 35643-2023 FSC-klagomål mail.docx", "A 35643-2023")</f>
        <v/>
      </c>
      <c r="X142">
        <f>HYPERLINK("https://klasma.github.io/Logging_1491/tillsyn/A 35643-2023 tillsynsbegäran.docx", "A 35643-2023")</f>
        <v/>
      </c>
      <c r="Y142">
        <f>HYPERLINK("https://klasma.github.io/Logging_1491/tillsynsmail/A 35643-2023 tillsynsbegäran mail.docx", "A 35643-2023")</f>
        <v/>
      </c>
    </row>
    <row r="143" ht="15" customHeight="1">
      <c r="A143" t="inlineStr">
        <is>
          <t>A 16723-2023</t>
        </is>
      </c>
      <c r="B143" s="1" t="n">
        <v>45030</v>
      </c>
      <c r="C143" s="1" t="n">
        <v>45952</v>
      </c>
      <c r="D143" t="inlineStr">
        <is>
          <t>VÄSTRA GÖTALANDS LÄN</t>
        </is>
      </c>
      <c r="E143" t="inlineStr">
        <is>
          <t>HÄRRYDA</t>
        </is>
      </c>
      <c r="G143" t="n">
        <v>2.3</v>
      </c>
      <c r="H143" t="n">
        <v>1</v>
      </c>
      <c r="I143" t="n">
        <v>3</v>
      </c>
      <c r="J143" t="n">
        <v>1</v>
      </c>
      <c r="K143" t="n">
        <v>0</v>
      </c>
      <c r="L143" t="n">
        <v>0</v>
      </c>
      <c r="M143" t="n">
        <v>0</v>
      </c>
      <c r="N143" t="n">
        <v>0</v>
      </c>
      <c r="O143" t="n">
        <v>1</v>
      </c>
      <c r="P143" t="n">
        <v>0</v>
      </c>
      <c r="Q143" t="n">
        <v>4</v>
      </c>
      <c r="R143" s="2" t="inlineStr">
        <is>
          <t>Spillkråka
Björksplintborre
Blåmossa
Kornknutmossa</t>
        </is>
      </c>
      <c r="S143">
        <f>HYPERLINK("https://klasma.github.io/Logging_1401/artfynd/A 16723-2023 artfynd.xlsx", "A 16723-2023")</f>
        <v/>
      </c>
      <c r="T143">
        <f>HYPERLINK("https://klasma.github.io/Logging_1401/kartor/A 16723-2023 karta.png", "A 16723-2023")</f>
        <v/>
      </c>
      <c r="V143">
        <f>HYPERLINK("https://klasma.github.io/Logging_1401/klagomål/A 16723-2023 FSC-klagomål.docx", "A 16723-2023")</f>
        <v/>
      </c>
      <c r="W143">
        <f>HYPERLINK("https://klasma.github.io/Logging_1401/klagomålsmail/A 16723-2023 FSC-klagomål mail.docx", "A 16723-2023")</f>
        <v/>
      </c>
      <c r="X143">
        <f>HYPERLINK("https://klasma.github.io/Logging_1401/tillsyn/A 16723-2023 tillsynsbegäran.docx", "A 16723-2023")</f>
        <v/>
      </c>
      <c r="Y143">
        <f>HYPERLINK("https://klasma.github.io/Logging_1401/tillsynsmail/A 16723-2023 tillsynsbegäran mail.docx", "A 16723-2023")</f>
        <v/>
      </c>
      <c r="Z143">
        <f>HYPERLINK("https://klasma.github.io/Logging_1401/fåglar/A 16723-2023 prioriterade fågelarter.docx", "A 16723-2023")</f>
        <v/>
      </c>
    </row>
    <row r="144" ht="15" customHeight="1">
      <c r="A144" t="inlineStr">
        <is>
          <t>A 65099-2023</t>
        </is>
      </c>
      <c r="B144" s="1" t="n">
        <v>45288</v>
      </c>
      <c r="C144" s="1" t="n">
        <v>45952</v>
      </c>
      <c r="D144" t="inlineStr">
        <is>
          <t>VÄSTRA GÖTALANDS LÄN</t>
        </is>
      </c>
      <c r="E144" t="inlineStr">
        <is>
          <t>ORUST</t>
        </is>
      </c>
      <c r="G144" t="n">
        <v>17.8</v>
      </c>
      <c r="H144" t="n">
        <v>1</v>
      </c>
      <c r="I144" t="n">
        <v>2</v>
      </c>
      <c r="J144" t="n">
        <v>0</v>
      </c>
      <c r="K144" t="n">
        <v>2</v>
      </c>
      <c r="L144" t="n">
        <v>0</v>
      </c>
      <c r="M144" t="n">
        <v>0</v>
      </c>
      <c r="N144" t="n">
        <v>0</v>
      </c>
      <c r="O144" t="n">
        <v>2</v>
      </c>
      <c r="P144" t="n">
        <v>2</v>
      </c>
      <c r="Q144" t="n">
        <v>4</v>
      </c>
      <c r="R144" s="2" t="inlineStr">
        <is>
          <t>Blockskapania
Knärot
Grov fjädermossa
Stor revmossa</t>
        </is>
      </c>
      <c r="S144">
        <f>HYPERLINK("https://klasma.github.io/Logging_1421/artfynd/A 65099-2023 artfynd.xlsx", "A 65099-2023")</f>
        <v/>
      </c>
      <c r="T144">
        <f>HYPERLINK("https://klasma.github.io/Logging_1421/kartor/A 65099-2023 karta.png", "A 65099-2023")</f>
        <v/>
      </c>
      <c r="U144">
        <f>HYPERLINK("https://klasma.github.io/Logging_1421/knärot/A 65099-2023 karta knärot.png", "A 65099-2023")</f>
        <v/>
      </c>
      <c r="V144">
        <f>HYPERLINK("https://klasma.github.io/Logging_1421/klagomål/A 65099-2023 FSC-klagomål.docx", "A 65099-2023")</f>
        <v/>
      </c>
      <c r="W144">
        <f>HYPERLINK("https://klasma.github.io/Logging_1421/klagomålsmail/A 65099-2023 FSC-klagomål mail.docx", "A 65099-2023")</f>
        <v/>
      </c>
      <c r="X144">
        <f>HYPERLINK("https://klasma.github.io/Logging_1421/tillsyn/A 65099-2023 tillsynsbegäran.docx", "A 65099-2023")</f>
        <v/>
      </c>
      <c r="Y144">
        <f>HYPERLINK("https://klasma.github.io/Logging_1421/tillsynsmail/A 65099-2023 tillsynsbegäran mail.docx", "A 65099-2023")</f>
        <v/>
      </c>
    </row>
    <row r="145" ht="15" customHeight="1">
      <c r="A145" t="inlineStr">
        <is>
          <t>A 631-2025</t>
        </is>
      </c>
      <c r="B145" s="1" t="n">
        <v>45664.6258912037</v>
      </c>
      <c r="C145" s="1" t="n">
        <v>45952</v>
      </c>
      <c r="D145" t="inlineStr">
        <is>
          <t>VÄSTRA GÖTALANDS LÄN</t>
        </is>
      </c>
      <c r="E145" t="inlineStr">
        <is>
          <t>MARIESTAD</t>
        </is>
      </c>
      <c r="G145" t="n">
        <v>2.5</v>
      </c>
      <c r="H145" t="n">
        <v>4</v>
      </c>
      <c r="I145" t="n">
        <v>0</v>
      </c>
      <c r="J145" t="n">
        <v>1</v>
      </c>
      <c r="K145" t="n">
        <v>1</v>
      </c>
      <c r="L145" t="n">
        <v>0</v>
      </c>
      <c r="M145" t="n">
        <v>0</v>
      </c>
      <c r="N145" t="n">
        <v>0</v>
      </c>
      <c r="O145" t="n">
        <v>2</v>
      </c>
      <c r="P145" t="n">
        <v>1</v>
      </c>
      <c r="Q145" t="n">
        <v>4</v>
      </c>
      <c r="R145" s="2" t="inlineStr">
        <is>
          <t>Knärot
Mindre hackspett
Nattskärra
Revlummer</t>
        </is>
      </c>
      <c r="S145">
        <f>HYPERLINK("https://klasma.github.io/Logging_1493/artfynd/A 631-2025 artfynd.xlsx", "A 631-2025")</f>
        <v/>
      </c>
      <c r="T145">
        <f>HYPERLINK("https://klasma.github.io/Logging_1493/kartor/A 631-2025 karta.png", "A 631-2025")</f>
        <v/>
      </c>
      <c r="U145">
        <f>HYPERLINK("https://klasma.github.io/Logging_1493/knärot/A 631-2025 karta knärot.png", "A 631-2025")</f>
        <v/>
      </c>
      <c r="V145">
        <f>HYPERLINK("https://klasma.github.io/Logging_1493/klagomål/A 631-2025 FSC-klagomål.docx", "A 631-2025")</f>
        <v/>
      </c>
      <c r="W145">
        <f>HYPERLINK("https://klasma.github.io/Logging_1493/klagomålsmail/A 631-2025 FSC-klagomål mail.docx", "A 631-2025")</f>
        <v/>
      </c>
      <c r="X145">
        <f>HYPERLINK("https://klasma.github.io/Logging_1493/tillsyn/A 631-2025 tillsynsbegäran.docx", "A 631-2025")</f>
        <v/>
      </c>
      <c r="Y145">
        <f>HYPERLINK("https://klasma.github.io/Logging_1493/tillsynsmail/A 631-2025 tillsynsbegäran mail.docx", "A 631-2025")</f>
        <v/>
      </c>
      <c r="Z145">
        <f>HYPERLINK("https://klasma.github.io/Logging_1493/fåglar/A 631-2025 prioriterade fågelarter.docx", "A 631-2025")</f>
        <v/>
      </c>
    </row>
    <row r="146" ht="15" customHeight="1">
      <c r="A146" t="inlineStr">
        <is>
          <t>A 16179-2025</t>
        </is>
      </c>
      <c r="B146" s="1" t="n">
        <v>45750</v>
      </c>
      <c r="C146" s="1" t="n">
        <v>45952</v>
      </c>
      <c r="D146" t="inlineStr">
        <is>
          <t>VÄSTRA GÖTALANDS LÄN</t>
        </is>
      </c>
      <c r="E146" t="inlineStr">
        <is>
          <t>SKARA</t>
        </is>
      </c>
      <c r="G146" t="n">
        <v>7.4</v>
      </c>
      <c r="H146" t="n">
        <v>2</v>
      </c>
      <c r="I146" t="n">
        <v>2</v>
      </c>
      <c r="J146" t="n">
        <v>1</v>
      </c>
      <c r="K146" t="n">
        <v>0</v>
      </c>
      <c r="L146" t="n">
        <v>0</v>
      </c>
      <c r="M146" t="n">
        <v>0</v>
      </c>
      <c r="N146" t="n">
        <v>0</v>
      </c>
      <c r="O146" t="n">
        <v>1</v>
      </c>
      <c r="P146" t="n">
        <v>0</v>
      </c>
      <c r="Q146" t="n">
        <v>4</v>
      </c>
      <c r="R146" s="2" t="inlineStr">
        <is>
          <t>Rosenfink
Hässleklocka
Lundbräsma
Blåsippa</t>
        </is>
      </c>
      <c r="S146">
        <f>HYPERLINK("https://klasma.github.io/Logging_1495/artfynd/A 16179-2025 artfynd.xlsx", "A 16179-2025")</f>
        <v/>
      </c>
      <c r="T146">
        <f>HYPERLINK("https://klasma.github.io/Logging_1495/kartor/A 16179-2025 karta.png", "A 16179-2025")</f>
        <v/>
      </c>
      <c r="V146">
        <f>HYPERLINK("https://klasma.github.io/Logging_1495/klagomål/A 16179-2025 FSC-klagomål.docx", "A 16179-2025")</f>
        <v/>
      </c>
      <c r="W146">
        <f>HYPERLINK("https://klasma.github.io/Logging_1495/klagomålsmail/A 16179-2025 FSC-klagomål mail.docx", "A 16179-2025")</f>
        <v/>
      </c>
      <c r="X146">
        <f>HYPERLINK("https://klasma.github.io/Logging_1495/tillsyn/A 16179-2025 tillsynsbegäran.docx", "A 16179-2025")</f>
        <v/>
      </c>
      <c r="Y146">
        <f>HYPERLINK("https://klasma.github.io/Logging_1495/tillsynsmail/A 16179-2025 tillsynsbegäran mail.docx", "A 16179-2025")</f>
        <v/>
      </c>
      <c r="Z146">
        <f>HYPERLINK("https://klasma.github.io/Logging_1495/fåglar/A 16179-2025 prioriterade fågelarter.docx", "A 16179-2025")</f>
        <v/>
      </c>
    </row>
    <row r="147" ht="15" customHeight="1">
      <c r="A147" t="inlineStr">
        <is>
          <t>A 1630-2024</t>
        </is>
      </c>
      <c r="B147" s="1" t="n">
        <v>45306</v>
      </c>
      <c r="C147" s="1" t="n">
        <v>45952</v>
      </c>
      <c r="D147" t="inlineStr">
        <is>
          <t>VÄSTRA GÖTALANDS LÄN</t>
        </is>
      </c>
      <c r="E147" t="inlineStr">
        <is>
          <t>SKÖVDE</t>
        </is>
      </c>
      <c r="G147" t="n">
        <v>6.1</v>
      </c>
      <c r="H147" t="n">
        <v>2</v>
      </c>
      <c r="I147" t="n">
        <v>1</v>
      </c>
      <c r="J147" t="n">
        <v>2</v>
      </c>
      <c r="K147" t="n">
        <v>1</v>
      </c>
      <c r="L147" t="n">
        <v>0</v>
      </c>
      <c r="M147" t="n">
        <v>0</v>
      </c>
      <c r="N147" t="n">
        <v>0</v>
      </c>
      <c r="O147" t="n">
        <v>3</v>
      </c>
      <c r="P147" t="n">
        <v>1</v>
      </c>
      <c r="Q147" t="n">
        <v>4</v>
      </c>
      <c r="R147" s="2" t="inlineStr">
        <is>
          <t>Knärot
Entita
Motaggsvamp
Grovticka</t>
        </is>
      </c>
      <c r="S147">
        <f>HYPERLINK("https://klasma.github.io/Logging_1496/artfynd/A 1630-2024 artfynd.xlsx", "A 1630-2024")</f>
        <v/>
      </c>
      <c r="T147">
        <f>HYPERLINK("https://klasma.github.io/Logging_1496/kartor/A 1630-2024 karta.png", "A 1630-2024")</f>
        <v/>
      </c>
      <c r="U147">
        <f>HYPERLINK("https://klasma.github.io/Logging_1496/knärot/A 1630-2024 karta knärot.png", "A 1630-2024")</f>
        <v/>
      </c>
      <c r="V147">
        <f>HYPERLINK("https://klasma.github.io/Logging_1496/klagomål/A 1630-2024 FSC-klagomål.docx", "A 1630-2024")</f>
        <v/>
      </c>
      <c r="W147">
        <f>HYPERLINK("https://klasma.github.io/Logging_1496/klagomålsmail/A 1630-2024 FSC-klagomål mail.docx", "A 1630-2024")</f>
        <v/>
      </c>
      <c r="X147">
        <f>HYPERLINK("https://klasma.github.io/Logging_1496/tillsyn/A 1630-2024 tillsynsbegäran.docx", "A 1630-2024")</f>
        <v/>
      </c>
      <c r="Y147">
        <f>HYPERLINK("https://klasma.github.io/Logging_1496/tillsynsmail/A 1630-2024 tillsynsbegäran mail.docx", "A 1630-2024")</f>
        <v/>
      </c>
      <c r="Z147">
        <f>HYPERLINK("https://klasma.github.io/Logging_1496/fåglar/A 1630-2024 prioriterade fågelarter.docx", "A 1630-2024")</f>
        <v/>
      </c>
    </row>
    <row r="148" ht="15" customHeight="1">
      <c r="A148" t="inlineStr">
        <is>
          <t>A 14442-2025</t>
        </is>
      </c>
      <c r="B148" s="1" t="n">
        <v>45741.51986111111</v>
      </c>
      <c r="C148" s="1" t="n">
        <v>45952</v>
      </c>
      <c r="D148" t="inlineStr">
        <is>
          <t>VÄSTRA GÖTALANDS LÄN</t>
        </is>
      </c>
      <c r="E148" t="inlineStr">
        <is>
          <t>LERUM</t>
        </is>
      </c>
      <c r="G148" t="n">
        <v>2</v>
      </c>
      <c r="H148" t="n">
        <v>3</v>
      </c>
      <c r="I148" t="n">
        <v>0</v>
      </c>
      <c r="J148" t="n">
        <v>1</v>
      </c>
      <c r="K148" t="n">
        <v>0</v>
      </c>
      <c r="L148" t="n">
        <v>2</v>
      </c>
      <c r="M148" t="n">
        <v>0</v>
      </c>
      <c r="N148" t="n">
        <v>0</v>
      </c>
      <c r="O148" t="n">
        <v>3</v>
      </c>
      <c r="P148" t="n">
        <v>2</v>
      </c>
      <c r="Q148" t="n">
        <v>4</v>
      </c>
      <c r="R148" s="2" t="inlineStr">
        <is>
          <t>Ask
Grönfink
Mindre hackspett
Huggorm</t>
        </is>
      </c>
      <c r="S148">
        <f>HYPERLINK("https://klasma.github.io/Logging_1441/artfynd/A 14442-2025 artfynd.xlsx", "A 14442-2025")</f>
        <v/>
      </c>
      <c r="T148">
        <f>HYPERLINK("https://klasma.github.io/Logging_1441/kartor/A 14442-2025 karta.png", "A 14442-2025")</f>
        <v/>
      </c>
      <c r="V148">
        <f>HYPERLINK("https://klasma.github.io/Logging_1441/klagomål/A 14442-2025 FSC-klagomål.docx", "A 14442-2025")</f>
        <v/>
      </c>
      <c r="W148">
        <f>HYPERLINK("https://klasma.github.io/Logging_1441/klagomålsmail/A 14442-2025 FSC-klagomål mail.docx", "A 14442-2025")</f>
        <v/>
      </c>
      <c r="X148">
        <f>HYPERLINK("https://klasma.github.io/Logging_1441/tillsyn/A 14442-2025 tillsynsbegäran.docx", "A 14442-2025")</f>
        <v/>
      </c>
      <c r="Y148">
        <f>HYPERLINK("https://klasma.github.io/Logging_1441/tillsynsmail/A 14442-2025 tillsynsbegäran mail.docx", "A 14442-2025")</f>
        <v/>
      </c>
      <c r="Z148">
        <f>HYPERLINK("https://klasma.github.io/Logging_1441/fåglar/A 14442-2025 prioriterade fågelarter.docx", "A 14442-2025")</f>
        <v/>
      </c>
    </row>
    <row r="149" ht="15" customHeight="1">
      <c r="A149" t="inlineStr">
        <is>
          <t>A 13517-2024</t>
        </is>
      </c>
      <c r="B149" s="1" t="n">
        <v>45387</v>
      </c>
      <c r="C149" s="1" t="n">
        <v>45952</v>
      </c>
      <c r="D149" t="inlineStr">
        <is>
          <t>VÄSTRA GÖTALANDS LÄN</t>
        </is>
      </c>
      <c r="E149" t="inlineStr">
        <is>
          <t>SKÖVDE</t>
        </is>
      </c>
      <c r="G149" t="n">
        <v>4.4</v>
      </c>
      <c r="H149" t="n">
        <v>1</v>
      </c>
      <c r="I149" t="n">
        <v>0</v>
      </c>
      <c r="J149" t="n">
        <v>2</v>
      </c>
      <c r="K149" t="n">
        <v>1</v>
      </c>
      <c r="L149" t="n">
        <v>0</v>
      </c>
      <c r="M149" t="n">
        <v>0</v>
      </c>
      <c r="N149" t="n">
        <v>0</v>
      </c>
      <c r="O149" t="n">
        <v>3</v>
      </c>
      <c r="P149" t="n">
        <v>1</v>
      </c>
      <c r="Q149" t="n">
        <v>4</v>
      </c>
      <c r="R149" s="2" t="inlineStr">
        <is>
          <t>Slåttergubbe
Jordtistel
Klasefibbla
Grönvit nattviol</t>
        </is>
      </c>
      <c r="S149">
        <f>HYPERLINK("https://klasma.github.io/Logging_1496/artfynd/A 13517-2024 artfynd.xlsx", "A 13517-2024")</f>
        <v/>
      </c>
      <c r="T149">
        <f>HYPERLINK("https://klasma.github.io/Logging_1496/kartor/A 13517-2024 karta.png", "A 13517-2024")</f>
        <v/>
      </c>
      <c r="V149">
        <f>HYPERLINK("https://klasma.github.io/Logging_1496/klagomål/A 13517-2024 FSC-klagomål.docx", "A 13517-2024")</f>
        <v/>
      </c>
      <c r="W149">
        <f>HYPERLINK("https://klasma.github.io/Logging_1496/klagomålsmail/A 13517-2024 FSC-klagomål mail.docx", "A 13517-2024")</f>
        <v/>
      </c>
      <c r="X149">
        <f>HYPERLINK("https://klasma.github.io/Logging_1496/tillsyn/A 13517-2024 tillsynsbegäran.docx", "A 13517-2024")</f>
        <v/>
      </c>
      <c r="Y149">
        <f>HYPERLINK("https://klasma.github.io/Logging_1496/tillsynsmail/A 13517-2024 tillsynsbegäran mail.docx", "A 13517-2024")</f>
        <v/>
      </c>
    </row>
    <row r="150" ht="15" customHeight="1">
      <c r="A150" t="inlineStr">
        <is>
          <t>A 8319-2025</t>
        </is>
      </c>
      <c r="B150" s="1" t="n">
        <v>45708.62547453704</v>
      </c>
      <c r="C150" s="1" t="n">
        <v>45952</v>
      </c>
      <c r="D150" t="inlineStr">
        <is>
          <t>VÄSTRA GÖTALANDS LÄN</t>
        </is>
      </c>
      <c r="E150" t="inlineStr">
        <is>
          <t>MARIESTAD</t>
        </is>
      </c>
      <c r="G150" t="n">
        <v>4.5</v>
      </c>
      <c r="H150" t="n">
        <v>3</v>
      </c>
      <c r="I150" t="n">
        <v>0</v>
      </c>
      <c r="J150" t="n">
        <v>2</v>
      </c>
      <c r="K150" t="n">
        <v>0</v>
      </c>
      <c r="L150" t="n">
        <v>0</v>
      </c>
      <c r="M150" t="n">
        <v>0</v>
      </c>
      <c r="N150" t="n">
        <v>0</v>
      </c>
      <c r="O150" t="n">
        <v>2</v>
      </c>
      <c r="P150" t="n">
        <v>0</v>
      </c>
      <c r="Q150" t="n">
        <v>4</v>
      </c>
      <c r="R150" s="2" t="inlineStr">
        <is>
          <t>Igelkott
Talltita
Järnsparv
Kungsfågel</t>
        </is>
      </c>
      <c r="S150">
        <f>HYPERLINK("https://klasma.github.io/Logging_1493/artfynd/A 8319-2025 artfynd.xlsx", "A 8319-2025")</f>
        <v/>
      </c>
      <c r="T150">
        <f>HYPERLINK("https://klasma.github.io/Logging_1493/kartor/A 8319-2025 karta.png", "A 8319-2025")</f>
        <v/>
      </c>
      <c r="V150">
        <f>HYPERLINK("https://klasma.github.io/Logging_1493/klagomål/A 8319-2025 FSC-klagomål.docx", "A 8319-2025")</f>
        <v/>
      </c>
      <c r="W150">
        <f>HYPERLINK("https://klasma.github.io/Logging_1493/klagomålsmail/A 8319-2025 FSC-klagomål mail.docx", "A 8319-2025")</f>
        <v/>
      </c>
      <c r="X150">
        <f>HYPERLINK("https://klasma.github.io/Logging_1493/tillsyn/A 8319-2025 tillsynsbegäran.docx", "A 8319-2025")</f>
        <v/>
      </c>
      <c r="Y150">
        <f>HYPERLINK("https://klasma.github.io/Logging_1493/tillsynsmail/A 8319-2025 tillsynsbegäran mail.docx", "A 8319-2025")</f>
        <v/>
      </c>
      <c r="Z150">
        <f>HYPERLINK("https://klasma.github.io/Logging_1493/fåglar/A 8319-2025 prioriterade fågelarter.docx", "A 8319-2025")</f>
        <v/>
      </c>
    </row>
    <row r="151" ht="15" customHeight="1">
      <c r="A151" t="inlineStr">
        <is>
          <t>A 26491-2024</t>
        </is>
      </c>
      <c r="B151" s="1" t="n">
        <v>45469</v>
      </c>
      <c r="C151" s="1" t="n">
        <v>45952</v>
      </c>
      <c r="D151" t="inlineStr">
        <is>
          <t>VÄSTRA GÖTALANDS LÄN</t>
        </is>
      </c>
      <c r="E151" t="inlineStr">
        <is>
          <t>ALE</t>
        </is>
      </c>
      <c r="G151" t="n">
        <v>5.3</v>
      </c>
      <c r="H151" t="n">
        <v>1</v>
      </c>
      <c r="I151" t="n">
        <v>3</v>
      </c>
      <c r="J151" t="n">
        <v>1</v>
      </c>
      <c r="K151" t="n">
        <v>0</v>
      </c>
      <c r="L151" t="n">
        <v>0</v>
      </c>
      <c r="M151" t="n">
        <v>0</v>
      </c>
      <c r="N151" t="n">
        <v>0</v>
      </c>
      <c r="O151" t="n">
        <v>1</v>
      </c>
      <c r="P151" t="n">
        <v>0</v>
      </c>
      <c r="Q151" t="n">
        <v>4</v>
      </c>
      <c r="R151" s="2" t="inlineStr">
        <is>
          <t>Duvhök
Gulpudrad spiklav
Rostfläck
Sotlav</t>
        </is>
      </c>
      <c r="S151">
        <f>HYPERLINK("https://klasma.github.io/Logging_1440/artfynd/A 26491-2024 artfynd.xlsx", "A 26491-2024")</f>
        <v/>
      </c>
      <c r="T151">
        <f>HYPERLINK("https://klasma.github.io/Logging_1440/kartor/A 26491-2024 karta.png", "A 26491-2024")</f>
        <v/>
      </c>
      <c r="V151">
        <f>HYPERLINK("https://klasma.github.io/Logging_1440/klagomål/A 26491-2024 FSC-klagomål.docx", "A 26491-2024")</f>
        <v/>
      </c>
      <c r="W151">
        <f>HYPERLINK("https://klasma.github.io/Logging_1440/klagomålsmail/A 26491-2024 FSC-klagomål mail.docx", "A 26491-2024")</f>
        <v/>
      </c>
      <c r="X151">
        <f>HYPERLINK("https://klasma.github.io/Logging_1440/tillsyn/A 26491-2024 tillsynsbegäran.docx", "A 26491-2024")</f>
        <v/>
      </c>
      <c r="Y151">
        <f>HYPERLINK("https://klasma.github.io/Logging_1440/tillsynsmail/A 26491-2024 tillsynsbegäran mail.docx", "A 26491-2024")</f>
        <v/>
      </c>
      <c r="Z151">
        <f>HYPERLINK("https://klasma.github.io/Logging_1440/fåglar/A 26491-2024 prioriterade fågelarter.docx", "A 26491-2024")</f>
        <v/>
      </c>
    </row>
    <row r="152" ht="15" customHeight="1">
      <c r="A152" t="inlineStr">
        <is>
          <t>A 64789-2023</t>
        </is>
      </c>
      <c r="B152" s="1" t="n">
        <v>45282.36556712963</v>
      </c>
      <c r="C152" s="1" t="n">
        <v>45952</v>
      </c>
      <c r="D152" t="inlineStr">
        <is>
          <t>VÄSTRA GÖTALANDS LÄN</t>
        </is>
      </c>
      <c r="E152" t="inlineStr">
        <is>
          <t>ULRICEHAMN</t>
        </is>
      </c>
      <c r="G152" t="n">
        <v>1</v>
      </c>
      <c r="H152" t="n">
        <v>4</v>
      </c>
      <c r="I152" t="n">
        <v>0</v>
      </c>
      <c r="J152" t="n">
        <v>2</v>
      </c>
      <c r="K152" t="n">
        <v>0</v>
      </c>
      <c r="L152" t="n">
        <v>0</v>
      </c>
      <c r="M152" t="n">
        <v>0</v>
      </c>
      <c r="N152" t="n">
        <v>0</v>
      </c>
      <c r="O152" t="n">
        <v>2</v>
      </c>
      <c r="P152" t="n">
        <v>0</v>
      </c>
      <c r="Q152" t="n">
        <v>4</v>
      </c>
      <c r="R152" s="2" t="inlineStr">
        <is>
          <t>Brunlångöra
Nordfladdermus
Dvärgpipistrell
Större brunfladdermus</t>
        </is>
      </c>
      <c r="S152">
        <f>HYPERLINK("https://klasma.github.io/Logging_1491/artfynd/A 64789-2023 artfynd.xlsx", "A 64789-2023")</f>
        <v/>
      </c>
      <c r="T152">
        <f>HYPERLINK("https://klasma.github.io/Logging_1491/kartor/A 64789-2023 karta.png", "A 64789-2023")</f>
        <v/>
      </c>
      <c r="V152">
        <f>HYPERLINK("https://klasma.github.io/Logging_1491/klagomål/A 64789-2023 FSC-klagomål.docx", "A 64789-2023")</f>
        <v/>
      </c>
      <c r="W152">
        <f>HYPERLINK("https://klasma.github.io/Logging_1491/klagomålsmail/A 64789-2023 FSC-klagomål mail.docx", "A 64789-2023")</f>
        <v/>
      </c>
      <c r="X152">
        <f>HYPERLINK("https://klasma.github.io/Logging_1491/tillsyn/A 64789-2023 tillsynsbegäran.docx", "A 64789-2023")</f>
        <v/>
      </c>
      <c r="Y152">
        <f>HYPERLINK("https://klasma.github.io/Logging_1491/tillsynsmail/A 64789-2023 tillsynsbegäran mail.docx", "A 64789-2023")</f>
        <v/>
      </c>
    </row>
    <row r="153" ht="15" customHeight="1">
      <c r="A153" t="inlineStr">
        <is>
          <t>A 3412-2024</t>
        </is>
      </c>
      <c r="B153" s="1" t="n">
        <v>45319.64564814815</v>
      </c>
      <c r="C153" s="1" t="n">
        <v>45952</v>
      </c>
      <c r="D153" t="inlineStr">
        <is>
          <t>VÄSTRA GÖTALANDS LÄN</t>
        </is>
      </c>
      <c r="E153" t="inlineStr">
        <is>
          <t>BENGTSFORS</t>
        </is>
      </c>
      <c r="G153" t="n">
        <v>4.3</v>
      </c>
      <c r="H153" t="n">
        <v>1</v>
      </c>
      <c r="I153" t="n">
        <v>2</v>
      </c>
      <c r="J153" t="n">
        <v>1</v>
      </c>
      <c r="K153" t="n">
        <v>0</v>
      </c>
      <c r="L153" t="n">
        <v>0</v>
      </c>
      <c r="M153" t="n">
        <v>0</v>
      </c>
      <c r="N153" t="n">
        <v>0</v>
      </c>
      <c r="O153" t="n">
        <v>1</v>
      </c>
      <c r="P153" t="n">
        <v>0</v>
      </c>
      <c r="Q153" t="n">
        <v>4</v>
      </c>
      <c r="R153" s="2" t="inlineStr">
        <is>
          <t>Ullticka
Blåmossa
Vedticka
Tjäder</t>
        </is>
      </c>
      <c r="S153">
        <f>HYPERLINK("https://klasma.github.io/Logging_1460/artfynd/A 3412-2024 artfynd.xlsx", "A 3412-2024")</f>
        <v/>
      </c>
      <c r="T153">
        <f>HYPERLINK("https://klasma.github.io/Logging_1460/kartor/A 3412-2024 karta.png", "A 3412-2024")</f>
        <v/>
      </c>
      <c r="V153">
        <f>HYPERLINK("https://klasma.github.io/Logging_1460/klagomål/A 3412-2024 FSC-klagomål.docx", "A 3412-2024")</f>
        <v/>
      </c>
      <c r="W153">
        <f>HYPERLINK("https://klasma.github.io/Logging_1460/klagomålsmail/A 3412-2024 FSC-klagomål mail.docx", "A 3412-2024")</f>
        <v/>
      </c>
      <c r="X153">
        <f>HYPERLINK("https://klasma.github.io/Logging_1460/tillsyn/A 3412-2024 tillsynsbegäran.docx", "A 3412-2024")</f>
        <v/>
      </c>
      <c r="Y153">
        <f>HYPERLINK("https://klasma.github.io/Logging_1460/tillsynsmail/A 3412-2024 tillsynsbegäran mail.docx", "A 3412-2024")</f>
        <v/>
      </c>
      <c r="Z153">
        <f>HYPERLINK("https://klasma.github.io/Logging_1460/fåglar/A 3412-2024 prioriterade fågelarter.docx", "A 3412-2024")</f>
        <v/>
      </c>
    </row>
    <row r="154" ht="15" customHeight="1">
      <c r="A154" t="inlineStr">
        <is>
          <t>A 320-2024</t>
        </is>
      </c>
      <c r="B154" s="1" t="n">
        <v>45295</v>
      </c>
      <c r="C154" s="1" t="n">
        <v>45952</v>
      </c>
      <c r="D154" t="inlineStr">
        <is>
          <t>VÄSTRA GÖTALANDS LÄN</t>
        </is>
      </c>
      <c r="E154" t="inlineStr">
        <is>
          <t>LILLA EDET</t>
        </is>
      </c>
      <c r="F154" t="inlineStr">
        <is>
          <t>Kyrkan</t>
        </is>
      </c>
      <c r="G154" t="n">
        <v>1.5</v>
      </c>
      <c r="H154" t="n">
        <v>1</v>
      </c>
      <c r="I154" t="n">
        <v>3</v>
      </c>
      <c r="J154" t="n">
        <v>1</v>
      </c>
      <c r="K154" t="n">
        <v>0</v>
      </c>
      <c r="L154" t="n">
        <v>0</v>
      </c>
      <c r="M154" t="n">
        <v>0</v>
      </c>
      <c r="N154" t="n">
        <v>0</v>
      </c>
      <c r="O154" t="n">
        <v>1</v>
      </c>
      <c r="P154" t="n">
        <v>0</v>
      </c>
      <c r="Q154" t="n">
        <v>4</v>
      </c>
      <c r="R154" s="2" t="inlineStr">
        <is>
          <t>Spillkråka
Havstulpanlav
Kattfotslav
Västlig hakmossa</t>
        </is>
      </c>
      <c r="S154">
        <f>HYPERLINK("https://klasma.github.io/Logging_1462/artfynd/A 320-2024 artfynd.xlsx", "A 320-2024")</f>
        <v/>
      </c>
      <c r="T154">
        <f>HYPERLINK("https://klasma.github.io/Logging_1462/kartor/A 320-2024 karta.png", "A 320-2024")</f>
        <v/>
      </c>
      <c r="V154">
        <f>HYPERLINK("https://klasma.github.io/Logging_1462/klagomål/A 320-2024 FSC-klagomål.docx", "A 320-2024")</f>
        <v/>
      </c>
      <c r="W154">
        <f>HYPERLINK("https://klasma.github.io/Logging_1462/klagomålsmail/A 320-2024 FSC-klagomål mail.docx", "A 320-2024")</f>
        <v/>
      </c>
      <c r="X154">
        <f>HYPERLINK("https://klasma.github.io/Logging_1462/tillsyn/A 320-2024 tillsynsbegäran.docx", "A 320-2024")</f>
        <v/>
      </c>
      <c r="Y154">
        <f>HYPERLINK("https://klasma.github.io/Logging_1462/tillsynsmail/A 320-2024 tillsynsbegäran mail.docx", "A 320-2024")</f>
        <v/>
      </c>
      <c r="Z154">
        <f>HYPERLINK("https://klasma.github.io/Logging_1462/fåglar/A 320-2024 prioriterade fågelarter.docx", "A 320-2024")</f>
        <v/>
      </c>
    </row>
    <row r="155" ht="15" customHeight="1">
      <c r="A155" t="inlineStr">
        <is>
          <t>A 5841-2023</t>
        </is>
      </c>
      <c r="B155" s="1" t="n">
        <v>44963.56702546297</v>
      </c>
      <c r="C155" s="1" t="n">
        <v>45952</v>
      </c>
      <c r="D155" t="inlineStr">
        <is>
          <t>VÄSTRA GÖTALANDS LÄN</t>
        </is>
      </c>
      <c r="E155" t="inlineStr">
        <is>
          <t>MELLERUD</t>
        </is>
      </c>
      <c r="G155" t="n">
        <v>0.4</v>
      </c>
      <c r="H155" t="n">
        <v>1</v>
      </c>
      <c r="I155" t="n">
        <v>1</v>
      </c>
      <c r="J155" t="n">
        <v>2</v>
      </c>
      <c r="K155" t="n">
        <v>0</v>
      </c>
      <c r="L155" t="n">
        <v>0</v>
      </c>
      <c r="M155" t="n">
        <v>0</v>
      </c>
      <c r="N155" t="n">
        <v>0</v>
      </c>
      <c r="O155" t="n">
        <v>2</v>
      </c>
      <c r="P155" t="n">
        <v>0</v>
      </c>
      <c r="Q155" t="n">
        <v>4</v>
      </c>
      <c r="R155" s="2" t="inlineStr">
        <is>
          <t>Svinrot
Vippärt
Sårläka
Blåsippa</t>
        </is>
      </c>
      <c r="S155">
        <f>HYPERLINK("https://klasma.github.io/Logging_1461/artfynd/A 5841-2023 artfynd.xlsx", "A 5841-2023")</f>
        <v/>
      </c>
      <c r="T155">
        <f>HYPERLINK("https://klasma.github.io/Logging_1461/kartor/A 5841-2023 karta.png", "A 5841-2023")</f>
        <v/>
      </c>
      <c r="V155">
        <f>HYPERLINK("https://klasma.github.io/Logging_1461/klagomål/A 5841-2023 FSC-klagomål.docx", "A 5841-2023")</f>
        <v/>
      </c>
      <c r="W155">
        <f>HYPERLINK("https://klasma.github.io/Logging_1461/klagomålsmail/A 5841-2023 FSC-klagomål mail.docx", "A 5841-2023")</f>
        <v/>
      </c>
      <c r="X155">
        <f>HYPERLINK("https://klasma.github.io/Logging_1461/tillsyn/A 5841-2023 tillsynsbegäran.docx", "A 5841-2023")</f>
        <v/>
      </c>
      <c r="Y155">
        <f>HYPERLINK("https://klasma.github.io/Logging_1461/tillsynsmail/A 5841-2023 tillsynsbegäran mail.docx", "A 5841-2023")</f>
        <v/>
      </c>
    </row>
    <row r="156" ht="15" customHeight="1">
      <c r="A156" t="inlineStr">
        <is>
          <t>A 1414-2024</t>
        </is>
      </c>
      <c r="B156" s="1" t="n">
        <v>45303</v>
      </c>
      <c r="C156" s="1" t="n">
        <v>45952</v>
      </c>
      <c r="D156" t="inlineStr">
        <is>
          <t>VÄSTRA GÖTALANDS LÄN</t>
        </is>
      </c>
      <c r="E156" t="inlineStr">
        <is>
          <t>FÄRGELANDA</t>
        </is>
      </c>
      <c r="G156" t="n">
        <v>6.7</v>
      </c>
      <c r="H156" t="n">
        <v>2</v>
      </c>
      <c r="I156" t="n">
        <v>1</v>
      </c>
      <c r="J156" t="n">
        <v>2</v>
      </c>
      <c r="K156" t="n">
        <v>0</v>
      </c>
      <c r="L156" t="n">
        <v>0</v>
      </c>
      <c r="M156" t="n">
        <v>0</v>
      </c>
      <c r="N156" t="n">
        <v>0</v>
      </c>
      <c r="O156" t="n">
        <v>2</v>
      </c>
      <c r="P156" t="n">
        <v>0</v>
      </c>
      <c r="Q156" t="n">
        <v>4</v>
      </c>
      <c r="R156" s="2" t="inlineStr">
        <is>
          <t>Motaggsvamp
Spillkråka
Blåmossa
Revlummer</t>
        </is>
      </c>
      <c r="S156">
        <f>HYPERLINK("https://klasma.github.io/Logging_1439/artfynd/A 1414-2024 artfynd.xlsx", "A 1414-2024")</f>
        <v/>
      </c>
      <c r="T156">
        <f>HYPERLINK("https://klasma.github.io/Logging_1439/kartor/A 1414-2024 karta.png", "A 1414-2024")</f>
        <v/>
      </c>
      <c r="V156">
        <f>HYPERLINK("https://klasma.github.io/Logging_1439/klagomål/A 1414-2024 FSC-klagomål.docx", "A 1414-2024")</f>
        <v/>
      </c>
      <c r="W156">
        <f>HYPERLINK("https://klasma.github.io/Logging_1439/klagomålsmail/A 1414-2024 FSC-klagomål mail.docx", "A 1414-2024")</f>
        <v/>
      </c>
      <c r="X156">
        <f>HYPERLINK("https://klasma.github.io/Logging_1439/tillsyn/A 1414-2024 tillsynsbegäran.docx", "A 1414-2024")</f>
        <v/>
      </c>
      <c r="Y156">
        <f>HYPERLINK("https://klasma.github.io/Logging_1439/tillsynsmail/A 1414-2024 tillsynsbegäran mail.docx", "A 1414-2024")</f>
        <v/>
      </c>
      <c r="Z156">
        <f>HYPERLINK("https://klasma.github.io/Logging_1439/fåglar/A 1414-2024 prioriterade fågelarter.docx", "A 1414-2024")</f>
        <v/>
      </c>
    </row>
    <row r="157" ht="15" customHeight="1">
      <c r="A157" t="inlineStr">
        <is>
          <t>A 11235-2025</t>
        </is>
      </c>
      <c r="B157" s="1" t="n">
        <v>45726.36305555556</v>
      </c>
      <c r="C157" s="1" t="n">
        <v>45952</v>
      </c>
      <c r="D157" t="inlineStr">
        <is>
          <t>VÄSTRA GÖTALANDS LÄN</t>
        </is>
      </c>
      <c r="E157" t="inlineStr">
        <is>
          <t>STENUNGSUND</t>
        </is>
      </c>
      <c r="G157" t="n">
        <v>4.5</v>
      </c>
      <c r="H157" t="n">
        <v>1</v>
      </c>
      <c r="I157" t="n">
        <v>3</v>
      </c>
      <c r="J157" t="n">
        <v>0</v>
      </c>
      <c r="K157" t="n">
        <v>0</v>
      </c>
      <c r="L157" t="n">
        <v>0</v>
      </c>
      <c r="M157" t="n">
        <v>0</v>
      </c>
      <c r="N157" t="n">
        <v>0</v>
      </c>
      <c r="O157" t="n">
        <v>0</v>
      </c>
      <c r="P157" t="n">
        <v>0</v>
      </c>
      <c r="Q157" t="n">
        <v>4</v>
      </c>
      <c r="R157" s="2" t="inlineStr">
        <is>
          <t>Blåmossa
Fällmossa
Klippfrullania
Revlummer</t>
        </is>
      </c>
      <c r="S157">
        <f>HYPERLINK("https://klasma.github.io/Logging_1415/artfynd/A 11235-2025 artfynd.xlsx", "A 11235-2025")</f>
        <v/>
      </c>
      <c r="T157">
        <f>HYPERLINK("https://klasma.github.io/Logging_1415/kartor/A 11235-2025 karta.png", "A 11235-2025")</f>
        <v/>
      </c>
      <c r="V157">
        <f>HYPERLINK("https://klasma.github.io/Logging_1415/klagomål/A 11235-2025 FSC-klagomål.docx", "A 11235-2025")</f>
        <v/>
      </c>
      <c r="W157">
        <f>HYPERLINK("https://klasma.github.io/Logging_1415/klagomålsmail/A 11235-2025 FSC-klagomål mail.docx", "A 11235-2025")</f>
        <v/>
      </c>
      <c r="X157">
        <f>HYPERLINK("https://klasma.github.io/Logging_1415/tillsyn/A 11235-2025 tillsynsbegäran.docx", "A 11235-2025")</f>
        <v/>
      </c>
      <c r="Y157">
        <f>HYPERLINK("https://klasma.github.io/Logging_1415/tillsynsmail/A 11235-2025 tillsynsbegäran mail.docx", "A 11235-2025")</f>
        <v/>
      </c>
    </row>
    <row r="158" ht="15" customHeight="1">
      <c r="A158" t="inlineStr">
        <is>
          <t>A 19934-2025</t>
        </is>
      </c>
      <c r="B158" s="1" t="n">
        <v>45771</v>
      </c>
      <c r="C158" s="1" t="n">
        <v>45952</v>
      </c>
      <c r="D158" t="inlineStr">
        <is>
          <t>VÄSTRA GÖTALANDS LÄN</t>
        </is>
      </c>
      <c r="E158" t="inlineStr">
        <is>
          <t>ALE</t>
        </is>
      </c>
      <c r="G158" t="n">
        <v>9.699999999999999</v>
      </c>
      <c r="H158" t="n">
        <v>1</v>
      </c>
      <c r="I158" t="n">
        <v>3</v>
      </c>
      <c r="J158" t="n">
        <v>1</v>
      </c>
      <c r="K158" t="n">
        <v>0</v>
      </c>
      <c r="L158" t="n">
        <v>0</v>
      </c>
      <c r="M158" t="n">
        <v>0</v>
      </c>
      <c r="N158" t="n">
        <v>0</v>
      </c>
      <c r="O158" t="n">
        <v>1</v>
      </c>
      <c r="P158" t="n">
        <v>0</v>
      </c>
      <c r="Q158" t="n">
        <v>4</v>
      </c>
      <c r="R158" s="2" t="inlineStr">
        <is>
          <t>Spillkråka
Blåmossa
Bronshjon
Vågbandad barkbock</t>
        </is>
      </c>
      <c r="S158">
        <f>HYPERLINK("https://klasma.github.io/Logging_1440/artfynd/A 19934-2025 artfynd.xlsx", "A 19934-2025")</f>
        <v/>
      </c>
      <c r="T158">
        <f>HYPERLINK("https://klasma.github.io/Logging_1440/kartor/A 19934-2025 karta.png", "A 19934-2025")</f>
        <v/>
      </c>
      <c r="V158">
        <f>HYPERLINK("https://klasma.github.io/Logging_1440/klagomål/A 19934-2025 FSC-klagomål.docx", "A 19934-2025")</f>
        <v/>
      </c>
      <c r="W158">
        <f>HYPERLINK("https://klasma.github.io/Logging_1440/klagomålsmail/A 19934-2025 FSC-klagomål mail.docx", "A 19934-2025")</f>
        <v/>
      </c>
      <c r="X158">
        <f>HYPERLINK("https://klasma.github.io/Logging_1440/tillsyn/A 19934-2025 tillsynsbegäran.docx", "A 19934-2025")</f>
        <v/>
      </c>
      <c r="Y158">
        <f>HYPERLINK("https://klasma.github.io/Logging_1440/tillsynsmail/A 19934-2025 tillsynsbegäran mail.docx", "A 19934-2025")</f>
        <v/>
      </c>
      <c r="Z158">
        <f>HYPERLINK("https://klasma.github.io/Logging_1440/fåglar/A 19934-2025 prioriterade fågelarter.docx", "A 19934-2025")</f>
        <v/>
      </c>
    </row>
    <row r="159" ht="15" customHeight="1">
      <c r="A159" t="inlineStr">
        <is>
          <t>A 25728-2024</t>
        </is>
      </c>
      <c r="B159" s="1" t="n">
        <v>45464.38503472223</v>
      </c>
      <c r="C159" s="1" t="n">
        <v>45952</v>
      </c>
      <c r="D159" t="inlineStr">
        <is>
          <t>VÄSTRA GÖTALANDS LÄN</t>
        </is>
      </c>
      <c r="E159" t="inlineStr">
        <is>
          <t>BENGTSFORS</t>
        </is>
      </c>
      <c r="G159" t="n">
        <v>1.9</v>
      </c>
      <c r="H159" t="n">
        <v>0</v>
      </c>
      <c r="I159" t="n">
        <v>3</v>
      </c>
      <c r="J159" t="n">
        <v>0</v>
      </c>
      <c r="K159" t="n">
        <v>1</v>
      </c>
      <c r="L159" t="n">
        <v>0</v>
      </c>
      <c r="M159" t="n">
        <v>0</v>
      </c>
      <c r="N159" t="n">
        <v>0</v>
      </c>
      <c r="O159" t="n">
        <v>1</v>
      </c>
      <c r="P159" t="n">
        <v>1</v>
      </c>
      <c r="Q159" t="n">
        <v>4</v>
      </c>
      <c r="R159" s="2" t="inlineStr">
        <is>
          <t>Jättemusseron
Blomkålssvamp
Mindre märgborre
Vågbandad barkbock</t>
        </is>
      </c>
      <c r="S159">
        <f>HYPERLINK("https://klasma.github.io/Logging_1460/artfynd/A 25728-2024 artfynd.xlsx", "A 25728-2024")</f>
        <v/>
      </c>
      <c r="T159">
        <f>HYPERLINK("https://klasma.github.io/Logging_1460/kartor/A 25728-2024 karta.png", "A 25728-2024")</f>
        <v/>
      </c>
      <c r="V159">
        <f>HYPERLINK("https://klasma.github.io/Logging_1460/klagomål/A 25728-2024 FSC-klagomål.docx", "A 25728-2024")</f>
        <v/>
      </c>
      <c r="W159">
        <f>HYPERLINK("https://klasma.github.io/Logging_1460/klagomålsmail/A 25728-2024 FSC-klagomål mail.docx", "A 25728-2024")</f>
        <v/>
      </c>
      <c r="X159">
        <f>HYPERLINK("https://klasma.github.io/Logging_1460/tillsyn/A 25728-2024 tillsynsbegäran.docx", "A 25728-2024")</f>
        <v/>
      </c>
      <c r="Y159">
        <f>HYPERLINK("https://klasma.github.io/Logging_1460/tillsynsmail/A 25728-2024 tillsynsbegäran mail.docx", "A 25728-2024")</f>
        <v/>
      </c>
    </row>
    <row r="160" ht="15" customHeight="1">
      <c r="A160" t="inlineStr">
        <is>
          <t>A 25764-2025</t>
        </is>
      </c>
      <c r="B160" s="1" t="n">
        <v>45804.3400462963</v>
      </c>
      <c r="C160" s="1" t="n">
        <v>45952</v>
      </c>
      <c r="D160" t="inlineStr">
        <is>
          <t>VÄSTRA GÖTALANDS LÄN</t>
        </is>
      </c>
      <c r="E160" t="inlineStr">
        <is>
          <t>MELLERUD</t>
        </is>
      </c>
      <c r="G160" t="n">
        <v>2.5</v>
      </c>
      <c r="H160" t="n">
        <v>0</v>
      </c>
      <c r="I160" t="n">
        <v>3</v>
      </c>
      <c r="J160" t="n">
        <v>0</v>
      </c>
      <c r="K160" t="n">
        <v>0</v>
      </c>
      <c r="L160" t="n">
        <v>1</v>
      </c>
      <c r="M160" t="n">
        <v>0</v>
      </c>
      <c r="N160" t="n">
        <v>0</v>
      </c>
      <c r="O160" t="n">
        <v>1</v>
      </c>
      <c r="P160" t="n">
        <v>1</v>
      </c>
      <c r="Q160" t="n">
        <v>4</v>
      </c>
      <c r="R160" s="2" t="inlineStr">
        <is>
          <t>Ask
Guldlockmossa
Lönnlav
Rostfläck</t>
        </is>
      </c>
      <c r="S160">
        <f>HYPERLINK("https://klasma.github.io/Logging_1461/artfynd/A 25764-2025 artfynd.xlsx", "A 25764-2025")</f>
        <v/>
      </c>
      <c r="T160">
        <f>HYPERLINK("https://klasma.github.io/Logging_1461/kartor/A 25764-2025 karta.png", "A 25764-2025")</f>
        <v/>
      </c>
      <c r="V160">
        <f>HYPERLINK("https://klasma.github.io/Logging_1461/klagomål/A 25764-2025 FSC-klagomål.docx", "A 25764-2025")</f>
        <v/>
      </c>
      <c r="W160">
        <f>HYPERLINK("https://klasma.github.io/Logging_1461/klagomålsmail/A 25764-2025 FSC-klagomål mail.docx", "A 25764-2025")</f>
        <v/>
      </c>
      <c r="X160">
        <f>HYPERLINK("https://klasma.github.io/Logging_1461/tillsyn/A 25764-2025 tillsynsbegäran.docx", "A 25764-2025")</f>
        <v/>
      </c>
      <c r="Y160">
        <f>HYPERLINK("https://klasma.github.io/Logging_1461/tillsynsmail/A 25764-2025 tillsynsbegäran mail.docx", "A 25764-2025")</f>
        <v/>
      </c>
    </row>
    <row r="161" ht="15" customHeight="1">
      <c r="A161" t="inlineStr">
        <is>
          <t>A 34634-2024</t>
        </is>
      </c>
      <c r="B161" s="1" t="n">
        <v>45526</v>
      </c>
      <c r="C161" s="1" t="n">
        <v>45952</v>
      </c>
      <c r="D161" t="inlineStr">
        <is>
          <t>VÄSTRA GÖTALANDS LÄN</t>
        </is>
      </c>
      <c r="E161" t="inlineStr">
        <is>
          <t>BORÅS</t>
        </is>
      </c>
      <c r="G161" t="n">
        <v>6.2</v>
      </c>
      <c r="H161" t="n">
        <v>4</v>
      </c>
      <c r="I161" t="n">
        <v>0</v>
      </c>
      <c r="J161" t="n">
        <v>2</v>
      </c>
      <c r="K161" t="n">
        <v>0</v>
      </c>
      <c r="L161" t="n">
        <v>0</v>
      </c>
      <c r="M161" t="n">
        <v>0</v>
      </c>
      <c r="N161" t="n">
        <v>0</v>
      </c>
      <c r="O161" t="n">
        <v>2</v>
      </c>
      <c r="P161" t="n">
        <v>0</v>
      </c>
      <c r="Q161" t="n">
        <v>4</v>
      </c>
      <c r="R161" s="2" t="inlineStr">
        <is>
          <t>Brunlångöra
Nordfladdermus
Dvärgpipistrell
Större brunfladdermus</t>
        </is>
      </c>
      <c r="S161">
        <f>HYPERLINK("https://klasma.github.io/Logging_1490/artfynd/A 34634-2024 artfynd.xlsx", "A 34634-2024")</f>
        <v/>
      </c>
      <c r="T161">
        <f>HYPERLINK("https://klasma.github.io/Logging_1490/kartor/A 34634-2024 karta.png", "A 34634-2024")</f>
        <v/>
      </c>
      <c r="V161">
        <f>HYPERLINK("https://klasma.github.io/Logging_1490/klagomål/A 34634-2024 FSC-klagomål.docx", "A 34634-2024")</f>
        <v/>
      </c>
      <c r="W161">
        <f>HYPERLINK("https://klasma.github.io/Logging_1490/klagomålsmail/A 34634-2024 FSC-klagomål mail.docx", "A 34634-2024")</f>
        <v/>
      </c>
      <c r="X161">
        <f>HYPERLINK("https://klasma.github.io/Logging_1490/tillsyn/A 34634-2024 tillsynsbegäran.docx", "A 34634-2024")</f>
        <v/>
      </c>
      <c r="Y161">
        <f>HYPERLINK("https://klasma.github.io/Logging_1490/tillsynsmail/A 34634-2024 tillsynsbegäran mail.docx", "A 34634-2024")</f>
        <v/>
      </c>
    </row>
    <row r="162" ht="15" customHeight="1">
      <c r="A162" t="inlineStr">
        <is>
          <t>A 29688-2023</t>
        </is>
      </c>
      <c r="B162" s="1" t="n">
        <v>45107</v>
      </c>
      <c r="C162" s="1" t="n">
        <v>45952</v>
      </c>
      <c r="D162" t="inlineStr">
        <is>
          <t>VÄSTRA GÖTALANDS LÄN</t>
        </is>
      </c>
      <c r="E162" t="inlineStr">
        <is>
          <t>UDDEVALLA</t>
        </is>
      </c>
      <c r="G162" t="n">
        <v>1.5</v>
      </c>
      <c r="H162" t="n">
        <v>1</v>
      </c>
      <c r="I162" t="n">
        <v>1</v>
      </c>
      <c r="J162" t="n">
        <v>1</v>
      </c>
      <c r="K162" t="n">
        <v>1</v>
      </c>
      <c r="L162" t="n">
        <v>0</v>
      </c>
      <c r="M162" t="n">
        <v>0</v>
      </c>
      <c r="N162" t="n">
        <v>0</v>
      </c>
      <c r="O162" t="n">
        <v>2</v>
      </c>
      <c r="P162" t="n">
        <v>1</v>
      </c>
      <c r="Q162" t="n">
        <v>4</v>
      </c>
      <c r="R162" s="2" t="inlineStr">
        <is>
          <t>Gräddporing
Druvfingersvamp
Ängsvaxskivling
Vanlig padda</t>
        </is>
      </c>
      <c r="S162">
        <f>HYPERLINK("https://klasma.github.io/Logging_1485/artfynd/A 29688-2023 artfynd.xlsx", "A 29688-2023")</f>
        <v/>
      </c>
      <c r="T162">
        <f>HYPERLINK("https://klasma.github.io/Logging_1485/kartor/A 29688-2023 karta.png", "A 29688-2023")</f>
        <v/>
      </c>
      <c r="V162">
        <f>HYPERLINK("https://klasma.github.io/Logging_1485/klagomål/A 29688-2023 FSC-klagomål.docx", "A 29688-2023")</f>
        <v/>
      </c>
      <c r="W162">
        <f>HYPERLINK("https://klasma.github.io/Logging_1485/klagomålsmail/A 29688-2023 FSC-klagomål mail.docx", "A 29688-2023")</f>
        <v/>
      </c>
      <c r="X162">
        <f>HYPERLINK("https://klasma.github.io/Logging_1485/tillsyn/A 29688-2023 tillsynsbegäran.docx", "A 29688-2023")</f>
        <v/>
      </c>
      <c r="Y162">
        <f>HYPERLINK("https://klasma.github.io/Logging_1485/tillsynsmail/A 29688-2023 tillsynsbegäran mail.docx", "A 29688-2023")</f>
        <v/>
      </c>
    </row>
    <row r="163" ht="15" customHeight="1">
      <c r="A163" t="inlineStr">
        <is>
          <t>A 43771-2023</t>
        </is>
      </c>
      <c r="B163" s="1" t="n">
        <v>45187</v>
      </c>
      <c r="C163" s="1" t="n">
        <v>45952</v>
      </c>
      <c r="D163" t="inlineStr">
        <is>
          <t>VÄSTRA GÖTALANDS LÄN</t>
        </is>
      </c>
      <c r="E163" t="inlineStr">
        <is>
          <t>LILLA EDET</t>
        </is>
      </c>
      <c r="G163" t="n">
        <v>1.7</v>
      </c>
      <c r="H163" t="n">
        <v>1</v>
      </c>
      <c r="I163" t="n">
        <v>1</v>
      </c>
      <c r="J163" t="n">
        <v>1</v>
      </c>
      <c r="K163" t="n">
        <v>0</v>
      </c>
      <c r="L163" t="n">
        <v>1</v>
      </c>
      <c r="M163" t="n">
        <v>0</v>
      </c>
      <c r="N163" t="n">
        <v>0</v>
      </c>
      <c r="O163" t="n">
        <v>2</v>
      </c>
      <c r="P163" t="n">
        <v>1</v>
      </c>
      <c r="Q163" t="n">
        <v>4</v>
      </c>
      <c r="R163" s="2" t="inlineStr">
        <is>
          <t>Ask
Slåtterfibbla
Vätteros
Blåsippa</t>
        </is>
      </c>
      <c r="S163">
        <f>HYPERLINK("https://klasma.github.io/Logging_1462/artfynd/A 43771-2023 artfynd.xlsx", "A 43771-2023")</f>
        <v/>
      </c>
      <c r="T163">
        <f>HYPERLINK("https://klasma.github.io/Logging_1462/kartor/A 43771-2023 karta.png", "A 43771-2023")</f>
        <v/>
      </c>
      <c r="V163">
        <f>HYPERLINK("https://klasma.github.io/Logging_1462/klagomål/A 43771-2023 FSC-klagomål.docx", "A 43771-2023")</f>
        <v/>
      </c>
      <c r="W163">
        <f>HYPERLINK("https://klasma.github.io/Logging_1462/klagomålsmail/A 43771-2023 FSC-klagomål mail.docx", "A 43771-2023")</f>
        <v/>
      </c>
      <c r="X163">
        <f>HYPERLINK("https://klasma.github.io/Logging_1462/tillsyn/A 43771-2023 tillsynsbegäran.docx", "A 43771-2023")</f>
        <v/>
      </c>
      <c r="Y163">
        <f>HYPERLINK("https://klasma.github.io/Logging_1462/tillsynsmail/A 43771-2023 tillsynsbegäran mail.docx", "A 43771-2023")</f>
        <v/>
      </c>
    </row>
    <row r="164" ht="15" customHeight="1">
      <c r="A164" t="inlineStr">
        <is>
          <t>A 27924-2025</t>
        </is>
      </c>
      <c r="B164" s="1" t="n">
        <v>45817.48946759259</v>
      </c>
      <c r="C164" s="1" t="n">
        <v>45952</v>
      </c>
      <c r="D164" t="inlineStr">
        <is>
          <t>VÄSTRA GÖTALANDS LÄN</t>
        </is>
      </c>
      <c r="E164" t="inlineStr">
        <is>
          <t>ALINGSÅS</t>
        </is>
      </c>
      <c r="G164" t="n">
        <v>7.1</v>
      </c>
      <c r="H164" t="n">
        <v>2</v>
      </c>
      <c r="I164" t="n">
        <v>2</v>
      </c>
      <c r="J164" t="n">
        <v>1</v>
      </c>
      <c r="K164" t="n">
        <v>0</v>
      </c>
      <c r="L164" t="n">
        <v>0</v>
      </c>
      <c r="M164" t="n">
        <v>0</v>
      </c>
      <c r="N164" t="n">
        <v>0</v>
      </c>
      <c r="O164" t="n">
        <v>1</v>
      </c>
      <c r="P164" t="n">
        <v>0</v>
      </c>
      <c r="Q164" t="n">
        <v>4</v>
      </c>
      <c r="R164" s="2" t="inlineStr">
        <is>
          <t>Spillkråka
Blåmossa
Kambräken
Äkta lopplummer</t>
        </is>
      </c>
      <c r="S164">
        <f>HYPERLINK("https://klasma.github.io/Logging_1489/artfynd/A 27924-2025 artfynd.xlsx", "A 27924-2025")</f>
        <v/>
      </c>
      <c r="T164">
        <f>HYPERLINK("https://klasma.github.io/Logging_1489/kartor/A 27924-2025 karta.png", "A 27924-2025")</f>
        <v/>
      </c>
      <c r="V164">
        <f>HYPERLINK("https://klasma.github.io/Logging_1489/klagomål/A 27924-2025 FSC-klagomål.docx", "A 27924-2025")</f>
        <v/>
      </c>
      <c r="W164">
        <f>HYPERLINK("https://klasma.github.io/Logging_1489/klagomålsmail/A 27924-2025 FSC-klagomål mail.docx", "A 27924-2025")</f>
        <v/>
      </c>
      <c r="X164">
        <f>HYPERLINK("https://klasma.github.io/Logging_1489/tillsyn/A 27924-2025 tillsynsbegäran.docx", "A 27924-2025")</f>
        <v/>
      </c>
      <c r="Y164">
        <f>HYPERLINK("https://klasma.github.io/Logging_1489/tillsynsmail/A 27924-2025 tillsynsbegäran mail.docx", "A 27924-2025")</f>
        <v/>
      </c>
      <c r="Z164">
        <f>HYPERLINK("https://klasma.github.io/Logging_1489/fåglar/A 27924-2025 prioriterade fågelarter.docx", "A 27924-2025")</f>
        <v/>
      </c>
    </row>
    <row r="165" ht="15" customHeight="1">
      <c r="A165" t="inlineStr">
        <is>
          <t>A 51440-2025</t>
        </is>
      </c>
      <c r="B165" s="1" t="n">
        <v>45950.57366898148</v>
      </c>
      <c r="C165" s="1" t="n">
        <v>45952</v>
      </c>
      <c r="D165" t="inlineStr">
        <is>
          <t>VÄSTRA GÖTALANDS LÄN</t>
        </is>
      </c>
      <c r="E165" t="inlineStr">
        <is>
          <t>BORÅS</t>
        </is>
      </c>
      <c r="G165" t="n">
        <v>4.8</v>
      </c>
      <c r="H165" t="n">
        <v>1</v>
      </c>
      <c r="I165" t="n">
        <v>2</v>
      </c>
      <c r="J165" t="n">
        <v>2</v>
      </c>
      <c r="K165" t="n">
        <v>0</v>
      </c>
      <c r="L165" t="n">
        <v>0</v>
      </c>
      <c r="M165" t="n">
        <v>0</v>
      </c>
      <c r="N165" t="n">
        <v>0</v>
      </c>
      <c r="O165" t="n">
        <v>2</v>
      </c>
      <c r="P165" t="n">
        <v>0</v>
      </c>
      <c r="Q165" t="n">
        <v>4</v>
      </c>
      <c r="R165" s="2" t="inlineStr">
        <is>
          <t>Spillkråka
Svartvit taggsvamp
Blåmossa
Stor revmossa</t>
        </is>
      </c>
      <c r="S165">
        <f>HYPERLINK("https://klasma.github.io/Logging_1490/artfynd/A 51440-2025 artfynd.xlsx", "A 51440-2025")</f>
        <v/>
      </c>
      <c r="T165">
        <f>HYPERLINK("https://klasma.github.io/Logging_1490/kartor/A 51440-2025 karta.png", "A 51440-2025")</f>
        <v/>
      </c>
      <c r="V165">
        <f>HYPERLINK("https://klasma.github.io/Logging_1490/klagomål/A 51440-2025 FSC-klagomål.docx", "A 51440-2025")</f>
        <v/>
      </c>
      <c r="W165">
        <f>HYPERLINK("https://klasma.github.io/Logging_1490/klagomålsmail/A 51440-2025 FSC-klagomål mail.docx", "A 51440-2025")</f>
        <v/>
      </c>
      <c r="X165">
        <f>HYPERLINK("https://klasma.github.io/Logging_1490/tillsyn/A 51440-2025 tillsynsbegäran.docx", "A 51440-2025")</f>
        <v/>
      </c>
      <c r="Y165">
        <f>HYPERLINK("https://klasma.github.io/Logging_1490/tillsynsmail/A 51440-2025 tillsynsbegäran mail.docx", "A 51440-2025")</f>
        <v/>
      </c>
      <c r="Z165">
        <f>HYPERLINK("https://klasma.github.io/Logging_1490/fåglar/A 51440-2025 prioriterade fågelarter.docx", "A 51440-2025")</f>
        <v/>
      </c>
    </row>
    <row r="166" ht="15" customHeight="1">
      <c r="A166" t="inlineStr">
        <is>
          <t>A 28512-2025</t>
        </is>
      </c>
      <c r="B166" s="1" t="n">
        <v>45819.48106481481</v>
      </c>
      <c r="C166" s="1" t="n">
        <v>45952</v>
      </c>
      <c r="D166" t="inlineStr">
        <is>
          <t>VÄSTRA GÖTALANDS LÄN</t>
        </is>
      </c>
      <c r="E166" t="inlineStr">
        <is>
          <t>LILLA EDET</t>
        </is>
      </c>
      <c r="G166" t="n">
        <v>10.9</v>
      </c>
      <c r="H166" t="n">
        <v>2</v>
      </c>
      <c r="I166" t="n">
        <v>2</v>
      </c>
      <c r="J166" t="n">
        <v>1</v>
      </c>
      <c r="K166" t="n">
        <v>0</v>
      </c>
      <c r="L166" t="n">
        <v>0</v>
      </c>
      <c r="M166" t="n">
        <v>0</v>
      </c>
      <c r="N166" t="n">
        <v>0</v>
      </c>
      <c r="O166" t="n">
        <v>1</v>
      </c>
      <c r="P166" t="n">
        <v>0</v>
      </c>
      <c r="Q166" t="n">
        <v>4</v>
      </c>
      <c r="R166" s="2" t="inlineStr">
        <is>
          <t>Spillkråka
Blåmossa
Västlig hakmossa
Tjäder</t>
        </is>
      </c>
      <c r="S166">
        <f>HYPERLINK("https://klasma.github.io/Logging_1462/artfynd/A 28512-2025 artfynd.xlsx", "A 28512-2025")</f>
        <v/>
      </c>
      <c r="T166">
        <f>HYPERLINK("https://klasma.github.io/Logging_1462/kartor/A 28512-2025 karta.png", "A 28512-2025")</f>
        <v/>
      </c>
      <c r="V166">
        <f>HYPERLINK("https://klasma.github.io/Logging_1462/klagomål/A 28512-2025 FSC-klagomål.docx", "A 28512-2025")</f>
        <v/>
      </c>
      <c r="W166">
        <f>HYPERLINK("https://klasma.github.io/Logging_1462/klagomålsmail/A 28512-2025 FSC-klagomål mail.docx", "A 28512-2025")</f>
        <v/>
      </c>
      <c r="X166">
        <f>HYPERLINK("https://klasma.github.io/Logging_1462/tillsyn/A 28512-2025 tillsynsbegäran.docx", "A 28512-2025")</f>
        <v/>
      </c>
      <c r="Y166">
        <f>HYPERLINK("https://klasma.github.io/Logging_1462/tillsynsmail/A 28512-2025 tillsynsbegäran mail.docx", "A 28512-2025")</f>
        <v/>
      </c>
      <c r="Z166">
        <f>HYPERLINK("https://klasma.github.io/Logging_1462/fåglar/A 28512-2025 prioriterade fågelarter.docx", "A 28512-2025")</f>
        <v/>
      </c>
    </row>
    <row r="167" ht="15" customHeight="1">
      <c r="A167" t="inlineStr">
        <is>
          <t>A 29675-2025</t>
        </is>
      </c>
      <c r="B167" s="1" t="n">
        <v>45825.50337962963</v>
      </c>
      <c r="C167" s="1" t="n">
        <v>45952</v>
      </c>
      <c r="D167" t="inlineStr">
        <is>
          <t>VÄSTRA GÖTALANDS LÄN</t>
        </is>
      </c>
      <c r="E167" t="inlineStr">
        <is>
          <t>DALS-ED</t>
        </is>
      </c>
      <c r="G167" t="n">
        <v>13.5</v>
      </c>
      <c r="H167" t="n">
        <v>0</v>
      </c>
      <c r="I167" t="n">
        <v>4</v>
      </c>
      <c r="J167" t="n">
        <v>0</v>
      </c>
      <c r="K167" t="n">
        <v>0</v>
      </c>
      <c r="L167" t="n">
        <v>0</v>
      </c>
      <c r="M167" t="n">
        <v>0</v>
      </c>
      <c r="N167" t="n">
        <v>0</v>
      </c>
      <c r="O167" t="n">
        <v>0</v>
      </c>
      <c r="P167" t="n">
        <v>0</v>
      </c>
      <c r="Q167" t="n">
        <v>4</v>
      </c>
      <c r="R167" s="2" t="inlineStr">
        <is>
          <t>Bronshjon
Granbarkgnagare
Kattfotslav
Vågbandad barkbock</t>
        </is>
      </c>
      <c r="S167">
        <f>HYPERLINK("https://klasma.github.io/Logging_1438/artfynd/A 29675-2025 artfynd.xlsx", "A 29675-2025")</f>
        <v/>
      </c>
      <c r="T167">
        <f>HYPERLINK("https://klasma.github.io/Logging_1438/kartor/A 29675-2025 karta.png", "A 29675-2025")</f>
        <v/>
      </c>
      <c r="V167">
        <f>HYPERLINK("https://klasma.github.io/Logging_1438/klagomål/A 29675-2025 FSC-klagomål.docx", "A 29675-2025")</f>
        <v/>
      </c>
      <c r="W167">
        <f>HYPERLINK("https://klasma.github.io/Logging_1438/klagomålsmail/A 29675-2025 FSC-klagomål mail.docx", "A 29675-2025")</f>
        <v/>
      </c>
      <c r="X167">
        <f>HYPERLINK("https://klasma.github.io/Logging_1438/tillsyn/A 29675-2025 tillsynsbegäran.docx", "A 29675-2025")</f>
        <v/>
      </c>
      <c r="Y167">
        <f>HYPERLINK("https://klasma.github.io/Logging_1438/tillsynsmail/A 29675-2025 tillsynsbegäran mail.docx", "A 29675-2025")</f>
        <v/>
      </c>
    </row>
    <row r="168" ht="15" customHeight="1">
      <c r="A168" t="inlineStr">
        <is>
          <t>A 13005-2025</t>
        </is>
      </c>
      <c r="B168" s="1" t="n">
        <v>45734</v>
      </c>
      <c r="C168" s="1" t="n">
        <v>45952</v>
      </c>
      <c r="D168" t="inlineStr">
        <is>
          <t>VÄSTRA GÖTALANDS LÄN</t>
        </is>
      </c>
      <c r="E168" t="inlineStr">
        <is>
          <t>SVENLJUNGA</t>
        </is>
      </c>
      <c r="G168" t="n">
        <v>9</v>
      </c>
      <c r="H168" t="n">
        <v>0</v>
      </c>
      <c r="I168" t="n">
        <v>4</v>
      </c>
      <c r="J168" t="n">
        <v>0</v>
      </c>
      <c r="K168" t="n">
        <v>0</v>
      </c>
      <c r="L168" t="n">
        <v>0</v>
      </c>
      <c r="M168" t="n">
        <v>0</v>
      </c>
      <c r="N168" t="n">
        <v>0</v>
      </c>
      <c r="O168" t="n">
        <v>0</v>
      </c>
      <c r="P168" t="n">
        <v>0</v>
      </c>
      <c r="Q168" t="n">
        <v>4</v>
      </c>
      <c r="R168" s="2" t="inlineStr">
        <is>
          <t>Bronshjon
Kornknutmossa
Thomsons trägnagare
Vågbandad barkbock</t>
        </is>
      </c>
      <c r="S168">
        <f>HYPERLINK("https://klasma.github.io/Logging_1465/artfynd/A 13005-2025 artfynd.xlsx", "A 13005-2025")</f>
        <v/>
      </c>
      <c r="T168">
        <f>HYPERLINK("https://klasma.github.io/Logging_1465/kartor/A 13005-2025 karta.png", "A 13005-2025")</f>
        <v/>
      </c>
      <c r="V168">
        <f>HYPERLINK("https://klasma.github.io/Logging_1465/klagomål/A 13005-2025 FSC-klagomål.docx", "A 13005-2025")</f>
        <v/>
      </c>
      <c r="W168">
        <f>HYPERLINK("https://klasma.github.io/Logging_1465/klagomålsmail/A 13005-2025 FSC-klagomål mail.docx", "A 13005-2025")</f>
        <v/>
      </c>
      <c r="X168">
        <f>HYPERLINK("https://klasma.github.io/Logging_1465/tillsyn/A 13005-2025 tillsynsbegäran.docx", "A 13005-2025")</f>
        <v/>
      </c>
      <c r="Y168">
        <f>HYPERLINK("https://klasma.github.io/Logging_1465/tillsynsmail/A 13005-2025 tillsynsbegäran mail.docx", "A 13005-2025")</f>
        <v/>
      </c>
    </row>
    <row r="169" ht="15" customHeight="1">
      <c r="A169" t="inlineStr">
        <is>
          <t>A 44523-2022</t>
        </is>
      </c>
      <c r="B169" s="1" t="n">
        <v>44840</v>
      </c>
      <c r="C169" s="1" t="n">
        <v>45952</v>
      </c>
      <c r="D169" t="inlineStr">
        <is>
          <t>VÄSTRA GÖTALANDS LÄN</t>
        </is>
      </c>
      <c r="E169" t="inlineStr">
        <is>
          <t>MELLERUD</t>
        </is>
      </c>
      <c r="G169" t="n">
        <v>1.5</v>
      </c>
      <c r="H169" t="n">
        <v>1</v>
      </c>
      <c r="I169" t="n">
        <v>3</v>
      </c>
      <c r="J169" t="n">
        <v>1</v>
      </c>
      <c r="K169" t="n">
        <v>0</v>
      </c>
      <c r="L169" t="n">
        <v>0</v>
      </c>
      <c r="M169" t="n">
        <v>0</v>
      </c>
      <c r="N169" t="n">
        <v>0</v>
      </c>
      <c r="O169" t="n">
        <v>1</v>
      </c>
      <c r="P169" t="n">
        <v>0</v>
      </c>
      <c r="Q169" t="n">
        <v>4</v>
      </c>
      <c r="R169" s="2" t="inlineStr">
        <is>
          <t>Skirmossa
Dunmossa
Skogshakmossa
Trind spretmossa</t>
        </is>
      </c>
      <c r="S169">
        <f>HYPERLINK("https://klasma.github.io/Logging_1461/artfynd/A 44523-2022 artfynd.xlsx", "A 44523-2022")</f>
        <v/>
      </c>
      <c r="T169">
        <f>HYPERLINK("https://klasma.github.io/Logging_1461/kartor/A 44523-2022 karta.png", "A 44523-2022")</f>
        <v/>
      </c>
      <c r="V169">
        <f>HYPERLINK("https://klasma.github.io/Logging_1461/klagomål/A 44523-2022 FSC-klagomål.docx", "A 44523-2022")</f>
        <v/>
      </c>
      <c r="W169">
        <f>HYPERLINK("https://klasma.github.io/Logging_1461/klagomålsmail/A 44523-2022 FSC-klagomål mail.docx", "A 44523-2022")</f>
        <v/>
      </c>
      <c r="X169">
        <f>HYPERLINK("https://klasma.github.io/Logging_1461/tillsyn/A 44523-2022 tillsynsbegäran.docx", "A 44523-2022")</f>
        <v/>
      </c>
      <c r="Y169">
        <f>HYPERLINK("https://klasma.github.io/Logging_1461/tillsynsmail/A 44523-2022 tillsynsbegäran mail.docx", "A 44523-2022")</f>
        <v/>
      </c>
    </row>
    <row r="170" ht="15" customHeight="1">
      <c r="A170" t="inlineStr">
        <is>
          <t>A 13950-2023</t>
        </is>
      </c>
      <c r="B170" s="1" t="n">
        <v>45008</v>
      </c>
      <c r="C170" s="1" t="n">
        <v>45952</v>
      </c>
      <c r="D170" t="inlineStr">
        <is>
          <t>VÄSTRA GÖTALANDS LÄN</t>
        </is>
      </c>
      <c r="E170" t="inlineStr">
        <is>
          <t>TANUM</t>
        </is>
      </c>
      <c r="G170" t="n">
        <v>6</v>
      </c>
      <c r="H170" t="n">
        <v>2</v>
      </c>
      <c r="I170" t="n">
        <v>2</v>
      </c>
      <c r="J170" t="n">
        <v>2</v>
      </c>
      <c r="K170" t="n">
        <v>0</v>
      </c>
      <c r="L170" t="n">
        <v>0</v>
      </c>
      <c r="M170" t="n">
        <v>0</v>
      </c>
      <c r="N170" t="n">
        <v>0</v>
      </c>
      <c r="O170" t="n">
        <v>2</v>
      </c>
      <c r="P170" t="n">
        <v>0</v>
      </c>
      <c r="Q170" t="n">
        <v>4</v>
      </c>
      <c r="R170" s="2" t="inlineStr">
        <is>
          <t>Spillkråka
Tretåig hackspett
Blåmossa
Dropptaggsvamp</t>
        </is>
      </c>
      <c r="S170">
        <f>HYPERLINK("https://klasma.github.io/Logging_1435/artfynd/A 13950-2023 artfynd.xlsx", "A 13950-2023")</f>
        <v/>
      </c>
      <c r="T170">
        <f>HYPERLINK("https://klasma.github.io/Logging_1435/kartor/A 13950-2023 karta.png", "A 13950-2023")</f>
        <v/>
      </c>
      <c r="V170">
        <f>HYPERLINK("https://klasma.github.io/Logging_1435/klagomål/A 13950-2023 FSC-klagomål.docx", "A 13950-2023")</f>
        <v/>
      </c>
      <c r="W170">
        <f>HYPERLINK("https://klasma.github.io/Logging_1435/klagomålsmail/A 13950-2023 FSC-klagomål mail.docx", "A 13950-2023")</f>
        <v/>
      </c>
      <c r="X170">
        <f>HYPERLINK("https://klasma.github.io/Logging_1435/tillsyn/A 13950-2023 tillsynsbegäran.docx", "A 13950-2023")</f>
        <v/>
      </c>
      <c r="Y170">
        <f>HYPERLINK("https://klasma.github.io/Logging_1435/tillsynsmail/A 13950-2023 tillsynsbegäran mail.docx", "A 13950-2023")</f>
        <v/>
      </c>
      <c r="Z170">
        <f>HYPERLINK("https://klasma.github.io/Logging_1435/fåglar/A 13950-2023 prioriterade fågelarter.docx", "A 13950-2023")</f>
        <v/>
      </c>
    </row>
    <row r="171" ht="15" customHeight="1">
      <c r="A171" t="inlineStr">
        <is>
          <t>A 13943-2023</t>
        </is>
      </c>
      <c r="B171" s="1" t="n">
        <v>45008</v>
      </c>
      <c r="C171" s="1" t="n">
        <v>45952</v>
      </c>
      <c r="D171" t="inlineStr">
        <is>
          <t>VÄSTRA GÖTALANDS LÄN</t>
        </is>
      </c>
      <c r="E171" t="inlineStr">
        <is>
          <t>TANUM</t>
        </is>
      </c>
      <c r="G171" t="n">
        <v>3.5</v>
      </c>
      <c r="H171" t="n">
        <v>2</v>
      </c>
      <c r="I171" t="n">
        <v>1</v>
      </c>
      <c r="J171" t="n">
        <v>2</v>
      </c>
      <c r="K171" t="n">
        <v>0</v>
      </c>
      <c r="L171" t="n">
        <v>0</v>
      </c>
      <c r="M171" t="n">
        <v>0</v>
      </c>
      <c r="N171" t="n">
        <v>0</v>
      </c>
      <c r="O171" t="n">
        <v>2</v>
      </c>
      <c r="P171" t="n">
        <v>0</v>
      </c>
      <c r="Q171" t="n">
        <v>4</v>
      </c>
      <c r="R171" s="2" t="inlineStr">
        <is>
          <t>Spillkråka
Vedskivlav
Blåmossa
Revlummer</t>
        </is>
      </c>
      <c r="S171">
        <f>HYPERLINK("https://klasma.github.io/Logging_1435/artfynd/A 13943-2023 artfynd.xlsx", "A 13943-2023")</f>
        <v/>
      </c>
      <c r="T171">
        <f>HYPERLINK("https://klasma.github.io/Logging_1435/kartor/A 13943-2023 karta.png", "A 13943-2023")</f>
        <v/>
      </c>
      <c r="V171">
        <f>HYPERLINK("https://klasma.github.io/Logging_1435/klagomål/A 13943-2023 FSC-klagomål.docx", "A 13943-2023")</f>
        <v/>
      </c>
      <c r="W171">
        <f>HYPERLINK("https://klasma.github.io/Logging_1435/klagomålsmail/A 13943-2023 FSC-klagomål mail.docx", "A 13943-2023")</f>
        <v/>
      </c>
      <c r="X171">
        <f>HYPERLINK("https://klasma.github.io/Logging_1435/tillsyn/A 13943-2023 tillsynsbegäran.docx", "A 13943-2023")</f>
        <v/>
      </c>
      <c r="Y171">
        <f>HYPERLINK("https://klasma.github.io/Logging_1435/tillsynsmail/A 13943-2023 tillsynsbegäran mail.docx", "A 13943-2023")</f>
        <v/>
      </c>
      <c r="Z171">
        <f>HYPERLINK("https://klasma.github.io/Logging_1435/fåglar/A 13943-2023 prioriterade fågelarter.docx", "A 13943-2023")</f>
        <v/>
      </c>
    </row>
    <row r="172" ht="15" customHeight="1">
      <c r="A172" t="inlineStr">
        <is>
          <t>A 12684-2023</t>
        </is>
      </c>
      <c r="B172" s="1" t="n">
        <v>45000</v>
      </c>
      <c r="C172" s="1" t="n">
        <v>45952</v>
      </c>
      <c r="D172" t="inlineStr">
        <is>
          <t>VÄSTRA GÖTALANDS LÄN</t>
        </is>
      </c>
      <c r="E172" t="inlineStr">
        <is>
          <t>TANUM</t>
        </is>
      </c>
      <c r="G172" t="n">
        <v>1.6</v>
      </c>
      <c r="H172" t="n">
        <v>3</v>
      </c>
      <c r="I172" t="n">
        <v>1</v>
      </c>
      <c r="J172" t="n">
        <v>1</v>
      </c>
      <c r="K172" t="n">
        <v>0</v>
      </c>
      <c r="L172" t="n">
        <v>0</v>
      </c>
      <c r="M172" t="n">
        <v>0</v>
      </c>
      <c r="N172" t="n">
        <v>0</v>
      </c>
      <c r="O172" t="n">
        <v>1</v>
      </c>
      <c r="P172" t="n">
        <v>0</v>
      </c>
      <c r="Q172" t="n">
        <v>4</v>
      </c>
      <c r="R172" s="2" t="inlineStr">
        <is>
          <t>Tretåig hackspett
Dropptaggsvamp
Kungsfågel
Tjäder</t>
        </is>
      </c>
      <c r="S172">
        <f>HYPERLINK("https://klasma.github.io/Logging_1435/artfynd/A 12684-2023 artfynd.xlsx", "A 12684-2023")</f>
        <v/>
      </c>
      <c r="T172">
        <f>HYPERLINK("https://klasma.github.io/Logging_1435/kartor/A 12684-2023 karta.png", "A 12684-2023")</f>
        <v/>
      </c>
      <c r="V172">
        <f>HYPERLINK("https://klasma.github.io/Logging_1435/klagomål/A 12684-2023 FSC-klagomål.docx", "A 12684-2023")</f>
        <v/>
      </c>
      <c r="W172">
        <f>HYPERLINK("https://klasma.github.io/Logging_1435/klagomålsmail/A 12684-2023 FSC-klagomål mail.docx", "A 12684-2023")</f>
        <v/>
      </c>
      <c r="X172">
        <f>HYPERLINK("https://klasma.github.io/Logging_1435/tillsyn/A 12684-2023 tillsynsbegäran.docx", "A 12684-2023")</f>
        <v/>
      </c>
      <c r="Y172">
        <f>HYPERLINK("https://klasma.github.io/Logging_1435/tillsynsmail/A 12684-2023 tillsynsbegäran mail.docx", "A 12684-2023")</f>
        <v/>
      </c>
      <c r="Z172">
        <f>HYPERLINK("https://klasma.github.io/Logging_1435/fåglar/A 12684-2023 prioriterade fågelarter.docx", "A 12684-2023")</f>
        <v/>
      </c>
    </row>
    <row r="173" ht="15" customHeight="1">
      <c r="A173" t="inlineStr">
        <is>
          <t>A 13359-2024</t>
        </is>
      </c>
      <c r="B173" s="1" t="n">
        <v>45387.35072916667</v>
      </c>
      <c r="C173" s="1" t="n">
        <v>45952</v>
      </c>
      <c r="D173" t="inlineStr">
        <is>
          <t>VÄSTRA GÖTALANDS LÄN</t>
        </is>
      </c>
      <c r="E173" t="inlineStr">
        <is>
          <t>KARLSBORG</t>
        </is>
      </c>
      <c r="F173" t="inlineStr">
        <is>
          <t>Övriga Aktiebolag</t>
        </is>
      </c>
      <c r="G173" t="n">
        <v>12.4</v>
      </c>
      <c r="H173" t="n">
        <v>3</v>
      </c>
      <c r="I173" t="n">
        <v>1</v>
      </c>
      <c r="J173" t="n">
        <v>1</v>
      </c>
      <c r="K173" t="n">
        <v>1</v>
      </c>
      <c r="L173" t="n">
        <v>0</v>
      </c>
      <c r="M173" t="n">
        <v>0</v>
      </c>
      <c r="N173" t="n">
        <v>0</v>
      </c>
      <c r="O173" t="n">
        <v>2</v>
      </c>
      <c r="P173" t="n">
        <v>1</v>
      </c>
      <c r="Q173" t="n">
        <v>4</v>
      </c>
      <c r="R173" s="2" t="inlineStr">
        <is>
          <t>Knärot
Spillkråka
Grönpyrola
Tjäder</t>
        </is>
      </c>
      <c r="S173">
        <f>HYPERLINK("https://klasma.github.io/Logging_1446/artfynd/A 13359-2024 artfynd.xlsx", "A 13359-2024")</f>
        <v/>
      </c>
      <c r="T173">
        <f>HYPERLINK("https://klasma.github.io/Logging_1446/kartor/A 13359-2024 karta.png", "A 13359-2024")</f>
        <v/>
      </c>
      <c r="U173">
        <f>HYPERLINK("https://klasma.github.io/Logging_1446/knärot/A 13359-2024 karta knärot.png", "A 13359-2024")</f>
        <v/>
      </c>
      <c r="V173">
        <f>HYPERLINK("https://klasma.github.io/Logging_1446/klagomål/A 13359-2024 FSC-klagomål.docx", "A 13359-2024")</f>
        <v/>
      </c>
      <c r="W173">
        <f>HYPERLINK("https://klasma.github.io/Logging_1446/klagomålsmail/A 13359-2024 FSC-klagomål mail.docx", "A 13359-2024")</f>
        <v/>
      </c>
      <c r="X173">
        <f>HYPERLINK("https://klasma.github.io/Logging_1446/tillsyn/A 13359-2024 tillsynsbegäran.docx", "A 13359-2024")</f>
        <v/>
      </c>
      <c r="Y173">
        <f>HYPERLINK("https://klasma.github.io/Logging_1446/tillsynsmail/A 13359-2024 tillsynsbegäran mail.docx", "A 13359-2024")</f>
        <v/>
      </c>
      <c r="Z173">
        <f>HYPERLINK("https://klasma.github.io/Logging_1446/fåglar/A 13359-2024 prioriterade fågelarter.docx", "A 13359-2024")</f>
        <v/>
      </c>
    </row>
    <row r="174" ht="15" customHeight="1">
      <c r="A174" t="inlineStr">
        <is>
          <t>A 62062-2024</t>
        </is>
      </c>
      <c r="B174" s="1" t="n">
        <v>45656.38539351852</v>
      </c>
      <c r="C174" s="1" t="n">
        <v>45952</v>
      </c>
      <c r="D174" t="inlineStr">
        <is>
          <t>VÄSTRA GÖTALANDS LÄN</t>
        </is>
      </c>
      <c r="E174" t="inlineStr">
        <is>
          <t>UDDEVALLA</t>
        </is>
      </c>
      <c r="F174" t="inlineStr">
        <is>
          <t>Kommuner</t>
        </is>
      </c>
      <c r="G174" t="n">
        <v>8</v>
      </c>
      <c r="H174" t="n">
        <v>2</v>
      </c>
      <c r="I174" t="n">
        <v>1</v>
      </c>
      <c r="J174" t="n">
        <v>0</v>
      </c>
      <c r="K174" t="n">
        <v>1</v>
      </c>
      <c r="L174" t="n">
        <v>0</v>
      </c>
      <c r="M174" t="n">
        <v>0</v>
      </c>
      <c r="N174" t="n">
        <v>0</v>
      </c>
      <c r="O174" t="n">
        <v>1</v>
      </c>
      <c r="P174" t="n">
        <v>1</v>
      </c>
      <c r="Q174" t="n">
        <v>4</v>
      </c>
      <c r="R174" s="2" t="inlineStr">
        <is>
          <t>Slåttergubbe
Västlig hakmossa
Nattviol
Revlummer</t>
        </is>
      </c>
      <c r="S174">
        <f>HYPERLINK("https://klasma.github.io/Logging_1485/artfynd/A 62062-2024 artfynd.xlsx", "A 62062-2024")</f>
        <v/>
      </c>
      <c r="T174">
        <f>HYPERLINK("https://klasma.github.io/Logging_1485/kartor/A 62062-2024 karta.png", "A 62062-2024")</f>
        <v/>
      </c>
      <c r="V174">
        <f>HYPERLINK("https://klasma.github.io/Logging_1485/klagomål/A 62062-2024 FSC-klagomål.docx", "A 62062-2024")</f>
        <v/>
      </c>
      <c r="W174">
        <f>HYPERLINK("https://klasma.github.io/Logging_1485/klagomålsmail/A 62062-2024 FSC-klagomål mail.docx", "A 62062-2024")</f>
        <v/>
      </c>
      <c r="X174">
        <f>HYPERLINK("https://klasma.github.io/Logging_1485/tillsyn/A 62062-2024 tillsynsbegäran.docx", "A 62062-2024")</f>
        <v/>
      </c>
      <c r="Y174">
        <f>HYPERLINK("https://klasma.github.io/Logging_1485/tillsynsmail/A 62062-2024 tillsynsbegäran mail.docx", "A 62062-2024")</f>
        <v/>
      </c>
    </row>
    <row r="175" ht="15" customHeight="1">
      <c r="A175" t="inlineStr">
        <is>
          <t>A 7903-2024</t>
        </is>
      </c>
      <c r="B175" s="1" t="n">
        <v>45350</v>
      </c>
      <c r="C175" s="1" t="n">
        <v>45952</v>
      </c>
      <c r="D175" t="inlineStr">
        <is>
          <t>VÄSTRA GÖTALANDS LÄN</t>
        </is>
      </c>
      <c r="E175" t="inlineStr">
        <is>
          <t>ALE</t>
        </is>
      </c>
      <c r="G175" t="n">
        <v>4.2</v>
      </c>
      <c r="H175" t="n">
        <v>4</v>
      </c>
      <c r="I175" t="n">
        <v>0</v>
      </c>
      <c r="J175" t="n">
        <v>3</v>
      </c>
      <c r="K175" t="n">
        <v>0</v>
      </c>
      <c r="L175" t="n">
        <v>0</v>
      </c>
      <c r="M175" t="n">
        <v>0</v>
      </c>
      <c r="N175" t="n">
        <v>0</v>
      </c>
      <c r="O175" t="n">
        <v>3</v>
      </c>
      <c r="P175" t="n">
        <v>0</v>
      </c>
      <c r="Q175" t="n">
        <v>4</v>
      </c>
      <c r="R175" s="2" t="inlineStr">
        <is>
          <t>Entita
Spillkråka
Talltita
Kungsfågel</t>
        </is>
      </c>
      <c r="S175">
        <f>HYPERLINK("https://klasma.github.io/Logging_1440/artfynd/A 7903-2024 artfynd.xlsx", "A 7903-2024")</f>
        <v/>
      </c>
      <c r="T175">
        <f>HYPERLINK("https://klasma.github.io/Logging_1440/kartor/A 7903-2024 karta.png", "A 7903-2024")</f>
        <v/>
      </c>
      <c r="V175">
        <f>HYPERLINK("https://klasma.github.io/Logging_1440/klagomål/A 7903-2024 FSC-klagomål.docx", "A 7903-2024")</f>
        <v/>
      </c>
      <c r="W175">
        <f>HYPERLINK("https://klasma.github.io/Logging_1440/klagomålsmail/A 7903-2024 FSC-klagomål mail.docx", "A 7903-2024")</f>
        <v/>
      </c>
      <c r="X175">
        <f>HYPERLINK("https://klasma.github.io/Logging_1440/tillsyn/A 7903-2024 tillsynsbegäran.docx", "A 7903-2024")</f>
        <v/>
      </c>
      <c r="Y175">
        <f>HYPERLINK("https://klasma.github.io/Logging_1440/tillsynsmail/A 7903-2024 tillsynsbegäran mail.docx", "A 7903-2024")</f>
        <v/>
      </c>
      <c r="Z175">
        <f>HYPERLINK("https://klasma.github.io/Logging_1440/fåglar/A 7903-2024 prioriterade fågelarter.docx", "A 7903-2024")</f>
        <v/>
      </c>
    </row>
    <row r="176" ht="15" customHeight="1">
      <c r="A176" t="inlineStr">
        <is>
          <t>A 14438-2025</t>
        </is>
      </c>
      <c r="B176" s="1" t="n">
        <v>45741</v>
      </c>
      <c r="C176" s="1" t="n">
        <v>45952</v>
      </c>
      <c r="D176" t="inlineStr">
        <is>
          <t>VÄSTRA GÖTALANDS LÄN</t>
        </is>
      </c>
      <c r="E176" t="inlineStr">
        <is>
          <t>KARLSBORG</t>
        </is>
      </c>
      <c r="G176" t="n">
        <v>7.9</v>
      </c>
      <c r="H176" t="n">
        <v>4</v>
      </c>
      <c r="I176" t="n">
        <v>0</v>
      </c>
      <c r="J176" t="n">
        <v>1</v>
      </c>
      <c r="K176" t="n">
        <v>0</v>
      </c>
      <c r="L176" t="n">
        <v>0</v>
      </c>
      <c r="M176" t="n">
        <v>0</v>
      </c>
      <c r="N176" t="n">
        <v>0</v>
      </c>
      <c r="O176" t="n">
        <v>1</v>
      </c>
      <c r="P176" t="n">
        <v>0</v>
      </c>
      <c r="Q176" t="n">
        <v>4</v>
      </c>
      <c r="R176" s="2" t="inlineStr">
        <is>
          <t>Talltita
Järnsparv
Kungsfågel
Åkergroda</t>
        </is>
      </c>
      <c r="S176">
        <f>HYPERLINK("https://klasma.github.io/Logging_1446/artfynd/A 14438-2025 artfynd.xlsx", "A 14438-2025")</f>
        <v/>
      </c>
      <c r="T176">
        <f>HYPERLINK("https://klasma.github.io/Logging_1446/kartor/A 14438-2025 karta.png", "A 14438-2025")</f>
        <v/>
      </c>
      <c r="V176">
        <f>HYPERLINK("https://klasma.github.io/Logging_1446/klagomål/A 14438-2025 FSC-klagomål.docx", "A 14438-2025")</f>
        <v/>
      </c>
      <c r="W176">
        <f>HYPERLINK("https://klasma.github.io/Logging_1446/klagomålsmail/A 14438-2025 FSC-klagomål mail.docx", "A 14438-2025")</f>
        <v/>
      </c>
      <c r="X176">
        <f>HYPERLINK("https://klasma.github.io/Logging_1446/tillsyn/A 14438-2025 tillsynsbegäran.docx", "A 14438-2025")</f>
        <v/>
      </c>
      <c r="Y176">
        <f>HYPERLINK("https://klasma.github.io/Logging_1446/tillsynsmail/A 14438-2025 tillsynsbegäran mail.docx", "A 14438-2025")</f>
        <v/>
      </c>
      <c r="Z176">
        <f>HYPERLINK("https://klasma.github.io/Logging_1446/fåglar/A 14438-2025 prioriterade fågelarter.docx", "A 14438-2025")</f>
        <v/>
      </c>
    </row>
    <row r="177" ht="15" customHeight="1">
      <c r="A177" t="inlineStr">
        <is>
          <t>A 29487-2023</t>
        </is>
      </c>
      <c r="B177" s="1" t="n">
        <v>45106</v>
      </c>
      <c r="C177" s="1" t="n">
        <v>45952</v>
      </c>
      <c r="D177" t="inlineStr">
        <is>
          <t>VÄSTRA GÖTALANDS LÄN</t>
        </is>
      </c>
      <c r="E177" t="inlineStr">
        <is>
          <t>UDDEVALLA</t>
        </is>
      </c>
      <c r="G177" t="n">
        <v>4.9</v>
      </c>
      <c r="H177" t="n">
        <v>0</v>
      </c>
      <c r="I177" t="n">
        <v>3</v>
      </c>
      <c r="J177" t="n">
        <v>1</v>
      </c>
      <c r="K177" t="n">
        <v>0</v>
      </c>
      <c r="L177" t="n">
        <v>0</v>
      </c>
      <c r="M177" t="n">
        <v>0</v>
      </c>
      <c r="N177" t="n">
        <v>0</v>
      </c>
      <c r="O177" t="n">
        <v>1</v>
      </c>
      <c r="P177" t="n">
        <v>0</v>
      </c>
      <c r="Q177" t="n">
        <v>4</v>
      </c>
      <c r="R177" s="2" t="inlineStr">
        <is>
          <t>Gränsticka
Brandticka
Dunmossa
Sotriska</t>
        </is>
      </c>
      <c r="S177">
        <f>HYPERLINK("https://klasma.github.io/Logging_1485/artfynd/A 29487-2023 artfynd.xlsx", "A 29487-2023")</f>
        <v/>
      </c>
      <c r="T177">
        <f>HYPERLINK("https://klasma.github.io/Logging_1485/kartor/A 29487-2023 karta.png", "A 29487-2023")</f>
        <v/>
      </c>
      <c r="V177">
        <f>HYPERLINK("https://klasma.github.io/Logging_1485/klagomål/A 29487-2023 FSC-klagomål.docx", "A 29487-2023")</f>
        <v/>
      </c>
      <c r="W177">
        <f>HYPERLINK("https://klasma.github.io/Logging_1485/klagomålsmail/A 29487-2023 FSC-klagomål mail.docx", "A 29487-2023")</f>
        <v/>
      </c>
      <c r="X177">
        <f>HYPERLINK("https://klasma.github.io/Logging_1485/tillsyn/A 29487-2023 tillsynsbegäran.docx", "A 29487-2023")</f>
        <v/>
      </c>
      <c r="Y177">
        <f>HYPERLINK("https://klasma.github.io/Logging_1485/tillsynsmail/A 29487-2023 tillsynsbegäran mail.docx", "A 29487-2023")</f>
        <v/>
      </c>
    </row>
    <row r="178" ht="15" customHeight="1">
      <c r="A178" t="inlineStr">
        <is>
          <t>A 47703-2021</t>
        </is>
      </c>
      <c r="B178" s="1" t="n">
        <v>44448</v>
      </c>
      <c r="C178" s="1" t="n">
        <v>45952</v>
      </c>
      <c r="D178" t="inlineStr">
        <is>
          <t>VÄSTRA GÖTALANDS LÄN</t>
        </is>
      </c>
      <c r="E178" t="inlineStr">
        <is>
          <t>KARLSBORG</t>
        </is>
      </c>
      <c r="G178" t="n">
        <v>12.9</v>
      </c>
      <c r="H178" t="n">
        <v>3</v>
      </c>
      <c r="I178" t="n">
        <v>1</v>
      </c>
      <c r="J178" t="n">
        <v>2</v>
      </c>
      <c r="K178" t="n">
        <v>1</v>
      </c>
      <c r="L178" t="n">
        <v>0</v>
      </c>
      <c r="M178" t="n">
        <v>0</v>
      </c>
      <c r="N178" t="n">
        <v>0</v>
      </c>
      <c r="O178" t="n">
        <v>3</v>
      </c>
      <c r="P178" t="n">
        <v>1</v>
      </c>
      <c r="Q178" t="n">
        <v>4</v>
      </c>
      <c r="R178" s="2" t="inlineStr">
        <is>
          <t>Knärot
Spillkråka
Tretåig hackspett
Kattfotslav</t>
        </is>
      </c>
      <c r="S178">
        <f>HYPERLINK("https://klasma.github.io/Logging_1446/artfynd/A 47703-2021 artfynd.xlsx", "A 47703-2021")</f>
        <v/>
      </c>
      <c r="T178">
        <f>HYPERLINK("https://klasma.github.io/Logging_1446/kartor/A 47703-2021 karta.png", "A 47703-2021")</f>
        <v/>
      </c>
      <c r="U178">
        <f>HYPERLINK("https://klasma.github.io/Logging_1446/knärot/A 47703-2021 karta knärot.png", "A 47703-2021")</f>
        <v/>
      </c>
      <c r="V178">
        <f>HYPERLINK("https://klasma.github.io/Logging_1446/klagomål/A 47703-2021 FSC-klagomål.docx", "A 47703-2021")</f>
        <v/>
      </c>
      <c r="W178">
        <f>HYPERLINK("https://klasma.github.io/Logging_1446/klagomålsmail/A 47703-2021 FSC-klagomål mail.docx", "A 47703-2021")</f>
        <v/>
      </c>
      <c r="X178">
        <f>HYPERLINK("https://klasma.github.io/Logging_1446/tillsyn/A 47703-2021 tillsynsbegäran.docx", "A 47703-2021")</f>
        <v/>
      </c>
      <c r="Y178">
        <f>HYPERLINK("https://klasma.github.io/Logging_1446/tillsynsmail/A 47703-2021 tillsynsbegäran mail.docx", "A 47703-2021")</f>
        <v/>
      </c>
      <c r="Z178">
        <f>HYPERLINK("https://klasma.github.io/Logging_1446/fåglar/A 47703-2021 prioriterade fågelarter.docx", "A 47703-2021")</f>
        <v/>
      </c>
    </row>
    <row r="179" ht="15" customHeight="1">
      <c r="A179" t="inlineStr">
        <is>
          <t>A 49356-2021</t>
        </is>
      </c>
      <c r="B179" s="1" t="n">
        <v>44454</v>
      </c>
      <c r="C179" s="1" t="n">
        <v>45952</v>
      </c>
      <c r="D179" t="inlineStr">
        <is>
          <t>VÄSTRA GÖTALANDS LÄN</t>
        </is>
      </c>
      <c r="E179" t="inlineStr">
        <is>
          <t>STRÖMSTAD</t>
        </is>
      </c>
      <c r="G179" t="n">
        <v>7.9</v>
      </c>
      <c r="H179" t="n">
        <v>3</v>
      </c>
      <c r="I179" t="n">
        <v>1</v>
      </c>
      <c r="J179" t="n">
        <v>1</v>
      </c>
      <c r="K179" t="n">
        <v>1</v>
      </c>
      <c r="L179" t="n">
        <v>0</v>
      </c>
      <c r="M179" t="n">
        <v>0</v>
      </c>
      <c r="N179" t="n">
        <v>0</v>
      </c>
      <c r="O179" t="n">
        <v>2</v>
      </c>
      <c r="P179" t="n">
        <v>1</v>
      </c>
      <c r="Q179" t="n">
        <v>4</v>
      </c>
      <c r="R179" s="2" t="inlineStr">
        <is>
          <t>Knärot
Duvhök
Blåmossa
Revlummer</t>
        </is>
      </c>
      <c r="S179">
        <f>HYPERLINK("https://klasma.github.io/Logging_1486/artfynd/A 49356-2021 artfynd.xlsx", "A 49356-2021")</f>
        <v/>
      </c>
      <c r="T179">
        <f>HYPERLINK("https://klasma.github.io/Logging_1486/kartor/A 49356-2021 karta.png", "A 49356-2021")</f>
        <v/>
      </c>
      <c r="U179">
        <f>HYPERLINK("https://klasma.github.io/Logging_1486/knärot/A 49356-2021 karta knärot.png", "A 49356-2021")</f>
        <v/>
      </c>
      <c r="V179">
        <f>HYPERLINK("https://klasma.github.io/Logging_1486/klagomål/A 49356-2021 FSC-klagomål.docx", "A 49356-2021")</f>
        <v/>
      </c>
      <c r="W179">
        <f>HYPERLINK("https://klasma.github.io/Logging_1486/klagomålsmail/A 49356-2021 FSC-klagomål mail.docx", "A 49356-2021")</f>
        <v/>
      </c>
      <c r="X179">
        <f>HYPERLINK("https://klasma.github.io/Logging_1486/tillsyn/A 49356-2021 tillsynsbegäran.docx", "A 49356-2021")</f>
        <v/>
      </c>
      <c r="Y179">
        <f>HYPERLINK("https://klasma.github.io/Logging_1486/tillsynsmail/A 49356-2021 tillsynsbegäran mail.docx", "A 49356-2021")</f>
        <v/>
      </c>
      <c r="Z179">
        <f>HYPERLINK("https://klasma.github.io/Logging_1486/fåglar/A 49356-2021 prioriterade fågelarter.docx", "A 49356-2021")</f>
        <v/>
      </c>
    </row>
    <row r="180" ht="15" customHeight="1">
      <c r="A180" t="inlineStr">
        <is>
          <t>A 2443-2023</t>
        </is>
      </c>
      <c r="B180" s="1" t="n">
        <v>44943</v>
      </c>
      <c r="C180" s="1" t="n">
        <v>45952</v>
      </c>
      <c r="D180" t="inlineStr">
        <is>
          <t>VÄSTRA GÖTALANDS LÄN</t>
        </is>
      </c>
      <c r="E180" t="inlineStr">
        <is>
          <t>LERUM</t>
        </is>
      </c>
      <c r="G180" t="n">
        <v>3.3</v>
      </c>
      <c r="H180" t="n">
        <v>3</v>
      </c>
      <c r="I180" t="n">
        <v>1</v>
      </c>
      <c r="J180" t="n">
        <v>0</v>
      </c>
      <c r="K180" t="n">
        <v>0</v>
      </c>
      <c r="L180" t="n">
        <v>0</v>
      </c>
      <c r="M180" t="n">
        <v>0</v>
      </c>
      <c r="N180" t="n">
        <v>0</v>
      </c>
      <c r="O180" t="n">
        <v>0</v>
      </c>
      <c r="P180" t="n">
        <v>0</v>
      </c>
      <c r="Q180" t="n">
        <v>4</v>
      </c>
      <c r="R180" s="2" t="inlineStr">
        <is>
          <t>Björksplintborre
Större brunfladdermus
Vanlig padda
Vanlig snok</t>
        </is>
      </c>
      <c r="S180">
        <f>HYPERLINK("https://klasma.github.io/Logging_1441/artfynd/A 2443-2023 artfynd.xlsx", "A 2443-2023")</f>
        <v/>
      </c>
      <c r="T180">
        <f>HYPERLINK("https://klasma.github.io/Logging_1441/kartor/A 2443-2023 karta.png", "A 2443-2023")</f>
        <v/>
      </c>
      <c r="V180">
        <f>HYPERLINK("https://klasma.github.io/Logging_1441/klagomål/A 2443-2023 FSC-klagomål.docx", "A 2443-2023")</f>
        <v/>
      </c>
      <c r="W180">
        <f>HYPERLINK("https://klasma.github.io/Logging_1441/klagomålsmail/A 2443-2023 FSC-klagomål mail.docx", "A 2443-2023")</f>
        <v/>
      </c>
      <c r="X180">
        <f>HYPERLINK("https://klasma.github.io/Logging_1441/tillsyn/A 2443-2023 tillsynsbegäran.docx", "A 2443-2023")</f>
        <v/>
      </c>
      <c r="Y180">
        <f>HYPERLINK("https://klasma.github.io/Logging_1441/tillsynsmail/A 2443-2023 tillsynsbegäran mail.docx", "A 2443-2023")</f>
        <v/>
      </c>
    </row>
    <row r="181" ht="15" customHeight="1">
      <c r="A181" t="inlineStr">
        <is>
          <t>A 49930-2024</t>
        </is>
      </c>
      <c r="B181" s="1" t="n">
        <v>45597.57973379629</v>
      </c>
      <c r="C181" s="1" t="n">
        <v>45952</v>
      </c>
      <c r="D181" t="inlineStr">
        <is>
          <t>VÄSTRA GÖTALANDS LÄN</t>
        </is>
      </c>
      <c r="E181" t="inlineStr">
        <is>
          <t>ORUST</t>
        </is>
      </c>
      <c r="G181" t="n">
        <v>16.6</v>
      </c>
      <c r="H181" t="n">
        <v>2</v>
      </c>
      <c r="I181" t="n">
        <v>1</v>
      </c>
      <c r="J181" t="n">
        <v>1</v>
      </c>
      <c r="K181" t="n">
        <v>0</v>
      </c>
      <c r="L181" t="n">
        <v>0</v>
      </c>
      <c r="M181" t="n">
        <v>0</v>
      </c>
      <c r="N181" t="n">
        <v>0</v>
      </c>
      <c r="O181" t="n">
        <v>1</v>
      </c>
      <c r="P181" t="n">
        <v>0</v>
      </c>
      <c r="Q181" t="n">
        <v>4</v>
      </c>
      <c r="R181" s="2" t="inlineStr">
        <is>
          <t>Motaggsvamp
Svart trolldruva
Revlummer
Äkta lopplummer</t>
        </is>
      </c>
      <c r="S181">
        <f>HYPERLINK("https://klasma.github.io/Logging_1421/artfynd/A 49930-2024 artfynd.xlsx", "A 49930-2024")</f>
        <v/>
      </c>
      <c r="T181">
        <f>HYPERLINK("https://klasma.github.io/Logging_1421/kartor/A 49930-2024 karta.png", "A 49930-2024")</f>
        <v/>
      </c>
      <c r="V181">
        <f>HYPERLINK("https://klasma.github.io/Logging_1421/klagomål/A 49930-2024 FSC-klagomål.docx", "A 49930-2024")</f>
        <v/>
      </c>
      <c r="W181">
        <f>HYPERLINK("https://klasma.github.io/Logging_1421/klagomålsmail/A 49930-2024 FSC-klagomål mail.docx", "A 49930-2024")</f>
        <v/>
      </c>
      <c r="X181">
        <f>HYPERLINK("https://klasma.github.io/Logging_1421/tillsyn/A 49930-2024 tillsynsbegäran.docx", "A 49930-2024")</f>
        <v/>
      </c>
      <c r="Y181">
        <f>HYPERLINK("https://klasma.github.io/Logging_1421/tillsynsmail/A 49930-2024 tillsynsbegäran mail.docx", "A 49930-2024")</f>
        <v/>
      </c>
    </row>
    <row r="182" ht="15" customHeight="1">
      <c r="A182" t="inlineStr">
        <is>
          <t>A 59467-2020</t>
        </is>
      </c>
      <c r="B182" s="1" t="n">
        <v>44148</v>
      </c>
      <c r="C182" s="1" t="n">
        <v>45952</v>
      </c>
      <c r="D182" t="inlineStr">
        <is>
          <t>VÄSTRA GÖTALANDS LÄN</t>
        </is>
      </c>
      <c r="E182" t="inlineStr">
        <is>
          <t>HÄRRYDA</t>
        </is>
      </c>
      <c r="G182" t="n">
        <v>3.8</v>
      </c>
      <c r="H182" t="n">
        <v>3</v>
      </c>
      <c r="I182" t="n">
        <v>0</v>
      </c>
      <c r="J182" t="n">
        <v>0</v>
      </c>
      <c r="K182" t="n">
        <v>0</v>
      </c>
      <c r="L182" t="n">
        <v>0</v>
      </c>
      <c r="M182" t="n">
        <v>0</v>
      </c>
      <c r="N182" t="n">
        <v>0</v>
      </c>
      <c r="O182" t="n">
        <v>0</v>
      </c>
      <c r="P182" t="n">
        <v>0</v>
      </c>
      <c r="Q182" t="n">
        <v>3</v>
      </c>
      <c r="R182" s="2" t="inlineStr">
        <is>
          <t>Kungsfågel
Nattskärra
Vanlig groda</t>
        </is>
      </c>
      <c r="S182">
        <f>HYPERLINK("https://klasma.github.io/Logging_1401/artfynd/A 59467-2020 artfynd.xlsx", "A 59467-2020")</f>
        <v/>
      </c>
      <c r="T182">
        <f>HYPERLINK("https://klasma.github.io/Logging_1401/kartor/A 59467-2020 karta.png", "A 59467-2020")</f>
        <v/>
      </c>
      <c r="V182">
        <f>HYPERLINK("https://klasma.github.io/Logging_1401/klagomål/A 59467-2020 FSC-klagomål.docx", "A 59467-2020")</f>
        <v/>
      </c>
      <c r="W182">
        <f>HYPERLINK("https://klasma.github.io/Logging_1401/klagomålsmail/A 59467-2020 FSC-klagomål mail.docx", "A 59467-2020")</f>
        <v/>
      </c>
      <c r="X182">
        <f>HYPERLINK("https://klasma.github.io/Logging_1401/tillsyn/A 59467-2020 tillsynsbegäran.docx", "A 59467-2020")</f>
        <v/>
      </c>
      <c r="Y182">
        <f>HYPERLINK("https://klasma.github.io/Logging_1401/tillsynsmail/A 59467-2020 tillsynsbegäran mail.docx", "A 59467-2020")</f>
        <v/>
      </c>
      <c r="Z182">
        <f>HYPERLINK("https://klasma.github.io/Logging_1401/fåglar/A 59467-2020 prioriterade fågelarter.docx", "A 59467-2020")</f>
        <v/>
      </c>
    </row>
    <row r="183" ht="15" customHeight="1">
      <c r="A183" t="inlineStr">
        <is>
          <t>A 25441-2022</t>
        </is>
      </c>
      <c r="B183" s="1" t="n">
        <v>44732</v>
      </c>
      <c r="C183" s="1" t="n">
        <v>45952</v>
      </c>
      <c r="D183" t="inlineStr">
        <is>
          <t>VÄSTRA GÖTALANDS LÄN</t>
        </is>
      </c>
      <c r="E183" t="inlineStr">
        <is>
          <t>HÄRRYDA</t>
        </is>
      </c>
      <c r="G183" t="n">
        <v>0.5</v>
      </c>
      <c r="H183" t="n">
        <v>3</v>
      </c>
      <c r="I183" t="n">
        <v>0</v>
      </c>
      <c r="J183" t="n">
        <v>2</v>
      </c>
      <c r="K183" t="n">
        <v>0</v>
      </c>
      <c r="L183" t="n">
        <v>0</v>
      </c>
      <c r="M183" t="n">
        <v>0</v>
      </c>
      <c r="N183" t="n">
        <v>0</v>
      </c>
      <c r="O183" t="n">
        <v>2</v>
      </c>
      <c r="P183" t="n">
        <v>0</v>
      </c>
      <c r="Q183" t="n">
        <v>3</v>
      </c>
      <c r="R183" s="2" t="inlineStr">
        <is>
          <t>Spillkråka
Svartvit flugsnappare
Vanlig groda</t>
        </is>
      </c>
      <c r="S183">
        <f>HYPERLINK("https://klasma.github.io/Logging_1401/artfynd/A 25441-2022 artfynd.xlsx", "A 25441-2022")</f>
        <v/>
      </c>
      <c r="T183">
        <f>HYPERLINK("https://klasma.github.io/Logging_1401/kartor/A 25441-2022 karta.png", "A 25441-2022")</f>
        <v/>
      </c>
      <c r="V183">
        <f>HYPERLINK("https://klasma.github.io/Logging_1401/klagomål/A 25441-2022 FSC-klagomål.docx", "A 25441-2022")</f>
        <v/>
      </c>
      <c r="W183">
        <f>HYPERLINK("https://klasma.github.io/Logging_1401/klagomålsmail/A 25441-2022 FSC-klagomål mail.docx", "A 25441-2022")</f>
        <v/>
      </c>
      <c r="X183">
        <f>HYPERLINK("https://klasma.github.io/Logging_1401/tillsyn/A 25441-2022 tillsynsbegäran.docx", "A 25441-2022")</f>
        <v/>
      </c>
      <c r="Y183">
        <f>HYPERLINK("https://klasma.github.io/Logging_1401/tillsynsmail/A 25441-2022 tillsynsbegäran mail.docx", "A 25441-2022")</f>
        <v/>
      </c>
      <c r="Z183">
        <f>HYPERLINK("https://klasma.github.io/Logging_1401/fåglar/A 25441-2022 prioriterade fågelarter.docx", "A 25441-2022")</f>
        <v/>
      </c>
    </row>
    <row r="184" ht="15" customHeight="1">
      <c r="A184" t="inlineStr">
        <is>
          <t>A 18152-2022</t>
        </is>
      </c>
      <c r="B184" s="1" t="n">
        <v>44684</v>
      </c>
      <c r="C184" s="1" t="n">
        <v>45952</v>
      </c>
      <c r="D184" t="inlineStr">
        <is>
          <t>VÄSTRA GÖTALANDS LÄN</t>
        </is>
      </c>
      <c r="E184" t="inlineStr">
        <is>
          <t>VÄNERSBORG</t>
        </is>
      </c>
      <c r="G184" t="n">
        <v>1.5</v>
      </c>
      <c r="H184" t="n">
        <v>0</v>
      </c>
      <c r="I184" t="n">
        <v>1</v>
      </c>
      <c r="J184" t="n">
        <v>2</v>
      </c>
      <c r="K184" t="n">
        <v>0</v>
      </c>
      <c r="L184" t="n">
        <v>0</v>
      </c>
      <c r="M184" t="n">
        <v>0</v>
      </c>
      <c r="N184" t="n">
        <v>0</v>
      </c>
      <c r="O184" t="n">
        <v>2</v>
      </c>
      <c r="P184" t="n">
        <v>0</v>
      </c>
      <c r="Q184" t="n">
        <v>3</v>
      </c>
      <c r="R184" s="2" t="inlineStr">
        <is>
          <t>Skogssvingel
Slåtterfibbla
Sårläka</t>
        </is>
      </c>
      <c r="S184">
        <f>HYPERLINK("https://klasma.github.io/Logging_1487/artfynd/A 18152-2022 artfynd.xlsx", "A 18152-2022")</f>
        <v/>
      </c>
      <c r="T184">
        <f>HYPERLINK("https://klasma.github.io/Logging_1487/kartor/A 18152-2022 karta.png", "A 18152-2022")</f>
        <v/>
      </c>
      <c r="V184">
        <f>HYPERLINK("https://klasma.github.io/Logging_1487/klagomål/A 18152-2022 FSC-klagomål.docx", "A 18152-2022")</f>
        <v/>
      </c>
      <c r="W184">
        <f>HYPERLINK("https://klasma.github.io/Logging_1487/klagomålsmail/A 18152-2022 FSC-klagomål mail.docx", "A 18152-2022")</f>
        <v/>
      </c>
      <c r="X184">
        <f>HYPERLINK("https://klasma.github.io/Logging_1487/tillsyn/A 18152-2022 tillsynsbegäran.docx", "A 18152-2022")</f>
        <v/>
      </c>
      <c r="Y184">
        <f>HYPERLINK("https://klasma.github.io/Logging_1487/tillsynsmail/A 18152-2022 tillsynsbegäran mail.docx", "A 18152-2022")</f>
        <v/>
      </c>
    </row>
    <row r="185" ht="15" customHeight="1">
      <c r="A185" t="inlineStr">
        <is>
          <t>A 8807-2022</t>
        </is>
      </c>
      <c r="B185" s="1" t="n">
        <v>44614</v>
      </c>
      <c r="C185" s="1" t="n">
        <v>45952</v>
      </c>
      <c r="D185" t="inlineStr">
        <is>
          <t>VÄSTRA GÖTALANDS LÄN</t>
        </is>
      </c>
      <c r="E185" t="inlineStr">
        <is>
          <t>SKARA</t>
        </is>
      </c>
      <c r="F185" t="inlineStr">
        <is>
          <t>Kyrkan</t>
        </is>
      </c>
      <c r="G185" t="n">
        <v>8.9</v>
      </c>
      <c r="H185" t="n">
        <v>1</v>
      </c>
      <c r="I185" t="n">
        <v>2</v>
      </c>
      <c r="J185" t="n">
        <v>0</v>
      </c>
      <c r="K185" t="n">
        <v>0</v>
      </c>
      <c r="L185" t="n">
        <v>0</v>
      </c>
      <c r="M185" t="n">
        <v>0</v>
      </c>
      <c r="N185" t="n">
        <v>0</v>
      </c>
      <c r="O185" t="n">
        <v>0</v>
      </c>
      <c r="P185" t="n">
        <v>0</v>
      </c>
      <c r="Q185" t="n">
        <v>3</v>
      </c>
      <c r="R185" s="2" t="inlineStr">
        <is>
          <t>Brandticka
Grovticka
Revlummer</t>
        </is>
      </c>
      <c r="S185">
        <f>HYPERLINK("https://klasma.github.io/Logging_1495/artfynd/A 8807-2022 artfynd.xlsx", "A 8807-2022")</f>
        <v/>
      </c>
      <c r="T185">
        <f>HYPERLINK("https://klasma.github.io/Logging_1495/kartor/A 8807-2022 karta.png", "A 8807-2022")</f>
        <v/>
      </c>
      <c r="V185">
        <f>HYPERLINK("https://klasma.github.io/Logging_1495/klagomål/A 8807-2022 FSC-klagomål.docx", "A 8807-2022")</f>
        <v/>
      </c>
      <c r="W185">
        <f>HYPERLINK("https://klasma.github.io/Logging_1495/klagomålsmail/A 8807-2022 FSC-klagomål mail.docx", "A 8807-2022")</f>
        <v/>
      </c>
      <c r="X185">
        <f>HYPERLINK("https://klasma.github.io/Logging_1495/tillsyn/A 8807-2022 tillsynsbegäran.docx", "A 8807-2022")</f>
        <v/>
      </c>
      <c r="Y185">
        <f>HYPERLINK("https://klasma.github.io/Logging_1495/tillsynsmail/A 8807-2022 tillsynsbegäran mail.docx", "A 8807-2022")</f>
        <v/>
      </c>
    </row>
    <row r="186" ht="15" customHeight="1">
      <c r="A186" t="inlineStr">
        <is>
          <t>A 1383-2021</t>
        </is>
      </c>
      <c r="B186" s="1" t="n">
        <v>44208</v>
      </c>
      <c r="C186" s="1" t="n">
        <v>45952</v>
      </c>
      <c r="D186" t="inlineStr">
        <is>
          <t>VÄSTRA GÖTALANDS LÄN</t>
        </is>
      </c>
      <c r="E186" t="inlineStr">
        <is>
          <t>MELLERUD</t>
        </is>
      </c>
      <c r="G186" t="n">
        <v>4.5</v>
      </c>
      <c r="H186" t="n">
        <v>1</v>
      </c>
      <c r="I186" t="n">
        <v>2</v>
      </c>
      <c r="J186" t="n">
        <v>0</v>
      </c>
      <c r="K186" t="n">
        <v>1</v>
      </c>
      <c r="L186" t="n">
        <v>0</v>
      </c>
      <c r="M186" t="n">
        <v>0</v>
      </c>
      <c r="N186" t="n">
        <v>0</v>
      </c>
      <c r="O186" t="n">
        <v>1</v>
      </c>
      <c r="P186" t="n">
        <v>1</v>
      </c>
      <c r="Q186" t="n">
        <v>3</v>
      </c>
      <c r="R186" s="2" t="inlineStr">
        <is>
          <t>Uddbräken
Kambräken
Tibast</t>
        </is>
      </c>
      <c r="S186">
        <f>HYPERLINK("https://klasma.github.io/Logging_1461/artfynd/A 1383-2021 artfynd.xlsx", "A 1383-2021")</f>
        <v/>
      </c>
      <c r="T186">
        <f>HYPERLINK("https://klasma.github.io/Logging_1461/kartor/A 1383-2021 karta.png", "A 1383-2021")</f>
        <v/>
      </c>
      <c r="V186">
        <f>HYPERLINK("https://klasma.github.io/Logging_1461/klagomål/A 1383-2021 FSC-klagomål.docx", "A 1383-2021")</f>
        <v/>
      </c>
      <c r="W186">
        <f>HYPERLINK("https://klasma.github.io/Logging_1461/klagomålsmail/A 1383-2021 FSC-klagomål mail.docx", "A 1383-2021")</f>
        <v/>
      </c>
      <c r="X186">
        <f>HYPERLINK("https://klasma.github.io/Logging_1461/tillsyn/A 1383-2021 tillsynsbegäran.docx", "A 1383-2021")</f>
        <v/>
      </c>
      <c r="Y186">
        <f>HYPERLINK("https://klasma.github.io/Logging_1461/tillsynsmail/A 1383-2021 tillsynsbegäran mail.docx", "A 1383-2021")</f>
        <v/>
      </c>
    </row>
    <row r="187" ht="15" customHeight="1">
      <c r="A187" t="inlineStr">
        <is>
          <t>A 35302-2021</t>
        </is>
      </c>
      <c r="B187" s="1" t="n">
        <v>44384</v>
      </c>
      <c r="C187" s="1" t="n">
        <v>45952</v>
      </c>
      <c r="D187" t="inlineStr">
        <is>
          <t>VÄSTRA GÖTALANDS LÄN</t>
        </is>
      </c>
      <c r="E187" t="inlineStr">
        <is>
          <t>GRÄSTORP</t>
        </is>
      </c>
      <c r="F187" t="inlineStr">
        <is>
          <t>Sveaskog</t>
        </is>
      </c>
      <c r="G187" t="n">
        <v>12.8</v>
      </c>
      <c r="H187" t="n">
        <v>3</v>
      </c>
      <c r="I187" t="n">
        <v>0</v>
      </c>
      <c r="J187" t="n">
        <v>3</v>
      </c>
      <c r="K187" t="n">
        <v>0</v>
      </c>
      <c r="L187" t="n">
        <v>0</v>
      </c>
      <c r="M187" t="n">
        <v>0</v>
      </c>
      <c r="N187" t="n">
        <v>0</v>
      </c>
      <c r="O187" t="n">
        <v>3</v>
      </c>
      <c r="P187" t="n">
        <v>0</v>
      </c>
      <c r="Q187" t="n">
        <v>3</v>
      </c>
      <c r="R187" s="2" t="inlineStr">
        <is>
          <t>Duvhök
Spillkråka
Talltita</t>
        </is>
      </c>
      <c r="S187">
        <f>HYPERLINK("https://klasma.github.io/Logging_1444/artfynd/A 35302-2021 artfynd.xlsx", "A 35302-2021")</f>
        <v/>
      </c>
      <c r="T187">
        <f>HYPERLINK("https://klasma.github.io/Logging_1444/kartor/A 35302-2021 karta.png", "A 35302-2021")</f>
        <v/>
      </c>
      <c r="V187">
        <f>HYPERLINK("https://klasma.github.io/Logging_1444/klagomål/A 35302-2021 FSC-klagomål.docx", "A 35302-2021")</f>
        <v/>
      </c>
      <c r="W187">
        <f>HYPERLINK("https://klasma.github.io/Logging_1444/klagomålsmail/A 35302-2021 FSC-klagomål mail.docx", "A 35302-2021")</f>
        <v/>
      </c>
      <c r="X187">
        <f>HYPERLINK("https://klasma.github.io/Logging_1444/tillsyn/A 35302-2021 tillsynsbegäran.docx", "A 35302-2021")</f>
        <v/>
      </c>
      <c r="Y187">
        <f>HYPERLINK("https://klasma.github.io/Logging_1444/tillsynsmail/A 35302-2021 tillsynsbegäran mail.docx", "A 35302-2021")</f>
        <v/>
      </c>
      <c r="Z187">
        <f>HYPERLINK("https://klasma.github.io/Logging_1444/fåglar/A 35302-2021 prioriterade fågelarter.docx", "A 35302-2021")</f>
        <v/>
      </c>
    </row>
    <row r="188" ht="15" customHeight="1">
      <c r="A188" t="inlineStr">
        <is>
          <t>A 20145-2021</t>
        </is>
      </c>
      <c r="B188" s="1" t="n">
        <v>44314</v>
      </c>
      <c r="C188" s="1" t="n">
        <v>45952</v>
      </c>
      <c r="D188" t="inlineStr">
        <is>
          <t>VÄSTRA GÖTALANDS LÄN</t>
        </is>
      </c>
      <c r="E188" t="inlineStr">
        <is>
          <t>BORÅS</t>
        </is>
      </c>
      <c r="G188" t="n">
        <v>5.8</v>
      </c>
      <c r="H188" t="n">
        <v>0</v>
      </c>
      <c r="I188" t="n">
        <v>3</v>
      </c>
      <c r="J188" t="n">
        <v>0</v>
      </c>
      <c r="K188" t="n">
        <v>0</v>
      </c>
      <c r="L188" t="n">
        <v>0</v>
      </c>
      <c r="M188" t="n">
        <v>0</v>
      </c>
      <c r="N188" t="n">
        <v>0</v>
      </c>
      <c r="O188" t="n">
        <v>0</v>
      </c>
      <c r="P188" t="n">
        <v>0</v>
      </c>
      <c r="Q188" t="n">
        <v>3</v>
      </c>
      <c r="R188" s="2" t="inlineStr">
        <is>
          <t>Stor revmossa
Tibast
Västlig hakmossa</t>
        </is>
      </c>
      <c r="S188">
        <f>HYPERLINK("https://klasma.github.io/Logging_1490/artfynd/A 20145-2021 artfynd.xlsx", "A 20145-2021")</f>
        <v/>
      </c>
      <c r="T188">
        <f>HYPERLINK("https://klasma.github.io/Logging_1490/kartor/A 20145-2021 karta.png", "A 20145-2021")</f>
        <v/>
      </c>
      <c r="V188">
        <f>HYPERLINK("https://klasma.github.io/Logging_1490/klagomål/A 20145-2021 FSC-klagomål.docx", "A 20145-2021")</f>
        <v/>
      </c>
      <c r="W188">
        <f>HYPERLINK("https://klasma.github.io/Logging_1490/klagomålsmail/A 20145-2021 FSC-klagomål mail.docx", "A 20145-2021")</f>
        <v/>
      </c>
      <c r="X188">
        <f>HYPERLINK("https://klasma.github.io/Logging_1490/tillsyn/A 20145-2021 tillsynsbegäran.docx", "A 20145-2021")</f>
        <v/>
      </c>
      <c r="Y188">
        <f>HYPERLINK("https://klasma.github.io/Logging_1490/tillsynsmail/A 20145-2021 tillsynsbegäran mail.docx", "A 20145-2021")</f>
        <v/>
      </c>
    </row>
    <row r="189" ht="15" customHeight="1">
      <c r="A189" t="inlineStr">
        <is>
          <t>A 72588-2021</t>
        </is>
      </c>
      <c r="B189" s="1" t="n">
        <v>44546</v>
      </c>
      <c r="C189" s="1" t="n">
        <v>45952</v>
      </c>
      <c r="D189" t="inlineStr">
        <is>
          <t>VÄSTRA GÖTALANDS LÄN</t>
        </is>
      </c>
      <c r="E189" t="inlineStr">
        <is>
          <t>ORUST</t>
        </is>
      </c>
      <c r="G189" t="n">
        <v>21.8</v>
      </c>
      <c r="H189" t="n">
        <v>2</v>
      </c>
      <c r="I189" t="n">
        <v>1</v>
      </c>
      <c r="J189" t="n">
        <v>1</v>
      </c>
      <c r="K189" t="n">
        <v>1</v>
      </c>
      <c r="L189" t="n">
        <v>0</v>
      </c>
      <c r="M189" t="n">
        <v>0</v>
      </c>
      <c r="N189" t="n">
        <v>0</v>
      </c>
      <c r="O189" t="n">
        <v>2</v>
      </c>
      <c r="P189" t="n">
        <v>1</v>
      </c>
      <c r="Q189" t="n">
        <v>3</v>
      </c>
      <c r="R189" s="2" t="inlineStr">
        <is>
          <t>Knärot
Spillkråka
Kambräken</t>
        </is>
      </c>
      <c r="S189">
        <f>HYPERLINK("https://klasma.github.io/Logging_1421/artfynd/A 72588-2021 artfynd.xlsx", "A 72588-2021")</f>
        <v/>
      </c>
      <c r="T189">
        <f>HYPERLINK("https://klasma.github.io/Logging_1421/kartor/A 72588-2021 karta.png", "A 72588-2021")</f>
        <v/>
      </c>
      <c r="U189">
        <f>HYPERLINK("https://klasma.github.io/Logging_1421/knärot/A 72588-2021 karta knärot.png", "A 72588-2021")</f>
        <v/>
      </c>
      <c r="V189">
        <f>HYPERLINK("https://klasma.github.io/Logging_1421/klagomål/A 72588-2021 FSC-klagomål.docx", "A 72588-2021")</f>
        <v/>
      </c>
      <c r="W189">
        <f>HYPERLINK("https://klasma.github.io/Logging_1421/klagomålsmail/A 72588-2021 FSC-klagomål mail.docx", "A 72588-2021")</f>
        <v/>
      </c>
      <c r="X189">
        <f>HYPERLINK("https://klasma.github.io/Logging_1421/tillsyn/A 72588-2021 tillsynsbegäran.docx", "A 72588-2021")</f>
        <v/>
      </c>
      <c r="Y189">
        <f>HYPERLINK("https://klasma.github.io/Logging_1421/tillsynsmail/A 72588-2021 tillsynsbegäran mail.docx", "A 72588-2021")</f>
        <v/>
      </c>
      <c r="Z189">
        <f>HYPERLINK("https://klasma.github.io/Logging_1421/fåglar/A 72588-2021 prioriterade fågelarter.docx", "A 72588-2021")</f>
        <v/>
      </c>
    </row>
    <row r="190" ht="15" customHeight="1">
      <c r="A190" t="inlineStr">
        <is>
          <t>A 51221-2022</t>
        </is>
      </c>
      <c r="B190" s="1" t="n">
        <v>44868</v>
      </c>
      <c r="C190" s="1" t="n">
        <v>45952</v>
      </c>
      <c r="D190" t="inlineStr">
        <is>
          <t>VÄSTRA GÖTALANDS LÄN</t>
        </is>
      </c>
      <c r="E190" t="inlineStr">
        <is>
          <t>ALINGSÅS</t>
        </is>
      </c>
      <c r="G190" t="n">
        <v>1.4</v>
      </c>
      <c r="H190" t="n">
        <v>2</v>
      </c>
      <c r="I190" t="n">
        <v>1</v>
      </c>
      <c r="J190" t="n">
        <v>2</v>
      </c>
      <c r="K190" t="n">
        <v>0</v>
      </c>
      <c r="L190" t="n">
        <v>0</v>
      </c>
      <c r="M190" t="n">
        <v>0</v>
      </c>
      <c r="N190" t="n">
        <v>0</v>
      </c>
      <c r="O190" t="n">
        <v>2</v>
      </c>
      <c r="P190" t="n">
        <v>0</v>
      </c>
      <c r="Q190" t="n">
        <v>3</v>
      </c>
      <c r="R190" s="2" t="inlineStr">
        <is>
          <t>Entita
Gulsparv
Tibast</t>
        </is>
      </c>
      <c r="S190">
        <f>HYPERLINK("https://klasma.github.io/Logging_1489/artfynd/A 51221-2022 artfynd.xlsx", "A 51221-2022")</f>
        <v/>
      </c>
      <c r="T190">
        <f>HYPERLINK("https://klasma.github.io/Logging_1489/kartor/A 51221-2022 karta.png", "A 51221-2022")</f>
        <v/>
      </c>
      <c r="V190">
        <f>HYPERLINK("https://klasma.github.io/Logging_1489/klagomål/A 51221-2022 FSC-klagomål.docx", "A 51221-2022")</f>
        <v/>
      </c>
      <c r="W190">
        <f>HYPERLINK("https://klasma.github.io/Logging_1489/klagomålsmail/A 51221-2022 FSC-klagomål mail.docx", "A 51221-2022")</f>
        <v/>
      </c>
      <c r="X190">
        <f>HYPERLINK("https://klasma.github.io/Logging_1489/tillsyn/A 51221-2022 tillsynsbegäran.docx", "A 51221-2022")</f>
        <v/>
      </c>
      <c r="Y190">
        <f>HYPERLINK("https://klasma.github.io/Logging_1489/tillsynsmail/A 51221-2022 tillsynsbegäran mail.docx", "A 51221-2022")</f>
        <v/>
      </c>
      <c r="Z190">
        <f>HYPERLINK("https://klasma.github.io/Logging_1489/fåglar/A 51221-2022 prioriterade fågelarter.docx", "A 51221-2022")</f>
        <v/>
      </c>
    </row>
    <row r="191" ht="15" customHeight="1">
      <c r="A191" t="inlineStr">
        <is>
          <t>A 57107-2020</t>
        </is>
      </c>
      <c r="B191" s="1" t="n">
        <v>44139</v>
      </c>
      <c r="C191" s="1" t="n">
        <v>45952</v>
      </c>
      <c r="D191" t="inlineStr">
        <is>
          <t>VÄSTRA GÖTALANDS LÄN</t>
        </is>
      </c>
      <c r="E191" t="inlineStr">
        <is>
          <t>STRÖMSTAD</t>
        </is>
      </c>
      <c r="G191" t="n">
        <v>3.6</v>
      </c>
      <c r="H191" t="n">
        <v>0</v>
      </c>
      <c r="I191" t="n">
        <v>3</v>
      </c>
      <c r="J191" t="n">
        <v>0</v>
      </c>
      <c r="K191" t="n">
        <v>0</v>
      </c>
      <c r="L191" t="n">
        <v>0</v>
      </c>
      <c r="M191" t="n">
        <v>0</v>
      </c>
      <c r="N191" t="n">
        <v>0</v>
      </c>
      <c r="O191" t="n">
        <v>0</v>
      </c>
      <c r="P191" t="n">
        <v>0</v>
      </c>
      <c r="Q191" t="n">
        <v>3</v>
      </c>
      <c r="R191" s="2" t="inlineStr">
        <is>
          <t>Aspvedgnagare
Granbarkgnagare
Guldlockmossa</t>
        </is>
      </c>
      <c r="S191">
        <f>HYPERLINK("https://klasma.github.io/Logging_1486/artfynd/A 57107-2020 artfynd.xlsx", "A 57107-2020")</f>
        <v/>
      </c>
      <c r="T191">
        <f>HYPERLINK("https://klasma.github.io/Logging_1486/kartor/A 57107-2020 karta.png", "A 57107-2020")</f>
        <v/>
      </c>
      <c r="V191">
        <f>HYPERLINK("https://klasma.github.io/Logging_1486/klagomål/A 57107-2020 FSC-klagomål.docx", "A 57107-2020")</f>
        <v/>
      </c>
      <c r="W191">
        <f>HYPERLINK("https://klasma.github.io/Logging_1486/klagomålsmail/A 57107-2020 FSC-klagomål mail.docx", "A 57107-2020")</f>
        <v/>
      </c>
      <c r="X191">
        <f>HYPERLINK("https://klasma.github.io/Logging_1486/tillsyn/A 57107-2020 tillsynsbegäran.docx", "A 57107-2020")</f>
        <v/>
      </c>
      <c r="Y191">
        <f>HYPERLINK("https://klasma.github.io/Logging_1486/tillsynsmail/A 57107-2020 tillsynsbegäran mail.docx", "A 57107-2020")</f>
        <v/>
      </c>
    </row>
    <row r="192" ht="15" customHeight="1">
      <c r="A192" t="inlineStr">
        <is>
          <t>A 10833-2025</t>
        </is>
      </c>
      <c r="B192" s="1" t="n">
        <v>45722.5666550926</v>
      </c>
      <c r="C192" s="1" t="n">
        <v>45952</v>
      </c>
      <c r="D192" t="inlineStr">
        <is>
          <t>VÄSTRA GÖTALANDS LÄN</t>
        </is>
      </c>
      <c r="E192" t="inlineStr">
        <is>
          <t>TÖREBODA</t>
        </is>
      </c>
      <c r="G192" t="n">
        <v>24.6</v>
      </c>
      <c r="H192" t="n">
        <v>3</v>
      </c>
      <c r="I192" t="n">
        <v>0</v>
      </c>
      <c r="J192" t="n">
        <v>0</v>
      </c>
      <c r="K192" t="n">
        <v>0</v>
      </c>
      <c r="L192" t="n">
        <v>0</v>
      </c>
      <c r="M192" t="n">
        <v>0</v>
      </c>
      <c r="N192" t="n">
        <v>0</v>
      </c>
      <c r="O192" t="n">
        <v>0</v>
      </c>
      <c r="P192" t="n">
        <v>0</v>
      </c>
      <c r="Q192" t="n">
        <v>3</v>
      </c>
      <c r="R192" s="2" t="inlineStr">
        <is>
          <t>Grönvit nattviol
Mattlummer
Revlummer</t>
        </is>
      </c>
      <c r="S192">
        <f>HYPERLINK("https://klasma.github.io/Logging_1473/artfynd/A 10833-2025 artfynd.xlsx", "A 10833-2025")</f>
        <v/>
      </c>
      <c r="T192">
        <f>HYPERLINK("https://klasma.github.io/Logging_1473/kartor/A 10833-2025 karta.png", "A 10833-2025")</f>
        <v/>
      </c>
      <c r="V192">
        <f>HYPERLINK("https://klasma.github.io/Logging_1473/klagomål/A 10833-2025 FSC-klagomål.docx", "A 10833-2025")</f>
        <v/>
      </c>
      <c r="W192">
        <f>HYPERLINK("https://klasma.github.io/Logging_1473/klagomålsmail/A 10833-2025 FSC-klagomål mail.docx", "A 10833-2025")</f>
        <v/>
      </c>
      <c r="X192">
        <f>HYPERLINK("https://klasma.github.io/Logging_1473/tillsyn/A 10833-2025 tillsynsbegäran.docx", "A 10833-2025")</f>
        <v/>
      </c>
      <c r="Y192">
        <f>HYPERLINK("https://klasma.github.io/Logging_1473/tillsynsmail/A 10833-2025 tillsynsbegäran mail.docx", "A 10833-2025")</f>
        <v/>
      </c>
    </row>
    <row r="193" ht="15" customHeight="1">
      <c r="A193" t="inlineStr">
        <is>
          <t>A 17615-2025</t>
        </is>
      </c>
      <c r="B193" s="1" t="n">
        <v>45757.80203703704</v>
      </c>
      <c r="C193" s="1" t="n">
        <v>45952</v>
      </c>
      <c r="D193" t="inlineStr">
        <is>
          <t>VÄSTRA GÖTALANDS LÄN</t>
        </is>
      </c>
      <c r="E193" t="inlineStr">
        <is>
          <t>TÖREBODA</t>
        </is>
      </c>
      <c r="G193" t="n">
        <v>7</v>
      </c>
      <c r="H193" t="n">
        <v>1</v>
      </c>
      <c r="I193" t="n">
        <v>2</v>
      </c>
      <c r="J193" t="n">
        <v>0</v>
      </c>
      <c r="K193" t="n">
        <v>0</v>
      </c>
      <c r="L193" t="n">
        <v>0</v>
      </c>
      <c r="M193" t="n">
        <v>0</v>
      </c>
      <c r="N193" t="n">
        <v>0</v>
      </c>
      <c r="O193" t="n">
        <v>0</v>
      </c>
      <c r="P193" t="n">
        <v>0</v>
      </c>
      <c r="Q193" t="n">
        <v>3</v>
      </c>
      <c r="R193" s="2" t="inlineStr">
        <is>
          <t>Brandticka
Större träfjäril
Mattlummer</t>
        </is>
      </c>
      <c r="S193">
        <f>HYPERLINK("https://klasma.github.io/Logging_1473/artfynd/A 17615-2025 artfynd.xlsx", "A 17615-2025")</f>
        <v/>
      </c>
      <c r="T193">
        <f>HYPERLINK("https://klasma.github.io/Logging_1473/kartor/A 17615-2025 karta.png", "A 17615-2025")</f>
        <v/>
      </c>
      <c r="V193">
        <f>HYPERLINK("https://klasma.github.io/Logging_1473/klagomål/A 17615-2025 FSC-klagomål.docx", "A 17615-2025")</f>
        <v/>
      </c>
      <c r="W193">
        <f>HYPERLINK("https://klasma.github.io/Logging_1473/klagomålsmail/A 17615-2025 FSC-klagomål mail.docx", "A 17615-2025")</f>
        <v/>
      </c>
      <c r="X193">
        <f>HYPERLINK("https://klasma.github.io/Logging_1473/tillsyn/A 17615-2025 tillsynsbegäran.docx", "A 17615-2025")</f>
        <v/>
      </c>
      <c r="Y193">
        <f>HYPERLINK("https://klasma.github.io/Logging_1473/tillsynsmail/A 17615-2025 tillsynsbegäran mail.docx", "A 17615-2025")</f>
        <v/>
      </c>
    </row>
    <row r="194" ht="15" customHeight="1">
      <c r="A194" t="inlineStr">
        <is>
          <t>A 23414-2023</t>
        </is>
      </c>
      <c r="B194" s="1" t="n">
        <v>45076</v>
      </c>
      <c r="C194" s="1" t="n">
        <v>45952</v>
      </c>
      <c r="D194" t="inlineStr">
        <is>
          <t>VÄSTRA GÖTALANDS LÄN</t>
        </is>
      </c>
      <c r="E194" t="inlineStr">
        <is>
          <t>GÖTENE</t>
        </is>
      </c>
      <c r="G194" t="n">
        <v>3.1</v>
      </c>
      <c r="H194" t="n">
        <v>1</v>
      </c>
      <c r="I194" t="n">
        <v>1</v>
      </c>
      <c r="J194" t="n">
        <v>0</v>
      </c>
      <c r="K194" t="n">
        <v>0</v>
      </c>
      <c r="L194" t="n">
        <v>1</v>
      </c>
      <c r="M194" t="n">
        <v>0</v>
      </c>
      <c r="N194" t="n">
        <v>0</v>
      </c>
      <c r="O194" t="n">
        <v>1</v>
      </c>
      <c r="P194" t="n">
        <v>1</v>
      </c>
      <c r="Q194" t="n">
        <v>3</v>
      </c>
      <c r="R194" s="2" t="inlineStr">
        <is>
          <t>Ask
Scharlakansskål
Pärluggla</t>
        </is>
      </c>
      <c r="S194">
        <f>HYPERLINK("https://klasma.github.io/Logging_1471/artfynd/A 23414-2023 artfynd.xlsx", "A 23414-2023")</f>
        <v/>
      </c>
      <c r="T194">
        <f>HYPERLINK("https://klasma.github.io/Logging_1471/kartor/A 23414-2023 karta.png", "A 23414-2023")</f>
        <v/>
      </c>
      <c r="V194">
        <f>HYPERLINK("https://klasma.github.io/Logging_1471/klagomål/A 23414-2023 FSC-klagomål.docx", "A 23414-2023")</f>
        <v/>
      </c>
      <c r="W194">
        <f>HYPERLINK("https://klasma.github.io/Logging_1471/klagomålsmail/A 23414-2023 FSC-klagomål mail.docx", "A 23414-2023")</f>
        <v/>
      </c>
      <c r="X194">
        <f>HYPERLINK("https://klasma.github.io/Logging_1471/tillsyn/A 23414-2023 tillsynsbegäran.docx", "A 23414-2023")</f>
        <v/>
      </c>
      <c r="Y194">
        <f>HYPERLINK("https://klasma.github.io/Logging_1471/tillsynsmail/A 23414-2023 tillsynsbegäran mail.docx", "A 23414-2023")</f>
        <v/>
      </c>
      <c r="Z194">
        <f>HYPERLINK("https://klasma.github.io/Logging_1471/fåglar/A 23414-2023 prioriterade fågelarter.docx", "A 23414-2023")</f>
        <v/>
      </c>
    </row>
    <row r="195" ht="15" customHeight="1">
      <c r="A195" t="inlineStr">
        <is>
          <t>A 57325-2020</t>
        </is>
      </c>
      <c r="B195" s="1" t="n">
        <v>44139</v>
      </c>
      <c r="C195" s="1" t="n">
        <v>45952</v>
      </c>
      <c r="D195" t="inlineStr">
        <is>
          <t>VÄSTRA GÖTALANDS LÄN</t>
        </is>
      </c>
      <c r="E195" t="inlineStr">
        <is>
          <t>UDDEVALLA</t>
        </is>
      </c>
      <c r="G195" t="n">
        <v>10.7</v>
      </c>
      <c r="H195" t="n">
        <v>3</v>
      </c>
      <c r="I195" t="n">
        <v>0</v>
      </c>
      <c r="J195" t="n">
        <v>2</v>
      </c>
      <c r="K195" t="n">
        <v>1</v>
      </c>
      <c r="L195" t="n">
        <v>0</v>
      </c>
      <c r="M195" t="n">
        <v>0</v>
      </c>
      <c r="N195" t="n">
        <v>0</v>
      </c>
      <c r="O195" t="n">
        <v>3</v>
      </c>
      <c r="P195" t="n">
        <v>1</v>
      </c>
      <c r="Q195" t="n">
        <v>3</v>
      </c>
      <c r="R195" s="2" t="inlineStr">
        <is>
          <t>Knärot
Fjällvråk
Spillkråka</t>
        </is>
      </c>
      <c r="S195">
        <f>HYPERLINK("https://klasma.github.io/Logging_1485/artfynd/A 57325-2020 artfynd.xlsx", "A 57325-2020")</f>
        <v/>
      </c>
      <c r="T195">
        <f>HYPERLINK("https://klasma.github.io/Logging_1485/kartor/A 57325-2020 karta.png", "A 57325-2020")</f>
        <v/>
      </c>
      <c r="U195">
        <f>HYPERLINK("https://klasma.github.io/Logging_1485/knärot/A 57325-2020 karta knärot.png", "A 57325-2020")</f>
        <v/>
      </c>
      <c r="V195">
        <f>HYPERLINK("https://klasma.github.io/Logging_1485/klagomål/A 57325-2020 FSC-klagomål.docx", "A 57325-2020")</f>
        <v/>
      </c>
      <c r="W195">
        <f>HYPERLINK("https://klasma.github.io/Logging_1485/klagomålsmail/A 57325-2020 FSC-klagomål mail.docx", "A 57325-2020")</f>
        <v/>
      </c>
      <c r="X195">
        <f>HYPERLINK("https://klasma.github.io/Logging_1485/tillsyn/A 57325-2020 tillsynsbegäran.docx", "A 57325-2020")</f>
        <v/>
      </c>
      <c r="Y195">
        <f>HYPERLINK("https://klasma.github.io/Logging_1485/tillsynsmail/A 57325-2020 tillsynsbegäran mail.docx", "A 57325-2020")</f>
        <v/>
      </c>
      <c r="Z195">
        <f>HYPERLINK("https://klasma.github.io/Logging_1485/fåglar/A 57325-2020 prioriterade fågelarter.docx", "A 57325-2020")</f>
        <v/>
      </c>
    </row>
    <row r="196" ht="15" customHeight="1">
      <c r="A196" t="inlineStr">
        <is>
          <t>A 15201-2025</t>
        </is>
      </c>
      <c r="B196" s="1" t="n">
        <v>45744.56789351852</v>
      </c>
      <c r="C196" s="1" t="n">
        <v>45952</v>
      </c>
      <c r="D196" t="inlineStr">
        <is>
          <t>VÄSTRA GÖTALANDS LÄN</t>
        </is>
      </c>
      <c r="E196" t="inlineStr">
        <is>
          <t>BENGTSFORS</t>
        </is>
      </c>
      <c r="G196" t="n">
        <v>2.3</v>
      </c>
      <c r="H196" t="n">
        <v>1</v>
      </c>
      <c r="I196" t="n">
        <v>2</v>
      </c>
      <c r="J196" t="n">
        <v>0</v>
      </c>
      <c r="K196" t="n">
        <v>0</v>
      </c>
      <c r="L196" t="n">
        <v>0</v>
      </c>
      <c r="M196" t="n">
        <v>0</v>
      </c>
      <c r="N196" t="n">
        <v>0</v>
      </c>
      <c r="O196" t="n">
        <v>0</v>
      </c>
      <c r="P196" t="n">
        <v>0</v>
      </c>
      <c r="Q196" t="n">
        <v>3</v>
      </c>
      <c r="R196" s="2" t="inlineStr">
        <is>
          <t>Grovticka
Svart trolldruva
Kungsfågel</t>
        </is>
      </c>
      <c r="S196">
        <f>HYPERLINK("https://klasma.github.io/Logging_1460/artfynd/A 15201-2025 artfynd.xlsx", "A 15201-2025")</f>
        <v/>
      </c>
      <c r="T196">
        <f>HYPERLINK("https://klasma.github.io/Logging_1460/kartor/A 15201-2025 karta.png", "A 15201-2025")</f>
        <v/>
      </c>
      <c r="V196">
        <f>HYPERLINK("https://klasma.github.io/Logging_1460/klagomål/A 15201-2025 FSC-klagomål.docx", "A 15201-2025")</f>
        <v/>
      </c>
      <c r="W196">
        <f>HYPERLINK("https://klasma.github.io/Logging_1460/klagomålsmail/A 15201-2025 FSC-klagomål mail.docx", "A 15201-2025")</f>
        <v/>
      </c>
      <c r="X196">
        <f>HYPERLINK("https://klasma.github.io/Logging_1460/tillsyn/A 15201-2025 tillsynsbegäran.docx", "A 15201-2025")</f>
        <v/>
      </c>
      <c r="Y196">
        <f>HYPERLINK("https://klasma.github.io/Logging_1460/tillsynsmail/A 15201-2025 tillsynsbegäran mail.docx", "A 15201-2025")</f>
        <v/>
      </c>
      <c r="Z196">
        <f>HYPERLINK("https://klasma.github.io/Logging_1460/fåglar/A 15201-2025 prioriterade fågelarter.docx", "A 15201-2025")</f>
        <v/>
      </c>
    </row>
    <row r="197" ht="15" customHeight="1">
      <c r="A197" t="inlineStr">
        <is>
          <t>A 17541-2021</t>
        </is>
      </c>
      <c r="B197" s="1" t="n">
        <v>44299</v>
      </c>
      <c r="C197" s="1" t="n">
        <v>45952</v>
      </c>
      <c r="D197" t="inlineStr">
        <is>
          <t>VÄSTRA GÖTALANDS LÄN</t>
        </is>
      </c>
      <c r="E197" t="inlineStr">
        <is>
          <t>LIDKÖPING</t>
        </is>
      </c>
      <c r="G197" t="n">
        <v>0.5</v>
      </c>
      <c r="H197" t="n">
        <v>3</v>
      </c>
      <c r="I197" t="n">
        <v>0</v>
      </c>
      <c r="J197" t="n">
        <v>0</v>
      </c>
      <c r="K197" t="n">
        <v>0</v>
      </c>
      <c r="L197" t="n">
        <v>1</v>
      </c>
      <c r="M197" t="n">
        <v>0</v>
      </c>
      <c r="N197" t="n">
        <v>0</v>
      </c>
      <c r="O197" t="n">
        <v>1</v>
      </c>
      <c r="P197" t="n">
        <v>1</v>
      </c>
      <c r="Q197" t="n">
        <v>3</v>
      </c>
      <c r="R197" s="2" t="inlineStr">
        <is>
          <t>Grönfink
Gröngöling
Grönsiska</t>
        </is>
      </c>
      <c r="S197">
        <f>HYPERLINK("https://klasma.github.io/Logging_1494/artfynd/A 17541-2021 artfynd.xlsx", "A 17541-2021")</f>
        <v/>
      </c>
      <c r="T197">
        <f>HYPERLINK("https://klasma.github.io/Logging_1494/kartor/A 17541-2021 karta.png", "A 17541-2021")</f>
        <v/>
      </c>
      <c r="V197">
        <f>HYPERLINK("https://klasma.github.io/Logging_1494/klagomål/A 17541-2021 FSC-klagomål.docx", "A 17541-2021")</f>
        <v/>
      </c>
      <c r="W197">
        <f>HYPERLINK("https://klasma.github.io/Logging_1494/klagomålsmail/A 17541-2021 FSC-klagomål mail.docx", "A 17541-2021")</f>
        <v/>
      </c>
      <c r="X197">
        <f>HYPERLINK("https://klasma.github.io/Logging_1494/tillsyn/A 17541-2021 tillsynsbegäran.docx", "A 17541-2021")</f>
        <v/>
      </c>
      <c r="Y197">
        <f>HYPERLINK("https://klasma.github.io/Logging_1494/tillsynsmail/A 17541-2021 tillsynsbegäran mail.docx", "A 17541-2021")</f>
        <v/>
      </c>
      <c r="Z197">
        <f>HYPERLINK("https://klasma.github.io/Logging_1494/fåglar/A 17541-2021 prioriterade fågelarter.docx", "A 17541-2021")</f>
        <v/>
      </c>
    </row>
    <row r="198" ht="15" customHeight="1">
      <c r="A198" t="inlineStr">
        <is>
          <t>A 60176-2021</t>
        </is>
      </c>
      <c r="B198" s="1" t="n">
        <v>44495</v>
      </c>
      <c r="C198" s="1" t="n">
        <v>45952</v>
      </c>
      <c r="D198" t="inlineStr">
        <is>
          <t>VÄSTRA GÖTALANDS LÄN</t>
        </is>
      </c>
      <c r="E198" t="inlineStr">
        <is>
          <t>SKÖVDE</t>
        </is>
      </c>
      <c r="G198" t="n">
        <v>5.5</v>
      </c>
      <c r="H198" t="n">
        <v>1</v>
      </c>
      <c r="I198" t="n">
        <v>0</v>
      </c>
      <c r="J198" t="n">
        <v>1</v>
      </c>
      <c r="K198" t="n">
        <v>0</v>
      </c>
      <c r="L198" t="n">
        <v>2</v>
      </c>
      <c r="M198" t="n">
        <v>0</v>
      </c>
      <c r="N198" t="n">
        <v>0</v>
      </c>
      <c r="O198" t="n">
        <v>3</v>
      </c>
      <c r="P198" t="n">
        <v>2</v>
      </c>
      <c r="Q198" t="n">
        <v>3</v>
      </c>
      <c r="R198" s="2" t="inlineStr">
        <is>
          <t>Ask
Tistelsnyltrot
Sommarfibbla</t>
        </is>
      </c>
      <c r="S198">
        <f>HYPERLINK("https://klasma.github.io/Logging_1496/artfynd/A 60176-2021 artfynd.xlsx", "A 60176-2021")</f>
        <v/>
      </c>
      <c r="T198">
        <f>HYPERLINK("https://klasma.github.io/Logging_1496/kartor/A 60176-2021 karta.png", "A 60176-2021")</f>
        <v/>
      </c>
      <c r="V198">
        <f>HYPERLINK("https://klasma.github.io/Logging_1496/klagomål/A 60176-2021 FSC-klagomål.docx", "A 60176-2021")</f>
        <v/>
      </c>
      <c r="W198">
        <f>HYPERLINK("https://klasma.github.io/Logging_1496/klagomålsmail/A 60176-2021 FSC-klagomål mail.docx", "A 60176-2021")</f>
        <v/>
      </c>
      <c r="X198">
        <f>HYPERLINK("https://klasma.github.io/Logging_1496/tillsyn/A 60176-2021 tillsynsbegäran.docx", "A 60176-2021")</f>
        <v/>
      </c>
      <c r="Y198">
        <f>HYPERLINK("https://klasma.github.io/Logging_1496/tillsynsmail/A 60176-2021 tillsynsbegäran mail.docx", "A 60176-2021")</f>
        <v/>
      </c>
    </row>
    <row r="199" ht="15" customHeight="1">
      <c r="A199" t="inlineStr">
        <is>
          <t>A 2440-2023</t>
        </is>
      </c>
      <c r="B199" s="1" t="n">
        <v>44943</v>
      </c>
      <c r="C199" s="1" t="n">
        <v>45952</v>
      </c>
      <c r="D199" t="inlineStr">
        <is>
          <t>VÄSTRA GÖTALANDS LÄN</t>
        </is>
      </c>
      <c r="E199" t="inlineStr">
        <is>
          <t>LERUM</t>
        </is>
      </c>
      <c r="G199" t="n">
        <v>2.4</v>
      </c>
      <c r="H199" t="n">
        <v>1</v>
      </c>
      <c r="I199" t="n">
        <v>2</v>
      </c>
      <c r="J199" t="n">
        <v>0</v>
      </c>
      <c r="K199" t="n">
        <v>0</v>
      </c>
      <c r="L199" t="n">
        <v>0</v>
      </c>
      <c r="M199" t="n">
        <v>0</v>
      </c>
      <c r="N199" t="n">
        <v>0</v>
      </c>
      <c r="O199" t="n">
        <v>0</v>
      </c>
      <c r="P199" t="n">
        <v>0</v>
      </c>
      <c r="Q199" t="n">
        <v>3</v>
      </c>
      <c r="R199" s="2" t="inlineStr">
        <is>
          <t>Björksplintborre
Blåmossa
Vanlig groda</t>
        </is>
      </c>
      <c r="S199">
        <f>HYPERLINK("https://klasma.github.io/Logging_1441/artfynd/A 2440-2023 artfynd.xlsx", "A 2440-2023")</f>
        <v/>
      </c>
      <c r="T199">
        <f>HYPERLINK("https://klasma.github.io/Logging_1441/kartor/A 2440-2023 karta.png", "A 2440-2023")</f>
        <v/>
      </c>
      <c r="V199">
        <f>HYPERLINK("https://klasma.github.io/Logging_1441/klagomål/A 2440-2023 FSC-klagomål.docx", "A 2440-2023")</f>
        <v/>
      </c>
      <c r="W199">
        <f>HYPERLINK("https://klasma.github.io/Logging_1441/klagomålsmail/A 2440-2023 FSC-klagomål mail.docx", "A 2440-2023")</f>
        <v/>
      </c>
      <c r="X199">
        <f>HYPERLINK("https://klasma.github.io/Logging_1441/tillsyn/A 2440-2023 tillsynsbegäran.docx", "A 2440-2023")</f>
        <v/>
      </c>
      <c r="Y199">
        <f>HYPERLINK("https://klasma.github.io/Logging_1441/tillsynsmail/A 2440-2023 tillsynsbegäran mail.docx", "A 2440-2023")</f>
        <v/>
      </c>
    </row>
    <row r="200" ht="15" customHeight="1">
      <c r="A200" t="inlineStr">
        <is>
          <t>A 59364-2023</t>
        </is>
      </c>
      <c r="B200" s="1" t="n">
        <v>45253</v>
      </c>
      <c r="C200" s="1" t="n">
        <v>45952</v>
      </c>
      <c r="D200" t="inlineStr">
        <is>
          <t>VÄSTRA GÖTALANDS LÄN</t>
        </is>
      </c>
      <c r="E200" t="inlineStr">
        <is>
          <t>MELLERUD</t>
        </is>
      </c>
      <c r="G200" t="n">
        <v>0.9</v>
      </c>
      <c r="H200" t="n">
        <v>0</v>
      </c>
      <c r="I200" t="n">
        <v>2</v>
      </c>
      <c r="J200" t="n">
        <v>0</v>
      </c>
      <c r="K200" t="n">
        <v>1</v>
      </c>
      <c r="L200" t="n">
        <v>0</v>
      </c>
      <c r="M200" t="n">
        <v>0</v>
      </c>
      <c r="N200" t="n">
        <v>0</v>
      </c>
      <c r="O200" t="n">
        <v>1</v>
      </c>
      <c r="P200" t="n">
        <v>1</v>
      </c>
      <c r="Q200" t="n">
        <v>3</v>
      </c>
      <c r="R200" s="2" t="inlineStr">
        <is>
          <t>Grangråticka
Fjällig taggsvamp s.str.
Zontaggsvamp</t>
        </is>
      </c>
      <c r="S200">
        <f>HYPERLINK("https://klasma.github.io/Logging_1461/artfynd/A 59364-2023 artfynd.xlsx", "A 59364-2023")</f>
        <v/>
      </c>
      <c r="T200">
        <f>HYPERLINK("https://klasma.github.io/Logging_1461/kartor/A 59364-2023 karta.png", "A 59364-2023")</f>
        <v/>
      </c>
      <c r="V200">
        <f>HYPERLINK("https://klasma.github.io/Logging_1461/klagomål/A 59364-2023 FSC-klagomål.docx", "A 59364-2023")</f>
        <v/>
      </c>
      <c r="W200">
        <f>HYPERLINK("https://klasma.github.io/Logging_1461/klagomålsmail/A 59364-2023 FSC-klagomål mail.docx", "A 59364-2023")</f>
        <v/>
      </c>
      <c r="X200">
        <f>HYPERLINK("https://klasma.github.io/Logging_1461/tillsyn/A 59364-2023 tillsynsbegäran.docx", "A 59364-2023")</f>
        <v/>
      </c>
      <c r="Y200">
        <f>HYPERLINK("https://klasma.github.io/Logging_1461/tillsynsmail/A 59364-2023 tillsynsbegäran mail.docx", "A 59364-2023")</f>
        <v/>
      </c>
    </row>
    <row r="201" ht="15" customHeight="1">
      <c r="A201" t="inlineStr">
        <is>
          <t>A 8558-2024</t>
        </is>
      </c>
      <c r="B201" s="1" t="n">
        <v>45355.57679398148</v>
      </c>
      <c r="C201" s="1" t="n">
        <v>45952</v>
      </c>
      <c r="D201" t="inlineStr">
        <is>
          <t>VÄSTRA GÖTALANDS LÄN</t>
        </is>
      </c>
      <c r="E201" t="inlineStr">
        <is>
          <t>KUNGÄLV</t>
        </is>
      </c>
      <c r="G201" t="n">
        <v>12.5</v>
      </c>
      <c r="H201" t="n">
        <v>3</v>
      </c>
      <c r="I201" t="n">
        <v>0</v>
      </c>
      <c r="J201" t="n">
        <v>2</v>
      </c>
      <c r="K201" t="n">
        <v>0</v>
      </c>
      <c r="L201" t="n">
        <v>0</v>
      </c>
      <c r="M201" t="n">
        <v>0</v>
      </c>
      <c r="N201" t="n">
        <v>0</v>
      </c>
      <c r="O201" t="n">
        <v>2</v>
      </c>
      <c r="P201" t="n">
        <v>0</v>
      </c>
      <c r="Q201" t="n">
        <v>3</v>
      </c>
      <c r="R201" s="2" t="inlineStr">
        <is>
          <t>Gulsparv
Spillkråka
Revlummer</t>
        </is>
      </c>
      <c r="S201">
        <f>HYPERLINK("https://klasma.github.io/Logging_1482/artfynd/A 8558-2024 artfynd.xlsx", "A 8558-2024")</f>
        <v/>
      </c>
      <c r="T201">
        <f>HYPERLINK("https://klasma.github.io/Logging_1482/kartor/A 8558-2024 karta.png", "A 8558-2024")</f>
        <v/>
      </c>
      <c r="V201">
        <f>HYPERLINK("https://klasma.github.io/Logging_1482/klagomål/A 8558-2024 FSC-klagomål.docx", "A 8558-2024")</f>
        <v/>
      </c>
      <c r="W201">
        <f>HYPERLINK("https://klasma.github.io/Logging_1482/klagomålsmail/A 8558-2024 FSC-klagomål mail.docx", "A 8558-2024")</f>
        <v/>
      </c>
      <c r="X201">
        <f>HYPERLINK("https://klasma.github.io/Logging_1482/tillsyn/A 8558-2024 tillsynsbegäran.docx", "A 8558-2024")</f>
        <v/>
      </c>
      <c r="Y201">
        <f>HYPERLINK("https://klasma.github.io/Logging_1482/tillsynsmail/A 8558-2024 tillsynsbegäran mail.docx", "A 8558-2024")</f>
        <v/>
      </c>
      <c r="Z201">
        <f>HYPERLINK("https://klasma.github.io/Logging_1482/fåglar/A 8558-2024 prioriterade fågelarter.docx", "A 8558-2024")</f>
        <v/>
      </c>
    </row>
    <row r="202" ht="15" customHeight="1">
      <c r="A202" t="inlineStr">
        <is>
          <t>A 47947-2022</t>
        </is>
      </c>
      <c r="B202" s="1" t="n">
        <v>44855</v>
      </c>
      <c r="C202" s="1" t="n">
        <v>45952</v>
      </c>
      <c r="D202" t="inlineStr">
        <is>
          <t>VÄSTRA GÖTALANDS LÄN</t>
        </is>
      </c>
      <c r="E202" t="inlineStr">
        <is>
          <t>ALINGSÅS</t>
        </is>
      </c>
      <c r="G202" t="n">
        <v>4.3</v>
      </c>
      <c r="H202" t="n">
        <v>3</v>
      </c>
      <c r="I202" t="n">
        <v>0</v>
      </c>
      <c r="J202" t="n">
        <v>2</v>
      </c>
      <c r="K202" t="n">
        <v>0</v>
      </c>
      <c r="L202" t="n">
        <v>1</v>
      </c>
      <c r="M202" t="n">
        <v>0</v>
      </c>
      <c r="N202" t="n">
        <v>0</v>
      </c>
      <c r="O202" t="n">
        <v>3</v>
      </c>
      <c r="P202" t="n">
        <v>1</v>
      </c>
      <c r="Q202" t="n">
        <v>3</v>
      </c>
      <c r="R202" s="2" t="inlineStr">
        <is>
          <t>Grönfink
Gulsparv
Svartvit flugsnappare</t>
        </is>
      </c>
      <c r="S202">
        <f>HYPERLINK("https://klasma.github.io/Logging_1489/artfynd/A 47947-2022 artfynd.xlsx", "A 47947-2022")</f>
        <v/>
      </c>
      <c r="T202">
        <f>HYPERLINK("https://klasma.github.io/Logging_1489/kartor/A 47947-2022 karta.png", "A 47947-2022")</f>
        <v/>
      </c>
      <c r="V202">
        <f>HYPERLINK("https://klasma.github.io/Logging_1489/klagomål/A 47947-2022 FSC-klagomål.docx", "A 47947-2022")</f>
        <v/>
      </c>
      <c r="W202">
        <f>HYPERLINK("https://klasma.github.io/Logging_1489/klagomålsmail/A 47947-2022 FSC-klagomål mail.docx", "A 47947-2022")</f>
        <v/>
      </c>
      <c r="X202">
        <f>HYPERLINK("https://klasma.github.io/Logging_1489/tillsyn/A 47947-2022 tillsynsbegäran.docx", "A 47947-2022")</f>
        <v/>
      </c>
      <c r="Y202">
        <f>HYPERLINK("https://klasma.github.io/Logging_1489/tillsynsmail/A 47947-2022 tillsynsbegäran mail.docx", "A 47947-2022")</f>
        <v/>
      </c>
      <c r="Z202">
        <f>HYPERLINK("https://klasma.github.io/Logging_1489/fåglar/A 47947-2022 prioriterade fågelarter.docx", "A 47947-2022")</f>
        <v/>
      </c>
    </row>
    <row r="203" ht="15" customHeight="1">
      <c r="A203" t="inlineStr">
        <is>
          <t>A 23563-2023</t>
        </is>
      </c>
      <c r="B203" s="1" t="n">
        <v>45072</v>
      </c>
      <c r="C203" s="1" t="n">
        <v>45952</v>
      </c>
      <c r="D203" t="inlineStr">
        <is>
          <t>VÄSTRA GÖTALANDS LÄN</t>
        </is>
      </c>
      <c r="E203" t="inlineStr">
        <is>
          <t>LILLA EDET</t>
        </is>
      </c>
      <c r="F203" t="inlineStr">
        <is>
          <t>Kyrkan</t>
        </is>
      </c>
      <c r="G203" t="n">
        <v>1</v>
      </c>
      <c r="H203" t="n">
        <v>3</v>
      </c>
      <c r="I203" t="n">
        <v>0</v>
      </c>
      <c r="J203" t="n">
        <v>1</v>
      </c>
      <c r="K203" t="n">
        <v>0</v>
      </c>
      <c r="L203" t="n">
        <v>0</v>
      </c>
      <c r="M203" t="n">
        <v>0</v>
      </c>
      <c r="N203" t="n">
        <v>0</v>
      </c>
      <c r="O203" t="n">
        <v>1</v>
      </c>
      <c r="P203" t="n">
        <v>0</v>
      </c>
      <c r="Q203" t="n">
        <v>3</v>
      </c>
      <c r="R203" s="2" t="inlineStr">
        <is>
          <t>Nordfladdermus
Dvärgpipistrell
Vattenfladdermus</t>
        </is>
      </c>
      <c r="S203">
        <f>HYPERLINK("https://klasma.github.io/Logging_1462/artfynd/A 23563-2023 artfynd.xlsx", "A 23563-2023")</f>
        <v/>
      </c>
      <c r="T203">
        <f>HYPERLINK("https://klasma.github.io/Logging_1462/kartor/A 23563-2023 karta.png", "A 23563-2023")</f>
        <v/>
      </c>
      <c r="V203">
        <f>HYPERLINK("https://klasma.github.io/Logging_1462/klagomål/A 23563-2023 FSC-klagomål.docx", "A 23563-2023")</f>
        <v/>
      </c>
      <c r="W203">
        <f>HYPERLINK("https://klasma.github.io/Logging_1462/klagomålsmail/A 23563-2023 FSC-klagomål mail.docx", "A 23563-2023")</f>
        <v/>
      </c>
      <c r="X203">
        <f>HYPERLINK("https://klasma.github.io/Logging_1462/tillsyn/A 23563-2023 tillsynsbegäran.docx", "A 23563-2023")</f>
        <v/>
      </c>
      <c r="Y203">
        <f>HYPERLINK("https://klasma.github.io/Logging_1462/tillsynsmail/A 23563-2023 tillsynsbegäran mail.docx", "A 23563-2023")</f>
        <v/>
      </c>
    </row>
    <row r="204" ht="15" customHeight="1">
      <c r="A204" t="inlineStr">
        <is>
          <t>A 8596-2022</t>
        </is>
      </c>
      <c r="B204" s="1" t="n">
        <v>44613.56583333333</v>
      </c>
      <c r="C204" s="1" t="n">
        <v>45952</v>
      </c>
      <c r="D204" t="inlineStr">
        <is>
          <t>VÄSTRA GÖTALANDS LÄN</t>
        </is>
      </c>
      <c r="E204" t="inlineStr">
        <is>
          <t>BENGTSFORS</t>
        </is>
      </c>
      <c r="G204" t="n">
        <v>5.8</v>
      </c>
      <c r="H204" t="n">
        <v>2</v>
      </c>
      <c r="I204" t="n">
        <v>1</v>
      </c>
      <c r="J204" t="n">
        <v>1</v>
      </c>
      <c r="K204" t="n">
        <v>1</v>
      </c>
      <c r="L204" t="n">
        <v>0</v>
      </c>
      <c r="M204" t="n">
        <v>0</v>
      </c>
      <c r="N204" t="n">
        <v>0</v>
      </c>
      <c r="O204" t="n">
        <v>2</v>
      </c>
      <c r="P204" t="n">
        <v>1</v>
      </c>
      <c r="Q204" t="n">
        <v>3</v>
      </c>
      <c r="R204" s="2" t="inlineStr">
        <is>
          <t>Tallbit
Havsörn
Kambräken</t>
        </is>
      </c>
      <c r="S204">
        <f>HYPERLINK("https://klasma.github.io/Logging_1460/artfynd/A 8596-2022 artfynd.xlsx", "A 8596-2022")</f>
        <v/>
      </c>
      <c r="T204">
        <f>HYPERLINK("https://klasma.github.io/Logging_1460/kartor/A 8596-2022 karta.png", "A 8596-2022")</f>
        <v/>
      </c>
      <c r="V204">
        <f>HYPERLINK("https://klasma.github.io/Logging_1460/klagomål/A 8596-2022 FSC-klagomål.docx", "A 8596-2022")</f>
        <v/>
      </c>
      <c r="W204">
        <f>HYPERLINK("https://klasma.github.io/Logging_1460/klagomålsmail/A 8596-2022 FSC-klagomål mail.docx", "A 8596-2022")</f>
        <v/>
      </c>
      <c r="X204">
        <f>HYPERLINK("https://klasma.github.io/Logging_1460/tillsyn/A 8596-2022 tillsynsbegäran.docx", "A 8596-2022")</f>
        <v/>
      </c>
      <c r="Y204">
        <f>HYPERLINK("https://klasma.github.io/Logging_1460/tillsynsmail/A 8596-2022 tillsynsbegäran mail.docx", "A 8596-2022")</f>
        <v/>
      </c>
      <c r="Z204">
        <f>HYPERLINK("https://klasma.github.io/Logging_1460/fåglar/A 8596-2022 prioriterade fågelarter.docx", "A 8596-2022")</f>
        <v/>
      </c>
    </row>
    <row r="205" ht="15" customHeight="1">
      <c r="A205" t="inlineStr">
        <is>
          <t>A 28233-2022</t>
        </is>
      </c>
      <c r="B205" s="1" t="n">
        <v>44746</v>
      </c>
      <c r="C205" s="1" t="n">
        <v>45952</v>
      </c>
      <c r="D205" t="inlineStr">
        <is>
          <t>VÄSTRA GÖTALANDS LÄN</t>
        </is>
      </c>
      <c r="E205" t="inlineStr">
        <is>
          <t>LERUM</t>
        </is>
      </c>
      <c r="F205" t="inlineStr">
        <is>
          <t>Kommuner</t>
        </is>
      </c>
      <c r="G205" t="n">
        <v>1.7</v>
      </c>
      <c r="H205" t="n">
        <v>1</v>
      </c>
      <c r="I205" t="n">
        <v>1</v>
      </c>
      <c r="J205" t="n">
        <v>0</v>
      </c>
      <c r="K205" t="n">
        <v>0</v>
      </c>
      <c r="L205" t="n">
        <v>1</v>
      </c>
      <c r="M205" t="n">
        <v>0</v>
      </c>
      <c r="N205" t="n">
        <v>0</v>
      </c>
      <c r="O205" t="n">
        <v>1</v>
      </c>
      <c r="P205" t="n">
        <v>1</v>
      </c>
      <c r="Q205" t="n">
        <v>3</v>
      </c>
      <c r="R205" s="2" t="inlineStr">
        <is>
          <t>Ask
Björksplintborre
Vanlig groda</t>
        </is>
      </c>
      <c r="S205">
        <f>HYPERLINK("https://klasma.github.io/Logging_1441/artfynd/A 28233-2022 artfynd.xlsx", "A 28233-2022")</f>
        <v/>
      </c>
      <c r="T205">
        <f>HYPERLINK("https://klasma.github.io/Logging_1441/kartor/A 28233-2022 karta.png", "A 28233-2022")</f>
        <v/>
      </c>
      <c r="V205">
        <f>HYPERLINK("https://klasma.github.io/Logging_1441/klagomål/A 28233-2022 FSC-klagomål.docx", "A 28233-2022")</f>
        <v/>
      </c>
      <c r="W205">
        <f>HYPERLINK("https://klasma.github.io/Logging_1441/klagomålsmail/A 28233-2022 FSC-klagomål mail.docx", "A 28233-2022")</f>
        <v/>
      </c>
      <c r="X205">
        <f>HYPERLINK("https://klasma.github.io/Logging_1441/tillsyn/A 28233-2022 tillsynsbegäran.docx", "A 28233-2022")</f>
        <v/>
      </c>
      <c r="Y205">
        <f>HYPERLINK("https://klasma.github.io/Logging_1441/tillsynsmail/A 28233-2022 tillsynsbegäran mail.docx", "A 28233-2022")</f>
        <v/>
      </c>
    </row>
    <row r="206" ht="15" customHeight="1">
      <c r="A206" t="inlineStr">
        <is>
          <t>A 63575-2023</t>
        </is>
      </c>
      <c r="B206" s="1" t="n">
        <v>45275.39715277778</v>
      </c>
      <c r="C206" s="1" t="n">
        <v>45952</v>
      </c>
      <c r="D206" t="inlineStr">
        <is>
          <t>VÄSTRA GÖTALANDS LÄN</t>
        </is>
      </c>
      <c r="E206" t="inlineStr">
        <is>
          <t>ALE</t>
        </is>
      </c>
      <c r="G206" t="n">
        <v>1.2</v>
      </c>
      <c r="H206" t="n">
        <v>3</v>
      </c>
      <c r="I206" t="n">
        <v>0</v>
      </c>
      <c r="J206" t="n">
        <v>3</v>
      </c>
      <c r="K206" t="n">
        <v>0</v>
      </c>
      <c r="L206" t="n">
        <v>0</v>
      </c>
      <c r="M206" t="n">
        <v>0</v>
      </c>
      <c r="N206" t="n">
        <v>0</v>
      </c>
      <c r="O206" t="n">
        <v>3</v>
      </c>
      <c r="P206" t="n">
        <v>0</v>
      </c>
      <c r="Q206" t="n">
        <v>3</v>
      </c>
      <c r="R206" s="2" t="inlineStr">
        <is>
          <t>Gulsparv
Spillkråka
Talltita</t>
        </is>
      </c>
      <c r="S206">
        <f>HYPERLINK("https://klasma.github.io/Logging_1440/artfynd/A 63575-2023 artfynd.xlsx", "A 63575-2023")</f>
        <v/>
      </c>
      <c r="T206">
        <f>HYPERLINK("https://klasma.github.io/Logging_1440/kartor/A 63575-2023 karta.png", "A 63575-2023")</f>
        <v/>
      </c>
      <c r="V206">
        <f>HYPERLINK("https://klasma.github.io/Logging_1440/klagomål/A 63575-2023 FSC-klagomål.docx", "A 63575-2023")</f>
        <v/>
      </c>
      <c r="W206">
        <f>HYPERLINK("https://klasma.github.io/Logging_1440/klagomålsmail/A 63575-2023 FSC-klagomål mail.docx", "A 63575-2023")</f>
        <v/>
      </c>
      <c r="X206">
        <f>HYPERLINK("https://klasma.github.io/Logging_1440/tillsyn/A 63575-2023 tillsynsbegäran.docx", "A 63575-2023")</f>
        <v/>
      </c>
      <c r="Y206">
        <f>HYPERLINK("https://klasma.github.io/Logging_1440/tillsynsmail/A 63575-2023 tillsynsbegäran mail.docx", "A 63575-2023")</f>
        <v/>
      </c>
      <c r="Z206">
        <f>HYPERLINK("https://klasma.github.io/Logging_1440/fåglar/A 63575-2023 prioriterade fågelarter.docx", "A 63575-2023")</f>
        <v/>
      </c>
    </row>
    <row r="207" ht="15" customHeight="1">
      <c r="A207" t="inlineStr">
        <is>
          <t>A 39553-2024</t>
        </is>
      </c>
      <c r="B207" s="1" t="n">
        <v>45551</v>
      </c>
      <c r="C207" s="1" t="n">
        <v>45952</v>
      </c>
      <c r="D207" t="inlineStr">
        <is>
          <t>VÄSTRA GÖTALANDS LÄN</t>
        </is>
      </c>
      <c r="E207" t="inlineStr">
        <is>
          <t>GULLSPÅNG</t>
        </is>
      </c>
      <c r="G207" t="n">
        <v>11.5</v>
      </c>
      <c r="H207" t="n">
        <v>3</v>
      </c>
      <c r="I207" t="n">
        <v>0</v>
      </c>
      <c r="J207" t="n">
        <v>2</v>
      </c>
      <c r="K207" t="n">
        <v>0</v>
      </c>
      <c r="L207" t="n">
        <v>0</v>
      </c>
      <c r="M207" t="n">
        <v>0</v>
      </c>
      <c r="N207" t="n">
        <v>0</v>
      </c>
      <c r="O207" t="n">
        <v>2</v>
      </c>
      <c r="P207" t="n">
        <v>0</v>
      </c>
      <c r="Q207" t="n">
        <v>3</v>
      </c>
      <c r="R207" s="2" t="inlineStr">
        <is>
          <t>Gulsparv
Ärtsångare
Grönsiska</t>
        </is>
      </c>
      <c r="S207">
        <f>HYPERLINK("https://klasma.github.io/Logging_1447/artfynd/A 39553-2024 artfynd.xlsx", "A 39553-2024")</f>
        <v/>
      </c>
      <c r="T207">
        <f>HYPERLINK("https://klasma.github.io/Logging_1447/kartor/A 39553-2024 karta.png", "A 39553-2024")</f>
        <v/>
      </c>
      <c r="V207">
        <f>HYPERLINK("https://klasma.github.io/Logging_1447/klagomål/A 39553-2024 FSC-klagomål.docx", "A 39553-2024")</f>
        <v/>
      </c>
      <c r="W207">
        <f>HYPERLINK("https://klasma.github.io/Logging_1447/klagomålsmail/A 39553-2024 FSC-klagomål mail.docx", "A 39553-2024")</f>
        <v/>
      </c>
      <c r="X207">
        <f>HYPERLINK("https://klasma.github.io/Logging_1447/tillsyn/A 39553-2024 tillsynsbegäran.docx", "A 39553-2024")</f>
        <v/>
      </c>
      <c r="Y207">
        <f>HYPERLINK("https://klasma.github.io/Logging_1447/tillsynsmail/A 39553-2024 tillsynsbegäran mail.docx", "A 39553-2024")</f>
        <v/>
      </c>
      <c r="Z207">
        <f>HYPERLINK("https://klasma.github.io/Logging_1447/fåglar/A 39553-2024 prioriterade fågelarter.docx", "A 39553-2024")</f>
        <v/>
      </c>
    </row>
    <row r="208" ht="15" customHeight="1">
      <c r="A208" t="inlineStr">
        <is>
          <t>A 53197-2023</t>
        </is>
      </c>
      <c r="B208" s="1" t="n">
        <v>45229.4496875</v>
      </c>
      <c r="C208" s="1" t="n">
        <v>45952</v>
      </c>
      <c r="D208" t="inlineStr">
        <is>
          <t>VÄSTRA GÖTALANDS LÄN</t>
        </is>
      </c>
      <c r="E208" t="inlineStr">
        <is>
          <t>BENGTSFORS</t>
        </is>
      </c>
      <c r="G208" t="n">
        <v>7.2</v>
      </c>
      <c r="H208" t="n">
        <v>0</v>
      </c>
      <c r="I208" t="n">
        <v>3</v>
      </c>
      <c r="J208" t="n">
        <v>0</v>
      </c>
      <c r="K208" t="n">
        <v>0</v>
      </c>
      <c r="L208" t="n">
        <v>0</v>
      </c>
      <c r="M208" t="n">
        <v>0</v>
      </c>
      <c r="N208" t="n">
        <v>0</v>
      </c>
      <c r="O208" t="n">
        <v>0</v>
      </c>
      <c r="P208" t="n">
        <v>0</v>
      </c>
      <c r="Q208" t="n">
        <v>3</v>
      </c>
      <c r="R208" s="2" t="inlineStr">
        <is>
          <t>Grönpyrola
Kattfotslav
Vedticka</t>
        </is>
      </c>
      <c r="S208">
        <f>HYPERLINK("https://klasma.github.io/Logging_1460/artfynd/A 53197-2023 artfynd.xlsx", "A 53197-2023")</f>
        <v/>
      </c>
      <c r="T208">
        <f>HYPERLINK("https://klasma.github.io/Logging_1460/kartor/A 53197-2023 karta.png", "A 53197-2023")</f>
        <v/>
      </c>
      <c r="V208">
        <f>HYPERLINK("https://klasma.github.io/Logging_1460/klagomål/A 53197-2023 FSC-klagomål.docx", "A 53197-2023")</f>
        <v/>
      </c>
      <c r="W208">
        <f>HYPERLINK("https://klasma.github.io/Logging_1460/klagomålsmail/A 53197-2023 FSC-klagomål mail.docx", "A 53197-2023")</f>
        <v/>
      </c>
      <c r="X208">
        <f>HYPERLINK("https://klasma.github.io/Logging_1460/tillsyn/A 53197-2023 tillsynsbegäran.docx", "A 53197-2023")</f>
        <v/>
      </c>
      <c r="Y208">
        <f>HYPERLINK("https://klasma.github.io/Logging_1460/tillsynsmail/A 53197-2023 tillsynsbegäran mail.docx", "A 53197-2023")</f>
        <v/>
      </c>
    </row>
    <row r="209" ht="15" customHeight="1">
      <c r="A209" t="inlineStr">
        <is>
          <t>A 3764-2024</t>
        </is>
      </c>
      <c r="B209" s="1" t="n">
        <v>45321</v>
      </c>
      <c r="C209" s="1" t="n">
        <v>45952</v>
      </c>
      <c r="D209" t="inlineStr">
        <is>
          <t>VÄSTRA GÖTALANDS LÄN</t>
        </is>
      </c>
      <c r="E209" t="inlineStr">
        <is>
          <t>BORÅS</t>
        </is>
      </c>
      <c r="F209" t="inlineStr">
        <is>
          <t>Kommuner</t>
        </is>
      </c>
      <c r="G209" t="n">
        <v>8.300000000000001</v>
      </c>
      <c r="H209" t="n">
        <v>0</v>
      </c>
      <c r="I209" t="n">
        <v>3</v>
      </c>
      <c r="J209" t="n">
        <v>0</v>
      </c>
      <c r="K209" t="n">
        <v>0</v>
      </c>
      <c r="L209" t="n">
        <v>0</v>
      </c>
      <c r="M209" t="n">
        <v>0</v>
      </c>
      <c r="N209" t="n">
        <v>0</v>
      </c>
      <c r="O209" t="n">
        <v>0</v>
      </c>
      <c r="P209" t="n">
        <v>0</v>
      </c>
      <c r="Q209" t="n">
        <v>3</v>
      </c>
      <c r="R209" s="2" t="inlineStr">
        <is>
          <t>Kambräken
Stor revmossa
Västlig hakmossa</t>
        </is>
      </c>
      <c r="S209">
        <f>HYPERLINK("https://klasma.github.io/Logging_1490/artfynd/A 3764-2024 artfynd.xlsx", "A 3764-2024")</f>
        <v/>
      </c>
      <c r="T209">
        <f>HYPERLINK("https://klasma.github.io/Logging_1490/kartor/A 3764-2024 karta.png", "A 3764-2024")</f>
        <v/>
      </c>
      <c r="V209">
        <f>HYPERLINK("https://klasma.github.io/Logging_1490/klagomål/A 3764-2024 FSC-klagomål.docx", "A 3764-2024")</f>
        <v/>
      </c>
      <c r="W209">
        <f>HYPERLINK("https://klasma.github.io/Logging_1490/klagomålsmail/A 3764-2024 FSC-klagomål mail.docx", "A 3764-2024")</f>
        <v/>
      </c>
      <c r="X209">
        <f>HYPERLINK("https://klasma.github.io/Logging_1490/tillsyn/A 3764-2024 tillsynsbegäran.docx", "A 3764-2024")</f>
        <v/>
      </c>
      <c r="Y209">
        <f>HYPERLINK("https://klasma.github.io/Logging_1490/tillsynsmail/A 3764-2024 tillsynsbegäran mail.docx", "A 3764-2024")</f>
        <v/>
      </c>
    </row>
    <row r="210" ht="15" customHeight="1">
      <c r="A210" t="inlineStr">
        <is>
          <t>A 20829-2025</t>
        </is>
      </c>
      <c r="B210" s="1" t="n">
        <v>45776</v>
      </c>
      <c r="C210" s="1" t="n">
        <v>45952</v>
      </c>
      <c r="D210" t="inlineStr">
        <is>
          <t>VÄSTRA GÖTALANDS LÄN</t>
        </is>
      </c>
      <c r="E210" t="inlineStr">
        <is>
          <t>KARLSBORG</t>
        </is>
      </c>
      <c r="G210" t="n">
        <v>7.9</v>
      </c>
      <c r="H210" t="n">
        <v>3</v>
      </c>
      <c r="I210" t="n">
        <v>0</v>
      </c>
      <c r="J210" t="n">
        <v>2</v>
      </c>
      <c r="K210" t="n">
        <v>0</v>
      </c>
      <c r="L210" t="n">
        <v>0</v>
      </c>
      <c r="M210" t="n">
        <v>0</v>
      </c>
      <c r="N210" t="n">
        <v>0</v>
      </c>
      <c r="O210" t="n">
        <v>2</v>
      </c>
      <c r="P210" t="n">
        <v>0</v>
      </c>
      <c r="Q210" t="n">
        <v>3</v>
      </c>
      <c r="R210" s="2" t="inlineStr">
        <is>
          <t>Grönsångare
Talltita
Revlummer</t>
        </is>
      </c>
      <c r="S210">
        <f>HYPERLINK("https://klasma.github.io/Logging_1446/artfynd/A 20829-2025 artfynd.xlsx", "A 20829-2025")</f>
        <v/>
      </c>
      <c r="T210">
        <f>HYPERLINK("https://klasma.github.io/Logging_1446/kartor/A 20829-2025 karta.png", "A 20829-2025")</f>
        <v/>
      </c>
      <c r="U210">
        <f>HYPERLINK("https://klasma.github.io/Logging_1446/knärot/A 20829-2025 karta knärot.png", "A 20829-2025")</f>
        <v/>
      </c>
      <c r="V210">
        <f>HYPERLINK("https://klasma.github.io/Logging_1446/klagomål/A 20829-2025 FSC-klagomål.docx", "A 20829-2025")</f>
        <v/>
      </c>
      <c r="W210">
        <f>HYPERLINK("https://klasma.github.io/Logging_1446/klagomålsmail/A 20829-2025 FSC-klagomål mail.docx", "A 20829-2025")</f>
        <v/>
      </c>
      <c r="X210">
        <f>HYPERLINK("https://klasma.github.io/Logging_1446/tillsyn/A 20829-2025 tillsynsbegäran.docx", "A 20829-2025")</f>
        <v/>
      </c>
      <c r="Y210">
        <f>HYPERLINK("https://klasma.github.io/Logging_1446/tillsynsmail/A 20829-2025 tillsynsbegäran mail.docx", "A 20829-2025")</f>
        <v/>
      </c>
      <c r="Z210">
        <f>HYPERLINK("https://klasma.github.io/Logging_1446/fåglar/A 20829-2025 prioriterade fågelarter.docx", "A 20829-2025")</f>
        <v/>
      </c>
    </row>
    <row r="211" ht="15" customHeight="1">
      <c r="A211" t="inlineStr">
        <is>
          <t>A 37930-2023</t>
        </is>
      </c>
      <c r="B211" s="1" t="n">
        <v>45160.50649305555</v>
      </c>
      <c r="C211" s="1" t="n">
        <v>45952</v>
      </c>
      <c r="D211" t="inlineStr">
        <is>
          <t>VÄSTRA GÖTALANDS LÄN</t>
        </is>
      </c>
      <c r="E211" t="inlineStr">
        <is>
          <t>TANUM</t>
        </is>
      </c>
      <c r="G211" t="n">
        <v>5.2</v>
      </c>
      <c r="H211" t="n">
        <v>0</v>
      </c>
      <c r="I211" t="n">
        <v>1</v>
      </c>
      <c r="J211" t="n">
        <v>2</v>
      </c>
      <c r="K211" t="n">
        <v>0</v>
      </c>
      <c r="L211" t="n">
        <v>0</v>
      </c>
      <c r="M211" t="n">
        <v>0</v>
      </c>
      <c r="N211" t="n">
        <v>0</v>
      </c>
      <c r="O211" t="n">
        <v>2</v>
      </c>
      <c r="P211" t="n">
        <v>0</v>
      </c>
      <c r="Q211" t="n">
        <v>3</v>
      </c>
      <c r="R211" s="2" t="inlineStr">
        <is>
          <t>Dofttaggsvamp
Orange taggsvamp
Skarp dropptaggsvamp</t>
        </is>
      </c>
      <c r="S211">
        <f>HYPERLINK("https://klasma.github.io/Logging_1435/artfynd/A 37930-2023 artfynd.xlsx", "A 37930-2023")</f>
        <v/>
      </c>
      <c r="T211">
        <f>HYPERLINK("https://klasma.github.io/Logging_1435/kartor/A 37930-2023 karta.png", "A 37930-2023")</f>
        <v/>
      </c>
      <c r="V211">
        <f>HYPERLINK("https://klasma.github.io/Logging_1435/klagomål/A 37930-2023 FSC-klagomål.docx", "A 37930-2023")</f>
        <v/>
      </c>
      <c r="W211">
        <f>HYPERLINK("https://klasma.github.io/Logging_1435/klagomålsmail/A 37930-2023 FSC-klagomål mail.docx", "A 37930-2023")</f>
        <v/>
      </c>
      <c r="X211">
        <f>HYPERLINK("https://klasma.github.io/Logging_1435/tillsyn/A 37930-2023 tillsynsbegäran.docx", "A 37930-2023")</f>
        <v/>
      </c>
      <c r="Y211">
        <f>HYPERLINK("https://klasma.github.io/Logging_1435/tillsynsmail/A 37930-2023 tillsynsbegäran mail.docx", "A 37930-2023")</f>
        <v/>
      </c>
    </row>
    <row r="212" ht="15" customHeight="1">
      <c r="A212" t="inlineStr">
        <is>
          <t>A 20977-2025</t>
        </is>
      </c>
      <c r="B212" s="1" t="n">
        <v>45777.46130787037</v>
      </c>
      <c r="C212" s="1" t="n">
        <v>45952</v>
      </c>
      <c r="D212" t="inlineStr">
        <is>
          <t>VÄSTRA GÖTALANDS LÄN</t>
        </is>
      </c>
      <c r="E212" t="inlineStr">
        <is>
          <t>TÖREBODA</t>
        </is>
      </c>
      <c r="F212" t="inlineStr">
        <is>
          <t>Sveaskog</t>
        </is>
      </c>
      <c r="G212" t="n">
        <v>5</v>
      </c>
      <c r="H212" t="n">
        <v>1</v>
      </c>
      <c r="I212" t="n">
        <v>0</v>
      </c>
      <c r="J212" t="n">
        <v>2</v>
      </c>
      <c r="K212" t="n">
        <v>0</v>
      </c>
      <c r="L212" t="n">
        <v>0</v>
      </c>
      <c r="M212" t="n">
        <v>0</v>
      </c>
      <c r="N212" t="n">
        <v>0</v>
      </c>
      <c r="O212" t="n">
        <v>2</v>
      </c>
      <c r="P212" t="n">
        <v>0</v>
      </c>
      <c r="Q212" t="n">
        <v>3</v>
      </c>
      <c r="R212" s="2" t="inlineStr">
        <is>
          <t>Gullklöver
Skogsklocka
Grönvit nattviol</t>
        </is>
      </c>
      <c r="S212">
        <f>HYPERLINK("https://klasma.github.io/Logging_1473/artfynd/A 20977-2025 artfynd.xlsx", "A 20977-2025")</f>
        <v/>
      </c>
      <c r="T212">
        <f>HYPERLINK("https://klasma.github.io/Logging_1473/kartor/A 20977-2025 karta.png", "A 20977-2025")</f>
        <v/>
      </c>
      <c r="V212">
        <f>HYPERLINK("https://klasma.github.io/Logging_1473/klagomål/A 20977-2025 FSC-klagomål.docx", "A 20977-2025")</f>
        <v/>
      </c>
      <c r="W212">
        <f>HYPERLINK("https://klasma.github.io/Logging_1473/klagomålsmail/A 20977-2025 FSC-klagomål mail.docx", "A 20977-2025")</f>
        <v/>
      </c>
      <c r="X212">
        <f>HYPERLINK("https://klasma.github.io/Logging_1473/tillsyn/A 20977-2025 tillsynsbegäran.docx", "A 20977-2025")</f>
        <v/>
      </c>
      <c r="Y212">
        <f>HYPERLINK("https://klasma.github.io/Logging_1473/tillsynsmail/A 20977-2025 tillsynsbegäran mail.docx", "A 20977-2025")</f>
        <v/>
      </c>
    </row>
    <row r="213" ht="15" customHeight="1">
      <c r="A213" t="inlineStr">
        <is>
          <t>A 5767-2023</t>
        </is>
      </c>
      <c r="B213" s="1" t="n">
        <v>44963</v>
      </c>
      <c r="C213" s="1" t="n">
        <v>45952</v>
      </c>
      <c r="D213" t="inlineStr">
        <is>
          <t>VÄSTRA GÖTALANDS LÄN</t>
        </is>
      </c>
      <c r="E213" t="inlineStr">
        <is>
          <t>TROLLHÄTTAN</t>
        </is>
      </c>
      <c r="G213" t="n">
        <v>2.8</v>
      </c>
      <c r="H213" t="n">
        <v>3</v>
      </c>
      <c r="I213" t="n">
        <v>0</v>
      </c>
      <c r="J213" t="n">
        <v>1</v>
      </c>
      <c r="K213" t="n">
        <v>0</v>
      </c>
      <c r="L213" t="n">
        <v>0</v>
      </c>
      <c r="M213" t="n">
        <v>0</v>
      </c>
      <c r="N213" t="n">
        <v>0</v>
      </c>
      <c r="O213" t="n">
        <v>1</v>
      </c>
      <c r="P213" t="n">
        <v>0</v>
      </c>
      <c r="Q213" t="n">
        <v>3</v>
      </c>
      <c r="R213" s="2" t="inlineStr">
        <is>
          <t>Havsörn
Tjäder
Trana</t>
        </is>
      </c>
      <c r="S213">
        <f>HYPERLINK("https://klasma.github.io/Logging_1488/artfynd/A 5767-2023 artfynd.xlsx", "A 5767-2023")</f>
        <v/>
      </c>
      <c r="T213">
        <f>HYPERLINK("https://klasma.github.io/Logging_1488/kartor/A 5767-2023 karta.png", "A 5767-2023")</f>
        <v/>
      </c>
      <c r="V213">
        <f>HYPERLINK("https://klasma.github.io/Logging_1488/klagomål/A 5767-2023 FSC-klagomål.docx", "A 5767-2023")</f>
        <v/>
      </c>
      <c r="W213">
        <f>HYPERLINK("https://klasma.github.io/Logging_1488/klagomålsmail/A 5767-2023 FSC-klagomål mail.docx", "A 5767-2023")</f>
        <v/>
      </c>
      <c r="X213">
        <f>HYPERLINK("https://klasma.github.io/Logging_1488/tillsyn/A 5767-2023 tillsynsbegäran.docx", "A 5767-2023")</f>
        <v/>
      </c>
      <c r="Y213">
        <f>HYPERLINK("https://klasma.github.io/Logging_1488/tillsynsmail/A 5767-2023 tillsynsbegäran mail.docx", "A 5767-2023")</f>
        <v/>
      </c>
      <c r="Z213">
        <f>HYPERLINK("https://klasma.github.io/Logging_1488/fåglar/A 5767-2023 prioriterade fågelarter.docx", "A 5767-2023")</f>
        <v/>
      </c>
    </row>
    <row r="214" ht="15" customHeight="1">
      <c r="A214" t="inlineStr">
        <is>
          <t>A 22268-2025</t>
        </is>
      </c>
      <c r="B214" s="1" t="n">
        <v>45785</v>
      </c>
      <c r="C214" s="1" t="n">
        <v>45952</v>
      </c>
      <c r="D214" t="inlineStr">
        <is>
          <t>VÄSTRA GÖTALANDS LÄN</t>
        </is>
      </c>
      <c r="E214" t="inlineStr">
        <is>
          <t>SKÖVDE</t>
        </is>
      </c>
      <c r="G214" t="n">
        <v>1.4</v>
      </c>
      <c r="H214" t="n">
        <v>1</v>
      </c>
      <c r="I214" t="n">
        <v>0</v>
      </c>
      <c r="J214" t="n">
        <v>2</v>
      </c>
      <c r="K214" t="n">
        <v>1</v>
      </c>
      <c r="L214" t="n">
        <v>0</v>
      </c>
      <c r="M214" t="n">
        <v>0</v>
      </c>
      <c r="N214" t="n">
        <v>0</v>
      </c>
      <c r="O214" t="n">
        <v>3</v>
      </c>
      <c r="P214" t="n">
        <v>1</v>
      </c>
      <c r="Q214" t="n">
        <v>3</v>
      </c>
      <c r="R214" s="2" t="inlineStr">
        <is>
          <t>Knärot
Motaggsvamp
Svart taggsvamp</t>
        </is>
      </c>
      <c r="S214">
        <f>HYPERLINK("https://klasma.github.io/Logging_1496/artfynd/A 22268-2025 artfynd.xlsx", "A 22268-2025")</f>
        <v/>
      </c>
      <c r="T214">
        <f>HYPERLINK("https://klasma.github.io/Logging_1496/kartor/A 22268-2025 karta.png", "A 22268-2025")</f>
        <v/>
      </c>
      <c r="U214">
        <f>HYPERLINK("https://klasma.github.io/Logging_1496/knärot/A 22268-2025 karta knärot.png", "A 22268-2025")</f>
        <v/>
      </c>
      <c r="V214">
        <f>HYPERLINK("https://klasma.github.io/Logging_1496/klagomål/A 22268-2025 FSC-klagomål.docx", "A 22268-2025")</f>
        <v/>
      </c>
      <c r="W214">
        <f>HYPERLINK("https://klasma.github.io/Logging_1496/klagomålsmail/A 22268-2025 FSC-klagomål mail.docx", "A 22268-2025")</f>
        <v/>
      </c>
      <c r="X214">
        <f>HYPERLINK("https://klasma.github.io/Logging_1496/tillsyn/A 22268-2025 tillsynsbegäran.docx", "A 22268-2025")</f>
        <v/>
      </c>
      <c r="Y214">
        <f>HYPERLINK("https://klasma.github.io/Logging_1496/tillsynsmail/A 22268-2025 tillsynsbegäran mail.docx", "A 22268-2025")</f>
        <v/>
      </c>
    </row>
    <row r="215" ht="15" customHeight="1">
      <c r="A215" t="inlineStr">
        <is>
          <t>A 9332-2025</t>
        </is>
      </c>
      <c r="B215" s="1" t="n">
        <v>45714.7971875</v>
      </c>
      <c r="C215" s="1" t="n">
        <v>45952</v>
      </c>
      <c r="D215" t="inlineStr">
        <is>
          <t>VÄSTRA GÖTALANDS LÄN</t>
        </is>
      </c>
      <c r="E215" t="inlineStr">
        <is>
          <t>BENGTSFORS</t>
        </is>
      </c>
      <c r="G215" t="n">
        <v>4.3</v>
      </c>
      <c r="H215" t="n">
        <v>3</v>
      </c>
      <c r="I215" t="n">
        <v>0</v>
      </c>
      <c r="J215" t="n">
        <v>1</v>
      </c>
      <c r="K215" t="n">
        <v>0</v>
      </c>
      <c r="L215" t="n">
        <v>0</v>
      </c>
      <c r="M215" t="n">
        <v>0</v>
      </c>
      <c r="N215" t="n">
        <v>0</v>
      </c>
      <c r="O215" t="n">
        <v>1</v>
      </c>
      <c r="P215" t="n">
        <v>0</v>
      </c>
      <c r="Q215" t="n">
        <v>3</v>
      </c>
      <c r="R215" s="2" t="inlineStr">
        <is>
          <t>Spillkråka
Grönsiska
Blåsippa</t>
        </is>
      </c>
      <c r="S215">
        <f>HYPERLINK("https://klasma.github.io/Logging_1460/artfynd/A 9332-2025 artfynd.xlsx", "A 9332-2025")</f>
        <v/>
      </c>
      <c r="T215">
        <f>HYPERLINK("https://klasma.github.io/Logging_1460/kartor/A 9332-2025 karta.png", "A 9332-2025")</f>
        <v/>
      </c>
      <c r="V215">
        <f>HYPERLINK("https://klasma.github.io/Logging_1460/klagomål/A 9332-2025 FSC-klagomål.docx", "A 9332-2025")</f>
        <v/>
      </c>
      <c r="W215">
        <f>HYPERLINK("https://klasma.github.io/Logging_1460/klagomålsmail/A 9332-2025 FSC-klagomål mail.docx", "A 9332-2025")</f>
        <v/>
      </c>
      <c r="X215">
        <f>HYPERLINK("https://klasma.github.io/Logging_1460/tillsyn/A 9332-2025 tillsynsbegäran.docx", "A 9332-2025")</f>
        <v/>
      </c>
      <c r="Y215">
        <f>HYPERLINK("https://klasma.github.io/Logging_1460/tillsynsmail/A 9332-2025 tillsynsbegäran mail.docx", "A 9332-2025")</f>
        <v/>
      </c>
      <c r="Z215">
        <f>HYPERLINK("https://klasma.github.io/Logging_1460/fåglar/A 9332-2025 prioriterade fågelarter.docx", "A 9332-2025")</f>
        <v/>
      </c>
    </row>
    <row r="216" ht="15" customHeight="1">
      <c r="A216" t="inlineStr">
        <is>
          <t>A 51423-2024</t>
        </is>
      </c>
      <c r="B216" s="1" t="n">
        <v>45604</v>
      </c>
      <c r="C216" s="1" t="n">
        <v>45952</v>
      </c>
      <c r="D216" t="inlineStr">
        <is>
          <t>VÄSTRA GÖTALANDS LÄN</t>
        </is>
      </c>
      <c r="E216" t="inlineStr">
        <is>
          <t>BORÅS</t>
        </is>
      </c>
      <c r="G216" t="n">
        <v>1.7</v>
      </c>
      <c r="H216" t="n">
        <v>2</v>
      </c>
      <c r="I216" t="n">
        <v>0</v>
      </c>
      <c r="J216" t="n">
        <v>1</v>
      </c>
      <c r="K216" t="n">
        <v>1</v>
      </c>
      <c r="L216" t="n">
        <v>0</v>
      </c>
      <c r="M216" t="n">
        <v>0</v>
      </c>
      <c r="N216" t="n">
        <v>0</v>
      </c>
      <c r="O216" t="n">
        <v>2</v>
      </c>
      <c r="P216" t="n">
        <v>1</v>
      </c>
      <c r="Q216" t="n">
        <v>3</v>
      </c>
      <c r="R216" s="2" t="inlineStr">
        <is>
          <t>Knärot
Svart taggsvamp
Nattviol</t>
        </is>
      </c>
      <c r="S216">
        <f>HYPERLINK("https://klasma.github.io/Logging_1490/artfynd/A 51423-2024 artfynd.xlsx", "A 51423-2024")</f>
        <v/>
      </c>
      <c r="T216">
        <f>HYPERLINK("https://klasma.github.io/Logging_1490/kartor/A 51423-2024 karta.png", "A 51423-2024")</f>
        <v/>
      </c>
      <c r="U216">
        <f>HYPERLINK("https://klasma.github.io/Logging_1490/knärot/A 51423-2024 karta knärot.png", "A 51423-2024")</f>
        <v/>
      </c>
      <c r="V216">
        <f>HYPERLINK("https://klasma.github.io/Logging_1490/klagomål/A 51423-2024 FSC-klagomål.docx", "A 51423-2024")</f>
        <v/>
      </c>
      <c r="W216">
        <f>HYPERLINK("https://klasma.github.io/Logging_1490/klagomålsmail/A 51423-2024 FSC-klagomål mail.docx", "A 51423-2024")</f>
        <v/>
      </c>
      <c r="X216">
        <f>HYPERLINK("https://klasma.github.io/Logging_1490/tillsyn/A 51423-2024 tillsynsbegäran.docx", "A 51423-2024")</f>
        <v/>
      </c>
      <c r="Y216">
        <f>HYPERLINK("https://klasma.github.io/Logging_1490/tillsynsmail/A 51423-2024 tillsynsbegäran mail.docx", "A 51423-2024")</f>
        <v/>
      </c>
    </row>
    <row r="217" ht="15" customHeight="1">
      <c r="A217" t="inlineStr">
        <is>
          <t>A 47220-2025</t>
        </is>
      </c>
      <c r="B217" s="1" t="n">
        <v>45930</v>
      </c>
      <c r="C217" s="1" t="n">
        <v>45952</v>
      </c>
      <c r="D217" t="inlineStr">
        <is>
          <t>VÄSTRA GÖTALANDS LÄN</t>
        </is>
      </c>
      <c r="E217" t="inlineStr">
        <is>
          <t>BENGTSFORS</t>
        </is>
      </c>
      <c r="G217" t="n">
        <v>3.5</v>
      </c>
      <c r="H217" t="n">
        <v>3</v>
      </c>
      <c r="I217" t="n">
        <v>0</v>
      </c>
      <c r="J217" t="n">
        <v>1</v>
      </c>
      <c r="K217" t="n">
        <v>0</v>
      </c>
      <c r="L217" t="n">
        <v>0</v>
      </c>
      <c r="M217" t="n">
        <v>0</v>
      </c>
      <c r="N217" t="n">
        <v>0</v>
      </c>
      <c r="O217" t="n">
        <v>1</v>
      </c>
      <c r="P217" t="n">
        <v>0</v>
      </c>
      <c r="Q217" t="n">
        <v>3</v>
      </c>
      <c r="R217" s="2" t="inlineStr">
        <is>
          <t>Björktrast
Grönsiska
Kungsfågel</t>
        </is>
      </c>
      <c r="S217">
        <f>HYPERLINK("https://klasma.github.io/Logging_1460/artfynd/A 47220-2025 artfynd.xlsx", "A 47220-2025")</f>
        <v/>
      </c>
      <c r="T217">
        <f>HYPERLINK("https://klasma.github.io/Logging_1460/kartor/A 47220-2025 karta.png", "A 47220-2025")</f>
        <v/>
      </c>
      <c r="V217">
        <f>HYPERLINK("https://klasma.github.io/Logging_1460/klagomål/A 47220-2025 FSC-klagomål.docx", "A 47220-2025")</f>
        <v/>
      </c>
      <c r="W217">
        <f>HYPERLINK("https://klasma.github.io/Logging_1460/klagomålsmail/A 47220-2025 FSC-klagomål mail.docx", "A 47220-2025")</f>
        <v/>
      </c>
      <c r="X217">
        <f>HYPERLINK("https://klasma.github.io/Logging_1460/tillsyn/A 47220-2025 tillsynsbegäran.docx", "A 47220-2025")</f>
        <v/>
      </c>
      <c r="Y217">
        <f>HYPERLINK("https://klasma.github.io/Logging_1460/tillsynsmail/A 47220-2025 tillsynsbegäran mail.docx", "A 47220-2025")</f>
        <v/>
      </c>
      <c r="Z217">
        <f>HYPERLINK("https://klasma.github.io/Logging_1460/fåglar/A 47220-2025 prioriterade fågelarter.docx", "A 47220-2025")</f>
        <v/>
      </c>
    </row>
    <row r="218" ht="15" customHeight="1">
      <c r="A218" t="inlineStr">
        <is>
          <t>A 1171-2023</t>
        </is>
      </c>
      <c r="B218" s="1" t="n">
        <v>44935.68083333333</v>
      </c>
      <c r="C218" s="1" t="n">
        <v>45952</v>
      </c>
      <c r="D218" t="inlineStr">
        <is>
          <t>VÄSTRA GÖTALANDS LÄN</t>
        </is>
      </c>
      <c r="E218" t="inlineStr">
        <is>
          <t>FÄRGELANDA</t>
        </is>
      </c>
      <c r="G218" t="n">
        <v>6.8</v>
      </c>
      <c r="H218" t="n">
        <v>3</v>
      </c>
      <c r="I218" t="n">
        <v>0</v>
      </c>
      <c r="J218" t="n">
        <v>1</v>
      </c>
      <c r="K218" t="n">
        <v>0</v>
      </c>
      <c r="L218" t="n">
        <v>0</v>
      </c>
      <c r="M218" t="n">
        <v>0</v>
      </c>
      <c r="N218" t="n">
        <v>0</v>
      </c>
      <c r="O218" t="n">
        <v>1</v>
      </c>
      <c r="P218" t="n">
        <v>0</v>
      </c>
      <c r="Q218" t="n">
        <v>3</v>
      </c>
      <c r="R218" s="2" t="inlineStr">
        <is>
          <t>Spillkråka
Tjäder
Revlummer</t>
        </is>
      </c>
      <c r="S218">
        <f>HYPERLINK("https://klasma.github.io/Logging_1439/artfynd/A 1171-2023 artfynd.xlsx", "A 1171-2023")</f>
        <v/>
      </c>
      <c r="T218">
        <f>HYPERLINK("https://klasma.github.io/Logging_1439/kartor/A 1171-2023 karta.png", "A 1171-2023")</f>
        <v/>
      </c>
      <c r="V218">
        <f>HYPERLINK("https://klasma.github.io/Logging_1439/klagomål/A 1171-2023 FSC-klagomål.docx", "A 1171-2023")</f>
        <v/>
      </c>
      <c r="W218">
        <f>HYPERLINK("https://klasma.github.io/Logging_1439/klagomålsmail/A 1171-2023 FSC-klagomål mail.docx", "A 1171-2023")</f>
        <v/>
      </c>
      <c r="X218">
        <f>HYPERLINK("https://klasma.github.io/Logging_1439/tillsyn/A 1171-2023 tillsynsbegäran.docx", "A 1171-2023")</f>
        <v/>
      </c>
      <c r="Y218">
        <f>HYPERLINK("https://klasma.github.io/Logging_1439/tillsynsmail/A 1171-2023 tillsynsbegäran mail.docx", "A 1171-2023")</f>
        <v/>
      </c>
      <c r="Z218">
        <f>HYPERLINK("https://klasma.github.io/Logging_1439/fåglar/A 1171-2023 prioriterade fågelarter.docx", "A 1171-2023")</f>
        <v/>
      </c>
    </row>
    <row r="219" ht="15" customHeight="1">
      <c r="A219" t="inlineStr">
        <is>
          <t>A 11794-2025</t>
        </is>
      </c>
      <c r="B219" s="1" t="n">
        <v>45727.73962962963</v>
      </c>
      <c r="C219" s="1" t="n">
        <v>45952</v>
      </c>
      <c r="D219" t="inlineStr">
        <is>
          <t>VÄSTRA GÖTALANDS LÄN</t>
        </is>
      </c>
      <c r="E219" t="inlineStr">
        <is>
          <t>STENUNGSUND</t>
        </is>
      </c>
      <c r="G219" t="n">
        <v>2.5</v>
      </c>
      <c r="H219" t="n">
        <v>2</v>
      </c>
      <c r="I219" t="n">
        <v>0</v>
      </c>
      <c r="J219" t="n">
        <v>1</v>
      </c>
      <c r="K219" t="n">
        <v>0</v>
      </c>
      <c r="L219" t="n">
        <v>0</v>
      </c>
      <c r="M219" t="n">
        <v>0</v>
      </c>
      <c r="N219" t="n">
        <v>0</v>
      </c>
      <c r="O219" t="n">
        <v>1</v>
      </c>
      <c r="P219" t="n">
        <v>0</v>
      </c>
      <c r="Q219" t="n">
        <v>3</v>
      </c>
      <c r="R219" s="2" t="inlineStr">
        <is>
          <t>Tallticka
Vanlig groda
Revlummer</t>
        </is>
      </c>
      <c r="S219">
        <f>HYPERLINK("https://klasma.github.io/Logging_1415/artfynd/A 11794-2025 artfynd.xlsx", "A 11794-2025")</f>
        <v/>
      </c>
      <c r="T219">
        <f>HYPERLINK("https://klasma.github.io/Logging_1415/kartor/A 11794-2025 karta.png", "A 11794-2025")</f>
        <v/>
      </c>
      <c r="V219">
        <f>HYPERLINK("https://klasma.github.io/Logging_1415/klagomål/A 11794-2025 FSC-klagomål.docx", "A 11794-2025")</f>
        <v/>
      </c>
      <c r="W219">
        <f>HYPERLINK("https://klasma.github.io/Logging_1415/klagomålsmail/A 11794-2025 FSC-klagomål mail.docx", "A 11794-2025")</f>
        <v/>
      </c>
      <c r="X219">
        <f>HYPERLINK("https://klasma.github.io/Logging_1415/tillsyn/A 11794-2025 tillsynsbegäran.docx", "A 11794-2025")</f>
        <v/>
      </c>
      <c r="Y219">
        <f>HYPERLINK("https://klasma.github.io/Logging_1415/tillsynsmail/A 11794-2025 tillsynsbegäran mail.docx", "A 11794-2025")</f>
        <v/>
      </c>
    </row>
    <row r="220" ht="15" customHeight="1">
      <c r="A220" t="inlineStr">
        <is>
          <t>A 62065-2024</t>
        </is>
      </c>
      <c r="B220" s="1" t="n">
        <v>45656.39114583333</v>
      </c>
      <c r="C220" s="1" t="n">
        <v>45952</v>
      </c>
      <c r="D220" t="inlineStr">
        <is>
          <t>VÄSTRA GÖTALANDS LÄN</t>
        </is>
      </c>
      <c r="E220" t="inlineStr">
        <is>
          <t>UDDEVALLA</t>
        </is>
      </c>
      <c r="F220" t="inlineStr">
        <is>
          <t>Kommuner</t>
        </is>
      </c>
      <c r="G220" t="n">
        <v>3.6</v>
      </c>
      <c r="H220" t="n">
        <v>3</v>
      </c>
      <c r="I220" t="n">
        <v>0</v>
      </c>
      <c r="J220" t="n">
        <v>0</v>
      </c>
      <c r="K220" t="n">
        <v>0</v>
      </c>
      <c r="L220" t="n">
        <v>0</v>
      </c>
      <c r="M220" t="n">
        <v>0</v>
      </c>
      <c r="N220" t="n">
        <v>0</v>
      </c>
      <c r="O220" t="n">
        <v>0</v>
      </c>
      <c r="P220" t="n">
        <v>0</v>
      </c>
      <c r="Q220" t="n">
        <v>3</v>
      </c>
      <c r="R220" s="2" t="inlineStr">
        <is>
          <t>Större vattensalamander
Mindre vattensalamander
Vanlig groda</t>
        </is>
      </c>
      <c r="S220">
        <f>HYPERLINK("https://klasma.github.io/Logging_1485/artfynd/A 62065-2024 artfynd.xlsx", "A 62065-2024")</f>
        <v/>
      </c>
      <c r="T220">
        <f>HYPERLINK("https://klasma.github.io/Logging_1485/kartor/A 62065-2024 karta.png", "A 62065-2024")</f>
        <v/>
      </c>
      <c r="V220">
        <f>HYPERLINK("https://klasma.github.io/Logging_1485/klagomål/A 62065-2024 FSC-klagomål.docx", "A 62065-2024")</f>
        <v/>
      </c>
      <c r="W220">
        <f>HYPERLINK("https://klasma.github.io/Logging_1485/klagomålsmail/A 62065-2024 FSC-klagomål mail.docx", "A 62065-2024")</f>
        <v/>
      </c>
      <c r="X220">
        <f>HYPERLINK("https://klasma.github.io/Logging_1485/tillsyn/A 62065-2024 tillsynsbegäran.docx", "A 62065-2024")</f>
        <v/>
      </c>
      <c r="Y220">
        <f>HYPERLINK("https://klasma.github.io/Logging_1485/tillsynsmail/A 62065-2024 tillsynsbegäran mail.docx", "A 62065-2024")</f>
        <v/>
      </c>
    </row>
    <row r="221" ht="15" customHeight="1">
      <c r="A221" t="inlineStr">
        <is>
          <t>A 62051-2024</t>
        </is>
      </c>
      <c r="B221" s="1" t="n">
        <v>45656.36642361111</v>
      </c>
      <c r="C221" s="1" t="n">
        <v>45952</v>
      </c>
      <c r="D221" t="inlineStr">
        <is>
          <t>VÄSTRA GÖTALANDS LÄN</t>
        </is>
      </c>
      <c r="E221" t="inlineStr">
        <is>
          <t>UDDEVALLA</t>
        </is>
      </c>
      <c r="F221" t="inlineStr">
        <is>
          <t>Kommuner</t>
        </is>
      </c>
      <c r="G221" t="n">
        <v>5.5</v>
      </c>
      <c r="H221" t="n">
        <v>3</v>
      </c>
      <c r="I221" t="n">
        <v>0</v>
      </c>
      <c r="J221" t="n">
        <v>3</v>
      </c>
      <c r="K221" t="n">
        <v>0</v>
      </c>
      <c r="L221" t="n">
        <v>0</v>
      </c>
      <c r="M221" t="n">
        <v>0</v>
      </c>
      <c r="N221" t="n">
        <v>0</v>
      </c>
      <c r="O221" t="n">
        <v>3</v>
      </c>
      <c r="P221" t="n">
        <v>0</v>
      </c>
      <c r="Q221" t="n">
        <v>3</v>
      </c>
      <c r="R221" s="2" t="inlineStr">
        <is>
          <t>Duvhök
Spillkråka
Talltita</t>
        </is>
      </c>
      <c r="S221">
        <f>HYPERLINK("https://klasma.github.io/Logging_1485/artfynd/A 62051-2024 artfynd.xlsx", "A 62051-2024")</f>
        <v/>
      </c>
      <c r="T221">
        <f>HYPERLINK("https://klasma.github.io/Logging_1485/kartor/A 62051-2024 karta.png", "A 62051-2024")</f>
        <v/>
      </c>
      <c r="V221">
        <f>HYPERLINK("https://klasma.github.io/Logging_1485/klagomål/A 62051-2024 FSC-klagomål.docx", "A 62051-2024")</f>
        <v/>
      </c>
      <c r="W221">
        <f>HYPERLINK("https://klasma.github.io/Logging_1485/klagomålsmail/A 62051-2024 FSC-klagomål mail.docx", "A 62051-2024")</f>
        <v/>
      </c>
      <c r="X221">
        <f>HYPERLINK("https://klasma.github.io/Logging_1485/tillsyn/A 62051-2024 tillsynsbegäran.docx", "A 62051-2024")</f>
        <v/>
      </c>
      <c r="Y221">
        <f>HYPERLINK("https://klasma.github.io/Logging_1485/tillsynsmail/A 62051-2024 tillsynsbegäran mail.docx", "A 62051-2024")</f>
        <v/>
      </c>
      <c r="Z221">
        <f>HYPERLINK("https://klasma.github.io/Logging_1485/fåglar/A 62051-2024 prioriterade fågelarter.docx", "A 62051-2024")</f>
        <v/>
      </c>
    </row>
    <row r="222" ht="15" customHeight="1">
      <c r="A222" t="inlineStr">
        <is>
          <t>A 14805-2023</t>
        </is>
      </c>
      <c r="B222" s="1" t="n">
        <v>45014</v>
      </c>
      <c r="C222" s="1" t="n">
        <v>45952</v>
      </c>
      <c r="D222" t="inlineStr">
        <is>
          <t>VÄSTRA GÖTALANDS LÄN</t>
        </is>
      </c>
      <c r="E222" t="inlineStr">
        <is>
          <t>ORUST</t>
        </is>
      </c>
      <c r="G222" t="n">
        <v>3.2</v>
      </c>
      <c r="H222" t="n">
        <v>2</v>
      </c>
      <c r="I222" t="n">
        <v>1</v>
      </c>
      <c r="J222" t="n">
        <v>1</v>
      </c>
      <c r="K222" t="n">
        <v>1</v>
      </c>
      <c r="L222" t="n">
        <v>0</v>
      </c>
      <c r="M222" t="n">
        <v>0</v>
      </c>
      <c r="N222" t="n">
        <v>0</v>
      </c>
      <c r="O222" t="n">
        <v>2</v>
      </c>
      <c r="P222" t="n">
        <v>1</v>
      </c>
      <c r="Q222" t="n">
        <v>3</v>
      </c>
      <c r="R222" s="2" t="inlineStr">
        <is>
          <t>Knärot
Grönsångare
Purpurmylia</t>
        </is>
      </c>
      <c r="S222">
        <f>HYPERLINK("https://klasma.github.io/Logging_1421/artfynd/A 14805-2023 artfynd.xlsx", "A 14805-2023")</f>
        <v/>
      </c>
      <c r="T222">
        <f>HYPERLINK("https://klasma.github.io/Logging_1421/kartor/A 14805-2023 karta.png", "A 14805-2023")</f>
        <v/>
      </c>
      <c r="U222">
        <f>HYPERLINK("https://klasma.github.io/Logging_1421/knärot/A 14805-2023 karta knärot.png", "A 14805-2023")</f>
        <v/>
      </c>
      <c r="V222">
        <f>HYPERLINK("https://klasma.github.io/Logging_1421/klagomål/A 14805-2023 FSC-klagomål.docx", "A 14805-2023")</f>
        <v/>
      </c>
      <c r="W222">
        <f>HYPERLINK("https://klasma.github.io/Logging_1421/klagomålsmail/A 14805-2023 FSC-klagomål mail.docx", "A 14805-2023")</f>
        <v/>
      </c>
      <c r="X222">
        <f>HYPERLINK("https://klasma.github.io/Logging_1421/tillsyn/A 14805-2023 tillsynsbegäran.docx", "A 14805-2023")</f>
        <v/>
      </c>
      <c r="Y222">
        <f>HYPERLINK("https://klasma.github.io/Logging_1421/tillsynsmail/A 14805-2023 tillsynsbegäran mail.docx", "A 14805-2023")</f>
        <v/>
      </c>
      <c r="Z222">
        <f>HYPERLINK("https://klasma.github.io/Logging_1421/fåglar/A 14805-2023 prioriterade fågelarter.docx", "A 14805-2023")</f>
        <v/>
      </c>
    </row>
    <row r="223" ht="15" customHeight="1">
      <c r="A223" t="inlineStr">
        <is>
          <t>A 31621-2024</t>
        </is>
      </c>
      <c r="B223" s="1" t="n">
        <v>45506.47185185185</v>
      </c>
      <c r="C223" s="1" t="n">
        <v>45952</v>
      </c>
      <c r="D223" t="inlineStr">
        <is>
          <t>VÄSTRA GÖTALANDS LÄN</t>
        </is>
      </c>
      <c r="E223" t="inlineStr">
        <is>
          <t>SKÖVDE</t>
        </is>
      </c>
      <c r="G223" t="n">
        <v>1.3</v>
      </c>
      <c r="H223" t="n">
        <v>0</v>
      </c>
      <c r="I223" t="n">
        <v>0</v>
      </c>
      <c r="J223" t="n">
        <v>1</v>
      </c>
      <c r="K223" t="n">
        <v>1</v>
      </c>
      <c r="L223" t="n">
        <v>1</v>
      </c>
      <c r="M223" t="n">
        <v>0</v>
      </c>
      <c r="N223" t="n">
        <v>0</v>
      </c>
      <c r="O223" t="n">
        <v>3</v>
      </c>
      <c r="P223" t="n">
        <v>2</v>
      </c>
      <c r="Q223" t="n">
        <v>3</v>
      </c>
      <c r="R223" s="2" t="inlineStr">
        <is>
          <t>Ask
Plattsäv
Majviva</t>
        </is>
      </c>
      <c r="S223">
        <f>HYPERLINK("https://klasma.github.io/Logging_1496/artfynd/A 31621-2024 artfynd.xlsx", "A 31621-2024")</f>
        <v/>
      </c>
      <c r="T223">
        <f>HYPERLINK("https://klasma.github.io/Logging_1496/kartor/A 31621-2024 karta.png", "A 31621-2024")</f>
        <v/>
      </c>
      <c r="V223">
        <f>HYPERLINK("https://klasma.github.io/Logging_1496/klagomål/A 31621-2024 FSC-klagomål.docx", "A 31621-2024")</f>
        <v/>
      </c>
      <c r="W223">
        <f>HYPERLINK("https://klasma.github.io/Logging_1496/klagomålsmail/A 31621-2024 FSC-klagomål mail.docx", "A 31621-2024")</f>
        <v/>
      </c>
      <c r="X223">
        <f>HYPERLINK("https://klasma.github.io/Logging_1496/tillsyn/A 31621-2024 tillsynsbegäran.docx", "A 31621-2024")</f>
        <v/>
      </c>
      <c r="Y223">
        <f>HYPERLINK("https://klasma.github.io/Logging_1496/tillsynsmail/A 31621-2024 tillsynsbegäran mail.docx", "A 31621-2024")</f>
        <v/>
      </c>
    </row>
    <row r="224" ht="15" customHeight="1">
      <c r="A224" t="inlineStr">
        <is>
          <t>A 47058-2023</t>
        </is>
      </c>
      <c r="B224" s="1" t="n">
        <v>45201</v>
      </c>
      <c r="C224" s="1" t="n">
        <v>45952</v>
      </c>
      <c r="D224" t="inlineStr">
        <is>
          <t>VÄSTRA GÖTALANDS LÄN</t>
        </is>
      </c>
      <c r="E224" t="inlineStr">
        <is>
          <t>SKÖVDE</t>
        </is>
      </c>
      <c r="G224" t="n">
        <v>5.6</v>
      </c>
      <c r="H224" t="n">
        <v>3</v>
      </c>
      <c r="I224" t="n">
        <v>1</v>
      </c>
      <c r="J224" t="n">
        <v>0</v>
      </c>
      <c r="K224" t="n">
        <v>0</v>
      </c>
      <c r="L224" t="n">
        <v>0</v>
      </c>
      <c r="M224" t="n">
        <v>0</v>
      </c>
      <c r="N224" t="n">
        <v>0</v>
      </c>
      <c r="O224" t="n">
        <v>0</v>
      </c>
      <c r="P224" t="n">
        <v>0</v>
      </c>
      <c r="Q224" t="n">
        <v>3</v>
      </c>
      <c r="R224" s="2" t="inlineStr">
        <is>
          <t>Korallrot
Grönvit nattviol
Revlummer</t>
        </is>
      </c>
      <c r="S224">
        <f>HYPERLINK("https://klasma.github.io/Logging_1496/artfynd/A 47058-2023 artfynd.xlsx", "A 47058-2023")</f>
        <v/>
      </c>
      <c r="T224">
        <f>HYPERLINK("https://klasma.github.io/Logging_1496/kartor/A 47058-2023 karta.png", "A 47058-2023")</f>
        <v/>
      </c>
      <c r="V224">
        <f>HYPERLINK("https://klasma.github.io/Logging_1496/klagomål/A 47058-2023 FSC-klagomål.docx", "A 47058-2023")</f>
        <v/>
      </c>
      <c r="W224">
        <f>HYPERLINK("https://klasma.github.io/Logging_1496/klagomålsmail/A 47058-2023 FSC-klagomål mail.docx", "A 47058-2023")</f>
        <v/>
      </c>
      <c r="X224">
        <f>HYPERLINK("https://klasma.github.io/Logging_1496/tillsyn/A 47058-2023 tillsynsbegäran.docx", "A 47058-2023")</f>
        <v/>
      </c>
      <c r="Y224">
        <f>HYPERLINK("https://klasma.github.io/Logging_1496/tillsynsmail/A 47058-2023 tillsynsbegäran mail.docx", "A 47058-2023")</f>
        <v/>
      </c>
    </row>
    <row r="225" ht="15" customHeight="1">
      <c r="A225" t="inlineStr">
        <is>
          <t>A 4831-2025</t>
        </is>
      </c>
      <c r="B225" s="1" t="n">
        <v>45688</v>
      </c>
      <c r="C225" s="1" t="n">
        <v>45952</v>
      </c>
      <c r="D225" t="inlineStr">
        <is>
          <t>VÄSTRA GÖTALANDS LÄN</t>
        </is>
      </c>
      <c r="E225" t="inlineStr">
        <is>
          <t>LIDKÖPING</t>
        </is>
      </c>
      <c r="G225" t="n">
        <v>1.3</v>
      </c>
      <c r="H225" t="n">
        <v>0</v>
      </c>
      <c r="I225" t="n">
        <v>1</v>
      </c>
      <c r="J225" t="n">
        <v>0</v>
      </c>
      <c r="K225" t="n">
        <v>0</v>
      </c>
      <c r="L225" t="n">
        <v>1</v>
      </c>
      <c r="M225" t="n">
        <v>1</v>
      </c>
      <c r="N225" t="n">
        <v>0</v>
      </c>
      <c r="O225" t="n">
        <v>2</v>
      </c>
      <c r="P225" t="n">
        <v>2</v>
      </c>
      <c r="Q225" t="n">
        <v>3</v>
      </c>
      <c r="R225" s="2" t="inlineStr">
        <is>
          <t>Skogsalm
Ask
Barkticka</t>
        </is>
      </c>
      <c r="S225">
        <f>HYPERLINK("https://klasma.github.io/Logging_1494/artfynd/A 4831-2025 artfynd.xlsx", "A 4831-2025")</f>
        <v/>
      </c>
      <c r="T225">
        <f>HYPERLINK("https://klasma.github.io/Logging_1494/kartor/A 4831-2025 karta.png", "A 4831-2025")</f>
        <v/>
      </c>
      <c r="V225">
        <f>HYPERLINK("https://klasma.github.io/Logging_1494/klagomål/A 4831-2025 FSC-klagomål.docx", "A 4831-2025")</f>
        <v/>
      </c>
      <c r="W225">
        <f>HYPERLINK("https://klasma.github.io/Logging_1494/klagomålsmail/A 4831-2025 FSC-klagomål mail.docx", "A 4831-2025")</f>
        <v/>
      </c>
      <c r="X225">
        <f>HYPERLINK("https://klasma.github.io/Logging_1494/tillsyn/A 4831-2025 tillsynsbegäran.docx", "A 4831-2025")</f>
        <v/>
      </c>
      <c r="Y225">
        <f>HYPERLINK("https://klasma.github.io/Logging_1494/tillsynsmail/A 4831-2025 tillsynsbegäran mail.docx", "A 4831-2025")</f>
        <v/>
      </c>
    </row>
    <row r="226" ht="15" customHeight="1">
      <c r="A226" t="inlineStr">
        <is>
          <t>A 22630-2025</t>
        </is>
      </c>
      <c r="B226" s="1" t="n">
        <v>45789</v>
      </c>
      <c r="C226" s="1" t="n">
        <v>45952</v>
      </c>
      <c r="D226" t="inlineStr">
        <is>
          <t>VÄSTRA GÖTALANDS LÄN</t>
        </is>
      </c>
      <c r="E226" t="inlineStr">
        <is>
          <t>FALKÖPING</t>
        </is>
      </c>
      <c r="G226" t="n">
        <v>6</v>
      </c>
      <c r="H226" t="n">
        <v>1</v>
      </c>
      <c r="I226" t="n">
        <v>1</v>
      </c>
      <c r="J226" t="n">
        <v>1</v>
      </c>
      <c r="K226" t="n">
        <v>0</v>
      </c>
      <c r="L226" t="n">
        <v>0</v>
      </c>
      <c r="M226" t="n">
        <v>0</v>
      </c>
      <c r="N226" t="n">
        <v>0</v>
      </c>
      <c r="O226" t="n">
        <v>1</v>
      </c>
      <c r="P226" t="n">
        <v>0</v>
      </c>
      <c r="Q226" t="n">
        <v>3</v>
      </c>
      <c r="R226" s="2" t="inlineStr">
        <is>
          <t>Svinrot
Kornknutmossa
Gullviva</t>
        </is>
      </c>
      <c r="S226">
        <f>HYPERLINK("https://klasma.github.io/Logging_1499/artfynd/A 22630-2025 artfynd.xlsx", "A 22630-2025")</f>
        <v/>
      </c>
      <c r="T226">
        <f>HYPERLINK("https://klasma.github.io/Logging_1499/kartor/A 22630-2025 karta.png", "A 22630-2025")</f>
        <v/>
      </c>
      <c r="V226">
        <f>HYPERLINK("https://klasma.github.io/Logging_1499/klagomål/A 22630-2025 FSC-klagomål.docx", "A 22630-2025")</f>
        <v/>
      </c>
      <c r="W226">
        <f>HYPERLINK("https://klasma.github.io/Logging_1499/klagomålsmail/A 22630-2025 FSC-klagomål mail.docx", "A 22630-2025")</f>
        <v/>
      </c>
      <c r="X226">
        <f>HYPERLINK("https://klasma.github.io/Logging_1499/tillsyn/A 22630-2025 tillsynsbegäran.docx", "A 22630-2025")</f>
        <v/>
      </c>
      <c r="Y226">
        <f>HYPERLINK("https://klasma.github.io/Logging_1499/tillsynsmail/A 22630-2025 tillsynsbegäran mail.docx", "A 22630-2025")</f>
        <v/>
      </c>
    </row>
    <row r="227" ht="15" customHeight="1">
      <c r="A227" t="inlineStr">
        <is>
          <t>A 25010-2025</t>
        </is>
      </c>
      <c r="B227" s="1" t="n">
        <v>45799.6280787037</v>
      </c>
      <c r="C227" s="1" t="n">
        <v>45952</v>
      </c>
      <c r="D227" t="inlineStr">
        <is>
          <t>VÄSTRA GÖTALANDS LÄN</t>
        </is>
      </c>
      <c r="E227" t="inlineStr">
        <is>
          <t>UDDEVALLA</t>
        </is>
      </c>
      <c r="F227" t="inlineStr">
        <is>
          <t>Kommuner</t>
        </is>
      </c>
      <c r="G227" t="n">
        <v>3.6</v>
      </c>
      <c r="H227" t="n">
        <v>3</v>
      </c>
      <c r="I227" t="n">
        <v>0</v>
      </c>
      <c r="J227" t="n">
        <v>0</v>
      </c>
      <c r="K227" t="n">
        <v>0</v>
      </c>
      <c r="L227" t="n">
        <v>0</v>
      </c>
      <c r="M227" t="n">
        <v>0</v>
      </c>
      <c r="N227" t="n">
        <v>0</v>
      </c>
      <c r="O227" t="n">
        <v>0</v>
      </c>
      <c r="P227" t="n">
        <v>0</v>
      </c>
      <c r="Q227" t="n">
        <v>3</v>
      </c>
      <c r="R227" s="2" t="inlineStr">
        <is>
          <t>Större vattensalamander
Mindre vattensalamander
Vanlig groda</t>
        </is>
      </c>
      <c r="S227">
        <f>HYPERLINK("https://klasma.github.io/Logging_1485/artfynd/A 25010-2025 artfynd.xlsx", "A 25010-2025")</f>
        <v/>
      </c>
      <c r="T227">
        <f>HYPERLINK("https://klasma.github.io/Logging_1485/kartor/A 25010-2025 karta.png", "A 25010-2025")</f>
        <v/>
      </c>
      <c r="V227">
        <f>HYPERLINK("https://klasma.github.io/Logging_1485/klagomål/A 25010-2025 FSC-klagomål.docx", "A 25010-2025")</f>
        <v/>
      </c>
      <c r="W227">
        <f>HYPERLINK("https://klasma.github.io/Logging_1485/klagomålsmail/A 25010-2025 FSC-klagomål mail.docx", "A 25010-2025")</f>
        <v/>
      </c>
      <c r="X227">
        <f>HYPERLINK("https://klasma.github.io/Logging_1485/tillsyn/A 25010-2025 tillsynsbegäran.docx", "A 25010-2025")</f>
        <v/>
      </c>
      <c r="Y227">
        <f>HYPERLINK("https://klasma.github.io/Logging_1485/tillsynsmail/A 25010-2025 tillsynsbegäran mail.docx", "A 25010-2025")</f>
        <v/>
      </c>
    </row>
    <row r="228" ht="15" customHeight="1">
      <c r="A228" t="inlineStr">
        <is>
          <t>A 8924-2022</t>
        </is>
      </c>
      <c r="B228" s="1" t="n">
        <v>44614</v>
      </c>
      <c r="C228" s="1" t="n">
        <v>45952</v>
      </c>
      <c r="D228" t="inlineStr">
        <is>
          <t>VÄSTRA GÖTALANDS LÄN</t>
        </is>
      </c>
      <c r="E228" t="inlineStr">
        <is>
          <t>GULLSPÅNG</t>
        </is>
      </c>
      <c r="F228" t="inlineStr">
        <is>
          <t>Kyrkan</t>
        </is>
      </c>
      <c r="G228" t="n">
        <v>3.9</v>
      </c>
      <c r="H228" t="n">
        <v>3</v>
      </c>
      <c r="I228" t="n">
        <v>0</v>
      </c>
      <c r="J228" t="n">
        <v>0</v>
      </c>
      <c r="K228" t="n">
        <v>0</v>
      </c>
      <c r="L228" t="n">
        <v>0</v>
      </c>
      <c r="M228" t="n">
        <v>0</v>
      </c>
      <c r="N228" t="n">
        <v>0</v>
      </c>
      <c r="O228" t="n">
        <v>0</v>
      </c>
      <c r="P228" t="n">
        <v>0</v>
      </c>
      <c r="Q228" t="n">
        <v>3</v>
      </c>
      <c r="R228" s="2" t="inlineStr">
        <is>
          <t>Åkergroda
Vanlig groda
Vanlig padda</t>
        </is>
      </c>
      <c r="S228">
        <f>HYPERLINK("https://klasma.github.io/Logging_1447/artfynd/A 8924-2022 artfynd.xlsx", "A 8924-2022")</f>
        <v/>
      </c>
      <c r="T228">
        <f>HYPERLINK("https://klasma.github.io/Logging_1447/kartor/A 8924-2022 karta.png", "A 8924-2022")</f>
        <v/>
      </c>
      <c r="V228">
        <f>HYPERLINK("https://klasma.github.io/Logging_1447/klagomål/A 8924-2022 FSC-klagomål.docx", "A 8924-2022")</f>
        <v/>
      </c>
      <c r="W228">
        <f>HYPERLINK("https://klasma.github.io/Logging_1447/klagomålsmail/A 8924-2022 FSC-klagomål mail.docx", "A 8924-2022")</f>
        <v/>
      </c>
      <c r="X228">
        <f>HYPERLINK("https://klasma.github.io/Logging_1447/tillsyn/A 8924-2022 tillsynsbegäran.docx", "A 8924-2022")</f>
        <v/>
      </c>
      <c r="Y228">
        <f>HYPERLINK("https://klasma.github.io/Logging_1447/tillsynsmail/A 8924-2022 tillsynsbegäran mail.docx", "A 8924-2022")</f>
        <v/>
      </c>
    </row>
    <row r="229" ht="15" customHeight="1">
      <c r="A229" t="inlineStr">
        <is>
          <t>A 62068-2024</t>
        </is>
      </c>
      <c r="B229" s="1" t="n">
        <v>45656</v>
      </c>
      <c r="C229" s="1" t="n">
        <v>45952</v>
      </c>
      <c r="D229" t="inlineStr">
        <is>
          <t>VÄSTRA GÖTALANDS LÄN</t>
        </is>
      </c>
      <c r="E229" t="inlineStr">
        <is>
          <t>UDDEVALLA</t>
        </is>
      </c>
      <c r="F229" t="inlineStr">
        <is>
          <t>Kommuner</t>
        </is>
      </c>
      <c r="G229" t="n">
        <v>4.1</v>
      </c>
      <c r="H229" t="n">
        <v>2</v>
      </c>
      <c r="I229" t="n">
        <v>0</v>
      </c>
      <c r="J229" t="n">
        <v>1</v>
      </c>
      <c r="K229" t="n">
        <v>0</v>
      </c>
      <c r="L229" t="n">
        <v>1</v>
      </c>
      <c r="M229" t="n">
        <v>0</v>
      </c>
      <c r="N229" t="n">
        <v>0</v>
      </c>
      <c r="O229" t="n">
        <v>2</v>
      </c>
      <c r="P229" t="n">
        <v>1</v>
      </c>
      <c r="Q229" t="n">
        <v>3</v>
      </c>
      <c r="R229" s="2" t="inlineStr">
        <is>
          <t>Ask
Talltita
Kungsfågel</t>
        </is>
      </c>
      <c r="S229">
        <f>HYPERLINK("https://klasma.github.io/Logging_1485/artfynd/A 62068-2024 artfynd.xlsx", "A 62068-2024")</f>
        <v/>
      </c>
      <c r="T229">
        <f>HYPERLINK("https://klasma.github.io/Logging_1485/kartor/A 62068-2024 karta.png", "A 62068-2024")</f>
        <v/>
      </c>
      <c r="V229">
        <f>HYPERLINK("https://klasma.github.io/Logging_1485/klagomål/A 62068-2024 FSC-klagomål.docx", "A 62068-2024")</f>
        <v/>
      </c>
      <c r="W229">
        <f>HYPERLINK("https://klasma.github.io/Logging_1485/klagomålsmail/A 62068-2024 FSC-klagomål mail.docx", "A 62068-2024")</f>
        <v/>
      </c>
      <c r="X229">
        <f>HYPERLINK("https://klasma.github.io/Logging_1485/tillsyn/A 62068-2024 tillsynsbegäran.docx", "A 62068-2024")</f>
        <v/>
      </c>
      <c r="Y229">
        <f>HYPERLINK("https://klasma.github.io/Logging_1485/tillsynsmail/A 62068-2024 tillsynsbegäran mail.docx", "A 62068-2024")</f>
        <v/>
      </c>
      <c r="Z229">
        <f>HYPERLINK("https://klasma.github.io/Logging_1485/fåglar/A 62068-2024 prioriterade fågelarter.docx", "A 62068-2024")</f>
        <v/>
      </c>
    </row>
    <row r="230" ht="15" customHeight="1">
      <c r="A230" t="inlineStr">
        <is>
          <t>A 36627-2022</t>
        </is>
      </c>
      <c r="B230" s="1" t="n">
        <v>44804</v>
      </c>
      <c r="C230" s="1" t="n">
        <v>45952</v>
      </c>
      <c r="D230" t="inlineStr">
        <is>
          <t>VÄSTRA GÖTALANDS LÄN</t>
        </is>
      </c>
      <c r="E230" t="inlineStr">
        <is>
          <t>SKÖVDE</t>
        </is>
      </c>
      <c r="F230" t="inlineStr">
        <is>
          <t>Kommuner</t>
        </is>
      </c>
      <c r="G230" t="n">
        <v>2</v>
      </c>
      <c r="H230" t="n">
        <v>1</v>
      </c>
      <c r="I230" t="n">
        <v>1</v>
      </c>
      <c r="J230" t="n">
        <v>1</v>
      </c>
      <c r="K230" t="n">
        <v>0</v>
      </c>
      <c r="L230" t="n">
        <v>0</v>
      </c>
      <c r="M230" t="n">
        <v>1</v>
      </c>
      <c r="N230" t="n">
        <v>0</v>
      </c>
      <c r="O230" t="n">
        <v>2</v>
      </c>
      <c r="P230" t="n">
        <v>1</v>
      </c>
      <c r="Q230" t="n">
        <v>3</v>
      </c>
      <c r="R230" s="2" t="inlineStr">
        <is>
          <t>Skogsalm
Kråka
Myskbock</t>
        </is>
      </c>
      <c r="S230">
        <f>HYPERLINK("https://klasma.github.io/Logging_1496/artfynd/A 36627-2022 artfynd.xlsx", "A 36627-2022")</f>
        <v/>
      </c>
      <c r="T230">
        <f>HYPERLINK("https://klasma.github.io/Logging_1496/kartor/A 36627-2022 karta.png", "A 36627-2022")</f>
        <v/>
      </c>
      <c r="V230">
        <f>HYPERLINK("https://klasma.github.io/Logging_1496/klagomål/A 36627-2022 FSC-klagomål.docx", "A 36627-2022")</f>
        <v/>
      </c>
      <c r="W230">
        <f>HYPERLINK("https://klasma.github.io/Logging_1496/klagomålsmail/A 36627-2022 FSC-klagomål mail.docx", "A 36627-2022")</f>
        <v/>
      </c>
      <c r="X230">
        <f>HYPERLINK("https://klasma.github.io/Logging_1496/tillsyn/A 36627-2022 tillsynsbegäran.docx", "A 36627-2022")</f>
        <v/>
      </c>
      <c r="Y230">
        <f>HYPERLINK("https://klasma.github.io/Logging_1496/tillsynsmail/A 36627-2022 tillsynsbegäran mail.docx", "A 36627-2022")</f>
        <v/>
      </c>
      <c r="Z230">
        <f>HYPERLINK("https://klasma.github.io/Logging_1496/fåglar/A 36627-2022 prioriterade fågelarter.docx", "A 36627-2022")</f>
        <v/>
      </c>
    </row>
    <row r="231" ht="15" customHeight="1">
      <c r="A231" t="inlineStr">
        <is>
          <t>A 13261-2025</t>
        </is>
      </c>
      <c r="B231" s="1" t="n">
        <v>45735.52981481481</v>
      </c>
      <c r="C231" s="1" t="n">
        <v>45952</v>
      </c>
      <c r="D231" t="inlineStr">
        <is>
          <t>VÄSTRA GÖTALANDS LÄN</t>
        </is>
      </c>
      <c r="E231" t="inlineStr">
        <is>
          <t>SVENLJUNGA</t>
        </is>
      </c>
      <c r="G231" t="n">
        <v>6.2</v>
      </c>
      <c r="H231" t="n">
        <v>0</v>
      </c>
      <c r="I231" t="n">
        <v>3</v>
      </c>
      <c r="J231" t="n">
        <v>0</v>
      </c>
      <c r="K231" t="n">
        <v>0</v>
      </c>
      <c r="L231" t="n">
        <v>0</v>
      </c>
      <c r="M231" t="n">
        <v>0</v>
      </c>
      <c r="N231" t="n">
        <v>0</v>
      </c>
      <c r="O231" t="n">
        <v>0</v>
      </c>
      <c r="P231" t="n">
        <v>0</v>
      </c>
      <c r="Q231" t="n">
        <v>3</v>
      </c>
      <c r="R231" s="2" t="inlineStr">
        <is>
          <t>Bronshjon
Thomsons trägnagare
Vågbandad barkbock</t>
        </is>
      </c>
      <c r="S231">
        <f>HYPERLINK("https://klasma.github.io/Logging_1465/artfynd/A 13261-2025 artfynd.xlsx", "A 13261-2025")</f>
        <v/>
      </c>
      <c r="T231">
        <f>HYPERLINK("https://klasma.github.io/Logging_1465/kartor/A 13261-2025 karta.png", "A 13261-2025")</f>
        <v/>
      </c>
      <c r="V231">
        <f>HYPERLINK("https://klasma.github.io/Logging_1465/klagomål/A 13261-2025 FSC-klagomål.docx", "A 13261-2025")</f>
        <v/>
      </c>
      <c r="W231">
        <f>HYPERLINK("https://klasma.github.io/Logging_1465/klagomålsmail/A 13261-2025 FSC-klagomål mail.docx", "A 13261-2025")</f>
        <v/>
      </c>
      <c r="X231">
        <f>HYPERLINK("https://klasma.github.io/Logging_1465/tillsyn/A 13261-2025 tillsynsbegäran.docx", "A 13261-2025")</f>
        <v/>
      </c>
      <c r="Y231">
        <f>HYPERLINK("https://klasma.github.io/Logging_1465/tillsynsmail/A 13261-2025 tillsynsbegäran mail.docx", "A 13261-2025")</f>
        <v/>
      </c>
    </row>
    <row r="232" ht="15" customHeight="1">
      <c r="A232" t="inlineStr">
        <is>
          <t>A 32279-2024</t>
        </is>
      </c>
      <c r="B232" s="1" t="n">
        <v>45512</v>
      </c>
      <c r="C232" s="1" t="n">
        <v>45952</v>
      </c>
      <c r="D232" t="inlineStr">
        <is>
          <t>VÄSTRA GÖTALANDS LÄN</t>
        </is>
      </c>
      <c r="E232" t="inlineStr">
        <is>
          <t>STRÖMSTAD</t>
        </is>
      </c>
      <c r="G232" t="n">
        <v>1.5</v>
      </c>
      <c r="H232" t="n">
        <v>0</v>
      </c>
      <c r="I232" t="n">
        <v>3</v>
      </c>
      <c r="J232" t="n">
        <v>0</v>
      </c>
      <c r="K232" t="n">
        <v>0</v>
      </c>
      <c r="L232" t="n">
        <v>0</v>
      </c>
      <c r="M232" t="n">
        <v>0</v>
      </c>
      <c r="N232" t="n">
        <v>0</v>
      </c>
      <c r="O232" t="n">
        <v>0</v>
      </c>
      <c r="P232" t="n">
        <v>0</v>
      </c>
      <c r="Q232" t="n">
        <v>3</v>
      </c>
      <c r="R232" s="2" t="inlineStr">
        <is>
          <t>Kattfotslav
Stor aspticka
Stor revmossa</t>
        </is>
      </c>
      <c r="S232">
        <f>HYPERLINK("https://klasma.github.io/Logging_1486/artfynd/A 32279-2024 artfynd.xlsx", "A 32279-2024")</f>
        <v/>
      </c>
      <c r="T232">
        <f>HYPERLINK("https://klasma.github.io/Logging_1486/kartor/A 32279-2024 karta.png", "A 32279-2024")</f>
        <v/>
      </c>
      <c r="V232">
        <f>HYPERLINK("https://klasma.github.io/Logging_1486/klagomål/A 32279-2024 FSC-klagomål.docx", "A 32279-2024")</f>
        <v/>
      </c>
      <c r="W232">
        <f>HYPERLINK("https://klasma.github.io/Logging_1486/klagomålsmail/A 32279-2024 FSC-klagomål mail.docx", "A 32279-2024")</f>
        <v/>
      </c>
      <c r="X232">
        <f>HYPERLINK("https://klasma.github.io/Logging_1486/tillsyn/A 32279-2024 tillsynsbegäran.docx", "A 32279-2024")</f>
        <v/>
      </c>
      <c r="Y232">
        <f>HYPERLINK("https://klasma.github.io/Logging_1486/tillsynsmail/A 32279-2024 tillsynsbegäran mail.docx", "A 32279-2024")</f>
        <v/>
      </c>
    </row>
    <row r="233" ht="15" customHeight="1">
      <c r="A233" t="inlineStr">
        <is>
          <t>A 31985-2025</t>
        </is>
      </c>
      <c r="B233" s="1" t="n">
        <v>45835</v>
      </c>
      <c r="C233" s="1" t="n">
        <v>45952</v>
      </c>
      <c r="D233" t="inlineStr">
        <is>
          <t>VÄSTRA GÖTALANDS LÄN</t>
        </is>
      </c>
      <c r="E233" t="inlineStr">
        <is>
          <t>VÄNERSBORG</t>
        </is>
      </c>
      <c r="G233" t="n">
        <v>16.8</v>
      </c>
      <c r="H233" t="n">
        <v>1</v>
      </c>
      <c r="I233" t="n">
        <v>2</v>
      </c>
      <c r="J233" t="n">
        <v>0</v>
      </c>
      <c r="K233" t="n">
        <v>0</v>
      </c>
      <c r="L233" t="n">
        <v>0</v>
      </c>
      <c r="M233" t="n">
        <v>0</v>
      </c>
      <c r="N233" t="n">
        <v>0</v>
      </c>
      <c r="O233" t="n">
        <v>0</v>
      </c>
      <c r="P233" t="n">
        <v>0</v>
      </c>
      <c r="Q233" t="n">
        <v>3</v>
      </c>
      <c r="R233" s="2" t="inlineStr">
        <is>
          <t>Fällmossa
Vätteros
Gullviva</t>
        </is>
      </c>
      <c r="S233">
        <f>HYPERLINK("https://klasma.github.io/Logging_1487/artfynd/A 31985-2025 artfynd.xlsx", "A 31985-2025")</f>
        <v/>
      </c>
      <c r="T233">
        <f>HYPERLINK("https://klasma.github.io/Logging_1487/kartor/A 31985-2025 karta.png", "A 31985-2025")</f>
        <v/>
      </c>
      <c r="V233">
        <f>HYPERLINK("https://klasma.github.io/Logging_1487/klagomål/A 31985-2025 FSC-klagomål.docx", "A 31985-2025")</f>
        <v/>
      </c>
      <c r="W233">
        <f>HYPERLINK("https://klasma.github.io/Logging_1487/klagomålsmail/A 31985-2025 FSC-klagomål mail.docx", "A 31985-2025")</f>
        <v/>
      </c>
      <c r="X233">
        <f>HYPERLINK("https://klasma.github.io/Logging_1487/tillsyn/A 31985-2025 tillsynsbegäran.docx", "A 31985-2025")</f>
        <v/>
      </c>
      <c r="Y233">
        <f>HYPERLINK("https://klasma.github.io/Logging_1487/tillsynsmail/A 31985-2025 tillsynsbegäran mail.docx", "A 31985-2025")</f>
        <v/>
      </c>
    </row>
    <row r="234" ht="15" customHeight="1">
      <c r="A234" t="inlineStr">
        <is>
          <t>A 36424-2025</t>
        </is>
      </c>
      <c r="B234" s="1" t="n">
        <v>45868.90353009259</v>
      </c>
      <c r="C234" s="1" t="n">
        <v>45952</v>
      </c>
      <c r="D234" t="inlineStr">
        <is>
          <t>VÄSTRA GÖTALANDS LÄN</t>
        </is>
      </c>
      <c r="E234" t="inlineStr">
        <is>
          <t>KUNGÄLV</t>
        </is>
      </c>
      <c r="G234" t="n">
        <v>16.9</v>
      </c>
      <c r="H234" t="n">
        <v>1</v>
      </c>
      <c r="I234" t="n">
        <v>1</v>
      </c>
      <c r="J234" t="n">
        <v>2</v>
      </c>
      <c r="K234" t="n">
        <v>0</v>
      </c>
      <c r="L234" t="n">
        <v>0</v>
      </c>
      <c r="M234" t="n">
        <v>0</v>
      </c>
      <c r="N234" t="n">
        <v>0</v>
      </c>
      <c r="O234" t="n">
        <v>2</v>
      </c>
      <c r="P234" t="n">
        <v>0</v>
      </c>
      <c r="Q234" t="n">
        <v>3</v>
      </c>
      <c r="R234" s="2" t="inlineStr">
        <is>
          <t>Spillkråka
Vedtrappmossa
Västlig hakmossa</t>
        </is>
      </c>
      <c r="S234">
        <f>HYPERLINK("https://klasma.github.io/Logging_1482/artfynd/A 36424-2025 artfynd.xlsx", "A 36424-2025")</f>
        <v/>
      </c>
      <c r="T234">
        <f>HYPERLINK("https://klasma.github.io/Logging_1482/kartor/A 36424-2025 karta.png", "A 36424-2025")</f>
        <v/>
      </c>
      <c r="V234">
        <f>HYPERLINK("https://klasma.github.io/Logging_1482/klagomål/A 36424-2025 FSC-klagomål.docx", "A 36424-2025")</f>
        <v/>
      </c>
      <c r="W234">
        <f>HYPERLINK("https://klasma.github.io/Logging_1482/klagomålsmail/A 36424-2025 FSC-klagomål mail.docx", "A 36424-2025")</f>
        <v/>
      </c>
      <c r="X234">
        <f>HYPERLINK("https://klasma.github.io/Logging_1482/tillsyn/A 36424-2025 tillsynsbegäran.docx", "A 36424-2025")</f>
        <v/>
      </c>
      <c r="Y234">
        <f>HYPERLINK("https://klasma.github.io/Logging_1482/tillsynsmail/A 36424-2025 tillsynsbegäran mail.docx", "A 36424-2025")</f>
        <v/>
      </c>
      <c r="Z234">
        <f>HYPERLINK("https://klasma.github.io/Logging_1482/fåglar/A 36424-2025 prioriterade fågelarter.docx", "A 36424-2025")</f>
        <v/>
      </c>
    </row>
    <row r="235" ht="15" customHeight="1">
      <c r="A235" t="inlineStr">
        <is>
          <t>A 44132-2025</t>
        </is>
      </c>
      <c r="B235" s="1" t="n">
        <v>45915.58515046296</v>
      </c>
      <c r="C235" s="1" t="n">
        <v>45952</v>
      </c>
      <c r="D235" t="inlineStr">
        <is>
          <t>VÄSTRA GÖTALANDS LÄN</t>
        </is>
      </c>
      <c r="E235" t="inlineStr">
        <is>
          <t>KUNGÄLV</t>
        </is>
      </c>
      <c r="F235" t="inlineStr">
        <is>
          <t>Kommuner</t>
        </is>
      </c>
      <c r="G235" t="n">
        <v>1.8</v>
      </c>
      <c r="H235" t="n">
        <v>3</v>
      </c>
      <c r="I235" t="n">
        <v>0</v>
      </c>
      <c r="J235" t="n">
        <v>2</v>
      </c>
      <c r="K235" t="n">
        <v>0</v>
      </c>
      <c r="L235" t="n">
        <v>0</v>
      </c>
      <c r="M235" t="n">
        <v>0</v>
      </c>
      <c r="N235" t="n">
        <v>0</v>
      </c>
      <c r="O235" t="n">
        <v>2</v>
      </c>
      <c r="P235" t="n">
        <v>0</v>
      </c>
      <c r="Q235" t="n">
        <v>3</v>
      </c>
      <c r="R235" s="2" t="inlineStr">
        <is>
          <t>Grönsångare
Svartvit flugsnappare
Kungsfågel</t>
        </is>
      </c>
      <c r="S235">
        <f>HYPERLINK("https://klasma.github.io/Logging_1482/artfynd/A 44132-2025 artfynd.xlsx", "A 44132-2025")</f>
        <v/>
      </c>
      <c r="T235">
        <f>HYPERLINK("https://klasma.github.io/Logging_1482/kartor/A 44132-2025 karta.png", "A 44132-2025")</f>
        <v/>
      </c>
      <c r="V235">
        <f>HYPERLINK("https://klasma.github.io/Logging_1482/klagomål/A 44132-2025 FSC-klagomål.docx", "A 44132-2025")</f>
        <v/>
      </c>
      <c r="W235">
        <f>HYPERLINK("https://klasma.github.io/Logging_1482/klagomålsmail/A 44132-2025 FSC-klagomål mail.docx", "A 44132-2025")</f>
        <v/>
      </c>
      <c r="X235">
        <f>HYPERLINK("https://klasma.github.io/Logging_1482/tillsyn/A 44132-2025 tillsynsbegäran.docx", "A 44132-2025")</f>
        <v/>
      </c>
      <c r="Y235">
        <f>HYPERLINK("https://klasma.github.io/Logging_1482/tillsynsmail/A 44132-2025 tillsynsbegäran mail.docx", "A 44132-2025")</f>
        <v/>
      </c>
      <c r="Z235">
        <f>HYPERLINK("https://klasma.github.io/Logging_1482/fåglar/A 44132-2025 prioriterade fågelarter.docx", "A 44132-2025")</f>
        <v/>
      </c>
    </row>
    <row r="236" ht="15" customHeight="1">
      <c r="A236" t="inlineStr">
        <is>
          <t>A 37358-2025</t>
        </is>
      </c>
      <c r="B236" s="1" t="n">
        <v>45876.88369212963</v>
      </c>
      <c r="C236" s="1" t="n">
        <v>45952</v>
      </c>
      <c r="D236" t="inlineStr">
        <is>
          <t>VÄSTRA GÖTALANDS LÄN</t>
        </is>
      </c>
      <c r="E236" t="inlineStr">
        <is>
          <t>SKÖVDE</t>
        </is>
      </c>
      <c r="G236" t="n">
        <v>2.2</v>
      </c>
      <c r="H236" t="n">
        <v>1</v>
      </c>
      <c r="I236" t="n">
        <v>2</v>
      </c>
      <c r="J236" t="n">
        <v>0</v>
      </c>
      <c r="K236" t="n">
        <v>0</v>
      </c>
      <c r="L236" t="n">
        <v>0</v>
      </c>
      <c r="M236" t="n">
        <v>0</v>
      </c>
      <c r="N236" t="n">
        <v>0</v>
      </c>
      <c r="O236" t="n">
        <v>0</v>
      </c>
      <c r="P236" t="n">
        <v>0</v>
      </c>
      <c r="Q236" t="n">
        <v>3</v>
      </c>
      <c r="R236" s="2" t="inlineStr">
        <is>
          <t>Svart trolldruva
Tibast
Fläcknycklar</t>
        </is>
      </c>
      <c r="S236">
        <f>HYPERLINK("https://klasma.github.io/Logging_1496/artfynd/A 37358-2025 artfynd.xlsx", "A 37358-2025")</f>
        <v/>
      </c>
      <c r="T236">
        <f>HYPERLINK("https://klasma.github.io/Logging_1496/kartor/A 37358-2025 karta.png", "A 37358-2025")</f>
        <v/>
      </c>
      <c r="V236">
        <f>HYPERLINK("https://klasma.github.io/Logging_1496/klagomål/A 37358-2025 FSC-klagomål.docx", "A 37358-2025")</f>
        <v/>
      </c>
      <c r="W236">
        <f>HYPERLINK("https://klasma.github.io/Logging_1496/klagomålsmail/A 37358-2025 FSC-klagomål mail.docx", "A 37358-2025")</f>
        <v/>
      </c>
      <c r="X236">
        <f>HYPERLINK("https://klasma.github.io/Logging_1496/tillsyn/A 37358-2025 tillsynsbegäran.docx", "A 37358-2025")</f>
        <v/>
      </c>
      <c r="Y236">
        <f>HYPERLINK("https://klasma.github.io/Logging_1496/tillsynsmail/A 37358-2025 tillsynsbegäran mail.docx", "A 37358-2025")</f>
        <v/>
      </c>
    </row>
    <row r="237" ht="15" customHeight="1">
      <c r="A237" t="inlineStr">
        <is>
          <t>A 45604-2025</t>
        </is>
      </c>
      <c r="B237" s="1" t="n">
        <v>45922.69664351852</v>
      </c>
      <c r="C237" s="1" t="n">
        <v>45952</v>
      </c>
      <c r="D237" t="inlineStr">
        <is>
          <t>VÄSTRA GÖTALANDS LÄN</t>
        </is>
      </c>
      <c r="E237" t="inlineStr">
        <is>
          <t>STENUNGSUND</t>
        </is>
      </c>
      <c r="G237" t="n">
        <v>3.5</v>
      </c>
      <c r="H237" t="n">
        <v>2</v>
      </c>
      <c r="I237" t="n">
        <v>1</v>
      </c>
      <c r="J237" t="n">
        <v>0</v>
      </c>
      <c r="K237" t="n">
        <v>0</v>
      </c>
      <c r="L237" t="n">
        <v>0</v>
      </c>
      <c r="M237" t="n">
        <v>0</v>
      </c>
      <c r="N237" t="n">
        <v>0</v>
      </c>
      <c r="O237" t="n">
        <v>0</v>
      </c>
      <c r="P237" t="n">
        <v>0</v>
      </c>
      <c r="Q237" t="n">
        <v>3</v>
      </c>
      <c r="R237" s="2" t="inlineStr">
        <is>
          <t>Granbräken
Mattlummer
Revlummer</t>
        </is>
      </c>
      <c r="S237">
        <f>HYPERLINK("https://klasma.github.io/Logging_1415/artfynd/A 45604-2025 artfynd.xlsx", "A 45604-2025")</f>
        <v/>
      </c>
      <c r="T237">
        <f>HYPERLINK("https://klasma.github.io/Logging_1415/kartor/A 45604-2025 karta.png", "A 45604-2025")</f>
        <v/>
      </c>
      <c r="V237">
        <f>HYPERLINK("https://klasma.github.io/Logging_1415/klagomål/A 45604-2025 FSC-klagomål.docx", "A 45604-2025")</f>
        <v/>
      </c>
      <c r="W237">
        <f>HYPERLINK("https://klasma.github.io/Logging_1415/klagomålsmail/A 45604-2025 FSC-klagomål mail.docx", "A 45604-2025")</f>
        <v/>
      </c>
      <c r="X237">
        <f>HYPERLINK("https://klasma.github.io/Logging_1415/tillsyn/A 45604-2025 tillsynsbegäran.docx", "A 45604-2025")</f>
        <v/>
      </c>
      <c r="Y237">
        <f>HYPERLINK("https://klasma.github.io/Logging_1415/tillsynsmail/A 45604-2025 tillsynsbegäran mail.docx", "A 45604-2025")</f>
        <v/>
      </c>
    </row>
    <row r="238" ht="15" customHeight="1">
      <c r="A238" t="inlineStr">
        <is>
          <t>A 45582-2025</t>
        </is>
      </c>
      <c r="B238" s="1" t="n">
        <v>45922.66782407407</v>
      </c>
      <c r="C238" s="1" t="n">
        <v>45952</v>
      </c>
      <c r="D238" t="inlineStr">
        <is>
          <t>VÄSTRA GÖTALANDS LÄN</t>
        </is>
      </c>
      <c r="E238" t="inlineStr">
        <is>
          <t>UDDEVALLA</t>
        </is>
      </c>
      <c r="G238" t="n">
        <v>1.4</v>
      </c>
      <c r="H238" t="n">
        <v>1</v>
      </c>
      <c r="I238" t="n">
        <v>1</v>
      </c>
      <c r="J238" t="n">
        <v>0</v>
      </c>
      <c r="K238" t="n">
        <v>0</v>
      </c>
      <c r="L238" t="n">
        <v>1</v>
      </c>
      <c r="M238" t="n">
        <v>0</v>
      </c>
      <c r="N238" t="n">
        <v>0</v>
      </c>
      <c r="O238" t="n">
        <v>1</v>
      </c>
      <c r="P238" t="n">
        <v>1</v>
      </c>
      <c r="Q238" t="n">
        <v>3</v>
      </c>
      <c r="R238" s="2" t="inlineStr">
        <is>
          <t>Ryl
Mandelriska
Mattlummer</t>
        </is>
      </c>
      <c r="S238">
        <f>HYPERLINK("https://klasma.github.io/Logging_1485/artfynd/A 45582-2025 artfynd.xlsx", "A 45582-2025")</f>
        <v/>
      </c>
      <c r="T238">
        <f>HYPERLINK("https://klasma.github.io/Logging_1485/kartor/A 45582-2025 karta.png", "A 45582-2025")</f>
        <v/>
      </c>
      <c r="V238">
        <f>HYPERLINK("https://klasma.github.io/Logging_1485/klagomål/A 45582-2025 FSC-klagomål.docx", "A 45582-2025")</f>
        <v/>
      </c>
      <c r="W238">
        <f>HYPERLINK("https://klasma.github.io/Logging_1485/klagomålsmail/A 45582-2025 FSC-klagomål mail.docx", "A 45582-2025")</f>
        <v/>
      </c>
      <c r="X238">
        <f>HYPERLINK("https://klasma.github.io/Logging_1485/tillsyn/A 45582-2025 tillsynsbegäran.docx", "A 45582-2025")</f>
        <v/>
      </c>
      <c r="Y238">
        <f>HYPERLINK("https://klasma.github.io/Logging_1485/tillsynsmail/A 45582-2025 tillsynsbegäran mail.docx", "A 45582-2025")</f>
        <v/>
      </c>
    </row>
    <row r="239" ht="15" customHeight="1">
      <c r="A239" t="inlineStr">
        <is>
          <t>A 32973-2025</t>
        </is>
      </c>
      <c r="B239" s="1" t="n">
        <v>45839.74755787037</v>
      </c>
      <c r="C239" s="1" t="n">
        <v>45952</v>
      </c>
      <c r="D239" t="inlineStr">
        <is>
          <t>VÄSTRA GÖTALANDS LÄN</t>
        </is>
      </c>
      <c r="E239" t="inlineStr">
        <is>
          <t>MARK</t>
        </is>
      </c>
      <c r="G239" t="n">
        <v>2.6</v>
      </c>
      <c r="H239" t="n">
        <v>1</v>
      </c>
      <c r="I239" t="n">
        <v>0</v>
      </c>
      <c r="J239" t="n">
        <v>0</v>
      </c>
      <c r="K239" t="n">
        <v>1</v>
      </c>
      <c r="L239" t="n">
        <v>0</v>
      </c>
      <c r="M239" t="n">
        <v>1</v>
      </c>
      <c r="N239" t="n">
        <v>0</v>
      </c>
      <c r="O239" t="n">
        <v>2</v>
      </c>
      <c r="P239" t="n">
        <v>2</v>
      </c>
      <c r="Q239" t="n">
        <v>3</v>
      </c>
      <c r="R239" s="2" t="inlineStr">
        <is>
          <t>Ål
Lake
Vanlig snok</t>
        </is>
      </c>
      <c r="S239">
        <f>HYPERLINK("https://klasma.github.io/Logging_1463/artfynd/A 32973-2025 artfynd.xlsx", "A 32973-2025")</f>
        <v/>
      </c>
      <c r="T239">
        <f>HYPERLINK("https://klasma.github.io/Logging_1463/kartor/A 32973-2025 karta.png", "A 32973-2025")</f>
        <v/>
      </c>
      <c r="V239">
        <f>HYPERLINK("https://klasma.github.io/Logging_1463/klagomål/A 32973-2025 FSC-klagomål.docx", "A 32973-2025")</f>
        <v/>
      </c>
      <c r="W239">
        <f>HYPERLINK("https://klasma.github.io/Logging_1463/klagomålsmail/A 32973-2025 FSC-klagomål mail.docx", "A 32973-2025")</f>
        <v/>
      </c>
      <c r="X239">
        <f>HYPERLINK("https://klasma.github.io/Logging_1463/tillsyn/A 32973-2025 tillsynsbegäran.docx", "A 32973-2025")</f>
        <v/>
      </c>
      <c r="Y239">
        <f>HYPERLINK("https://klasma.github.io/Logging_1463/tillsynsmail/A 32973-2025 tillsynsbegäran mail.docx", "A 32973-2025")</f>
        <v/>
      </c>
    </row>
    <row r="240" ht="15" customHeight="1">
      <c r="A240" t="inlineStr">
        <is>
          <t>A 18328-2024</t>
        </is>
      </c>
      <c r="B240" s="1" t="n">
        <v>45422.55782407407</v>
      </c>
      <c r="C240" s="1" t="n">
        <v>45952</v>
      </c>
      <c r="D240" t="inlineStr">
        <is>
          <t>VÄSTRA GÖTALANDS LÄN</t>
        </is>
      </c>
      <c r="E240" t="inlineStr">
        <is>
          <t>DALS-ED</t>
        </is>
      </c>
      <c r="G240" t="n">
        <v>2.1</v>
      </c>
      <c r="H240" t="n">
        <v>2</v>
      </c>
      <c r="I240" t="n">
        <v>1</v>
      </c>
      <c r="J240" t="n">
        <v>2</v>
      </c>
      <c r="K240" t="n">
        <v>0</v>
      </c>
      <c r="L240" t="n">
        <v>0</v>
      </c>
      <c r="M240" t="n">
        <v>0</v>
      </c>
      <c r="N240" t="n">
        <v>0</v>
      </c>
      <c r="O240" t="n">
        <v>2</v>
      </c>
      <c r="P240" t="n">
        <v>0</v>
      </c>
      <c r="Q240" t="n">
        <v>3</v>
      </c>
      <c r="R240" s="2" t="inlineStr">
        <is>
          <t>Spillkråka
Tretåig hackspett
Korallblylav</t>
        </is>
      </c>
      <c r="S240">
        <f>HYPERLINK("https://klasma.github.io/Logging_1438/artfynd/A 18328-2024 artfynd.xlsx", "A 18328-2024")</f>
        <v/>
      </c>
      <c r="T240">
        <f>HYPERLINK("https://klasma.github.io/Logging_1438/kartor/A 18328-2024 karta.png", "A 18328-2024")</f>
        <v/>
      </c>
      <c r="V240">
        <f>HYPERLINK("https://klasma.github.io/Logging_1438/klagomål/A 18328-2024 FSC-klagomål.docx", "A 18328-2024")</f>
        <v/>
      </c>
      <c r="W240">
        <f>HYPERLINK("https://klasma.github.io/Logging_1438/klagomålsmail/A 18328-2024 FSC-klagomål mail.docx", "A 18328-2024")</f>
        <v/>
      </c>
      <c r="X240">
        <f>HYPERLINK("https://klasma.github.io/Logging_1438/tillsyn/A 18328-2024 tillsynsbegäran.docx", "A 18328-2024")</f>
        <v/>
      </c>
      <c r="Y240">
        <f>HYPERLINK("https://klasma.github.io/Logging_1438/tillsynsmail/A 18328-2024 tillsynsbegäran mail.docx", "A 18328-2024")</f>
        <v/>
      </c>
      <c r="Z240">
        <f>HYPERLINK("https://klasma.github.io/Logging_1438/fåglar/A 18328-2024 prioriterade fågelarter.docx", "A 18328-2024")</f>
        <v/>
      </c>
    </row>
    <row r="241" ht="15" customHeight="1">
      <c r="A241" t="inlineStr">
        <is>
          <t>A 13606-2022</t>
        </is>
      </c>
      <c r="B241" s="1" t="n">
        <v>44648</v>
      </c>
      <c r="C241" s="1" t="n">
        <v>45952</v>
      </c>
      <c r="D241" t="inlineStr">
        <is>
          <t>VÄSTRA GÖTALANDS LÄN</t>
        </is>
      </c>
      <c r="E241" t="inlineStr">
        <is>
          <t>MARIESTAD</t>
        </is>
      </c>
      <c r="G241" t="n">
        <v>1.8</v>
      </c>
      <c r="H241" t="n">
        <v>3</v>
      </c>
      <c r="I241" t="n">
        <v>0</v>
      </c>
      <c r="J241" t="n">
        <v>0</v>
      </c>
      <c r="K241" t="n">
        <v>0</v>
      </c>
      <c r="L241" t="n">
        <v>0</v>
      </c>
      <c r="M241" t="n">
        <v>0</v>
      </c>
      <c r="N241" t="n">
        <v>0</v>
      </c>
      <c r="O241" t="n">
        <v>0</v>
      </c>
      <c r="P241" t="n">
        <v>0</v>
      </c>
      <c r="Q241" t="n">
        <v>3</v>
      </c>
      <c r="R241" s="2" t="inlineStr">
        <is>
          <t>Större vattensalamander
Mindre vattensalamander
Vanlig padda</t>
        </is>
      </c>
      <c r="S241">
        <f>HYPERLINK("https://klasma.github.io/Logging_1493/artfynd/A 13606-2022 artfynd.xlsx", "A 13606-2022")</f>
        <v/>
      </c>
      <c r="T241">
        <f>HYPERLINK("https://klasma.github.io/Logging_1493/kartor/A 13606-2022 karta.png", "A 13606-2022")</f>
        <v/>
      </c>
      <c r="V241">
        <f>HYPERLINK("https://klasma.github.io/Logging_1493/klagomål/A 13606-2022 FSC-klagomål.docx", "A 13606-2022")</f>
        <v/>
      </c>
      <c r="W241">
        <f>HYPERLINK("https://klasma.github.io/Logging_1493/klagomålsmail/A 13606-2022 FSC-klagomål mail.docx", "A 13606-2022")</f>
        <v/>
      </c>
      <c r="X241">
        <f>HYPERLINK("https://klasma.github.io/Logging_1493/tillsyn/A 13606-2022 tillsynsbegäran.docx", "A 13606-2022")</f>
        <v/>
      </c>
      <c r="Y241">
        <f>HYPERLINK("https://klasma.github.io/Logging_1493/tillsynsmail/A 13606-2022 tillsynsbegäran mail.docx", "A 13606-2022")</f>
        <v/>
      </c>
    </row>
    <row r="242" ht="15" customHeight="1">
      <c r="A242" t="inlineStr">
        <is>
          <t>A 42644-2021</t>
        </is>
      </c>
      <c r="B242" s="1" t="n">
        <v>44428</v>
      </c>
      <c r="C242" s="1" t="n">
        <v>45952</v>
      </c>
      <c r="D242" t="inlineStr">
        <is>
          <t>VÄSTRA GÖTALANDS LÄN</t>
        </is>
      </c>
      <c r="E242" t="inlineStr">
        <is>
          <t>MARK</t>
        </is>
      </c>
      <c r="G242" t="n">
        <v>6.2</v>
      </c>
      <c r="H242" t="n">
        <v>0</v>
      </c>
      <c r="I242" t="n">
        <v>2</v>
      </c>
      <c r="J242" t="n">
        <v>0</v>
      </c>
      <c r="K242" t="n">
        <v>0</v>
      </c>
      <c r="L242" t="n">
        <v>1</v>
      </c>
      <c r="M242" t="n">
        <v>0</v>
      </c>
      <c r="N242" t="n">
        <v>0</v>
      </c>
      <c r="O242" t="n">
        <v>1</v>
      </c>
      <c r="P242" t="n">
        <v>1</v>
      </c>
      <c r="Q242" t="n">
        <v>3</v>
      </c>
      <c r="R242" s="2" t="inlineStr">
        <is>
          <t>Ask
Guldlockmossa
Rostfläck</t>
        </is>
      </c>
      <c r="S242">
        <f>HYPERLINK("https://klasma.github.io/Logging_1463/artfynd/A 42644-2021 artfynd.xlsx", "A 42644-2021")</f>
        <v/>
      </c>
      <c r="T242">
        <f>HYPERLINK("https://klasma.github.io/Logging_1463/kartor/A 42644-2021 karta.png", "A 42644-2021")</f>
        <v/>
      </c>
      <c r="V242">
        <f>HYPERLINK("https://klasma.github.io/Logging_1463/klagomål/A 42644-2021 FSC-klagomål.docx", "A 42644-2021")</f>
        <v/>
      </c>
      <c r="W242">
        <f>HYPERLINK("https://klasma.github.io/Logging_1463/klagomålsmail/A 42644-2021 FSC-klagomål mail.docx", "A 42644-2021")</f>
        <v/>
      </c>
      <c r="X242">
        <f>HYPERLINK("https://klasma.github.io/Logging_1463/tillsyn/A 42644-2021 tillsynsbegäran.docx", "A 42644-2021")</f>
        <v/>
      </c>
      <c r="Y242">
        <f>HYPERLINK("https://klasma.github.io/Logging_1463/tillsynsmail/A 42644-2021 tillsynsbegäran mail.docx", "A 42644-2021")</f>
        <v/>
      </c>
    </row>
    <row r="243" ht="15" customHeight="1">
      <c r="A243" t="inlineStr">
        <is>
          <t>A 58360-2020</t>
        </is>
      </c>
      <c r="B243" s="1" t="n">
        <v>44144</v>
      </c>
      <c r="C243" s="1" t="n">
        <v>45952</v>
      </c>
      <c r="D243" t="inlineStr">
        <is>
          <t>VÄSTRA GÖTALANDS LÄN</t>
        </is>
      </c>
      <c r="E243" t="inlineStr">
        <is>
          <t>MELLERUD</t>
        </is>
      </c>
      <c r="G243" t="n">
        <v>6.3</v>
      </c>
      <c r="H243" t="n">
        <v>1</v>
      </c>
      <c r="I243" t="n">
        <v>0</v>
      </c>
      <c r="J243" t="n">
        <v>0</v>
      </c>
      <c r="K243" t="n">
        <v>0</v>
      </c>
      <c r="L243" t="n">
        <v>1</v>
      </c>
      <c r="M243" t="n">
        <v>0</v>
      </c>
      <c r="N243" t="n">
        <v>0</v>
      </c>
      <c r="O243" t="n">
        <v>1</v>
      </c>
      <c r="P243" t="n">
        <v>1</v>
      </c>
      <c r="Q243" t="n">
        <v>2</v>
      </c>
      <c r="R243" s="2" t="inlineStr">
        <is>
          <t>Ask
Grönvit nattviol</t>
        </is>
      </c>
      <c r="S243">
        <f>HYPERLINK("https://klasma.github.io/Logging_1461/artfynd/A 58360-2020 artfynd.xlsx", "A 58360-2020")</f>
        <v/>
      </c>
      <c r="T243">
        <f>HYPERLINK("https://klasma.github.io/Logging_1461/kartor/A 58360-2020 karta.png", "A 58360-2020")</f>
        <v/>
      </c>
      <c r="V243">
        <f>HYPERLINK("https://klasma.github.io/Logging_1461/klagomål/A 58360-2020 FSC-klagomål.docx", "A 58360-2020")</f>
        <v/>
      </c>
      <c r="W243">
        <f>HYPERLINK("https://klasma.github.io/Logging_1461/klagomålsmail/A 58360-2020 FSC-klagomål mail.docx", "A 58360-2020")</f>
        <v/>
      </c>
      <c r="X243">
        <f>HYPERLINK("https://klasma.github.io/Logging_1461/tillsyn/A 58360-2020 tillsynsbegäran.docx", "A 58360-2020")</f>
        <v/>
      </c>
      <c r="Y243">
        <f>HYPERLINK("https://klasma.github.io/Logging_1461/tillsynsmail/A 58360-2020 tillsynsbegäran mail.docx", "A 58360-2020")</f>
        <v/>
      </c>
    </row>
    <row r="244" ht="15" customHeight="1">
      <c r="A244" t="inlineStr">
        <is>
          <t>A 58804-2020</t>
        </is>
      </c>
      <c r="B244" s="1" t="n">
        <v>44146</v>
      </c>
      <c r="C244" s="1" t="n">
        <v>45952</v>
      </c>
      <c r="D244" t="inlineStr">
        <is>
          <t>VÄSTRA GÖTALANDS LÄN</t>
        </is>
      </c>
      <c r="E244" t="inlineStr">
        <is>
          <t>GÖTEBORG</t>
        </is>
      </c>
      <c r="G244" t="n">
        <v>0.8</v>
      </c>
      <c r="H244" t="n">
        <v>1</v>
      </c>
      <c r="I244" t="n">
        <v>0</v>
      </c>
      <c r="J244" t="n">
        <v>0</v>
      </c>
      <c r="K244" t="n">
        <v>0</v>
      </c>
      <c r="L244" t="n">
        <v>1</v>
      </c>
      <c r="M244" t="n">
        <v>0</v>
      </c>
      <c r="N244" t="n">
        <v>0</v>
      </c>
      <c r="O244" t="n">
        <v>1</v>
      </c>
      <c r="P244" t="n">
        <v>1</v>
      </c>
      <c r="Q244" t="n">
        <v>2</v>
      </c>
      <c r="R244" s="2" t="inlineStr">
        <is>
          <t>Ask
Vanlig groda</t>
        </is>
      </c>
      <c r="S244">
        <f>HYPERLINK("https://klasma.github.io/Logging_1480/artfynd/A 58804-2020 artfynd.xlsx", "A 58804-2020")</f>
        <v/>
      </c>
      <c r="T244">
        <f>HYPERLINK("https://klasma.github.io/Logging_1480/kartor/A 58804-2020 karta.png", "A 58804-2020")</f>
        <v/>
      </c>
      <c r="V244">
        <f>HYPERLINK("https://klasma.github.io/Logging_1480/klagomål/A 58804-2020 FSC-klagomål.docx", "A 58804-2020")</f>
        <v/>
      </c>
      <c r="W244">
        <f>HYPERLINK("https://klasma.github.io/Logging_1480/klagomålsmail/A 58804-2020 FSC-klagomål mail.docx", "A 58804-2020")</f>
        <v/>
      </c>
      <c r="X244">
        <f>HYPERLINK("https://klasma.github.io/Logging_1480/tillsyn/A 58804-2020 tillsynsbegäran.docx", "A 58804-2020")</f>
        <v/>
      </c>
      <c r="Y244">
        <f>HYPERLINK("https://klasma.github.io/Logging_1480/tillsynsmail/A 58804-2020 tillsynsbegäran mail.docx", "A 58804-2020")</f>
        <v/>
      </c>
    </row>
    <row r="245" ht="15" customHeight="1">
      <c r="A245" t="inlineStr">
        <is>
          <t>A 64042-2020</t>
        </is>
      </c>
      <c r="B245" s="1" t="n">
        <v>44167</v>
      </c>
      <c r="C245" s="1" t="n">
        <v>45952</v>
      </c>
      <c r="D245" t="inlineStr">
        <is>
          <t>VÄSTRA GÖTALANDS LÄN</t>
        </is>
      </c>
      <c r="E245" t="inlineStr">
        <is>
          <t>VÄNERSBORG</t>
        </is>
      </c>
      <c r="G245" t="n">
        <v>3.4</v>
      </c>
      <c r="H245" t="n">
        <v>2</v>
      </c>
      <c r="I245" t="n">
        <v>0</v>
      </c>
      <c r="J245" t="n">
        <v>1</v>
      </c>
      <c r="K245" t="n">
        <v>0</v>
      </c>
      <c r="L245" t="n">
        <v>0</v>
      </c>
      <c r="M245" t="n">
        <v>0</v>
      </c>
      <c r="N245" t="n">
        <v>0</v>
      </c>
      <c r="O245" t="n">
        <v>1</v>
      </c>
      <c r="P245" t="n">
        <v>0</v>
      </c>
      <c r="Q245" t="n">
        <v>2</v>
      </c>
      <c r="R245" s="2" t="inlineStr">
        <is>
          <t>Spillkråka
Mindre vattensalamander</t>
        </is>
      </c>
      <c r="S245">
        <f>HYPERLINK("https://klasma.github.io/Logging_1487/artfynd/A 64042-2020 artfynd.xlsx", "A 64042-2020")</f>
        <v/>
      </c>
      <c r="T245">
        <f>HYPERLINK("https://klasma.github.io/Logging_1487/kartor/A 64042-2020 karta.png", "A 64042-2020")</f>
        <v/>
      </c>
      <c r="V245">
        <f>HYPERLINK("https://klasma.github.io/Logging_1487/klagomål/A 64042-2020 FSC-klagomål.docx", "A 64042-2020")</f>
        <v/>
      </c>
      <c r="W245">
        <f>HYPERLINK("https://klasma.github.io/Logging_1487/klagomålsmail/A 64042-2020 FSC-klagomål mail.docx", "A 64042-2020")</f>
        <v/>
      </c>
      <c r="X245">
        <f>HYPERLINK("https://klasma.github.io/Logging_1487/tillsyn/A 64042-2020 tillsynsbegäran.docx", "A 64042-2020")</f>
        <v/>
      </c>
      <c r="Y245">
        <f>HYPERLINK("https://klasma.github.io/Logging_1487/tillsynsmail/A 64042-2020 tillsynsbegäran mail.docx", "A 64042-2020")</f>
        <v/>
      </c>
      <c r="Z245">
        <f>HYPERLINK("https://klasma.github.io/Logging_1487/fåglar/A 64042-2020 prioriterade fågelarter.docx", "A 64042-2020")</f>
        <v/>
      </c>
    </row>
    <row r="246" ht="15" customHeight="1">
      <c r="A246" t="inlineStr">
        <is>
          <t>A 37138-2021</t>
        </is>
      </c>
      <c r="B246" s="1" t="n">
        <v>44396</v>
      </c>
      <c r="C246" s="1" t="n">
        <v>45952</v>
      </c>
      <c r="D246" t="inlineStr">
        <is>
          <t>VÄSTRA GÖTALANDS LÄN</t>
        </is>
      </c>
      <c r="E246" t="inlineStr">
        <is>
          <t>GULLSPÅNG</t>
        </is>
      </c>
      <c r="G246" t="n">
        <v>4.3</v>
      </c>
      <c r="H246" t="n">
        <v>0</v>
      </c>
      <c r="I246" t="n">
        <v>0</v>
      </c>
      <c r="J246" t="n">
        <v>2</v>
      </c>
      <c r="K246" t="n">
        <v>0</v>
      </c>
      <c r="L246" t="n">
        <v>0</v>
      </c>
      <c r="M246" t="n">
        <v>0</v>
      </c>
      <c r="N246" t="n">
        <v>0</v>
      </c>
      <c r="O246" t="n">
        <v>2</v>
      </c>
      <c r="P246" t="n">
        <v>0</v>
      </c>
      <c r="Q246" t="n">
        <v>2</v>
      </c>
      <c r="R246" s="2" t="inlineStr">
        <is>
          <t>Grantaggsvamp
Persiljespindling</t>
        </is>
      </c>
      <c r="S246">
        <f>HYPERLINK("https://klasma.github.io/Logging_1447/artfynd/A 37138-2021 artfynd.xlsx", "A 37138-2021")</f>
        <v/>
      </c>
      <c r="T246">
        <f>HYPERLINK("https://klasma.github.io/Logging_1447/kartor/A 37138-2021 karta.png", "A 37138-2021")</f>
        <v/>
      </c>
      <c r="V246">
        <f>HYPERLINK("https://klasma.github.io/Logging_1447/klagomål/A 37138-2021 FSC-klagomål.docx", "A 37138-2021")</f>
        <v/>
      </c>
      <c r="W246">
        <f>HYPERLINK("https://klasma.github.io/Logging_1447/klagomålsmail/A 37138-2021 FSC-klagomål mail.docx", "A 37138-2021")</f>
        <v/>
      </c>
      <c r="X246">
        <f>HYPERLINK("https://klasma.github.io/Logging_1447/tillsyn/A 37138-2021 tillsynsbegäran.docx", "A 37138-2021")</f>
        <v/>
      </c>
      <c r="Y246">
        <f>HYPERLINK("https://klasma.github.io/Logging_1447/tillsynsmail/A 37138-2021 tillsynsbegäran mail.docx", "A 37138-2021")</f>
        <v/>
      </c>
    </row>
    <row r="247" ht="15" customHeight="1">
      <c r="A247" t="inlineStr">
        <is>
          <t>A 4424-2021</t>
        </is>
      </c>
      <c r="B247" s="1" t="n">
        <v>44224</v>
      </c>
      <c r="C247" s="1" t="n">
        <v>45952</v>
      </c>
      <c r="D247" t="inlineStr">
        <is>
          <t>VÄSTRA GÖTALANDS LÄN</t>
        </is>
      </c>
      <c r="E247" t="inlineStr">
        <is>
          <t>VÅRGÅRDA</t>
        </is>
      </c>
      <c r="F247" t="inlineStr">
        <is>
          <t>Kommuner</t>
        </is>
      </c>
      <c r="G247" t="n">
        <v>9.6</v>
      </c>
      <c r="H247" t="n">
        <v>2</v>
      </c>
      <c r="I247" t="n">
        <v>0</v>
      </c>
      <c r="J247" t="n">
        <v>0</v>
      </c>
      <c r="K247" t="n">
        <v>1</v>
      </c>
      <c r="L247" t="n">
        <v>0</v>
      </c>
      <c r="M247" t="n">
        <v>0</v>
      </c>
      <c r="N247" t="n">
        <v>0</v>
      </c>
      <c r="O247" t="n">
        <v>1</v>
      </c>
      <c r="P247" t="n">
        <v>1</v>
      </c>
      <c r="Q247" t="n">
        <v>2</v>
      </c>
      <c r="R247" s="2" t="inlineStr">
        <is>
          <t>Knärot
Revlummer</t>
        </is>
      </c>
      <c r="S247">
        <f>HYPERLINK("https://klasma.github.io/Logging_1442/artfynd/A 4424-2021 artfynd.xlsx", "A 4424-2021")</f>
        <v/>
      </c>
      <c r="T247">
        <f>HYPERLINK("https://klasma.github.io/Logging_1442/kartor/A 4424-2021 karta.png", "A 4424-2021")</f>
        <v/>
      </c>
      <c r="U247">
        <f>HYPERLINK("https://klasma.github.io/Logging_1442/knärot/A 4424-2021 karta knärot.png", "A 4424-2021")</f>
        <v/>
      </c>
      <c r="V247">
        <f>HYPERLINK("https://klasma.github.io/Logging_1442/klagomål/A 4424-2021 FSC-klagomål.docx", "A 4424-2021")</f>
        <v/>
      </c>
      <c r="W247">
        <f>HYPERLINK("https://klasma.github.io/Logging_1442/klagomålsmail/A 4424-2021 FSC-klagomål mail.docx", "A 4424-2021")</f>
        <v/>
      </c>
      <c r="X247">
        <f>HYPERLINK("https://klasma.github.io/Logging_1442/tillsyn/A 4424-2021 tillsynsbegäran.docx", "A 4424-2021")</f>
        <v/>
      </c>
      <c r="Y247">
        <f>HYPERLINK("https://klasma.github.io/Logging_1442/tillsynsmail/A 4424-2021 tillsynsbegäran mail.docx", "A 4424-2021")</f>
        <v/>
      </c>
    </row>
    <row r="248" ht="15" customHeight="1">
      <c r="A248" t="inlineStr">
        <is>
          <t>A 1582-2022</t>
        </is>
      </c>
      <c r="B248" s="1" t="n">
        <v>44573.654375</v>
      </c>
      <c r="C248" s="1" t="n">
        <v>45952</v>
      </c>
      <c r="D248" t="inlineStr">
        <is>
          <t>VÄSTRA GÖTALANDS LÄN</t>
        </is>
      </c>
      <c r="E248" t="inlineStr">
        <is>
          <t>BENGTSFORS</t>
        </is>
      </c>
      <c r="G248" t="n">
        <v>3</v>
      </c>
      <c r="H248" t="n">
        <v>2</v>
      </c>
      <c r="I248" t="n">
        <v>0</v>
      </c>
      <c r="J248" t="n">
        <v>0</v>
      </c>
      <c r="K248" t="n">
        <v>0</v>
      </c>
      <c r="L248" t="n">
        <v>0</v>
      </c>
      <c r="M248" t="n">
        <v>0</v>
      </c>
      <c r="N248" t="n">
        <v>0</v>
      </c>
      <c r="O248" t="n">
        <v>0</v>
      </c>
      <c r="P248" t="n">
        <v>0</v>
      </c>
      <c r="Q248" t="n">
        <v>2</v>
      </c>
      <c r="R248" s="2" t="inlineStr">
        <is>
          <t>Grönsiska
Kungsfågel</t>
        </is>
      </c>
      <c r="S248">
        <f>HYPERLINK("https://klasma.github.io/Logging_1460/artfynd/A 1582-2022 artfynd.xlsx", "A 1582-2022")</f>
        <v/>
      </c>
      <c r="T248">
        <f>HYPERLINK("https://klasma.github.io/Logging_1460/kartor/A 1582-2022 karta.png", "A 1582-2022")</f>
        <v/>
      </c>
      <c r="V248">
        <f>HYPERLINK("https://klasma.github.io/Logging_1460/klagomål/A 1582-2022 FSC-klagomål.docx", "A 1582-2022")</f>
        <v/>
      </c>
      <c r="W248">
        <f>HYPERLINK("https://klasma.github.io/Logging_1460/klagomålsmail/A 1582-2022 FSC-klagomål mail.docx", "A 1582-2022")</f>
        <v/>
      </c>
      <c r="X248">
        <f>HYPERLINK("https://klasma.github.io/Logging_1460/tillsyn/A 1582-2022 tillsynsbegäran.docx", "A 1582-2022")</f>
        <v/>
      </c>
      <c r="Y248">
        <f>HYPERLINK("https://klasma.github.io/Logging_1460/tillsynsmail/A 1582-2022 tillsynsbegäran mail.docx", "A 1582-2022")</f>
        <v/>
      </c>
      <c r="Z248">
        <f>HYPERLINK("https://klasma.github.io/Logging_1460/fåglar/A 1582-2022 prioriterade fågelarter.docx", "A 1582-2022")</f>
        <v/>
      </c>
    </row>
    <row r="249" ht="15" customHeight="1">
      <c r="A249" t="inlineStr">
        <is>
          <t>A 1901-2021</t>
        </is>
      </c>
      <c r="B249" s="1" t="n">
        <v>44210</v>
      </c>
      <c r="C249" s="1" t="n">
        <v>45952</v>
      </c>
      <c r="D249" t="inlineStr">
        <is>
          <t>VÄSTRA GÖTALANDS LÄN</t>
        </is>
      </c>
      <c r="E249" t="inlineStr">
        <is>
          <t>SVENLJUNGA</t>
        </is>
      </c>
      <c r="F249" t="inlineStr">
        <is>
          <t>Kyrkan</t>
        </is>
      </c>
      <c r="G249" t="n">
        <v>17.5</v>
      </c>
      <c r="H249" t="n">
        <v>0</v>
      </c>
      <c r="I249" t="n">
        <v>0</v>
      </c>
      <c r="J249" t="n">
        <v>0</v>
      </c>
      <c r="K249" t="n">
        <v>0</v>
      </c>
      <c r="L249" t="n">
        <v>1</v>
      </c>
      <c r="M249" t="n">
        <v>1</v>
      </c>
      <c r="N249" t="n">
        <v>0</v>
      </c>
      <c r="O249" t="n">
        <v>2</v>
      </c>
      <c r="P249" t="n">
        <v>2</v>
      </c>
      <c r="Q249" t="n">
        <v>2</v>
      </c>
      <c r="R249" s="2" t="inlineStr">
        <is>
          <t>Skogsalm
Ask</t>
        </is>
      </c>
      <c r="S249">
        <f>HYPERLINK("https://klasma.github.io/Logging_1465/artfynd/A 1901-2021 artfynd.xlsx", "A 1901-2021")</f>
        <v/>
      </c>
      <c r="T249">
        <f>HYPERLINK("https://klasma.github.io/Logging_1465/kartor/A 1901-2021 karta.png", "A 1901-2021")</f>
        <v/>
      </c>
      <c r="V249">
        <f>HYPERLINK("https://klasma.github.io/Logging_1465/klagomål/A 1901-2021 FSC-klagomål.docx", "A 1901-2021")</f>
        <v/>
      </c>
      <c r="W249">
        <f>HYPERLINK("https://klasma.github.io/Logging_1465/klagomålsmail/A 1901-2021 FSC-klagomål mail.docx", "A 1901-2021")</f>
        <v/>
      </c>
      <c r="X249">
        <f>HYPERLINK("https://klasma.github.io/Logging_1465/tillsyn/A 1901-2021 tillsynsbegäran.docx", "A 1901-2021")</f>
        <v/>
      </c>
      <c r="Y249">
        <f>HYPERLINK("https://klasma.github.io/Logging_1465/tillsynsmail/A 1901-2021 tillsynsbegäran mail.docx", "A 1901-2021")</f>
        <v/>
      </c>
    </row>
    <row r="250" ht="15" customHeight="1">
      <c r="A250" t="inlineStr">
        <is>
          <t>A 7652-2021</t>
        </is>
      </c>
      <c r="B250" s="1" t="n">
        <v>44242</v>
      </c>
      <c r="C250" s="1" t="n">
        <v>45952</v>
      </c>
      <c r="D250" t="inlineStr">
        <is>
          <t>VÄSTRA GÖTALANDS LÄN</t>
        </is>
      </c>
      <c r="E250" t="inlineStr">
        <is>
          <t>ALINGSÅS</t>
        </is>
      </c>
      <c r="G250" t="n">
        <v>24.7</v>
      </c>
      <c r="H250" t="n">
        <v>2</v>
      </c>
      <c r="I250" t="n">
        <v>0</v>
      </c>
      <c r="J250" t="n">
        <v>0</v>
      </c>
      <c r="K250" t="n">
        <v>0</v>
      </c>
      <c r="L250" t="n">
        <v>0</v>
      </c>
      <c r="M250" t="n">
        <v>0</v>
      </c>
      <c r="N250" t="n">
        <v>0</v>
      </c>
      <c r="O250" t="n">
        <v>0</v>
      </c>
      <c r="P250" t="n">
        <v>0</v>
      </c>
      <c r="Q250" t="n">
        <v>2</v>
      </c>
      <c r="R250" s="2" t="inlineStr">
        <is>
          <t>Kungsfågel
Trana</t>
        </is>
      </c>
      <c r="S250">
        <f>HYPERLINK("https://klasma.github.io/Logging_1489/artfynd/A 7652-2021 artfynd.xlsx", "A 7652-2021")</f>
        <v/>
      </c>
      <c r="T250">
        <f>HYPERLINK("https://klasma.github.io/Logging_1489/kartor/A 7652-2021 karta.png", "A 7652-2021")</f>
        <v/>
      </c>
      <c r="V250">
        <f>HYPERLINK("https://klasma.github.io/Logging_1489/klagomål/A 7652-2021 FSC-klagomål.docx", "A 7652-2021")</f>
        <v/>
      </c>
      <c r="W250">
        <f>HYPERLINK("https://klasma.github.io/Logging_1489/klagomålsmail/A 7652-2021 FSC-klagomål mail.docx", "A 7652-2021")</f>
        <v/>
      </c>
      <c r="X250">
        <f>HYPERLINK("https://klasma.github.io/Logging_1489/tillsyn/A 7652-2021 tillsynsbegäran.docx", "A 7652-2021")</f>
        <v/>
      </c>
      <c r="Y250">
        <f>HYPERLINK("https://klasma.github.io/Logging_1489/tillsynsmail/A 7652-2021 tillsynsbegäran mail.docx", "A 7652-2021")</f>
        <v/>
      </c>
      <c r="Z250">
        <f>HYPERLINK("https://klasma.github.io/Logging_1489/fåglar/A 7652-2021 prioriterade fågelarter.docx", "A 7652-2021")</f>
        <v/>
      </c>
    </row>
    <row r="251" ht="15" customHeight="1">
      <c r="A251" t="inlineStr">
        <is>
          <t>A 3495-2022</t>
        </is>
      </c>
      <c r="B251" s="1" t="n">
        <v>44585</v>
      </c>
      <c r="C251" s="1" t="n">
        <v>45952</v>
      </c>
      <c r="D251" t="inlineStr">
        <is>
          <t>VÄSTRA GÖTALANDS LÄN</t>
        </is>
      </c>
      <c r="E251" t="inlineStr">
        <is>
          <t>ULRICEHAMN</t>
        </is>
      </c>
      <c r="G251" t="n">
        <v>8</v>
      </c>
      <c r="H251" t="n">
        <v>0</v>
      </c>
      <c r="I251" t="n">
        <v>2</v>
      </c>
      <c r="J251" t="n">
        <v>0</v>
      </c>
      <c r="K251" t="n">
        <v>0</v>
      </c>
      <c r="L251" t="n">
        <v>0</v>
      </c>
      <c r="M251" t="n">
        <v>0</v>
      </c>
      <c r="N251" t="n">
        <v>0</v>
      </c>
      <c r="O251" t="n">
        <v>0</v>
      </c>
      <c r="P251" t="n">
        <v>0</v>
      </c>
      <c r="Q251" t="n">
        <v>2</v>
      </c>
      <c r="R251" s="2" t="inlineStr">
        <is>
          <t>Fällmossa
Guldlockmossa</t>
        </is>
      </c>
      <c r="S251">
        <f>HYPERLINK("https://klasma.github.io/Logging_1491/artfynd/A 3495-2022 artfynd.xlsx", "A 3495-2022")</f>
        <v/>
      </c>
      <c r="T251">
        <f>HYPERLINK("https://klasma.github.io/Logging_1491/kartor/A 3495-2022 karta.png", "A 3495-2022")</f>
        <v/>
      </c>
      <c r="V251">
        <f>HYPERLINK("https://klasma.github.io/Logging_1491/klagomål/A 3495-2022 FSC-klagomål.docx", "A 3495-2022")</f>
        <v/>
      </c>
      <c r="W251">
        <f>HYPERLINK("https://klasma.github.io/Logging_1491/klagomålsmail/A 3495-2022 FSC-klagomål mail.docx", "A 3495-2022")</f>
        <v/>
      </c>
      <c r="X251">
        <f>HYPERLINK("https://klasma.github.io/Logging_1491/tillsyn/A 3495-2022 tillsynsbegäran.docx", "A 3495-2022")</f>
        <v/>
      </c>
      <c r="Y251">
        <f>HYPERLINK("https://klasma.github.io/Logging_1491/tillsynsmail/A 3495-2022 tillsynsbegäran mail.docx", "A 3495-2022")</f>
        <v/>
      </c>
    </row>
    <row r="252" ht="15" customHeight="1">
      <c r="A252" t="inlineStr">
        <is>
          <t>A 33273-2021</t>
        </is>
      </c>
      <c r="B252" s="1" t="n">
        <v>44377</v>
      </c>
      <c r="C252" s="1" t="n">
        <v>45952</v>
      </c>
      <c r="D252" t="inlineStr">
        <is>
          <t>VÄSTRA GÖTALANDS LÄN</t>
        </is>
      </c>
      <c r="E252" t="inlineStr">
        <is>
          <t>STRÖMSTAD</t>
        </is>
      </c>
      <c r="G252" t="n">
        <v>7.2</v>
      </c>
      <c r="H252" t="n">
        <v>1</v>
      </c>
      <c r="I252" t="n">
        <v>1</v>
      </c>
      <c r="J252" t="n">
        <v>0</v>
      </c>
      <c r="K252" t="n">
        <v>0</v>
      </c>
      <c r="L252" t="n">
        <v>0</v>
      </c>
      <c r="M252" t="n">
        <v>0</v>
      </c>
      <c r="N252" t="n">
        <v>0</v>
      </c>
      <c r="O252" t="n">
        <v>0</v>
      </c>
      <c r="P252" t="n">
        <v>0</v>
      </c>
      <c r="Q252" t="n">
        <v>2</v>
      </c>
      <c r="R252" s="2" t="inlineStr">
        <is>
          <t>Trådticka
Revlummer</t>
        </is>
      </c>
      <c r="S252">
        <f>HYPERLINK("https://klasma.github.io/Logging_1486/artfynd/A 33273-2021 artfynd.xlsx", "A 33273-2021")</f>
        <v/>
      </c>
      <c r="T252">
        <f>HYPERLINK("https://klasma.github.io/Logging_1486/kartor/A 33273-2021 karta.png", "A 33273-2021")</f>
        <v/>
      </c>
      <c r="V252">
        <f>HYPERLINK("https://klasma.github.io/Logging_1486/klagomål/A 33273-2021 FSC-klagomål.docx", "A 33273-2021")</f>
        <v/>
      </c>
      <c r="W252">
        <f>HYPERLINK("https://klasma.github.io/Logging_1486/klagomålsmail/A 33273-2021 FSC-klagomål mail.docx", "A 33273-2021")</f>
        <v/>
      </c>
      <c r="X252">
        <f>HYPERLINK("https://klasma.github.io/Logging_1486/tillsyn/A 33273-2021 tillsynsbegäran.docx", "A 33273-2021")</f>
        <v/>
      </c>
      <c r="Y252">
        <f>HYPERLINK("https://klasma.github.io/Logging_1486/tillsynsmail/A 33273-2021 tillsynsbegäran mail.docx", "A 33273-2021")</f>
        <v/>
      </c>
    </row>
    <row r="253" ht="15" customHeight="1">
      <c r="A253" t="inlineStr">
        <is>
          <t>A 65506-2020</t>
        </is>
      </c>
      <c r="B253" s="1" t="n">
        <v>44173</v>
      </c>
      <c r="C253" s="1" t="n">
        <v>45952</v>
      </c>
      <c r="D253" t="inlineStr">
        <is>
          <t>VÄSTRA GÖTALANDS LÄN</t>
        </is>
      </c>
      <c r="E253" t="inlineStr">
        <is>
          <t>BOLLEBYGD</t>
        </is>
      </c>
      <c r="G253" t="n">
        <v>5.6</v>
      </c>
      <c r="H253" t="n">
        <v>2</v>
      </c>
      <c r="I253" t="n">
        <v>1</v>
      </c>
      <c r="J253" t="n">
        <v>0</v>
      </c>
      <c r="K253" t="n">
        <v>0</v>
      </c>
      <c r="L253" t="n">
        <v>0</v>
      </c>
      <c r="M253" t="n">
        <v>0</v>
      </c>
      <c r="N253" t="n">
        <v>0</v>
      </c>
      <c r="O253" t="n">
        <v>0</v>
      </c>
      <c r="P253" t="n">
        <v>0</v>
      </c>
      <c r="Q253" t="n">
        <v>2</v>
      </c>
      <c r="R253" s="2" t="inlineStr">
        <is>
          <t>Korallrot
Revlummer</t>
        </is>
      </c>
      <c r="S253">
        <f>HYPERLINK("https://klasma.github.io/Logging_1443/artfynd/A 65506-2020 artfynd.xlsx", "A 65506-2020")</f>
        <v/>
      </c>
      <c r="T253">
        <f>HYPERLINK("https://klasma.github.io/Logging_1443/kartor/A 65506-2020 karta.png", "A 65506-2020")</f>
        <v/>
      </c>
      <c r="V253">
        <f>HYPERLINK("https://klasma.github.io/Logging_1443/klagomål/A 65506-2020 FSC-klagomål.docx", "A 65506-2020")</f>
        <v/>
      </c>
      <c r="W253">
        <f>HYPERLINK("https://klasma.github.io/Logging_1443/klagomålsmail/A 65506-2020 FSC-klagomål mail.docx", "A 65506-2020")</f>
        <v/>
      </c>
      <c r="X253">
        <f>HYPERLINK("https://klasma.github.io/Logging_1443/tillsyn/A 65506-2020 tillsynsbegäran.docx", "A 65506-2020")</f>
        <v/>
      </c>
      <c r="Y253">
        <f>HYPERLINK("https://klasma.github.io/Logging_1443/tillsynsmail/A 65506-2020 tillsynsbegäran mail.docx", "A 65506-2020")</f>
        <v/>
      </c>
    </row>
    <row r="254" ht="15" customHeight="1">
      <c r="A254" t="inlineStr">
        <is>
          <t>A 68546-2020</t>
        </is>
      </c>
      <c r="B254" s="1" t="n">
        <v>44186</v>
      </c>
      <c r="C254" s="1" t="n">
        <v>45952</v>
      </c>
      <c r="D254" t="inlineStr">
        <is>
          <t>VÄSTRA GÖTALANDS LÄN</t>
        </is>
      </c>
      <c r="E254" t="inlineStr">
        <is>
          <t>BENGTSFORS</t>
        </is>
      </c>
      <c r="G254" t="n">
        <v>3.3</v>
      </c>
      <c r="H254" t="n">
        <v>1</v>
      </c>
      <c r="I254" t="n">
        <v>0</v>
      </c>
      <c r="J254" t="n">
        <v>1</v>
      </c>
      <c r="K254" t="n">
        <v>0</v>
      </c>
      <c r="L254" t="n">
        <v>0</v>
      </c>
      <c r="M254" t="n">
        <v>0</v>
      </c>
      <c r="N254" t="n">
        <v>0</v>
      </c>
      <c r="O254" t="n">
        <v>1</v>
      </c>
      <c r="P254" t="n">
        <v>0</v>
      </c>
      <c r="Q254" t="n">
        <v>2</v>
      </c>
      <c r="R254" s="2" t="inlineStr">
        <is>
          <t>Skogsklocka
Grönvit nattviol</t>
        </is>
      </c>
      <c r="S254">
        <f>HYPERLINK("https://klasma.github.io/Logging_1460/artfynd/A 68546-2020 artfynd.xlsx", "A 68546-2020")</f>
        <v/>
      </c>
      <c r="T254">
        <f>HYPERLINK("https://klasma.github.io/Logging_1460/kartor/A 68546-2020 karta.png", "A 68546-2020")</f>
        <v/>
      </c>
      <c r="V254">
        <f>HYPERLINK("https://klasma.github.io/Logging_1460/klagomål/A 68546-2020 FSC-klagomål.docx", "A 68546-2020")</f>
        <v/>
      </c>
      <c r="W254">
        <f>HYPERLINK("https://klasma.github.io/Logging_1460/klagomålsmail/A 68546-2020 FSC-klagomål mail.docx", "A 68546-2020")</f>
        <v/>
      </c>
      <c r="X254">
        <f>HYPERLINK("https://klasma.github.io/Logging_1460/tillsyn/A 68546-2020 tillsynsbegäran.docx", "A 68546-2020")</f>
        <v/>
      </c>
      <c r="Y254">
        <f>HYPERLINK("https://klasma.github.io/Logging_1460/tillsynsmail/A 68546-2020 tillsynsbegäran mail.docx", "A 68546-2020")</f>
        <v/>
      </c>
    </row>
    <row r="255" ht="15" customHeight="1">
      <c r="A255" t="inlineStr">
        <is>
          <t>A 24680-2021</t>
        </is>
      </c>
      <c r="B255" s="1" t="n">
        <v>44340</v>
      </c>
      <c r="C255" s="1" t="n">
        <v>45952</v>
      </c>
      <c r="D255" t="inlineStr">
        <is>
          <t>VÄSTRA GÖTALANDS LÄN</t>
        </is>
      </c>
      <c r="E255" t="inlineStr">
        <is>
          <t>MUNKEDAL</t>
        </is>
      </c>
      <c r="G255" t="n">
        <v>1.1</v>
      </c>
      <c r="H255" t="n">
        <v>2</v>
      </c>
      <c r="I255" t="n">
        <v>0</v>
      </c>
      <c r="J255" t="n">
        <v>0</v>
      </c>
      <c r="K255" t="n">
        <v>0</v>
      </c>
      <c r="L255" t="n">
        <v>0</v>
      </c>
      <c r="M255" t="n">
        <v>0</v>
      </c>
      <c r="N255" t="n">
        <v>0</v>
      </c>
      <c r="O255" t="n">
        <v>0</v>
      </c>
      <c r="P255" t="n">
        <v>0</v>
      </c>
      <c r="Q255" t="n">
        <v>2</v>
      </c>
      <c r="R255" s="2" t="inlineStr">
        <is>
          <t>Mattlummer
Revlummer</t>
        </is>
      </c>
      <c r="S255">
        <f>HYPERLINK("https://klasma.github.io/Logging_1430/artfynd/A 24680-2021 artfynd.xlsx", "A 24680-2021")</f>
        <v/>
      </c>
      <c r="T255">
        <f>HYPERLINK("https://klasma.github.io/Logging_1430/kartor/A 24680-2021 karta.png", "A 24680-2021")</f>
        <v/>
      </c>
      <c r="V255">
        <f>HYPERLINK("https://klasma.github.io/Logging_1430/klagomål/A 24680-2021 FSC-klagomål.docx", "A 24680-2021")</f>
        <v/>
      </c>
      <c r="W255">
        <f>HYPERLINK("https://klasma.github.io/Logging_1430/klagomålsmail/A 24680-2021 FSC-klagomål mail.docx", "A 24680-2021")</f>
        <v/>
      </c>
      <c r="X255">
        <f>HYPERLINK("https://klasma.github.io/Logging_1430/tillsyn/A 24680-2021 tillsynsbegäran.docx", "A 24680-2021")</f>
        <v/>
      </c>
      <c r="Y255">
        <f>HYPERLINK("https://klasma.github.io/Logging_1430/tillsynsmail/A 24680-2021 tillsynsbegäran mail.docx", "A 24680-2021")</f>
        <v/>
      </c>
    </row>
    <row r="256" ht="15" customHeight="1">
      <c r="A256" t="inlineStr">
        <is>
          <t>A 29220-2022</t>
        </is>
      </c>
      <c r="B256" s="1" t="n">
        <v>44750</v>
      </c>
      <c r="C256" s="1" t="n">
        <v>45952</v>
      </c>
      <c r="D256" t="inlineStr">
        <is>
          <t>VÄSTRA GÖTALANDS LÄN</t>
        </is>
      </c>
      <c r="E256" t="inlineStr">
        <is>
          <t>BENGTSFORS</t>
        </is>
      </c>
      <c r="G256" t="n">
        <v>6.6</v>
      </c>
      <c r="H256" t="n">
        <v>1</v>
      </c>
      <c r="I256" t="n">
        <v>0</v>
      </c>
      <c r="J256" t="n">
        <v>1</v>
      </c>
      <c r="K256" t="n">
        <v>0</v>
      </c>
      <c r="L256" t="n">
        <v>0</v>
      </c>
      <c r="M256" t="n">
        <v>0</v>
      </c>
      <c r="N256" t="n">
        <v>0</v>
      </c>
      <c r="O256" t="n">
        <v>1</v>
      </c>
      <c r="P256" t="n">
        <v>0</v>
      </c>
      <c r="Q256" t="n">
        <v>2</v>
      </c>
      <c r="R256" s="2" t="inlineStr">
        <is>
          <t>Vedtrappmossa
Vanlig padda</t>
        </is>
      </c>
      <c r="S256">
        <f>HYPERLINK("https://klasma.github.io/Logging_1460/artfynd/A 29220-2022 artfynd.xlsx", "A 29220-2022")</f>
        <v/>
      </c>
      <c r="T256">
        <f>HYPERLINK("https://klasma.github.io/Logging_1460/kartor/A 29220-2022 karta.png", "A 29220-2022")</f>
        <v/>
      </c>
      <c r="V256">
        <f>HYPERLINK("https://klasma.github.io/Logging_1460/klagomål/A 29220-2022 FSC-klagomål.docx", "A 29220-2022")</f>
        <v/>
      </c>
      <c r="W256">
        <f>HYPERLINK("https://klasma.github.io/Logging_1460/klagomålsmail/A 29220-2022 FSC-klagomål mail.docx", "A 29220-2022")</f>
        <v/>
      </c>
      <c r="X256">
        <f>HYPERLINK("https://klasma.github.io/Logging_1460/tillsyn/A 29220-2022 tillsynsbegäran.docx", "A 29220-2022")</f>
        <v/>
      </c>
      <c r="Y256">
        <f>HYPERLINK("https://klasma.github.io/Logging_1460/tillsynsmail/A 29220-2022 tillsynsbegäran mail.docx", "A 29220-2022")</f>
        <v/>
      </c>
    </row>
    <row r="257" ht="15" customHeight="1">
      <c r="A257" t="inlineStr">
        <is>
          <t>A 2185-2022</t>
        </is>
      </c>
      <c r="B257" s="1" t="n">
        <v>44578</v>
      </c>
      <c r="C257" s="1" t="n">
        <v>45952</v>
      </c>
      <c r="D257" t="inlineStr">
        <is>
          <t>VÄSTRA GÖTALANDS LÄN</t>
        </is>
      </c>
      <c r="E257" t="inlineStr">
        <is>
          <t>DALS-ED</t>
        </is>
      </c>
      <c r="G257" t="n">
        <v>4.7</v>
      </c>
      <c r="H257" t="n">
        <v>1</v>
      </c>
      <c r="I257" t="n">
        <v>1</v>
      </c>
      <c r="J257" t="n">
        <v>1</v>
      </c>
      <c r="K257" t="n">
        <v>0</v>
      </c>
      <c r="L257" t="n">
        <v>0</v>
      </c>
      <c r="M257" t="n">
        <v>0</v>
      </c>
      <c r="N257" t="n">
        <v>0</v>
      </c>
      <c r="O257" t="n">
        <v>1</v>
      </c>
      <c r="P257" t="n">
        <v>0</v>
      </c>
      <c r="Q257" t="n">
        <v>2</v>
      </c>
      <c r="R257" s="2" t="inlineStr">
        <is>
          <t>Spillkråka
Dropptaggsvamp</t>
        </is>
      </c>
      <c r="S257">
        <f>HYPERLINK("https://klasma.github.io/Logging_1438/artfynd/A 2185-2022 artfynd.xlsx", "A 2185-2022")</f>
        <v/>
      </c>
      <c r="T257">
        <f>HYPERLINK("https://klasma.github.io/Logging_1438/kartor/A 2185-2022 karta.png", "A 2185-2022")</f>
        <v/>
      </c>
      <c r="V257">
        <f>HYPERLINK("https://klasma.github.io/Logging_1438/klagomål/A 2185-2022 FSC-klagomål.docx", "A 2185-2022")</f>
        <v/>
      </c>
      <c r="W257">
        <f>HYPERLINK("https://klasma.github.io/Logging_1438/klagomålsmail/A 2185-2022 FSC-klagomål mail.docx", "A 2185-2022")</f>
        <v/>
      </c>
      <c r="X257">
        <f>HYPERLINK("https://klasma.github.io/Logging_1438/tillsyn/A 2185-2022 tillsynsbegäran.docx", "A 2185-2022")</f>
        <v/>
      </c>
      <c r="Y257">
        <f>HYPERLINK("https://klasma.github.io/Logging_1438/tillsynsmail/A 2185-2022 tillsynsbegäran mail.docx", "A 2185-2022")</f>
        <v/>
      </c>
      <c r="Z257">
        <f>HYPERLINK("https://klasma.github.io/Logging_1438/fåglar/A 2185-2022 prioriterade fågelarter.docx", "A 2185-2022")</f>
        <v/>
      </c>
    </row>
    <row r="258" ht="15" customHeight="1">
      <c r="A258" t="inlineStr">
        <is>
          <t>A 57572-2021</t>
        </is>
      </c>
      <c r="B258" s="1" t="n">
        <v>44482</v>
      </c>
      <c r="C258" s="1" t="n">
        <v>45952</v>
      </c>
      <c r="D258" t="inlineStr">
        <is>
          <t>VÄSTRA GÖTALANDS LÄN</t>
        </is>
      </c>
      <c r="E258" t="inlineStr">
        <is>
          <t>MARK</t>
        </is>
      </c>
      <c r="G258" t="n">
        <v>8</v>
      </c>
      <c r="H258" t="n">
        <v>1</v>
      </c>
      <c r="I258" t="n">
        <v>0</v>
      </c>
      <c r="J258" t="n">
        <v>1</v>
      </c>
      <c r="K258" t="n">
        <v>1</v>
      </c>
      <c r="L258" t="n">
        <v>0</v>
      </c>
      <c r="M258" t="n">
        <v>0</v>
      </c>
      <c r="N258" t="n">
        <v>0</v>
      </c>
      <c r="O258" t="n">
        <v>2</v>
      </c>
      <c r="P258" t="n">
        <v>1</v>
      </c>
      <c r="Q258" t="n">
        <v>2</v>
      </c>
      <c r="R258" s="2" t="inlineStr">
        <is>
          <t>Knärot
Sexfläckig bastardsvärmare</t>
        </is>
      </c>
      <c r="S258">
        <f>HYPERLINK("https://klasma.github.io/Logging_1463/artfynd/A 57572-2021 artfynd.xlsx", "A 57572-2021")</f>
        <v/>
      </c>
      <c r="T258">
        <f>HYPERLINK("https://klasma.github.io/Logging_1463/kartor/A 57572-2021 karta.png", "A 57572-2021")</f>
        <v/>
      </c>
      <c r="U258">
        <f>HYPERLINK("https://klasma.github.io/Logging_1463/knärot/A 57572-2021 karta knärot.png", "A 57572-2021")</f>
        <v/>
      </c>
      <c r="V258">
        <f>HYPERLINK("https://klasma.github.io/Logging_1463/klagomål/A 57572-2021 FSC-klagomål.docx", "A 57572-2021")</f>
        <v/>
      </c>
      <c r="W258">
        <f>HYPERLINK("https://klasma.github.io/Logging_1463/klagomålsmail/A 57572-2021 FSC-klagomål mail.docx", "A 57572-2021")</f>
        <v/>
      </c>
      <c r="X258">
        <f>HYPERLINK("https://klasma.github.io/Logging_1463/tillsyn/A 57572-2021 tillsynsbegäran.docx", "A 57572-2021")</f>
        <v/>
      </c>
      <c r="Y258">
        <f>HYPERLINK("https://klasma.github.io/Logging_1463/tillsynsmail/A 57572-2021 tillsynsbegäran mail.docx", "A 57572-2021")</f>
        <v/>
      </c>
    </row>
    <row r="259" ht="15" customHeight="1">
      <c r="A259" t="inlineStr">
        <is>
          <t>A 39323-2022</t>
        </is>
      </c>
      <c r="B259" s="1" t="n">
        <v>44817.71167824074</v>
      </c>
      <c r="C259" s="1" t="n">
        <v>45952</v>
      </c>
      <c r="D259" t="inlineStr">
        <is>
          <t>VÄSTRA GÖTALANDS LÄN</t>
        </is>
      </c>
      <c r="E259" t="inlineStr">
        <is>
          <t>BORÅS</t>
        </is>
      </c>
      <c r="G259" t="n">
        <v>8.1</v>
      </c>
      <c r="H259" t="n">
        <v>2</v>
      </c>
      <c r="I259" t="n">
        <v>0</v>
      </c>
      <c r="J259" t="n">
        <v>0</v>
      </c>
      <c r="K259" t="n">
        <v>0</v>
      </c>
      <c r="L259" t="n">
        <v>0</v>
      </c>
      <c r="M259" t="n">
        <v>0</v>
      </c>
      <c r="N259" t="n">
        <v>0</v>
      </c>
      <c r="O259" t="n">
        <v>0</v>
      </c>
      <c r="P259" t="n">
        <v>0</v>
      </c>
      <c r="Q259" t="n">
        <v>2</v>
      </c>
      <c r="R259" s="2" t="inlineStr">
        <is>
          <t>Järnsparv
Tjäder</t>
        </is>
      </c>
      <c r="S259">
        <f>HYPERLINK("https://klasma.github.io/Logging_1490/artfynd/A 39323-2022 artfynd.xlsx", "A 39323-2022")</f>
        <v/>
      </c>
      <c r="T259">
        <f>HYPERLINK("https://klasma.github.io/Logging_1490/kartor/A 39323-2022 karta.png", "A 39323-2022")</f>
        <v/>
      </c>
      <c r="V259">
        <f>HYPERLINK("https://klasma.github.io/Logging_1490/klagomål/A 39323-2022 FSC-klagomål.docx", "A 39323-2022")</f>
        <v/>
      </c>
      <c r="W259">
        <f>HYPERLINK("https://klasma.github.io/Logging_1490/klagomålsmail/A 39323-2022 FSC-klagomål mail.docx", "A 39323-2022")</f>
        <v/>
      </c>
      <c r="X259">
        <f>HYPERLINK("https://klasma.github.io/Logging_1490/tillsyn/A 39323-2022 tillsynsbegäran.docx", "A 39323-2022")</f>
        <v/>
      </c>
      <c r="Y259">
        <f>HYPERLINK("https://klasma.github.io/Logging_1490/tillsynsmail/A 39323-2022 tillsynsbegäran mail.docx", "A 39323-2022")</f>
        <v/>
      </c>
      <c r="Z259">
        <f>HYPERLINK("https://klasma.github.io/Logging_1490/fåglar/A 39323-2022 prioriterade fågelarter.docx", "A 39323-2022")</f>
        <v/>
      </c>
    </row>
    <row r="260" ht="15" customHeight="1">
      <c r="A260" t="inlineStr">
        <is>
          <t>A 11984-2021</t>
        </is>
      </c>
      <c r="B260" s="1" t="n">
        <v>44266</v>
      </c>
      <c r="C260" s="1" t="n">
        <v>45952</v>
      </c>
      <c r="D260" t="inlineStr">
        <is>
          <t>VÄSTRA GÖTALANDS LÄN</t>
        </is>
      </c>
      <c r="E260" t="inlineStr">
        <is>
          <t>ORUST</t>
        </is>
      </c>
      <c r="G260" t="n">
        <v>8.4</v>
      </c>
      <c r="H260" t="n">
        <v>1</v>
      </c>
      <c r="I260" t="n">
        <v>0</v>
      </c>
      <c r="J260" t="n">
        <v>1</v>
      </c>
      <c r="K260" t="n">
        <v>0</v>
      </c>
      <c r="L260" t="n">
        <v>0</v>
      </c>
      <c r="M260" t="n">
        <v>0</v>
      </c>
      <c r="N260" t="n">
        <v>0</v>
      </c>
      <c r="O260" t="n">
        <v>1</v>
      </c>
      <c r="P260" t="n">
        <v>0</v>
      </c>
      <c r="Q260" t="n">
        <v>2</v>
      </c>
      <c r="R260" s="2" t="inlineStr">
        <is>
          <t>Sexfläckig bastardsvärmare
Gullviva</t>
        </is>
      </c>
      <c r="S260">
        <f>HYPERLINK("https://klasma.github.io/Logging_1421/artfynd/A 11984-2021 artfynd.xlsx", "A 11984-2021")</f>
        <v/>
      </c>
      <c r="T260">
        <f>HYPERLINK("https://klasma.github.io/Logging_1421/kartor/A 11984-2021 karta.png", "A 11984-2021")</f>
        <v/>
      </c>
      <c r="V260">
        <f>HYPERLINK("https://klasma.github.io/Logging_1421/klagomål/A 11984-2021 FSC-klagomål.docx", "A 11984-2021")</f>
        <v/>
      </c>
      <c r="W260">
        <f>HYPERLINK("https://klasma.github.io/Logging_1421/klagomålsmail/A 11984-2021 FSC-klagomål mail.docx", "A 11984-2021")</f>
        <v/>
      </c>
      <c r="X260">
        <f>HYPERLINK("https://klasma.github.io/Logging_1421/tillsyn/A 11984-2021 tillsynsbegäran.docx", "A 11984-2021")</f>
        <v/>
      </c>
      <c r="Y260">
        <f>HYPERLINK("https://klasma.github.io/Logging_1421/tillsynsmail/A 11984-2021 tillsynsbegäran mail.docx", "A 11984-2021")</f>
        <v/>
      </c>
    </row>
    <row r="261" ht="15" customHeight="1">
      <c r="A261" t="inlineStr">
        <is>
          <t>A 21759-2021</t>
        </is>
      </c>
      <c r="B261" s="1" t="n">
        <v>44322</v>
      </c>
      <c r="C261" s="1" t="n">
        <v>45952</v>
      </c>
      <c r="D261" t="inlineStr">
        <is>
          <t>VÄSTRA GÖTALANDS LÄN</t>
        </is>
      </c>
      <c r="E261" t="inlineStr">
        <is>
          <t>MÖLNDAL</t>
        </is>
      </c>
      <c r="F261" t="inlineStr">
        <is>
          <t>Kommuner</t>
        </is>
      </c>
      <c r="G261" t="n">
        <v>3.9</v>
      </c>
      <c r="H261" t="n">
        <v>0</v>
      </c>
      <c r="I261" t="n">
        <v>2</v>
      </c>
      <c r="J261" t="n">
        <v>0</v>
      </c>
      <c r="K261" t="n">
        <v>0</v>
      </c>
      <c r="L261" t="n">
        <v>0</v>
      </c>
      <c r="M261" t="n">
        <v>0</v>
      </c>
      <c r="N261" t="n">
        <v>0</v>
      </c>
      <c r="O261" t="n">
        <v>0</v>
      </c>
      <c r="P261" t="n">
        <v>0</v>
      </c>
      <c r="Q261" t="n">
        <v>2</v>
      </c>
      <c r="R261" s="2" t="inlineStr">
        <is>
          <t>Stubbspretmossa
Västlig hakmossa</t>
        </is>
      </c>
      <c r="S261">
        <f>HYPERLINK("https://klasma.github.io/Logging_1481/artfynd/A 21759-2021 artfynd.xlsx", "A 21759-2021")</f>
        <v/>
      </c>
      <c r="T261">
        <f>HYPERLINK("https://klasma.github.io/Logging_1481/kartor/A 21759-2021 karta.png", "A 21759-2021")</f>
        <v/>
      </c>
      <c r="V261">
        <f>HYPERLINK("https://klasma.github.io/Logging_1481/klagomål/A 21759-2021 FSC-klagomål.docx", "A 21759-2021")</f>
        <v/>
      </c>
      <c r="W261">
        <f>HYPERLINK("https://klasma.github.io/Logging_1481/klagomålsmail/A 21759-2021 FSC-klagomål mail.docx", "A 21759-2021")</f>
        <v/>
      </c>
      <c r="X261">
        <f>HYPERLINK("https://klasma.github.io/Logging_1481/tillsyn/A 21759-2021 tillsynsbegäran.docx", "A 21759-2021")</f>
        <v/>
      </c>
      <c r="Y261">
        <f>HYPERLINK("https://klasma.github.io/Logging_1481/tillsynsmail/A 21759-2021 tillsynsbegäran mail.docx", "A 21759-2021")</f>
        <v/>
      </c>
    </row>
    <row r="262" ht="15" customHeight="1">
      <c r="A262" t="inlineStr">
        <is>
          <t>A 47429-2021</t>
        </is>
      </c>
      <c r="B262" s="1" t="n">
        <v>44447</v>
      </c>
      <c r="C262" s="1" t="n">
        <v>45952</v>
      </c>
      <c r="D262" t="inlineStr">
        <is>
          <t>VÄSTRA GÖTALANDS LÄN</t>
        </is>
      </c>
      <c r="E262" t="inlineStr">
        <is>
          <t>SKÖVDE</t>
        </is>
      </c>
      <c r="G262" t="n">
        <v>1</v>
      </c>
      <c r="H262" t="n">
        <v>0</v>
      </c>
      <c r="I262" t="n">
        <v>2</v>
      </c>
      <c r="J262" t="n">
        <v>0</v>
      </c>
      <c r="K262" t="n">
        <v>0</v>
      </c>
      <c r="L262" t="n">
        <v>0</v>
      </c>
      <c r="M262" t="n">
        <v>0</v>
      </c>
      <c r="N262" t="n">
        <v>0</v>
      </c>
      <c r="O262" t="n">
        <v>0</v>
      </c>
      <c r="P262" t="n">
        <v>0</v>
      </c>
      <c r="Q262" t="n">
        <v>2</v>
      </c>
      <c r="R262" s="2" t="inlineStr">
        <is>
          <t>Svart trolldruva
Tibast</t>
        </is>
      </c>
      <c r="S262">
        <f>HYPERLINK("https://klasma.github.io/Logging_1496/artfynd/A 47429-2021 artfynd.xlsx", "A 47429-2021")</f>
        <v/>
      </c>
      <c r="T262">
        <f>HYPERLINK("https://klasma.github.io/Logging_1496/kartor/A 47429-2021 karta.png", "A 47429-2021")</f>
        <v/>
      </c>
      <c r="V262">
        <f>HYPERLINK("https://klasma.github.io/Logging_1496/klagomål/A 47429-2021 FSC-klagomål.docx", "A 47429-2021")</f>
        <v/>
      </c>
      <c r="W262">
        <f>HYPERLINK("https://klasma.github.io/Logging_1496/klagomålsmail/A 47429-2021 FSC-klagomål mail.docx", "A 47429-2021")</f>
        <v/>
      </c>
      <c r="X262">
        <f>HYPERLINK("https://klasma.github.io/Logging_1496/tillsyn/A 47429-2021 tillsynsbegäran.docx", "A 47429-2021")</f>
        <v/>
      </c>
      <c r="Y262">
        <f>HYPERLINK("https://klasma.github.io/Logging_1496/tillsynsmail/A 47429-2021 tillsynsbegäran mail.docx", "A 47429-2021")</f>
        <v/>
      </c>
    </row>
    <row r="263" ht="15" customHeight="1">
      <c r="A263" t="inlineStr">
        <is>
          <t>A 13274-2022</t>
        </is>
      </c>
      <c r="B263" s="1" t="n">
        <v>44644</v>
      </c>
      <c r="C263" s="1" t="n">
        <v>45952</v>
      </c>
      <c r="D263" t="inlineStr">
        <is>
          <t>VÄSTRA GÖTALANDS LÄN</t>
        </is>
      </c>
      <c r="E263" t="inlineStr">
        <is>
          <t>TANUM</t>
        </is>
      </c>
      <c r="G263" t="n">
        <v>4</v>
      </c>
      <c r="H263" t="n">
        <v>2</v>
      </c>
      <c r="I263" t="n">
        <v>0</v>
      </c>
      <c r="J263" t="n">
        <v>0</v>
      </c>
      <c r="K263" t="n">
        <v>0</v>
      </c>
      <c r="L263" t="n">
        <v>0</v>
      </c>
      <c r="M263" t="n">
        <v>0</v>
      </c>
      <c r="N263" t="n">
        <v>0</v>
      </c>
      <c r="O263" t="n">
        <v>0</v>
      </c>
      <c r="P263" t="n">
        <v>0</v>
      </c>
      <c r="Q263" t="n">
        <v>2</v>
      </c>
      <c r="R263" s="2" t="inlineStr">
        <is>
          <t>Mattlummer
Revlummer</t>
        </is>
      </c>
      <c r="S263">
        <f>HYPERLINK("https://klasma.github.io/Logging_1435/artfynd/A 13274-2022 artfynd.xlsx", "A 13274-2022")</f>
        <v/>
      </c>
      <c r="T263">
        <f>HYPERLINK("https://klasma.github.io/Logging_1435/kartor/A 13274-2022 karta.png", "A 13274-2022")</f>
        <v/>
      </c>
      <c r="V263">
        <f>HYPERLINK("https://klasma.github.io/Logging_1435/klagomål/A 13274-2022 FSC-klagomål.docx", "A 13274-2022")</f>
        <v/>
      </c>
      <c r="W263">
        <f>HYPERLINK("https://klasma.github.io/Logging_1435/klagomålsmail/A 13274-2022 FSC-klagomål mail.docx", "A 13274-2022")</f>
        <v/>
      </c>
      <c r="X263">
        <f>HYPERLINK("https://klasma.github.io/Logging_1435/tillsyn/A 13274-2022 tillsynsbegäran.docx", "A 13274-2022")</f>
        <v/>
      </c>
      <c r="Y263">
        <f>HYPERLINK("https://klasma.github.io/Logging_1435/tillsynsmail/A 13274-2022 tillsynsbegäran mail.docx", "A 13274-2022")</f>
        <v/>
      </c>
    </row>
    <row r="264" ht="15" customHeight="1">
      <c r="A264" t="inlineStr">
        <is>
          <t>A 33448-2021</t>
        </is>
      </c>
      <c r="B264" s="1" t="n">
        <v>44377</v>
      </c>
      <c r="C264" s="1" t="n">
        <v>45952</v>
      </c>
      <c r="D264" t="inlineStr">
        <is>
          <t>VÄSTRA GÖTALANDS LÄN</t>
        </is>
      </c>
      <c r="E264" t="inlineStr">
        <is>
          <t>KUNGÄLV</t>
        </is>
      </c>
      <c r="G264" t="n">
        <v>14.7</v>
      </c>
      <c r="H264" t="n">
        <v>1</v>
      </c>
      <c r="I264" t="n">
        <v>1</v>
      </c>
      <c r="J264" t="n">
        <v>0</v>
      </c>
      <c r="K264" t="n">
        <v>0</v>
      </c>
      <c r="L264" t="n">
        <v>0</v>
      </c>
      <c r="M264" t="n">
        <v>0</v>
      </c>
      <c r="N264" t="n">
        <v>0</v>
      </c>
      <c r="O264" t="n">
        <v>0</v>
      </c>
      <c r="P264" t="n">
        <v>0</v>
      </c>
      <c r="Q264" t="n">
        <v>2</v>
      </c>
      <c r="R264" s="2" t="inlineStr">
        <is>
          <t>Blåmossa
Mattlummer</t>
        </is>
      </c>
      <c r="S264">
        <f>HYPERLINK("https://klasma.github.io/Logging_1482/artfynd/A 33448-2021 artfynd.xlsx", "A 33448-2021")</f>
        <v/>
      </c>
      <c r="T264">
        <f>HYPERLINK("https://klasma.github.io/Logging_1482/kartor/A 33448-2021 karta.png", "A 33448-2021")</f>
        <v/>
      </c>
      <c r="V264">
        <f>HYPERLINK("https://klasma.github.io/Logging_1482/klagomål/A 33448-2021 FSC-klagomål.docx", "A 33448-2021")</f>
        <v/>
      </c>
      <c r="W264">
        <f>HYPERLINK("https://klasma.github.io/Logging_1482/klagomålsmail/A 33448-2021 FSC-klagomål mail.docx", "A 33448-2021")</f>
        <v/>
      </c>
      <c r="X264">
        <f>HYPERLINK("https://klasma.github.io/Logging_1482/tillsyn/A 33448-2021 tillsynsbegäran.docx", "A 33448-2021")</f>
        <v/>
      </c>
      <c r="Y264">
        <f>HYPERLINK("https://klasma.github.io/Logging_1482/tillsynsmail/A 33448-2021 tillsynsbegäran mail.docx", "A 33448-2021")</f>
        <v/>
      </c>
    </row>
    <row r="265" ht="15" customHeight="1">
      <c r="A265" t="inlineStr">
        <is>
          <t>A 46044-2023</t>
        </is>
      </c>
      <c r="B265" s="1" t="n">
        <v>45196</v>
      </c>
      <c r="C265" s="1" t="n">
        <v>45952</v>
      </c>
      <c r="D265" t="inlineStr">
        <is>
          <t>VÄSTRA GÖTALANDS LÄN</t>
        </is>
      </c>
      <c r="E265" t="inlineStr">
        <is>
          <t>TANUM</t>
        </is>
      </c>
      <c r="G265" t="n">
        <v>33.6</v>
      </c>
      <c r="H265" t="n">
        <v>1</v>
      </c>
      <c r="I265" t="n">
        <v>1</v>
      </c>
      <c r="J265" t="n">
        <v>0</v>
      </c>
      <c r="K265" t="n">
        <v>0</v>
      </c>
      <c r="L265" t="n">
        <v>0</v>
      </c>
      <c r="M265" t="n">
        <v>0</v>
      </c>
      <c r="N265" t="n">
        <v>0</v>
      </c>
      <c r="O265" t="n">
        <v>0</v>
      </c>
      <c r="P265" t="n">
        <v>0</v>
      </c>
      <c r="Q265" t="n">
        <v>2</v>
      </c>
      <c r="R265" s="2" t="inlineStr">
        <is>
          <t>Korallblylav
Orre</t>
        </is>
      </c>
      <c r="S265">
        <f>HYPERLINK("https://klasma.github.io/Logging_1435/artfynd/A 46044-2023 artfynd.xlsx", "A 46044-2023")</f>
        <v/>
      </c>
      <c r="T265">
        <f>HYPERLINK("https://klasma.github.io/Logging_1435/kartor/A 46044-2023 karta.png", "A 46044-2023")</f>
        <v/>
      </c>
      <c r="V265">
        <f>HYPERLINK("https://klasma.github.io/Logging_1435/klagomål/A 46044-2023 FSC-klagomål.docx", "A 46044-2023")</f>
        <v/>
      </c>
      <c r="W265">
        <f>HYPERLINK("https://klasma.github.io/Logging_1435/klagomålsmail/A 46044-2023 FSC-klagomål mail.docx", "A 46044-2023")</f>
        <v/>
      </c>
      <c r="X265">
        <f>HYPERLINK("https://klasma.github.io/Logging_1435/tillsyn/A 46044-2023 tillsynsbegäran.docx", "A 46044-2023")</f>
        <v/>
      </c>
      <c r="Y265">
        <f>HYPERLINK("https://klasma.github.io/Logging_1435/tillsynsmail/A 46044-2023 tillsynsbegäran mail.docx", "A 46044-2023")</f>
        <v/>
      </c>
      <c r="Z265">
        <f>HYPERLINK("https://klasma.github.io/Logging_1435/fåglar/A 46044-2023 prioriterade fågelarter.docx", "A 46044-2023")</f>
        <v/>
      </c>
    </row>
    <row r="266" ht="15" customHeight="1">
      <c r="A266" t="inlineStr">
        <is>
          <t>A 13365-2024</t>
        </is>
      </c>
      <c r="B266" s="1" t="n">
        <v>45387.36229166666</v>
      </c>
      <c r="C266" s="1" t="n">
        <v>45952</v>
      </c>
      <c r="D266" t="inlineStr">
        <is>
          <t>VÄSTRA GÖTALANDS LÄN</t>
        </is>
      </c>
      <c r="E266" t="inlineStr">
        <is>
          <t>KARLSBORG</t>
        </is>
      </c>
      <c r="F266" t="inlineStr">
        <is>
          <t>Övriga Aktiebolag</t>
        </is>
      </c>
      <c r="G266" t="n">
        <v>2.5</v>
      </c>
      <c r="H266" t="n">
        <v>1</v>
      </c>
      <c r="I266" t="n">
        <v>1</v>
      </c>
      <c r="J266" t="n">
        <v>0</v>
      </c>
      <c r="K266" t="n">
        <v>0</v>
      </c>
      <c r="L266" t="n">
        <v>0</v>
      </c>
      <c r="M266" t="n">
        <v>0</v>
      </c>
      <c r="N266" t="n">
        <v>0</v>
      </c>
      <c r="O266" t="n">
        <v>0</v>
      </c>
      <c r="P266" t="n">
        <v>0</v>
      </c>
      <c r="Q266" t="n">
        <v>2</v>
      </c>
      <c r="R266" s="2" t="inlineStr">
        <is>
          <t>Grönpyrola
Tjäder</t>
        </is>
      </c>
      <c r="S266">
        <f>HYPERLINK("https://klasma.github.io/Logging_1446/artfynd/A 13365-2024 artfynd.xlsx", "A 13365-2024")</f>
        <v/>
      </c>
      <c r="T266">
        <f>HYPERLINK("https://klasma.github.io/Logging_1446/kartor/A 13365-2024 karta.png", "A 13365-2024")</f>
        <v/>
      </c>
      <c r="V266">
        <f>HYPERLINK("https://klasma.github.io/Logging_1446/klagomål/A 13365-2024 FSC-klagomål.docx", "A 13365-2024")</f>
        <v/>
      </c>
      <c r="W266">
        <f>HYPERLINK("https://klasma.github.io/Logging_1446/klagomålsmail/A 13365-2024 FSC-klagomål mail.docx", "A 13365-2024")</f>
        <v/>
      </c>
      <c r="X266">
        <f>HYPERLINK("https://klasma.github.io/Logging_1446/tillsyn/A 13365-2024 tillsynsbegäran.docx", "A 13365-2024")</f>
        <v/>
      </c>
      <c r="Y266">
        <f>HYPERLINK("https://klasma.github.io/Logging_1446/tillsynsmail/A 13365-2024 tillsynsbegäran mail.docx", "A 13365-2024")</f>
        <v/>
      </c>
      <c r="Z266">
        <f>HYPERLINK("https://klasma.github.io/Logging_1446/fåglar/A 13365-2024 prioriterade fågelarter.docx", "A 13365-2024")</f>
        <v/>
      </c>
    </row>
    <row r="267" ht="15" customHeight="1">
      <c r="A267" t="inlineStr">
        <is>
          <t>A 58890-2022</t>
        </is>
      </c>
      <c r="B267" s="1" t="n">
        <v>44903</v>
      </c>
      <c r="C267" s="1" t="n">
        <v>45952</v>
      </c>
      <c r="D267" t="inlineStr">
        <is>
          <t>VÄSTRA GÖTALANDS LÄN</t>
        </is>
      </c>
      <c r="E267" t="inlineStr">
        <is>
          <t>MUNKEDAL</t>
        </is>
      </c>
      <c r="G267" t="n">
        <v>5.4</v>
      </c>
      <c r="H267" t="n">
        <v>0</v>
      </c>
      <c r="I267" t="n">
        <v>1</v>
      </c>
      <c r="J267" t="n">
        <v>1</v>
      </c>
      <c r="K267" t="n">
        <v>0</v>
      </c>
      <c r="L267" t="n">
        <v>0</v>
      </c>
      <c r="M267" t="n">
        <v>0</v>
      </c>
      <c r="N267" t="n">
        <v>0</v>
      </c>
      <c r="O267" t="n">
        <v>1</v>
      </c>
      <c r="P267" t="n">
        <v>0</v>
      </c>
      <c r="Q267" t="n">
        <v>2</v>
      </c>
      <c r="R267" s="2" t="inlineStr">
        <is>
          <t>Svart taggsvamp
Stor revmossa</t>
        </is>
      </c>
      <c r="S267">
        <f>HYPERLINK("https://klasma.github.io/Logging_1430/artfynd/A 58890-2022 artfynd.xlsx", "A 58890-2022")</f>
        <v/>
      </c>
      <c r="T267">
        <f>HYPERLINK("https://klasma.github.io/Logging_1430/kartor/A 58890-2022 karta.png", "A 58890-2022")</f>
        <v/>
      </c>
      <c r="V267">
        <f>HYPERLINK("https://klasma.github.io/Logging_1430/klagomål/A 58890-2022 FSC-klagomål.docx", "A 58890-2022")</f>
        <v/>
      </c>
      <c r="W267">
        <f>HYPERLINK("https://klasma.github.io/Logging_1430/klagomålsmail/A 58890-2022 FSC-klagomål mail.docx", "A 58890-2022")</f>
        <v/>
      </c>
      <c r="X267">
        <f>HYPERLINK("https://klasma.github.io/Logging_1430/tillsyn/A 58890-2022 tillsynsbegäran.docx", "A 58890-2022")</f>
        <v/>
      </c>
      <c r="Y267">
        <f>HYPERLINK("https://klasma.github.io/Logging_1430/tillsynsmail/A 58890-2022 tillsynsbegäran mail.docx", "A 58890-2022")</f>
        <v/>
      </c>
    </row>
    <row r="268" ht="15" customHeight="1">
      <c r="A268" t="inlineStr">
        <is>
          <t>A 40067-2021</t>
        </is>
      </c>
      <c r="B268" s="1" t="n">
        <v>44418</v>
      </c>
      <c r="C268" s="1" t="n">
        <v>45952</v>
      </c>
      <c r="D268" t="inlineStr">
        <is>
          <t>VÄSTRA GÖTALANDS LÄN</t>
        </is>
      </c>
      <c r="E268" t="inlineStr">
        <is>
          <t>FALKÖPING</t>
        </is>
      </c>
      <c r="G268" t="n">
        <v>3.8</v>
      </c>
      <c r="H268" t="n">
        <v>1</v>
      </c>
      <c r="I268" t="n">
        <v>0</v>
      </c>
      <c r="J268" t="n">
        <v>1</v>
      </c>
      <c r="K268" t="n">
        <v>1</v>
      </c>
      <c r="L268" t="n">
        <v>0</v>
      </c>
      <c r="M268" t="n">
        <v>0</v>
      </c>
      <c r="N268" t="n">
        <v>0</v>
      </c>
      <c r="O268" t="n">
        <v>2</v>
      </c>
      <c r="P268" t="n">
        <v>1</v>
      </c>
      <c r="Q268" t="n">
        <v>2</v>
      </c>
      <c r="R268" s="2" t="inlineStr">
        <is>
          <t>Backsippa
Sandviol</t>
        </is>
      </c>
      <c r="S268">
        <f>HYPERLINK("https://klasma.github.io/Logging_1499/artfynd/A 40067-2021 artfynd.xlsx", "A 40067-2021")</f>
        <v/>
      </c>
      <c r="T268">
        <f>HYPERLINK("https://klasma.github.io/Logging_1499/kartor/A 40067-2021 karta.png", "A 40067-2021")</f>
        <v/>
      </c>
      <c r="V268">
        <f>HYPERLINK("https://klasma.github.io/Logging_1499/klagomål/A 40067-2021 FSC-klagomål.docx", "A 40067-2021")</f>
        <v/>
      </c>
      <c r="W268">
        <f>HYPERLINK("https://klasma.github.io/Logging_1499/klagomålsmail/A 40067-2021 FSC-klagomål mail.docx", "A 40067-2021")</f>
        <v/>
      </c>
      <c r="X268">
        <f>HYPERLINK("https://klasma.github.io/Logging_1499/tillsyn/A 40067-2021 tillsynsbegäran.docx", "A 40067-2021")</f>
        <v/>
      </c>
      <c r="Y268">
        <f>HYPERLINK("https://klasma.github.io/Logging_1499/tillsynsmail/A 40067-2021 tillsynsbegäran mail.docx", "A 40067-2021")</f>
        <v/>
      </c>
    </row>
    <row r="269" ht="15" customHeight="1">
      <c r="A269" t="inlineStr">
        <is>
          <t>A 7276-2025</t>
        </is>
      </c>
      <c r="B269" s="1" t="n">
        <v>45702.62541666667</v>
      </c>
      <c r="C269" s="1" t="n">
        <v>45952</v>
      </c>
      <c r="D269" t="inlineStr">
        <is>
          <t>VÄSTRA GÖTALANDS LÄN</t>
        </is>
      </c>
      <c r="E269" t="inlineStr">
        <is>
          <t>SKÖVDE</t>
        </is>
      </c>
      <c r="G269" t="n">
        <v>0.6</v>
      </c>
      <c r="H269" t="n">
        <v>0</v>
      </c>
      <c r="I269" t="n">
        <v>0</v>
      </c>
      <c r="J269" t="n">
        <v>0</v>
      </c>
      <c r="K269" t="n">
        <v>2</v>
      </c>
      <c r="L269" t="n">
        <v>0</v>
      </c>
      <c r="M269" t="n">
        <v>0</v>
      </c>
      <c r="N269" t="n">
        <v>0</v>
      </c>
      <c r="O269" t="n">
        <v>2</v>
      </c>
      <c r="P269" t="n">
        <v>2</v>
      </c>
      <c r="Q269" t="n">
        <v>2</v>
      </c>
      <c r="R269" s="2" t="inlineStr">
        <is>
          <t>Bitter taggsvamp
Mjölfibbla</t>
        </is>
      </c>
      <c r="S269">
        <f>HYPERLINK("https://klasma.github.io/Logging_1496/artfynd/A 7276-2025 artfynd.xlsx", "A 7276-2025")</f>
        <v/>
      </c>
      <c r="T269">
        <f>HYPERLINK("https://klasma.github.io/Logging_1496/kartor/A 7276-2025 karta.png", "A 7276-2025")</f>
        <v/>
      </c>
      <c r="V269">
        <f>HYPERLINK("https://klasma.github.io/Logging_1496/klagomål/A 7276-2025 FSC-klagomål.docx", "A 7276-2025")</f>
        <v/>
      </c>
      <c r="W269">
        <f>HYPERLINK("https://klasma.github.io/Logging_1496/klagomålsmail/A 7276-2025 FSC-klagomål mail.docx", "A 7276-2025")</f>
        <v/>
      </c>
      <c r="X269">
        <f>HYPERLINK("https://klasma.github.io/Logging_1496/tillsyn/A 7276-2025 tillsynsbegäran.docx", "A 7276-2025")</f>
        <v/>
      </c>
      <c r="Y269">
        <f>HYPERLINK("https://klasma.github.io/Logging_1496/tillsynsmail/A 7276-2025 tillsynsbegäran mail.docx", "A 7276-2025")</f>
        <v/>
      </c>
    </row>
    <row r="270" ht="15" customHeight="1">
      <c r="A270" t="inlineStr">
        <is>
          <t>A 42660-2024</t>
        </is>
      </c>
      <c r="B270" s="1" t="n">
        <v>45566.33841435185</v>
      </c>
      <c r="C270" s="1" t="n">
        <v>45952</v>
      </c>
      <c r="D270" t="inlineStr">
        <is>
          <t>VÄSTRA GÖTALANDS LÄN</t>
        </is>
      </c>
      <c r="E270" t="inlineStr">
        <is>
          <t>ALE</t>
        </is>
      </c>
      <c r="G270" t="n">
        <v>2.5</v>
      </c>
      <c r="H270" t="n">
        <v>2</v>
      </c>
      <c r="I270" t="n">
        <v>0</v>
      </c>
      <c r="J270" t="n">
        <v>0</v>
      </c>
      <c r="K270" t="n">
        <v>0</v>
      </c>
      <c r="L270" t="n">
        <v>0</v>
      </c>
      <c r="M270" t="n">
        <v>0</v>
      </c>
      <c r="N270" t="n">
        <v>0</v>
      </c>
      <c r="O270" t="n">
        <v>0</v>
      </c>
      <c r="P270" t="n">
        <v>0</v>
      </c>
      <c r="Q270" t="n">
        <v>2</v>
      </c>
      <c r="R270" s="2" t="inlineStr">
        <is>
          <t>Mattlummer
Revlummer</t>
        </is>
      </c>
      <c r="S270">
        <f>HYPERLINK("https://klasma.github.io/Logging_1440/artfynd/A 42660-2024 artfynd.xlsx", "A 42660-2024")</f>
        <v/>
      </c>
      <c r="T270">
        <f>HYPERLINK("https://klasma.github.io/Logging_1440/kartor/A 42660-2024 karta.png", "A 42660-2024")</f>
        <v/>
      </c>
      <c r="V270">
        <f>HYPERLINK("https://klasma.github.io/Logging_1440/klagomål/A 42660-2024 FSC-klagomål.docx", "A 42660-2024")</f>
        <v/>
      </c>
      <c r="W270">
        <f>HYPERLINK("https://klasma.github.io/Logging_1440/klagomålsmail/A 42660-2024 FSC-klagomål mail.docx", "A 42660-2024")</f>
        <v/>
      </c>
      <c r="X270">
        <f>HYPERLINK("https://klasma.github.io/Logging_1440/tillsyn/A 42660-2024 tillsynsbegäran.docx", "A 42660-2024")</f>
        <v/>
      </c>
      <c r="Y270">
        <f>HYPERLINK("https://klasma.github.io/Logging_1440/tillsynsmail/A 42660-2024 tillsynsbegäran mail.docx", "A 42660-2024")</f>
        <v/>
      </c>
    </row>
    <row r="271" ht="15" customHeight="1">
      <c r="A271" t="inlineStr">
        <is>
          <t>A 29724-2022</t>
        </is>
      </c>
      <c r="B271" s="1" t="n">
        <v>44755</v>
      </c>
      <c r="C271" s="1" t="n">
        <v>45952</v>
      </c>
      <c r="D271" t="inlineStr">
        <is>
          <t>VÄSTRA GÖTALANDS LÄN</t>
        </is>
      </c>
      <c r="E271" t="inlineStr">
        <is>
          <t>TIBRO</t>
        </is>
      </c>
      <c r="G271" t="n">
        <v>11.8</v>
      </c>
      <c r="H271" t="n">
        <v>1</v>
      </c>
      <c r="I271" t="n">
        <v>1</v>
      </c>
      <c r="J271" t="n">
        <v>0</v>
      </c>
      <c r="K271" t="n">
        <v>1</v>
      </c>
      <c r="L271" t="n">
        <v>0</v>
      </c>
      <c r="M271" t="n">
        <v>0</v>
      </c>
      <c r="N271" t="n">
        <v>0</v>
      </c>
      <c r="O271" t="n">
        <v>1</v>
      </c>
      <c r="P271" t="n">
        <v>1</v>
      </c>
      <c r="Q271" t="n">
        <v>2</v>
      </c>
      <c r="R271" s="2" t="inlineStr">
        <is>
          <t>Knärot
Flagellkvastmossa</t>
        </is>
      </c>
      <c r="S271">
        <f>HYPERLINK("https://klasma.github.io/Logging_1472/artfynd/A 29724-2022 artfynd.xlsx", "A 29724-2022")</f>
        <v/>
      </c>
      <c r="T271">
        <f>HYPERLINK("https://klasma.github.io/Logging_1472/kartor/A 29724-2022 karta.png", "A 29724-2022")</f>
        <v/>
      </c>
      <c r="U271">
        <f>HYPERLINK("https://klasma.github.io/Logging_1472/knärot/A 29724-2022 karta knärot.png", "A 29724-2022")</f>
        <v/>
      </c>
      <c r="V271">
        <f>HYPERLINK("https://klasma.github.io/Logging_1472/klagomål/A 29724-2022 FSC-klagomål.docx", "A 29724-2022")</f>
        <v/>
      </c>
      <c r="W271">
        <f>HYPERLINK("https://klasma.github.io/Logging_1472/klagomålsmail/A 29724-2022 FSC-klagomål mail.docx", "A 29724-2022")</f>
        <v/>
      </c>
      <c r="X271">
        <f>HYPERLINK("https://klasma.github.io/Logging_1472/tillsyn/A 29724-2022 tillsynsbegäran.docx", "A 29724-2022")</f>
        <v/>
      </c>
      <c r="Y271">
        <f>HYPERLINK("https://klasma.github.io/Logging_1472/tillsynsmail/A 29724-2022 tillsynsbegäran mail.docx", "A 29724-2022")</f>
        <v/>
      </c>
    </row>
    <row r="272" ht="15" customHeight="1">
      <c r="A272" t="inlineStr">
        <is>
          <t>A 28849-2024</t>
        </is>
      </c>
      <c r="B272" s="1" t="n">
        <v>45478.77283564815</v>
      </c>
      <c r="C272" s="1" t="n">
        <v>45952</v>
      </c>
      <c r="D272" t="inlineStr">
        <is>
          <t>VÄSTRA GÖTALANDS LÄN</t>
        </is>
      </c>
      <c r="E272" t="inlineStr">
        <is>
          <t>LIDKÖPING</t>
        </is>
      </c>
      <c r="G272" t="n">
        <v>2.6</v>
      </c>
      <c r="H272" t="n">
        <v>2</v>
      </c>
      <c r="I272" t="n">
        <v>0</v>
      </c>
      <c r="J272" t="n">
        <v>2</v>
      </c>
      <c r="K272" t="n">
        <v>0</v>
      </c>
      <c r="L272" t="n">
        <v>0</v>
      </c>
      <c r="M272" t="n">
        <v>0</v>
      </c>
      <c r="N272" t="n">
        <v>0</v>
      </c>
      <c r="O272" t="n">
        <v>2</v>
      </c>
      <c r="P272" t="n">
        <v>0</v>
      </c>
      <c r="Q272" t="n">
        <v>2</v>
      </c>
      <c r="R272" s="2" t="inlineStr">
        <is>
          <t>Entita
Talltita</t>
        </is>
      </c>
      <c r="S272">
        <f>HYPERLINK("https://klasma.github.io/Logging_1494/artfynd/A 28849-2024 artfynd.xlsx", "A 28849-2024")</f>
        <v/>
      </c>
      <c r="T272">
        <f>HYPERLINK("https://klasma.github.io/Logging_1494/kartor/A 28849-2024 karta.png", "A 28849-2024")</f>
        <v/>
      </c>
      <c r="V272">
        <f>HYPERLINK("https://klasma.github.io/Logging_1494/klagomål/A 28849-2024 FSC-klagomål.docx", "A 28849-2024")</f>
        <v/>
      </c>
      <c r="W272">
        <f>HYPERLINK("https://klasma.github.io/Logging_1494/klagomålsmail/A 28849-2024 FSC-klagomål mail.docx", "A 28849-2024")</f>
        <v/>
      </c>
      <c r="X272">
        <f>HYPERLINK("https://klasma.github.io/Logging_1494/tillsyn/A 28849-2024 tillsynsbegäran.docx", "A 28849-2024")</f>
        <v/>
      </c>
      <c r="Y272">
        <f>HYPERLINK("https://klasma.github.io/Logging_1494/tillsynsmail/A 28849-2024 tillsynsbegäran mail.docx", "A 28849-2024")</f>
        <v/>
      </c>
      <c r="Z272">
        <f>HYPERLINK("https://klasma.github.io/Logging_1494/fåglar/A 28849-2024 prioriterade fågelarter.docx", "A 28849-2024")</f>
        <v/>
      </c>
    </row>
    <row r="273" ht="15" customHeight="1">
      <c r="A273" t="inlineStr">
        <is>
          <t>A 67507-2021</t>
        </is>
      </c>
      <c r="B273" s="1" t="n">
        <v>44524</v>
      </c>
      <c r="C273" s="1" t="n">
        <v>45952</v>
      </c>
      <c r="D273" t="inlineStr">
        <is>
          <t>VÄSTRA GÖTALANDS LÄN</t>
        </is>
      </c>
      <c r="E273" t="inlineStr">
        <is>
          <t>MARIESTAD</t>
        </is>
      </c>
      <c r="F273" t="inlineStr">
        <is>
          <t>Sveaskog</t>
        </is>
      </c>
      <c r="G273" t="n">
        <v>23</v>
      </c>
      <c r="H273" t="n">
        <v>0</v>
      </c>
      <c r="I273" t="n">
        <v>2</v>
      </c>
      <c r="J273" t="n">
        <v>0</v>
      </c>
      <c r="K273" t="n">
        <v>0</v>
      </c>
      <c r="L273" t="n">
        <v>0</v>
      </c>
      <c r="M273" t="n">
        <v>0</v>
      </c>
      <c r="N273" t="n">
        <v>0</v>
      </c>
      <c r="O273" t="n">
        <v>0</v>
      </c>
      <c r="P273" t="n">
        <v>0</v>
      </c>
      <c r="Q273" t="n">
        <v>2</v>
      </c>
      <c r="R273" s="2" t="inlineStr">
        <is>
          <t>Brandticka
Vågbandad barkbock</t>
        </is>
      </c>
      <c r="S273">
        <f>HYPERLINK("https://klasma.github.io/Logging_1493/artfynd/A 67507-2021 artfynd.xlsx", "A 67507-2021")</f>
        <v/>
      </c>
      <c r="T273">
        <f>HYPERLINK("https://klasma.github.io/Logging_1493/kartor/A 67507-2021 karta.png", "A 67507-2021")</f>
        <v/>
      </c>
      <c r="V273">
        <f>HYPERLINK("https://klasma.github.io/Logging_1493/klagomål/A 67507-2021 FSC-klagomål.docx", "A 67507-2021")</f>
        <v/>
      </c>
      <c r="W273">
        <f>HYPERLINK("https://klasma.github.io/Logging_1493/klagomålsmail/A 67507-2021 FSC-klagomål mail.docx", "A 67507-2021")</f>
        <v/>
      </c>
      <c r="X273">
        <f>HYPERLINK("https://klasma.github.io/Logging_1493/tillsyn/A 67507-2021 tillsynsbegäran.docx", "A 67507-2021")</f>
        <v/>
      </c>
      <c r="Y273">
        <f>HYPERLINK("https://klasma.github.io/Logging_1493/tillsynsmail/A 67507-2021 tillsynsbegäran mail.docx", "A 67507-2021")</f>
        <v/>
      </c>
    </row>
    <row r="274" ht="15" customHeight="1">
      <c r="A274" t="inlineStr">
        <is>
          <t>A 3432-2024</t>
        </is>
      </c>
      <c r="B274" s="1" t="n">
        <v>45317</v>
      </c>
      <c r="C274" s="1" t="n">
        <v>45952</v>
      </c>
      <c r="D274" t="inlineStr">
        <is>
          <t>VÄSTRA GÖTALANDS LÄN</t>
        </is>
      </c>
      <c r="E274" t="inlineStr">
        <is>
          <t>UDDEVALLA</t>
        </is>
      </c>
      <c r="F274" t="inlineStr">
        <is>
          <t>Kyrkan</t>
        </is>
      </c>
      <c r="G274" t="n">
        <v>3.1</v>
      </c>
      <c r="H274" t="n">
        <v>0</v>
      </c>
      <c r="I274" t="n">
        <v>2</v>
      </c>
      <c r="J274" t="n">
        <v>0</v>
      </c>
      <c r="K274" t="n">
        <v>0</v>
      </c>
      <c r="L274" t="n">
        <v>0</v>
      </c>
      <c r="M274" t="n">
        <v>0</v>
      </c>
      <c r="N274" t="n">
        <v>0</v>
      </c>
      <c r="O274" t="n">
        <v>0</v>
      </c>
      <c r="P274" t="n">
        <v>0</v>
      </c>
      <c r="Q274" t="n">
        <v>2</v>
      </c>
      <c r="R274" s="2" t="inlineStr">
        <is>
          <t>Klippfrullania
Västlig hakmossa</t>
        </is>
      </c>
      <c r="S274">
        <f>HYPERLINK("https://klasma.github.io/Logging_1485/artfynd/A 3432-2024 artfynd.xlsx", "A 3432-2024")</f>
        <v/>
      </c>
      <c r="T274">
        <f>HYPERLINK("https://klasma.github.io/Logging_1485/kartor/A 3432-2024 karta.png", "A 3432-2024")</f>
        <v/>
      </c>
      <c r="V274">
        <f>HYPERLINK("https://klasma.github.io/Logging_1485/klagomål/A 3432-2024 FSC-klagomål.docx", "A 3432-2024")</f>
        <v/>
      </c>
      <c r="W274">
        <f>HYPERLINK("https://klasma.github.io/Logging_1485/klagomålsmail/A 3432-2024 FSC-klagomål mail.docx", "A 3432-2024")</f>
        <v/>
      </c>
      <c r="X274">
        <f>HYPERLINK("https://klasma.github.io/Logging_1485/tillsyn/A 3432-2024 tillsynsbegäran.docx", "A 3432-2024")</f>
        <v/>
      </c>
      <c r="Y274">
        <f>HYPERLINK("https://klasma.github.io/Logging_1485/tillsynsmail/A 3432-2024 tillsynsbegäran mail.docx", "A 3432-2024")</f>
        <v/>
      </c>
    </row>
    <row r="275" ht="15" customHeight="1">
      <c r="A275" t="inlineStr">
        <is>
          <t>A 2447-2023</t>
        </is>
      </c>
      <c r="B275" s="1" t="n">
        <v>44943</v>
      </c>
      <c r="C275" s="1" t="n">
        <v>45952</v>
      </c>
      <c r="D275" t="inlineStr">
        <is>
          <t>VÄSTRA GÖTALANDS LÄN</t>
        </is>
      </c>
      <c r="E275" t="inlineStr">
        <is>
          <t>LERUM</t>
        </is>
      </c>
      <c r="G275" t="n">
        <v>3.6</v>
      </c>
      <c r="H275" t="n">
        <v>1</v>
      </c>
      <c r="I275" t="n">
        <v>1</v>
      </c>
      <c r="J275" t="n">
        <v>0</v>
      </c>
      <c r="K275" t="n">
        <v>0</v>
      </c>
      <c r="L275" t="n">
        <v>0</v>
      </c>
      <c r="M275" t="n">
        <v>0</v>
      </c>
      <c r="N275" t="n">
        <v>0</v>
      </c>
      <c r="O275" t="n">
        <v>0</v>
      </c>
      <c r="P275" t="n">
        <v>0</v>
      </c>
      <c r="Q275" t="n">
        <v>2</v>
      </c>
      <c r="R275" s="2" t="inlineStr">
        <is>
          <t>Dolkstekelsglasvinge
Vanlig groda</t>
        </is>
      </c>
      <c r="S275">
        <f>HYPERLINK("https://klasma.github.io/Logging_1441/artfynd/A 2447-2023 artfynd.xlsx", "A 2447-2023")</f>
        <v/>
      </c>
      <c r="T275">
        <f>HYPERLINK("https://klasma.github.io/Logging_1441/kartor/A 2447-2023 karta.png", "A 2447-2023")</f>
        <v/>
      </c>
      <c r="V275">
        <f>HYPERLINK("https://klasma.github.io/Logging_1441/klagomål/A 2447-2023 FSC-klagomål.docx", "A 2447-2023")</f>
        <v/>
      </c>
      <c r="W275">
        <f>HYPERLINK("https://klasma.github.io/Logging_1441/klagomålsmail/A 2447-2023 FSC-klagomål mail.docx", "A 2447-2023")</f>
        <v/>
      </c>
      <c r="X275">
        <f>HYPERLINK("https://klasma.github.io/Logging_1441/tillsyn/A 2447-2023 tillsynsbegäran.docx", "A 2447-2023")</f>
        <v/>
      </c>
      <c r="Y275">
        <f>HYPERLINK("https://klasma.github.io/Logging_1441/tillsynsmail/A 2447-2023 tillsynsbegäran mail.docx", "A 2447-2023")</f>
        <v/>
      </c>
    </row>
    <row r="276" ht="15" customHeight="1">
      <c r="A276" t="inlineStr">
        <is>
          <t>A 58954-2022</t>
        </is>
      </c>
      <c r="B276" s="1" t="n">
        <v>44903</v>
      </c>
      <c r="C276" s="1" t="n">
        <v>45952</v>
      </c>
      <c r="D276" t="inlineStr">
        <is>
          <t>VÄSTRA GÖTALANDS LÄN</t>
        </is>
      </c>
      <c r="E276" t="inlineStr">
        <is>
          <t>ALE</t>
        </is>
      </c>
      <c r="G276" t="n">
        <v>2.3</v>
      </c>
      <c r="H276" t="n">
        <v>1</v>
      </c>
      <c r="I276" t="n">
        <v>1</v>
      </c>
      <c r="J276" t="n">
        <v>1</v>
      </c>
      <c r="K276" t="n">
        <v>0</v>
      </c>
      <c r="L276" t="n">
        <v>0</v>
      </c>
      <c r="M276" t="n">
        <v>0</v>
      </c>
      <c r="N276" t="n">
        <v>0</v>
      </c>
      <c r="O276" t="n">
        <v>1</v>
      </c>
      <c r="P276" t="n">
        <v>0</v>
      </c>
      <c r="Q276" t="n">
        <v>2</v>
      </c>
      <c r="R276" s="2" t="inlineStr">
        <is>
          <t>Spillkråka
Västlig hakmossa</t>
        </is>
      </c>
      <c r="S276">
        <f>HYPERLINK("https://klasma.github.io/Logging_1440/artfynd/A 58954-2022 artfynd.xlsx", "A 58954-2022")</f>
        <v/>
      </c>
      <c r="T276">
        <f>HYPERLINK("https://klasma.github.io/Logging_1440/kartor/A 58954-2022 karta.png", "A 58954-2022")</f>
        <v/>
      </c>
      <c r="V276">
        <f>HYPERLINK("https://klasma.github.io/Logging_1440/klagomål/A 58954-2022 FSC-klagomål.docx", "A 58954-2022")</f>
        <v/>
      </c>
      <c r="W276">
        <f>HYPERLINK("https://klasma.github.io/Logging_1440/klagomålsmail/A 58954-2022 FSC-klagomål mail.docx", "A 58954-2022")</f>
        <v/>
      </c>
      <c r="X276">
        <f>HYPERLINK("https://klasma.github.io/Logging_1440/tillsyn/A 58954-2022 tillsynsbegäran.docx", "A 58954-2022")</f>
        <v/>
      </c>
      <c r="Y276">
        <f>HYPERLINK("https://klasma.github.io/Logging_1440/tillsynsmail/A 58954-2022 tillsynsbegäran mail.docx", "A 58954-2022")</f>
        <v/>
      </c>
      <c r="Z276">
        <f>HYPERLINK("https://klasma.github.io/Logging_1440/fåglar/A 58954-2022 prioriterade fågelarter.docx", "A 58954-2022")</f>
        <v/>
      </c>
    </row>
    <row r="277" ht="15" customHeight="1">
      <c r="A277" t="inlineStr">
        <is>
          <t>A 61458-2023</t>
        </is>
      </c>
      <c r="B277" s="1" t="n">
        <v>45264</v>
      </c>
      <c r="C277" s="1" t="n">
        <v>45952</v>
      </c>
      <c r="D277" t="inlineStr">
        <is>
          <t>VÄSTRA GÖTALANDS LÄN</t>
        </is>
      </c>
      <c r="E277" t="inlineStr">
        <is>
          <t>FALKÖPING</t>
        </is>
      </c>
      <c r="G277" t="n">
        <v>0.8</v>
      </c>
      <c r="H277" t="n">
        <v>1</v>
      </c>
      <c r="I277" t="n">
        <v>0</v>
      </c>
      <c r="J277" t="n">
        <v>0</v>
      </c>
      <c r="K277" t="n">
        <v>0</v>
      </c>
      <c r="L277" t="n">
        <v>0</v>
      </c>
      <c r="M277" t="n">
        <v>1</v>
      </c>
      <c r="N277" t="n">
        <v>0</v>
      </c>
      <c r="O277" t="n">
        <v>1</v>
      </c>
      <c r="P277" t="n">
        <v>1</v>
      </c>
      <c r="Q277" t="n">
        <v>2</v>
      </c>
      <c r="R277" s="2" t="inlineStr">
        <is>
          <t>Skogsalm
Blåsippa</t>
        </is>
      </c>
      <c r="S277">
        <f>HYPERLINK("https://klasma.github.io/Logging_1499/artfynd/A 61458-2023 artfynd.xlsx", "A 61458-2023")</f>
        <v/>
      </c>
      <c r="T277">
        <f>HYPERLINK("https://klasma.github.io/Logging_1499/kartor/A 61458-2023 karta.png", "A 61458-2023")</f>
        <v/>
      </c>
      <c r="V277">
        <f>HYPERLINK("https://klasma.github.io/Logging_1499/klagomål/A 61458-2023 FSC-klagomål.docx", "A 61458-2023")</f>
        <v/>
      </c>
      <c r="W277">
        <f>HYPERLINK("https://klasma.github.io/Logging_1499/klagomålsmail/A 61458-2023 FSC-klagomål mail.docx", "A 61458-2023")</f>
        <v/>
      </c>
      <c r="X277">
        <f>HYPERLINK("https://klasma.github.io/Logging_1499/tillsyn/A 61458-2023 tillsynsbegäran.docx", "A 61458-2023")</f>
        <v/>
      </c>
      <c r="Y277">
        <f>HYPERLINK("https://klasma.github.io/Logging_1499/tillsynsmail/A 61458-2023 tillsynsbegäran mail.docx", "A 61458-2023")</f>
        <v/>
      </c>
    </row>
    <row r="278" ht="15" customHeight="1">
      <c r="A278" t="inlineStr">
        <is>
          <t>A 63804-2023</t>
        </is>
      </c>
      <c r="B278" s="1" t="n">
        <v>45278</v>
      </c>
      <c r="C278" s="1" t="n">
        <v>45952</v>
      </c>
      <c r="D278" t="inlineStr">
        <is>
          <t>VÄSTRA GÖTALANDS LÄN</t>
        </is>
      </c>
      <c r="E278" t="inlineStr">
        <is>
          <t>ÅMÅL</t>
        </is>
      </c>
      <c r="F278" t="inlineStr">
        <is>
          <t>Kommuner</t>
        </is>
      </c>
      <c r="G278" t="n">
        <v>0.8</v>
      </c>
      <c r="H278" t="n">
        <v>0</v>
      </c>
      <c r="I278" t="n">
        <v>0</v>
      </c>
      <c r="J278" t="n">
        <v>1</v>
      </c>
      <c r="K278" t="n">
        <v>1</v>
      </c>
      <c r="L278" t="n">
        <v>0</v>
      </c>
      <c r="M278" t="n">
        <v>0</v>
      </c>
      <c r="N278" t="n">
        <v>0</v>
      </c>
      <c r="O278" t="n">
        <v>2</v>
      </c>
      <c r="P278" t="n">
        <v>1</v>
      </c>
      <c r="Q278" t="n">
        <v>2</v>
      </c>
      <c r="R278" s="2" t="inlineStr">
        <is>
          <t>Slåttergubbe
Svinrot</t>
        </is>
      </c>
      <c r="S278">
        <f>HYPERLINK("https://klasma.github.io/Logging_1492/artfynd/A 63804-2023 artfynd.xlsx", "A 63804-2023")</f>
        <v/>
      </c>
      <c r="T278">
        <f>HYPERLINK("https://klasma.github.io/Logging_1492/kartor/A 63804-2023 karta.png", "A 63804-2023")</f>
        <v/>
      </c>
      <c r="V278">
        <f>HYPERLINK("https://klasma.github.io/Logging_1492/klagomål/A 63804-2023 FSC-klagomål.docx", "A 63804-2023")</f>
        <v/>
      </c>
      <c r="W278">
        <f>HYPERLINK("https://klasma.github.io/Logging_1492/klagomålsmail/A 63804-2023 FSC-klagomål mail.docx", "A 63804-2023")</f>
        <v/>
      </c>
      <c r="X278">
        <f>HYPERLINK("https://klasma.github.io/Logging_1492/tillsyn/A 63804-2023 tillsynsbegäran.docx", "A 63804-2023")</f>
        <v/>
      </c>
      <c r="Y278">
        <f>HYPERLINK("https://klasma.github.io/Logging_1492/tillsynsmail/A 63804-2023 tillsynsbegäran mail.docx", "A 63804-2023")</f>
        <v/>
      </c>
    </row>
    <row r="279" ht="15" customHeight="1">
      <c r="A279" t="inlineStr">
        <is>
          <t>A 12691-2024</t>
        </is>
      </c>
      <c r="B279" s="1" t="n">
        <v>45384</v>
      </c>
      <c r="C279" s="1" t="n">
        <v>45952</v>
      </c>
      <c r="D279" t="inlineStr">
        <is>
          <t>VÄSTRA GÖTALANDS LÄN</t>
        </is>
      </c>
      <c r="E279" t="inlineStr">
        <is>
          <t>BOLLEBYGD</t>
        </is>
      </c>
      <c r="F279" t="inlineStr">
        <is>
          <t>Kommuner</t>
        </is>
      </c>
      <c r="G279" t="n">
        <v>2.1</v>
      </c>
      <c r="H279" t="n">
        <v>2</v>
      </c>
      <c r="I279" t="n">
        <v>0</v>
      </c>
      <c r="J279" t="n">
        <v>1</v>
      </c>
      <c r="K279" t="n">
        <v>0</v>
      </c>
      <c r="L279" t="n">
        <v>0</v>
      </c>
      <c r="M279" t="n">
        <v>0</v>
      </c>
      <c r="N279" t="n">
        <v>0</v>
      </c>
      <c r="O279" t="n">
        <v>1</v>
      </c>
      <c r="P279" t="n">
        <v>0</v>
      </c>
      <c r="Q279" t="n">
        <v>2</v>
      </c>
      <c r="R279" s="2" t="inlineStr">
        <is>
          <t>Spillkråka
Orre</t>
        </is>
      </c>
      <c r="S279">
        <f>HYPERLINK("https://klasma.github.io/Logging_1443/artfynd/A 12691-2024 artfynd.xlsx", "A 12691-2024")</f>
        <v/>
      </c>
      <c r="T279">
        <f>HYPERLINK("https://klasma.github.io/Logging_1443/kartor/A 12691-2024 karta.png", "A 12691-2024")</f>
        <v/>
      </c>
      <c r="V279">
        <f>HYPERLINK("https://klasma.github.io/Logging_1443/klagomål/A 12691-2024 FSC-klagomål.docx", "A 12691-2024")</f>
        <v/>
      </c>
      <c r="W279">
        <f>HYPERLINK("https://klasma.github.io/Logging_1443/klagomålsmail/A 12691-2024 FSC-klagomål mail.docx", "A 12691-2024")</f>
        <v/>
      </c>
      <c r="X279">
        <f>HYPERLINK("https://klasma.github.io/Logging_1443/tillsyn/A 12691-2024 tillsynsbegäran.docx", "A 12691-2024")</f>
        <v/>
      </c>
      <c r="Y279">
        <f>HYPERLINK("https://klasma.github.io/Logging_1443/tillsynsmail/A 12691-2024 tillsynsbegäran mail.docx", "A 12691-2024")</f>
        <v/>
      </c>
      <c r="Z279">
        <f>HYPERLINK("https://klasma.github.io/Logging_1443/fåglar/A 12691-2024 prioriterade fågelarter.docx", "A 12691-2024")</f>
        <v/>
      </c>
    </row>
    <row r="280" ht="15" customHeight="1">
      <c r="A280" t="inlineStr">
        <is>
          <t>A 29344-2021</t>
        </is>
      </c>
      <c r="B280" s="1" t="n">
        <v>44361</v>
      </c>
      <c r="C280" s="1" t="n">
        <v>45952</v>
      </c>
      <c r="D280" t="inlineStr">
        <is>
          <t>VÄSTRA GÖTALANDS LÄN</t>
        </is>
      </c>
      <c r="E280" t="inlineStr">
        <is>
          <t>MUNKEDAL</t>
        </is>
      </c>
      <c r="G280" t="n">
        <v>10.6</v>
      </c>
      <c r="H280" t="n">
        <v>1</v>
      </c>
      <c r="I280" t="n">
        <v>2</v>
      </c>
      <c r="J280" t="n">
        <v>0</v>
      </c>
      <c r="K280" t="n">
        <v>0</v>
      </c>
      <c r="L280" t="n">
        <v>0</v>
      </c>
      <c r="M280" t="n">
        <v>0</v>
      </c>
      <c r="N280" t="n">
        <v>0</v>
      </c>
      <c r="O280" t="n">
        <v>0</v>
      </c>
      <c r="P280" t="n">
        <v>0</v>
      </c>
      <c r="Q280" t="n">
        <v>2</v>
      </c>
      <c r="R280" s="2" t="inlineStr">
        <is>
          <t>Dunmossa
Grön sköldmossa</t>
        </is>
      </c>
      <c r="S280">
        <f>HYPERLINK("https://klasma.github.io/Logging_1430/artfynd/A 29344-2021 artfynd.xlsx", "A 29344-2021")</f>
        <v/>
      </c>
      <c r="T280">
        <f>HYPERLINK("https://klasma.github.io/Logging_1430/kartor/A 29344-2021 karta.png", "A 29344-2021")</f>
        <v/>
      </c>
      <c r="V280">
        <f>HYPERLINK("https://klasma.github.io/Logging_1430/klagomål/A 29344-2021 FSC-klagomål.docx", "A 29344-2021")</f>
        <v/>
      </c>
      <c r="W280">
        <f>HYPERLINK("https://klasma.github.io/Logging_1430/klagomålsmail/A 29344-2021 FSC-klagomål mail.docx", "A 29344-2021")</f>
        <v/>
      </c>
      <c r="X280">
        <f>HYPERLINK("https://klasma.github.io/Logging_1430/tillsyn/A 29344-2021 tillsynsbegäran.docx", "A 29344-2021")</f>
        <v/>
      </c>
      <c r="Y280">
        <f>HYPERLINK("https://klasma.github.io/Logging_1430/tillsynsmail/A 29344-2021 tillsynsbegäran mail.docx", "A 29344-2021")</f>
        <v/>
      </c>
    </row>
    <row r="281" ht="15" customHeight="1">
      <c r="A281" t="inlineStr">
        <is>
          <t>A 2586-2024</t>
        </is>
      </c>
      <c r="B281" s="1" t="n">
        <v>45313</v>
      </c>
      <c r="C281" s="1" t="n">
        <v>45952</v>
      </c>
      <c r="D281" t="inlineStr">
        <is>
          <t>VÄSTRA GÖTALANDS LÄN</t>
        </is>
      </c>
      <c r="E281" t="inlineStr">
        <is>
          <t>MUNKEDAL</t>
        </is>
      </c>
      <c r="G281" t="n">
        <v>5.5</v>
      </c>
      <c r="H281" t="n">
        <v>1</v>
      </c>
      <c r="I281" t="n">
        <v>1</v>
      </c>
      <c r="J281" t="n">
        <v>0</v>
      </c>
      <c r="K281" t="n">
        <v>0</v>
      </c>
      <c r="L281" t="n">
        <v>0</v>
      </c>
      <c r="M281" t="n">
        <v>0</v>
      </c>
      <c r="N281" t="n">
        <v>0</v>
      </c>
      <c r="O281" t="n">
        <v>0</v>
      </c>
      <c r="P281" t="n">
        <v>0</v>
      </c>
      <c r="Q281" t="n">
        <v>2</v>
      </c>
      <c r="R281" s="2" t="inlineStr">
        <is>
          <t>Rävticka
Vanlig groda</t>
        </is>
      </c>
      <c r="S281">
        <f>HYPERLINK("https://klasma.github.io/Logging_1430/artfynd/A 2586-2024 artfynd.xlsx", "A 2586-2024")</f>
        <v/>
      </c>
      <c r="T281">
        <f>HYPERLINK("https://klasma.github.io/Logging_1430/kartor/A 2586-2024 karta.png", "A 2586-2024")</f>
        <v/>
      </c>
      <c r="V281">
        <f>HYPERLINK("https://klasma.github.io/Logging_1430/klagomål/A 2586-2024 FSC-klagomål.docx", "A 2586-2024")</f>
        <v/>
      </c>
      <c r="W281">
        <f>HYPERLINK("https://klasma.github.io/Logging_1430/klagomålsmail/A 2586-2024 FSC-klagomål mail.docx", "A 2586-2024")</f>
        <v/>
      </c>
      <c r="X281">
        <f>HYPERLINK("https://klasma.github.io/Logging_1430/tillsyn/A 2586-2024 tillsynsbegäran.docx", "A 2586-2024")</f>
        <v/>
      </c>
      <c r="Y281">
        <f>HYPERLINK("https://klasma.github.io/Logging_1430/tillsynsmail/A 2586-2024 tillsynsbegäran mail.docx", "A 2586-2024")</f>
        <v/>
      </c>
    </row>
    <row r="282" ht="15" customHeight="1">
      <c r="A282" t="inlineStr">
        <is>
          <t>A 55725-2023</t>
        </is>
      </c>
      <c r="B282" s="1" t="n">
        <v>45232</v>
      </c>
      <c r="C282" s="1" t="n">
        <v>45952</v>
      </c>
      <c r="D282" t="inlineStr">
        <is>
          <t>VÄSTRA GÖTALANDS LÄN</t>
        </is>
      </c>
      <c r="E282" t="inlineStr">
        <is>
          <t>FALKÖPING</t>
        </is>
      </c>
      <c r="G282" t="n">
        <v>8.300000000000001</v>
      </c>
      <c r="H282" t="n">
        <v>2</v>
      </c>
      <c r="I282" t="n">
        <v>1</v>
      </c>
      <c r="J282" t="n">
        <v>0</v>
      </c>
      <c r="K282" t="n">
        <v>0</v>
      </c>
      <c r="L282" t="n">
        <v>0</v>
      </c>
      <c r="M282" t="n">
        <v>0</v>
      </c>
      <c r="N282" t="n">
        <v>0</v>
      </c>
      <c r="O282" t="n">
        <v>0</v>
      </c>
      <c r="P282" t="n">
        <v>0</v>
      </c>
      <c r="Q282" t="n">
        <v>2</v>
      </c>
      <c r="R282" s="2" t="inlineStr">
        <is>
          <t>Tvåblad
Fläcknycklar</t>
        </is>
      </c>
      <c r="S282">
        <f>HYPERLINK("https://klasma.github.io/Logging_1499/artfynd/A 55725-2023 artfynd.xlsx", "A 55725-2023")</f>
        <v/>
      </c>
      <c r="T282">
        <f>HYPERLINK("https://klasma.github.io/Logging_1499/kartor/A 55725-2023 karta.png", "A 55725-2023")</f>
        <v/>
      </c>
      <c r="V282">
        <f>HYPERLINK("https://klasma.github.io/Logging_1499/klagomål/A 55725-2023 FSC-klagomål.docx", "A 55725-2023")</f>
        <v/>
      </c>
      <c r="W282">
        <f>HYPERLINK("https://klasma.github.io/Logging_1499/klagomålsmail/A 55725-2023 FSC-klagomål mail.docx", "A 55725-2023")</f>
        <v/>
      </c>
      <c r="X282">
        <f>HYPERLINK("https://klasma.github.io/Logging_1499/tillsyn/A 55725-2023 tillsynsbegäran.docx", "A 55725-2023")</f>
        <v/>
      </c>
      <c r="Y282">
        <f>HYPERLINK("https://klasma.github.io/Logging_1499/tillsynsmail/A 55725-2023 tillsynsbegäran mail.docx", "A 55725-2023")</f>
        <v/>
      </c>
    </row>
    <row r="283" ht="15" customHeight="1">
      <c r="A283" t="inlineStr">
        <is>
          <t>A 49689-2023</t>
        </is>
      </c>
      <c r="B283" s="1" t="n">
        <v>45212.36836805556</v>
      </c>
      <c r="C283" s="1" t="n">
        <v>45952</v>
      </c>
      <c r="D283" t="inlineStr">
        <is>
          <t>VÄSTRA GÖTALANDS LÄN</t>
        </is>
      </c>
      <c r="E283" t="inlineStr">
        <is>
          <t>BENGTSFORS</t>
        </is>
      </c>
      <c r="G283" t="n">
        <v>6.9</v>
      </c>
      <c r="H283" t="n">
        <v>1</v>
      </c>
      <c r="I283" t="n">
        <v>1</v>
      </c>
      <c r="J283" t="n">
        <v>0</v>
      </c>
      <c r="K283" t="n">
        <v>0</v>
      </c>
      <c r="L283" t="n">
        <v>0</v>
      </c>
      <c r="M283" t="n">
        <v>0</v>
      </c>
      <c r="N283" t="n">
        <v>0</v>
      </c>
      <c r="O283" t="n">
        <v>0</v>
      </c>
      <c r="P283" t="n">
        <v>0</v>
      </c>
      <c r="Q283" t="n">
        <v>2</v>
      </c>
      <c r="R283" s="2" t="inlineStr">
        <is>
          <t>Dropptaggsvamp
Revlummer</t>
        </is>
      </c>
      <c r="S283">
        <f>HYPERLINK("https://klasma.github.io/Logging_1460/artfynd/A 49689-2023 artfynd.xlsx", "A 49689-2023")</f>
        <v/>
      </c>
      <c r="T283">
        <f>HYPERLINK("https://klasma.github.io/Logging_1460/kartor/A 49689-2023 karta.png", "A 49689-2023")</f>
        <v/>
      </c>
      <c r="V283">
        <f>HYPERLINK("https://klasma.github.io/Logging_1460/klagomål/A 49689-2023 FSC-klagomål.docx", "A 49689-2023")</f>
        <v/>
      </c>
      <c r="W283">
        <f>HYPERLINK("https://klasma.github.io/Logging_1460/klagomålsmail/A 49689-2023 FSC-klagomål mail.docx", "A 49689-2023")</f>
        <v/>
      </c>
      <c r="X283">
        <f>HYPERLINK("https://klasma.github.io/Logging_1460/tillsyn/A 49689-2023 tillsynsbegäran.docx", "A 49689-2023")</f>
        <v/>
      </c>
      <c r="Y283">
        <f>HYPERLINK("https://klasma.github.io/Logging_1460/tillsynsmail/A 49689-2023 tillsynsbegäran mail.docx", "A 49689-2023")</f>
        <v/>
      </c>
    </row>
    <row r="284" ht="15" customHeight="1">
      <c r="A284" t="inlineStr">
        <is>
          <t>A 29576-2024</t>
        </is>
      </c>
      <c r="B284" s="1" t="n">
        <v>45484.56258101852</v>
      </c>
      <c r="C284" s="1" t="n">
        <v>45952</v>
      </c>
      <c r="D284" t="inlineStr">
        <is>
          <t>VÄSTRA GÖTALANDS LÄN</t>
        </is>
      </c>
      <c r="E284" t="inlineStr">
        <is>
          <t>TRANEMO</t>
        </is>
      </c>
      <c r="G284" t="n">
        <v>2.2</v>
      </c>
      <c r="H284" t="n">
        <v>0</v>
      </c>
      <c r="I284" t="n">
        <v>1</v>
      </c>
      <c r="J284" t="n">
        <v>0</v>
      </c>
      <c r="K284" t="n">
        <v>0</v>
      </c>
      <c r="L284" t="n">
        <v>1</v>
      </c>
      <c r="M284" t="n">
        <v>0</v>
      </c>
      <c r="N284" t="n">
        <v>0</v>
      </c>
      <c r="O284" t="n">
        <v>1</v>
      </c>
      <c r="P284" t="n">
        <v>1</v>
      </c>
      <c r="Q284" t="n">
        <v>2</v>
      </c>
      <c r="R284" s="2" t="inlineStr">
        <is>
          <t>Ask
Fällmossa</t>
        </is>
      </c>
      <c r="S284">
        <f>HYPERLINK("https://klasma.github.io/Logging_1452/artfynd/A 29576-2024 artfynd.xlsx", "A 29576-2024")</f>
        <v/>
      </c>
      <c r="T284">
        <f>HYPERLINK("https://klasma.github.io/Logging_1452/kartor/A 29576-2024 karta.png", "A 29576-2024")</f>
        <v/>
      </c>
      <c r="V284">
        <f>HYPERLINK("https://klasma.github.io/Logging_1452/klagomål/A 29576-2024 FSC-klagomål.docx", "A 29576-2024")</f>
        <v/>
      </c>
      <c r="W284">
        <f>HYPERLINK("https://klasma.github.io/Logging_1452/klagomålsmail/A 29576-2024 FSC-klagomål mail.docx", "A 29576-2024")</f>
        <v/>
      </c>
      <c r="X284">
        <f>HYPERLINK("https://klasma.github.io/Logging_1452/tillsyn/A 29576-2024 tillsynsbegäran.docx", "A 29576-2024")</f>
        <v/>
      </c>
      <c r="Y284">
        <f>HYPERLINK("https://klasma.github.io/Logging_1452/tillsynsmail/A 29576-2024 tillsynsbegäran mail.docx", "A 29576-2024")</f>
        <v/>
      </c>
    </row>
    <row r="285" ht="15" customHeight="1">
      <c r="A285" t="inlineStr">
        <is>
          <t>A 22268-2022</t>
        </is>
      </c>
      <c r="B285" s="1" t="n">
        <v>44712</v>
      </c>
      <c r="C285" s="1" t="n">
        <v>45952</v>
      </c>
      <c r="D285" t="inlineStr">
        <is>
          <t>VÄSTRA GÖTALANDS LÄN</t>
        </is>
      </c>
      <c r="E285" t="inlineStr">
        <is>
          <t>LERUM</t>
        </is>
      </c>
      <c r="G285" t="n">
        <v>16.6</v>
      </c>
      <c r="H285" t="n">
        <v>0</v>
      </c>
      <c r="I285" t="n">
        <v>2</v>
      </c>
      <c r="J285" t="n">
        <v>0</v>
      </c>
      <c r="K285" t="n">
        <v>0</v>
      </c>
      <c r="L285" t="n">
        <v>0</v>
      </c>
      <c r="M285" t="n">
        <v>0</v>
      </c>
      <c r="N285" t="n">
        <v>0</v>
      </c>
      <c r="O285" t="n">
        <v>0</v>
      </c>
      <c r="P285" t="n">
        <v>0</v>
      </c>
      <c r="Q285" t="n">
        <v>2</v>
      </c>
      <c r="R285" s="2" t="inlineStr">
        <is>
          <t>Havstulpanlav
Stubbspretmossa</t>
        </is>
      </c>
      <c r="S285">
        <f>HYPERLINK("https://klasma.github.io/Logging_1441/artfynd/A 22268-2022 artfynd.xlsx", "A 22268-2022")</f>
        <v/>
      </c>
      <c r="T285">
        <f>HYPERLINK("https://klasma.github.io/Logging_1441/kartor/A 22268-2022 karta.png", "A 22268-2022")</f>
        <v/>
      </c>
      <c r="V285">
        <f>HYPERLINK("https://klasma.github.io/Logging_1441/klagomål/A 22268-2022 FSC-klagomål.docx", "A 22268-2022")</f>
        <v/>
      </c>
      <c r="W285">
        <f>HYPERLINK("https://klasma.github.io/Logging_1441/klagomålsmail/A 22268-2022 FSC-klagomål mail.docx", "A 22268-2022")</f>
        <v/>
      </c>
      <c r="X285">
        <f>HYPERLINK("https://klasma.github.io/Logging_1441/tillsyn/A 22268-2022 tillsynsbegäran.docx", "A 22268-2022")</f>
        <v/>
      </c>
      <c r="Y285">
        <f>HYPERLINK("https://klasma.github.io/Logging_1441/tillsynsmail/A 22268-2022 tillsynsbegäran mail.docx", "A 22268-2022")</f>
        <v/>
      </c>
    </row>
    <row r="286" ht="15" customHeight="1">
      <c r="A286" t="inlineStr">
        <is>
          <t>A 6454-2022</t>
        </is>
      </c>
      <c r="B286" s="1" t="n">
        <v>44601</v>
      </c>
      <c r="C286" s="1" t="n">
        <v>45952</v>
      </c>
      <c r="D286" t="inlineStr">
        <is>
          <t>VÄSTRA GÖTALANDS LÄN</t>
        </is>
      </c>
      <c r="E286" t="inlineStr">
        <is>
          <t>DALS-ED</t>
        </is>
      </c>
      <c r="G286" t="n">
        <v>4.1</v>
      </c>
      <c r="H286" t="n">
        <v>0</v>
      </c>
      <c r="I286" t="n">
        <v>1</v>
      </c>
      <c r="J286" t="n">
        <v>1</v>
      </c>
      <c r="K286" t="n">
        <v>0</v>
      </c>
      <c r="L286" t="n">
        <v>0</v>
      </c>
      <c r="M286" t="n">
        <v>0</v>
      </c>
      <c r="N286" t="n">
        <v>0</v>
      </c>
      <c r="O286" t="n">
        <v>1</v>
      </c>
      <c r="P286" t="n">
        <v>0</v>
      </c>
      <c r="Q286" t="n">
        <v>2</v>
      </c>
      <c r="R286" s="2" t="inlineStr">
        <is>
          <t>Kolflarnlav
Kattfotslav</t>
        </is>
      </c>
      <c r="S286">
        <f>HYPERLINK("https://klasma.github.io/Logging_1438/artfynd/A 6454-2022 artfynd.xlsx", "A 6454-2022")</f>
        <v/>
      </c>
      <c r="T286">
        <f>HYPERLINK("https://klasma.github.io/Logging_1438/kartor/A 6454-2022 karta.png", "A 6454-2022")</f>
        <v/>
      </c>
      <c r="V286">
        <f>HYPERLINK("https://klasma.github.io/Logging_1438/klagomål/A 6454-2022 FSC-klagomål.docx", "A 6454-2022")</f>
        <v/>
      </c>
      <c r="W286">
        <f>HYPERLINK("https://klasma.github.io/Logging_1438/klagomålsmail/A 6454-2022 FSC-klagomål mail.docx", "A 6454-2022")</f>
        <v/>
      </c>
      <c r="X286">
        <f>HYPERLINK("https://klasma.github.io/Logging_1438/tillsyn/A 6454-2022 tillsynsbegäran.docx", "A 6454-2022")</f>
        <v/>
      </c>
      <c r="Y286">
        <f>HYPERLINK("https://klasma.github.io/Logging_1438/tillsynsmail/A 6454-2022 tillsynsbegäran mail.docx", "A 6454-2022")</f>
        <v/>
      </c>
    </row>
    <row r="287" ht="15" customHeight="1">
      <c r="A287" t="inlineStr">
        <is>
          <t>A 44272-2024</t>
        </is>
      </c>
      <c r="B287" s="1" t="n">
        <v>45573.48770833333</v>
      </c>
      <c r="C287" s="1" t="n">
        <v>45952</v>
      </c>
      <c r="D287" t="inlineStr">
        <is>
          <t>VÄSTRA GÖTALANDS LÄN</t>
        </is>
      </c>
      <c r="E287" t="inlineStr">
        <is>
          <t>STENUNGSUND</t>
        </is>
      </c>
      <c r="G287" t="n">
        <v>3.8</v>
      </c>
      <c r="H287" t="n">
        <v>2</v>
      </c>
      <c r="I287" t="n">
        <v>0</v>
      </c>
      <c r="J287" t="n">
        <v>0</v>
      </c>
      <c r="K287" t="n">
        <v>0</v>
      </c>
      <c r="L287" t="n">
        <v>0</v>
      </c>
      <c r="M287" t="n">
        <v>0</v>
      </c>
      <c r="N287" t="n">
        <v>0</v>
      </c>
      <c r="O287" t="n">
        <v>0</v>
      </c>
      <c r="P287" t="n">
        <v>0</v>
      </c>
      <c r="Q287" t="n">
        <v>2</v>
      </c>
      <c r="R287" s="2" t="inlineStr">
        <is>
          <t>Mattlummer
Revlummer</t>
        </is>
      </c>
      <c r="S287">
        <f>HYPERLINK("https://klasma.github.io/Logging_1415/artfynd/A 44272-2024 artfynd.xlsx", "A 44272-2024")</f>
        <v/>
      </c>
      <c r="T287">
        <f>HYPERLINK("https://klasma.github.io/Logging_1415/kartor/A 44272-2024 karta.png", "A 44272-2024")</f>
        <v/>
      </c>
      <c r="V287">
        <f>HYPERLINK("https://klasma.github.io/Logging_1415/klagomål/A 44272-2024 FSC-klagomål.docx", "A 44272-2024")</f>
        <v/>
      </c>
      <c r="W287">
        <f>HYPERLINK("https://klasma.github.io/Logging_1415/klagomålsmail/A 44272-2024 FSC-klagomål mail.docx", "A 44272-2024")</f>
        <v/>
      </c>
      <c r="X287">
        <f>HYPERLINK("https://klasma.github.io/Logging_1415/tillsyn/A 44272-2024 tillsynsbegäran.docx", "A 44272-2024")</f>
        <v/>
      </c>
      <c r="Y287">
        <f>HYPERLINK("https://klasma.github.io/Logging_1415/tillsynsmail/A 44272-2024 tillsynsbegäran mail.docx", "A 44272-2024")</f>
        <v/>
      </c>
    </row>
    <row r="288" ht="15" customHeight="1">
      <c r="A288" t="inlineStr">
        <is>
          <t>A 56053-2023</t>
        </is>
      </c>
      <c r="B288" s="1" t="n">
        <v>45240</v>
      </c>
      <c r="C288" s="1" t="n">
        <v>45952</v>
      </c>
      <c r="D288" t="inlineStr">
        <is>
          <t>VÄSTRA GÖTALANDS LÄN</t>
        </is>
      </c>
      <c r="E288" t="inlineStr">
        <is>
          <t>ALINGSÅS</t>
        </is>
      </c>
      <c r="G288" t="n">
        <v>3.2</v>
      </c>
      <c r="H288" t="n">
        <v>1</v>
      </c>
      <c r="I288" t="n">
        <v>0</v>
      </c>
      <c r="J288" t="n">
        <v>1</v>
      </c>
      <c r="K288" t="n">
        <v>0</v>
      </c>
      <c r="L288" t="n">
        <v>0</v>
      </c>
      <c r="M288" t="n">
        <v>0</v>
      </c>
      <c r="N288" t="n">
        <v>0</v>
      </c>
      <c r="O288" t="n">
        <v>1</v>
      </c>
      <c r="P288" t="n">
        <v>0</v>
      </c>
      <c r="Q288" t="n">
        <v>2</v>
      </c>
      <c r="R288" s="2" t="inlineStr">
        <is>
          <t>Orange taggsvamp
Vanlig groda</t>
        </is>
      </c>
      <c r="S288">
        <f>HYPERLINK("https://klasma.github.io/Logging_1489/artfynd/A 56053-2023 artfynd.xlsx", "A 56053-2023")</f>
        <v/>
      </c>
      <c r="T288">
        <f>HYPERLINK("https://klasma.github.io/Logging_1489/kartor/A 56053-2023 karta.png", "A 56053-2023")</f>
        <v/>
      </c>
      <c r="V288">
        <f>HYPERLINK("https://klasma.github.io/Logging_1489/klagomål/A 56053-2023 FSC-klagomål.docx", "A 56053-2023")</f>
        <v/>
      </c>
      <c r="W288">
        <f>HYPERLINK("https://klasma.github.io/Logging_1489/klagomålsmail/A 56053-2023 FSC-klagomål mail.docx", "A 56053-2023")</f>
        <v/>
      </c>
      <c r="X288">
        <f>HYPERLINK("https://klasma.github.io/Logging_1489/tillsyn/A 56053-2023 tillsynsbegäran.docx", "A 56053-2023")</f>
        <v/>
      </c>
      <c r="Y288">
        <f>HYPERLINK("https://klasma.github.io/Logging_1489/tillsynsmail/A 56053-2023 tillsynsbegäran mail.docx", "A 56053-2023")</f>
        <v/>
      </c>
    </row>
    <row r="289" ht="15" customHeight="1">
      <c r="A289" t="inlineStr">
        <is>
          <t>A 13699-2024</t>
        </is>
      </c>
      <c r="B289" s="1" t="n">
        <v>45390</v>
      </c>
      <c r="C289" s="1" t="n">
        <v>45952</v>
      </c>
      <c r="D289" t="inlineStr">
        <is>
          <t>VÄSTRA GÖTALANDS LÄN</t>
        </is>
      </c>
      <c r="E289" t="inlineStr">
        <is>
          <t>LILLA EDET</t>
        </is>
      </c>
      <c r="G289" t="n">
        <v>6.6</v>
      </c>
      <c r="H289" t="n">
        <v>1</v>
      </c>
      <c r="I289" t="n">
        <v>1</v>
      </c>
      <c r="J289" t="n">
        <v>1</v>
      </c>
      <c r="K289" t="n">
        <v>0</v>
      </c>
      <c r="L289" t="n">
        <v>0</v>
      </c>
      <c r="M289" t="n">
        <v>0</v>
      </c>
      <c r="N289" t="n">
        <v>0</v>
      </c>
      <c r="O289" t="n">
        <v>1</v>
      </c>
      <c r="P289" t="n">
        <v>0</v>
      </c>
      <c r="Q289" t="n">
        <v>2</v>
      </c>
      <c r="R289" s="2" t="inlineStr">
        <is>
          <t>Spillkråka
Västlig hakmossa</t>
        </is>
      </c>
      <c r="S289">
        <f>HYPERLINK("https://klasma.github.io/Logging_1462/artfynd/A 13699-2024 artfynd.xlsx", "A 13699-2024")</f>
        <v/>
      </c>
      <c r="T289">
        <f>HYPERLINK("https://klasma.github.io/Logging_1462/kartor/A 13699-2024 karta.png", "A 13699-2024")</f>
        <v/>
      </c>
      <c r="V289">
        <f>HYPERLINK("https://klasma.github.io/Logging_1462/klagomål/A 13699-2024 FSC-klagomål.docx", "A 13699-2024")</f>
        <v/>
      </c>
      <c r="W289">
        <f>HYPERLINK("https://klasma.github.io/Logging_1462/klagomålsmail/A 13699-2024 FSC-klagomål mail.docx", "A 13699-2024")</f>
        <v/>
      </c>
      <c r="X289">
        <f>HYPERLINK("https://klasma.github.io/Logging_1462/tillsyn/A 13699-2024 tillsynsbegäran.docx", "A 13699-2024")</f>
        <v/>
      </c>
      <c r="Y289">
        <f>HYPERLINK("https://klasma.github.io/Logging_1462/tillsynsmail/A 13699-2024 tillsynsbegäran mail.docx", "A 13699-2024")</f>
        <v/>
      </c>
      <c r="Z289">
        <f>HYPERLINK("https://klasma.github.io/Logging_1462/fåglar/A 13699-2024 prioriterade fågelarter.docx", "A 13699-2024")</f>
        <v/>
      </c>
    </row>
    <row r="290" ht="15" customHeight="1">
      <c r="A290" t="inlineStr">
        <is>
          <t>A 2579-2023</t>
        </is>
      </c>
      <c r="B290" s="1" t="n">
        <v>44943</v>
      </c>
      <c r="C290" s="1" t="n">
        <v>45952</v>
      </c>
      <c r="D290" t="inlineStr">
        <is>
          <t>VÄSTRA GÖTALANDS LÄN</t>
        </is>
      </c>
      <c r="E290" t="inlineStr">
        <is>
          <t>SKÖVDE</t>
        </is>
      </c>
      <c r="G290" t="n">
        <v>5.3</v>
      </c>
      <c r="H290" t="n">
        <v>1</v>
      </c>
      <c r="I290" t="n">
        <v>1</v>
      </c>
      <c r="J290" t="n">
        <v>0</v>
      </c>
      <c r="K290" t="n">
        <v>0</v>
      </c>
      <c r="L290" t="n">
        <v>0</v>
      </c>
      <c r="M290" t="n">
        <v>0</v>
      </c>
      <c r="N290" t="n">
        <v>0</v>
      </c>
      <c r="O290" t="n">
        <v>0</v>
      </c>
      <c r="P290" t="n">
        <v>0</v>
      </c>
      <c r="Q290" t="n">
        <v>2</v>
      </c>
      <c r="R290" s="2" t="inlineStr">
        <is>
          <t>Svart trolldruva
Fläcknycklar</t>
        </is>
      </c>
      <c r="S290">
        <f>HYPERLINK("https://klasma.github.io/Logging_1496/artfynd/A 2579-2023 artfynd.xlsx", "A 2579-2023")</f>
        <v/>
      </c>
      <c r="T290">
        <f>HYPERLINK("https://klasma.github.io/Logging_1496/kartor/A 2579-2023 karta.png", "A 2579-2023")</f>
        <v/>
      </c>
      <c r="V290">
        <f>HYPERLINK("https://klasma.github.io/Logging_1496/klagomål/A 2579-2023 FSC-klagomål.docx", "A 2579-2023")</f>
        <v/>
      </c>
      <c r="W290">
        <f>HYPERLINK("https://klasma.github.io/Logging_1496/klagomålsmail/A 2579-2023 FSC-klagomål mail.docx", "A 2579-2023")</f>
        <v/>
      </c>
      <c r="X290">
        <f>HYPERLINK("https://klasma.github.io/Logging_1496/tillsyn/A 2579-2023 tillsynsbegäran.docx", "A 2579-2023")</f>
        <v/>
      </c>
      <c r="Y290">
        <f>HYPERLINK("https://klasma.github.io/Logging_1496/tillsynsmail/A 2579-2023 tillsynsbegäran mail.docx", "A 2579-2023")</f>
        <v/>
      </c>
    </row>
    <row r="291" ht="15" customHeight="1">
      <c r="A291" t="inlineStr">
        <is>
          <t>A 43626-2023</t>
        </is>
      </c>
      <c r="B291" s="1" t="n">
        <v>45184.75254629629</v>
      </c>
      <c r="C291" s="1" t="n">
        <v>45952</v>
      </c>
      <c r="D291" t="inlineStr">
        <is>
          <t>VÄSTRA GÖTALANDS LÄN</t>
        </is>
      </c>
      <c r="E291" t="inlineStr">
        <is>
          <t>KARLSBORG</t>
        </is>
      </c>
      <c r="G291" t="n">
        <v>0.7</v>
      </c>
      <c r="H291" t="n">
        <v>0</v>
      </c>
      <c r="I291" t="n">
        <v>2</v>
      </c>
      <c r="J291" t="n">
        <v>0</v>
      </c>
      <c r="K291" t="n">
        <v>0</v>
      </c>
      <c r="L291" t="n">
        <v>0</v>
      </c>
      <c r="M291" t="n">
        <v>0</v>
      </c>
      <c r="N291" t="n">
        <v>0</v>
      </c>
      <c r="O291" t="n">
        <v>0</v>
      </c>
      <c r="P291" t="n">
        <v>0</v>
      </c>
      <c r="Q291" t="n">
        <v>2</v>
      </c>
      <c r="R291" s="2" t="inlineStr">
        <is>
          <t>Dropptaggsvamp
Tallfingersvamp</t>
        </is>
      </c>
      <c r="S291">
        <f>HYPERLINK("https://klasma.github.io/Logging_1446/artfynd/A 43626-2023 artfynd.xlsx", "A 43626-2023")</f>
        <v/>
      </c>
      <c r="T291">
        <f>HYPERLINK("https://klasma.github.io/Logging_1446/kartor/A 43626-2023 karta.png", "A 43626-2023")</f>
        <v/>
      </c>
      <c r="V291">
        <f>HYPERLINK("https://klasma.github.io/Logging_1446/klagomål/A 43626-2023 FSC-klagomål.docx", "A 43626-2023")</f>
        <v/>
      </c>
      <c r="W291">
        <f>HYPERLINK("https://klasma.github.io/Logging_1446/klagomålsmail/A 43626-2023 FSC-klagomål mail.docx", "A 43626-2023")</f>
        <v/>
      </c>
      <c r="X291">
        <f>HYPERLINK("https://klasma.github.io/Logging_1446/tillsyn/A 43626-2023 tillsynsbegäran.docx", "A 43626-2023")</f>
        <v/>
      </c>
      <c r="Y291">
        <f>HYPERLINK("https://klasma.github.io/Logging_1446/tillsynsmail/A 43626-2023 tillsynsbegäran mail.docx", "A 43626-2023")</f>
        <v/>
      </c>
    </row>
    <row r="292" ht="15" customHeight="1">
      <c r="A292" t="inlineStr">
        <is>
          <t>A 13199-2021</t>
        </is>
      </c>
      <c r="B292" s="1" t="n">
        <v>44272</v>
      </c>
      <c r="C292" s="1" t="n">
        <v>45952</v>
      </c>
      <c r="D292" t="inlineStr">
        <is>
          <t>VÄSTRA GÖTALANDS LÄN</t>
        </is>
      </c>
      <c r="E292" t="inlineStr">
        <is>
          <t>HJO</t>
        </is>
      </c>
      <c r="G292" t="n">
        <v>11</v>
      </c>
      <c r="H292" t="n">
        <v>1</v>
      </c>
      <c r="I292" t="n">
        <v>0</v>
      </c>
      <c r="J292" t="n">
        <v>1</v>
      </c>
      <c r="K292" t="n">
        <v>0</v>
      </c>
      <c r="L292" t="n">
        <v>0</v>
      </c>
      <c r="M292" t="n">
        <v>0</v>
      </c>
      <c r="N292" t="n">
        <v>0</v>
      </c>
      <c r="O292" t="n">
        <v>1</v>
      </c>
      <c r="P292" t="n">
        <v>0</v>
      </c>
      <c r="Q292" t="n">
        <v>2</v>
      </c>
      <c r="R292" s="2" t="inlineStr">
        <is>
          <t>Vårstarr
Grönvit nattviol</t>
        </is>
      </c>
      <c r="S292">
        <f>HYPERLINK("https://klasma.github.io/Logging_1497/artfynd/A 13199-2021 artfynd.xlsx", "A 13199-2021")</f>
        <v/>
      </c>
      <c r="T292">
        <f>HYPERLINK("https://klasma.github.io/Logging_1497/kartor/A 13199-2021 karta.png", "A 13199-2021")</f>
        <v/>
      </c>
      <c r="V292">
        <f>HYPERLINK("https://klasma.github.io/Logging_1497/klagomål/A 13199-2021 FSC-klagomål.docx", "A 13199-2021")</f>
        <v/>
      </c>
      <c r="W292">
        <f>HYPERLINK("https://klasma.github.io/Logging_1497/klagomålsmail/A 13199-2021 FSC-klagomål mail.docx", "A 13199-2021")</f>
        <v/>
      </c>
      <c r="X292">
        <f>HYPERLINK("https://klasma.github.io/Logging_1497/tillsyn/A 13199-2021 tillsynsbegäran.docx", "A 13199-2021")</f>
        <v/>
      </c>
      <c r="Y292">
        <f>HYPERLINK("https://klasma.github.io/Logging_1497/tillsynsmail/A 13199-2021 tillsynsbegäran mail.docx", "A 13199-2021")</f>
        <v/>
      </c>
    </row>
    <row r="293" ht="15" customHeight="1">
      <c r="A293" t="inlineStr">
        <is>
          <t>A 4312-2023</t>
        </is>
      </c>
      <c r="B293" s="1" t="n">
        <v>44953</v>
      </c>
      <c r="C293" s="1" t="n">
        <v>45952</v>
      </c>
      <c r="D293" t="inlineStr">
        <is>
          <t>VÄSTRA GÖTALANDS LÄN</t>
        </is>
      </c>
      <c r="E293" t="inlineStr">
        <is>
          <t>SKARA</t>
        </is>
      </c>
      <c r="G293" t="n">
        <v>4.1</v>
      </c>
      <c r="H293" t="n">
        <v>0</v>
      </c>
      <c r="I293" t="n">
        <v>0</v>
      </c>
      <c r="J293" t="n">
        <v>1</v>
      </c>
      <c r="K293" t="n">
        <v>1</v>
      </c>
      <c r="L293" t="n">
        <v>0</v>
      </c>
      <c r="M293" t="n">
        <v>0</v>
      </c>
      <c r="N293" t="n">
        <v>0</v>
      </c>
      <c r="O293" t="n">
        <v>2</v>
      </c>
      <c r="P293" t="n">
        <v>1</v>
      </c>
      <c r="Q293" t="n">
        <v>2</v>
      </c>
      <c r="R293" s="2" t="inlineStr">
        <is>
          <t>Hartmansstarr
Klasefibbla</t>
        </is>
      </c>
      <c r="S293">
        <f>HYPERLINK("https://klasma.github.io/Logging_1495/artfynd/A 4312-2023 artfynd.xlsx", "A 4312-2023")</f>
        <v/>
      </c>
      <c r="T293">
        <f>HYPERLINK("https://klasma.github.io/Logging_1495/kartor/A 4312-2023 karta.png", "A 4312-2023")</f>
        <v/>
      </c>
      <c r="V293">
        <f>HYPERLINK("https://klasma.github.io/Logging_1495/klagomål/A 4312-2023 FSC-klagomål.docx", "A 4312-2023")</f>
        <v/>
      </c>
      <c r="W293">
        <f>HYPERLINK("https://klasma.github.io/Logging_1495/klagomålsmail/A 4312-2023 FSC-klagomål mail.docx", "A 4312-2023")</f>
        <v/>
      </c>
      <c r="X293">
        <f>HYPERLINK("https://klasma.github.io/Logging_1495/tillsyn/A 4312-2023 tillsynsbegäran.docx", "A 4312-2023")</f>
        <v/>
      </c>
      <c r="Y293">
        <f>HYPERLINK("https://klasma.github.io/Logging_1495/tillsynsmail/A 4312-2023 tillsynsbegäran mail.docx", "A 4312-2023")</f>
        <v/>
      </c>
    </row>
    <row r="294" ht="15" customHeight="1">
      <c r="A294" t="inlineStr">
        <is>
          <t>A 47911-2023</t>
        </is>
      </c>
      <c r="B294" s="1" t="n">
        <v>45204.51549768518</v>
      </c>
      <c r="C294" s="1" t="n">
        <v>45952</v>
      </c>
      <c r="D294" t="inlineStr">
        <is>
          <t>VÄSTRA GÖTALANDS LÄN</t>
        </is>
      </c>
      <c r="E294" t="inlineStr">
        <is>
          <t>BORÅS</t>
        </is>
      </c>
      <c r="G294" t="n">
        <v>1.6</v>
      </c>
      <c r="H294" t="n">
        <v>0</v>
      </c>
      <c r="I294" t="n">
        <v>2</v>
      </c>
      <c r="J294" t="n">
        <v>0</v>
      </c>
      <c r="K294" t="n">
        <v>0</v>
      </c>
      <c r="L294" t="n">
        <v>0</v>
      </c>
      <c r="M294" t="n">
        <v>0</v>
      </c>
      <c r="N294" t="n">
        <v>0</v>
      </c>
      <c r="O294" t="n">
        <v>0</v>
      </c>
      <c r="P294" t="n">
        <v>0</v>
      </c>
      <c r="Q294" t="n">
        <v>2</v>
      </c>
      <c r="R294" s="2" t="inlineStr">
        <is>
          <t>Gulnål
Vågbandad barkbock</t>
        </is>
      </c>
      <c r="S294">
        <f>HYPERLINK("https://klasma.github.io/Logging_1490/artfynd/A 47911-2023 artfynd.xlsx", "A 47911-2023")</f>
        <v/>
      </c>
      <c r="T294">
        <f>HYPERLINK("https://klasma.github.io/Logging_1490/kartor/A 47911-2023 karta.png", "A 47911-2023")</f>
        <v/>
      </c>
      <c r="V294">
        <f>HYPERLINK("https://klasma.github.io/Logging_1490/klagomål/A 47911-2023 FSC-klagomål.docx", "A 47911-2023")</f>
        <v/>
      </c>
      <c r="W294">
        <f>HYPERLINK("https://klasma.github.io/Logging_1490/klagomålsmail/A 47911-2023 FSC-klagomål mail.docx", "A 47911-2023")</f>
        <v/>
      </c>
      <c r="X294">
        <f>HYPERLINK("https://klasma.github.io/Logging_1490/tillsyn/A 47911-2023 tillsynsbegäran.docx", "A 47911-2023")</f>
        <v/>
      </c>
      <c r="Y294">
        <f>HYPERLINK("https://klasma.github.io/Logging_1490/tillsynsmail/A 47911-2023 tillsynsbegäran mail.docx", "A 47911-2023")</f>
        <v/>
      </c>
    </row>
    <row r="295" ht="15" customHeight="1">
      <c r="A295" t="inlineStr">
        <is>
          <t>A 6055-2024</t>
        </is>
      </c>
      <c r="B295" s="1" t="n">
        <v>45336</v>
      </c>
      <c r="C295" s="1" t="n">
        <v>45952</v>
      </c>
      <c r="D295" t="inlineStr">
        <is>
          <t>VÄSTRA GÖTALANDS LÄN</t>
        </is>
      </c>
      <c r="E295" t="inlineStr">
        <is>
          <t>ORUST</t>
        </is>
      </c>
      <c r="G295" t="n">
        <v>24.1</v>
      </c>
      <c r="H295" t="n">
        <v>2</v>
      </c>
      <c r="I295" t="n">
        <v>0</v>
      </c>
      <c r="J295" t="n">
        <v>0</v>
      </c>
      <c r="K295" t="n">
        <v>0</v>
      </c>
      <c r="L295" t="n">
        <v>0</v>
      </c>
      <c r="M295" t="n">
        <v>0</v>
      </c>
      <c r="N295" t="n">
        <v>0</v>
      </c>
      <c r="O295" t="n">
        <v>0</v>
      </c>
      <c r="P295" t="n">
        <v>0</v>
      </c>
      <c r="Q295" t="n">
        <v>2</v>
      </c>
      <c r="R295" s="2" t="inlineStr">
        <is>
          <t>Revlummer
Äkta lopplummer</t>
        </is>
      </c>
      <c r="S295">
        <f>HYPERLINK("https://klasma.github.io/Logging_1421/artfynd/A 6055-2024 artfynd.xlsx", "A 6055-2024")</f>
        <v/>
      </c>
      <c r="T295">
        <f>HYPERLINK("https://klasma.github.io/Logging_1421/kartor/A 6055-2024 karta.png", "A 6055-2024")</f>
        <v/>
      </c>
      <c r="V295">
        <f>HYPERLINK("https://klasma.github.io/Logging_1421/klagomål/A 6055-2024 FSC-klagomål.docx", "A 6055-2024")</f>
        <v/>
      </c>
      <c r="W295">
        <f>HYPERLINK("https://klasma.github.io/Logging_1421/klagomålsmail/A 6055-2024 FSC-klagomål mail.docx", "A 6055-2024")</f>
        <v/>
      </c>
      <c r="X295">
        <f>HYPERLINK("https://klasma.github.io/Logging_1421/tillsyn/A 6055-2024 tillsynsbegäran.docx", "A 6055-2024")</f>
        <v/>
      </c>
      <c r="Y295">
        <f>HYPERLINK("https://klasma.github.io/Logging_1421/tillsynsmail/A 6055-2024 tillsynsbegäran mail.docx", "A 6055-2024")</f>
        <v/>
      </c>
    </row>
    <row r="296" ht="15" customHeight="1">
      <c r="A296" t="inlineStr">
        <is>
          <t>A 18199-2025</t>
        </is>
      </c>
      <c r="B296" s="1" t="n">
        <v>45761</v>
      </c>
      <c r="C296" s="1" t="n">
        <v>45952</v>
      </c>
      <c r="D296" t="inlineStr">
        <is>
          <t>VÄSTRA GÖTALANDS LÄN</t>
        </is>
      </c>
      <c r="E296" t="inlineStr">
        <is>
          <t>TANUM</t>
        </is>
      </c>
      <c r="G296" t="n">
        <v>3.2</v>
      </c>
      <c r="H296" t="n">
        <v>2</v>
      </c>
      <c r="I296" t="n">
        <v>0</v>
      </c>
      <c r="J296" t="n">
        <v>0</v>
      </c>
      <c r="K296" t="n">
        <v>0</v>
      </c>
      <c r="L296" t="n">
        <v>0</v>
      </c>
      <c r="M296" t="n">
        <v>0</v>
      </c>
      <c r="N296" t="n">
        <v>0</v>
      </c>
      <c r="O296" t="n">
        <v>0</v>
      </c>
      <c r="P296" t="n">
        <v>0</v>
      </c>
      <c r="Q296" t="n">
        <v>2</v>
      </c>
      <c r="R296" s="2" t="inlineStr">
        <is>
          <t>Mattlummer
Revlummer</t>
        </is>
      </c>
      <c r="S296">
        <f>HYPERLINK("https://klasma.github.io/Logging_1435/artfynd/A 18199-2025 artfynd.xlsx", "A 18199-2025")</f>
        <v/>
      </c>
      <c r="T296">
        <f>HYPERLINK("https://klasma.github.io/Logging_1435/kartor/A 18199-2025 karta.png", "A 18199-2025")</f>
        <v/>
      </c>
      <c r="V296">
        <f>HYPERLINK("https://klasma.github.io/Logging_1435/klagomål/A 18199-2025 FSC-klagomål.docx", "A 18199-2025")</f>
        <v/>
      </c>
      <c r="W296">
        <f>HYPERLINK("https://klasma.github.io/Logging_1435/klagomålsmail/A 18199-2025 FSC-klagomål mail.docx", "A 18199-2025")</f>
        <v/>
      </c>
      <c r="X296">
        <f>HYPERLINK("https://klasma.github.io/Logging_1435/tillsyn/A 18199-2025 tillsynsbegäran.docx", "A 18199-2025")</f>
        <v/>
      </c>
      <c r="Y296">
        <f>HYPERLINK("https://klasma.github.io/Logging_1435/tillsynsmail/A 18199-2025 tillsynsbegäran mail.docx", "A 18199-2025")</f>
        <v/>
      </c>
    </row>
    <row r="297" ht="15" customHeight="1">
      <c r="A297" t="inlineStr">
        <is>
          <t>A 12658-2023</t>
        </is>
      </c>
      <c r="B297" s="1" t="n">
        <v>45000</v>
      </c>
      <c r="C297" s="1" t="n">
        <v>45952</v>
      </c>
      <c r="D297" t="inlineStr">
        <is>
          <t>VÄSTRA GÖTALANDS LÄN</t>
        </is>
      </c>
      <c r="E297" t="inlineStr">
        <is>
          <t>GÖTENE</t>
        </is>
      </c>
      <c r="G297" t="n">
        <v>1.2</v>
      </c>
      <c r="H297" t="n">
        <v>1</v>
      </c>
      <c r="I297" t="n">
        <v>0</v>
      </c>
      <c r="J297" t="n">
        <v>1</v>
      </c>
      <c r="K297" t="n">
        <v>0</v>
      </c>
      <c r="L297" t="n">
        <v>0</v>
      </c>
      <c r="M297" t="n">
        <v>1</v>
      </c>
      <c r="N297" t="n">
        <v>0</v>
      </c>
      <c r="O297" t="n">
        <v>2</v>
      </c>
      <c r="P297" t="n">
        <v>1</v>
      </c>
      <c r="Q297" t="n">
        <v>2</v>
      </c>
      <c r="R297" s="2" t="inlineStr">
        <is>
          <t>Skogsalm
Gulsparv</t>
        </is>
      </c>
      <c r="S297">
        <f>HYPERLINK("https://klasma.github.io/Logging_1471/artfynd/A 12658-2023 artfynd.xlsx", "A 12658-2023")</f>
        <v/>
      </c>
      <c r="T297">
        <f>HYPERLINK("https://klasma.github.io/Logging_1471/kartor/A 12658-2023 karta.png", "A 12658-2023")</f>
        <v/>
      </c>
      <c r="V297">
        <f>HYPERLINK("https://klasma.github.io/Logging_1471/klagomål/A 12658-2023 FSC-klagomål.docx", "A 12658-2023")</f>
        <v/>
      </c>
      <c r="W297">
        <f>HYPERLINK("https://klasma.github.io/Logging_1471/klagomålsmail/A 12658-2023 FSC-klagomål mail.docx", "A 12658-2023")</f>
        <v/>
      </c>
      <c r="X297">
        <f>HYPERLINK("https://klasma.github.io/Logging_1471/tillsyn/A 12658-2023 tillsynsbegäran.docx", "A 12658-2023")</f>
        <v/>
      </c>
      <c r="Y297">
        <f>HYPERLINK("https://klasma.github.io/Logging_1471/tillsynsmail/A 12658-2023 tillsynsbegäran mail.docx", "A 12658-2023")</f>
        <v/>
      </c>
      <c r="Z297">
        <f>HYPERLINK("https://klasma.github.io/Logging_1471/fåglar/A 12658-2023 prioriterade fågelarter.docx", "A 12658-2023")</f>
        <v/>
      </c>
    </row>
    <row r="298" ht="15" customHeight="1">
      <c r="A298" t="inlineStr">
        <is>
          <t>A 38204-2024</t>
        </is>
      </c>
      <c r="B298" s="1" t="n">
        <v>45545.5043287037</v>
      </c>
      <c r="C298" s="1" t="n">
        <v>45952</v>
      </c>
      <c r="D298" t="inlineStr">
        <is>
          <t>VÄSTRA GÖTALANDS LÄN</t>
        </is>
      </c>
      <c r="E298" t="inlineStr">
        <is>
          <t>KARLSBORG</t>
        </is>
      </c>
      <c r="F298" t="inlineStr">
        <is>
          <t>Sveaskog</t>
        </is>
      </c>
      <c r="G298" t="n">
        <v>5.4</v>
      </c>
      <c r="H298" t="n">
        <v>2</v>
      </c>
      <c r="I298" t="n">
        <v>0</v>
      </c>
      <c r="J298" t="n">
        <v>0</v>
      </c>
      <c r="K298" t="n">
        <v>1</v>
      </c>
      <c r="L298" t="n">
        <v>0</v>
      </c>
      <c r="M298" t="n">
        <v>0</v>
      </c>
      <c r="N298" t="n">
        <v>0</v>
      </c>
      <c r="O298" t="n">
        <v>1</v>
      </c>
      <c r="P298" t="n">
        <v>1</v>
      </c>
      <c r="Q298" t="n">
        <v>2</v>
      </c>
      <c r="R298" s="2" t="inlineStr">
        <is>
          <t>Knärot
Kungsfågel</t>
        </is>
      </c>
      <c r="S298">
        <f>HYPERLINK("https://klasma.github.io/Logging_1446/artfynd/A 38204-2024 artfynd.xlsx", "A 38204-2024")</f>
        <v/>
      </c>
      <c r="T298">
        <f>HYPERLINK("https://klasma.github.io/Logging_1446/kartor/A 38204-2024 karta.png", "A 38204-2024")</f>
        <v/>
      </c>
      <c r="U298">
        <f>HYPERLINK("https://klasma.github.io/Logging_1446/knärot/A 38204-2024 karta knärot.png", "A 38204-2024")</f>
        <v/>
      </c>
      <c r="V298">
        <f>HYPERLINK("https://klasma.github.io/Logging_1446/klagomål/A 38204-2024 FSC-klagomål.docx", "A 38204-2024")</f>
        <v/>
      </c>
      <c r="W298">
        <f>HYPERLINK("https://klasma.github.io/Logging_1446/klagomålsmail/A 38204-2024 FSC-klagomål mail.docx", "A 38204-2024")</f>
        <v/>
      </c>
      <c r="X298">
        <f>HYPERLINK("https://klasma.github.io/Logging_1446/tillsyn/A 38204-2024 tillsynsbegäran.docx", "A 38204-2024")</f>
        <v/>
      </c>
      <c r="Y298">
        <f>HYPERLINK("https://klasma.github.io/Logging_1446/tillsynsmail/A 38204-2024 tillsynsbegäran mail.docx", "A 38204-2024")</f>
        <v/>
      </c>
      <c r="Z298">
        <f>HYPERLINK("https://klasma.github.io/Logging_1446/fåglar/A 38204-2024 prioriterade fågelarter.docx", "A 38204-2024")</f>
        <v/>
      </c>
    </row>
    <row r="299" ht="15" customHeight="1">
      <c r="A299" t="inlineStr">
        <is>
          <t>A 19676-2024</t>
        </is>
      </c>
      <c r="B299" s="1" t="n">
        <v>45432</v>
      </c>
      <c r="C299" s="1" t="n">
        <v>45952</v>
      </c>
      <c r="D299" t="inlineStr">
        <is>
          <t>VÄSTRA GÖTALANDS LÄN</t>
        </is>
      </c>
      <c r="E299" t="inlineStr">
        <is>
          <t>UDDEVALLA</t>
        </is>
      </c>
      <c r="G299" t="n">
        <v>10.3</v>
      </c>
      <c r="H299" t="n">
        <v>0</v>
      </c>
      <c r="I299" t="n">
        <v>2</v>
      </c>
      <c r="J299" t="n">
        <v>0</v>
      </c>
      <c r="K299" t="n">
        <v>0</v>
      </c>
      <c r="L299" t="n">
        <v>0</v>
      </c>
      <c r="M299" t="n">
        <v>0</v>
      </c>
      <c r="N299" t="n">
        <v>0</v>
      </c>
      <c r="O299" t="n">
        <v>0</v>
      </c>
      <c r="P299" t="n">
        <v>0</v>
      </c>
      <c r="Q299" t="n">
        <v>2</v>
      </c>
      <c r="R299" s="2" t="inlineStr">
        <is>
          <t>Hässleklocka
Springkorn</t>
        </is>
      </c>
      <c r="S299">
        <f>HYPERLINK("https://klasma.github.io/Logging_1485/artfynd/A 19676-2024 artfynd.xlsx", "A 19676-2024")</f>
        <v/>
      </c>
      <c r="T299">
        <f>HYPERLINK("https://klasma.github.io/Logging_1485/kartor/A 19676-2024 karta.png", "A 19676-2024")</f>
        <v/>
      </c>
      <c r="V299">
        <f>HYPERLINK("https://klasma.github.io/Logging_1485/klagomål/A 19676-2024 FSC-klagomål.docx", "A 19676-2024")</f>
        <v/>
      </c>
      <c r="W299">
        <f>HYPERLINK("https://klasma.github.io/Logging_1485/klagomålsmail/A 19676-2024 FSC-klagomål mail.docx", "A 19676-2024")</f>
        <v/>
      </c>
      <c r="X299">
        <f>HYPERLINK("https://klasma.github.io/Logging_1485/tillsyn/A 19676-2024 tillsynsbegäran.docx", "A 19676-2024")</f>
        <v/>
      </c>
      <c r="Y299">
        <f>HYPERLINK("https://klasma.github.io/Logging_1485/tillsynsmail/A 19676-2024 tillsynsbegäran mail.docx", "A 19676-2024")</f>
        <v/>
      </c>
    </row>
    <row r="300" ht="15" customHeight="1">
      <c r="A300" t="inlineStr">
        <is>
          <t>A 36195-2022</t>
        </is>
      </c>
      <c r="B300" s="1" t="n">
        <v>44803</v>
      </c>
      <c r="C300" s="1" t="n">
        <v>45952</v>
      </c>
      <c r="D300" t="inlineStr">
        <is>
          <t>VÄSTRA GÖTALANDS LÄN</t>
        </is>
      </c>
      <c r="E300" t="inlineStr">
        <is>
          <t>ALINGSÅS</t>
        </is>
      </c>
      <c r="G300" t="n">
        <v>1.8</v>
      </c>
      <c r="H300" t="n">
        <v>0</v>
      </c>
      <c r="I300" t="n">
        <v>1</v>
      </c>
      <c r="J300" t="n">
        <v>1</v>
      </c>
      <c r="K300" t="n">
        <v>0</v>
      </c>
      <c r="L300" t="n">
        <v>0</v>
      </c>
      <c r="M300" t="n">
        <v>0</v>
      </c>
      <c r="N300" t="n">
        <v>0</v>
      </c>
      <c r="O300" t="n">
        <v>1</v>
      </c>
      <c r="P300" t="n">
        <v>0</v>
      </c>
      <c r="Q300" t="n">
        <v>2</v>
      </c>
      <c r="R300" s="2" t="inlineStr">
        <is>
          <t>Svartvit taggsvamp
Dropptaggsvamp</t>
        </is>
      </c>
      <c r="S300">
        <f>HYPERLINK("https://klasma.github.io/Logging_1489/artfynd/A 36195-2022 artfynd.xlsx", "A 36195-2022")</f>
        <v/>
      </c>
      <c r="T300">
        <f>HYPERLINK("https://klasma.github.io/Logging_1489/kartor/A 36195-2022 karta.png", "A 36195-2022")</f>
        <v/>
      </c>
      <c r="V300">
        <f>HYPERLINK("https://klasma.github.io/Logging_1489/klagomål/A 36195-2022 FSC-klagomål.docx", "A 36195-2022")</f>
        <v/>
      </c>
      <c r="W300">
        <f>HYPERLINK("https://klasma.github.io/Logging_1489/klagomålsmail/A 36195-2022 FSC-klagomål mail.docx", "A 36195-2022")</f>
        <v/>
      </c>
      <c r="X300">
        <f>HYPERLINK("https://klasma.github.io/Logging_1489/tillsyn/A 36195-2022 tillsynsbegäran.docx", "A 36195-2022")</f>
        <v/>
      </c>
      <c r="Y300">
        <f>HYPERLINK("https://klasma.github.io/Logging_1489/tillsynsmail/A 36195-2022 tillsynsbegäran mail.docx", "A 36195-2022")</f>
        <v/>
      </c>
    </row>
    <row r="301" ht="15" customHeight="1">
      <c r="A301" t="inlineStr">
        <is>
          <t>A 55336-2024</t>
        </is>
      </c>
      <c r="B301" s="1" t="n">
        <v>45621.69048611111</v>
      </c>
      <c r="C301" s="1" t="n">
        <v>45952</v>
      </c>
      <c r="D301" t="inlineStr">
        <is>
          <t>VÄSTRA GÖTALANDS LÄN</t>
        </is>
      </c>
      <c r="E301" t="inlineStr">
        <is>
          <t>TRANEMO</t>
        </is>
      </c>
      <c r="G301" t="n">
        <v>1.2</v>
      </c>
      <c r="H301" t="n">
        <v>2</v>
      </c>
      <c r="I301" t="n">
        <v>0</v>
      </c>
      <c r="J301" t="n">
        <v>0</v>
      </c>
      <c r="K301" t="n">
        <v>0</v>
      </c>
      <c r="L301" t="n">
        <v>0</v>
      </c>
      <c r="M301" t="n">
        <v>0</v>
      </c>
      <c r="N301" t="n">
        <v>0</v>
      </c>
      <c r="O301" t="n">
        <v>0</v>
      </c>
      <c r="P301" t="n">
        <v>0</v>
      </c>
      <c r="Q301" t="n">
        <v>2</v>
      </c>
      <c r="R301" s="2" t="inlineStr">
        <is>
          <t>Orre
Tjäder</t>
        </is>
      </c>
      <c r="S301">
        <f>HYPERLINK("https://klasma.github.io/Logging_1452/artfynd/A 55336-2024 artfynd.xlsx", "A 55336-2024")</f>
        <v/>
      </c>
      <c r="T301">
        <f>HYPERLINK("https://klasma.github.io/Logging_1452/kartor/A 55336-2024 karta.png", "A 55336-2024")</f>
        <v/>
      </c>
      <c r="V301">
        <f>HYPERLINK("https://klasma.github.io/Logging_1452/klagomål/A 55336-2024 FSC-klagomål.docx", "A 55336-2024")</f>
        <v/>
      </c>
      <c r="W301">
        <f>HYPERLINK("https://klasma.github.io/Logging_1452/klagomålsmail/A 55336-2024 FSC-klagomål mail.docx", "A 55336-2024")</f>
        <v/>
      </c>
      <c r="X301">
        <f>HYPERLINK("https://klasma.github.io/Logging_1452/tillsyn/A 55336-2024 tillsynsbegäran.docx", "A 55336-2024")</f>
        <v/>
      </c>
      <c r="Y301">
        <f>HYPERLINK("https://klasma.github.io/Logging_1452/tillsynsmail/A 55336-2024 tillsynsbegäran mail.docx", "A 55336-2024")</f>
        <v/>
      </c>
      <c r="Z301">
        <f>HYPERLINK("https://klasma.github.io/Logging_1452/fåglar/A 55336-2024 prioriterade fågelarter.docx", "A 55336-2024")</f>
        <v/>
      </c>
    </row>
    <row r="302" ht="15" customHeight="1">
      <c r="A302" t="inlineStr">
        <is>
          <t>A 57791-2021</t>
        </is>
      </c>
      <c r="B302" s="1" t="n">
        <v>44484</v>
      </c>
      <c r="C302" s="1" t="n">
        <v>45952</v>
      </c>
      <c r="D302" t="inlineStr">
        <is>
          <t>VÄSTRA GÖTALANDS LÄN</t>
        </is>
      </c>
      <c r="E302" t="inlineStr">
        <is>
          <t>MARIESTAD</t>
        </is>
      </c>
      <c r="G302" t="n">
        <v>30.8</v>
      </c>
      <c r="H302" t="n">
        <v>0</v>
      </c>
      <c r="I302" t="n">
        <v>1</v>
      </c>
      <c r="J302" t="n">
        <v>1</v>
      </c>
      <c r="K302" t="n">
        <v>0</v>
      </c>
      <c r="L302" t="n">
        <v>0</v>
      </c>
      <c r="M302" t="n">
        <v>0</v>
      </c>
      <c r="N302" t="n">
        <v>0</v>
      </c>
      <c r="O302" t="n">
        <v>1</v>
      </c>
      <c r="P302" t="n">
        <v>0</v>
      </c>
      <c r="Q302" t="n">
        <v>2</v>
      </c>
      <c r="R302" s="2" t="inlineStr">
        <is>
          <t>Fyrflikig jordstjärna
Blåmossa</t>
        </is>
      </c>
      <c r="S302">
        <f>HYPERLINK("https://klasma.github.io/Logging_1493/artfynd/A 57791-2021 artfynd.xlsx", "A 57791-2021")</f>
        <v/>
      </c>
      <c r="T302">
        <f>HYPERLINK("https://klasma.github.io/Logging_1493/kartor/A 57791-2021 karta.png", "A 57791-2021")</f>
        <v/>
      </c>
      <c r="V302">
        <f>HYPERLINK("https://klasma.github.io/Logging_1493/klagomål/A 57791-2021 FSC-klagomål.docx", "A 57791-2021")</f>
        <v/>
      </c>
      <c r="W302">
        <f>HYPERLINK("https://klasma.github.io/Logging_1493/klagomålsmail/A 57791-2021 FSC-klagomål mail.docx", "A 57791-2021")</f>
        <v/>
      </c>
      <c r="X302">
        <f>HYPERLINK("https://klasma.github.io/Logging_1493/tillsyn/A 57791-2021 tillsynsbegäran.docx", "A 57791-2021")</f>
        <v/>
      </c>
      <c r="Y302">
        <f>HYPERLINK("https://klasma.github.io/Logging_1493/tillsynsmail/A 57791-2021 tillsynsbegäran mail.docx", "A 57791-2021")</f>
        <v/>
      </c>
    </row>
    <row r="303" ht="15" customHeight="1">
      <c r="A303" t="inlineStr">
        <is>
          <t>A 32528-2024</t>
        </is>
      </c>
      <c r="B303" s="1" t="n">
        <v>45513.47662037037</v>
      </c>
      <c r="C303" s="1" t="n">
        <v>45952</v>
      </c>
      <c r="D303" t="inlineStr">
        <is>
          <t>VÄSTRA GÖTALANDS LÄN</t>
        </is>
      </c>
      <c r="E303" t="inlineStr">
        <is>
          <t>UDDEVALLA</t>
        </is>
      </c>
      <c r="G303" t="n">
        <v>1.5</v>
      </c>
      <c r="H303" t="n">
        <v>0</v>
      </c>
      <c r="I303" t="n">
        <v>1</v>
      </c>
      <c r="J303" t="n">
        <v>1</v>
      </c>
      <c r="K303" t="n">
        <v>0</v>
      </c>
      <c r="L303" t="n">
        <v>0</v>
      </c>
      <c r="M303" t="n">
        <v>0</v>
      </c>
      <c r="N303" t="n">
        <v>0</v>
      </c>
      <c r="O303" t="n">
        <v>1</v>
      </c>
      <c r="P303" t="n">
        <v>0</v>
      </c>
      <c r="Q303" t="n">
        <v>2</v>
      </c>
      <c r="R303" s="2" t="inlineStr">
        <is>
          <t>Grönhjon
Granbarkgnagare</t>
        </is>
      </c>
      <c r="S303">
        <f>HYPERLINK("https://klasma.github.io/Logging_1485/artfynd/A 32528-2024 artfynd.xlsx", "A 32528-2024")</f>
        <v/>
      </c>
      <c r="T303">
        <f>HYPERLINK("https://klasma.github.io/Logging_1485/kartor/A 32528-2024 karta.png", "A 32528-2024")</f>
        <v/>
      </c>
      <c r="V303">
        <f>HYPERLINK("https://klasma.github.io/Logging_1485/klagomål/A 32528-2024 FSC-klagomål.docx", "A 32528-2024")</f>
        <v/>
      </c>
      <c r="W303">
        <f>HYPERLINK("https://klasma.github.io/Logging_1485/klagomålsmail/A 32528-2024 FSC-klagomål mail.docx", "A 32528-2024")</f>
        <v/>
      </c>
      <c r="X303">
        <f>HYPERLINK("https://klasma.github.io/Logging_1485/tillsyn/A 32528-2024 tillsynsbegäran.docx", "A 32528-2024")</f>
        <v/>
      </c>
      <c r="Y303">
        <f>HYPERLINK("https://klasma.github.io/Logging_1485/tillsynsmail/A 32528-2024 tillsynsbegäran mail.docx", "A 32528-2024")</f>
        <v/>
      </c>
    </row>
    <row r="304" ht="15" customHeight="1">
      <c r="A304" t="inlineStr">
        <is>
          <t>A 46886-2023</t>
        </is>
      </c>
      <c r="B304" s="1" t="n">
        <v>45201.33994212963</v>
      </c>
      <c r="C304" s="1" t="n">
        <v>45952</v>
      </c>
      <c r="D304" t="inlineStr">
        <is>
          <t>VÄSTRA GÖTALANDS LÄN</t>
        </is>
      </c>
      <c r="E304" t="inlineStr">
        <is>
          <t>MARIESTAD</t>
        </is>
      </c>
      <c r="G304" t="n">
        <v>2.5</v>
      </c>
      <c r="H304" t="n">
        <v>1</v>
      </c>
      <c r="I304" t="n">
        <v>0</v>
      </c>
      <c r="J304" t="n">
        <v>2</v>
      </c>
      <c r="K304" t="n">
        <v>0</v>
      </c>
      <c r="L304" t="n">
        <v>0</v>
      </c>
      <c r="M304" t="n">
        <v>0</v>
      </c>
      <c r="N304" t="n">
        <v>0</v>
      </c>
      <c r="O304" t="n">
        <v>2</v>
      </c>
      <c r="P304" t="n">
        <v>0</v>
      </c>
      <c r="Q304" t="n">
        <v>2</v>
      </c>
      <c r="R304" s="2" t="inlineStr">
        <is>
          <t>Skogshare
Spillkråka</t>
        </is>
      </c>
      <c r="S304">
        <f>HYPERLINK("https://klasma.github.io/Logging_1493/artfynd/A 46886-2023 artfynd.xlsx", "A 46886-2023")</f>
        <v/>
      </c>
      <c r="T304">
        <f>HYPERLINK("https://klasma.github.io/Logging_1493/kartor/A 46886-2023 karta.png", "A 46886-2023")</f>
        <v/>
      </c>
      <c r="V304">
        <f>HYPERLINK("https://klasma.github.io/Logging_1493/klagomål/A 46886-2023 FSC-klagomål.docx", "A 46886-2023")</f>
        <v/>
      </c>
      <c r="W304">
        <f>HYPERLINK("https://klasma.github.io/Logging_1493/klagomålsmail/A 46886-2023 FSC-klagomål mail.docx", "A 46886-2023")</f>
        <v/>
      </c>
      <c r="X304">
        <f>HYPERLINK("https://klasma.github.io/Logging_1493/tillsyn/A 46886-2023 tillsynsbegäran.docx", "A 46886-2023")</f>
        <v/>
      </c>
      <c r="Y304">
        <f>HYPERLINK("https://klasma.github.io/Logging_1493/tillsynsmail/A 46886-2023 tillsynsbegäran mail.docx", "A 46886-2023")</f>
        <v/>
      </c>
      <c r="Z304">
        <f>HYPERLINK("https://klasma.github.io/Logging_1493/fåglar/A 46886-2023 prioriterade fågelarter.docx", "A 46886-2023")</f>
        <v/>
      </c>
    </row>
    <row r="305" ht="15" customHeight="1">
      <c r="A305" t="inlineStr">
        <is>
          <t>A 32280-2022</t>
        </is>
      </c>
      <c r="B305" s="1" t="n">
        <v>44781</v>
      </c>
      <c r="C305" s="1" t="n">
        <v>45952</v>
      </c>
      <c r="D305" t="inlineStr">
        <is>
          <t>VÄSTRA GÖTALANDS LÄN</t>
        </is>
      </c>
      <c r="E305" t="inlineStr">
        <is>
          <t>LIDKÖPING</t>
        </is>
      </c>
      <c r="G305" t="n">
        <v>8.6</v>
      </c>
      <c r="H305" t="n">
        <v>1</v>
      </c>
      <c r="I305" t="n">
        <v>1</v>
      </c>
      <c r="J305" t="n">
        <v>1</v>
      </c>
      <c r="K305" t="n">
        <v>0</v>
      </c>
      <c r="L305" t="n">
        <v>0</v>
      </c>
      <c r="M305" t="n">
        <v>0</v>
      </c>
      <c r="N305" t="n">
        <v>0</v>
      </c>
      <c r="O305" t="n">
        <v>1</v>
      </c>
      <c r="P305" t="n">
        <v>0</v>
      </c>
      <c r="Q305" t="n">
        <v>2</v>
      </c>
      <c r="R305" s="2" t="inlineStr">
        <is>
          <t>Gulsparv
Sotriska</t>
        </is>
      </c>
      <c r="S305">
        <f>HYPERLINK("https://klasma.github.io/Logging_1494/artfynd/A 32280-2022 artfynd.xlsx", "A 32280-2022")</f>
        <v/>
      </c>
      <c r="T305">
        <f>HYPERLINK("https://klasma.github.io/Logging_1494/kartor/A 32280-2022 karta.png", "A 32280-2022")</f>
        <v/>
      </c>
      <c r="V305">
        <f>HYPERLINK("https://klasma.github.io/Logging_1494/klagomål/A 32280-2022 FSC-klagomål.docx", "A 32280-2022")</f>
        <v/>
      </c>
      <c r="W305">
        <f>HYPERLINK("https://klasma.github.io/Logging_1494/klagomålsmail/A 32280-2022 FSC-klagomål mail.docx", "A 32280-2022")</f>
        <v/>
      </c>
      <c r="X305">
        <f>HYPERLINK("https://klasma.github.io/Logging_1494/tillsyn/A 32280-2022 tillsynsbegäran.docx", "A 32280-2022")</f>
        <v/>
      </c>
      <c r="Y305">
        <f>HYPERLINK("https://klasma.github.io/Logging_1494/tillsynsmail/A 32280-2022 tillsynsbegäran mail.docx", "A 32280-2022")</f>
        <v/>
      </c>
      <c r="Z305">
        <f>HYPERLINK("https://klasma.github.io/Logging_1494/fåglar/A 32280-2022 prioriterade fågelarter.docx", "A 32280-2022")</f>
        <v/>
      </c>
    </row>
    <row r="306" ht="15" customHeight="1">
      <c r="A306" t="inlineStr">
        <is>
          <t>A 61281-2023</t>
        </is>
      </c>
      <c r="B306" s="1" t="n">
        <v>45264.53585648148</v>
      </c>
      <c r="C306" s="1" t="n">
        <v>45952</v>
      </c>
      <c r="D306" t="inlineStr">
        <is>
          <t>VÄSTRA GÖTALANDS LÄN</t>
        </is>
      </c>
      <c r="E306" t="inlineStr">
        <is>
          <t>TÖREBODA</t>
        </is>
      </c>
      <c r="F306" t="inlineStr">
        <is>
          <t>Kyrkan</t>
        </is>
      </c>
      <c r="G306" t="n">
        <v>20.8</v>
      </c>
      <c r="H306" t="n">
        <v>2</v>
      </c>
      <c r="I306" t="n">
        <v>0</v>
      </c>
      <c r="J306" t="n">
        <v>1</v>
      </c>
      <c r="K306" t="n">
        <v>0</v>
      </c>
      <c r="L306" t="n">
        <v>0</v>
      </c>
      <c r="M306" t="n">
        <v>0</v>
      </c>
      <c r="N306" t="n">
        <v>0</v>
      </c>
      <c r="O306" t="n">
        <v>1</v>
      </c>
      <c r="P306" t="n">
        <v>0</v>
      </c>
      <c r="Q306" t="n">
        <v>2</v>
      </c>
      <c r="R306" s="2" t="inlineStr">
        <is>
          <t>Talltita
Vanlig snok</t>
        </is>
      </c>
      <c r="S306">
        <f>HYPERLINK("https://klasma.github.io/Logging_1473/artfynd/A 61281-2023 artfynd.xlsx", "A 61281-2023")</f>
        <v/>
      </c>
      <c r="T306">
        <f>HYPERLINK("https://klasma.github.io/Logging_1473/kartor/A 61281-2023 karta.png", "A 61281-2023")</f>
        <v/>
      </c>
      <c r="V306">
        <f>HYPERLINK("https://klasma.github.io/Logging_1473/klagomål/A 61281-2023 FSC-klagomål.docx", "A 61281-2023")</f>
        <v/>
      </c>
      <c r="W306">
        <f>HYPERLINK("https://klasma.github.io/Logging_1473/klagomålsmail/A 61281-2023 FSC-klagomål mail.docx", "A 61281-2023")</f>
        <v/>
      </c>
      <c r="X306">
        <f>HYPERLINK("https://klasma.github.io/Logging_1473/tillsyn/A 61281-2023 tillsynsbegäran.docx", "A 61281-2023")</f>
        <v/>
      </c>
      <c r="Y306">
        <f>HYPERLINK("https://klasma.github.io/Logging_1473/tillsynsmail/A 61281-2023 tillsynsbegäran mail.docx", "A 61281-2023")</f>
        <v/>
      </c>
      <c r="Z306">
        <f>HYPERLINK("https://klasma.github.io/Logging_1473/fåglar/A 61281-2023 prioriterade fågelarter.docx", "A 61281-2023")</f>
        <v/>
      </c>
    </row>
    <row r="307" ht="15" customHeight="1">
      <c r="A307" t="inlineStr">
        <is>
          <t>A 44466-2023</t>
        </is>
      </c>
      <c r="B307" s="1" t="n">
        <v>45183</v>
      </c>
      <c r="C307" s="1" t="n">
        <v>45952</v>
      </c>
      <c r="D307" t="inlineStr">
        <is>
          <t>VÄSTRA GÖTALANDS LÄN</t>
        </is>
      </c>
      <c r="E307" t="inlineStr">
        <is>
          <t>TIDAHOLM</t>
        </is>
      </c>
      <c r="F307" t="inlineStr">
        <is>
          <t>Allmännings- och besparingsskogar</t>
        </is>
      </c>
      <c r="G307" t="n">
        <v>7.4</v>
      </c>
      <c r="H307" t="n">
        <v>1</v>
      </c>
      <c r="I307" t="n">
        <v>1</v>
      </c>
      <c r="J307" t="n">
        <v>0</v>
      </c>
      <c r="K307" t="n">
        <v>0</v>
      </c>
      <c r="L307" t="n">
        <v>1</v>
      </c>
      <c r="M307" t="n">
        <v>0</v>
      </c>
      <c r="N307" t="n">
        <v>0</v>
      </c>
      <c r="O307" t="n">
        <v>1</v>
      </c>
      <c r="P307" t="n">
        <v>1</v>
      </c>
      <c r="Q307" t="n">
        <v>2</v>
      </c>
      <c r="R307" s="2" t="inlineStr">
        <is>
          <t>Mosippa
Dropptaggsvamp</t>
        </is>
      </c>
      <c r="S307">
        <f>HYPERLINK("https://klasma.github.io/Logging_1498/artfynd/A 44466-2023 artfynd.xlsx", "A 44466-2023")</f>
        <v/>
      </c>
      <c r="T307">
        <f>HYPERLINK("https://klasma.github.io/Logging_1498/kartor/A 44466-2023 karta.png", "A 44466-2023")</f>
        <v/>
      </c>
      <c r="V307">
        <f>HYPERLINK("https://klasma.github.io/Logging_1498/klagomål/A 44466-2023 FSC-klagomål.docx", "A 44466-2023")</f>
        <v/>
      </c>
      <c r="W307">
        <f>HYPERLINK("https://klasma.github.io/Logging_1498/klagomålsmail/A 44466-2023 FSC-klagomål mail.docx", "A 44466-2023")</f>
        <v/>
      </c>
      <c r="X307">
        <f>HYPERLINK("https://klasma.github.io/Logging_1498/tillsyn/A 44466-2023 tillsynsbegäran.docx", "A 44466-2023")</f>
        <v/>
      </c>
      <c r="Y307">
        <f>HYPERLINK("https://klasma.github.io/Logging_1498/tillsynsmail/A 44466-2023 tillsynsbegäran mail.docx", "A 44466-2023")</f>
        <v/>
      </c>
    </row>
    <row r="308" ht="15" customHeight="1">
      <c r="A308" t="inlineStr">
        <is>
          <t>A 57757-2024</t>
        </is>
      </c>
      <c r="B308" s="1" t="n">
        <v>45630.84596064815</v>
      </c>
      <c r="C308" s="1" t="n">
        <v>45952</v>
      </c>
      <c r="D308" t="inlineStr">
        <is>
          <t>VÄSTRA GÖTALANDS LÄN</t>
        </is>
      </c>
      <c r="E308" t="inlineStr">
        <is>
          <t>ALINGSÅS</t>
        </is>
      </c>
      <c r="F308" t="inlineStr">
        <is>
          <t>Kommuner</t>
        </is>
      </c>
      <c r="G308" t="n">
        <v>3</v>
      </c>
      <c r="H308" t="n">
        <v>2</v>
      </c>
      <c r="I308" t="n">
        <v>0</v>
      </c>
      <c r="J308" t="n">
        <v>1</v>
      </c>
      <c r="K308" t="n">
        <v>0</v>
      </c>
      <c r="L308" t="n">
        <v>0</v>
      </c>
      <c r="M308" t="n">
        <v>0</v>
      </c>
      <c r="N308" t="n">
        <v>0</v>
      </c>
      <c r="O308" t="n">
        <v>1</v>
      </c>
      <c r="P308" t="n">
        <v>0</v>
      </c>
      <c r="Q308" t="n">
        <v>2</v>
      </c>
      <c r="R308" s="2" t="inlineStr">
        <is>
          <t>Svartvit flugsnappare
Kungsfågel</t>
        </is>
      </c>
      <c r="S308">
        <f>HYPERLINK("https://klasma.github.io/Logging_1489/artfynd/A 57757-2024 artfynd.xlsx", "A 57757-2024")</f>
        <v/>
      </c>
      <c r="T308">
        <f>HYPERLINK("https://klasma.github.io/Logging_1489/kartor/A 57757-2024 karta.png", "A 57757-2024")</f>
        <v/>
      </c>
      <c r="V308">
        <f>HYPERLINK("https://klasma.github.io/Logging_1489/klagomål/A 57757-2024 FSC-klagomål.docx", "A 57757-2024")</f>
        <v/>
      </c>
      <c r="W308">
        <f>HYPERLINK("https://klasma.github.io/Logging_1489/klagomålsmail/A 57757-2024 FSC-klagomål mail.docx", "A 57757-2024")</f>
        <v/>
      </c>
      <c r="X308">
        <f>HYPERLINK("https://klasma.github.io/Logging_1489/tillsyn/A 57757-2024 tillsynsbegäran.docx", "A 57757-2024")</f>
        <v/>
      </c>
      <c r="Y308">
        <f>HYPERLINK("https://klasma.github.io/Logging_1489/tillsynsmail/A 57757-2024 tillsynsbegäran mail.docx", "A 57757-2024")</f>
        <v/>
      </c>
      <c r="Z308">
        <f>HYPERLINK("https://klasma.github.io/Logging_1489/fåglar/A 57757-2024 prioriterade fågelarter.docx", "A 57757-2024")</f>
        <v/>
      </c>
    </row>
    <row r="309" ht="15" customHeight="1">
      <c r="A309" t="inlineStr">
        <is>
          <t>A 8955-2025</t>
        </is>
      </c>
      <c r="B309" s="1" t="n">
        <v>45713.46528935185</v>
      </c>
      <c r="C309" s="1" t="n">
        <v>45952</v>
      </c>
      <c r="D309" t="inlineStr">
        <is>
          <t>VÄSTRA GÖTALANDS LÄN</t>
        </is>
      </c>
      <c r="E309" t="inlineStr">
        <is>
          <t>ALE</t>
        </is>
      </c>
      <c r="G309" t="n">
        <v>1</v>
      </c>
      <c r="H309" t="n">
        <v>2</v>
      </c>
      <c r="I309" t="n">
        <v>0</v>
      </c>
      <c r="J309" t="n">
        <v>1</v>
      </c>
      <c r="K309" t="n">
        <v>0</v>
      </c>
      <c r="L309" t="n">
        <v>0</v>
      </c>
      <c r="M309" t="n">
        <v>0</v>
      </c>
      <c r="N309" t="n">
        <v>0</v>
      </c>
      <c r="O309" t="n">
        <v>1</v>
      </c>
      <c r="P309" t="n">
        <v>0</v>
      </c>
      <c r="Q309" t="n">
        <v>2</v>
      </c>
      <c r="R309" s="2" t="inlineStr">
        <is>
          <t>Spillkråka
Revlummer</t>
        </is>
      </c>
      <c r="S309">
        <f>HYPERLINK("https://klasma.github.io/Logging_1440/artfynd/A 8955-2025 artfynd.xlsx", "A 8955-2025")</f>
        <v/>
      </c>
      <c r="T309">
        <f>HYPERLINK("https://klasma.github.io/Logging_1440/kartor/A 8955-2025 karta.png", "A 8955-2025")</f>
        <v/>
      </c>
      <c r="V309">
        <f>HYPERLINK("https://klasma.github.io/Logging_1440/klagomål/A 8955-2025 FSC-klagomål.docx", "A 8955-2025")</f>
        <v/>
      </c>
      <c r="W309">
        <f>HYPERLINK("https://klasma.github.io/Logging_1440/klagomålsmail/A 8955-2025 FSC-klagomål mail.docx", "A 8955-2025")</f>
        <v/>
      </c>
      <c r="X309">
        <f>HYPERLINK("https://klasma.github.io/Logging_1440/tillsyn/A 8955-2025 tillsynsbegäran.docx", "A 8955-2025")</f>
        <v/>
      </c>
      <c r="Y309">
        <f>HYPERLINK("https://klasma.github.io/Logging_1440/tillsynsmail/A 8955-2025 tillsynsbegäran mail.docx", "A 8955-2025")</f>
        <v/>
      </c>
      <c r="Z309">
        <f>HYPERLINK("https://klasma.github.io/Logging_1440/fåglar/A 8955-2025 prioriterade fågelarter.docx", "A 8955-2025")</f>
        <v/>
      </c>
    </row>
    <row r="310" ht="15" customHeight="1">
      <c r="A310" t="inlineStr">
        <is>
          <t>A 55708-2023</t>
        </is>
      </c>
      <c r="B310" s="1" t="n">
        <v>45239</v>
      </c>
      <c r="C310" s="1" t="n">
        <v>45952</v>
      </c>
      <c r="D310" t="inlineStr">
        <is>
          <t>VÄSTRA GÖTALANDS LÄN</t>
        </is>
      </c>
      <c r="E310" t="inlineStr">
        <is>
          <t>HÄRRYDA</t>
        </is>
      </c>
      <c r="G310" t="n">
        <v>5.4</v>
      </c>
      <c r="H310" t="n">
        <v>1</v>
      </c>
      <c r="I310" t="n">
        <v>0</v>
      </c>
      <c r="J310" t="n">
        <v>2</v>
      </c>
      <c r="K310" t="n">
        <v>0</v>
      </c>
      <c r="L310" t="n">
        <v>0</v>
      </c>
      <c r="M310" t="n">
        <v>0</v>
      </c>
      <c r="N310" t="n">
        <v>0</v>
      </c>
      <c r="O310" t="n">
        <v>2</v>
      </c>
      <c r="P310" t="n">
        <v>0</v>
      </c>
      <c r="Q310" t="n">
        <v>2</v>
      </c>
      <c r="R310" s="2" t="inlineStr">
        <is>
          <t>Grönhjon
Talltita</t>
        </is>
      </c>
      <c r="S310">
        <f>HYPERLINK("https://klasma.github.io/Logging_1401/artfynd/A 55708-2023 artfynd.xlsx", "A 55708-2023")</f>
        <v/>
      </c>
      <c r="T310">
        <f>HYPERLINK("https://klasma.github.io/Logging_1401/kartor/A 55708-2023 karta.png", "A 55708-2023")</f>
        <v/>
      </c>
      <c r="V310">
        <f>HYPERLINK("https://klasma.github.io/Logging_1401/klagomål/A 55708-2023 FSC-klagomål.docx", "A 55708-2023")</f>
        <v/>
      </c>
      <c r="W310">
        <f>HYPERLINK("https://klasma.github.io/Logging_1401/klagomålsmail/A 55708-2023 FSC-klagomål mail.docx", "A 55708-2023")</f>
        <v/>
      </c>
      <c r="X310">
        <f>HYPERLINK("https://klasma.github.io/Logging_1401/tillsyn/A 55708-2023 tillsynsbegäran.docx", "A 55708-2023")</f>
        <v/>
      </c>
      <c r="Y310">
        <f>HYPERLINK("https://klasma.github.io/Logging_1401/tillsynsmail/A 55708-2023 tillsynsbegäran mail.docx", "A 55708-2023")</f>
        <v/>
      </c>
      <c r="Z310">
        <f>HYPERLINK("https://klasma.github.io/Logging_1401/fåglar/A 55708-2023 prioriterade fågelarter.docx", "A 55708-2023")</f>
        <v/>
      </c>
    </row>
    <row r="311" ht="15" customHeight="1">
      <c r="A311" t="inlineStr">
        <is>
          <t>A 64717-2023</t>
        </is>
      </c>
      <c r="B311" s="1" t="n">
        <v>45281.73535879629</v>
      </c>
      <c r="C311" s="1" t="n">
        <v>45952</v>
      </c>
      <c r="D311" t="inlineStr">
        <is>
          <t>VÄSTRA GÖTALANDS LÄN</t>
        </is>
      </c>
      <c r="E311" t="inlineStr">
        <is>
          <t>DALS-ED</t>
        </is>
      </c>
      <c r="G311" t="n">
        <v>2.9</v>
      </c>
      <c r="H311" t="n">
        <v>1</v>
      </c>
      <c r="I311" t="n">
        <v>1</v>
      </c>
      <c r="J311" t="n">
        <v>1</v>
      </c>
      <c r="K311" t="n">
        <v>0</v>
      </c>
      <c r="L311" t="n">
        <v>0</v>
      </c>
      <c r="M311" t="n">
        <v>0</v>
      </c>
      <c r="N311" t="n">
        <v>0</v>
      </c>
      <c r="O311" t="n">
        <v>1</v>
      </c>
      <c r="P311" t="n">
        <v>0</v>
      </c>
      <c r="Q311" t="n">
        <v>2</v>
      </c>
      <c r="R311" s="2" t="inlineStr">
        <is>
          <t>Spillkråka
Rävticka</t>
        </is>
      </c>
      <c r="S311">
        <f>HYPERLINK("https://klasma.github.io/Logging_1438/artfynd/A 64717-2023 artfynd.xlsx", "A 64717-2023")</f>
        <v/>
      </c>
      <c r="T311">
        <f>HYPERLINK("https://klasma.github.io/Logging_1438/kartor/A 64717-2023 karta.png", "A 64717-2023")</f>
        <v/>
      </c>
      <c r="V311">
        <f>HYPERLINK("https://klasma.github.io/Logging_1438/klagomål/A 64717-2023 FSC-klagomål.docx", "A 64717-2023")</f>
        <v/>
      </c>
      <c r="W311">
        <f>HYPERLINK("https://klasma.github.io/Logging_1438/klagomålsmail/A 64717-2023 FSC-klagomål mail.docx", "A 64717-2023")</f>
        <v/>
      </c>
      <c r="X311">
        <f>HYPERLINK("https://klasma.github.io/Logging_1438/tillsyn/A 64717-2023 tillsynsbegäran.docx", "A 64717-2023")</f>
        <v/>
      </c>
      <c r="Y311">
        <f>HYPERLINK("https://klasma.github.io/Logging_1438/tillsynsmail/A 64717-2023 tillsynsbegäran mail.docx", "A 64717-2023")</f>
        <v/>
      </c>
      <c r="Z311">
        <f>HYPERLINK("https://klasma.github.io/Logging_1438/fåglar/A 64717-2023 prioriterade fågelarter.docx", "A 64717-2023")</f>
        <v/>
      </c>
    </row>
    <row r="312" ht="15" customHeight="1">
      <c r="A312" t="inlineStr">
        <is>
          <t>A 13912-2025</t>
        </is>
      </c>
      <c r="B312" s="1" t="n">
        <v>45737.64910879629</v>
      </c>
      <c r="C312" s="1" t="n">
        <v>45952</v>
      </c>
      <c r="D312" t="inlineStr">
        <is>
          <t>VÄSTRA GÖTALANDS LÄN</t>
        </is>
      </c>
      <c r="E312" t="inlineStr">
        <is>
          <t>STENUNGSUND</t>
        </is>
      </c>
      <c r="G312" t="n">
        <v>6.4</v>
      </c>
      <c r="H312" t="n">
        <v>2</v>
      </c>
      <c r="I312" t="n">
        <v>0</v>
      </c>
      <c r="J312" t="n">
        <v>1</v>
      </c>
      <c r="K312" t="n">
        <v>0</v>
      </c>
      <c r="L312" t="n">
        <v>0</v>
      </c>
      <c r="M312" t="n">
        <v>0</v>
      </c>
      <c r="N312" t="n">
        <v>0</v>
      </c>
      <c r="O312" t="n">
        <v>1</v>
      </c>
      <c r="P312" t="n">
        <v>0</v>
      </c>
      <c r="Q312" t="n">
        <v>2</v>
      </c>
      <c r="R312" s="2" t="inlineStr">
        <is>
          <t>Spillkråka
Tjäder</t>
        </is>
      </c>
      <c r="S312">
        <f>HYPERLINK("https://klasma.github.io/Logging_1415/artfynd/A 13912-2025 artfynd.xlsx", "A 13912-2025")</f>
        <v/>
      </c>
      <c r="T312">
        <f>HYPERLINK("https://klasma.github.io/Logging_1415/kartor/A 13912-2025 karta.png", "A 13912-2025")</f>
        <v/>
      </c>
      <c r="V312">
        <f>HYPERLINK("https://klasma.github.io/Logging_1415/klagomål/A 13912-2025 FSC-klagomål.docx", "A 13912-2025")</f>
        <v/>
      </c>
      <c r="W312">
        <f>HYPERLINK("https://klasma.github.io/Logging_1415/klagomålsmail/A 13912-2025 FSC-klagomål mail.docx", "A 13912-2025")</f>
        <v/>
      </c>
      <c r="X312">
        <f>HYPERLINK("https://klasma.github.io/Logging_1415/tillsyn/A 13912-2025 tillsynsbegäran.docx", "A 13912-2025")</f>
        <v/>
      </c>
      <c r="Y312">
        <f>HYPERLINK("https://klasma.github.io/Logging_1415/tillsynsmail/A 13912-2025 tillsynsbegäran mail.docx", "A 13912-2025")</f>
        <v/>
      </c>
      <c r="Z312">
        <f>HYPERLINK("https://klasma.github.io/Logging_1415/fåglar/A 13912-2025 prioriterade fågelarter.docx", "A 13912-2025")</f>
        <v/>
      </c>
    </row>
    <row r="313" ht="15" customHeight="1">
      <c r="A313" t="inlineStr">
        <is>
          <t>A 7261-2025</t>
        </is>
      </c>
      <c r="B313" s="1" t="n">
        <v>45702.58821759259</v>
      </c>
      <c r="C313" s="1" t="n">
        <v>45952</v>
      </c>
      <c r="D313" t="inlineStr">
        <is>
          <t>VÄSTRA GÖTALANDS LÄN</t>
        </is>
      </c>
      <c r="E313" t="inlineStr">
        <is>
          <t>LIDKÖPING</t>
        </is>
      </c>
      <c r="G313" t="n">
        <v>2.3</v>
      </c>
      <c r="H313" t="n">
        <v>1</v>
      </c>
      <c r="I313" t="n">
        <v>1</v>
      </c>
      <c r="J313" t="n">
        <v>0</v>
      </c>
      <c r="K313" t="n">
        <v>1</v>
      </c>
      <c r="L313" t="n">
        <v>0</v>
      </c>
      <c r="M313" t="n">
        <v>0</v>
      </c>
      <c r="N313" t="n">
        <v>0</v>
      </c>
      <c r="O313" t="n">
        <v>1</v>
      </c>
      <c r="P313" t="n">
        <v>1</v>
      </c>
      <c r="Q313" t="n">
        <v>2</v>
      </c>
      <c r="R313" s="2" t="inlineStr">
        <is>
          <t>Knärot
Västlig hakmossa</t>
        </is>
      </c>
      <c r="S313">
        <f>HYPERLINK("https://klasma.github.io/Logging_1494/artfynd/A 7261-2025 artfynd.xlsx", "A 7261-2025")</f>
        <v/>
      </c>
      <c r="T313">
        <f>HYPERLINK("https://klasma.github.io/Logging_1494/kartor/A 7261-2025 karta.png", "A 7261-2025")</f>
        <v/>
      </c>
      <c r="U313">
        <f>HYPERLINK("https://klasma.github.io/Logging_1494/knärot/A 7261-2025 karta knärot.png", "A 7261-2025")</f>
        <v/>
      </c>
      <c r="V313">
        <f>HYPERLINK("https://klasma.github.io/Logging_1494/klagomål/A 7261-2025 FSC-klagomål.docx", "A 7261-2025")</f>
        <v/>
      </c>
      <c r="W313">
        <f>HYPERLINK("https://klasma.github.io/Logging_1494/klagomålsmail/A 7261-2025 FSC-klagomål mail.docx", "A 7261-2025")</f>
        <v/>
      </c>
      <c r="X313">
        <f>HYPERLINK("https://klasma.github.io/Logging_1494/tillsyn/A 7261-2025 tillsynsbegäran.docx", "A 7261-2025")</f>
        <v/>
      </c>
      <c r="Y313">
        <f>HYPERLINK("https://klasma.github.io/Logging_1494/tillsynsmail/A 7261-2025 tillsynsbegäran mail.docx", "A 7261-2025")</f>
        <v/>
      </c>
    </row>
    <row r="314" ht="15" customHeight="1">
      <c r="A314" t="inlineStr">
        <is>
          <t>A 63569-2023</t>
        </is>
      </c>
      <c r="B314" s="1" t="n">
        <v>45275</v>
      </c>
      <c r="C314" s="1" t="n">
        <v>45952</v>
      </c>
      <c r="D314" t="inlineStr">
        <is>
          <t>VÄSTRA GÖTALANDS LÄN</t>
        </is>
      </c>
      <c r="E314" t="inlineStr">
        <is>
          <t>ALE</t>
        </is>
      </c>
      <c r="G314" t="n">
        <v>2.4</v>
      </c>
      <c r="H314" t="n">
        <v>2</v>
      </c>
      <c r="I314" t="n">
        <v>0</v>
      </c>
      <c r="J314" t="n">
        <v>2</v>
      </c>
      <c r="K314" t="n">
        <v>0</v>
      </c>
      <c r="L314" t="n">
        <v>0</v>
      </c>
      <c r="M314" t="n">
        <v>0</v>
      </c>
      <c r="N314" t="n">
        <v>0</v>
      </c>
      <c r="O314" t="n">
        <v>2</v>
      </c>
      <c r="P314" t="n">
        <v>0</v>
      </c>
      <c r="Q314" t="n">
        <v>2</v>
      </c>
      <c r="R314" s="2" t="inlineStr">
        <is>
          <t>Spillkråka
Talltita</t>
        </is>
      </c>
      <c r="S314">
        <f>HYPERLINK("https://klasma.github.io/Logging_1440/artfynd/A 63569-2023 artfynd.xlsx", "A 63569-2023")</f>
        <v/>
      </c>
      <c r="T314">
        <f>HYPERLINK("https://klasma.github.io/Logging_1440/kartor/A 63569-2023 karta.png", "A 63569-2023")</f>
        <v/>
      </c>
      <c r="V314">
        <f>HYPERLINK("https://klasma.github.io/Logging_1440/klagomål/A 63569-2023 FSC-klagomål.docx", "A 63569-2023")</f>
        <v/>
      </c>
      <c r="W314">
        <f>HYPERLINK("https://klasma.github.io/Logging_1440/klagomålsmail/A 63569-2023 FSC-klagomål mail.docx", "A 63569-2023")</f>
        <v/>
      </c>
      <c r="X314">
        <f>HYPERLINK("https://klasma.github.io/Logging_1440/tillsyn/A 63569-2023 tillsynsbegäran.docx", "A 63569-2023")</f>
        <v/>
      </c>
      <c r="Y314">
        <f>HYPERLINK("https://klasma.github.io/Logging_1440/tillsynsmail/A 63569-2023 tillsynsbegäran mail.docx", "A 63569-2023")</f>
        <v/>
      </c>
      <c r="Z314">
        <f>HYPERLINK("https://klasma.github.io/Logging_1440/fåglar/A 63569-2023 prioriterade fågelarter.docx", "A 63569-2023")</f>
        <v/>
      </c>
    </row>
    <row r="315" ht="15" customHeight="1">
      <c r="A315" t="inlineStr">
        <is>
          <t>A 3543-2024</t>
        </is>
      </c>
      <c r="B315" s="1" t="n">
        <v>45320</v>
      </c>
      <c r="C315" s="1" t="n">
        <v>45952</v>
      </c>
      <c r="D315" t="inlineStr">
        <is>
          <t>VÄSTRA GÖTALANDS LÄN</t>
        </is>
      </c>
      <c r="E315" t="inlineStr">
        <is>
          <t>LERUM</t>
        </is>
      </c>
      <c r="G315" t="n">
        <v>3.9</v>
      </c>
      <c r="H315" t="n">
        <v>1</v>
      </c>
      <c r="I315" t="n">
        <v>1</v>
      </c>
      <c r="J315" t="n">
        <v>1</v>
      </c>
      <c r="K315" t="n">
        <v>0</v>
      </c>
      <c r="L315" t="n">
        <v>0</v>
      </c>
      <c r="M315" t="n">
        <v>0</v>
      </c>
      <c r="N315" t="n">
        <v>0</v>
      </c>
      <c r="O315" t="n">
        <v>1</v>
      </c>
      <c r="P315" t="n">
        <v>0</v>
      </c>
      <c r="Q315" t="n">
        <v>2</v>
      </c>
      <c r="R315" s="2" t="inlineStr">
        <is>
          <t>Spillkråka
Dolkstekelsglasvinge</t>
        </is>
      </c>
      <c r="S315">
        <f>HYPERLINK("https://klasma.github.io/Logging_1441/artfynd/A 3543-2024 artfynd.xlsx", "A 3543-2024")</f>
        <v/>
      </c>
      <c r="T315">
        <f>HYPERLINK("https://klasma.github.io/Logging_1441/kartor/A 3543-2024 karta.png", "A 3543-2024")</f>
        <v/>
      </c>
      <c r="V315">
        <f>HYPERLINK("https://klasma.github.io/Logging_1441/klagomål/A 3543-2024 FSC-klagomål.docx", "A 3543-2024")</f>
        <v/>
      </c>
      <c r="W315">
        <f>HYPERLINK("https://klasma.github.io/Logging_1441/klagomålsmail/A 3543-2024 FSC-klagomål mail.docx", "A 3543-2024")</f>
        <v/>
      </c>
      <c r="X315">
        <f>HYPERLINK("https://klasma.github.io/Logging_1441/tillsyn/A 3543-2024 tillsynsbegäran.docx", "A 3543-2024")</f>
        <v/>
      </c>
      <c r="Y315">
        <f>HYPERLINK("https://klasma.github.io/Logging_1441/tillsynsmail/A 3543-2024 tillsynsbegäran mail.docx", "A 3543-2024")</f>
        <v/>
      </c>
      <c r="Z315">
        <f>HYPERLINK("https://klasma.github.io/Logging_1441/fåglar/A 3543-2024 prioriterade fågelarter.docx", "A 3543-2024")</f>
        <v/>
      </c>
    </row>
    <row r="316" ht="15" customHeight="1">
      <c r="A316" t="inlineStr">
        <is>
          <t>A 14728-2024</t>
        </is>
      </c>
      <c r="B316" s="1" t="n">
        <v>45397.58005787037</v>
      </c>
      <c r="C316" s="1" t="n">
        <v>45952</v>
      </c>
      <c r="D316" t="inlineStr">
        <is>
          <t>VÄSTRA GÖTALANDS LÄN</t>
        </is>
      </c>
      <c r="E316" t="inlineStr">
        <is>
          <t>TRANEMO</t>
        </is>
      </c>
      <c r="G316" t="n">
        <v>4</v>
      </c>
      <c r="H316" t="n">
        <v>1</v>
      </c>
      <c r="I316" t="n">
        <v>1</v>
      </c>
      <c r="J316" t="n">
        <v>1</v>
      </c>
      <c r="K316" t="n">
        <v>0</v>
      </c>
      <c r="L316" t="n">
        <v>0</v>
      </c>
      <c r="M316" t="n">
        <v>0</v>
      </c>
      <c r="N316" t="n">
        <v>0</v>
      </c>
      <c r="O316" t="n">
        <v>1</v>
      </c>
      <c r="P316" t="n">
        <v>0</v>
      </c>
      <c r="Q316" t="n">
        <v>2</v>
      </c>
      <c r="R316" s="2" t="inlineStr">
        <is>
          <t>Talltita
Kornknutmossa</t>
        </is>
      </c>
      <c r="S316">
        <f>HYPERLINK("https://klasma.github.io/Logging_1452/artfynd/A 14728-2024 artfynd.xlsx", "A 14728-2024")</f>
        <v/>
      </c>
      <c r="T316">
        <f>HYPERLINK("https://klasma.github.io/Logging_1452/kartor/A 14728-2024 karta.png", "A 14728-2024")</f>
        <v/>
      </c>
      <c r="V316">
        <f>HYPERLINK("https://klasma.github.io/Logging_1452/klagomål/A 14728-2024 FSC-klagomål.docx", "A 14728-2024")</f>
        <v/>
      </c>
      <c r="W316">
        <f>HYPERLINK("https://klasma.github.io/Logging_1452/klagomålsmail/A 14728-2024 FSC-klagomål mail.docx", "A 14728-2024")</f>
        <v/>
      </c>
      <c r="X316">
        <f>HYPERLINK("https://klasma.github.io/Logging_1452/tillsyn/A 14728-2024 tillsynsbegäran.docx", "A 14728-2024")</f>
        <v/>
      </c>
      <c r="Y316">
        <f>HYPERLINK("https://klasma.github.io/Logging_1452/tillsynsmail/A 14728-2024 tillsynsbegäran mail.docx", "A 14728-2024")</f>
        <v/>
      </c>
      <c r="Z316">
        <f>HYPERLINK("https://klasma.github.io/Logging_1452/fåglar/A 14728-2024 prioriterade fågelarter.docx", "A 14728-2024")</f>
        <v/>
      </c>
    </row>
    <row r="317" ht="15" customHeight="1">
      <c r="A317" t="inlineStr">
        <is>
          <t>A 5637-2024</t>
        </is>
      </c>
      <c r="B317" s="1" t="n">
        <v>45334.6115162037</v>
      </c>
      <c r="C317" s="1" t="n">
        <v>45952</v>
      </c>
      <c r="D317" t="inlineStr">
        <is>
          <t>VÄSTRA GÖTALANDS LÄN</t>
        </is>
      </c>
      <c r="E317" t="inlineStr">
        <is>
          <t>KUNGÄLV</t>
        </is>
      </c>
      <c r="G317" t="n">
        <v>1.8</v>
      </c>
      <c r="H317" t="n">
        <v>0</v>
      </c>
      <c r="I317" t="n">
        <v>0</v>
      </c>
      <c r="J317" t="n">
        <v>2</v>
      </c>
      <c r="K317" t="n">
        <v>0</v>
      </c>
      <c r="L317" t="n">
        <v>0</v>
      </c>
      <c r="M317" t="n">
        <v>0</v>
      </c>
      <c r="N317" t="n">
        <v>0</v>
      </c>
      <c r="O317" t="n">
        <v>2</v>
      </c>
      <c r="P317" t="n">
        <v>0</v>
      </c>
      <c r="Q317" t="n">
        <v>2</v>
      </c>
      <c r="R317" s="2" t="inlineStr">
        <is>
          <t>Klofibbla
Åkerrödtoppa</t>
        </is>
      </c>
      <c r="S317">
        <f>HYPERLINK("https://klasma.github.io/Logging_1482/artfynd/A 5637-2024 artfynd.xlsx", "A 5637-2024")</f>
        <v/>
      </c>
      <c r="T317">
        <f>HYPERLINK("https://klasma.github.io/Logging_1482/kartor/A 5637-2024 karta.png", "A 5637-2024")</f>
        <v/>
      </c>
      <c r="V317">
        <f>HYPERLINK("https://klasma.github.io/Logging_1482/klagomål/A 5637-2024 FSC-klagomål.docx", "A 5637-2024")</f>
        <v/>
      </c>
      <c r="W317">
        <f>HYPERLINK("https://klasma.github.io/Logging_1482/klagomålsmail/A 5637-2024 FSC-klagomål mail.docx", "A 5637-2024")</f>
        <v/>
      </c>
      <c r="X317">
        <f>HYPERLINK("https://klasma.github.io/Logging_1482/tillsyn/A 5637-2024 tillsynsbegäran.docx", "A 5637-2024")</f>
        <v/>
      </c>
      <c r="Y317">
        <f>HYPERLINK("https://klasma.github.io/Logging_1482/tillsynsmail/A 5637-2024 tillsynsbegäran mail.docx", "A 5637-2024")</f>
        <v/>
      </c>
    </row>
    <row r="318" ht="15" customHeight="1">
      <c r="A318" t="inlineStr">
        <is>
          <t>A 16863-2025</t>
        </is>
      </c>
      <c r="B318" s="1" t="n">
        <v>45754.82484953704</v>
      </c>
      <c r="C318" s="1" t="n">
        <v>45952</v>
      </c>
      <c r="D318" t="inlineStr">
        <is>
          <t>VÄSTRA GÖTALANDS LÄN</t>
        </is>
      </c>
      <c r="E318" t="inlineStr">
        <is>
          <t>UDDEVALLA</t>
        </is>
      </c>
      <c r="G318" t="n">
        <v>15.3</v>
      </c>
      <c r="H318" t="n">
        <v>1</v>
      </c>
      <c r="I318" t="n">
        <v>1</v>
      </c>
      <c r="J318" t="n">
        <v>0</v>
      </c>
      <c r="K318" t="n">
        <v>0</v>
      </c>
      <c r="L318" t="n">
        <v>0</v>
      </c>
      <c r="M318" t="n">
        <v>0</v>
      </c>
      <c r="N318" t="n">
        <v>0</v>
      </c>
      <c r="O318" t="n">
        <v>0</v>
      </c>
      <c r="P318" t="n">
        <v>0</v>
      </c>
      <c r="Q318" t="n">
        <v>2</v>
      </c>
      <c r="R318" s="2" t="inlineStr">
        <is>
          <t>Kambräken
Kopparödla</t>
        </is>
      </c>
      <c r="S318">
        <f>HYPERLINK("https://klasma.github.io/Logging_1485/artfynd/A 16863-2025 artfynd.xlsx", "A 16863-2025")</f>
        <v/>
      </c>
      <c r="T318">
        <f>HYPERLINK("https://klasma.github.io/Logging_1485/kartor/A 16863-2025 karta.png", "A 16863-2025")</f>
        <v/>
      </c>
      <c r="V318">
        <f>HYPERLINK("https://klasma.github.io/Logging_1485/klagomål/A 16863-2025 FSC-klagomål.docx", "A 16863-2025")</f>
        <v/>
      </c>
      <c r="W318">
        <f>HYPERLINK("https://klasma.github.io/Logging_1485/klagomålsmail/A 16863-2025 FSC-klagomål mail.docx", "A 16863-2025")</f>
        <v/>
      </c>
      <c r="X318">
        <f>HYPERLINK("https://klasma.github.io/Logging_1485/tillsyn/A 16863-2025 tillsynsbegäran.docx", "A 16863-2025")</f>
        <v/>
      </c>
      <c r="Y318">
        <f>HYPERLINK("https://klasma.github.io/Logging_1485/tillsynsmail/A 16863-2025 tillsynsbegäran mail.docx", "A 16863-2025")</f>
        <v/>
      </c>
    </row>
    <row r="319" ht="15" customHeight="1">
      <c r="A319" t="inlineStr">
        <is>
          <t>A 64855-2023</t>
        </is>
      </c>
      <c r="B319" s="1" t="n">
        <v>45282</v>
      </c>
      <c r="C319" s="1" t="n">
        <v>45952</v>
      </c>
      <c r="D319" t="inlineStr">
        <is>
          <t>VÄSTRA GÖTALANDS LÄN</t>
        </is>
      </c>
      <c r="E319" t="inlineStr">
        <is>
          <t>LERUM</t>
        </is>
      </c>
      <c r="G319" t="n">
        <v>3.7</v>
      </c>
      <c r="H319" t="n">
        <v>1</v>
      </c>
      <c r="I319" t="n">
        <v>0</v>
      </c>
      <c r="J319" t="n">
        <v>2</v>
      </c>
      <c r="K319" t="n">
        <v>0</v>
      </c>
      <c r="L319" t="n">
        <v>0</v>
      </c>
      <c r="M319" t="n">
        <v>0</v>
      </c>
      <c r="N319" t="n">
        <v>0</v>
      </c>
      <c r="O319" t="n">
        <v>2</v>
      </c>
      <c r="P319" t="n">
        <v>0</v>
      </c>
      <c r="Q319" t="n">
        <v>2</v>
      </c>
      <c r="R319" s="2" t="inlineStr">
        <is>
          <t>Havsörn
Svart taggsvamp</t>
        </is>
      </c>
      <c r="S319">
        <f>HYPERLINK("https://klasma.github.io/Logging_1441/artfynd/A 64855-2023 artfynd.xlsx", "A 64855-2023")</f>
        <v/>
      </c>
      <c r="T319">
        <f>HYPERLINK("https://klasma.github.io/Logging_1441/kartor/A 64855-2023 karta.png", "A 64855-2023")</f>
        <v/>
      </c>
      <c r="V319">
        <f>HYPERLINK("https://klasma.github.io/Logging_1441/klagomål/A 64855-2023 FSC-klagomål.docx", "A 64855-2023")</f>
        <v/>
      </c>
      <c r="W319">
        <f>HYPERLINK("https://klasma.github.io/Logging_1441/klagomålsmail/A 64855-2023 FSC-klagomål mail.docx", "A 64855-2023")</f>
        <v/>
      </c>
      <c r="X319">
        <f>HYPERLINK("https://klasma.github.io/Logging_1441/tillsyn/A 64855-2023 tillsynsbegäran.docx", "A 64855-2023")</f>
        <v/>
      </c>
      <c r="Y319">
        <f>HYPERLINK("https://klasma.github.io/Logging_1441/tillsynsmail/A 64855-2023 tillsynsbegäran mail.docx", "A 64855-2023")</f>
        <v/>
      </c>
      <c r="Z319">
        <f>HYPERLINK("https://klasma.github.io/Logging_1441/fåglar/A 64855-2023 prioriterade fågelarter.docx", "A 64855-2023")</f>
        <v/>
      </c>
    </row>
    <row r="320" ht="15" customHeight="1">
      <c r="A320" t="inlineStr">
        <is>
          <t>A 8666-2024</t>
        </is>
      </c>
      <c r="B320" s="1" t="n">
        <v>45352</v>
      </c>
      <c r="C320" s="1" t="n">
        <v>45952</v>
      </c>
      <c r="D320" t="inlineStr">
        <is>
          <t>VÄSTRA GÖTALANDS LÄN</t>
        </is>
      </c>
      <c r="E320" t="inlineStr">
        <is>
          <t>UDDEVALLA</t>
        </is>
      </c>
      <c r="G320" t="n">
        <v>4.6</v>
      </c>
      <c r="H320" t="n">
        <v>1</v>
      </c>
      <c r="I320" t="n">
        <v>1</v>
      </c>
      <c r="J320" t="n">
        <v>1</v>
      </c>
      <c r="K320" t="n">
        <v>0</v>
      </c>
      <c r="L320" t="n">
        <v>0</v>
      </c>
      <c r="M320" t="n">
        <v>0</v>
      </c>
      <c r="N320" t="n">
        <v>0</v>
      </c>
      <c r="O320" t="n">
        <v>1</v>
      </c>
      <c r="P320" t="n">
        <v>0</v>
      </c>
      <c r="Q320" t="n">
        <v>2</v>
      </c>
      <c r="R320" s="2" t="inlineStr">
        <is>
          <t>Spillkråka
Västlig hakmossa</t>
        </is>
      </c>
      <c r="S320">
        <f>HYPERLINK("https://klasma.github.io/Logging_1485/artfynd/A 8666-2024 artfynd.xlsx", "A 8666-2024")</f>
        <v/>
      </c>
      <c r="T320">
        <f>HYPERLINK("https://klasma.github.io/Logging_1485/kartor/A 8666-2024 karta.png", "A 8666-2024")</f>
        <v/>
      </c>
      <c r="V320">
        <f>HYPERLINK("https://klasma.github.io/Logging_1485/klagomål/A 8666-2024 FSC-klagomål.docx", "A 8666-2024")</f>
        <v/>
      </c>
      <c r="W320">
        <f>HYPERLINK("https://klasma.github.io/Logging_1485/klagomålsmail/A 8666-2024 FSC-klagomål mail.docx", "A 8666-2024")</f>
        <v/>
      </c>
      <c r="X320">
        <f>HYPERLINK("https://klasma.github.io/Logging_1485/tillsyn/A 8666-2024 tillsynsbegäran.docx", "A 8666-2024")</f>
        <v/>
      </c>
      <c r="Y320">
        <f>HYPERLINK("https://klasma.github.io/Logging_1485/tillsynsmail/A 8666-2024 tillsynsbegäran mail.docx", "A 8666-2024")</f>
        <v/>
      </c>
      <c r="Z320">
        <f>HYPERLINK("https://klasma.github.io/Logging_1485/fåglar/A 8666-2024 prioriterade fågelarter.docx", "A 8666-2024")</f>
        <v/>
      </c>
    </row>
    <row r="321" ht="15" customHeight="1">
      <c r="A321" t="inlineStr">
        <is>
          <t>A 22060-2025</t>
        </is>
      </c>
      <c r="B321" s="1" t="n">
        <v>45785</v>
      </c>
      <c r="C321" s="1" t="n">
        <v>45952</v>
      </c>
      <c r="D321" t="inlineStr">
        <is>
          <t>VÄSTRA GÖTALANDS LÄN</t>
        </is>
      </c>
      <c r="E321" t="inlineStr">
        <is>
          <t>ULRICEHAMN</t>
        </is>
      </c>
      <c r="G321" t="n">
        <v>2.9</v>
      </c>
      <c r="H321" t="n">
        <v>2</v>
      </c>
      <c r="I321" t="n">
        <v>0</v>
      </c>
      <c r="J321" t="n">
        <v>2</v>
      </c>
      <c r="K321" t="n">
        <v>0</v>
      </c>
      <c r="L321" t="n">
        <v>0</v>
      </c>
      <c r="M321" t="n">
        <v>0</v>
      </c>
      <c r="N321" t="n">
        <v>0</v>
      </c>
      <c r="O321" t="n">
        <v>2</v>
      </c>
      <c r="P321" t="n">
        <v>0</v>
      </c>
      <c r="Q321" t="n">
        <v>2</v>
      </c>
      <c r="R321" s="2" t="inlineStr">
        <is>
          <t>Rödvingetrast
Spillkråka</t>
        </is>
      </c>
      <c r="S321">
        <f>HYPERLINK("https://klasma.github.io/Logging_1491/artfynd/A 22060-2025 artfynd.xlsx", "A 22060-2025")</f>
        <v/>
      </c>
      <c r="T321">
        <f>HYPERLINK("https://klasma.github.io/Logging_1491/kartor/A 22060-2025 karta.png", "A 22060-2025")</f>
        <v/>
      </c>
      <c r="V321">
        <f>HYPERLINK("https://klasma.github.io/Logging_1491/klagomål/A 22060-2025 FSC-klagomål.docx", "A 22060-2025")</f>
        <v/>
      </c>
      <c r="W321">
        <f>HYPERLINK("https://klasma.github.io/Logging_1491/klagomålsmail/A 22060-2025 FSC-klagomål mail.docx", "A 22060-2025")</f>
        <v/>
      </c>
      <c r="X321">
        <f>HYPERLINK("https://klasma.github.io/Logging_1491/tillsyn/A 22060-2025 tillsynsbegäran.docx", "A 22060-2025")</f>
        <v/>
      </c>
      <c r="Y321">
        <f>HYPERLINK("https://klasma.github.io/Logging_1491/tillsynsmail/A 22060-2025 tillsynsbegäran mail.docx", "A 22060-2025")</f>
        <v/>
      </c>
      <c r="Z321">
        <f>HYPERLINK("https://klasma.github.io/Logging_1491/fåglar/A 22060-2025 prioriterade fågelarter.docx", "A 22060-2025")</f>
        <v/>
      </c>
    </row>
    <row r="322" ht="15" customHeight="1">
      <c r="A322" t="inlineStr">
        <is>
          <t>A 43003-2024</t>
        </is>
      </c>
      <c r="B322" s="1" t="n">
        <v>45567.37613425926</v>
      </c>
      <c r="C322" s="1" t="n">
        <v>45952</v>
      </c>
      <c r="D322" t="inlineStr">
        <is>
          <t>VÄSTRA GÖTALANDS LÄN</t>
        </is>
      </c>
      <c r="E322" t="inlineStr">
        <is>
          <t>SKÖVDE</t>
        </is>
      </c>
      <c r="G322" t="n">
        <v>2.6</v>
      </c>
      <c r="H322" t="n">
        <v>0</v>
      </c>
      <c r="I322" t="n">
        <v>1</v>
      </c>
      <c r="J322" t="n">
        <v>1</v>
      </c>
      <c r="K322" t="n">
        <v>0</v>
      </c>
      <c r="L322" t="n">
        <v>0</v>
      </c>
      <c r="M322" t="n">
        <v>0</v>
      </c>
      <c r="N322" t="n">
        <v>0</v>
      </c>
      <c r="O322" t="n">
        <v>1</v>
      </c>
      <c r="P322" t="n">
        <v>0</v>
      </c>
      <c r="Q322" t="n">
        <v>2</v>
      </c>
      <c r="R322" s="2" t="inlineStr">
        <is>
          <t>Desmeknopp
Scharlakansskål</t>
        </is>
      </c>
      <c r="S322">
        <f>HYPERLINK("https://klasma.github.io/Logging_1496/artfynd/A 43003-2024 artfynd.xlsx", "A 43003-2024")</f>
        <v/>
      </c>
      <c r="T322">
        <f>HYPERLINK("https://klasma.github.io/Logging_1496/kartor/A 43003-2024 karta.png", "A 43003-2024")</f>
        <v/>
      </c>
      <c r="V322">
        <f>HYPERLINK("https://klasma.github.io/Logging_1496/klagomål/A 43003-2024 FSC-klagomål.docx", "A 43003-2024")</f>
        <v/>
      </c>
      <c r="W322">
        <f>HYPERLINK("https://klasma.github.io/Logging_1496/klagomålsmail/A 43003-2024 FSC-klagomål mail.docx", "A 43003-2024")</f>
        <v/>
      </c>
      <c r="X322">
        <f>HYPERLINK("https://klasma.github.io/Logging_1496/tillsyn/A 43003-2024 tillsynsbegäran.docx", "A 43003-2024")</f>
        <v/>
      </c>
      <c r="Y322">
        <f>HYPERLINK("https://klasma.github.io/Logging_1496/tillsynsmail/A 43003-2024 tillsynsbegäran mail.docx", "A 43003-2024")</f>
        <v/>
      </c>
    </row>
    <row r="323" ht="15" customHeight="1">
      <c r="A323" t="inlineStr">
        <is>
          <t>A 12076-2023</t>
        </is>
      </c>
      <c r="B323" s="1" t="n">
        <v>44997</v>
      </c>
      <c r="C323" s="1" t="n">
        <v>45952</v>
      </c>
      <c r="D323" t="inlineStr">
        <is>
          <t>VÄSTRA GÖTALANDS LÄN</t>
        </is>
      </c>
      <c r="E323" t="inlineStr">
        <is>
          <t>BENGTSFORS</t>
        </is>
      </c>
      <c r="G323" t="n">
        <v>5.5</v>
      </c>
      <c r="H323" t="n">
        <v>2</v>
      </c>
      <c r="I323" t="n">
        <v>0</v>
      </c>
      <c r="J323" t="n">
        <v>1</v>
      </c>
      <c r="K323" t="n">
        <v>0</v>
      </c>
      <c r="L323" t="n">
        <v>0</v>
      </c>
      <c r="M323" t="n">
        <v>0</v>
      </c>
      <c r="N323" t="n">
        <v>0</v>
      </c>
      <c r="O323" t="n">
        <v>1</v>
      </c>
      <c r="P323" t="n">
        <v>0</v>
      </c>
      <c r="Q323" t="n">
        <v>2</v>
      </c>
      <c r="R323" s="2" t="inlineStr">
        <is>
          <t>Rödvingetrast
Vanlig groda</t>
        </is>
      </c>
      <c r="S323">
        <f>HYPERLINK("https://klasma.github.io/Logging_1460/artfynd/A 12076-2023 artfynd.xlsx", "A 12076-2023")</f>
        <v/>
      </c>
      <c r="T323">
        <f>HYPERLINK("https://klasma.github.io/Logging_1460/kartor/A 12076-2023 karta.png", "A 12076-2023")</f>
        <v/>
      </c>
      <c r="V323">
        <f>HYPERLINK("https://klasma.github.io/Logging_1460/klagomål/A 12076-2023 FSC-klagomål.docx", "A 12076-2023")</f>
        <v/>
      </c>
      <c r="W323">
        <f>HYPERLINK("https://klasma.github.io/Logging_1460/klagomålsmail/A 12076-2023 FSC-klagomål mail.docx", "A 12076-2023")</f>
        <v/>
      </c>
      <c r="X323">
        <f>HYPERLINK("https://klasma.github.io/Logging_1460/tillsyn/A 12076-2023 tillsynsbegäran.docx", "A 12076-2023")</f>
        <v/>
      </c>
      <c r="Y323">
        <f>HYPERLINK("https://klasma.github.io/Logging_1460/tillsynsmail/A 12076-2023 tillsynsbegäran mail.docx", "A 12076-2023")</f>
        <v/>
      </c>
      <c r="Z323">
        <f>HYPERLINK("https://klasma.github.io/Logging_1460/fåglar/A 12076-2023 prioriterade fågelarter.docx", "A 12076-2023")</f>
        <v/>
      </c>
    </row>
    <row r="324" ht="15" customHeight="1">
      <c r="A324" t="inlineStr">
        <is>
          <t>A 14042-2023</t>
        </is>
      </c>
      <c r="B324" s="1" t="n">
        <v>45008</v>
      </c>
      <c r="C324" s="1" t="n">
        <v>45952</v>
      </c>
      <c r="D324" t="inlineStr">
        <is>
          <t>VÄSTRA GÖTALANDS LÄN</t>
        </is>
      </c>
      <c r="E324" t="inlineStr">
        <is>
          <t>PARTILLE</t>
        </is>
      </c>
      <c r="F324" t="inlineStr">
        <is>
          <t>Kommuner</t>
        </is>
      </c>
      <c r="G324" t="n">
        <v>4.1</v>
      </c>
      <c r="H324" t="n">
        <v>2</v>
      </c>
      <c r="I324" t="n">
        <v>0</v>
      </c>
      <c r="J324" t="n">
        <v>0</v>
      </c>
      <c r="K324" t="n">
        <v>0</v>
      </c>
      <c r="L324" t="n">
        <v>0</v>
      </c>
      <c r="M324" t="n">
        <v>0</v>
      </c>
      <c r="N324" t="n">
        <v>0</v>
      </c>
      <c r="O324" t="n">
        <v>0</v>
      </c>
      <c r="P324" t="n">
        <v>0</v>
      </c>
      <c r="Q324" t="n">
        <v>2</v>
      </c>
      <c r="R324" s="2" t="inlineStr">
        <is>
          <t>Revlummer
Äkta lopplummer</t>
        </is>
      </c>
      <c r="S324">
        <f>HYPERLINK("https://klasma.github.io/Logging_1402/artfynd/A 14042-2023 artfynd.xlsx", "A 14042-2023")</f>
        <v/>
      </c>
      <c r="T324">
        <f>HYPERLINK("https://klasma.github.io/Logging_1402/kartor/A 14042-2023 karta.png", "A 14042-2023")</f>
        <v/>
      </c>
      <c r="V324">
        <f>HYPERLINK("https://klasma.github.io/Logging_1402/klagomål/A 14042-2023 FSC-klagomål.docx", "A 14042-2023")</f>
        <v/>
      </c>
      <c r="W324">
        <f>HYPERLINK("https://klasma.github.io/Logging_1402/klagomålsmail/A 14042-2023 FSC-klagomål mail.docx", "A 14042-2023")</f>
        <v/>
      </c>
      <c r="X324">
        <f>HYPERLINK("https://klasma.github.io/Logging_1402/tillsyn/A 14042-2023 tillsynsbegäran.docx", "A 14042-2023")</f>
        <v/>
      </c>
      <c r="Y324">
        <f>HYPERLINK("https://klasma.github.io/Logging_1402/tillsynsmail/A 14042-2023 tillsynsbegäran mail.docx", "A 14042-2023")</f>
        <v/>
      </c>
    </row>
    <row r="325" ht="15" customHeight="1">
      <c r="A325" t="inlineStr">
        <is>
          <t>A 60706-2023</t>
        </is>
      </c>
      <c r="B325" s="1" t="n">
        <v>45260</v>
      </c>
      <c r="C325" s="1" t="n">
        <v>45952</v>
      </c>
      <c r="D325" t="inlineStr">
        <is>
          <t>VÄSTRA GÖTALANDS LÄN</t>
        </is>
      </c>
      <c r="E325" t="inlineStr">
        <is>
          <t>STENUNGSUND</t>
        </is>
      </c>
      <c r="G325" t="n">
        <v>2.4</v>
      </c>
      <c r="H325" t="n">
        <v>1</v>
      </c>
      <c r="I325" t="n">
        <v>1</v>
      </c>
      <c r="J325" t="n">
        <v>1</v>
      </c>
      <c r="K325" t="n">
        <v>0</v>
      </c>
      <c r="L325" t="n">
        <v>0</v>
      </c>
      <c r="M325" t="n">
        <v>0</v>
      </c>
      <c r="N325" t="n">
        <v>0</v>
      </c>
      <c r="O325" t="n">
        <v>1</v>
      </c>
      <c r="P325" t="n">
        <v>0</v>
      </c>
      <c r="Q325" t="n">
        <v>2</v>
      </c>
      <c r="R325" s="2" t="inlineStr">
        <is>
          <t>Mindre hackspett
Blåmossa</t>
        </is>
      </c>
      <c r="S325">
        <f>HYPERLINK("https://klasma.github.io/Logging_1415/artfynd/A 60706-2023 artfynd.xlsx", "A 60706-2023")</f>
        <v/>
      </c>
      <c r="T325">
        <f>HYPERLINK("https://klasma.github.io/Logging_1415/kartor/A 60706-2023 karta.png", "A 60706-2023")</f>
        <v/>
      </c>
      <c r="V325">
        <f>HYPERLINK("https://klasma.github.io/Logging_1415/klagomål/A 60706-2023 FSC-klagomål.docx", "A 60706-2023")</f>
        <v/>
      </c>
      <c r="W325">
        <f>HYPERLINK("https://klasma.github.io/Logging_1415/klagomålsmail/A 60706-2023 FSC-klagomål mail.docx", "A 60706-2023")</f>
        <v/>
      </c>
      <c r="X325">
        <f>HYPERLINK("https://klasma.github.io/Logging_1415/tillsyn/A 60706-2023 tillsynsbegäran.docx", "A 60706-2023")</f>
        <v/>
      </c>
      <c r="Y325">
        <f>HYPERLINK("https://klasma.github.io/Logging_1415/tillsynsmail/A 60706-2023 tillsynsbegäran mail.docx", "A 60706-2023")</f>
        <v/>
      </c>
      <c r="Z325">
        <f>HYPERLINK("https://klasma.github.io/Logging_1415/fåglar/A 60706-2023 prioriterade fågelarter.docx", "A 60706-2023")</f>
        <v/>
      </c>
    </row>
    <row r="326" ht="15" customHeight="1">
      <c r="A326" t="inlineStr">
        <is>
          <t>A 11073-2022</t>
        </is>
      </c>
      <c r="B326" s="1" t="n">
        <v>44628</v>
      </c>
      <c r="C326" s="1" t="n">
        <v>45952</v>
      </c>
      <c r="D326" t="inlineStr">
        <is>
          <t>VÄSTRA GÖTALANDS LÄN</t>
        </is>
      </c>
      <c r="E326" t="inlineStr">
        <is>
          <t>MARIESTAD</t>
        </is>
      </c>
      <c r="G326" t="n">
        <v>3</v>
      </c>
      <c r="H326" t="n">
        <v>2</v>
      </c>
      <c r="I326" t="n">
        <v>0</v>
      </c>
      <c r="J326" t="n">
        <v>1</v>
      </c>
      <c r="K326" t="n">
        <v>0</v>
      </c>
      <c r="L326" t="n">
        <v>0</v>
      </c>
      <c r="M326" t="n">
        <v>0</v>
      </c>
      <c r="N326" t="n">
        <v>0</v>
      </c>
      <c r="O326" t="n">
        <v>1</v>
      </c>
      <c r="P326" t="n">
        <v>0</v>
      </c>
      <c r="Q326" t="n">
        <v>2</v>
      </c>
      <c r="R326" s="2" t="inlineStr">
        <is>
          <t>Spillkråka
Skogsduva</t>
        </is>
      </c>
      <c r="S326">
        <f>HYPERLINK("https://klasma.github.io/Logging_1493/artfynd/A 11073-2022 artfynd.xlsx", "A 11073-2022")</f>
        <v/>
      </c>
      <c r="T326">
        <f>HYPERLINK("https://klasma.github.io/Logging_1493/kartor/A 11073-2022 karta.png", "A 11073-2022")</f>
        <v/>
      </c>
      <c r="V326">
        <f>HYPERLINK("https://klasma.github.io/Logging_1493/klagomål/A 11073-2022 FSC-klagomål.docx", "A 11073-2022")</f>
        <v/>
      </c>
      <c r="W326">
        <f>HYPERLINK("https://klasma.github.io/Logging_1493/klagomålsmail/A 11073-2022 FSC-klagomål mail.docx", "A 11073-2022")</f>
        <v/>
      </c>
      <c r="X326">
        <f>HYPERLINK("https://klasma.github.io/Logging_1493/tillsyn/A 11073-2022 tillsynsbegäran.docx", "A 11073-2022")</f>
        <v/>
      </c>
      <c r="Y326">
        <f>HYPERLINK("https://klasma.github.io/Logging_1493/tillsynsmail/A 11073-2022 tillsynsbegäran mail.docx", "A 11073-2022")</f>
        <v/>
      </c>
      <c r="Z326">
        <f>HYPERLINK("https://klasma.github.io/Logging_1493/fåglar/A 11073-2022 prioriterade fågelarter.docx", "A 11073-2022")</f>
        <v/>
      </c>
    </row>
    <row r="327" ht="15" customHeight="1">
      <c r="A327" t="inlineStr">
        <is>
          <t>A 13740-2024</t>
        </is>
      </c>
      <c r="B327" s="1" t="n">
        <v>45390</v>
      </c>
      <c r="C327" s="1" t="n">
        <v>45952</v>
      </c>
      <c r="D327" t="inlineStr">
        <is>
          <t>VÄSTRA GÖTALANDS LÄN</t>
        </is>
      </c>
      <c r="E327" t="inlineStr">
        <is>
          <t>BOLLEBYGD</t>
        </is>
      </c>
      <c r="F327" t="inlineStr">
        <is>
          <t>Kommuner</t>
        </is>
      </c>
      <c r="G327" t="n">
        <v>2.6</v>
      </c>
      <c r="H327" t="n">
        <v>2</v>
      </c>
      <c r="I327" t="n">
        <v>0</v>
      </c>
      <c r="J327" t="n">
        <v>1</v>
      </c>
      <c r="K327" t="n">
        <v>0</v>
      </c>
      <c r="L327" t="n">
        <v>0</v>
      </c>
      <c r="M327" t="n">
        <v>0</v>
      </c>
      <c r="N327" t="n">
        <v>0</v>
      </c>
      <c r="O327" t="n">
        <v>1</v>
      </c>
      <c r="P327" t="n">
        <v>0</v>
      </c>
      <c r="Q327" t="n">
        <v>2</v>
      </c>
      <c r="R327" s="2" t="inlineStr">
        <is>
          <t>Talltita
Tjäder</t>
        </is>
      </c>
      <c r="S327">
        <f>HYPERLINK("https://klasma.github.io/Logging_1443/artfynd/A 13740-2024 artfynd.xlsx", "A 13740-2024")</f>
        <v/>
      </c>
      <c r="T327">
        <f>HYPERLINK("https://klasma.github.io/Logging_1443/kartor/A 13740-2024 karta.png", "A 13740-2024")</f>
        <v/>
      </c>
      <c r="V327">
        <f>HYPERLINK("https://klasma.github.io/Logging_1443/klagomål/A 13740-2024 FSC-klagomål.docx", "A 13740-2024")</f>
        <v/>
      </c>
      <c r="W327">
        <f>HYPERLINK("https://klasma.github.io/Logging_1443/klagomålsmail/A 13740-2024 FSC-klagomål mail.docx", "A 13740-2024")</f>
        <v/>
      </c>
      <c r="X327">
        <f>HYPERLINK("https://klasma.github.io/Logging_1443/tillsyn/A 13740-2024 tillsynsbegäran.docx", "A 13740-2024")</f>
        <v/>
      </c>
      <c r="Y327">
        <f>HYPERLINK("https://klasma.github.io/Logging_1443/tillsynsmail/A 13740-2024 tillsynsbegäran mail.docx", "A 13740-2024")</f>
        <v/>
      </c>
      <c r="Z327">
        <f>HYPERLINK("https://klasma.github.io/Logging_1443/fåglar/A 13740-2024 prioriterade fågelarter.docx", "A 13740-2024")</f>
        <v/>
      </c>
    </row>
    <row r="328" ht="15" customHeight="1">
      <c r="A328" t="inlineStr">
        <is>
          <t>A 11692-2025</t>
        </is>
      </c>
      <c r="B328" s="1" t="n">
        <v>45727.56438657407</v>
      </c>
      <c r="C328" s="1" t="n">
        <v>45952</v>
      </c>
      <c r="D328" t="inlineStr">
        <is>
          <t>VÄSTRA GÖTALANDS LÄN</t>
        </is>
      </c>
      <c r="E328" t="inlineStr">
        <is>
          <t>TÖREBODA</t>
        </is>
      </c>
      <c r="G328" t="n">
        <v>0.9</v>
      </c>
      <c r="H328" t="n">
        <v>0</v>
      </c>
      <c r="I328" t="n">
        <v>2</v>
      </c>
      <c r="J328" t="n">
        <v>0</v>
      </c>
      <c r="K328" t="n">
        <v>0</v>
      </c>
      <c r="L328" t="n">
        <v>0</v>
      </c>
      <c r="M328" t="n">
        <v>0</v>
      </c>
      <c r="N328" t="n">
        <v>0</v>
      </c>
      <c r="O328" t="n">
        <v>0</v>
      </c>
      <c r="P328" t="n">
        <v>0</v>
      </c>
      <c r="Q328" t="n">
        <v>2</v>
      </c>
      <c r="R328" s="2" t="inlineStr">
        <is>
          <t>Björksplintborre
Jättesvampmal</t>
        </is>
      </c>
      <c r="S328">
        <f>HYPERLINK("https://klasma.github.io/Logging_1473/artfynd/A 11692-2025 artfynd.xlsx", "A 11692-2025")</f>
        <v/>
      </c>
      <c r="T328">
        <f>HYPERLINK("https://klasma.github.io/Logging_1473/kartor/A 11692-2025 karta.png", "A 11692-2025")</f>
        <v/>
      </c>
      <c r="V328">
        <f>HYPERLINK("https://klasma.github.io/Logging_1473/klagomål/A 11692-2025 FSC-klagomål.docx", "A 11692-2025")</f>
        <v/>
      </c>
      <c r="W328">
        <f>HYPERLINK("https://klasma.github.io/Logging_1473/klagomålsmail/A 11692-2025 FSC-klagomål mail.docx", "A 11692-2025")</f>
        <v/>
      </c>
      <c r="X328">
        <f>HYPERLINK("https://klasma.github.io/Logging_1473/tillsyn/A 11692-2025 tillsynsbegäran.docx", "A 11692-2025")</f>
        <v/>
      </c>
      <c r="Y328">
        <f>HYPERLINK("https://klasma.github.io/Logging_1473/tillsynsmail/A 11692-2025 tillsynsbegäran mail.docx", "A 11692-2025")</f>
        <v/>
      </c>
    </row>
    <row r="329" ht="15" customHeight="1">
      <c r="A329" t="inlineStr">
        <is>
          <t>A 23255-2025</t>
        </is>
      </c>
      <c r="B329" s="1" t="n">
        <v>45791.5346875</v>
      </c>
      <c r="C329" s="1" t="n">
        <v>45952</v>
      </c>
      <c r="D329" t="inlineStr">
        <is>
          <t>VÄSTRA GÖTALANDS LÄN</t>
        </is>
      </c>
      <c r="E329" t="inlineStr">
        <is>
          <t>ORUST</t>
        </is>
      </c>
      <c r="G329" t="n">
        <v>4</v>
      </c>
      <c r="H329" t="n">
        <v>1</v>
      </c>
      <c r="I329" t="n">
        <v>1</v>
      </c>
      <c r="J329" t="n">
        <v>0</v>
      </c>
      <c r="K329" t="n">
        <v>0</v>
      </c>
      <c r="L329" t="n">
        <v>0</v>
      </c>
      <c r="M329" t="n">
        <v>0</v>
      </c>
      <c r="N329" t="n">
        <v>0</v>
      </c>
      <c r="O329" t="n">
        <v>0</v>
      </c>
      <c r="P329" t="n">
        <v>0</v>
      </c>
      <c r="Q329" t="n">
        <v>2</v>
      </c>
      <c r="R329" s="2" t="inlineStr">
        <is>
          <t>Västlig hakmossa
Äkta lopplummer</t>
        </is>
      </c>
      <c r="S329">
        <f>HYPERLINK("https://klasma.github.io/Logging_1421/artfynd/A 23255-2025 artfynd.xlsx", "A 23255-2025")</f>
        <v/>
      </c>
      <c r="T329">
        <f>HYPERLINK("https://klasma.github.io/Logging_1421/kartor/A 23255-2025 karta.png", "A 23255-2025")</f>
        <v/>
      </c>
      <c r="V329">
        <f>HYPERLINK("https://klasma.github.io/Logging_1421/klagomål/A 23255-2025 FSC-klagomål.docx", "A 23255-2025")</f>
        <v/>
      </c>
      <c r="W329">
        <f>HYPERLINK("https://klasma.github.io/Logging_1421/klagomålsmail/A 23255-2025 FSC-klagomål mail.docx", "A 23255-2025")</f>
        <v/>
      </c>
      <c r="X329">
        <f>HYPERLINK("https://klasma.github.io/Logging_1421/tillsyn/A 23255-2025 tillsynsbegäran.docx", "A 23255-2025")</f>
        <v/>
      </c>
      <c r="Y329">
        <f>HYPERLINK("https://klasma.github.io/Logging_1421/tillsynsmail/A 23255-2025 tillsynsbegäran mail.docx", "A 23255-2025")</f>
        <v/>
      </c>
    </row>
    <row r="330" ht="15" customHeight="1">
      <c r="A330" t="inlineStr">
        <is>
          <t>A 15219-2024</t>
        </is>
      </c>
      <c r="B330" s="1" t="n">
        <v>45400</v>
      </c>
      <c r="C330" s="1" t="n">
        <v>45952</v>
      </c>
      <c r="D330" t="inlineStr">
        <is>
          <t>VÄSTRA GÖTALANDS LÄN</t>
        </is>
      </c>
      <c r="E330" t="inlineStr">
        <is>
          <t>LIDKÖPING</t>
        </is>
      </c>
      <c r="G330" t="n">
        <v>6.7</v>
      </c>
      <c r="H330" t="n">
        <v>0</v>
      </c>
      <c r="I330" t="n">
        <v>0</v>
      </c>
      <c r="J330" t="n">
        <v>2</v>
      </c>
      <c r="K330" t="n">
        <v>0</v>
      </c>
      <c r="L330" t="n">
        <v>0</v>
      </c>
      <c r="M330" t="n">
        <v>0</v>
      </c>
      <c r="N330" t="n">
        <v>0</v>
      </c>
      <c r="O330" t="n">
        <v>2</v>
      </c>
      <c r="P330" t="n">
        <v>0</v>
      </c>
      <c r="Q330" t="n">
        <v>2</v>
      </c>
      <c r="R330" s="2" t="inlineStr">
        <is>
          <t>Tallticka
Tårkragskivling</t>
        </is>
      </c>
      <c r="S330">
        <f>HYPERLINK("https://klasma.github.io/Logging_1494/artfynd/A 15219-2024 artfynd.xlsx", "A 15219-2024")</f>
        <v/>
      </c>
      <c r="T330">
        <f>HYPERLINK("https://klasma.github.io/Logging_1494/kartor/A 15219-2024 karta.png", "A 15219-2024")</f>
        <v/>
      </c>
      <c r="V330">
        <f>HYPERLINK("https://klasma.github.io/Logging_1494/klagomål/A 15219-2024 FSC-klagomål.docx", "A 15219-2024")</f>
        <v/>
      </c>
      <c r="W330">
        <f>HYPERLINK("https://klasma.github.io/Logging_1494/klagomålsmail/A 15219-2024 FSC-klagomål mail.docx", "A 15219-2024")</f>
        <v/>
      </c>
      <c r="X330">
        <f>HYPERLINK("https://klasma.github.io/Logging_1494/tillsyn/A 15219-2024 tillsynsbegäran.docx", "A 15219-2024")</f>
        <v/>
      </c>
      <c r="Y330">
        <f>HYPERLINK("https://klasma.github.io/Logging_1494/tillsynsmail/A 15219-2024 tillsynsbegäran mail.docx", "A 15219-2024")</f>
        <v/>
      </c>
    </row>
    <row r="331" ht="15" customHeight="1">
      <c r="A331" t="inlineStr">
        <is>
          <t>A 46300-2025</t>
        </is>
      </c>
      <c r="B331" s="1" t="n">
        <v>45925.41516203704</v>
      </c>
      <c r="C331" s="1" t="n">
        <v>45952</v>
      </c>
      <c r="D331" t="inlineStr">
        <is>
          <t>VÄSTRA GÖTALANDS LÄN</t>
        </is>
      </c>
      <c r="E331" t="inlineStr">
        <is>
          <t>ULRICEHAMN</t>
        </is>
      </c>
      <c r="F331" t="inlineStr">
        <is>
          <t>Sveaskog</t>
        </is>
      </c>
      <c r="G331" t="n">
        <v>13.4</v>
      </c>
      <c r="H331" t="n">
        <v>2</v>
      </c>
      <c r="I331" t="n">
        <v>0</v>
      </c>
      <c r="J331" t="n">
        <v>0</v>
      </c>
      <c r="K331" t="n">
        <v>0</v>
      </c>
      <c r="L331" t="n">
        <v>0</v>
      </c>
      <c r="M331" t="n">
        <v>0</v>
      </c>
      <c r="N331" t="n">
        <v>0</v>
      </c>
      <c r="O331" t="n">
        <v>0</v>
      </c>
      <c r="P331" t="n">
        <v>0</v>
      </c>
      <c r="Q331" t="n">
        <v>2</v>
      </c>
      <c r="R331" s="2" t="inlineStr">
        <is>
          <t>Röd glada
Revlummer</t>
        </is>
      </c>
      <c r="S331">
        <f>HYPERLINK("https://klasma.github.io/Logging_1491/artfynd/A 46300-2025 artfynd.xlsx", "A 46300-2025")</f>
        <v/>
      </c>
      <c r="T331">
        <f>HYPERLINK("https://klasma.github.io/Logging_1491/kartor/A 46300-2025 karta.png", "A 46300-2025")</f>
        <v/>
      </c>
      <c r="V331">
        <f>HYPERLINK("https://klasma.github.io/Logging_1491/klagomål/A 46300-2025 FSC-klagomål.docx", "A 46300-2025")</f>
        <v/>
      </c>
      <c r="W331">
        <f>HYPERLINK("https://klasma.github.io/Logging_1491/klagomålsmail/A 46300-2025 FSC-klagomål mail.docx", "A 46300-2025")</f>
        <v/>
      </c>
      <c r="X331">
        <f>HYPERLINK("https://klasma.github.io/Logging_1491/tillsyn/A 46300-2025 tillsynsbegäran.docx", "A 46300-2025")</f>
        <v/>
      </c>
      <c r="Y331">
        <f>HYPERLINK("https://klasma.github.io/Logging_1491/tillsynsmail/A 46300-2025 tillsynsbegäran mail.docx", "A 46300-2025")</f>
        <v/>
      </c>
      <c r="Z331">
        <f>HYPERLINK("https://klasma.github.io/Logging_1491/fåglar/A 46300-2025 prioriterade fågelarter.docx", "A 46300-2025")</f>
        <v/>
      </c>
    </row>
    <row r="332" ht="15" customHeight="1">
      <c r="A332" t="inlineStr">
        <is>
          <t>A 16972-2022</t>
        </is>
      </c>
      <c r="B332" s="1" t="n">
        <v>44676</v>
      </c>
      <c r="C332" s="1" t="n">
        <v>45952</v>
      </c>
      <c r="D332" t="inlineStr">
        <is>
          <t>VÄSTRA GÖTALANDS LÄN</t>
        </is>
      </c>
      <c r="E332" t="inlineStr">
        <is>
          <t>MUNKEDAL</t>
        </is>
      </c>
      <c r="G332" t="n">
        <v>10.6</v>
      </c>
      <c r="H332" t="n">
        <v>1</v>
      </c>
      <c r="I332" t="n">
        <v>2</v>
      </c>
      <c r="J332" t="n">
        <v>0</v>
      </c>
      <c r="K332" t="n">
        <v>0</v>
      </c>
      <c r="L332" t="n">
        <v>0</v>
      </c>
      <c r="M332" t="n">
        <v>0</v>
      </c>
      <c r="N332" t="n">
        <v>0</v>
      </c>
      <c r="O332" t="n">
        <v>0</v>
      </c>
      <c r="P332" t="n">
        <v>0</v>
      </c>
      <c r="Q332" t="n">
        <v>2</v>
      </c>
      <c r="R332" s="2" t="inlineStr">
        <is>
          <t>Dunmossa
Grön sköldmossa</t>
        </is>
      </c>
      <c r="S332">
        <f>HYPERLINK("https://klasma.github.io/Logging_1430/artfynd/A 16972-2022 artfynd.xlsx", "A 16972-2022")</f>
        <v/>
      </c>
      <c r="T332">
        <f>HYPERLINK("https://klasma.github.io/Logging_1430/kartor/A 16972-2022 karta.png", "A 16972-2022")</f>
        <v/>
      </c>
      <c r="V332">
        <f>HYPERLINK("https://klasma.github.io/Logging_1430/klagomål/A 16972-2022 FSC-klagomål.docx", "A 16972-2022")</f>
        <v/>
      </c>
      <c r="W332">
        <f>HYPERLINK("https://klasma.github.io/Logging_1430/klagomålsmail/A 16972-2022 FSC-klagomål mail.docx", "A 16972-2022")</f>
        <v/>
      </c>
      <c r="X332">
        <f>HYPERLINK("https://klasma.github.io/Logging_1430/tillsyn/A 16972-2022 tillsynsbegäran.docx", "A 16972-2022")</f>
        <v/>
      </c>
      <c r="Y332">
        <f>HYPERLINK("https://klasma.github.io/Logging_1430/tillsynsmail/A 16972-2022 tillsynsbegäran mail.docx", "A 16972-2022")</f>
        <v/>
      </c>
    </row>
    <row r="333" ht="15" customHeight="1">
      <c r="A333" t="inlineStr">
        <is>
          <t>A 31843-2021</t>
        </is>
      </c>
      <c r="B333" s="1" t="n">
        <v>44370</v>
      </c>
      <c r="C333" s="1" t="n">
        <v>45952</v>
      </c>
      <c r="D333" t="inlineStr">
        <is>
          <t>VÄSTRA GÖTALANDS LÄN</t>
        </is>
      </c>
      <c r="E333" t="inlineStr">
        <is>
          <t>BOLLEBYGD</t>
        </is>
      </c>
      <c r="G333" t="n">
        <v>5.4</v>
      </c>
      <c r="H333" t="n">
        <v>2</v>
      </c>
      <c r="I333" t="n">
        <v>0</v>
      </c>
      <c r="J333" t="n">
        <v>2</v>
      </c>
      <c r="K333" t="n">
        <v>0</v>
      </c>
      <c r="L333" t="n">
        <v>0</v>
      </c>
      <c r="M333" t="n">
        <v>0</v>
      </c>
      <c r="N333" t="n">
        <v>0</v>
      </c>
      <c r="O333" t="n">
        <v>2</v>
      </c>
      <c r="P333" t="n">
        <v>0</v>
      </c>
      <c r="Q333" t="n">
        <v>2</v>
      </c>
      <c r="R333" s="2" t="inlineStr">
        <is>
          <t>Spillkråka
Talltita</t>
        </is>
      </c>
      <c r="S333">
        <f>HYPERLINK("https://klasma.github.io/Logging_1443/artfynd/A 31843-2021 artfynd.xlsx", "A 31843-2021")</f>
        <v/>
      </c>
      <c r="T333">
        <f>HYPERLINK("https://klasma.github.io/Logging_1443/kartor/A 31843-2021 karta.png", "A 31843-2021")</f>
        <v/>
      </c>
      <c r="V333">
        <f>HYPERLINK("https://klasma.github.io/Logging_1443/klagomål/A 31843-2021 FSC-klagomål.docx", "A 31843-2021")</f>
        <v/>
      </c>
      <c r="W333">
        <f>HYPERLINK("https://klasma.github.io/Logging_1443/klagomålsmail/A 31843-2021 FSC-klagomål mail.docx", "A 31843-2021")</f>
        <v/>
      </c>
      <c r="X333">
        <f>HYPERLINK("https://klasma.github.io/Logging_1443/tillsyn/A 31843-2021 tillsynsbegäran.docx", "A 31843-2021")</f>
        <v/>
      </c>
      <c r="Y333">
        <f>HYPERLINK("https://klasma.github.io/Logging_1443/tillsynsmail/A 31843-2021 tillsynsbegäran mail.docx", "A 31843-2021")</f>
        <v/>
      </c>
      <c r="Z333">
        <f>HYPERLINK("https://klasma.github.io/Logging_1443/fåglar/A 31843-2021 prioriterade fågelarter.docx", "A 31843-2021")</f>
        <v/>
      </c>
    </row>
    <row r="334" ht="15" customHeight="1">
      <c r="A334" t="inlineStr">
        <is>
          <t>A 1491-2025</t>
        </is>
      </c>
      <c r="B334" s="1" t="n">
        <v>45670.39987268519</v>
      </c>
      <c r="C334" s="1" t="n">
        <v>45952</v>
      </c>
      <c r="D334" t="inlineStr">
        <is>
          <t>VÄSTRA GÖTALANDS LÄN</t>
        </is>
      </c>
      <c r="E334" t="inlineStr">
        <is>
          <t>MELLERUD</t>
        </is>
      </c>
      <c r="G334" t="n">
        <v>3.3</v>
      </c>
      <c r="H334" t="n">
        <v>2</v>
      </c>
      <c r="I334" t="n">
        <v>1</v>
      </c>
      <c r="J334" t="n">
        <v>0</v>
      </c>
      <c r="K334" t="n">
        <v>0</v>
      </c>
      <c r="L334" t="n">
        <v>0</v>
      </c>
      <c r="M334" t="n">
        <v>0</v>
      </c>
      <c r="N334" t="n">
        <v>0</v>
      </c>
      <c r="O334" t="n">
        <v>0</v>
      </c>
      <c r="P334" t="n">
        <v>0</v>
      </c>
      <c r="Q334" t="n">
        <v>2</v>
      </c>
      <c r="R334" s="2" t="inlineStr">
        <is>
          <t>Skogsknipprot
Blåsippa</t>
        </is>
      </c>
      <c r="S334">
        <f>HYPERLINK("https://klasma.github.io/Logging_1461/artfynd/A 1491-2025 artfynd.xlsx", "A 1491-2025")</f>
        <v/>
      </c>
      <c r="T334">
        <f>HYPERLINK("https://klasma.github.io/Logging_1461/kartor/A 1491-2025 karta.png", "A 1491-2025")</f>
        <v/>
      </c>
      <c r="V334">
        <f>HYPERLINK("https://klasma.github.io/Logging_1461/klagomål/A 1491-2025 FSC-klagomål.docx", "A 1491-2025")</f>
        <v/>
      </c>
      <c r="W334">
        <f>HYPERLINK("https://klasma.github.io/Logging_1461/klagomålsmail/A 1491-2025 FSC-klagomål mail.docx", "A 1491-2025")</f>
        <v/>
      </c>
      <c r="X334">
        <f>HYPERLINK("https://klasma.github.io/Logging_1461/tillsyn/A 1491-2025 tillsynsbegäran.docx", "A 1491-2025")</f>
        <v/>
      </c>
      <c r="Y334">
        <f>HYPERLINK("https://klasma.github.io/Logging_1461/tillsynsmail/A 1491-2025 tillsynsbegäran mail.docx", "A 1491-2025")</f>
        <v/>
      </c>
    </row>
    <row r="335" ht="15" customHeight="1">
      <c r="A335" t="inlineStr">
        <is>
          <t>A 8978-2024</t>
        </is>
      </c>
      <c r="B335" s="1" t="n">
        <v>45357.51055555556</v>
      </c>
      <c r="C335" s="1" t="n">
        <v>45952</v>
      </c>
      <c r="D335" t="inlineStr">
        <is>
          <t>VÄSTRA GÖTALANDS LÄN</t>
        </is>
      </c>
      <c r="E335" t="inlineStr">
        <is>
          <t>ULRICEHAMN</t>
        </is>
      </c>
      <c r="F335" t="inlineStr">
        <is>
          <t>Sveaskog</t>
        </is>
      </c>
      <c r="G335" t="n">
        <v>1.8</v>
      </c>
      <c r="H335" t="n">
        <v>2</v>
      </c>
      <c r="I335" t="n">
        <v>0</v>
      </c>
      <c r="J335" t="n">
        <v>0</v>
      </c>
      <c r="K335" t="n">
        <v>0</v>
      </c>
      <c r="L335" t="n">
        <v>0</v>
      </c>
      <c r="M335" t="n">
        <v>0</v>
      </c>
      <c r="N335" t="n">
        <v>0</v>
      </c>
      <c r="O335" t="n">
        <v>0</v>
      </c>
      <c r="P335" t="n">
        <v>0</v>
      </c>
      <c r="Q335" t="n">
        <v>2</v>
      </c>
      <c r="R335" s="2" t="inlineStr">
        <is>
          <t>Vanlig groda
Revlummer</t>
        </is>
      </c>
      <c r="S335">
        <f>HYPERLINK("https://klasma.github.io/Logging_1491/artfynd/A 8978-2024 artfynd.xlsx", "A 8978-2024")</f>
        <v/>
      </c>
      <c r="T335">
        <f>HYPERLINK("https://klasma.github.io/Logging_1491/kartor/A 8978-2024 karta.png", "A 8978-2024")</f>
        <v/>
      </c>
      <c r="V335">
        <f>HYPERLINK("https://klasma.github.io/Logging_1491/klagomål/A 8978-2024 FSC-klagomål.docx", "A 8978-2024")</f>
        <v/>
      </c>
      <c r="W335">
        <f>HYPERLINK("https://klasma.github.io/Logging_1491/klagomålsmail/A 8978-2024 FSC-klagomål mail.docx", "A 8978-2024")</f>
        <v/>
      </c>
      <c r="X335">
        <f>HYPERLINK("https://klasma.github.io/Logging_1491/tillsyn/A 8978-2024 tillsynsbegäran.docx", "A 8978-2024")</f>
        <v/>
      </c>
      <c r="Y335">
        <f>HYPERLINK("https://klasma.github.io/Logging_1491/tillsynsmail/A 8978-2024 tillsynsbegäran mail.docx", "A 8978-2024")</f>
        <v/>
      </c>
    </row>
    <row r="336" ht="15" customHeight="1">
      <c r="A336" t="inlineStr">
        <is>
          <t>A 40931-2025</t>
        </is>
      </c>
      <c r="B336" s="1" t="n">
        <v>45897.64783564815</v>
      </c>
      <c r="C336" s="1" t="n">
        <v>45952</v>
      </c>
      <c r="D336" t="inlineStr">
        <is>
          <t>VÄSTRA GÖTALANDS LÄN</t>
        </is>
      </c>
      <c r="E336" t="inlineStr">
        <is>
          <t>ALE</t>
        </is>
      </c>
      <c r="G336" t="n">
        <v>4.3</v>
      </c>
      <c r="H336" t="n">
        <v>1</v>
      </c>
      <c r="I336" t="n">
        <v>1</v>
      </c>
      <c r="J336" t="n">
        <v>1</v>
      </c>
      <c r="K336" t="n">
        <v>0</v>
      </c>
      <c r="L336" t="n">
        <v>0</v>
      </c>
      <c r="M336" t="n">
        <v>0</v>
      </c>
      <c r="N336" t="n">
        <v>0</v>
      </c>
      <c r="O336" t="n">
        <v>1</v>
      </c>
      <c r="P336" t="n">
        <v>0</v>
      </c>
      <c r="Q336" t="n">
        <v>2</v>
      </c>
      <c r="R336" s="2" t="inlineStr">
        <is>
          <t>Spillkråka
Blåmossa</t>
        </is>
      </c>
      <c r="S336">
        <f>HYPERLINK("https://klasma.github.io/Logging_1440/artfynd/A 40931-2025 artfynd.xlsx", "A 40931-2025")</f>
        <v/>
      </c>
      <c r="T336">
        <f>HYPERLINK("https://klasma.github.io/Logging_1440/kartor/A 40931-2025 karta.png", "A 40931-2025")</f>
        <v/>
      </c>
      <c r="V336">
        <f>HYPERLINK("https://klasma.github.io/Logging_1440/klagomål/A 40931-2025 FSC-klagomål.docx", "A 40931-2025")</f>
        <v/>
      </c>
      <c r="W336">
        <f>HYPERLINK("https://klasma.github.io/Logging_1440/klagomålsmail/A 40931-2025 FSC-klagomål mail.docx", "A 40931-2025")</f>
        <v/>
      </c>
      <c r="X336">
        <f>HYPERLINK("https://klasma.github.io/Logging_1440/tillsyn/A 40931-2025 tillsynsbegäran.docx", "A 40931-2025")</f>
        <v/>
      </c>
      <c r="Y336">
        <f>HYPERLINK("https://klasma.github.io/Logging_1440/tillsynsmail/A 40931-2025 tillsynsbegäran mail.docx", "A 40931-2025")</f>
        <v/>
      </c>
      <c r="Z336">
        <f>HYPERLINK("https://klasma.github.io/Logging_1440/fåglar/A 40931-2025 prioriterade fågelarter.docx", "A 40931-2025")</f>
        <v/>
      </c>
    </row>
    <row r="337" ht="15" customHeight="1">
      <c r="A337" t="inlineStr">
        <is>
          <t>A 47764-2023</t>
        </is>
      </c>
      <c r="B337" s="1" t="n">
        <v>45203</v>
      </c>
      <c r="C337" s="1" t="n">
        <v>45952</v>
      </c>
      <c r="D337" t="inlineStr">
        <is>
          <t>VÄSTRA GÖTALANDS LÄN</t>
        </is>
      </c>
      <c r="E337" t="inlineStr">
        <is>
          <t>MARIESTAD</t>
        </is>
      </c>
      <c r="G337" t="n">
        <v>0.7</v>
      </c>
      <c r="H337" t="n">
        <v>2</v>
      </c>
      <c r="I337" t="n">
        <v>0</v>
      </c>
      <c r="J337" t="n">
        <v>0</v>
      </c>
      <c r="K337" t="n">
        <v>0</v>
      </c>
      <c r="L337" t="n">
        <v>0</v>
      </c>
      <c r="M337" t="n">
        <v>0</v>
      </c>
      <c r="N337" t="n">
        <v>0</v>
      </c>
      <c r="O337" t="n">
        <v>0</v>
      </c>
      <c r="P337" t="n">
        <v>0</v>
      </c>
      <c r="Q337" t="n">
        <v>2</v>
      </c>
      <c r="R337" s="2" t="inlineStr">
        <is>
          <t>Blåsippa
Gullviva</t>
        </is>
      </c>
      <c r="S337">
        <f>HYPERLINK("https://klasma.github.io/Logging_1493/artfynd/A 47764-2023 artfynd.xlsx", "A 47764-2023")</f>
        <v/>
      </c>
      <c r="T337">
        <f>HYPERLINK("https://klasma.github.io/Logging_1493/kartor/A 47764-2023 karta.png", "A 47764-2023")</f>
        <v/>
      </c>
      <c r="V337">
        <f>HYPERLINK("https://klasma.github.io/Logging_1493/klagomål/A 47764-2023 FSC-klagomål.docx", "A 47764-2023")</f>
        <v/>
      </c>
      <c r="W337">
        <f>HYPERLINK("https://klasma.github.io/Logging_1493/klagomålsmail/A 47764-2023 FSC-klagomål mail.docx", "A 47764-2023")</f>
        <v/>
      </c>
      <c r="X337">
        <f>HYPERLINK("https://klasma.github.io/Logging_1493/tillsyn/A 47764-2023 tillsynsbegäran.docx", "A 47764-2023")</f>
        <v/>
      </c>
      <c r="Y337">
        <f>HYPERLINK("https://klasma.github.io/Logging_1493/tillsynsmail/A 47764-2023 tillsynsbegäran mail.docx", "A 47764-2023")</f>
        <v/>
      </c>
    </row>
    <row r="338" ht="15" customHeight="1">
      <c r="A338" t="inlineStr">
        <is>
          <t>A 32319-2025</t>
        </is>
      </c>
      <c r="B338" s="1" t="n">
        <v>45836</v>
      </c>
      <c r="C338" s="1" t="n">
        <v>45952</v>
      </c>
      <c r="D338" t="inlineStr">
        <is>
          <t>VÄSTRA GÖTALANDS LÄN</t>
        </is>
      </c>
      <c r="E338" t="inlineStr">
        <is>
          <t>BORÅS</t>
        </is>
      </c>
      <c r="G338" t="n">
        <v>27.8</v>
      </c>
      <c r="H338" t="n">
        <v>1</v>
      </c>
      <c r="I338" t="n">
        <v>1</v>
      </c>
      <c r="J338" t="n">
        <v>0</v>
      </c>
      <c r="K338" t="n">
        <v>0</v>
      </c>
      <c r="L338" t="n">
        <v>0</v>
      </c>
      <c r="M338" t="n">
        <v>0</v>
      </c>
      <c r="N338" t="n">
        <v>0</v>
      </c>
      <c r="O338" t="n">
        <v>0</v>
      </c>
      <c r="P338" t="n">
        <v>0</v>
      </c>
      <c r="Q338" t="n">
        <v>2</v>
      </c>
      <c r="R338" s="2" t="inlineStr">
        <is>
          <t>Stor revmossa
Tjäder</t>
        </is>
      </c>
      <c r="S338">
        <f>HYPERLINK("https://klasma.github.io/Logging_1490/artfynd/A 32319-2025 artfynd.xlsx", "A 32319-2025")</f>
        <v/>
      </c>
      <c r="T338">
        <f>HYPERLINK("https://klasma.github.io/Logging_1490/kartor/A 32319-2025 karta.png", "A 32319-2025")</f>
        <v/>
      </c>
      <c r="V338">
        <f>HYPERLINK("https://klasma.github.io/Logging_1490/klagomål/A 32319-2025 FSC-klagomål.docx", "A 32319-2025")</f>
        <v/>
      </c>
      <c r="W338">
        <f>HYPERLINK("https://klasma.github.io/Logging_1490/klagomålsmail/A 32319-2025 FSC-klagomål mail.docx", "A 32319-2025")</f>
        <v/>
      </c>
      <c r="X338">
        <f>HYPERLINK("https://klasma.github.io/Logging_1490/tillsyn/A 32319-2025 tillsynsbegäran.docx", "A 32319-2025")</f>
        <v/>
      </c>
      <c r="Y338">
        <f>HYPERLINK("https://klasma.github.io/Logging_1490/tillsynsmail/A 32319-2025 tillsynsbegäran mail.docx", "A 32319-2025")</f>
        <v/>
      </c>
      <c r="Z338">
        <f>HYPERLINK("https://klasma.github.io/Logging_1490/fåglar/A 32319-2025 prioriterade fågelarter.docx", "A 32319-2025")</f>
        <v/>
      </c>
    </row>
    <row r="339" ht="15" customHeight="1">
      <c r="A339" t="inlineStr">
        <is>
          <t>A 64578-2023</t>
        </is>
      </c>
      <c r="B339" s="1" t="n">
        <v>45281</v>
      </c>
      <c r="C339" s="1" t="n">
        <v>45952</v>
      </c>
      <c r="D339" t="inlineStr">
        <is>
          <t>VÄSTRA GÖTALANDS LÄN</t>
        </is>
      </c>
      <c r="E339" t="inlineStr">
        <is>
          <t>BORÅS</t>
        </is>
      </c>
      <c r="G339" t="n">
        <v>3.9</v>
      </c>
      <c r="H339" t="n">
        <v>1</v>
      </c>
      <c r="I339" t="n">
        <v>1</v>
      </c>
      <c r="J339" t="n">
        <v>0</v>
      </c>
      <c r="K339" t="n">
        <v>0</v>
      </c>
      <c r="L339" t="n">
        <v>0</v>
      </c>
      <c r="M339" t="n">
        <v>0</v>
      </c>
      <c r="N339" t="n">
        <v>0</v>
      </c>
      <c r="O339" t="n">
        <v>0</v>
      </c>
      <c r="P339" t="n">
        <v>0</v>
      </c>
      <c r="Q339" t="n">
        <v>2</v>
      </c>
      <c r="R339" s="2" t="inlineStr">
        <is>
          <t>Skuggmossa
Blåsippa</t>
        </is>
      </c>
      <c r="S339">
        <f>HYPERLINK("https://klasma.github.io/Logging_1490/artfynd/A 64578-2023 artfynd.xlsx", "A 64578-2023")</f>
        <v/>
      </c>
      <c r="T339">
        <f>HYPERLINK("https://klasma.github.io/Logging_1490/kartor/A 64578-2023 karta.png", "A 64578-2023")</f>
        <v/>
      </c>
      <c r="V339">
        <f>HYPERLINK("https://klasma.github.io/Logging_1490/klagomål/A 64578-2023 FSC-klagomål.docx", "A 64578-2023")</f>
        <v/>
      </c>
      <c r="W339">
        <f>HYPERLINK("https://klasma.github.io/Logging_1490/klagomålsmail/A 64578-2023 FSC-klagomål mail.docx", "A 64578-2023")</f>
        <v/>
      </c>
      <c r="X339">
        <f>HYPERLINK("https://klasma.github.io/Logging_1490/tillsyn/A 64578-2023 tillsynsbegäran.docx", "A 64578-2023")</f>
        <v/>
      </c>
      <c r="Y339">
        <f>HYPERLINK("https://klasma.github.io/Logging_1490/tillsynsmail/A 64578-2023 tillsynsbegäran mail.docx", "A 64578-2023")</f>
        <v/>
      </c>
    </row>
    <row r="340" ht="15" customHeight="1">
      <c r="A340" t="inlineStr">
        <is>
          <t>A 2764-2023</t>
        </is>
      </c>
      <c r="B340" s="1" t="n">
        <v>44944.62109953703</v>
      </c>
      <c r="C340" s="1" t="n">
        <v>45952</v>
      </c>
      <c r="D340" t="inlineStr">
        <is>
          <t>VÄSTRA GÖTALANDS LÄN</t>
        </is>
      </c>
      <c r="E340" t="inlineStr">
        <is>
          <t>TIBRO</t>
        </is>
      </c>
      <c r="G340" t="n">
        <v>7.6</v>
      </c>
      <c r="H340" t="n">
        <v>0</v>
      </c>
      <c r="I340" t="n">
        <v>0</v>
      </c>
      <c r="J340" t="n">
        <v>1</v>
      </c>
      <c r="K340" t="n">
        <v>0</v>
      </c>
      <c r="L340" t="n">
        <v>1</v>
      </c>
      <c r="M340" t="n">
        <v>0</v>
      </c>
      <c r="N340" t="n">
        <v>0</v>
      </c>
      <c r="O340" t="n">
        <v>2</v>
      </c>
      <c r="P340" t="n">
        <v>1</v>
      </c>
      <c r="Q340" t="n">
        <v>2</v>
      </c>
      <c r="R340" s="2" t="inlineStr">
        <is>
          <t>Ask
Vårstarr</t>
        </is>
      </c>
      <c r="S340">
        <f>HYPERLINK("https://klasma.github.io/Logging_1472/artfynd/A 2764-2023 artfynd.xlsx", "A 2764-2023")</f>
        <v/>
      </c>
      <c r="T340">
        <f>HYPERLINK("https://klasma.github.io/Logging_1472/kartor/A 2764-2023 karta.png", "A 2764-2023")</f>
        <v/>
      </c>
      <c r="V340">
        <f>HYPERLINK("https://klasma.github.io/Logging_1472/klagomål/A 2764-2023 FSC-klagomål.docx", "A 2764-2023")</f>
        <v/>
      </c>
      <c r="W340">
        <f>HYPERLINK("https://klasma.github.io/Logging_1472/klagomålsmail/A 2764-2023 FSC-klagomål mail.docx", "A 2764-2023")</f>
        <v/>
      </c>
      <c r="X340">
        <f>HYPERLINK("https://klasma.github.io/Logging_1472/tillsyn/A 2764-2023 tillsynsbegäran.docx", "A 2764-2023")</f>
        <v/>
      </c>
      <c r="Y340">
        <f>HYPERLINK("https://klasma.github.io/Logging_1472/tillsynsmail/A 2764-2023 tillsynsbegäran mail.docx", "A 2764-2023")</f>
        <v/>
      </c>
    </row>
    <row r="341" ht="15" customHeight="1">
      <c r="A341" t="inlineStr">
        <is>
          <t>A 59166-2024</t>
        </is>
      </c>
      <c r="B341" s="1" t="n">
        <v>45637.48934027777</v>
      </c>
      <c r="C341" s="1" t="n">
        <v>45952</v>
      </c>
      <c r="D341" t="inlineStr">
        <is>
          <t>VÄSTRA GÖTALANDS LÄN</t>
        </is>
      </c>
      <c r="E341" t="inlineStr">
        <is>
          <t>DALS-ED</t>
        </is>
      </c>
      <c r="G341" t="n">
        <v>3.4</v>
      </c>
      <c r="H341" t="n">
        <v>0</v>
      </c>
      <c r="I341" t="n">
        <v>1</v>
      </c>
      <c r="J341" t="n">
        <v>1</v>
      </c>
      <c r="K341" t="n">
        <v>0</v>
      </c>
      <c r="L341" t="n">
        <v>0</v>
      </c>
      <c r="M341" t="n">
        <v>0</v>
      </c>
      <c r="N341" t="n">
        <v>0</v>
      </c>
      <c r="O341" t="n">
        <v>1</v>
      </c>
      <c r="P341" t="n">
        <v>0</v>
      </c>
      <c r="Q341" t="n">
        <v>2</v>
      </c>
      <c r="R341" s="2" t="inlineStr">
        <is>
          <t>Vitplätt
Jättesvampmal</t>
        </is>
      </c>
      <c r="S341">
        <f>HYPERLINK("https://klasma.github.io/Logging_1438/artfynd/A 59166-2024 artfynd.xlsx", "A 59166-2024")</f>
        <v/>
      </c>
      <c r="T341">
        <f>HYPERLINK("https://klasma.github.io/Logging_1438/kartor/A 59166-2024 karta.png", "A 59166-2024")</f>
        <v/>
      </c>
      <c r="V341">
        <f>HYPERLINK("https://klasma.github.io/Logging_1438/klagomål/A 59166-2024 FSC-klagomål.docx", "A 59166-2024")</f>
        <v/>
      </c>
      <c r="W341">
        <f>HYPERLINK("https://klasma.github.io/Logging_1438/klagomålsmail/A 59166-2024 FSC-klagomål mail.docx", "A 59166-2024")</f>
        <v/>
      </c>
      <c r="X341">
        <f>HYPERLINK("https://klasma.github.io/Logging_1438/tillsyn/A 59166-2024 tillsynsbegäran.docx", "A 59166-2024")</f>
        <v/>
      </c>
      <c r="Y341">
        <f>HYPERLINK("https://klasma.github.io/Logging_1438/tillsynsmail/A 59166-2024 tillsynsbegäran mail.docx", "A 59166-2024")</f>
        <v/>
      </c>
    </row>
    <row r="342" ht="15" customHeight="1">
      <c r="A342" t="inlineStr">
        <is>
          <t>A 61611-2022</t>
        </is>
      </c>
      <c r="B342" s="1" t="n">
        <v>44916</v>
      </c>
      <c r="C342" s="1" t="n">
        <v>45952</v>
      </c>
      <c r="D342" t="inlineStr">
        <is>
          <t>VÄSTRA GÖTALANDS LÄN</t>
        </is>
      </c>
      <c r="E342" t="inlineStr">
        <is>
          <t>BENGTSFORS</t>
        </is>
      </c>
      <c r="G342" t="n">
        <v>2.6</v>
      </c>
      <c r="H342" t="n">
        <v>0</v>
      </c>
      <c r="I342" t="n">
        <v>1</v>
      </c>
      <c r="J342" t="n">
        <v>1</v>
      </c>
      <c r="K342" t="n">
        <v>0</v>
      </c>
      <c r="L342" t="n">
        <v>0</v>
      </c>
      <c r="M342" t="n">
        <v>0</v>
      </c>
      <c r="N342" t="n">
        <v>0</v>
      </c>
      <c r="O342" t="n">
        <v>1</v>
      </c>
      <c r="P342" t="n">
        <v>0</v>
      </c>
      <c r="Q342" t="n">
        <v>2</v>
      </c>
      <c r="R342" s="2" t="inlineStr">
        <is>
          <t>Lunglav
Vedticka</t>
        </is>
      </c>
      <c r="S342">
        <f>HYPERLINK("https://klasma.github.io/Logging_1460/artfynd/A 61611-2022 artfynd.xlsx", "A 61611-2022")</f>
        <v/>
      </c>
      <c r="T342">
        <f>HYPERLINK("https://klasma.github.io/Logging_1460/kartor/A 61611-2022 karta.png", "A 61611-2022")</f>
        <v/>
      </c>
      <c r="V342">
        <f>HYPERLINK("https://klasma.github.io/Logging_1460/klagomål/A 61611-2022 FSC-klagomål.docx", "A 61611-2022")</f>
        <v/>
      </c>
      <c r="W342">
        <f>HYPERLINK("https://klasma.github.io/Logging_1460/klagomålsmail/A 61611-2022 FSC-klagomål mail.docx", "A 61611-2022")</f>
        <v/>
      </c>
      <c r="X342">
        <f>HYPERLINK("https://klasma.github.io/Logging_1460/tillsyn/A 61611-2022 tillsynsbegäran.docx", "A 61611-2022")</f>
        <v/>
      </c>
      <c r="Y342">
        <f>HYPERLINK("https://klasma.github.io/Logging_1460/tillsynsmail/A 61611-2022 tillsynsbegäran mail.docx", "A 61611-2022")</f>
        <v/>
      </c>
    </row>
    <row r="343" ht="15" customHeight="1">
      <c r="A343" t="inlineStr">
        <is>
          <t>A 22884-2023</t>
        </is>
      </c>
      <c r="B343" s="1" t="n">
        <v>45072</v>
      </c>
      <c r="C343" s="1" t="n">
        <v>45952</v>
      </c>
      <c r="D343" t="inlineStr">
        <is>
          <t>VÄSTRA GÖTALANDS LÄN</t>
        </is>
      </c>
      <c r="E343" t="inlineStr">
        <is>
          <t>HERRLJUNGA</t>
        </is>
      </c>
      <c r="G343" t="n">
        <v>9.300000000000001</v>
      </c>
      <c r="H343" t="n">
        <v>1</v>
      </c>
      <c r="I343" t="n">
        <v>1</v>
      </c>
      <c r="J343" t="n">
        <v>0</v>
      </c>
      <c r="K343" t="n">
        <v>1</v>
      </c>
      <c r="L343" t="n">
        <v>0</v>
      </c>
      <c r="M343" t="n">
        <v>0</v>
      </c>
      <c r="N343" t="n">
        <v>0</v>
      </c>
      <c r="O343" t="n">
        <v>1</v>
      </c>
      <c r="P343" t="n">
        <v>1</v>
      </c>
      <c r="Q343" t="n">
        <v>2</v>
      </c>
      <c r="R343" s="2" t="inlineStr">
        <is>
          <t>Knärot
Västlig hakmossa</t>
        </is>
      </c>
      <c r="S343">
        <f>HYPERLINK("https://klasma.github.io/Logging_1466/artfynd/A 22884-2023 artfynd.xlsx", "A 22884-2023")</f>
        <v/>
      </c>
      <c r="T343">
        <f>HYPERLINK("https://klasma.github.io/Logging_1466/kartor/A 22884-2023 karta.png", "A 22884-2023")</f>
        <v/>
      </c>
      <c r="U343">
        <f>HYPERLINK("https://klasma.github.io/Logging_1466/knärot/A 22884-2023 karta knärot.png", "A 22884-2023")</f>
        <v/>
      </c>
      <c r="V343">
        <f>HYPERLINK("https://klasma.github.io/Logging_1466/klagomål/A 22884-2023 FSC-klagomål.docx", "A 22884-2023")</f>
        <v/>
      </c>
      <c r="W343">
        <f>HYPERLINK("https://klasma.github.io/Logging_1466/klagomålsmail/A 22884-2023 FSC-klagomål mail.docx", "A 22884-2023")</f>
        <v/>
      </c>
      <c r="X343">
        <f>HYPERLINK("https://klasma.github.io/Logging_1466/tillsyn/A 22884-2023 tillsynsbegäran.docx", "A 22884-2023")</f>
        <v/>
      </c>
      <c r="Y343">
        <f>HYPERLINK("https://klasma.github.io/Logging_1466/tillsynsmail/A 22884-2023 tillsynsbegäran mail.docx", "A 22884-2023")</f>
        <v/>
      </c>
    </row>
    <row r="344" ht="15" customHeight="1">
      <c r="A344" t="inlineStr">
        <is>
          <t>A 41407-2025</t>
        </is>
      </c>
      <c r="B344" s="1" t="n">
        <v>45901.34576388889</v>
      </c>
      <c r="C344" s="1" t="n">
        <v>45952</v>
      </c>
      <c r="D344" t="inlineStr">
        <is>
          <t>VÄSTRA GÖTALANDS LÄN</t>
        </is>
      </c>
      <c r="E344" t="inlineStr">
        <is>
          <t>BENGTSFORS</t>
        </is>
      </c>
      <c r="G344" t="n">
        <v>0.7</v>
      </c>
      <c r="H344" t="n">
        <v>0</v>
      </c>
      <c r="I344" t="n">
        <v>2</v>
      </c>
      <c r="J344" t="n">
        <v>0</v>
      </c>
      <c r="K344" t="n">
        <v>0</v>
      </c>
      <c r="L344" t="n">
        <v>0</v>
      </c>
      <c r="M344" t="n">
        <v>0</v>
      </c>
      <c r="N344" t="n">
        <v>0</v>
      </c>
      <c r="O344" t="n">
        <v>0</v>
      </c>
      <c r="P344" t="n">
        <v>0</v>
      </c>
      <c r="Q344" t="n">
        <v>2</v>
      </c>
      <c r="R344" s="2" t="inlineStr">
        <is>
          <t>Fjällig taggsvamp s.str.
Svavelriska</t>
        </is>
      </c>
      <c r="S344">
        <f>HYPERLINK("https://klasma.github.io/Logging_1460/artfynd/A 41407-2025 artfynd.xlsx", "A 41407-2025")</f>
        <v/>
      </c>
      <c r="T344">
        <f>HYPERLINK("https://klasma.github.io/Logging_1460/kartor/A 41407-2025 karta.png", "A 41407-2025")</f>
        <v/>
      </c>
      <c r="V344">
        <f>HYPERLINK("https://klasma.github.io/Logging_1460/klagomål/A 41407-2025 FSC-klagomål.docx", "A 41407-2025")</f>
        <v/>
      </c>
      <c r="W344">
        <f>HYPERLINK("https://klasma.github.io/Logging_1460/klagomålsmail/A 41407-2025 FSC-klagomål mail.docx", "A 41407-2025")</f>
        <v/>
      </c>
      <c r="X344">
        <f>HYPERLINK("https://klasma.github.io/Logging_1460/tillsyn/A 41407-2025 tillsynsbegäran.docx", "A 41407-2025")</f>
        <v/>
      </c>
      <c r="Y344">
        <f>HYPERLINK("https://klasma.github.io/Logging_1460/tillsynsmail/A 41407-2025 tillsynsbegäran mail.docx", "A 41407-2025")</f>
        <v/>
      </c>
    </row>
    <row r="345" ht="15" customHeight="1">
      <c r="A345" t="inlineStr">
        <is>
          <t>A 48687-2025</t>
        </is>
      </c>
      <c r="B345" s="1" t="n">
        <v>45936.60298611111</v>
      </c>
      <c r="C345" s="1" t="n">
        <v>45952</v>
      </c>
      <c r="D345" t="inlineStr">
        <is>
          <t>VÄSTRA GÖTALANDS LÄN</t>
        </is>
      </c>
      <c r="E345" t="inlineStr">
        <is>
          <t>STRÖMSTAD</t>
        </is>
      </c>
      <c r="G345" t="n">
        <v>6.4</v>
      </c>
      <c r="H345" t="n">
        <v>1</v>
      </c>
      <c r="I345" t="n">
        <v>0</v>
      </c>
      <c r="J345" t="n">
        <v>1</v>
      </c>
      <c r="K345" t="n">
        <v>0</v>
      </c>
      <c r="L345" t="n">
        <v>0</v>
      </c>
      <c r="M345" t="n">
        <v>0</v>
      </c>
      <c r="N345" t="n">
        <v>0</v>
      </c>
      <c r="O345" t="n">
        <v>1</v>
      </c>
      <c r="P345" t="n">
        <v>0</v>
      </c>
      <c r="Q345" t="n">
        <v>2</v>
      </c>
      <c r="R345" s="2" t="inlineStr">
        <is>
          <t>Backstarr
Blåsippa</t>
        </is>
      </c>
      <c r="S345">
        <f>HYPERLINK("https://klasma.github.io/Logging_1486/artfynd/A 48687-2025 artfynd.xlsx", "A 48687-2025")</f>
        <v/>
      </c>
      <c r="T345">
        <f>HYPERLINK("https://klasma.github.io/Logging_1486/kartor/A 48687-2025 karta.png", "A 48687-2025")</f>
        <v/>
      </c>
      <c r="V345">
        <f>HYPERLINK("https://klasma.github.io/Logging_1486/klagomål/A 48687-2025 FSC-klagomål.docx", "A 48687-2025")</f>
        <v/>
      </c>
      <c r="W345">
        <f>HYPERLINK("https://klasma.github.io/Logging_1486/klagomålsmail/A 48687-2025 FSC-klagomål mail.docx", "A 48687-2025")</f>
        <v/>
      </c>
      <c r="X345">
        <f>HYPERLINK("https://klasma.github.io/Logging_1486/tillsyn/A 48687-2025 tillsynsbegäran.docx", "A 48687-2025")</f>
        <v/>
      </c>
      <c r="Y345">
        <f>HYPERLINK("https://klasma.github.io/Logging_1486/tillsynsmail/A 48687-2025 tillsynsbegäran mail.docx", "A 48687-2025")</f>
        <v/>
      </c>
    </row>
    <row r="346" ht="15" customHeight="1">
      <c r="A346" t="inlineStr">
        <is>
          <t>A 62040-2024</t>
        </is>
      </c>
      <c r="B346" s="1" t="n">
        <v>45656</v>
      </c>
      <c r="C346" s="1" t="n">
        <v>45952</v>
      </c>
      <c r="D346" t="inlineStr">
        <is>
          <t>VÄSTRA GÖTALANDS LÄN</t>
        </is>
      </c>
      <c r="E346" t="inlineStr">
        <is>
          <t>UDDEVALLA</t>
        </is>
      </c>
      <c r="F346" t="inlineStr">
        <is>
          <t>Kommuner</t>
        </is>
      </c>
      <c r="G346" t="n">
        <v>2.9</v>
      </c>
      <c r="H346" t="n">
        <v>1</v>
      </c>
      <c r="I346" t="n">
        <v>1</v>
      </c>
      <c r="J346" t="n">
        <v>0</v>
      </c>
      <c r="K346" t="n">
        <v>0</v>
      </c>
      <c r="L346" t="n">
        <v>0</v>
      </c>
      <c r="M346" t="n">
        <v>0</v>
      </c>
      <c r="N346" t="n">
        <v>0</v>
      </c>
      <c r="O346" t="n">
        <v>0</v>
      </c>
      <c r="P346" t="n">
        <v>0</v>
      </c>
      <c r="Q346" t="n">
        <v>2</v>
      </c>
      <c r="R346" s="2" t="inlineStr">
        <is>
          <t>Kambräken
Vanlig groda</t>
        </is>
      </c>
      <c r="S346">
        <f>HYPERLINK("https://klasma.github.io/Logging_1485/artfynd/A 62040-2024 artfynd.xlsx", "A 62040-2024")</f>
        <v/>
      </c>
      <c r="T346">
        <f>HYPERLINK("https://klasma.github.io/Logging_1485/kartor/A 62040-2024 karta.png", "A 62040-2024")</f>
        <v/>
      </c>
      <c r="V346">
        <f>HYPERLINK("https://klasma.github.io/Logging_1485/klagomål/A 62040-2024 FSC-klagomål.docx", "A 62040-2024")</f>
        <v/>
      </c>
      <c r="W346">
        <f>HYPERLINK("https://klasma.github.io/Logging_1485/klagomålsmail/A 62040-2024 FSC-klagomål mail.docx", "A 62040-2024")</f>
        <v/>
      </c>
      <c r="X346">
        <f>HYPERLINK("https://klasma.github.io/Logging_1485/tillsyn/A 62040-2024 tillsynsbegäran.docx", "A 62040-2024")</f>
        <v/>
      </c>
      <c r="Y346">
        <f>HYPERLINK("https://klasma.github.io/Logging_1485/tillsynsmail/A 62040-2024 tillsynsbegäran mail.docx", "A 62040-2024")</f>
        <v/>
      </c>
    </row>
    <row r="347" ht="15" customHeight="1">
      <c r="A347" t="inlineStr">
        <is>
          <t>A 47665-2024</t>
        </is>
      </c>
      <c r="B347" s="1" t="n">
        <v>45588.39068287037</v>
      </c>
      <c r="C347" s="1" t="n">
        <v>45952</v>
      </c>
      <c r="D347" t="inlineStr">
        <is>
          <t>VÄSTRA GÖTALANDS LÄN</t>
        </is>
      </c>
      <c r="E347" t="inlineStr">
        <is>
          <t>DALS-ED</t>
        </is>
      </c>
      <c r="G347" t="n">
        <v>6</v>
      </c>
      <c r="H347" t="n">
        <v>2</v>
      </c>
      <c r="I347" t="n">
        <v>0</v>
      </c>
      <c r="J347" t="n">
        <v>2</v>
      </c>
      <c r="K347" t="n">
        <v>0</v>
      </c>
      <c r="L347" t="n">
        <v>0</v>
      </c>
      <c r="M347" t="n">
        <v>0</v>
      </c>
      <c r="N347" t="n">
        <v>0</v>
      </c>
      <c r="O347" t="n">
        <v>2</v>
      </c>
      <c r="P347" t="n">
        <v>0</v>
      </c>
      <c r="Q347" t="n">
        <v>2</v>
      </c>
      <c r="R347" s="2" t="inlineStr">
        <is>
          <t>Spillkråka
Tretåig hackspett</t>
        </is>
      </c>
      <c r="S347">
        <f>HYPERLINK("https://klasma.github.io/Logging_1438/artfynd/A 47665-2024 artfynd.xlsx", "A 47665-2024")</f>
        <v/>
      </c>
      <c r="T347">
        <f>HYPERLINK("https://klasma.github.io/Logging_1438/kartor/A 47665-2024 karta.png", "A 47665-2024")</f>
        <v/>
      </c>
      <c r="V347">
        <f>HYPERLINK("https://klasma.github.io/Logging_1438/klagomål/A 47665-2024 FSC-klagomål.docx", "A 47665-2024")</f>
        <v/>
      </c>
      <c r="W347">
        <f>HYPERLINK("https://klasma.github.io/Logging_1438/klagomålsmail/A 47665-2024 FSC-klagomål mail.docx", "A 47665-2024")</f>
        <v/>
      </c>
      <c r="X347">
        <f>HYPERLINK("https://klasma.github.io/Logging_1438/tillsyn/A 47665-2024 tillsynsbegäran.docx", "A 47665-2024")</f>
        <v/>
      </c>
      <c r="Y347">
        <f>HYPERLINK("https://klasma.github.io/Logging_1438/tillsynsmail/A 47665-2024 tillsynsbegäran mail.docx", "A 47665-2024")</f>
        <v/>
      </c>
      <c r="Z347">
        <f>HYPERLINK("https://klasma.github.io/Logging_1438/fåglar/A 47665-2024 prioriterade fågelarter.docx", "A 47665-2024")</f>
        <v/>
      </c>
    </row>
    <row r="348" ht="15" customHeight="1">
      <c r="A348" t="inlineStr">
        <is>
          <t>A 30777-2023</t>
        </is>
      </c>
      <c r="B348" s="1" t="n">
        <v>45112</v>
      </c>
      <c r="C348" s="1" t="n">
        <v>45952</v>
      </c>
      <c r="D348" t="inlineStr">
        <is>
          <t>VÄSTRA GÖTALANDS LÄN</t>
        </is>
      </c>
      <c r="E348" t="inlineStr">
        <is>
          <t>BOLLEBYGD</t>
        </is>
      </c>
      <c r="G348" t="n">
        <v>6.2</v>
      </c>
      <c r="H348" t="n">
        <v>1</v>
      </c>
      <c r="I348" t="n">
        <v>1</v>
      </c>
      <c r="J348" t="n">
        <v>0</v>
      </c>
      <c r="K348" t="n">
        <v>0</v>
      </c>
      <c r="L348" t="n">
        <v>0</v>
      </c>
      <c r="M348" t="n">
        <v>0</v>
      </c>
      <c r="N348" t="n">
        <v>0</v>
      </c>
      <c r="O348" t="n">
        <v>0</v>
      </c>
      <c r="P348" t="n">
        <v>0</v>
      </c>
      <c r="Q348" t="n">
        <v>2</v>
      </c>
      <c r="R348" s="2" t="inlineStr">
        <is>
          <t>Vågbandad barkbock
Grönvit nattviol</t>
        </is>
      </c>
      <c r="S348">
        <f>HYPERLINK("https://klasma.github.io/Logging_1443/artfynd/A 30777-2023 artfynd.xlsx", "A 30777-2023")</f>
        <v/>
      </c>
      <c r="T348">
        <f>HYPERLINK("https://klasma.github.io/Logging_1443/kartor/A 30777-2023 karta.png", "A 30777-2023")</f>
        <v/>
      </c>
      <c r="V348">
        <f>HYPERLINK("https://klasma.github.io/Logging_1443/klagomål/A 30777-2023 FSC-klagomål.docx", "A 30777-2023")</f>
        <v/>
      </c>
      <c r="W348">
        <f>HYPERLINK("https://klasma.github.io/Logging_1443/klagomålsmail/A 30777-2023 FSC-klagomål mail.docx", "A 30777-2023")</f>
        <v/>
      </c>
      <c r="X348">
        <f>HYPERLINK("https://klasma.github.io/Logging_1443/tillsyn/A 30777-2023 tillsynsbegäran.docx", "A 30777-2023")</f>
        <v/>
      </c>
      <c r="Y348">
        <f>HYPERLINK("https://klasma.github.io/Logging_1443/tillsynsmail/A 30777-2023 tillsynsbegäran mail.docx", "A 30777-2023")</f>
        <v/>
      </c>
    </row>
    <row r="349" ht="15" customHeight="1">
      <c r="A349" t="inlineStr">
        <is>
          <t>A 19281-2025</t>
        </is>
      </c>
      <c r="B349" s="1" t="n">
        <v>45769.54100694445</v>
      </c>
      <c r="C349" s="1" t="n">
        <v>45952</v>
      </c>
      <c r="D349" t="inlineStr">
        <is>
          <t>VÄSTRA GÖTALANDS LÄN</t>
        </is>
      </c>
      <c r="E349" t="inlineStr">
        <is>
          <t>MELLERUD</t>
        </is>
      </c>
      <c r="G349" t="n">
        <v>1.6</v>
      </c>
      <c r="H349" t="n">
        <v>1</v>
      </c>
      <c r="I349" t="n">
        <v>1</v>
      </c>
      <c r="J349" t="n">
        <v>1</v>
      </c>
      <c r="K349" t="n">
        <v>0</v>
      </c>
      <c r="L349" t="n">
        <v>0</v>
      </c>
      <c r="M349" t="n">
        <v>0</v>
      </c>
      <c r="N349" t="n">
        <v>0</v>
      </c>
      <c r="O349" t="n">
        <v>1</v>
      </c>
      <c r="P349" t="n">
        <v>0</v>
      </c>
      <c r="Q349" t="n">
        <v>2</v>
      </c>
      <c r="R349" s="2" t="inlineStr">
        <is>
          <t>Skogsklocka
Skogsknipprot</t>
        </is>
      </c>
      <c r="S349">
        <f>HYPERLINK("https://klasma.github.io/Logging_1461/artfynd/A 19281-2025 artfynd.xlsx", "A 19281-2025")</f>
        <v/>
      </c>
      <c r="T349">
        <f>HYPERLINK("https://klasma.github.io/Logging_1461/kartor/A 19281-2025 karta.png", "A 19281-2025")</f>
        <v/>
      </c>
      <c r="V349">
        <f>HYPERLINK("https://klasma.github.io/Logging_1461/klagomål/A 19281-2025 FSC-klagomål.docx", "A 19281-2025")</f>
        <v/>
      </c>
      <c r="W349">
        <f>HYPERLINK("https://klasma.github.io/Logging_1461/klagomålsmail/A 19281-2025 FSC-klagomål mail.docx", "A 19281-2025")</f>
        <v/>
      </c>
      <c r="X349">
        <f>HYPERLINK("https://klasma.github.io/Logging_1461/tillsyn/A 19281-2025 tillsynsbegäran.docx", "A 19281-2025")</f>
        <v/>
      </c>
      <c r="Y349">
        <f>HYPERLINK("https://klasma.github.io/Logging_1461/tillsynsmail/A 19281-2025 tillsynsbegäran mail.docx", "A 19281-2025")</f>
        <v/>
      </c>
    </row>
    <row r="350" ht="15" customHeight="1">
      <c r="A350" t="inlineStr">
        <is>
          <t>A 20433-2025</t>
        </is>
      </c>
      <c r="B350" s="1" t="n">
        <v>45775.48</v>
      </c>
      <c r="C350" s="1" t="n">
        <v>45952</v>
      </c>
      <c r="D350" t="inlineStr">
        <is>
          <t>VÄSTRA GÖTALANDS LÄN</t>
        </is>
      </c>
      <c r="E350" t="inlineStr">
        <is>
          <t>KARLSBORG</t>
        </is>
      </c>
      <c r="G350" t="n">
        <v>4.8</v>
      </c>
      <c r="H350" t="n">
        <v>2</v>
      </c>
      <c r="I350" t="n">
        <v>0</v>
      </c>
      <c r="J350" t="n">
        <v>0</v>
      </c>
      <c r="K350" t="n">
        <v>1</v>
      </c>
      <c r="L350" t="n">
        <v>0</v>
      </c>
      <c r="M350" t="n">
        <v>0</v>
      </c>
      <c r="N350" t="n">
        <v>0</v>
      </c>
      <c r="O350" t="n">
        <v>1</v>
      </c>
      <c r="P350" t="n">
        <v>1</v>
      </c>
      <c r="Q350" t="n">
        <v>2</v>
      </c>
      <c r="R350" s="2" t="inlineStr">
        <is>
          <t>Knärot
Tjäder</t>
        </is>
      </c>
      <c r="S350">
        <f>HYPERLINK("https://klasma.github.io/Logging_1446/artfynd/A 20433-2025 artfynd.xlsx", "A 20433-2025")</f>
        <v/>
      </c>
      <c r="T350">
        <f>HYPERLINK("https://klasma.github.io/Logging_1446/kartor/A 20433-2025 karta.png", "A 20433-2025")</f>
        <v/>
      </c>
      <c r="U350">
        <f>HYPERLINK("https://klasma.github.io/Logging_1446/knärot/A 20433-2025 karta knärot.png", "A 20433-2025")</f>
        <v/>
      </c>
      <c r="V350">
        <f>HYPERLINK("https://klasma.github.io/Logging_1446/klagomål/A 20433-2025 FSC-klagomål.docx", "A 20433-2025")</f>
        <v/>
      </c>
      <c r="W350">
        <f>HYPERLINK("https://klasma.github.io/Logging_1446/klagomålsmail/A 20433-2025 FSC-klagomål mail.docx", "A 20433-2025")</f>
        <v/>
      </c>
      <c r="X350">
        <f>HYPERLINK("https://klasma.github.io/Logging_1446/tillsyn/A 20433-2025 tillsynsbegäran.docx", "A 20433-2025")</f>
        <v/>
      </c>
      <c r="Y350">
        <f>HYPERLINK("https://klasma.github.io/Logging_1446/tillsynsmail/A 20433-2025 tillsynsbegäran mail.docx", "A 20433-2025")</f>
        <v/>
      </c>
      <c r="Z350">
        <f>HYPERLINK("https://klasma.github.io/Logging_1446/fåglar/A 20433-2025 prioriterade fågelarter.docx", "A 20433-2025")</f>
        <v/>
      </c>
    </row>
    <row r="351" ht="15" customHeight="1">
      <c r="A351" t="inlineStr">
        <is>
          <t>A 4173-2022</t>
        </is>
      </c>
      <c r="B351" s="1" t="n">
        <v>44588</v>
      </c>
      <c r="C351" s="1" t="n">
        <v>45952</v>
      </c>
      <c r="D351" t="inlineStr">
        <is>
          <t>VÄSTRA GÖTALANDS LÄN</t>
        </is>
      </c>
      <c r="E351" t="inlineStr">
        <is>
          <t>STRÖMSTAD</t>
        </is>
      </c>
      <c r="G351" t="n">
        <v>2.8</v>
      </c>
      <c r="H351" t="n">
        <v>2</v>
      </c>
      <c r="I351" t="n">
        <v>0</v>
      </c>
      <c r="J351" t="n">
        <v>1</v>
      </c>
      <c r="K351" t="n">
        <v>0</v>
      </c>
      <c r="L351" t="n">
        <v>0</v>
      </c>
      <c r="M351" t="n">
        <v>0</v>
      </c>
      <c r="N351" t="n">
        <v>0</v>
      </c>
      <c r="O351" t="n">
        <v>1</v>
      </c>
      <c r="P351" t="n">
        <v>0</v>
      </c>
      <c r="Q351" t="n">
        <v>2</v>
      </c>
      <c r="R351" s="2" t="inlineStr">
        <is>
          <t>Spillkråka
Revlummer</t>
        </is>
      </c>
      <c r="S351">
        <f>HYPERLINK("https://klasma.github.io/Logging_1486/artfynd/A 4173-2022 artfynd.xlsx", "A 4173-2022")</f>
        <v/>
      </c>
      <c r="T351">
        <f>HYPERLINK("https://klasma.github.io/Logging_1486/kartor/A 4173-2022 karta.png", "A 4173-2022")</f>
        <v/>
      </c>
      <c r="V351">
        <f>HYPERLINK("https://klasma.github.io/Logging_1486/klagomål/A 4173-2022 FSC-klagomål.docx", "A 4173-2022")</f>
        <v/>
      </c>
      <c r="W351">
        <f>HYPERLINK("https://klasma.github.io/Logging_1486/klagomålsmail/A 4173-2022 FSC-klagomål mail.docx", "A 4173-2022")</f>
        <v/>
      </c>
      <c r="X351">
        <f>HYPERLINK("https://klasma.github.io/Logging_1486/tillsyn/A 4173-2022 tillsynsbegäran.docx", "A 4173-2022")</f>
        <v/>
      </c>
      <c r="Y351">
        <f>HYPERLINK("https://klasma.github.io/Logging_1486/tillsynsmail/A 4173-2022 tillsynsbegäran mail.docx", "A 4173-2022")</f>
        <v/>
      </c>
      <c r="Z351">
        <f>HYPERLINK("https://klasma.github.io/Logging_1486/fåglar/A 4173-2022 prioriterade fågelarter.docx", "A 4173-2022")</f>
        <v/>
      </c>
    </row>
    <row r="352" ht="15" customHeight="1">
      <c r="A352" t="inlineStr">
        <is>
          <t>A 17535-2024</t>
        </is>
      </c>
      <c r="B352" s="1" t="n">
        <v>45415.61755787037</v>
      </c>
      <c r="C352" s="1" t="n">
        <v>45952</v>
      </c>
      <c r="D352" t="inlineStr">
        <is>
          <t>VÄSTRA GÖTALANDS LÄN</t>
        </is>
      </c>
      <c r="E352" t="inlineStr">
        <is>
          <t>ÅMÅL</t>
        </is>
      </c>
      <c r="G352" t="n">
        <v>2.4</v>
      </c>
      <c r="H352" t="n">
        <v>0</v>
      </c>
      <c r="I352" t="n">
        <v>0</v>
      </c>
      <c r="J352" t="n">
        <v>2</v>
      </c>
      <c r="K352" t="n">
        <v>0</v>
      </c>
      <c r="L352" t="n">
        <v>0</v>
      </c>
      <c r="M352" t="n">
        <v>0</v>
      </c>
      <c r="N352" t="n">
        <v>0</v>
      </c>
      <c r="O352" t="n">
        <v>2</v>
      </c>
      <c r="P352" t="n">
        <v>0</v>
      </c>
      <c r="Q352" t="n">
        <v>2</v>
      </c>
      <c r="R352" s="2" t="inlineStr">
        <is>
          <t>Bergjohannesört
Krusfrö</t>
        </is>
      </c>
      <c r="S352">
        <f>HYPERLINK("https://klasma.github.io/Logging_1492/artfynd/A 17535-2024 artfynd.xlsx", "A 17535-2024")</f>
        <v/>
      </c>
      <c r="T352">
        <f>HYPERLINK("https://klasma.github.io/Logging_1492/kartor/A 17535-2024 karta.png", "A 17535-2024")</f>
        <v/>
      </c>
      <c r="V352">
        <f>HYPERLINK("https://klasma.github.io/Logging_1492/klagomål/A 17535-2024 FSC-klagomål.docx", "A 17535-2024")</f>
        <v/>
      </c>
      <c r="W352">
        <f>HYPERLINK("https://klasma.github.io/Logging_1492/klagomålsmail/A 17535-2024 FSC-klagomål mail.docx", "A 17535-2024")</f>
        <v/>
      </c>
      <c r="X352">
        <f>HYPERLINK("https://klasma.github.io/Logging_1492/tillsyn/A 17535-2024 tillsynsbegäran.docx", "A 17535-2024")</f>
        <v/>
      </c>
      <c r="Y352">
        <f>HYPERLINK("https://klasma.github.io/Logging_1492/tillsynsmail/A 17535-2024 tillsynsbegäran mail.docx", "A 17535-2024")</f>
        <v/>
      </c>
    </row>
    <row r="353" ht="15" customHeight="1">
      <c r="A353" t="inlineStr">
        <is>
          <t>A 26989-2025</t>
        </is>
      </c>
      <c r="B353" s="1" t="n">
        <v>45811.5165625</v>
      </c>
      <c r="C353" s="1" t="n">
        <v>45952</v>
      </c>
      <c r="D353" t="inlineStr">
        <is>
          <t>VÄSTRA GÖTALANDS LÄN</t>
        </is>
      </c>
      <c r="E353" t="inlineStr">
        <is>
          <t>HÄRRYDA</t>
        </is>
      </c>
      <c r="G353" t="n">
        <v>4.6</v>
      </c>
      <c r="H353" t="n">
        <v>2</v>
      </c>
      <c r="I353" t="n">
        <v>0</v>
      </c>
      <c r="J353" t="n">
        <v>0</v>
      </c>
      <c r="K353" t="n">
        <v>0</v>
      </c>
      <c r="L353" t="n">
        <v>0</v>
      </c>
      <c r="M353" t="n">
        <v>0</v>
      </c>
      <c r="N353" t="n">
        <v>0</v>
      </c>
      <c r="O353" t="n">
        <v>0</v>
      </c>
      <c r="P353" t="n">
        <v>0</v>
      </c>
      <c r="Q353" t="n">
        <v>2</v>
      </c>
      <c r="R353" s="2" t="inlineStr">
        <is>
          <t>Kungsfågel
Skogsduva</t>
        </is>
      </c>
      <c r="S353">
        <f>HYPERLINK("https://klasma.github.io/Logging_1401/artfynd/A 26989-2025 artfynd.xlsx", "A 26989-2025")</f>
        <v/>
      </c>
      <c r="T353">
        <f>HYPERLINK("https://klasma.github.io/Logging_1401/kartor/A 26989-2025 karta.png", "A 26989-2025")</f>
        <v/>
      </c>
      <c r="V353">
        <f>HYPERLINK("https://klasma.github.io/Logging_1401/klagomål/A 26989-2025 FSC-klagomål.docx", "A 26989-2025")</f>
        <v/>
      </c>
      <c r="W353">
        <f>HYPERLINK("https://klasma.github.io/Logging_1401/klagomålsmail/A 26989-2025 FSC-klagomål mail.docx", "A 26989-2025")</f>
        <v/>
      </c>
      <c r="X353">
        <f>HYPERLINK("https://klasma.github.io/Logging_1401/tillsyn/A 26989-2025 tillsynsbegäran.docx", "A 26989-2025")</f>
        <v/>
      </c>
      <c r="Y353">
        <f>HYPERLINK("https://klasma.github.io/Logging_1401/tillsynsmail/A 26989-2025 tillsynsbegäran mail.docx", "A 26989-2025")</f>
        <v/>
      </c>
      <c r="Z353">
        <f>HYPERLINK("https://klasma.github.io/Logging_1401/fåglar/A 26989-2025 prioriterade fågelarter.docx", "A 26989-2025")</f>
        <v/>
      </c>
    </row>
    <row r="354" ht="15" customHeight="1">
      <c r="A354" t="inlineStr">
        <is>
          <t>A 17693-2023</t>
        </is>
      </c>
      <c r="B354" s="1" t="n">
        <v>45037</v>
      </c>
      <c r="C354" s="1" t="n">
        <v>45952</v>
      </c>
      <c r="D354" t="inlineStr">
        <is>
          <t>VÄSTRA GÖTALANDS LÄN</t>
        </is>
      </c>
      <c r="E354" t="inlineStr">
        <is>
          <t>MELLERUD</t>
        </is>
      </c>
      <c r="G354" t="n">
        <v>11.3</v>
      </c>
      <c r="H354" t="n">
        <v>0</v>
      </c>
      <c r="I354" t="n">
        <v>0</v>
      </c>
      <c r="J354" t="n">
        <v>2</v>
      </c>
      <c r="K354" t="n">
        <v>0</v>
      </c>
      <c r="L354" t="n">
        <v>0</v>
      </c>
      <c r="M354" t="n">
        <v>0</v>
      </c>
      <c r="N354" t="n">
        <v>0</v>
      </c>
      <c r="O354" t="n">
        <v>2</v>
      </c>
      <c r="P354" t="n">
        <v>0</v>
      </c>
      <c r="Q354" t="n">
        <v>2</v>
      </c>
      <c r="R354" s="2" t="inlineStr">
        <is>
          <t>Bergjohannesört
Vippärt</t>
        </is>
      </c>
      <c r="S354">
        <f>HYPERLINK("https://klasma.github.io/Logging_1461/artfynd/A 17693-2023 artfynd.xlsx", "A 17693-2023")</f>
        <v/>
      </c>
      <c r="T354">
        <f>HYPERLINK("https://klasma.github.io/Logging_1461/kartor/A 17693-2023 karta.png", "A 17693-2023")</f>
        <v/>
      </c>
      <c r="V354">
        <f>HYPERLINK("https://klasma.github.io/Logging_1461/klagomål/A 17693-2023 FSC-klagomål.docx", "A 17693-2023")</f>
        <v/>
      </c>
      <c r="W354">
        <f>HYPERLINK("https://klasma.github.io/Logging_1461/klagomålsmail/A 17693-2023 FSC-klagomål mail.docx", "A 17693-2023")</f>
        <v/>
      </c>
      <c r="X354">
        <f>HYPERLINK("https://klasma.github.io/Logging_1461/tillsyn/A 17693-2023 tillsynsbegäran.docx", "A 17693-2023")</f>
        <v/>
      </c>
      <c r="Y354">
        <f>HYPERLINK("https://klasma.github.io/Logging_1461/tillsynsmail/A 17693-2023 tillsynsbegäran mail.docx", "A 17693-2023")</f>
        <v/>
      </c>
    </row>
    <row r="355" ht="15" customHeight="1">
      <c r="A355" t="inlineStr">
        <is>
          <t>A 22581-2025</t>
        </is>
      </c>
      <c r="B355" s="1" t="n">
        <v>45789.38215277778</v>
      </c>
      <c r="C355" s="1" t="n">
        <v>45952</v>
      </c>
      <c r="D355" t="inlineStr">
        <is>
          <t>VÄSTRA GÖTALANDS LÄN</t>
        </is>
      </c>
      <c r="E355" t="inlineStr">
        <is>
          <t>TJÖRN</t>
        </is>
      </c>
      <c r="G355" t="n">
        <v>9.5</v>
      </c>
      <c r="H355" t="n">
        <v>2</v>
      </c>
      <c r="I355" t="n">
        <v>0</v>
      </c>
      <c r="J355" t="n">
        <v>0</v>
      </c>
      <c r="K355" t="n">
        <v>0</v>
      </c>
      <c r="L355" t="n">
        <v>1</v>
      </c>
      <c r="M355" t="n">
        <v>0</v>
      </c>
      <c r="N355" t="n">
        <v>0</v>
      </c>
      <c r="O355" t="n">
        <v>1</v>
      </c>
      <c r="P355" t="n">
        <v>1</v>
      </c>
      <c r="Q355" t="n">
        <v>2</v>
      </c>
      <c r="R355" s="2" t="inlineStr">
        <is>
          <t>Grönfink
Kungsfågel</t>
        </is>
      </c>
      <c r="S355">
        <f>HYPERLINK("https://klasma.github.io/Logging_1419/artfynd/A 22581-2025 artfynd.xlsx", "A 22581-2025")</f>
        <v/>
      </c>
      <c r="T355">
        <f>HYPERLINK("https://klasma.github.io/Logging_1419/kartor/A 22581-2025 karta.png", "A 22581-2025")</f>
        <v/>
      </c>
      <c r="V355">
        <f>HYPERLINK("https://klasma.github.io/Logging_1419/klagomål/A 22581-2025 FSC-klagomål.docx", "A 22581-2025")</f>
        <v/>
      </c>
      <c r="W355">
        <f>HYPERLINK("https://klasma.github.io/Logging_1419/klagomålsmail/A 22581-2025 FSC-klagomål mail.docx", "A 22581-2025")</f>
        <v/>
      </c>
      <c r="X355">
        <f>HYPERLINK("https://klasma.github.io/Logging_1419/tillsyn/A 22581-2025 tillsynsbegäran.docx", "A 22581-2025")</f>
        <v/>
      </c>
      <c r="Y355">
        <f>HYPERLINK("https://klasma.github.io/Logging_1419/tillsynsmail/A 22581-2025 tillsynsbegäran mail.docx", "A 22581-2025")</f>
        <v/>
      </c>
      <c r="Z355">
        <f>HYPERLINK("https://klasma.github.io/Logging_1419/fåglar/A 22581-2025 prioriterade fågelarter.docx", "A 22581-2025")</f>
        <v/>
      </c>
    </row>
    <row r="356" ht="15" customHeight="1">
      <c r="A356" t="inlineStr">
        <is>
          <t>A 1503-2024</t>
        </is>
      </c>
      <c r="B356" s="1" t="n">
        <v>45306.35041666667</v>
      </c>
      <c r="C356" s="1" t="n">
        <v>45952</v>
      </c>
      <c r="D356" t="inlineStr">
        <is>
          <t>VÄSTRA GÖTALANDS LÄN</t>
        </is>
      </c>
      <c r="E356" t="inlineStr">
        <is>
          <t>ALE</t>
        </is>
      </c>
      <c r="G356" t="n">
        <v>6.6</v>
      </c>
      <c r="H356" t="n">
        <v>2</v>
      </c>
      <c r="I356" t="n">
        <v>0</v>
      </c>
      <c r="J356" t="n">
        <v>1</v>
      </c>
      <c r="K356" t="n">
        <v>0</v>
      </c>
      <c r="L356" t="n">
        <v>0</v>
      </c>
      <c r="M356" t="n">
        <v>0</v>
      </c>
      <c r="N356" t="n">
        <v>0</v>
      </c>
      <c r="O356" t="n">
        <v>1</v>
      </c>
      <c r="P356" t="n">
        <v>0</v>
      </c>
      <c r="Q356" t="n">
        <v>2</v>
      </c>
      <c r="R356" s="2" t="inlineStr">
        <is>
          <t>Spillkråka
Revlummer</t>
        </is>
      </c>
      <c r="S356">
        <f>HYPERLINK("https://klasma.github.io/Logging_1440/artfynd/A 1503-2024 artfynd.xlsx", "A 1503-2024")</f>
        <v/>
      </c>
      <c r="T356">
        <f>HYPERLINK("https://klasma.github.io/Logging_1440/kartor/A 1503-2024 karta.png", "A 1503-2024")</f>
        <v/>
      </c>
      <c r="V356">
        <f>HYPERLINK("https://klasma.github.io/Logging_1440/klagomål/A 1503-2024 FSC-klagomål.docx", "A 1503-2024")</f>
        <v/>
      </c>
      <c r="W356">
        <f>HYPERLINK("https://klasma.github.io/Logging_1440/klagomålsmail/A 1503-2024 FSC-klagomål mail.docx", "A 1503-2024")</f>
        <v/>
      </c>
      <c r="X356">
        <f>HYPERLINK("https://klasma.github.io/Logging_1440/tillsyn/A 1503-2024 tillsynsbegäran.docx", "A 1503-2024")</f>
        <v/>
      </c>
      <c r="Y356">
        <f>HYPERLINK("https://klasma.github.io/Logging_1440/tillsynsmail/A 1503-2024 tillsynsbegäran mail.docx", "A 1503-2024")</f>
        <v/>
      </c>
      <c r="Z356">
        <f>HYPERLINK("https://klasma.github.io/Logging_1440/fåglar/A 1503-2024 prioriterade fågelarter.docx", "A 1503-2024")</f>
        <v/>
      </c>
    </row>
    <row r="357" ht="15" customHeight="1">
      <c r="A357" t="inlineStr">
        <is>
          <t>A 2270-2025</t>
        </is>
      </c>
      <c r="B357" s="1" t="n">
        <v>45673.54403935185</v>
      </c>
      <c r="C357" s="1" t="n">
        <v>45952</v>
      </c>
      <c r="D357" t="inlineStr">
        <is>
          <t>VÄSTRA GÖTALANDS LÄN</t>
        </is>
      </c>
      <c r="E357" t="inlineStr">
        <is>
          <t>ALE</t>
        </is>
      </c>
      <c r="G357" t="n">
        <v>4.1</v>
      </c>
      <c r="H357" t="n">
        <v>2</v>
      </c>
      <c r="I357" t="n">
        <v>0</v>
      </c>
      <c r="J357" t="n">
        <v>1</v>
      </c>
      <c r="K357" t="n">
        <v>0</v>
      </c>
      <c r="L357" t="n">
        <v>0</v>
      </c>
      <c r="M357" t="n">
        <v>0</v>
      </c>
      <c r="N357" t="n">
        <v>0</v>
      </c>
      <c r="O357" t="n">
        <v>1</v>
      </c>
      <c r="P357" t="n">
        <v>0</v>
      </c>
      <c r="Q357" t="n">
        <v>2</v>
      </c>
      <c r="R357" s="2" t="inlineStr">
        <is>
          <t>Spillkråka
Revlummer</t>
        </is>
      </c>
      <c r="S357">
        <f>HYPERLINK("https://klasma.github.io/Logging_1440/artfynd/A 2270-2025 artfynd.xlsx", "A 2270-2025")</f>
        <v/>
      </c>
      <c r="T357">
        <f>HYPERLINK("https://klasma.github.io/Logging_1440/kartor/A 2270-2025 karta.png", "A 2270-2025")</f>
        <v/>
      </c>
      <c r="V357">
        <f>HYPERLINK("https://klasma.github.io/Logging_1440/klagomål/A 2270-2025 FSC-klagomål.docx", "A 2270-2025")</f>
        <v/>
      </c>
      <c r="W357">
        <f>HYPERLINK("https://klasma.github.io/Logging_1440/klagomålsmail/A 2270-2025 FSC-klagomål mail.docx", "A 2270-2025")</f>
        <v/>
      </c>
      <c r="X357">
        <f>HYPERLINK("https://klasma.github.io/Logging_1440/tillsyn/A 2270-2025 tillsynsbegäran.docx", "A 2270-2025")</f>
        <v/>
      </c>
      <c r="Y357">
        <f>HYPERLINK("https://klasma.github.io/Logging_1440/tillsynsmail/A 2270-2025 tillsynsbegäran mail.docx", "A 2270-2025")</f>
        <v/>
      </c>
      <c r="Z357">
        <f>HYPERLINK("https://klasma.github.io/Logging_1440/fåglar/A 2270-2025 prioriterade fågelarter.docx", "A 2270-2025")</f>
        <v/>
      </c>
    </row>
    <row r="358" ht="15" customHeight="1">
      <c r="A358" t="inlineStr">
        <is>
          <t>A 6252-2024</t>
        </is>
      </c>
      <c r="B358" s="1" t="n">
        <v>45337.7322337963</v>
      </c>
      <c r="C358" s="1" t="n">
        <v>45952</v>
      </c>
      <c r="D358" t="inlineStr">
        <is>
          <t>VÄSTRA GÖTALANDS LÄN</t>
        </is>
      </c>
      <c r="E358" t="inlineStr">
        <is>
          <t>FALKÖPING</t>
        </is>
      </c>
      <c r="G358" t="n">
        <v>4.2</v>
      </c>
      <c r="H358" t="n">
        <v>2</v>
      </c>
      <c r="I358" t="n">
        <v>0</v>
      </c>
      <c r="J358" t="n">
        <v>0</v>
      </c>
      <c r="K358" t="n">
        <v>0</v>
      </c>
      <c r="L358" t="n">
        <v>0</v>
      </c>
      <c r="M358" t="n">
        <v>0</v>
      </c>
      <c r="N358" t="n">
        <v>0</v>
      </c>
      <c r="O358" t="n">
        <v>0</v>
      </c>
      <c r="P358" t="n">
        <v>0</v>
      </c>
      <c r="Q358" t="n">
        <v>2</v>
      </c>
      <c r="R358" s="2" t="inlineStr">
        <is>
          <t>Blåsippa
Revlummer</t>
        </is>
      </c>
      <c r="S358">
        <f>HYPERLINK("https://klasma.github.io/Logging_1499/artfynd/A 6252-2024 artfynd.xlsx", "A 6252-2024")</f>
        <v/>
      </c>
      <c r="T358">
        <f>HYPERLINK("https://klasma.github.io/Logging_1499/kartor/A 6252-2024 karta.png", "A 6252-2024")</f>
        <v/>
      </c>
      <c r="V358">
        <f>HYPERLINK("https://klasma.github.io/Logging_1499/klagomål/A 6252-2024 FSC-klagomål.docx", "A 6252-2024")</f>
        <v/>
      </c>
      <c r="W358">
        <f>HYPERLINK("https://klasma.github.io/Logging_1499/klagomålsmail/A 6252-2024 FSC-klagomål mail.docx", "A 6252-2024")</f>
        <v/>
      </c>
      <c r="X358">
        <f>HYPERLINK("https://klasma.github.io/Logging_1499/tillsyn/A 6252-2024 tillsynsbegäran.docx", "A 6252-2024")</f>
        <v/>
      </c>
      <c r="Y358">
        <f>HYPERLINK("https://klasma.github.io/Logging_1499/tillsynsmail/A 6252-2024 tillsynsbegäran mail.docx", "A 6252-2024")</f>
        <v/>
      </c>
    </row>
    <row r="359" ht="15" customHeight="1">
      <c r="A359" t="inlineStr">
        <is>
          <t>A 42882-2025</t>
        </is>
      </c>
      <c r="B359" s="1" t="n">
        <v>45908.63990740741</v>
      </c>
      <c r="C359" s="1" t="n">
        <v>45952</v>
      </c>
      <c r="D359" t="inlineStr">
        <is>
          <t>VÄSTRA GÖTALANDS LÄN</t>
        </is>
      </c>
      <c r="E359" t="inlineStr">
        <is>
          <t>FÄRGELANDA</t>
        </is>
      </c>
      <c r="G359" t="n">
        <v>2.6</v>
      </c>
      <c r="H359" t="n">
        <v>2</v>
      </c>
      <c r="I359" t="n">
        <v>0</v>
      </c>
      <c r="J359" t="n">
        <v>0</v>
      </c>
      <c r="K359" t="n">
        <v>0</v>
      </c>
      <c r="L359" t="n">
        <v>0</v>
      </c>
      <c r="M359" t="n">
        <v>0</v>
      </c>
      <c r="N359" t="n">
        <v>0</v>
      </c>
      <c r="O359" t="n">
        <v>0</v>
      </c>
      <c r="P359" t="n">
        <v>0</v>
      </c>
      <c r="Q359" t="n">
        <v>2</v>
      </c>
      <c r="R359" s="2" t="inlineStr">
        <is>
          <t>Fläcknycklar
Revlummer</t>
        </is>
      </c>
      <c r="S359">
        <f>HYPERLINK("https://klasma.github.io/Logging_1439/artfynd/A 42882-2025 artfynd.xlsx", "A 42882-2025")</f>
        <v/>
      </c>
      <c r="T359">
        <f>HYPERLINK("https://klasma.github.io/Logging_1439/kartor/A 42882-2025 karta.png", "A 42882-2025")</f>
        <v/>
      </c>
      <c r="V359">
        <f>HYPERLINK("https://klasma.github.io/Logging_1439/klagomål/A 42882-2025 FSC-klagomål.docx", "A 42882-2025")</f>
        <v/>
      </c>
      <c r="W359">
        <f>HYPERLINK("https://klasma.github.io/Logging_1439/klagomålsmail/A 42882-2025 FSC-klagomål mail.docx", "A 42882-2025")</f>
        <v/>
      </c>
      <c r="X359">
        <f>HYPERLINK("https://klasma.github.io/Logging_1439/tillsyn/A 42882-2025 tillsynsbegäran.docx", "A 42882-2025")</f>
        <v/>
      </c>
      <c r="Y359">
        <f>HYPERLINK("https://klasma.github.io/Logging_1439/tillsynsmail/A 42882-2025 tillsynsbegäran mail.docx", "A 42882-2025")</f>
        <v/>
      </c>
    </row>
    <row r="360" ht="15" customHeight="1">
      <c r="A360" t="inlineStr">
        <is>
          <t>A 19851-2025</t>
        </is>
      </c>
      <c r="B360" s="1" t="n">
        <v>45771.49649305556</v>
      </c>
      <c r="C360" s="1" t="n">
        <v>45952</v>
      </c>
      <c r="D360" t="inlineStr">
        <is>
          <t>VÄSTRA GÖTALANDS LÄN</t>
        </is>
      </c>
      <c r="E360" t="inlineStr">
        <is>
          <t>KARLSBORG</t>
        </is>
      </c>
      <c r="F360" t="inlineStr">
        <is>
          <t>Sveaskog</t>
        </is>
      </c>
      <c r="G360" t="n">
        <v>4.9</v>
      </c>
      <c r="H360" t="n">
        <v>2</v>
      </c>
      <c r="I360" t="n">
        <v>0</v>
      </c>
      <c r="J360" t="n">
        <v>0</v>
      </c>
      <c r="K360" t="n">
        <v>1</v>
      </c>
      <c r="L360" t="n">
        <v>0</v>
      </c>
      <c r="M360" t="n">
        <v>0</v>
      </c>
      <c r="N360" t="n">
        <v>0</v>
      </c>
      <c r="O360" t="n">
        <v>1</v>
      </c>
      <c r="P360" t="n">
        <v>1</v>
      </c>
      <c r="Q360" t="n">
        <v>2</v>
      </c>
      <c r="R360" s="2" t="inlineStr">
        <is>
          <t>Knärot
Kungsfågel</t>
        </is>
      </c>
      <c r="S360">
        <f>HYPERLINK("https://klasma.github.io/Logging_1446/artfynd/A 19851-2025 artfynd.xlsx", "A 19851-2025")</f>
        <v/>
      </c>
      <c r="T360">
        <f>HYPERLINK("https://klasma.github.io/Logging_1446/kartor/A 19851-2025 karta.png", "A 19851-2025")</f>
        <v/>
      </c>
      <c r="U360">
        <f>HYPERLINK("https://klasma.github.io/Logging_1446/knärot/A 19851-2025 karta knärot.png", "A 19851-2025")</f>
        <v/>
      </c>
      <c r="V360">
        <f>HYPERLINK("https://klasma.github.io/Logging_1446/klagomål/A 19851-2025 FSC-klagomål.docx", "A 19851-2025")</f>
        <v/>
      </c>
      <c r="W360">
        <f>HYPERLINK("https://klasma.github.io/Logging_1446/klagomålsmail/A 19851-2025 FSC-klagomål mail.docx", "A 19851-2025")</f>
        <v/>
      </c>
      <c r="X360">
        <f>HYPERLINK("https://klasma.github.io/Logging_1446/tillsyn/A 19851-2025 tillsynsbegäran.docx", "A 19851-2025")</f>
        <v/>
      </c>
      <c r="Y360">
        <f>HYPERLINK("https://klasma.github.io/Logging_1446/tillsynsmail/A 19851-2025 tillsynsbegäran mail.docx", "A 19851-2025")</f>
        <v/>
      </c>
      <c r="Z360">
        <f>HYPERLINK("https://klasma.github.io/Logging_1446/fåglar/A 19851-2025 prioriterade fågelarter.docx", "A 19851-2025")</f>
        <v/>
      </c>
    </row>
    <row r="361" ht="15" customHeight="1">
      <c r="A361" t="inlineStr">
        <is>
          <t>A 13380-2025</t>
        </is>
      </c>
      <c r="B361" s="1" t="n">
        <v>45735.6765162037</v>
      </c>
      <c r="C361" s="1" t="n">
        <v>45952</v>
      </c>
      <c r="D361" t="inlineStr">
        <is>
          <t>VÄSTRA GÖTALANDS LÄN</t>
        </is>
      </c>
      <c r="E361" t="inlineStr">
        <is>
          <t>ALE</t>
        </is>
      </c>
      <c r="G361" t="n">
        <v>1.8</v>
      </c>
      <c r="H361" t="n">
        <v>2</v>
      </c>
      <c r="I361" t="n">
        <v>0</v>
      </c>
      <c r="J361" t="n">
        <v>2</v>
      </c>
      <c r="K361" t="n">
        <v>0</v>
      </c>
      <c r="L361" t="n">
        <v>0</v>
      </c>
      <c r="M361" t="n">
        <v>0</v>
      </c>
      <c r="N361" t="n">
        <v>0</v>
      </c>
      <c r="O361" t="n">
        <v>2</v>
      </c>
      <c r="P361" t="n">
        <v>0</v>
      </c>
      <c r="Q361" t="n">
        <v>2</v>
      </c>
      <c r="R361" s="2" t="inlineStr">
        <is>
          <t>Entita
Spillkråka</t>
        </is>
      </c>
      <c r="S361">
        <f>HYPERLINK("https://klasma.github.io/Logging_1440/artfynd/A 13380-2025 artfynd.xlsx", "A 13380-2025")</f>
        <v/>
      </c>
      <c r="T361">
        <f>HYPERLINK("https://klasma.github.io/Logging_1440/kartor/A 13380-2025 karta.png", "A 13380-2025")</f>
        <v/>
      </c>
      <c r="V361">
        <f>HYPERLINK("https://klasma.github.io/Logging_1440/klagomål/A 13380-2025 FSC-klagomål.docx", "A 13380-2025")</f>
        <v/>
      </c>
      <c r="W361">
        <f>HYPERLINK("https://klasma.github.io/Logging_1440/klagomålsmail/A 13380-2025 FSC-klagomål mail.docx", "A 13380-2025")</f>
        <v/>
      </c>
      <c r="X361">
        <f>HYPERLINK("https://klasma.github.io/Logging_1440/tillsyn/A 13380-2025 tillsynsbegäran.docx", "A 13380-2025")</f>
        <v/>
      </c>
      <c r="Y361">
        <f>HYPERLINK("https://klasma.github.io/Logging_1440/tillsynsmail/A 13380-2025 tillsynsbegäran mail.docx", "A 13380-2025")</f>
        <v/>
      </c>
      <c r="Z361">
        <f>HYPERLINK("https://klasma.github.io/Logging_1440/fåglar/A 13380-2025 prioriterade fågelarter.docx", "A 13380-2025")</f>
        <v/>
      </c>
    </row>
    <row r="362" ht="15" customHeight="1">
      <c r="A362" t="inlineStr">
        <is>
          <t>A 13612-2025</t>
        </is>
      </c>
      <c r="B362" s="1" t="n">
        <v>45736.62466435185</v>
      </c>
      <c r="C362" s="1" t="n">
        <v>45952</v>
      </c>
      <c r="D362" t="inlineStr">
        <is>
          <t>VÄSTRA GÖTALANDS LÄN</t>
        </is>
      </c>
      <c r="E362" t="inlineStr">
        <is>
          <t>MARK</t>
        </is>
      </c>
      <c r="F362" t="inlineStr">
        <is>
          <t>Kommuner</t>
        </is>
      </c>
      <c r="G362" t="n">
        <v>5.8</v>
      </c>
      <c r="H362" t="n">
        <v>1</v>
      </c>
      <c r="I362" t="n">
        <v>0</v>
      </c>
      <c r="J362" t="n">
        <v>1</v>
      </c>
      <c r="K362" t="n">
        <v>1</v>
      </c>
      <c r="L362" t="n">
        <v>0</v>
      </c>
      <c r="M362" t="n">
        <v>0</v>
      </c>
      <c r="N362" t="n">
        <v>0</v>
      </c>
      <c r="O362" t="n">
        <v>2</v>
      </c>
      <c r="P362" t="n">
        <v>1</v>
      </c>
      <c r="Q362" t="n">
        <v>2</v>
      </c>
      <c r="R362" s="2" t="inlineStr">
        <is>
          <t>Knärot
Mjukdån</t>
        </is>
      </c>
      <c r="S362">
        <f>HYPERLINK("https://klasma.github.io/Logging_1463/artfynd/A 13612-2025 artfynd.xlsx", "A 13612-2025")</f>
        <v/>
      </c>
      <c r="T362">
        <f>HYPERLINK("https://klasma.github.io/Logging_1463/kartor/A 13612-2025 karta.png", "A 13612-2025")</f>
        <v/>
      </c>
      <c r="U362">
        <f>HYPERLINK("https://klasma.github.io/Logging_1463/knärot/A 13612-2025 karta knärot.png", "A 13612-2025")</f>
        <v/>
      </c>
      <c r="V362">
        <f>HYPERLINK("https://klasma.github.io/Logging_1463/klagomål/A 13612-2025 FSC-klagomål.docx", "A 13612-2025")</f>
        <v/>
      </c>
      <c r="W362">
        <f>HYPERLINK("https://klasma.github.io/Logging_1463/klagomålsmail/A 13612-2025 FSC-klagomål mail.docx", "A 13612-2025")</f>
        <v/>
      </c>
      <c r="X362">
        <f>HYPERLINK("https://klasma.github.io/Logging_1463/tillsyn/A 13612-2025 tillsynsbegäran.docx", "A 13612-2025")</f>
        <v/>
      </c>
      <c r="Y362">
        <f>HYPERLINK("https://klasma.github.io/Logging_1463/tillsynsmail/A 13612-2025 tillsynsbegäran mail.docx", "A 13612-2025")</f>
        <v/>
      </c>
    </row>
    <row r="363" ht="15" customHeight="1">
      <c r="A363" t="inlineStr">
        <is>
          <t>A 30792-2025</t>
        </is>
      </c>
      <c r="B363" s="1" t="n">
        <v>45831.63664351852</v>
      </c>
      <c r="C363" s="1" t="n">
        <v>45952</v>
      </c>
      <c r="D363" t="inlineStr">
        <is>
          <t>VÄSTRA GÖTALANDS LÄN</t>
        </is>
      </c>
      <c r="E363" t="inlineStr">
        <is>
          <t>SVENLJUNGA</t>
        </is>
      </c>
      <c r="G363" t="n">
        <v>6.8</v>
      </c>
      <c r="H363" t="n">
        <v>2</v>
      </c>
      <c r="I363" t="n">
        <v>0</v>
      </c>
      <c r="J363" t="n">
        <v>0</v>
      </c>
      <c r="K363" t="n">
        <v>0</v>
      </c>
      <c r="L363" t="n">
        <v>0</v>
      </c>
      <c r="M363" t="n">
        <v>0</v>
      </c>
      <c r="N363" t="n">
        <v>0</v>
      </c>
      <c r="O363" t="n">
        <v>0</v>
      </c>
      <c r="P363" t="n">
        <v>0</v>
      </c>
      <c r="Q363" t="n">
        <v>2</v>
      </c>
      <c r="R363" s="2" t="inlineStr">
        <is>
          <t>Mattlummer
Revlummer</t>
        </is>
      </c>
      <c r="S363">
        <f>HYPERLINK("https://klasma.github.io/Logging_1465/artfynd/A 30792-2025 artfynd.xlsx", "A 30792-2025")</f>
        <v/>
      </c>
      <c r="T363">
        <f>HYPERLINK("https://klasma.github.io/Logging_1465/kartor/A 30792-2025 karta.png", "A 30792-2025")</f>
        <v/>
      </c>
      <c r="V363">
        <f>HYPERLINK("https://klasma.github.io/Logging_1465/klagomål/A 30792-2025 FSC-klagomål.docx", "A 30792-2025")</f>
        <v/>
      </c>
      <c r="W363">
        <f>HYPERLINK("https://klasma.github.io/Logging_1465/klagomålsmail/A 30792-2025 FSC-klagomål mail.docx", "A 30792-2025")</f>
        <v/>
      </c>
      <c r="X363">
        <f>HYPERLINK("https://klasma.github.io/Logging_1465/tillsyn/A 30792-2025 tillsynsbegäran.docx", "A 30792-2025")</f>
        <v/>
      </c>
      <c r="Y363">
        <f>HYPERLINK("https://klasma.github.io/Logging_1465/tillsynsmail/A 30792-2025 tillsynsbegäran mail.docx", "A 30792-2025")</f>
        <v/>
      </c>
    </row>
    <row r="364" ht="15" customHeight="1">
      <c r="A364" t="inlineStr">
        <is>
          <t>A 2562-2025</t>
        </is>
      </c>
      <c r="B364" s="1" t="n">
        <v>45674.65603009259</v>
      </c>
      <c r="C364" s="1" t="n">
        <v>45952</v>
      </c>
      <c r="D364" t="inlineStr">
        <is>
          <t>VÄSTRA GÖTALANDS LÄN</t>
        </is>
      </c>
      <c r="E364" t="inlineStr">
        <is>
          <t>MUNKEDAL</t>
        </is>
      </c>
      <c r="G364" t="n">
        <v>1.3</v>
      </c>
      <c r="H364" t="n">
        <v>0</v>
      </c>
      <c r="I364" t="n">
        <v>0</v>
      </c>
      <c r="J364" t="n">
        <v>1</v>
      </c>
      <c r="K364" t="n">
        <v>1</v>
      </c>
      <c r="L364" t="n">
        <v>0</v>
      </c>
      <c r="M364" t="n">
        <v>0</v>
      </c>
      <c r="N364" t="n">
        <v>0</v>
      </c>
      <c r="O364" t="n">
        <v>2</v>
      </c>
      <c r="P364" t="n">
        <v>1</v>
      </c>
      <c r="Q364" t="n">
        <v>2</v>
      </c>
      <c r="R364" s="2" t="inlineStr">
        <is>
          <t>Slåttergubbe
Svinrot</t>
        </is>
      </c>
      <c r="S364">
        <f>HYPERLINK("https://klasma.github.io/Logging_1430/artfynd/A 2562-2025 artfynd.xlsx", "A 2562-2025")</f>
        <v/>
      </c>
      <c r="T364">
        <f>HYPERLINK("https://klasma.github.io/Logging_1430/kartor/A 2562-2025 karta.png", "A 2562-2025")</f>
        <v/>
      </c>
      <c r="V364">
        <f>HYPERLINK("https://klasma.github.io/Logging_1430/klagomål/A 2562-2025 FSC-klagomål.docx", "A 2562-2025")</f>
        <v/>
      </c>
      <c r="W364">
        <f>HYPERLINK("https://klasma.github.io/Logging_1430/klagomålsmail/A 2562-2025 FSC-klagomål mail.docx", "A 2562-2025")</f>
        <v/>
      </c>
      <c r="X364">
        <f>HYPERLINK("https://klasma.github.io/Logging_1430/tillsyn/A 2562-2025 tillsynsbegäran.docx", "A 2562-2025")</f>
        <v/>
      </c>
      <c r="Y364">
        <f>HYPERLINK("https://klasma.github.io/Logging_1430/tillsynsmail/A 2562-2025 tillsynsbegäran mail.docx", "A 2562-2025")</f>
        <v/>
      </c>
    </row>
    <row r="365" ht="15" customHeight="1">
      <c r="A365" t="inlineStr">
        <is>
          <t>A 7823-2022</t>
        </is>
      </c>
      <c r="B365" s="1" t="n">
        <v>44608</v>
      </c>
      <c r="C365" s="1" t="n">
        <v>45952</v>
      </c>
      <c r="D365" t="inlineStr">
        <is>
          <t>VÄSTRA GÖTALANDS LÄN</t>
        </is>
      </c>
      <c r="E365" t="inlineStr">
        <is>
          <t>TÖREBODA</t>
        </is>
      </c>
      <c r="G365" t="n">
        <v>21.5</v>
      </c>
      <c r="H365" t="n">
        <v>2</v>
      </c>
      <c r="I365" t="n">
        <v>0</v>
      </c>
      <c r="J365" t="n">
        <v>0</v>
      </c>
      <c r="K365" t="n">
        <v>0</v>
      </c>
      <c r="L365" t="n">
        <v>0</v>
      </c>
      <c r="M365" t="n">
        <v>0</v>
      </c>
      <c r="N365" t="n">
        <v>0</v>
      </c>
      <c r="O365" t="n">
        <v>0</v>
      </c>
      <c r="P365" t="n">
        <v>0</v>
      </c>
      <c r="Q365" t="n">
        <v>2</v>
      </c>
      <c r="R365" s="2" t="inlineStr">
        <is>
          <t>Fläcknycklar
Grönvit nattviol</t>
        </is>
      </c>
      <c r="S365">
        <f>HYPERLINK("https://klasma.github.io/Logging_1473/artfynd/A 7823-2022 artfynd.xlsx", "A 7823-2022")</f>
        <v/>
      </c>
      <c r="T365">
        <f>HYPERLINK("https://klasma.github.io/Logging_1473/kartor/A 7823-2022 karta.png", "A 7823-2022")</f>
        <v/>
      </c>
      <c r="V365">
        <f>HYPERLINK("https://klasma.github.io/Logging_1473/klagomål/A 7823-2022 FSC-klagomål.docx", "A 7823-2022")</f>
        <v/>
      </c>
      <c r="W365">
        <f>HYPERLINK("https://klasma.github.io/Logging_1473/klagomålsmail/A 7823-2022 FSC-klagomål mail.docx", "A 7823-2022")</f>
        <v/>
      </c>
      <c r="X365">
        <f>HYPERLINK("https://klasma.github.io/Logging_1473/tillsyn/A 7823-2022 tillsynsbegäran.docx", "A 7823-2022")</f>
        <v/>
      </c>
      <c r="Y365">
        <f>HYPERLINK("https://klasma.github.io/Logging_1473/tillsynsmail/A 7823-2022 tillsynsbegäran mail.docx", "A 7823-2022")</f>
        <v/>
      </c>
    </row>
    <row r="366" ht="15" customHeight="1">
      <c r="A366" t="inlineStr">
        <is>
          <t>A 32541-2025</t>
        </is>
      </c>
      <c r="B366" s="1" t="n">
        <v>45838.50899305556</v>
      </c>
      <c r="C366" s="1" t="n">
        <v>45952</v>
      </c>
      <c r="D366" t="inlineStr">
        <is>
          <t>VÄSTRA GÖTALANDS LÄN</t>
        </is>
      </c>
      <c r="E366" t="inlineStr">
        <is>
          <t>BORÅS</t>
        </is>
      </c>
      <c r="G366" t="n">
        <v>8.1</v>
      </c>
      <c r="H366" t="n">
        <v>2</v>
      </c>
      <c r="I366" t="n">
        <v>0</v>
      </c>
      <c r="J366" t="n">
        <v>1</v>
      </c>
      <c r="K366" t="n">
        <v>0</v>
      </c>
      <c r="L366" t="n">
        <v>0</v>
      </c>
      <c r="M366" t="n">
        <v>0</v>
      </c>
      <c r="N366" t="n">
        <v>0</v>
      </c>
      <c r="O366" t="n">
        <v>1</v>
      </c>
      <c r="P366" t="n">
        <v>0</v>
      </c>
      <c r="Q366" t="n">
        <v>2</v>
      </c>
      <c r="R366" s="2" t="inlineStr">
        <is>
          <t>Spillkråka
Grönvit nattviol</t>
        </is>
      </c>
      <c r="S366">
        <f>HYPERLINK("https://klasma.github.io/Logging_1490/artfynd/A 32541-2025 artfynd.xlsx", "A 32541-2025")</f>
        <v/>
      </c>
      <c r="T366">
        <f>HYPERLINK("https://klasma.github.io/Logging_1490/kartor/A 32541-2025 karta.png", "A 32541-2025")</f>
        <v/>
      </c>
      <c r="V366">
        <f>HYPERLINK("https://klasma.github.io/Logging_1490/klagomål/A 32541-2025 FSC-klagomål.docx", "A 32541-2025")</f>
        <v/>
      </c>
      <c r="W366">
        <f>HYPERLINK("https://klasma.github.io/Logging_1490/klagomålsmail/A 32541-2025 FSC-klagomål mail.docx", "A 32541-2025")</f>
        <v/>
      </c>
      <c r="X366">
        <f>HYPERLINK("https://klasma.github.io/Logging_1490/tillsyn/A 32541-2025 tillsynsbegäran.docx", "A 32541-2025")</f>
        <v/>
      </c>
      <c r="Y366">
        <f>HYPERLINK("https://klasma.github.io/Logging_1490/tillsynsmail/A 32541-2025 tillsynsbegäran mail.docx", "A 32541-2025")</f>
        <v/>
      </c>
      <c r="Z366">
        <f>HYPERLINK("https://klasma.github.io/Logging_1490/fåglar/A 32541-2025 prioriterade fågelarter.docx", "A 32541-2025")</f>
        <v/>
      </c>
    </row>
    <row r="367" ht="15" customHeight="1">
      <c r="A367" t="inlineStr">
        <is>
          <t>A 48345-2021</t>
        </is>
      </c>
      <c r="B367" s="1" t="n">
        <v>44451</v>
      </c>
      <c r="C367" s="1" t="n">
        <v>45952</v>
      </c>
      <c r="D367" t="inlineStr">
        <is>
          <t>VÄSTRA GÖTALANDS LÄN</t>
        </is>
      </c>
      <c r="E367" t="inlineStr">
        <is>
          <t>KUNGÄLV</t>
        </is>
      </c>
      <c r="G367" t="n">
        <v>3</v>
      </c>
      <c r="H367" t="n">
        <v>1</v>
      </c>
      <c r="I367" t="n">
        <v>1</v>
      </c>
      <c r="J367" t="n">
        <v>1</v>
      </c>
      <c r="K367" t="n">
        <v>0</v>
      </c>
      <c r="L367" t="n">
        <v>0</v>
      </c>
      <c r="M367" t="n">
        <v>0</v>
      </c>
      <c r="N367" t="n">
        <v>0</v>
      </c>
      <c r="O367" t="n">
        <v>1</v>
      </c>
      <c r="P367" t="n">
        <v>0</v>
      </c>
      <c r="Q367" t="n">
        <v>2</v>
      </c>
      <c r="R367" s="2" t="inlineStr">
        <is>
          <t>Spillkråka
Blåmossa</t>
        </is>
      </c>
      <c r="S367">
        <f>HYPERLINK("https://klasma.github.io/Logging_1482/artfynd/A 48345-2021 artfynd.xlsx", "A 48345-2021")</f>
        <v/>
      </c>
      <c r="T367">
        <f>HYPERLINK("https://klasma.github.io/Logging_1482/kartor/A 48345-2021 karta.png", "A 48345-2021")</f>
        <v/>
      </c>
      <c r="V367">
        <f>HYPERLINK("https://klasma.github.io/Logging_1482/klagomål/A 48345-2021 FSC-klagomål.docx", "A 48345-2021")</f>
        <v/>
      </c>
      <c r="W367">
        <f>HYPERLINK("https://klasma.github.io/Logging_1482/klagomålsmail/A 48345-2021 FSC-klagomål mail.docx", "A 48345-2021")</f>
        <v/>
      </c>
      <c r="X367">
        <f>HYPERLINK("https://klasma.github.io/Logging_1482/tillsyn/A 48345-2021 tillsynsbegäran.docx", "A 48345-2021")</f>
        <v/>
      </c>
      <c r="Y367">
        <f>HYPERLINK("https://klasma.github.io/Logging_1482/tillsynsmail/A 48345-2021 tillsynsbegäran mail.docx", "A 48345-2021")</f>
        <v/>
      </c>
      <c r="Z367">
        <f>HYPERLINK("https://klasma.github.io/Logging_1482/fåglar/A 48345-2021 prioriterade fågelarter.docx", "A 48345-2021")</f>
        <v/>
      </c>
    </row>
    <row r="368" ht="15" customHeight="1">
      <c r="A368" t="inlineStr">
        <is>
          <t>A 28676-2022</t>
        </is>
      </c>
      <c r="B368" s="1" t="n">
        <v>44748</v>
      </c>
      <c r="C368" s="1" t="n">
        <v>45952</v>
      </c>
      <c r="D368" t="inlineStr">
        <is>
          <t>VÄSTRA GÖTALANDS LÄN</t>
        </is>
      </c>
      <c r="E368" t="inlineStr">
        <is>
          <t>FALKÖPING</t>
        </is>
      </c>
      <c r="G368" t="n">
        <v>1.4</v>
      </c>
      <c r="H368" t="n">
        <v>1</v>
      </c>
      <c r="I368" t="n">
        <v>1</v>
      </c>
      <c r="J368" t="n">
        <v>0</v>
      </c>
      <c r="K368" t="n">
        <v>0</v>
      </c>
      <c r="L368" t="n">
        <v>0</v>
      </c>
      <c r="M368" t="n">
        <v>0</v>
      </c>
      <c r="N368" t="n">
        <v>0</v>
      </c>
      <c r="O368" t="n">
        <v>0</v>
      </c>
      <c r="P368" t="n">
        <v>0</v>
      </c>
      <c r="Q368" t="n">
        <v>2</v>
      </c>
      <c r="R368" s="2" t="inlineStr">
        <is>
          <t>Myskmadra
Blåsippa</t>
        </is>
      </c>
      <c r="S368">
        <f>HYPERLINK("https://klasma.github.io/Logging_1499/artfynd/A 28676-2022 artfynd.xlsx", "A 28676-2022")</f>
        <v/>
      </c>
      <c r="T368">
        <f>HYPERLINK("https://klasma.github.io/Logging_1499/kartor/A 28676-2022 karta.png", "A 28676-2022")</f>
        <v/>
      </c>
      <c r="V368">
        <f>HYPERLINK("https://klasma.github.io/Logging_1499/klagomål/A 28676-2022 FSC-klagomål.docx", "A 28676-2022")</f>
        <v/>
      </c>
      <c r="W368">
        <f>HYPERLINK("https://klasma.github.io/Logging_1499/klagomålsmail/A 28676-2022 FSC-klagomål mail.docx", "A 28676-2022")</f>
        <v/>
      </c>
      <c r="X368">
        <f>HYPERLINK("https://klasma.github.io/Logging_1499/tillsyn/A 28676-2022 tillsynsbegäran.docx", "A 28676-2022")</f>
        <v/>
      </c>
      <c r="Y368">
        <f>HYPERLINK("https://klasma.github.io/Logging_1499/tillsynsmail/A 28676-2022 tillsynsbegäran mail.docx", "A 28676-2022")</f>
        <v/>
      </c>
    </row>
    <row r="369" ht="15" customHeight="1">
      <c r="A369" t="inlineStr">
        <is>
          <t>A 434-2024</t>
        </is>
      </c>
      <c r="B369" s="1" t="n">
        <v>45296.57905092592</v>
      </c>
      <c r="C369" s="1" t="n">
        <v>45952</v>
      </c>
      <c r="D369" t="inlineStr">
        <is>
          <t>VÄSTRA GÖTALANDS LÄN</t>
        </is>
      </c>
      <c r="E369" t="inlineStr">
        <is>
          <t>LILLA EDET</t>
        </is>
      </c>
      <c r="F369" t="inlineStr">
        <is>
          <t>Kommuner</t>
        </is>
      </c>
      <c r="G369" t="n">
        <v>6.3</v>
      </c>
      <c r="H369" t="n">
        <v>1</v>
      </c>
      <c r="I369" t="n">
        <v>1</v>
      </c>
      <c r="J369" t="n">
        <v>0</v>
      </c>
      <c r="K369" t="n">
        <v>0</v>
      </c>
      <c r="L369" t="n">
        <v>0</v>
      </c>
      <c r="M369" t="n">
        <v>0</v>
      </c>
      <c r="N369" t="n">
        <v>0</v>
      </c>
      <c r="O369" t="n">
        <v>0</v>
      </c>
      <c r="P369" t="n">
        <v>0</v>
      </c>
      <c r="Q369" t="n">
        <v>2</v>
      </c>
      <c r="R369" s="2" t="inlineStr">
        <is>
          <t>Västlig hakmossa
Revlummer</t>
        </is>
      </c>
      <c r="S369">
        <f>HYPERLINK("https://klasma.github.io/Logging_1462/artfynd/A 434-2024 artfynd.xlsx", "A 434-2024")</f>
        <v/>
      </c>
      <c r="T369">
        <f>HYPERLINK("https://klasma.github.io/Logging_1462/kartor/A 434-2024 karta.png", "A 434-2024")</f>
        <v/>
      </c>
      <c r="V369">
        <f>HYPERLINK("https://klasma.github.io/Logging_1462/klagomål/A 434-2024 FSC-klagomål.docx", "A 434-2024")</f>
        <v/>
      </c>
      <c r="W369">
        <f>HYPERLINK("https://klasma.github.io/Logging_1462/klagomålsmail/A 434-2024 FSC-klagomål mail.docx", "A 434-2024")</f>
        <v/>
      </c>
      <c r="X369">
        <f>HYPERLINK("https://klasma.github.io/Logging_1462/tillsyn/A 434-2024 tillsynsbegäran.docx", "A 434-2024")</f>
        <v/>
      </c>
      <c r="Y369">
        <f>HYPERLINK("https://klasma.github.io/Logging_1462/tillsynsmail/A 434-2024 tillsynsbegäran mail.docx", "A 434-2024")</f>
        <v/>
      </c>
    </row>
    <row r="370" ht="15" customHeight="1">
      <c r="A370" t="inlineStr">
        <is>
          <t>A 13936-2023</t>
        </is>
      </c>
      <c r="B370" s="1" t="n">
        <v>45008</v>
      </c>
      <c r="C370" s="1" t="n">
        <v>45952</v>
      </c>
      <c r="D370" t="inlineStr">
        <is>
          <t>VÄSTRA GÖTALANDS LÄN</t>
        </is>
      </c>
      <c r="E370" t="inlineStr">
        <is>
          <t>TANUM</t>
        </is>
      </c>
      <c r="G370" t="n">
        <v>3.5</v>
      </c>
      <c r="H370" t="n">
        <v>1</v>
      </c>
      <c r="I370" t="n">
        <v>0</v>
      </c>
      <c r="J370" t="n">
        <v>2</v>
      </c>
      <c r="K370" t="n">
        <v>0</v>
      </c>
      <c r="L370" t="n">
        <v>0</v>
      </c>
      <c r="M370" t="n">
        <v>0</v>
      </c>
      <c r="N370" t="n">
        <v>0</v>
      </c>
      <c r="O370" t="n">
        <v>2</v>
      </c>
      <c r="P370" t="n">
        <v>0</v>
      </c>
      <c r="Q370" t="n">
        <v>2</v>
      </c>
      <c r="R370" s="2" t="inlineStr">
        <is>
          <t>Skrovellav
Spillkråka</t>
        </is>
      </c>
      <c r="S370">
        <f>HYPERLINK("https://klasma.github.io/Logging_1435/artfynd/A 13936-2023 artfynd.xlsx", "A 13936-2023")</f>
        <v/>
      </c>
      <c r="T370">
        <f>HYPERLINK("https://klasma.github.io/Logging_1435/kartor/A 13936-2023 karta.png", "A 13936-2023")</f>
        <v/>
      </c>
      <c r="V370">
        <f>HYPERLINK("https://klasma.github.io/Logging_1435/klagomål/A 13936-2023 FSC-klagomål.docx", "A 13936-2023")</f>
        <v/>
      </c>
      <c r="W370">
        <f>HYPERLINK("https://klasma.github.io/Logging_1435/klagomålsmail/A 13936-2023 FSC-klagomål mail.docx", "A 13936-2023")</f>
        <v/>
      </c>
      <c r="X370">
        <f>HYPERLINK("https://klasma.github.io/Logging_1435/tillsyn/A 13936-2023 tillsynsbegäran.docx", "A 13936-2023")</f>
        <v/>
      </c>
      <c r="Y370">
        <f>HYPERLINK("https://klasma.github.io/Logging_1435/tillsynsmail/A 13936-2023 tillsynsbegäran mail.docx", "A 13936-2023")</f>
        <v/>
      </c>
      <c r="Z370">
        <f>HYPERLINK("https://klasma.github.io/Logging_1435/fåglar/A 13936-2023 prioriterade fågelarter.docx", "A 13936-2023")</f>
        <v/>
      </c>
    </row>
    <row r="371" ht="15" customHeight="1">
      <c r="A371" t="inlineStr">
        <is>
          <t>A 2389-2024</t>
        </is>
      </c>
      <c r="B371" s="1" t="n">
        <v>45310</v>
      </c>
      <c r="C371" s="1" t="n">
        <v>45952</v>
      </c>
      <c r="D371" t="inlineStr">
        <is>
          <t>VÄSTRA GÖTALANDS LÄN</t>
        </is>
      </c>
      <c r="E371" t="inlineStr">
        <is>
          <t>TIDAHOLM</t>
        </is>
      </c>
      <c r="G371" t="n">
        <v>18.2</v>
      </c>
      <c r="H371" t="n">
        <v>2</v>
      </c>
      <c r="I371" t="n">
        <v>1</v>
      </c>
      <c r="J371" t="n">
        <v>0</v>
      </c>
      <c r="K371" t="n">
        <v>0</v>
      </c>
      <c r="L371" t="n">
        <v>0</v>
      </c>
      <c r="M371" t="n">
        <v>0</v>
      </c>
      <c r="N371" t="n">
        <v>0</v>
      </c>
      <c r="O371" t="n">
        <v>0</v>
      </c>
      <c r="P371" t="n">
        <v>0</v>
      </c>
      <c r="Q371" t="n">
        <v>2</v>
      </c>
      <c r="R371" s="2" t="inlineStr">
        <is>
          <t>Grön sköldmossa
Revlummer</t>
        </is>
      </c>
      <c r="S371">
        <f>HYPERLINK("https://klasma.github.io/Logging_1498/artfynd/A 2389-2024 artfynd.xlsx", "A 2389-2024")</f>
        <v/>
      </c>
      <c r="T371">
        <f>HYPERLINK("https://klasma.github.io/Logging_1498/kartor/A 2389-2024 karta.png", "A 2389-2024")</f>
        <v/>
      </c>
      <c r="V371">
        <f>HYPERLINK("https://klasma.github.io/Logging_1498/klagomål/A 2389-2024 FSC-klagomål.docx", "A 2389-2024")</f>
        <v/>
      </c>
      <c r="W371">
        <f>HYPERLINK("https://klasma.github.io/Logging_1498/klagomålsmail/A 2389-2024 FSC-klagomål mail.docx", "A 2389-2024")</f>
        <v/>
      </c>
      <c r="X371">
        <f>HYPERLINK("https://klasma.github.io/Logging_1498/tillsyn/A 2389-2024 tillsynsbegäran.docx", "A 2389-2024")</f>
        <v/>
      </c>
      <c r="Y371">
        <f>HYPERLINK("https://klasma.github.io/Logging_1498/tillsynsmail/A 2389-2024 tillsynsbegäran mail.docx", "A 2389-2024")</f>
        <v/>
      </c>
    </row>
    <row r="372" ht="15" customHeight="1">
      <c r="A372" t="inlineStr">
        <is>
          <t>A 55712-2021</t>
        </is>
      </c>
      <c r="B372" s="1" t="n">
        <v>44476</v>
      </c>
      <c r="C372" s="1" t="n">
        <v>45952</v>
      </c>
      <c r="D372" t="inlineStr">
        <is>
          <t>VÄSTRA GÖTALANDS LÄN</t>
        </is>
      </c>
      <c r="E372" t="inlineStr">
        <is>
          <t>BORÅS</t>
        </is>
      </c>
      <c r="F372" t="inlineStr">
        <is>
          <t>Kommuner</t>
        </is>
      </c>
      <c r="G372" t="n">
        <v>3.6</v>
      </c>
      <c r="H372" t="n">
        <v>1</v>
      </c>
      <c r="I372" t="n">
        <v>0</v>
      </c>
      <c r="J372" t="n">
        <v>0</v>
      </c>
      <c r="K372" t="n">
        <v>1</v>
      </c>
      <c r="L372" t="n">
        <v>0</v>
      </c>
      <c r="M372" t="n">
        <v>1</v>
      </c>
      <c r="N372" t="n">
        <v>0</v>
      </c>
      <c r="O372" t="n">
        <v>2</v>
      </c>
      <c r="P372" t="n">
        <v>2</v>
      </c>
      <c r="Q372" t="n">
        <v>2</v>
      </c>
      <c r="R372" s="2" t="inlineStr">
        <is>
          <t>Skogsalm
Knärot</t>
        </is>
      </c>
      <c r="S372">
        <f>HYPERLINK("https://klasma.github.io/Logging_1490/artfynd/A 55712-2021 artfynd.xlsx", "A 55712-2021")</f>
        <v/>
      </c>
      <c r="T372">
        <f>HYPERLINK("https://klasma.github.io/Logging_1490/kartor/A 55712-2021 karta.png", "A 55712-2021")</f>
        <v/>
      </c>
      <c r="U372">
        <f>HYPERLINK("https://klasma.github.io/Logging_1490/knärot/A 55712-2021 karta knärot.png", "A 55712-2021")</f>
        <v/>
      </c>
      <c r="V372">
        <f>HYPERLINK("https://klasma.github.io/Logging_1490/klagomål/A 55712-2021 FSC-klagomål.docx", "A 55712-2021")</f>
        <v/>
      </c>
      <c r="W372">
        <f>HYPERLINK("https://klasma.github.io/Logging_1490/klagomålsmail/A 55712-2021 FSC-klagomål mail.docx", "A 55712-2021")</f>
        <v/>
      </c>
      <c r="X372">
        <f>HYPERLINK("https://klasma.github.io/Logging_1490/tillsyn/A 55712-2021 tillsynsbegäran.docx", "A 55712-2021")</f>
        <v/>
      </c>
      <c r="Y372">
        <f>HYPERLINK("https://klasma.github.io/Logging_1490/tillsynsmail/A 55712-2021 tillsynsbegäran mail.docx", "A 55712-2021")</f>
        <v/>
      </c>
    </row>
    <row r="373" ht="15" customHeight="1">
      <c r="A373" t="inlineStr">
        <is>
          <t>A 51774-2023</t>
        </is>
      </c>
      <c r="B373" s="1" t="n">
        <v>45222.72725694445</v>
      </c>
      <c r="C373" s="1" t="n">
        <v>45952</v>
      </c>
      <c r="D373" t="inlineStr">
        <is>
          <t>VÄSTRA GÖTALANDS LÄN</t>
        </is>
      </c>
      <c r="E373" t="inlineStr">
        <is>
          <t>MARIESTAD</t>
        </is>
      </c>
      <c r="G373" t="n">
        <v>11.6</v>
      </c>
      <c r="H373" t="n">
        <v>2</v>
      </c>
      <c r="I373" t="n">
        <v>0</v>
      </c>
      <c r="J373" t="n">
        <v>0</v>
      </c>
      <c r="K373" t="n">
        <v>1</v>
      </c>
      <c r="L373" t="n">
        <v>1</v>
      </c>
      <c r="M373" t="n">
        <v>0</v>
      </c>
      <c r="N373" t="n">
        <v>0</v>
      </c>
      <c r="O373" t="n">
        <v>2</v>
      </c>
      <c r="P373" t="n">
        <v>2</v>
      </c>
      <c r="Q373" t="n">
        <v>2</v>
      </c>
      <c r="R373" s="2" t="inlineStr">
        <is>
          <t>Storspov
Stare</t>
        </is>
      </c>
      <c r="S373">
        <f>HYPERLINK("https://klasma.github.io/Logging_1493/artfynd/A 51774-2023 artfynd.xlsx", "A 51774-2023")</f>
        <v/>
      </c>
      <c r="T373">
        <f>HYPERLINK("https://klasma.github.io/Logging_1493/kartor/A 51774-2023 karta.png", "A 51774-2023")</f>
        <v/>
      </c>
      <c r="V373">
        <f>HYPERLINK("https://klasma.github.io/Logging_1493/klagomål/A 51774-2023 FSC-klagomål.docx", "A 51774-2023")</f>
        <v/>
      </c>
      <c r="W373">
        <f>HYPERLINK("https://klasma.github.io/Logging_1493/klagomålsmail/A 51774-2023 FSC-klagomål mail.docx", "A 51774-2023")</f>
        <v/>
      </c>
      <c r="X373">
        <f>HYPERLINK("https://klasma.github.io/Logging_1493/tillsyn/A 51774-2023 tillsynsbegäran.docx", "A 51774-2023")</f>
        <v/>
      </c>
      <c r="Y373">
        <f>HYPERLINK("https://klasma.github.io/Logging_1493/tillsynsmail/A 51774-2023 tillsynsbegäran mail.docx", "A 51774-2023")</f>
        <v/>
      </c>
    </row>
    <row r="374" ht="15" customHeight="1">
      <c r="A374" t="inlineStr">
        <is>
          <t>A 59406-2024</t>
        </is>
      </c>
      <c r="B374" s="1" t="n">
        <v>45638.38912037037</v>
      </c>
      <c r="C374" s="1" t="n">
        <v>45952</v>
      </c>
      <c r="D374" t="inlineStr">
        <is>
          <t>VÄSTRA GÖTALANDS LÄN</t>
        </is>
      </c>
      <c r="E374" t="inlineStr">
        <is>
          <t>STRÖMSTAD</t>
        </is>
      </c>
      <c r="F374" t="inlineStr">
        <is>
          <t>Kommuner</t>
        </is>
      </c>
      <c r="G374" t="n">
        <v>11.9</v>
      </c>
      <c r="H374" t="n">
        <v>2</v>
      </c>
      <c r="I374" t="n">
        <v>0</v>
      </c>
      <c r="J374" t="n">
        <v>0</v>
      </c>
      <c r="K374" t="n">
        <v>2</v>
      </c>
      <c r="L374" t="n">
        <v>0</v>
      </c>
      <c r="M374" t="n">
        <v>0</v>
      </c>
      <c r="N374" t="n">
        <v>0</v>
      </c>
      <c r="O374" t="n">
        <v>2</v>
      </c>
      <c r="P374" t="n">
        <v>2</v>
      </c>
      <c r="Q374" t="n">
        <v>2</v>
      </c>
      <c r="R374" s="2" t="inlineStr">
        <is>
          <t>Hasselsnok
Sandödla</t>
        </is>
      </c>
      <c r="S374">
        <f>HYPERLINK("https://klasma.github.io/Logging_1486/artfynd/A 59406-2024 artfynd.xlsx", "A 59406-2024")</f>
        <v/>
      </c>
      <c r="T374">
        <f>HYPERLINK("https://klasma.github.io/Logging_1486/kartor/A 59406-2024 karta.png", "A 59406-2024")</f>
        <v/>
      </c>
      <c r="V374">
        <f>HYPERLINK("https://klasma.github.io/Logging_1486/klagomål/A 59406-2024 FSC-klagomål.docx", "A 59406-2024")</f>
        <v/>
      </c>
      <c r="W374">
        <f>HYPERLINK("https://klasma.github.io/Logging_1486/klagomålsmail/A 59406-2024 FSC-klagomål mail.docx", "A 59406-2024")</f>
        <v/>
      </c>
      <c r="X374">
        <f>HYPERLINK("https://klasma.github.io/Logging_1486/tillsyn/A 59406-2024 tillsynsbegäran.docx", "A 59406-2024")</f>
        <v/>
      </c>
      <c r="Y374">
        <f>HYPERLINK("https://klasma.github.io/Logging_1486/tillsynsmail/A 59406-2024 tillsynsbegäran mail.docx", "A 59406-2024")</f>
        <v/>
      </c>
    </row>
    <row r="375" ht="15" customHeight="1">
      <c r="A375" t="inlineStr">
        <is>
          <t>A 18778-2025</t>
        </is>
      </c>
      <c r="B375" s="1" t="n">
        <v>45763</v>
      </c>
      <c r="C375" s="1" t="n">
        <v>45952</v>
      </c>
      <c r="D375" t="inlineStr">
        <is>
          <t>VÄSTRA GÖTALANDS LÄN</t>
        </is>
      </c>
      <c r="E375" t="inlineStr">
        <is>
          <t>GULLSPÅNG</t>
        </is>
      </c>
      <c r="G375" t="n">
        <v>1.7</v>
      </c>
      <c r="H375" t="n">
        <v>0</v>
      </c>
      <c r="I375" t="n">
        <v>1</v>
      </c>
      <c r="J375" t="n">
        <v>0</v>
      </c>
      <c r="K375" t="n">
        <v>1</v>
      </c>
      <c r="L375" t="n">
        <v>0</v>
      </c>
      <c r="M375" t="n">
        <v>0</v>
      </c>
      <c r="N375" t="n">
        <v>0</v>
      </c>
      <c r="O375" t="n">
        <v>1</v>
      </c>
      <c r="P375" t="n">
        <v>1</v>
      </c>
      <c r="Q375" t="n">
        <v>2</v>
      </c>
      <c r="R375" s="2" t="inlineStr">
        <is>
          <t>Taggfingersvamp
Tjockfotad fingersvamp</t>
        </is>
      </c>
      <c r="S375">
        <f>HYPERLINK("https://klasma.github.io/Logging_1447/artfynd/A 18778-2025 artfynd.xlsx", "A 18778-2025")</f>
        <v/>
      </c>
      <c r="T375">
        <f>HYPERLINK("https://klasma.github.io/Logging_1447/kartor/A 18778-2025 karta.png", "A 18778-2025")</f>
        <v/>
      </c>
      <c r="V375">
        <f>HYPERLINK("https://klasma.github.io/Logging_1447/klagomål/A 18778-2025 FSC-klagomål.docx", "A 18778-2025")</f>
        <v/>
      </c>
      <c r="W375">
        <f>HYPERLINK("https://klasma.github.io/Logging_1447/klagomålsmail/A 18778-2025 FSC-klagomål mail.docx", "A 18778-2025")</f>
        <v/>
      </c>
      <c r="X375">
        <f>HYPERLINK("https://klasma.github.io/Logging_1447/tillsyn/A 18778-2025 tillsynsbegäran.docx", "A 18778-2025")</f>
        <v/>
      </c>
      <c r="Y375">
        <f>HYPERLINK("https://klasma.github.io/Logging_1447/tillsynsmail/A 18778-2025 tillsynsbegäran mail.docx", "A 18778-2025")</f>
        <v/>
      </c>
    </row>
    <row r="376" ht="15" customHeight="1">
      <c r="A376" t="inlineStr">
        <is>
          <t>A 16534-2025</t>
        </is>
      </c>
      <c r="B376" s="1" t="n">
        <v>45751.65315972222</v>
      </c>
      <c r="C376" s="1" t="n">
        <v>45952</v>
      </c>
      <c r="D376" t="inlineStr">
        <is>
          <t>VÄSTRA GÖTALANDS LÄN</t>
        </is>
      </c>
      <c r="E376" t="inlineStr">
        <is>
          <t>ALE</t>
        </is>
      </c>
      <c r="G376" t="n">
        <v>1.5</v>
      </c>
      <c r="H376" t="n">
        <v>1</v>
      </c>
      <c r="I376" t="n">
        <v>1</v>
      </c>
      <c r="J376" t="n">
        <v>1</v>
      </c>
      <c r="K376" t="n">
        <v>0</v>
      </c>
      <c r="L376" t="n">
        <v>0</v>
      </c>
      <c r="M376" t="n">
        <v>0</v>
      </c>
      <c r="N376" t="n">
        <v>0</v>
      </c>
      <c r="O376" t="n">
        <v>1</v>
      </c>
      <c r="P376" t="n">
        <v>0</v>
      </c>
      <c r="Q376" t="n">
        <v>2</v>
      </c>
      <c r="R376" s="2" t="inlineStr">
        <is>
          <t>Entita
Västlig hakmossa</t>
        </is>
      </c>
      <c r="S376">
        <f>HYPERLINK("https://klasma.github.io/Logging_1440/artfynd/A 16534-2025 artfynd.xlsx", "A 16534-2025")</f>
        <v/>
      </c>
      <c r="T376">
        <f>HYPERLINK("https://klasma.github.io/Logging_1440/kartor/A 16534-2025 karta.png", "A 16534-2025")</f>
        <v/>
      </c>
      <c r="V376">
        <f>HYPERLINK("https://klasma.github.io/Logging_1440/klagomål/A 16534-2025 FSC-klagomål.docx", "A 16534-2025")</f>
        <v/>
      </c>
      <c r="W376">
        <f>HYPERLINK("https://klasma.github.io/Logging_1440/klagomålsmail/A 16534-2025 FSC-klagomål mail.docx", "A 16534-2025")</f>
        <v/>
      </c>
      <c r="X376">
        <f>HYPERLINK("https://klasma.github.io/Logging_1440/tillsyn/A 16534-2025 tillsynsbegäran.docx", "A 16534-2025")</f>
        <v/>
      </c>
      <c r="Y376">
        <f>HYPERLINK("https://klasma.github.io/Logging_1440/tillsynsmail/A 16534-2025 tillsynsbegäran mail.docx", "A 16534-2025")</f>
        <v/>
      </c>
      <c r="Z376">
        <f>HYPERLINK("https://klasma.github.io/Logging_1440/fåglar/A 16534-2025 prioriterade fågelarter.docx", "A 16534-2025")</f>
        <v/>
      </c>
    </row>
    <row r="377" ht="15" customHeight="1">
      <c r="A377" t="inlineStr">
        <is>
          <t>A 20586-2023</t>
        </is>
      </c>
      <c r="B377" s="1" t="n">
        <v>45057</v>
      </c>
      <c r="C377" s="1" t="n">
        <v>45952</v>
      </c>
      <c r="D377" t="inlineStr">
        <is>
          <t>VÄSTRA GÖTALANDS LÄN</t>
        </is>
      </c>
      <c r="E377" t="inlineStr">
        <is>
          <t>ALE</t>
        </is>
      </c>
      <c r="G377" t="n">
        <v>1.5</v>
      </c>
      <c r="H377" t="n">
        <v>1</v>
      </c>
      <c r="I377" t="n">
        <v>1</v>
      </c>
      <c r="J377" t="n">
        <v>1</v>
      </c>
      <c r="K377" t="n">
        <v>0</v>
      </c>
      <c r="L377" t="n">
        <v>0</v>
      </c>
      <c r="M377" t="n">
        <v>0</v>
      </c>
      <c r="N377" t="n">
        <v>0</v>
      </c>
      <c r="O377" t="n">
        <v>1</v>
      </c>
      <c r="P377" t="n">
        <v>0</v>
      </c>
      <c r="Q377" t="n">
        <v>2</v>
      </c>
      <c r="R377" s="2" t="inlineStr">
        <is>
          <t>Entita
Västlig hakmossa</t>
        </is>
      </c>
      <c r="S377">
        <f>HYPERLINK("https://klasma.github.io/Logging_1440/artfynd/A 20586-2023 artfynd.xlsx", "A 20586-2023")</f>
        <v/>
      </c>
      <c r="T377">
        <f>HYPERLINK("https://klasma.github.io/Logging_1440/kartor/A 20586-2023 karta.png", "A 20586-2023")</f>
        <v/>
      </c>
      <c r="V377">
        <f>HYPERLINK("https://klasma.github.io/Logging_1440/klagomål/A 20586-2023 FSC-klagomål.docx", "A 20586-2023")</f>
        <v/>
      </c>
      <c r="W377">
        <f>HYPERLINK("https://klasma.github.io/Logging_1440/klagomålsmail/A 20586-2023 FSC-klagomål mail.docx", "A 20586-2023")</f>
        <v/>
      </c>
      <c r="X377">
        <f>HYPERLINK("https://klasma.github.io/Logging_1440/tillsyn/A 20586-2023 tillsynsbegäran.docx", "A 20586-2023")</f>
        <v/>
      </c>
      <c r="Y377">
        <f>HYPERLINK("https://klasma.github.io/Logging_1440/tillsynsmail/A 20586-2023 tillsynsbegäran mail.docx", "A 20586-2023")</f>
        <v/>
      </c>
      <c r="Z377">
        <f>HYPERLINK("https://klasma.github.io/Logging_1440/fåglar/A 20586-2023 prioriterade fågelarter.docx", "A 20586-2023")</f>
        <v/>
      </c>
    </row>
    <row r="378" ht="15" customHeight="1">
      <c r="A378" t="inlineStr">
        <is>
          <t>A 35783-2025</t>
        </is>
      </c>
      <c r="B378" s="1" t="n">
        <v>45860.84145833334</v>
      </c>
      <c r="C378" s="1" t="n">
        <v>45952</v>
      </c>
      <c r="D378" t="inlineStr">
        <is>
          <t>VÄSTRA GÖTALANDS LÄN</t>
        </is>
      </c>
      <c r="E378" t="inlineStr">
        <is>
          <t>LYSEKIL</t>
        </is>
      </c>
      <c r="G378" t="n">
        <v>6.1</v>
      </c>
      <c r="H378" t="n">
        <v>1</v>
      </c>
      <c r="I378" t="n">
        <v>1</v>
      </c>
      <c r="J378" t="n">
        <v>0</v>
      </c>
      <c r="K378" t="n">
        <v>0</v>
      </c>
      <c r="L378" t="n">
        <v>0</v>
      </c>
      <c r="M378" t="n">
        <v>0</v>
      </c>
      <c r="N378" t="n">
        <v>0</v>
      </c>
      <c r="O378" t="n">
        <v>0</v>
      </c>
      <c r="P378" t="n">
        <v>0</v>
      </c>
      <c r="Q378" t="n">
        <v>2</v>
      </c>
      <c r="R378" s="2" t="inlineStr">
        <is>
          <t>Svart trolldruva
Blåsippa</t>
        </is>
      </c>
      <c r="S378">
        <f>HYPERLINK("https://klasma.github.io/Logging_1484/artfynd/A 35783-2025 artfynd.xlsx", "A 35783-2025")</f>
        <v/>
      </c>
      <c r="T378">
        <f>HYPERLINK("https://klasma.github.io/Logging_1484/kartor/A 35783-2025 karta.png", "A 35783-2025")</f>
        <v/>
      </c>
      <c r="V378">
        <f>HYPERLINK("https://klasma.github.io/Logging_1484/klagomål/A 35783-2025 FSC-klagomål.docx", "A 35783-2025")</f>
        <v/>
      </c>
      <c r="W378">
        <f>HYPERLINK("https://klasma.github.io/Logging_1484/klagomålsmail/A 35783-2025 FSC-klagomål mail.docx", "A 35783-2025")</f>
        <v/>
      </c>
      <c r="X378">
        <f>HYPERLINK("https://klasma.github.io/Logging_1484/tillsyn/A 35783-2025 tillsynsbegäran.docx", "A 35783-2025")</f>
        <v/>
      </c>
      <c r="Y378">
        <f>HYPERLINK("https://klasma.github.io/Logging_1484/tillsynsmail/A 35783-2025 tillsynsbegäran mail.docx", "A 35783-2025")</f>
        <v/>
      </c>
    </row>
    <row r="379" ht="15" customHeight="1">
      <c r="A379" t="inlineStr">
        <is>
          <t>A 43908-2024</t>
        </is>
      </c>
      <c r="B379" s="1" t="n">
        <v>45572</v>
      </c>
      <c r="C379" s="1" t="n">
        <v>45952</v>
      </c>
      <c r="D379" t="inlineStr">
        <is>
          <t>VÄSTRA GÖTALANDS LÄN</t>
        </is>
      </c>
      <c r="E379" t="inlineStr">
        <is>
          <t>DALS-ED</t>
        </is>
      </c>
      <c r="G379" t="n">
        <v>6.7</v>
      </c>
      <c r="H379" t="n">
        <v>2</v>
      </c>
      <c r="I379" t="n">
        <v>0</v>
      </c>
      <c r="J379" t="n">
        <v>1</v>
      </c>
      <c r="K379" t="n">
        <v>0</v>
      </c>
      <c r="L379" t="n">
        <v>0</v>
      </c>
      <c r="M379" t="n">
        <v>0</v>
      </c>
      <c r="N379" t="n">
        <v>0</v>
      </c>
      <c r="O379" t="n">
        <v>1</v>
      </c>
      <c r="P379" t="n">
        <v>0</v>
      </c>
      <c r="Q379" t="n">
        <v>2</v>
      </c>
      <c r="R379" s="2" t="inlineStr">
        <is>
          <t>Spillkråka
Revlummer</t>
        </is>
      </c>
      <c r="S379">
        <f>HYPERLINK("https://klasma.github.io/Logging_1438/artfynd/A 43908-2024 artfynd.xlsx", "A 43908-2024")</f>
        <v/>
      </c>
      <c r="T379">
        <f>HYPERLINK("https://klasma.github.io/Logging_1438/kartor/A 43908-2024 karta.png", "A 43908-2024")</f>
        <v/>
      </c>
      <c r="V379">
        <f>HYPERLINK("https://klasma.github.io/Logging_1438/klagomål/A 43908-2024 FSC-klagomål.docx", "A 43908-2024")</f>
        <v/>
      </c>
      <c r="W379">
        <f>HYPERLINK("https://klasma.github.io/Logging_1438/klagomålsmail/A 43908-2024 FSC-klagomål mail.docx", "A 43908-2024")</f>
        <v/>
      </c>
      <c r="X379">
        <f>HYPERLINK("https://klasma.github.io/Logging_1438/tillsyn/A 43908-2024 tillsynsbegäran.docx", "A 43908-2024")</f>
        <v/>
      </c>
      <c r="Y379">
        <f>HYPERLINK("https://klasma.github.io/Logging_1438/tillsynsmail/A 43908-2024 tillsynsbegäran mail.docx", "A 43908-2024")</f>
        <v/>
      </c>
      <c r="Z379">
        <f>HYPERLINK("https://klasma.github.io/Logging_1438/fåglar/A 43908-2024 prioriterade fågelarter.docx", "A 43908-2024")</f>
        <v/>
      </c>
    </row>
    <row r="380" ht="15" customHeight="1">
      <c r="A380" t="inlineStr">
        <is>
          <t>A 380-2025</t>
        </is>
      </c>
      <c r="B380" s="1" t="n">
        <v>45662.43456018518</v>
      </c>
      <c r="C380" s="1" t="n">
        <v>45952</v>
      </c>
      <c r="D380" t="inlineStr">
        <is>
          <t>VÄSTRA GÖTALANDS LÄN</t>
        </is>
      </c>
      <c r="E380" t="inlineStr">
        <is>
          <t>ALE</t>
        </is>
      </c>
      <c r="G380" t="n">
        <v>8.6</v>
      </c>
      <c r="H380" t="n">
        <v>1</v>
      </c>
      <c r="I380" t="n">
        <v>1</v>
      </c>
      <c r="J380" t="n">
        <v>1</v>
      </c>
      <c r="K380" t="n">
        <v>0</v>
      </c>
      <c r="L380" t="n">
        <v>0</v>
      </c>
      <c r="M380" t="n">
        <v>0</v>
      </c>
      <c r="N380" t="n">
        <v>0</v>
      </c>
      <c r="O380" t="n">
        <v>1</v>
      </c>
      <c r="P380" t="n">
        <v>0</v>
      </c>
      <c r="Q380" t="n">
        <v>2</v>
      </c>
      <c r="R380" s="2" t="inlineStr">
        <is>
          <t>Spillkråka
Blåmossa</t>
        </is>
      </c>
      <c r="S380">
        <f>HYPERLINK("https://klasma.github.io/Logging_1440/artfynd/A 380-2025 artfynd.xlsx", "A 380-2025")</f>
        <v/>
      </c>
      <c r="T380">
        <f>HYPERLINK("https://klasma.github.io/Logging_1440/kartor/A 380-2025 karta.png", "A 380-2025")</f>
        <v/>
      </c>
      <c r="V380">
        <f>HYPERLINK("https://klasma.github.io/Logging_1440/klagomål/A 380-2025 FSC-klagomål.docx", "A 380-2025")</f>
        <v/>
      </c>
      <c r="W380">
        <f>HYPERLINK("https://klasma.github.io/Logging_1440/klagomålsmail/A 380-2025 FSC-klagomål mail.docx", "A 380-2025")</f>
        <v/>
      </c>
      <c r="X380">
        <f>HYPERLINK("https://klasma.github.io/Logging_1440/tillsyn/A 380-2025 tillsynsbegäran.docx", "A 380-2025")</f>
        <v/>
      </c>
      <c r="Y380">
        <f>HYPERLINK("https://klasma.github.io/Logging_1440/tillsynsmail/A 380-2025 tillsynsbegäran mail.docx", "A 380-2025")</f>
        <v/>
      </c>
      <c r="Z380">
        <f>HYPERLINK("https://klasma.github.io/Logging_1440/fåglar/A 380-2025 prioriterade fågelarter.docx", "A 380-2025")</f>
        <v/>
      </c>
    </row>
    <row r="381" ht="15" customHeight="1">
      <c r="A381" t="inlineStr">
        <is>
          <t>A 43572-2025</t>
        </is>
      </c>
      <c r="B381" s="1" t="n">
        <v>45911.63658564815</v>
      </c>
      <c r="C381" s="1" t="n">
        <v>45952</v>
      </c>
      <c r="D381" t="inlineStr">
        <is>
          <t>VÄSTRA GÖTALANDS LÄN</t>
        </is>
      </c>
      <c r="E381" t="inlineStr">
        <is>
          <t>MARIESTAD</t>
        </is>
      </c>
      <c r="F381" t="inlineStr">
        <is>
          <t>Sveaskog</t>
        </is>
      </c>
      <c r="G381" t="n">
        <v>9.300000000000001</v>
      </c>
      <c r="H381" t="n">
        <v>0</v>
      </c>
      <c r="I381" t="n">
        <v>2</v>
      </c>
      <c r="J381" t="n">
        <v>0</v>
      </c>
      <c r="K381" t="n">
        <v>0</v>
      </c>
      <c r="L381" t="n">
        <v>0</v>
      </c>
      <c r="M381" t="n">
        <v>0</v>
      </c>
      <c r="N381" t="n">
        <v>0</v>
      </c>
      <c r="O381" t="n">
        <v>0</v>
      </c>
      <c r="P381" t="n">
        <v>0</v>
      </c>
      <c r="Q381" t="n">
        <v>2</v>
      </c>
      <c r="R381" s="2" t="inlineStr">
        <is>
          <t>Springkorn
Svart trolldruva</t>
        </is>
      </c>
      <c r="S381">
        <f>HYPERLINK("https://klasma.github.io/Logging_1493/artfynd/A 43572-2025 artfynd.xlsx", "A 43572-2025")</f>
        <v/>
      </c>
      <c r="T381">
        <f>HYPERLINK("https://klasma.github.io/Logging_1493/kartor/A 43572-2025 karta.png", "A 43572-2025")</f>
        <v/>
      </c>
      <c r="V381">
        <f>HYPERLINK("https://klasma.github.io/Logging_1493/klagomål/A 43572-2025 FSC-klagomål.docx", "A 43572-2025")</f>
        <v/>
      </c>
      <c r="W381">
        <f>HYPERLINK("https://klasma.github.io/Logging_1493/klagomålsmail/A 43572-2025 FSC-klagomål mail.docx", "A 43572-2025")</f>
        <v/>
      </c>
      <c r="X381">
        <f>HYPERLINK("https://klasma.github.io/Logging_1493/tillsyn/A 43572-2025 tillsynsbegäran.docx", "A 43572-2025")</f>
        <v/>
      </c>
      <c r="Y381">
        <f>HYPERLINK("https://klasma.github.io/Logging_1493/tillsynsmail/A 43572-2025 tillsynsbegäran mail.docx", "A 43572-2025")</f>
        <v/>
      </c>
    </row>
    <row r="382" ht="15" customHeight="1">
      <c r="A382" t="inlineStr">
        <is>
          <t>A 30968-2025</t>
        </is>
      </c>
      <c r="B382" s="1" t="n">
        <v>45832.45538194444</v>
      </c>
      <c r="C382" s="1" t="n">
        <v>45952</v>
      </c>
      <c r="D382" t="inlineStr">
        <is>
          <t>VÄSTRA GÖTALANDS LÄN</t>
        </is>
      </c>
      <c r="E382" t="inlineStr">
        <is>
          <t>LILLA EDET</t>
        </is>
      </c>
      <c r="G382" t="n">
        <v>7.7</v>
      </c>
      <c r="H382" t="n">
        <v>1</v>
      </c>
      <c r="I382" t="n">
        <v>1</v>
      </c>
      <c r="J382" t="n">
        <v>1</v>
      </c>
      <c r="K382" t="n">
        <v>0</v>
      </c>
      <c r="L382" t="n">
        <v>0</v>
      </c>
      <c r="M382" t="n">
        <v>0</v>
      </c>
      <c r="N382" t="n">
        <v>0</v>
      </c>
      <c r="O382" t="n">
        <v>1</v>
      </c>
      <c r="P382" t="n">
        <v>0</v>
      </c>
      <c r="Q382" t="n">
        <v>2</v>
      </c>
      <c r="R382" s="2" t="inlineStr">
        <is>
          <t>Spillkråka
Blåmossa</t>
        </is>
      </c>
      <c r="S382">
        <f>HYPERLINK("https://klasma.github.io/Logging_1462/artfynd/A 30968-2025 artfynd.xlsx", "A 30968-2025")</f>
        <v/>
      </c>
      <c r="T382">
        <f>HYPERLINK("https://klasma.github.io/Logging_1462/kartor/A 30968-2025 karta.png", "A 30968-2025")</f>
        <v/>
      </c>
      <c r="V382">
        <f>HYPERLINK("https://klasma.github.io/Logging_1462/klagomål/A 30968-2025 FSC-klagomål.docx", "A 30968-2025")</f>
        <v/>
      </c>
      <c r="W382">
        <f>HYPERLINK("https://klasma.github.io/Logging_1462/klagomålsmail/A 30968-2025 FSC-klagomål mail.docx", "A 30968-2025")</f>
        <v/>
      </c>
      <c r="X382">
        <f>HYPERLINK("https://klasma.github.io/Logging_1462/tillsyn/A 30968-2025 tillsynsbegäran.docx", "A 30968-2025")</f>
        <v/>
      </c>
      <c r="Y382">
        <f>HYPERLINK("https://klasma.github.io/Logging_1462/tillsynsmail/A 30968-2025 tillsynsbegäran mail.docx", "A 30968-2025")</f>
        <v/>
      </c>
      <c r="Z382">
        <f>HYPERLINK("https://klasma.github.io/Logging_1462/fåglar/A 30968-2025 prioriterade fågelarter.docx", "A 30968-2025")</f>
        <v/>
      </c>
    </row>
    <row r="383" ht="15" customHeight="1">
      <c r="A383" t="inlineStr">
        <is>
          <t>A 43732-2025</t>
        </is>
      </c>
      <c r="B383" s="1" t="n">
        <v>45912.43576388889</v>
      </c>
      <c r="C383" s="1" t="n">
        <v>45952</v>
      </c>
      <c r="D383" t="inlineStr">
        <is>
          <t>VÄSTRA GÖTALANDS LÄN</t>
        </is>
      </c>
      <c r="E383" t="inlineStr">
        <is>
          <t>ALE</t>
        </is>
      </c>
      <c r="G383" t="n">
        <v>2.9</v>
      </c>
      <c r="H383" t="n">
        <v>2</v>
      </c>
      <c r="I383" t="n">
        <v>0</v>
      </c>
      <c r="J383" t="n">
        <v>1</v>
      </c>
      <c r="K383" t="n">
        <v>0</v>
      </c>
      <c r="L383" t="n">
        <v>0</v>
      </c>
      <c r="M383" t="n">
        <v>0</v>
      </c>
      <c r="N383" t="n">
        <v>0</v>
      </c>
      <c r="O383" t="n">
        <v>1</v>
      </c>
      <c r="P383" t="n">
        <v>0</v>
      </c>
      <c r="Q383" t="n">
        <v>2</v>
      </c>
      <c r="R383" s="2" t="inlineStr">
        <is>
          <t>Talltita
Kungsfågel</t>
        </is>
      </c>
      <c r="S383">
        <f>HYPERLINK("https://klasma.github.io/Logging_1440/artfynd/A 43732-2025 artfynd.xlsx", "A 43732-2025")</f>
        <v/>
      </c>
      <c r="T383">
        <f>HYPERLINK("https://klasma.github.io/Logging_1440/kartor/A 43732-2025 karta.png", "A 43732-2025")</f>
        <v/>
      </c>
      <c r="V383">
        <f>HYPERLINK("https://klasma.github.io/Logging_1440/klagomål/A 43732-2025 FSC-klagomål.docx", "A 43732-2025")</f>
        <v/>
      </c>
      <c r="W383">
        <f>HYPERLINK("https://klasma.github.io/Logging_1440/klagomålsmail/A 43732-2025 FSC-klagomål mail.docx", "A 43732-2025")</f>
        <v/>
      </c>
      <c r="X383">
        <f>HYPERLINK("https://klasma.github.io/Logging_1440/tillsyn/A 43732-2025 tillsynsbegäran.docx", "A 43732-2025")</f>
        <v/>
      </c>
      <c r="Y383">
        <f>HYPERLINK("https://klasma.github.io/Logging_1440/tillsynsmail/A 43732-2025 tillsynsbegäran mail.docx", "A 43732-2025")</f>
        <v/>
      </c>
      <c r="Z383">
        <f>HYPERLINK("https://klasma.github.io/Logging_1440/fåglar/A 43732-2025 prioriterade fågelarter.docx", "A 43732-2025")</f>
        <v/>
      </c>
    </row>
    <row r="384" ht="15" customHeight="1">
      <c r="A384" t="inlineStr">
        <is>
          <t>A 35563-2025</t>
        </is>
      </c>
      <c r="B384" s="1" t="n">
        <v>45856</v>
      </c>
      <c r="C384" s="1" t="n">
        <v>45952</v>
      </c>
      <c r="D384" t="inlineStr">
        <is>
          <t>VÄSTRA GÖTALANDS LÄN</t>
        </is>
      </c>
      <c r="E384" t="inlineStr">
        <is>
          <t>FALKÖPING</t>
        </is>
      </c>
      <c r="G384" t="n">
        <v>11.5</v>
      </c>
      <c r="H384" t="n">
        <v>0</v>
      </c>
      <c r="I384" t="n">
        <v>0</v>
      </c>
      <c r="J384" t="n">
        <v>2</v>
      </c>
      <c r="K384" t="n">
        <v>0</v>
      </c>
      <c r="L384" t="n">
        <v>0</v>
      </c>
      <c r="M384" t="n">
        <v>0</v>
      </c>
      <c r="N384" t="n">
        <v>0</v>
      </c>
      <c r="O384" t="n">
        <v>2</v>
      </c>
      <c r="P384" t="n">
        <v>0</v>
      </c>
      <c r="Q384" t="n">
        <v>2</v>
      </c>
      <c r="R384" s="2" t="inlineStr">
        <is>
          <t>Grantaggsvamp
Svart taggsvamp</t>
        </is>
      </c>
      <c r="S384">
        <f>HYPERLINK("https://klasma.github.io/Logging_1499/artfynd/A 35563-2025 artfynd.xlsx", "A 35563-2025")</f>
        <v/>
      </c>
      <c r="T384">
        <f>HYPERLINK("https://klasma.github.io/Logging_1499/kartor/A 35563-2025 karta.png", "A 35563-2025")</f>
        <v/>
      </c>
      <c r="V384">
        <f>HYPERLINK("https://klasma.github.io/Logging_1499/klagomål/A 35563-2025 FSC-klagomål.docx", "A 35563-2025")</f>
        <v/>
      </c>
      <c r="W384">
        <f>HYPERLINK("https://klasma.github.io/Logging_1499/klagomålsmail/A 35563-2025 FSC-klagomål mail.docx", "A 35563-2025")</f>
        <v/>
      </c>
      <c r="X384">
        <f>HYPERLINK("https://klasma.github.io/Logging_1499/tillsyn/A 35563-2025 tillsynsbegäran.docx", "A 35563-2025")</f>
        <v/>
      </c>
      <c r="Y384">
        <f>HYPERLINK("https://klasma.github.io/Logging_1499/tillsynsmail/A 35563-2025 tillsynsbegäran mail.docx", "A 35563-2025")</f>
        <v/>
      </c>
    </row>
    <row r="385" ht="15" customHeight="1">
      <c r="A385" t="inlineStr">
        <is>
          <t>A 46044-2025</t>
        </is>
      </c>
      <c r="B385" s="1" t="n">
        <v>45924.45489583333</v>
      </c>
      <c r="C385" s="1" t="n">
        <v>45952</v>
      </c>
      <c r="D385" t="inlineStr">
        <is>
          <t>VÄSTRA GÖTALANDS LÄN</t>
        </is>
      </c>
      <c r="E385" t="inlineStr">
        <is>
          <t>HÄRRYDA</t>
        </is>
      </c>
      <c r="G385" t="n">
        <v>2.7</v>
      </c>
      <c r="H385" t="n">
        <v>0</v>
      </c>
      <c r="I385" t="n">
        <v>2</v>
      </c>
      <c r="J385" t="n">
        <v>0</v>
      </c>
      <c r="K385" t="n">
        <v>0</v>
      </c>
      <c r="L385" t="n">
        <v>0</v>
      </c>
      <c r="M385" t="n">
        <v>0</v>
      </c>
      <c r="N385" t="n">
        <v>0</v>
      </c>
      <c r="O385" t="n">
        <v>0</v>
      </c>
      <c r="P385" t="n">
        <v>0</v>
      </c>
      <c r="Q385" t="n">
        <v>2</v>
      </c>
      <c r="R385" s="2" t="inlineStr">
        <is>
          <t>Fjällig taggsvamp s.str.
Mandelriska</t>
        </is>
      </c>
      <c r="S385">
        <f>HYPERLINK("https://klasma.github.io/Logging_1401/artfynd/A 46044-2025 artfynd.xlsx", "A 46044-2025")</f>
        <v/>
      </c>
      <c r="T385">
        <f>HYPERLINK("https://klasma.github.io/Logging_1401/kartor/A 46044-2025 karta.png", "A 46044-2025")</f>
        <v/>
      </c>
      <c r="V385">
        <f>HYPERLINK("https://klasma.github.io/Logging_1401/klagomål/A 46044-2025 FSC-klagomål.docx", "A 46044-2025")</f>
        <v/>
      </c>
      <c r="W385">
        <f>HYPERLINK("https://klasma.github.io/Logging_1401/klagomålsmail/A 46044-2025 FSC-klagomål mail.docx", "A 46044-2025")</f>
        <v/>
      </c>
      <c r="X385">
        <f>HYPERLINK("https://klasma.github.io/Logging_1401/tillsyn/A 46044-2025 tillsynsbegäran.docx", "A 46044-2025")</f>
        <v/>
      </c>
      <c r="Y385">
        <f>HYPERLINK("https://klasma.github.io/Logging_1401/tillsynsmail/A 46044-2025 tillsynsbegäran mail.docx", "A 46044-2025")</f>
        <v/>
      </c>
    </row>
    <row r="386" ht="15" customHeight="1">
      <c r="A386" t="inlineStr">
        <is>
          <t>A 14947-2023</t>
        </is>
      </c>
      <c r="B386" s="1" t="n">
        <v>45015.46353009259</v>
      </c>
      <c r="C386" s="1" t="n">
        <v>45952</v>
      </c>
      <c r="D386" t="inlineStr">
        <is>
          <t>VÄSTRA GÖTALANDS LÄN</t>
        </is>
      </c>
      <c r="E386" t="inlineStr">
        <is>
          <t>MARIESTAD</t>
        </is>
      </c>
      <c r="G386" t="n">
        <v>1.9</v>
      </c>
      <c r="H386" t="n">
        <v>1</v>
      </c>
      <c r="I386" t="n">
        <v>1</v>
      </c>
      <c r="J386" t="n">
        <v>0</v>
      </c>
      <c r="K386" t="n">
        <v>1</v>
      </c>
      <c r="L386" t="n">
        <v>0</v>
      </c>
      <c r="M386" t="n">
        <v>0</v>
      </c>
      <c r="N386" t="n">
        <v>0</v>
      </c>
      <c r="O386" t="n">
        <v>1</v>
      </c>
      <c r="P386" t="n">
        <v>1</v>
      </c>
      <c r="Q386" t="n">
        <v>2</v>
      </c>
      <c r="R386" s="2" t="inlineStr">
        <is>
          <t>Knärot
Grönpyrola</t>
        </is>
      </c>
      <c r="S386">
        <f>HYPERLINK("https://klasma.github.io/Logging_1493/artfynd/A 14947-2023 artfynd.xlsx", "A 14947-2023")</f>
        <v/>
      </c>
      <c r="T386">
        <f>HYPERLINK("https://klasma.github.io/Logging_1493/kartor/A 14947-2023 karta.png", "A 14947-2023")</f>
        <v/>
      </c>
      <c r="U386">
        <f>HYPERLINK("https://klasma.github.io/Logging_1493/knärot/A 14947-2023 karta knärot.png", "A 14947-2023")</f>
        <v/>
      </c>
      <c r="V386">
        <f>HYPERLINK("https://klasma.github.io/Logging_1493/klagomål/A 14947-2023 FSC-klagomål.docx", "A 14947-2023")</f>
        <v/>
      </c>
      <c r="W386">
        <f>HYPERLINK("https://klasma.github.io/Logging_1493/klagomålsmail/A 14947-2023 FSC-klagomål mail.docx", "A 14947-2023")</f>
        <v/>
      </c>
      <c r="X386">
        <f>HYPERLINK("https://klasma.github.io/Logging_1493/tillsyn/A 14947-2023 tillsynsbegäran.docx", "A 14947-2023")</f>
        <v/>
      </c>
      <c r="Y386">
        <f>HYPERLINK("https://klasma.github.io/Logging_1493/tillsynsmail/A 14947-2023 tillsynsbegäran mail.docx", "A 14947-2023")</f>
        <v/>
      </c>
    </row>
    <row r="387" ht="15" customHeight="1">
      <c r="A387" t="inlineStr">
        <is>
          <t>A 61845-2020</t>
        </is>
      </c>
      <c r="B387" s="1" t="n">
        <v>44159</v>
      </c>
      <c r="C387" s="1" t="n">
        <v>45952</v>
      </c>
      <c r="D387" t="inlineStr">
        <is>
          <t>VÄSTRA GÖTALANDS LÄN</t>
        </is>
      </c>
      <c r="E387" t="inlineStr">
        <is>
          <t>BORÅS</t>
        </is>
      </c>
      <c r="G387" t="n">
        <v>10.6</v>
      </c>
      <c r="H387" t="n">
        <v>1</v>
      </c>
      <c r="I387" t="n">
        <v>1</v>
      </c>
      <c r="J387" t="n">
        <v>1</v>
      </c>
      <c r="K387" t="n">
        <v>0</v>
      </c>
      <c r="L387" t="n">
        <v>0</v>
      </c>
      <c r="M387" t="n">
        <v>0</v>
      </c>
      <c r="N387" t="n">
        <v>0</v>
      </c>
      <c r="O387" t="n">
        <v>1</v>
      </c>
      <c r="P387" t="n">
        <v>0</v>
      </c>
      <c r="Q387" t="n">
        <v>2</v>
      </c>
      <c r="R387" s="2" t="inlineStr">
        <is>
          <t>Talltita
Kattfotslav</t>
        </is>
      </c>
      <c r="S387">
        <f>HYPERLINK("https://klasma.github.io/Logging_1490/artfynd/A 61845-2020 artfynd.xlsx", "A 61845-2020")</f>
        <v/>
      </c>
      <c r="T387">
        <f>HYPERLINK("https://klasma.github.io/Logging_1490/kartor/A 61845-2020 karta.png", "A 61845-2020")</f>
        <v/>
      </c>
      <c r="V387">
        <f>HYPERLINK("https://klasma.github.io/Logging_1490/klagomål/A 61845-2020 FSC-klagomål.docx", "A 61845-2020")</f>
        <v/>
      </c>
      <c r="W387">
        <f>HYPERLINK("https://klasma.github.io/Logging_1490/klagomålsmail/A 61845-2020 FSC-klagomål mail.docx", "A 61845-2020")</f>
        <v/>
      </c>
      <c r="X387">
        <f>HYPERLINK("https://klasma.github.io/Logging_1490/tillsyn/A 61845-2020 tillsynsbegäran.docx", "A 61845-2020")</f>
        <v/>
      </c>
      <c r="Y387">
        <f>HYPERLINK("https://klasma.github.io/Logging_1490/tillsynsmail/A 61845-2020 tillsynsbegäran mail.docx", "A 61845-2020")</f>
        <v/>
      </c>
      <c r="Z387">
        <f>HYPERLINK("https://klasma.github.io/Logging_1490/fåglar/A 61845-2020 prioriterade fågelarter.docx", "A 61845-2020")</f>
        <v/>
      </c>
    </row>
    <row r="388" ht="15" customHeight="1">
      <c r="A388" t="inlineStr">
        <is>
          <t>A 32523-2024</t>
        </is>
      </c>
      <c r="B388" s="1" t="n">
        <v>45513.47328703704</v>
      </c>
      <c r="C388" s="1" t="n">
        <v>45952</v>
      </c>
      <c r="D388" t="inlineStr">
        <is>
          <t>VÄSTRA GÖTALANDS LÄN</t>
        </is>
      </c>
      <c r="E388" t="inlineStr">
        <is>
          <t>UDDEVALLA</t>
        </is>
      </c>
      <c r="G388" t="n">
        <v>1.5</v>
      </c>
      <c r="H388" t="n">
        <v>0</v>
      </c>
      <c r="I388" t="n">
        <v>1</v>
      </c>
      <c r="J388" t="n">
        <v>1</v>
      </c>
      <c r="K388" t="n">
        <v>0</v>
      </c>
      <c r="L388" t="n">
        <v>0</v>
      </c>
      <c r="M388" t="n">
        <v>0</v>
      </c>
      <c r="N388" t="n">
        <v>0</v>
      </c>
      <c r="O388" t="n">
        <v>1</v>
      </c>
      <c r="P388" t="n">
        <v>0</v>
      </c>
      <c r="Q388" t="n">
        <v>2</v>
      </c>
      <c r="R388" s="2" t="inlineStr">
        <is>
          <t>Grönhjon
Granbarkgnagare</t>
        </is>
      </c>
      <c r="S388">
        <f>HYPERLINK("https://klasma.github.io/Logging_1485/artfynd/A 32523-2024 artfynd.xlsx", "A 32523-2024")</f>
        <v/>
      </c>
      <c r="T388">
        <f>HYPERLINK("https://klasma.github.io/Logging_1485/kartor/A 32523-2024 karta.png", "A 32523-2024")</f>
        <v/>
      </c>
      <c r="V388">
        <f>HYPERLINK("https://klasma.github.io/Logging_1485/klagomål/A 32523-2024 FSC-klagomål.docx", "A 32523-2024")</f>
        <v/>
      </c>
      <c r="W388">
        <f>HYPERLINK("https://klasma.github.io/Logging_1485/klagomålsmail/A 32523-2024 FSC-klagomål mail.docx", "A 32523-2024")</f>
        <v/>
      </c>
      <c r="X388">
        <f>HYPERLINK("https://klasma.github.io/Logging_1485/tillsyn/A 32523-2024 tillsynsbegäran.docx", "A 32523-2024")</f>
        <v/>
      </c>
      <c r="Y388">
        <f>HYPERLINK("https://klasma.github.io/Logging_1485/tillsynsmail/A 32523-2024 tillsynsbegäran mail.docx", "A 32523-2024")</f>
        <v/>
      </c>
    </row>
    <row r="389" ht="15" customHeight="1">
      <c r="A389" t="inlineStr">
        <is>
          <t>A 3410-2023</t>
        </is>
      </c>
      <c r="B389" s="1" t="n">
        <v>44949</v>
      </c>
      <c r="C389" s="1" t="n">
        <v>45952</v>
      </c>
      <c r="D389" t="inlineStr">
        <is>
          <t>VÄSTRA GÖTALANDS LÄN</t>
        </is>
      </c>
      <c r="E389" t="inlineStr">
        <is>
          <t>SKÖVDE</t>
        </is>
      </c>
      <c r="F389" t="inlineStr">
        <is>
          <t>Kommuner</t>
        </is>
      </c>
      <c r="G389" t="n">
        <v>1.1</v>
      </c>
      <c r="H389" t="n">
        <v>1</v>
      </c>
      <c r="I389" t="n">
        <v>1</v>
      </c>
      <c r="J389" t="n">
        <v>0</v>
      </c>
      <c r="K389" t="n">
        <v>0</v>
      </c>
      <c r="L389" t="n">
        <v>0</v>
      </c>
      <c r="M389" t="n">
        <v>0</v>
      </c>
      <c r="N389" t="n">
        <v>0</v>
      </c>
      <c r="O389" t="n">
        <v>0</v>
      </c>
      <c r="P389" t="n">
        <v>0</v>
      </c>
      <c r="Q389" t="n">
        <v>2</v>
      </c>
      <c r="R389" s="2" t="inlineStr">
        <is>
          <t>Västlig hakmossa
Revlummer</t>
        </is>
      </c>
      <c r="S389">
        <f>HYPERLINK("https://klasma.github.io/Logging_1496/artfynd/A 3410-2023 artfynd.xlsx", "A 3410-2023")</f>
        <v/>
      </c>
      <c r="T389">
        <f>HYPERLINK("https://klasma.github.io/Logging_1496/kartor/A 3410-2023 karta.png", "A 3410-2023")</f>
        <v/>
      </c>
      <c r="V389">
        <f>HYPERLINK("https://klasma.github.io/Logging_1496/klagomål/A 3410-2023 FSC-klagomål.docx", "A 3410-2023")</f>
        <v/>
      </c>
      <c r="W389">
        <f>HYPERLINK("https://klasma.github.io/Logging_1496/klagomålsmail/A 3410-2023 FSC-klagomål mail.docx", "A 3410-2023")</f>
        <v/>
      </c>
      <c r="X389">
        <f>HYPERLINK("https://klasma.github.io/Logging_1496/tillsyn/A 3410-2023 tillsynsbegäran.docx", "A 3410-2023")</f>
        <v/>
      </c>
      <c r="Y389">
        <f>HYPERLINK("https://klasma.github.io/Logging_1496/tillsynsmail/A 3410-2023 tillsynsbegäran mail.docx", "A 3410-2023")</f>
        <v/>
      </c>
    </row>
    <row r="390" ht="15" customHeight="1">
      <c r="A390" t="inlineStr">
        <is>
          <t>A 48330-2021</t>
        </is>
      </c>
      <c r="B390" s="1" t="n">
        <v>44450</v>
      </c>
      <c r="C390" s="1" t="n">
        <v>45952</v>
      </c>
      <c r="D390" t="inlineStr">
        <is>
          <t>VÄSTRA GÖTALANDS LÄN</t>
        </is>
      </c>
      <c r="E390" t="inlineStr">
        <is>
          <t>ÅMÅL</t>
        </is>
      </c>
      <c r="G390" t="n">
        <v>1.9</v>
      </c>
      <c r="H390" t="n">
        <v>1</v>
      </c>
      <c r="I390" t="n">
        <v>0</v>
      </c>
      <c r="J390" t="n">
        <v>0</v>
      </c>
      <c r="K390" t="n">
        <v>0</v>
      </c>
      <c r="L390" t="n">
        <v>0</v>
      </c>
      <c r="M390" t="n">
        <v>0</v>
      </c>
      <c r="N390" t="n">
        <v>0</v>
      </c>
      <c r="O390" t="n">
        <v>0</v>
      </c>
      <c r="P390" t="n">
        <v>0</v>
      </c>
      <c r="Q390" t="n">
        <v>1</v>
      </c>
      <c r="R390" s="2" t="inlineStr">
        <is>
          <t>Skogsödla</t>
        </is>
      </c>
      <c r="S390">
        <f>HYPERLINK("https://klasma.github.io/Logging_1492/artfynd/A 48330-2021 artfynd.xlsx", "A 48330-2021")</f>
        <v/>
      </c>
      <c r="T390">
        <f>HYPERLINK("https://klasma.github.io/Logging_1492/kartor/A 48330-2021 karta.png", "A 48330-2021")</f>
        <v/>
      </c>
      <c r="V390">
        <f>HYPERLINK("https://klasma.github.io/Logging_1492/klagomål/A 48330-2021 FSC-klagomål.docx", "A 48330-2021")</f>
        <v/>
      </c>
      <c r="W390">
        <f>HYPERLINK("https://klasma.github.io/Logging_1492/klagomålsmail/A 48330-2021 FSC-klagomål mail.docx", "A 48330-2021")</f>
        <v/>
      </c>
      <c r="X390">
        <f>HYPERLINK("https://klasma.github.io/Logging_1492/tillsyn/A 48330-2021 tillsynsbegäran.docx", "A 48330-2021")</f>
        <v/>
      </c>
      <c r="Y390">
        <f>HYPERLINK("https://klasma.github.io/Logging_1492/tillsynsmail/A 48330-2021 tillsynsbegäran mail.docx", "A 48330-2021")</f>
        <v/>
      </c>
    </row>
    <row r="391" ht="15" customHeight="1">
      <c r="A391" t="inlineStr">
        <is>
          <t>A 59514-2021</t>
        </is>
      </c>
      <c r="B391" s="1" t="n">
        <v>44491.56581018519</v>
      </c>
      <c r="C391" s="1" t="n">
        <v>45952</v>
      </c>
      <c r="D391" t="inlineStr">
        <is>
          <t>VÄSTRA GÖTALANDS LÄN</t>
        </is>
      </c>
      <c r="E391" t="inlineStr">
        <is>
          <t>MUNKEDAL</t>
        </is>
      </c>
      <c r="G391" t="n">
        <v>9.199999999999999</v>
      </c>
      <c r="H391" t="n">
        <v>1</v>
      </c>
      <c r="I391" t="n">
        <v>0</v>
      </c>
      <c r="J391" t="n">
        <v>1</v>
      </c>
      <c r="K391" t="n">
        <v>0</v>
      </c>
      <c r="L391" t="n">
        <v>0</v>
      </c>
      <c r="M391" t="n">
        <v>0</v>
      </c>
      <c r="N391" t="n">
        <v>0</v>
      </c>
      <c r="O391" t="n">
        <v>1</v>
      </c>
      <c r="P391" t="n">
        <v>0</v>
      </c>
      <c r="Q391" t="n">
        <v>1</v>
      </c>
      <c r="R391" s="2" t="inlineStr">
        <is>
          <t>Kungsörn</t>
        </is>
      </c>
      <c r="S391">
        <f>HYPERLINK("https://klasma.github.io/Logging_1430/artfynd/A 59514-2021 artfynd.xlsx", "A 59514-2021")</f>
        <v/>
      </c>
      <c r="T391">
        <f>HYPERLINK("https://klasma.github.io/Logging_1430/kartor/A 59514-2021 karta.png", "A 59514-2021")</f>
        <v/>
      </c>
      <c r="V391">
        <f>HYPERLINK("https://klasma.github.io/Logging_1430/klagomål/A 59514-2021 FSC-klagomål.docx", "A 59514-2021")</f>
        <v/>
      </c>
      <c r="W391">
        <f>HYPERLINK("https://klasma.github.io/Logging_1430/klagomålsmail/A 59514-2021 FSC-klagomål mail.docx", "A 59514-2021")</f>
        <v/>
      </c>
      <c r="X391">
        <f>HYPERLINK("https://klasma.github.io/Logging_1430/tillsyn/A 59514-2021 tillsynsbegäran.docx", "A 59514-2021")</f>
        <v/>
      </c>
      <c r="Y391">
        <f>HYPERLINK("https://klasma.github.io/Logging_1430/tillsynsmail/A 59514-2021 tillsynsbegäran mail.docx", "A 59514-2021")</f>
        <v/>
      </c>
      <c r="Z391">
        <f>HYPERLINK("https://klasma.github.io/Logging_1430/fåglar/A 59514-2021 prioriterade fågelarter.docx", "A 59514-2021")</f>
        <v/>
      </c>
    </row>
    <row r="392" ht="15" customHeight="1">
      <c r="A392" t="inlineStr">
        <is>
          <t>A 73714-2021</t>
        </is>
      </c>
      <c r="B392" s="1" t="n">
        <v>44551</v>
      </c>
      <c r="C392" s="1" t="n">
        <v>45952</v>
      </c>
      <c r="D392" t="inlineStr">
        <is>
          <t>VÄSTRA GÖTALANDS LÄN</t>
        </is>
      </c>
      <c r="E392" t="inlineStr">
        <is>
          <t>MÖLNDAL</t>
        </is>
      </c>
      <c r="G392" t="n">
        <v>2.5</v>
      </c>
      <c r="H392" t="n">
        <v>0</v>
      </c>
      <c r="I392" t="n">
        <v>0</v>
      </c>
      <c r="J392" t="n">
        <v>0</v>
      </c>
      <c r="K392" t="n">
        <v>0</v>
      </c>
      <c r="L392" t="n">
        <v>1</v>
      </c>
      <c r="M392" t="n">
        <v>0</v>
      </c>
      <c r="N392" t="n">
        <v>0</v>
      </c>
      <c r="O392" t="n">
        <v>1</v>
      </c>
      <c r="P392" t="n">
        <v>1</v>
      </c>
      <c r="Q392" t="n">
        <v>1</v>
      </c>
      <c r="R392" s="2" t="inlineStr">
        <is>
          <t>Ask</t>
        </is>
      </c>
      <c r="S392">
        <f>HYPERLINK("https://klasma.github.io/Logging_1481/artfynd/A 73714-2021 artfynd.xlsx", "A 73714-2021")</f>
        <v/>
      </c>
      <c r="T392">
        <f>HYPERLINK("https://klasma.github.io/Logging_1481/kartor/A 73714-2021 karta.png", "A 73714-2021")</f>
        <v/>
      </c>
      <c r="V392">
        <f>HYPERLINK("https://klasma.github.io/Logging_1481/klagomål/A 73714-2021 FSC-klagomål.docx", "A 73714-2021")</f>
        <v/>
      </c>
      <c r="W392">
        <f>HYPERLINK("https://klasma.github.io/Logging_1481/klagomålsmail/A 73714-2021 FSC-klagomål mail.docx", "A 73714-2021")</f>
        <v/>
      </c>
      <c r="X392">
        <f>HYPERLINK("https://klasma.github.io/Logging_1481/tillsyn/A 73714-2021 tillsynsbegäran.docx", "A 73714-2021")</f>
        <v/>
      </c>
      <c r="Y392">
        <f>HYPERLINK("https://klasma.github.io/Logging_1481/tillsynsmail/A 73714-2021 tillsynsbegäran mail.docx", "A 73714-2021")</f>
        <v/>
      </c>
    </row>
    <row r="393" ht="15" customHeight="1">
      <c r="A393" t="inlineStr">
        <is>
          <t>A 54440-2021</t>
        </is>
      </c>
      <c r="B393" s="1" t="n">
        <v>44472</v>
      </c>
      <c r="C393" s="1" t="n">
        <v>45952</v>
      </c>
      <c r="D393" t="inlineStr">
        <is>
          <t>VÄSTRA GÖTALANDS LÄN</t>
        </is>
      </c>
      <c r="E393" t="inlineStr">
        <is>
          <t>UDDEVALLA</t>
        </is>
      </c>
      <c r="G393" t="n">
        <v>2.4</v>
      </c>
      <c r="H393" t="n">
        <v>0</v>
      </c>
      <c r="I393" t="n">
        <v>1</v>
      </c>
      <c r="J393" t="n">
        <v>0</v>
      </c>
      <c r="K393" t="n">
        <v>0</v>
      </c>
      <c r="L393" t="n">
        <v>0</v>
      </c>
      <c r="M393" t="n">
        <v>0</v>
      </c>
      <c r="N393" t="n">
        <v>0</v>
      </c>
      <c r="O393" t="n">
        <v>0</v>
      </c>
      <c r="P393" t="n">
        <v>0</v>
      </c>
      <c r="Q393" t="n">
        <v>1</v>
      </c>
      <c r="R393" s="2" t="inlineStr">
        <is>
          <t>Strutbräken</t>
        </is>
      </c>
      <c r="S393">
        <f>HYPERLINK("https://klasma.github.io/Logging_1485/artfynd/A 54440-2021 artfynd.xlsx", "A 54440-2021")</f>
        <v/>
      </c>
      <c r="T393">
        <f>HYPERLINK("https://klasma.github.io/Logging_1485/kartor/A 54440-2021 karta.png", "A 54440-2021")</f>
        <v/>
      </c>
      <c r="V393">
        <f>HYPERLINK("https://klasma.github.io/Logging_1485/klagomål/A 54440-2021 FSC-klagomål.docx", "A 54440-2021")</f>
        <v/>
      </c>
      <c r="W393">
        <f>HYPERLINK("https://klasma.github.io/Logging_1485/klagomålsmail/A 54440-2021 FSC-klagomål mail.docx", "A 54440-2021")</f>
        <v/>
      </c>
      <c r="X393">
        <f>HYPERLINK("https://klasma.github.io/Logging_1485/tillsyn/A 54440-2021 tillsynsbegäran.docx", "A 54440-2021")</f>
        <v/>
      </c>
      <c r="Y393">
        <f>HYPERLINK("https://klasma.github.io/Logging_1485/tillsynsmail/A 54440-2021 tillsynsbegäran mail.docx", "A 54440-2021")</f>
        <v/>
      </c>
    </row>
    <row r="394" ht="15" customHeight="1">
      <c r="A394" t="inlineStr">
        <is>
          <t>A 13597-2021</t>
        </is>
      </c>
      <c r="B394" s="1" t="n">
        <v>44274</v>
      </c>
      <c r="C394" s="1" t="n">
        <v>45952</v>
      </c>
      <c r="D394" t="inlineStr">
        <is>
          <t>VÄSTRA GÖTALANDS LÄN</t>
        </is>
      </c>
      <c r="E394" t="inlineStr">
        <is>
          <t>TROLLHÄTTAN</t>
        </is>
      </c>
      <c r="G394" t="n">
        <v>1.6</v>
      </c>
      <c r="H394" t="n">
        <v>1</v>
      </c>
      <c r="I394" t="n">
        <v>0</v>
      </c>
      <c r="J394" t="n">
        <v>0</v>
      </c>
      <c r="K394" t="n">
        <v>0</v>
      </c>
      <c r="L394" t="n">
        <v>0</v>
      </c>
      <c r="M394" t="n">
        <v>0</v>
      </c>
      <c r="N394" t="n">
        <v>0</v>
      </c>
      <c r="O394" t="n">
        <v>0</v>
      </c>
      <c r="P394" t="n">
        <v>0</v>
      </c>
      <c r="Q394" t="n">
        <v>1</v>
      </c>
      <c r="R394" s="2" t="inlineStr">
        <is>
          <t>Skogsödla</t>
        </is>
      </c>
      <c r="S394">
        <f>HYPERLINK("https://klasma.github.io/Logging_1488/artfynd/A 13597-2021 artfynd.xlsx", "A 13597-2021")</f>
        <v/>
      </c>
      <c r="T394">
        <f>HYPERLINK("https://klasma.github.io/Logging_1488/kartor/A 13597-2021 karta.png", "A 13597-2021")</f>
        <v/>
      </c>
      <c r="V394">
        <f>HYPERLINK("https://klasma.github.io/Logging_1488/klagomål/A 13597-2021 FSC-klagomål.docx", "A 13597-2021")</f>
        <v/>
      </c>
      <c r="W394">
        <f>HYPERLINK("https://klasma.github.io/Logging_1488/klagomålsmail/A 13597-2021 FSC-klagomål mail.docx", "A 13597-2021")</f>
        <v/>
      </c>
      <c r="X394">
        <f>HYPERLINK("https://klasma.github.io/Logging_1488/tillsyn/A 13597-2021 tillsynsbegäran.docx", "A 13597-2021")</f>
        <v/>
      </c>
      <c r="Y394">
        <f>HYPERLINK("https://klasma.github.io/Logging_1488/tillsynsmail/A 13597-2021 tillsynsbegäran mail.docx", "A 13597-2021")</f>
        <v/>
      </c>
    </row>
    <row r="395" ht="15" customHeight="1">
      <c r="A395" t="inlineStr">
        <is>
          <t>A 29668-2021</t>
        </is>
      </c>
      <c r="B395" s="1" t="n">
        <v>44361</v>
      </c>
      <c r="C395" s="1" t="n">
        <v>45952</v>
      </c>
      <c r="D395" t="inlineStr">
        <is>
          <t>VÄSTRA GÖTALANDS LÄN</t>
        </is>
      </c>
      <c r="E395" t="inlineStr">
        <is>
          <t>TANUM</t>
        </is>
      </c>
      <c r="F395" t="inlineStr">
        <is>
          <t>Kyrkan</t>
        </is>
      </c>
      <c r="G395" t="n">
        <v>4.2</v>
      </c>
      <c r="H395" t="n">
        <v>1</v>
      </c>
      <c r="I395" t="n">
        <v>0</v>
      </c>
      <c r="J395" t="n">
        <v>1</v>
      </c>
      <c r="K395" t="n">
        <v>0</v>
      </c>
      <c r="L395" t="n">
        <v>0</v>
      </c>
      <c r="M395" t="n">
        <v>0</v>
      </c>
      <c r="N395" t="n">
        <v>0</v>
      </c>
      <c r="O395" t="n">
        <v>1</v>
      </c>
      <c r="P395" t="n">
        <v>0</v>
      </c>
      <c r="Q395" t="n">
        <v>1</v>
      </c>
      <c r="R395" s="2" t="inlineStr">
        <is>
          <t>Stenfalk</t>
        </is>
      </c>
      <c r="S395">
        <f>HYPERLINK("https://klasma.github.io/Logging_1435/artfynd/A 29668-2021 artfynd.xlsx", "A 29668-2021")</f>
        <v/>
      </c>
      <c r="T395">
        <f>HYPERLINK("https://klasma.github.io/Logging_1435/kartor/A 29668-2021 karta.png", "A 29668-2021")</f>
        <v/>
      </c>
      <c r="V395">
        <f>HYPERLINK("https://klasma.github.io/Logging_1435/klagomål/A 29668-2021 FSC-klagomål.docx", "A 29668-2021")</f>
        <v/>
      </c>
      <c r="W395">
        <f>HYPERLINK("https://klasma.github.io/Logging_1435/klagomålsmail/A 29668-2021 FSC-klagomål mail.docx", "A 29668-2021")</f>
        <v/>
      </c>
      <c r="X395">
        <f>HYPERLINK("https://klasma.github.io/Logging_1435/tillsyn/A 29668-2021 tillsynsbegäran.docx", "A 29668-2021")</f>
        <v/>
      </c>
      <c r="Y395">
        <f>HYPERLINK("https://klasma.github.io/Logging_1435/tillsynsmail/A 29668-2021 tillsynsbegäran mail.docx", "A 29668-2021")</f>
        <v/>
      </c>
      <c r="Z395">
        <f>HYPERLINK("https://klasma.github.io/Logging_1435/fåglar/A 29668-2021 prioriterade fågelarter.docx", "A 29668-2021")</f>
        <v/>
      </c>
    </row>
    <row r="396" ht="15" customHeight="1">
      <c r="A396" t="inlineStr">
        <is>
          <t>A 47698-2021</t>
        </is>
      </c>
      <c r="B396" s="1" t="n">
        <v>44448</v>
      </c>
      <c r="C396" s="1" t="n">
        <v>45952</v>
      </c>
      <c r="D396" t="inlineStr">
        <is>
          <t>VÄSTRA GÖTALANDS LÄN</t>
        </is>
      </c>
      <c r="E396" t="inlineStr">
        <is>
          <t>KARLSBORG</t>
        </is>
      </c>
      <c r="G396" t="n">
        <v>9.699999999999999</v>
      </c>
      <c r="H396" t="n">
        <v>1</v>
      </c>
      <c r="I396" t="n">
        <v>0</v>
      </c>
      <c r="J396" t="n">
        <v>0</v>
      </c>
      <c r="K396" t="n">
        <v>0</v>
      </c>
      <c r="L396" t="n">
        <v>0</v>
      </c>
      <c r="M396" t="n">
        <v>0</v>
      </c>
      <c r="N396" t="n">
        <v>0</v>
      </c>
      <c r="O396" t="n">
        <v>0</v>
      </c>
      <c r="P396" t="n">
        <v>0</v>
      </c>
      <c r="Q396" t="n">
        <v>1</v>
      </c>
      <c r="R396" s="2" t="inlineStr">
        <is>
          <t>Tjäder</t>
        </is>
      </c>
      <c r="S396">
        <f>HYPERLINK("https://klasma.github.io/Logging_1446/artfynd/A 47698-2021 artfynd.xlsx", "A 47698-2021")</f>
        <v/>
      </c>
      <c r="T396">
        <f>HYPERLINK("https://klasma.github.io/Logging_1446/kartor/A 47698-2021 karta.png", "A 47698-2021")</f>
        <v/>
      </c>
      <c r="V396">
        <f>HYPERLINK("https://klasma.github.io/Logging_1446/klagomål/A 47698-2021 FSC-klagomål.docx", "A 47698-2021")</f>
        <v/>
      </c>
      <c r="W396">
        <f>HYPERLINK("https://klasma.github.io/Logging_1446/klagomålsmail/A 47698-2021 FSC-klagomål mail.docx", "A 47698-2021")</f>
        <v/>
      </c>
      <c r="X396">
        <f>HYPERLINK("https://klasma.github.io/Logging_1446/tillsyn/A 47698-2021 tillsynsbegäran.docx", "A 47698-2021")</f>
        <v/>
      </c>
      <c r="Y396">
        <f>HYPERLINK("https://klasma.github.io/Logging_1446/tillsynsmail/A 47698-2021 tillsynsbegäran mail.docx", "A 47698-2021")</f>
        <v/>
      </c>
      <c r="Z396">
        <f>HYPERLINK("https://klasma.github.io/Logging_1446/fåglar/A 47698-2021 prioriterade fågelarter.docx", "A 47698-2021")</f>
        <v/>
      </c>
    </row>
    <row r="397" ht="15" customHeight="1">
      <c r="A397" t="inlineStr">
        <is>
          <t>A 34613-2021</t>
        </is>
      </c>
      <c r="B397" s="1" t="n">
        <v>44382</v>
      </c>
      <c r="C397" s="1" t="n">
        <v>45952</v>
      </c>
      <c r="D397" t="inlineStr">
        <is>
          <t>VÄSTRA GÖTALANDS LÄN</t>
        </is>
      </c>
      <c r="E397" t="inlineStr">
        <is>
          <t>VÄNERSBORG</t>
        </is>
      </c>
      <c r="F397" t="inlineStr">
        <is>
          <t>Sveaskog</t>
        </is>
      </c>
      <c r="G397" t="n">
        <v>3.8</v>
      </c>
      <c r="H397" t="n">
        <v>1</v>
      </c>
      <c r="I397" t="n">
        <v>0</v>
      </c>
      <c r="J397" t="n">
        <v>0</v>
      </c>
      <c r="K397" t="n">
        <v>0</v>
      </c>
      <c r="L397" t="n">
        <v>0</v>
      </c>
      <c r="M397" t="n">
        <v>0</v>
      </c>
      <c r="N397" t="n">
        <v>0</v>
      </c>
      <c r="O397" t="n">
        <v>0</v>
      </c>
      <c r="P397" t="n">
        <v>0</v>
      </c>
      <c r="Q397" t="n">
        <v>1</v>
      </c>
      <c r="R397" s="2" t="inlineStr">
        <is>
          <t>Tjäder</t>
        </is>
      </c>
      <c r="S397">
        <f>HYPERLINK("https://klasma.github.io/Logging_1487/artfynd/A 34613-2021 artfynd.xlsx", "A 34613-2021")</f>
        <v/>
      </c>
      <c r="T397">
        <f>HYPERLINK("https://klasma.github.io/Logging_1487/kartor/A 34613-2021 karta.png", "A 34613-2021")</f>
        <v/>
      </c>
      <c r="V397">
        <f>HYPERLINK("https://klasma.github.io/Logging_1487/klagomål/A 34613-2021 FSC-klagomål.docx", "A 34613-2021")</f>
        <v/>
      </c>
      <c r="W397">
        <f>HYPERLINK("https://klasma.github.io/Logging_1487/klagomålsmail/A 34613-2021 FSC-klagomål mail.docx", "A 34613-2021")</f>
        <v/>
      </c>
      <c r="X397">
        <f>HYPERLINK("https://klasma.github.io/Logging_1487/tillsyn/A 34613-2021 tillsynsbegäran.docx", "A 34613-2021")</f>
        <v/>
      </c>
      <c r="Y397">
        <f>HYPERLINK("https://klasma.github.io/Logging_1487/tillsynsmail/A 34613-2021 tillsynsbegäran mail.docx", "A 34613-2021")</f>
        <v/>
      </c>
      <c r="Z397">
        <f>HYPERLINK("https://klasma.github.io/Logging_1487/fåglar/A 34613-2021 prioriterade fågelarter.docx", "A 34613-2021")</f>
        <v/>
      </c>
    </row>
    <row r="398" ht="15" customHeight="1">
      <c r="A398" t="inlineStr">
        <is>
          <t>A 6545-2022</t>
        </is>
      </c>
      <c r="B398" s="1" t="n">
        <v>44601</v>
      </c>
      <c r="C398" s="1" t="n">
        <v>45952</v>
      </c>
      <c r="D398" t="inlineStr">
        <is>
          <t>VÄSTRA GÖTALANDS LÄN</t>
        </is>
      </c>
      <c r="E398" t="inlineStr">
        <is>
          <t>MUNKEDAL</t>
        </is>
      </c>
      <c r="G398" t="n">
        <v>4.1</v>
      </c>
      <c r="H398" t="n">
        <v>1</v>
      </c>
      <c r="I398" t="n">
        <v>0</v>
      </c>
      <c r="J398" t="n">
        <v>0</v>
      </c>
      <c r="K398" t="n">
        <v>0</v>
      </c>
      <c r="L398" t="n">
        <v>0</v>
      </c>
      <c r="M398" t="n">
        <v>0</v>
      </c>
      <c r="N398" t="n">
        <v>0</v>
      </c>
      <c r="O398" t="n">
        <v>0</v>
      </c>
      <c r="P398" t="n">
        <v>0</v>
      </c>
      <c r="Q398" t="n">
        <v>1</v>
      </c>
      <c r="R398" s="2" t="inlineStr">
        <is>
          <t>Revlummer</t>
        </is>
      </c>
      <c r="S398">
        <f>HYPERLINK("https://klasma.github.io/Logging_1430/artfynd/A 6545-2022 artfynd.xlsx", "A 6545-2022")</f>
        <v/>
      </c>
      <c r="T398">
        <f>HYPERLINK("https://klasma.github.io/Logging_1430/kartor/A 6545-2022 karta.png", "A 6545-2022")</f>
        <v/>
      </c>
      <c r="V398">
        <f>HYPERLINK("https://klasma.github.io/Logging_1430/klagomål/A 6545-2022 FSC-klagomål.docx", "A 6545-2022")</f>
        <v/>
      </c>
      <c r="W398">
        <f>HYPERLINK("https://klasma.github.io/Logging_1430/klagomålsmail/A 6545-2022 FSC-klagomål mail.docx", "A 6545-2022")</f>
        <v/>
      </c>
      <c r="X398">
        <f>HYPERLINK("https://klasma.github.io/Logging_1430/tillsyn/A 6545-2022 tillsynsbegäran.docx", "A 6545-2022")</f>
        <v/>
      </c>
      <c r="Y398">
        <f>HYPERLINK("https://klasma.github.io/Logging_1430/tillsynsmail/A 6545-2022 tillsynsbegäran mail.docx", "A 6545-2022")</f>
        <v/>
      </c>
    </row>
    <row r="399" ht="15" customHeight="1">
      <c r="A399" t="inlineStr">
        <is>
          <t>A 40547-2021</t>
        </is>
      </c>
      <c r="B399" s="1" t="n">
        <v>44420</v>
      </c>
      <c r="C399" s="1" t="n">
        <v>45952</v>
      </c>
      <c r="D399" t="inlineStr">
        <is>
          <t>VÄSTRA GÖTALANDS LÄN</t>
        </is>
      </c>
      <c r="E399" t="inlineStr">
        <is>
          <t>TIDAHOLM</t>
        </is>
      </c>
      <c r="G399" t="n">
        <v>1.3</v>
      </c>
      <c r="H399" t="n">
        <v>1</v>
      </c>
      <c r="I399" t="n">
        <v>0</v>
      </c>
      <c r="J399" t="n">
        <v>1</v>
      </c>
      <c r="K399" t="n">
        <v>0</v>
      </c>
      <c r="L399" t="n">
        <v>0</v>
      </c>
      <c r="M399" t="n">
        <v>0</v>
      </c>
      <c r="N399" t="n">
        <v>0</v>
      </c>
      <c r="O399" t="n">
        <v>1</v>
      </c>
      <c r="P399" t="n">
        <v>0</v>
      </c>
      <c r="Q399" t="n">
        <v>1</v>
      </c>
      <c r="R399" s="2" t="inlineStr">
        <is>
          <t>Entita</t>
        </is>
      </c>
      <c r="S399">
        <f>HYPERLINK("https://klasma.github.io/Logging_1498/artfynd/A 40547-2021 artfynd.xlsx", "A 40547-2021")</f>
        <v/>
      </c>
      <c r="T399">
        <f>HYPERLINK("https://klasma.github.io/Logging_1498/kartor/A 40547-2021 karta.png", "A 40547-2021")</f>
        <v/>
      </c>
      <c r="V399">
        <f>HYPERLINK("https://klasma.github.io/Logging_1498/klagomål/A 40547-2021 FSC-klagomål.docx", "A 40547-2021")</f>
        <v/>
      </c>
      <c r="W399">
        <f>HYPERLINK("https://klasma.github.io/Logging_1498/klagomålsmail/A 40547-2021 FSC-klagomål mail.docx", "A 40547-2021")</f>
        <v/>
      </c>
      <c r="X399">
        <f>HYPERLINK("https://klasma.github.io/Logging_1498/tillsyn/A 40547-2021 tillsynsbegäran.docx", "A 40547-2021")</f>
        <v/>
      </c>
      <c r="Y399">
        <f>HYPERLINK("https://klasma.github.io/Logging_1498/tillsynsmail/A 40547-2021 tillsynsbegäran mail.docx", "A 40547-2021")</f>
        <v/>
      </c>
      <c r="Z399">
        <f>HYPERLINK("https://klasma.github.io/Logging_1498/fåglar/A 40547-2021 prioriterade fågelarter.docx", "A 40547-2021")</f>
        <v/>
      </c>
    </row>
    <row r="400" ht="15" customHeight="1">
      <c r="A400" t="inlineStr">
        <is>
          <t>A 55075-2021</t>
        </is>
      </c>
      <c r="B400" s="1" t="n">
        <v>44474</v>
      </c>
      <c r="C400" s="1" t="n">
        <v>45952</v>
      </c>
      <c r="D400" t="inlineStr">
        <is>
          <t>VÄSTRA GÖTALANDS LÄN</t>
        </is>
      </c>
      <c r="E400" t="inlineStr">
        <is>
          <t>FALKÖPING</t>
        </is>
      </c>
      <c r="G400" t="n">
        <v>4.2</v>
      </c>
      <c r="H400" t="n">
        <v>0</v>
      </c>
      <c r="I400" t="n">
        <v>0</v>
      </c>
      <c r="J400" t="n">
        <v>0</v>
      </c>
      <c r="K400" t="n">
        <v>1</v>
      </c>
      <c r="L400" t="n">
        <v>0</v>
      </c>
      <c r="M400" t="n">
        <v>0</v>
      </c>
      <c r="N400" t="n">
        <v>0</v>
      </c>
      <c r="O400" t="n">
        <v>1</v>
      </c>
      <c r="P400" t="n">
        <v>1</v>
      </c>
      <c r="Q400" t="n">
        <v>1</v>
      </c>
      <c r="R400" s="2" t="inlineStr">
        <is>
          <t>Taggfingersvamp</t>
        </is>
      </c>
      <c r="S400">
        <f>HYPERLINK("https://klasma.github.io/Logging_1499/artfynd/A 55075-2021 artfynd.xlsx", "A 55075-2021")</f>
        <v/>
      </c>
      <c r="T400">
        <f>HYPERLINK("https://klasma.github.io/Logging_1499/kartor/A 55075-2021 karta.png", "A 55075-2021")</f>
        <v/>
      </c>
      <c r="V400">
        <f>HYPERLINK("https://klasma.github.io/Logging_1499/klagomål/A 55075-2021 FSC-klagomål.docx", "A 55075-2021")</f>
        <v/>
      </c>
      <c r="W400">
        <f>HYPERLINK("https://klasma.github.io/Logging_1499/klagomålsmail/A 55075-2021 FSC-klagomål mail.docx", "A 55075-2021")</f>
        <v/>
      </c>
      <c r="X400">
        <f>HYPERLINK("https://klasma.github.io/Logging_1499/tillsyn/A 55075-2021 tillsynsbegäran.docx", "A 55075-2021")</f>
        <v/>
      </c>
      <c r="Y400">
        <f>HYPERLINK("https://klasma.github.io/Logging_1499/tillsynsmail/A 55075-2021 tillsynsbegäran mail.docx", "A 55075-2021")</f>
        <v/>
      </c>
    </row>
    <row r="401" ht="15" customHeight="1">
      <c r="A401" t="inlineStr">
        <is>
          <t>A 23982-2021</t>
        </is>
      </c>
      <c r="B401" s="1" t="n">
        <v>44335</v>
      </c>
      <c r="C401" s="1" t="n">
        <v>45952</v>
      </c>
      <c r="D401" t="inlineStr">
        <is>
          <t>VÄSTRA GÖTALANDS LÄN</t>
        </is>
      </c>
      <c r="E401" t="inlineStr">
        <is>
          <t>MARK</t>
        </is>
      </c>
      <c r="G401" t="n">
        <v>2.6</v>
      </c>
      <c r="H401" t="n">
        <v>1</v>
      </c>
      <c r="I401" t="n">
        <v>0</v>
      </c>
      <c r="J401" t="n">
        <v>0</v>
      </c>
      <c r="K401" t="n">
        <v>0</v>
      </c>
      <c r="L401" t="n">
        <v>0</v>
      </c>
      <c r="M401" t="n">
        <v>0</v>
      </c>
      <c r="N401" t="n">
        <v>0</v>
      </c>
      <c r="O401" t="n">
        <v>0</v>
      </c>
      <c r="P401" t="n">
        <v>0</v>
      </c>
      <c r="Q401" t="n">
        <v>1</v>
      </c>
      <c r="R401" s="2" t="inlineStr">
        <is>
          <t>Revlummer</t>
        </is>
      </c>
      <c r="S401">
        <f>HYPERLINK("https://klasma.github.io/Logging_1463/artfynd/A 23982-2021 artfynd.xlsx", "A 23982-2021")</f>
        <v/>
      </c>
      <c r="T401">
        <f>HYPERLINK("https://klasma.github.io/Logging_1463/kartor/A 23982-2021 karta.png", "A 23982-2021")</f>
        <v/>
      </c>
      <c r="V401">
        <f>HYPERLINK("https://klasma.github.io/Logging_1463/klagomål/A 23982-2021 FSC-klagomål.docx", "A 23982-2021")</f>
        <v/>
      </c>
      <c r="W401">
        <f>HYPERLINK("https://klasma.github.io/Logging_1463/klagomålsmail/A 23982-2021 FSC-klagomål mail.docx", "A 23982-2021")</f>
        <v/>
      </c>
      <c r="X401">
        <f>HYPERLINK("https://klasma.github.io/Logging_1463/tillsyn/A 23982-2021 tillsynsbegäran.docx", "A 23982-2021")</f>
        <v/>
      </c>
      <c r="Y401">
        <f>HYPERLINK("https://klasma.github.io/Logging_1463/tillsynsmail/A 23982-2021 tillsynsbegäran mail.docx", "A 23982-2021")</f>
        <v/>
      </c>
    </row>
    <row r="402" ht="15" customHeight="1">
      <c r="A402" t="inlineStr">
        <is>
          <t>A 17804-2021</t>
        </is>
      </c>
      <c r="B402" s="1" t="n">
        <v>44300</v>
      </c>
      <c r="C402" s="1" t="n">
        <v>45952</v>
      </c>
      <c r="D402" t="inlineStr">
        <is>
          <t>VÄSTRA GÖTALANDS LÄN</t>
        </is>
      </c>
      <c r="E402" t="inlineStr">
        <is>
          <t>STRÖMSTAD</t>
        </is>
      </c>
      <c r="G402" t="n">
        <v>9.6</v>
      </c>
      <c r="H402" t="n">
        <v>0</v>
      </c>
      <c r="I402" t="n">
        <v>1</v>
      </c>
      <c r="J402" t="n">
        <v>0</v>
      </c>
      <c r="K402" t="n">
        <v>0</v>
      </c>
      <c r="L402" t="n">
        <v>0</v>
      </c>
      <c r="M402" t="n">
        <v>0</v>
      </c>
      <c r="N402" t="n">
        <v>0</v>
      </c>
      <c r="O402" t="n">
        <v>0</v>
      </c>
      <c r="P402" t="n">
        <v>0</v>
      </c>
      <c r="Q402" t="n">
        <v>1</v>
      </c>
      <c r="R402" s="2" t="inlineStr">
        <is>
          <t>Blåmossa</t>
        </is>
      </c>
      <c r="S402">
        <f>HYPERLINK("https://klasma.github.io/Logging_1486/artfynd/A 17804-2021 artfynd.xlsx", "A 17804-2021")</f>
        <v/>
      </c>
      <c r="T402">
        <f>HYPERLINK("https://klasma.github.io/Logging_1486/kartor/A 17804-2021 karta.png", "A 17804-2021")</f>
        <v/>
      </c>
      <c r="V402">
        <f>HYPERLINK("https://klasma.github.io/Logging_1486/klagomål/A 17804-2021 FSC-klagomål.docx", "A 17804-2021")</f>
        <v/>
      </c>
      <c r="W402">
        <f>HYPERLINK("https://klasma.github.io/Logging_1486/klagomålsmail/A 17804-2021 FSC-klagomål mail.docx", "A 17804-2021")</f>
        <v/>
      </c>
      <c r="X402">
        <f>HYPERLINK("https://klasma.github.io/Logging_1486/tillsyn/A 17804-2021 tillsynsbegäran.docx", "A 17804-2021")</f>
        <v/>
      </c>
      <c r="Y402">
        <f>HYPERLINK("https://klasma.github.io/Logging_1486/tillsynsmail/A 17804-2021 tillsynsbegäran mail.docx", "A 17804-2021")</f>
        <v/>
      </c>
    </row>
    <row r="403" ht="15" customHeight="1">
      <c r="A403" t="inlineStr">
        <is>
          <t>A 55551-2020</t>
        </is>
      </c>
      <c r="B403" s="1" t="n">
        <v>44131</v>
      </c>
      <c r="C403" s="1" t="n">
        <v>45952</v>
      </c>
      <c r="D403" t="inlineStr">
        <is>
          <t>VÄSTRA GÖTALANDS LÄN</t>
        </is>
      </c>
      <c r="E403" t="inlineStr">
        <is>
          <t>TANUM</t>
        </is>
      </c>
      <c r="G403" t="n">
        <v>3.4</v>
      </c>
      <c r="H403" t="n">
        <v>1</v>
      </c>
      <c r="I403" t="n">
        <v>0</v>
      </c>
      <c r="J403" t="n">
        <v>0</v>
      </c>
      <c r="K403" t="n">
        <v>1</v>
      </c>
      <c r="L403" t="n">
        <v>0</v>
      </c>
      <c r="M403" t="n">
        <v>0</v>
      </c>
      <c r="N403" t="n">
        <v>0</v>
      </c>
      <c r="O403" t="n">
        <v>1</v>
      </c>
      <c r="P403" t="n">
        <v>1</v>
      </c>
      <c r="Q403" t="n">
        <v>1</v>
      </c>
      <c r="R403" s="2" t="inlineStr">
        <is>
          <t>Knärot</t>
        </is>
      </c>
      <c r="S403">
        <f>HYPERLINK("https://klasma.github.io/Logging_1435/artfynd/A 55551-2020 artfynd.xlsx", "A 55551-2020")</f>
        <v/>
      </c>
      <c r="T403">
        <f>HYPERLINK("https://klasma.github.io/Logging_1435/kartor/A 55551-2020 karta.png", "A 55551-2020")</f>
        <v/>
      </c>
      <c r="U403">
        <f>HYPERLINK("https://klasma.github.io/Logging_1435/knärot/A 55551-2020 karta knärot.png", "A 55551-2020")</f>
        <v/>
      </c>
      <c r="V403">
        <f>HYPERLINK("https://klasma.github.io/Logging_1435/klagomål/A 55551-2020 FSC-klagomål.docx", "A 55551-2020")</f>
        <v/>
      </c>
      <c r="W403">
        <f>HYPERLINK("https://klasma.github.io/Logging_1435/klagomålsmail/A 55551-2020 FSC-klagomål mail.docx", "A 55551-2020")</f>
        <v/>
      </c>
      <c r="X403">
        <f>HYPERLINK("https://klasma.github.io/Logging_1435/tillsyn/A 55551-2020 tillsynsbegäran.docx", "A 55551-2020")</f>
        <v/>
      </c>
      <c r="Y403">
        <f>HYPERLINK("https://klasma.github.io/Logging_1435/tillsynsmail/A 55551-2020 tillsynsbegäran mail.docx", "A 55551-2020")</f>
        <v/>
      </c>
    </row>
    <row r="404" ht="15" customHeight="1">
      <c r="A404" t="inlineStr">
        <is>
          <t>A 59982-2020</t>
        </is>
      </c>
      <c r="B404" s="1" t="n">
        <v>44151</v>
      </c>
      <c r="C404" s="1" t="n">
        <v>45952</v>
      </c>
      <c r="D404" t="inlineStr">
        <is>
          <t>VÄSTRA GÖTALANDS LÄN</t>
        </is>
      </c>
      <c r="E404" t="inlineStr">
        <is>
          <t>STRÖMSTAD</t>
        </is>
      </c>
      <c r="F404" t="inlineStr">
        <is>
          <t>Kommuner</t>
        </is>
      </c>
      <c r="G404" t="n">
        <v>3.9</v>
      </c>
      <c r="H404" t="n">
        <v>0</v>
      </c>
      <c r="I404" t="n">
        <v>1</v>
      </c>
      <c r="J404" t="n">
        <v>0</v>
      </c>
      <c r="K404" t="n">
        <v>0</v>
      </c>
      <c r="L404" t="n">
        <v>0</v>
      </c>
      <c r="M404" t="n">
        <v>0</v>
      </c>
      <c r="N404" t="n">
        <v>0</v>
      </c>
      <c r="O404" t="n">
        <v>0</v>
      </c>
      <c r="P404" t="n">
        <v>0</v>
      </c>
      <c r="Q404" t="n">
        <v>1</v>
      </c>
      <c r="R404" s="2" t="inlineStr">
        <is>
          <t>Blåmossa</t>
        </is>
      </c>
      <c r="S404">
        <f>HYPERLINK("https://klasma.github.io/Logging_1486/artfynd/A 59982-2020 artfynd.xlsx", "A 59982-2020")</f>
        <v/>
      </c>
      <c r="T404">
        <f>HYPERLINK("https://klasma.github.io/Logging_1486/kartor/A 59982-2020 karta.png", "A 59982-2020")</f>
        <v/>
      </c>
      <c r="V404">
        <f>HYPERLINK("https://klasma.github.io/Logging_1486/klagomål/A 59982-2020 FSC-klagomål.docx", "A 59982-2020")</f>
        <v/>
      </c>
      <c r="W404">
        <f>HYPERLINK("https://klasma.github.io/Logging_1486/klagomålsmail/A 59982-2020 FSC-klagomål mail.docx", "A 59982-2020")</f>
        <v/>
      </c>
      <c r="X404">
        <f>HYPERLINK("https://klasma.github.io/Logging_1486/tillsyn/A 59982-2020 tillsynsbegäran.docx", "A 59982-2020")</f>
        <v/>
      </c>
      <c r="Y404">
        <f>HYPERLINK("https://klasma.github.io/Logging_1486/tillsynsmail/A 59982-2020 tillsynsbegäran mail.docx", "A 59982-2020")</f>
        <v/>
      </c>
    </row>
    <row r="405" ht="15" customHeight="1">
      <c r="A405" t="inlineStr">
        <is>
          <t>A 16879-2022</t>
        </is>
      </c>
      <c r="B405" s="1" t="n">
        <v>44675.91282407408</v>
      </c>
      <c r="C405" s="1" t="n">
        <v>45952</v>
      </c>
      <c r="D405" t="inlineStr">
        <is>
          <t>VÄSTRA GÖTALANDS LÄN</t>
        </is>
      </c>
      <c r="E405" t="inlineStr">
        <is>
          <t>LYSEKIL</t>
        </is>
      </c>
      <c r="G405" t="n">
        <v>3.3</v>
      </c>
      <c r="H405" t="n">
        <v>1</v>
      </c>
      <c r="I405" t="n">
        <v>0</v>
      </c>
      <c r="J405" t="n">
        <v>0</v>
      </c>
      <c r="K405" t="n">
        <v>0</v>
      </c>
      <c r="L405" t="n">
        <v>0</v>
      </c>
      <c r="M405" t="n">
        <v>0</v>
      </c>
      <c r="N405" t="n">
        <v>0</v>
      </c>
      <c r="O405" t="n">
        <v>0</v>
      </c>
      <c r="P405" t="n">
        <v>0</v>
      </c>
      <c r="Q405" t="n">
        <v>1</v>
      </c>
      <c r="R405" s="2" t="inlineStr">
        <is>
          <t>Grönvit nattviol</t>
        </is>
      </c>
      <c r="S405">
        <f>HYPERLINK("https://klasma.github.io/Logging_1484/artfynd/A 16879-2022 artfynd.xlsx", "A 16879-2022")</f>
        <v/>
      </c>
      <c r="T405">
        <f>HYPERLINK("https://klasma.github.io/Logging_1484/kartor/A 16879-2022 karta.png", "A 16879-2022")</f>
        <v/>
      </c>
      <c r="V405">
        <f>HYPERLINK("https://klasma.github.io/Logging_1484/klagomål/A 16879-2022 FSC-klagomål.docx", "A 16879-2022")</f>
        <v/>
      </c>
      <c r="W405">
        <f>HYPERLINK("https://klasma.github.io/Logging_1484/klagomålsmail/A 16879-2022 FSC-klagomål mail.docx", "A 16879-2022")</f>
        <v/>
      </c>
      <c r="X405">
        <f>HYPERLINK("https://klasma.github.io/Logging_1484/tillsyn/A 16879-2022 tillsynsbegäran.docx", "A 16879-2022")</f>
        <v/>
      </c>
      <c r="Y405">
        <f>HYPERLINK("https://klasma.github.io/Logging_1484/tillsynsmail/A 16879-2022 tillsynsbegäran mail.docx", "A 16879-2022")</f>
        <v/>
      </c>
    </row>
    <row r="406" ht="15" customHeight="1">
      <c r="A406" t="inlineStr">
        <is>
          <t>A 7772-2022</t>
        </is>
      </c>
      <c r="B406" s="1" t="n">
        <v>44608.45642361111</v>
      </c>
      <c r="C406" s="1" t="n">
        <v>45952</v>
      </c>
      <c r="D406" t="inlineStr">
        <is>
          <t>VÄSTRA GÖTALANDS LÄN</t>
        </is>
      </c>
      <c r="E406" t="inlineStr">
        <is>
          <t>TÖREBODA</t>
        </is>
      </c>
      <c r="G406" t="n">
        <v>2.6</v>
      </c>
      <c r="H406" t="n">
        <v>1</v>
      </c>
      <c r="I406" t="n">
        <v>0</v>
      </c>
      <c r="J406" t="n">
        <v>0</v>
      </c>
      <c r="K406" t="n">
        <v>0</v>
      </c>
      <c r="L406" t="n">
        <v>0</v>
      </c>
      <c r="M406" t="n">
        <v>0</v>
      </c>
      <c r="N406" t="n">
        <v>0</v>
      </c>
      <c r="O406" t="n">
        <v>0</v>
      </c>
      <c r="P406" t="n">
        <v>0</v>
      </c>
      <c r="Q406" t="n">
        <v>1</v>
      </c>
      <c r="R406" s="2" t="inlineStr">
        <is>
          <t>Revlummer</t>
        </is>
      </c>
      <c r="S406">
        <f>HYPERLINK("https://klasma.github.io/Logging_1473/artfynd/A 7772-2022 artfynd.xlsx", "A 7772-2022")</f>
        <v/>
      </c>
      <c r="T406">
        <f>HYPERLINK("https://klasma.github.io/Logging_1473/kartor/A 7772-2022 karta.png", "A 7772-2022")</f>
        <v/>
      </c>
      <c r="V406">
        <f>HYPERLINK("https://klasma.github.io/Logging_1473/klagomål/A 7772-2022 FSC-klagomål.docx", "A 7772-2022")</f>
        <v/>
      </c>
      <c r="W406">
        <f>HYPERLINK("https://klasma.github.io/Logging_1473/klagomålsmail/A 7772-2022 FSC-klagomål mail.docx", "A 7772-2022")</f>
        <v/>
      </c>
      <c r="X406">
        <f>HYPERLINK("https://klasma.github.io/Logging_1473/tillsyn/A 7772-2022 tillsynsbegäran.docx", "A 7772-2022")</f>
        <v/>
      </c>
      <c r="Y406">
        <f>HYPERLINK("https://klasma.github.io/Logging_1473/tillsynsmail/A 7772-2022 tillsynsbegäran mail.docx", "A 7772-2022")</f>
        <v/>
      </c>
    </row>
    <row r="407" ht="15" customHeight="1">
      <c r="A407" t="inlineStr">
        <is>
          <t>A 60640-2020</t>
        </is>
      </c>
      <c r="B407" s="1" t="n">
        <v>44153</v>
      </c>
      <c r="C407" s="1" t="n">
        <v>45952</v>
      </c>
      <c r="D407" t="inlineStr">
        <is>
          <t>VÄSTRA GÖTALANDS LÄN</t>
        </is>
      </c>
      <c r="E407" t="inlineStr">
        <is>
          <t>TANUM</t>
        </is>
      </c>
      <c r="G407" t="n">
        <v>1.2</v>
      </c>
      <c r="H407" t="n">
        <v>1</v>
      </c>
      <c r="I407" t="n">
        <v>1</v>
      </c>
      <c r="J407" t="n">
        <v>0</v>
      </c>
      <c r="K407" t="n">
        <v>0</v>
      </c>
      <c r="L407" t="n">
        <v>0</v>
      </c>
      <c r="M407" t="n">
        <v>0</v>
      </c>
      <c r="N407" t="n">
        <v>0</v>
      </c>
      <c r="O407" t="n">
        <v>0</v>
      </c>
      <c r="P407" t="n">
        <v>0</v>
      </c>
      <c r="Q407" t="n">
        <v>1</v>
      </c>
      <c r="R407" s="2" t="inlineStr">
        <is>
          <t>Plattlummer</t>
        </is>
      </c>
      <c r="S407">
        <f>HYPERLINK("https://klasma.github.io/Logging_1435/artfynd/A 60640-2020 artfynd.xlsx", "A 60640-2020")</f>
        <v/>
      </c>
      <c r="T407">
        <f>HYPERLINK("https://klasma.github.io/Logging_1435/kartor/A 60640-2020 karta.png", "A 60640-2020")</f>
        <v/>
      </c>
      <c r="V407">
        <f>HYPERLINK("https://klasma.github.io/Logging_1435/klagomål/A 60640-2020 FSC-klagomål.docx", "A 60640-2020")</f>
        <v/>
      </c>
      <c r="W407">
        <f>HYPERLINK("https://klasma.github.io/Logging_1435/klagomålsmail/A 60640-2020 FSC-klagomål mail.docx", "A 60640-2020")</f>
        <v/>
      </c>
      <c r="X407">
        <f>HYPERLINK("https://klasma.github.io/Logging_1435/tillsyn/A 60640-2020 tillsynsbegäran.docx", "A 60640-2020")</f>
        <v/>
      </c>
      <c r="Y407">
        <f>HYPERLINK("https://klasma.github.io/Logging_1435/tillsynsmail/A 60640-2020 tillsynsbegäran mail.docx", "A 60640-2020")</f>
        <v/>
      </c>
    </row>
    <row r="408" ht="15" customHeight="1">
      <c r="A408" t="inlineStr">
        <is>
          <t>A 44429-2021</t>
        </is>
      </c>
      <c r="B408" s="1" t="n">
        <v>44435</v>
      </c>
      <c r="C408" s="1" t="n">
        <v>45952</v>
      </c>
      <c r="D408" t="inlineStr">
        <is>
          <t>VÄSTRA GÖTALANDS LÄN</t>
        </is>
      </c>
      <c r="E408" t="inlineStr">
        <is>
          <t>LYSEKIL</t>
        </is>
      </c>
      <c r="G408" t="n">
        <v>1.8</v>
      </c>
      <c r="H408" t="n">
        <v>1</v>
      </c>
      <c r="I408" t="n">
        <v>0</v>
      </c>
      <c r="J408" t="n">
        <v>0</v>
      </c>
      <c r="K408" t="n">
        <v>0</v>
      </c>
      <c r="L408" t="n">
        <v>0</v>
      </c>
      <c r="M408" t="n">
        <v>0</v>
      </c>
      <c r="N408" t="n">
        <v>0</v>
      </c>
      <c r="O408" t="n">
        <v>0</v>
      </c>
      <c r="P408" t="n">
        <v>0</v>
      </c>
      <c r="Q408" t="n">
        <v>1</v>
      </c>
      <c r="R408" s="2" t="inlineStr">
        <is>
          <t>Nattskärra</t>
        </is>
      </c>
      <c r="S408">
        <f>HYPERLINK("https://klasma.github.io/Logging_1484/artfynd/A 44429-2021 artfynd.xlsx", "A 44429-2021")</f>
        <v/>
      </c>
      <c r="T408">
        <f>HYPERLINK("https://klasma.github.io/Logging_1484/kartor/A 44429-2021 karta.png", "A 44429-2021")</f>
        <v/>
      </c>
      <c r="V408">
        <f>HYPERLINK("https://klasma.github.io/Logging_1484/klagomål/A 44429-2021 FSC-klagomål.docx", "A 44429-2021")</f>
        <v/>
      </c>
      <c r="W408">
        <f>HYPERLINK("https://klasma.github.io/Logging_1484/klagomålsmail/A 44429-2021 FSC-klagomål mail.docx", "A 44429-2021")</f>
        <v/>
      </c>
      <c r="X408">
        <f>HYPERLINK("https://klasma.github.io/Logging_1484/tillsyn/A 44429-2021 tillsynsbegäran.docx", "A 44429-2021")</f>
        <v/>
      </c>
      <c r="Y408">
        <f>HYPERLINK("https://klasma.github.io/Logging_1484/tillsynsmail/A 44429-2021 tillsynsbegäran mail.docx", "A 44429-2021")</f>
        <v/>
      </c>
      <c r="Z408">
        <f>HYPERLINK("https://klasma.github.io/Logging_1484/fåglar/A 44429-2021 prioriterade fågelarter.docx", "A 44429-2021")</f>
        <v/>
      </c>
    </row>
    <row r="409" ht="15" customHeight="1">
      <c r="A409" t="inlineStr">
        <is>
          <t>A 63729-2021</t>
        </is>
      </c>
      <c r="B409" s="1" t="n">
        <v>44508</v>
      </c>
      <c r="C409" s="1" t="n">
        <v>45952</v>
      </c>
      <c r="D409" t="inlineStr">
        <is>
          <t>VÄSTRA GÖTALANDS LÄN</t>
        </is>
      </c>
      <c r="E409" t="inlineStr">
        <is>
          <t>BENGTSFORS</t>
        </is>
      </c>
      <c r="G409" t="n">
        <v>5</v>
      </c>
      <c r="H409" t="n">
        <v>0</v>
      </c>
      <c r="I409" t="n">
        <v>1</v>
      </c>
      <c r="J409" t="n">
        <v>0</v>
      </c>
      <c r="K409" t="n">
        <v>0</v>
      </c>
      <c r="L409" t="n">
        <v>0</v>
      </c>
      <c r="M409" t="n">
        <v>0</v>
      </c>
      <c r="N409" t="n">
        <v>0</v>
      </c>
      <c r="O409" t="n">
        <v>0</v>
      </c>
      <c r="P409" t="n">
        <v>0</v>
      </c>
      <c r="Q409" t="n">
        <v>1</v>
      </c>
      <c r="R409" s="2" t="inlineStr">
        <is>
          <t>Grönpyrola</t>
        </is>
      </c>
      <c r="S409">
        <f>HYPERLINK("https://klasma.github.io/Logging_1460/artfynd/A 63729-2021 artfynd.xlsx", "A 63729-2021")</f>
        <v/>
      </c>
      <c r="T409">
        <f>HYPERLINK("https://klasma.github.io/Logging_1460/kartor/A 63729-2021 karta.png", "A 63729-2021")</f>
        <v/>
      </c>
      <c r="V409">
        <f>HYPERLINK("https://klasma.github.io/Logging_1460/klagomål/A 63729-2021 FSC-klagomål.docx", "A 63729-2021")</f>
        <v/>
      </c>
      <c r="W409">
        <f>HYPERLINK("https://klasma.github.io/Logging_1460/klagomålsmail/A 63729-2021 FSC-klagomål mail.docx", "A 63729-2021")</f>
        <v/>
      </c>
      <c r="X409">
        <f>HYPERLINK("https://klasma.github.io/Logging_1460/tillsyn/A 63729-2021 tillsynsbegäran.docx", "A 63729-2021")</f>
        <v/>
      </c>
      <c r="Y409">
        <f>HYPERLINK("https://klasma.github.io/Logging_1460/tillsynsmail/A 63729-2021 tillsynsbegäran mail.docx", "A 63729-2021")</f>
        <v/>
      </c>
    </row>
    <row r="410" ht="15" customHeight="1">
      <c r="A410" t="inlineStr">
        <is>
          <t>A 29375-2022</t>
        </is>
      </c>
      <c r="B410" s="1" t="n">
        <v>44753</v>
      </c>
      <c r="C410" s="1" t="n">
        <v>45952</v>
      </c>
      <c r="D410" t="inlineStr">
        <is>
          <t>VÄSTRA GÖTALANDS LÄN</t>
        </is>
      </c>
      <c r="E410" t="inlineStr">
        <is>
          <t>VÄNERSBORG</t>
        </is>
      </c>
      <c r="F410" t="inlineStr">
        <is>
          <t>Sveaskog</t>
        </is>
      </c>
      <c r="G410" t="n">
        <v>4.6</v>
      </c>
      <c r="H410" t="n">
        <v>1</v>
      </c>
      <c r="I410" t="n">
        <v>1</v>
      </c>
      <c r="J410" t="n">
        <v>0</v>
      </c>
      <c r="K410" t="n">
        <v>0</v>
      </c>
      <c r="L410" t="n">
        <v>0</v>
      </c>
      <c r="M410" t="n">
        <v>0</v>
      </c>
      <c r="N410" t="n">
        <v>0</v>
      </c>
      <c r="O410" t="n">
        <v>0</v>
      </c>
      <c r="P410" t="n">
        <v>0</v>
      </c>
      <c r="Q410" t="n">
        <v>1</v>
      </c>
      <c r="R410" s="2" t="inlineStr">
        <is>
          <t>Purpurknipprot</t>
        </is>
      </c>
      <c r="S410">
        <f>HYPERLINK("https://klasma.github.io/Logging_1487/artfynd/A 29375-2022 artfynd.xlsx", "A 29375-2022")</f>
        <v/>
      </c>
      <c r="T410">
        <f>HYPERLINK("https://klasma.github.io/Logging_1487/kartor/A 29375-2022 karta.png", "A 29375-2022")</f>
        <v/>
      </c>
      <c r="V410">
        <f>HYPERLINK("https://klasma.github.io/Logging_1487/klagomål/A 29375-2022 FSC-klagomål.docx", "A 29375-2022")</f>
        <v/>
      </c>
      <c r="W410">
        <f>HYPERLINK("https://klasma.github.io/Logging_1487/klagomålsmail/A 29375-2022 FSC-klagomål mail.docx", "A 29375-2022")</f>
        <v/>
      </c>
      <c r="X410">
        <f>HYPERLINK("https://klasma.github.io/Logging_1487/tillsyn/A 29375-2022 tillsynsbegäran.docx", "A 29375-2022")</f>
        <v/>
      </c>
      <c r="Y410">
        <f>HYPERLINK("https://klasma.github.io/Logging_1487/tillsynsmail/A 29375-2022 tillsynsbegäran mail.docx", "A 29375-2022")</f>
        <v/>
      </c>
    </row>
    <row r="411" ht="15" customHeight="1">
      <c r="A411" t="inlineStr">
        <is>
          <t>A 64734-2020</t>
        </is>
      </c>
      <c r="B411" s="1" t="n">
        <v>44169</v>
      </c>
      <c r="C411" s="1" t="n">
        <v>45952</v>
      </c>
      <c r="D411" t="inlineStr">
        <is>
          <t>VÄSTRA GÖTALANDS LÄN</t>
        </is>
      </c>
      <c r="E411" t="inlineStr">
        <is>
          <t>HÄRRYDA</t>
        </is>
      </c>
      <c r="G411" t="n">
        <v>4.1</v>
      </c>
      <c r="H411" t="n">
        <v>1</v>
      </c>
      <c r="I411" t="n">
        <v>0</v>
      </c>
      <c r="J411" t="n">
        <v>1</v>
      </c>
      <c r="K411" t="n">
        <v>0</v>
      </c>
      <c r="L411" t="n">
        <v>0</v>
      </c>
      <c r="M411" t="n">
        <v>0</v>
      </c>
      <c r="N411" t="n">
        <v>0</v>
      </c>
      <c r="O411" t="n">
        <v>1</v>
      </c>
      <c r="P411" t="n">
        <v>0</v>
      </c>
      <c r="Q411" t="n">
        <v>1</v>
      </c>
      <c r="R411" s="2" t="inlineStr">
        <is>
          <t>Spillkråka</t>
        </is>
      </c>
      <c r="S411">
        <f>HYPERLINK("https://klasma.github.io/Logging_1401/artfynd/A 64734-2020 artfynd.xlsx", "A 64734-2020")</f>
        <v/>
      </c>
      <c r="T411">
        <f>HYPERLINK("https://klasma.github.io/Logging_1401/kartor/A 64734-2020 karta.png", "A 64734-2020")</f>
        <v/>
      </c>
      <c r="V411">
        <f>HYPERLINK("https://klasma.github.io/Logging_1401/klagomål/A 64734-2020 FSC-klagomål.docx", "A 64734-2020")</f>
        <v/>
      </c>
      <c r="W411">
        <f>HYPERLINK("https://klasma.github.io/Logging_1401/klagomålsmail/A 64734-2020 FSC-klagomål mail.docx", "A 64734-2020")</f>
        <v/>
      </c>
      <c r="X411">
        <f>HYPERLINK("https://klasma.github.io/Logging_1401/tillsyn/A 64734-2020 tillsynsbegäran.docx", "A 64734-2020")</f>
        <v/>
      </c>
      <c r="Y411">
        <f>HYPERLINK("https://klasma.github.io/Logging_1401/tillsynsmail/A 64734-2020 tillsynsbegäran mail.docx", "A 64734-2020")</f>
        <v/>
      </c>
      <c r="Z411">
        <f>HYPERLINK("https://klasma.github.io/Logging_1401/fåglar/A 64734-2020 prioriterade fågelarter.docx", "A 64734-2020")</f>
        <v/>
      </c>
    </row>
    <row r="412" ht="15" customHeight="1">
      <c r="A412" t="inlineStr">
        <is>
          <t>A 901-2021</t>
        </is>
      </c>
      <c r="B412" s="1" t="n">
        <v>44206</v>
      </c>
      <c r="C412" s="1" t="n">
        <v>45952</v>
      </c>
      <c r="D412" t="inlineStr">
        <is>
          <t>VÄSTRA GÖTALANDS LÄN</t>
        </is>
      </c>
      <c r="E412" t="inlineStr">
        <is>
          <t>ÅMÅL</t>
        </is>
      </c>
      <c r="G412" t="n">
        <v>8.199999999999999</v>
      </c>
      <c r="H412" t="n">
        <v>1</v>
      </c>
      <c r="I412" t="n">
        <v>0</v>
      </c>
      <c r="J412" t="n">
        <v>0</v>
      </c>
      <c r="K412" t="n">
        <v>0</v>
      </c>
      <c r="L412" t="n">
        <v>0</v>
      </c>
      <c r="M412" t="n">
        <v>0</v>
      </c>
      <c r="N412" t="n">
        <v>0</v>
      </c>
      <c r="O412" t="n">
        <v>0</v>
      </c>
      <c r="P412" t="n">
        <v>0</v>
      </c>
      <c r="Q412" t="n">
        <v>1</v>
      </c>
      <c r="R412" s="2" t="inlineStr">
        <is>
          <t>Blåsippa</t>
        </is>
      </c>
      <c r="S412">
        <f>HYPERLINK("https://klasma.github.io/Logging_1492/artfynd/A 901-2021 artfynd.xlsx", "A 901-2021")</f>
        <v/>
      </c>
      <c r="T412">
        <f>HYPERLINK("https://klasma.github.io/Logging_1492/kartor/A 901-2021 karta.png", "A 901-2021")</f>
        <v/>
      </c>
      <c r="V412">
        <f>HYPERLINK("https://klasma.github.io/Logging_1492/klagomål/A 901-2021 FSC-klagomål.docx", "A 901-2021")</f>
        <v/>
      </c>
      <c r="W412">
        <f>HYPERLINK("https://klasma.github.io/Logging_1492/klagomålsmail/A 901-2021 FSC-klagomål mail.docx", "A 901-2021")</f>
        <v/>
      </c>
      <c r="X412">
        <f>HYPERLINK("https://klasma.github.io/Logging_1492/tillsyn/A 901-2021 tillsynsbegäran.docx", "A 901-2021")</f>
        <v/>
      </c>
      <c r="Y412">
        <f>HYPERLINK("https://klasma.github.io/Logging_1492/tillsynsmail/A 901-2021 tillsynsbegäran mail.docx", "A 901-2021")</f>
        <v/>
      </c>
    </row>
    <row r="413" ht="15" customHeight="1">
      <c r="A413" t="inlineStr">
        <is>
          <t>A 64484-2021</t>
        </is>
      </c>
      <c r="B413" s="1" t="n">
        <v>44511</v>
      </c>
      <c r="C413" s="1" t="n">
        <v>45952</v>
      </c>
      <c r="D413" t="inlineStr">
        <is>
          <t>VÄSTRA GÖTALANDS LÄN</t>
        </is>
      </c>
      <c r="E413" t="inlineStr">
        <is>
          <t>TANUM</t>
        </is>
      </c>
      <c r="G413" t="n">
        <v>0.4</v>
      </c>
      <c r="H413" t="n">
        <v>0</v>
      </c>
      <c r="I413" t="n">
        <v>0</v>
      </c>
      <c r="J413" t="n">
        <v>0</v>
      </c>
      <c r="K413" t="n">
        <v>1</v>
      </c>
      <c r="L413" t="n">
        <v>0</v>
      </c>
      <c r="M413" t="n">
        <v>0</v>
      </c>
      <c r="N413" t="n">
        <v>0</v>
      </c>
      <c r="O413" t="n">
        <v>1</v>
      </c>
      <c r="P413" t="n">
        <v>1</v>
      </c>
      <c r="Q413" t="n">
        <v>1</v>
      </c>
      <c r="R413" s="2" t="inlineStr">
        <is>
          <t>Slåttergubbe</t>
        </is>
      </c>
      <c r="S413">
        <f>HYPERLINK("https://klasma.github.io/Logging_1435/artfynd/A 64484-2021 artfynd.xlsx", "A 64484-2021")</f>
        <v/>
      </c>
      <c r="T413">
        <f>HYPERLINK("https://klasma.github.io/Logging_1435/kartor/A 64484-2021 karta.png", "A 64484-2021")</f>
        <v/>
      </c>
      <c r="V413">
        <f>HYPERLINK("https://klasma.github.io/Logging_1435/klagomål/A 64484-2021 FSC-klagomål.docx", "A 64484-2021")</f>
        <v/>
      </c>
      <c r="W413">
        <f>HYPERLINK("https://klasma.github.io/Logging_1435/klagomålsmail/A 64484-2021 FSC-klagomål mail.docx", "A 64484-2021")</f>
        <v/>
      </c>
      <c r="X413">
        <f>HYPERLINK("https://klasma.github.io/Logging_1435/tillsyn/A 64484-2021 tillsynsbegäran.docx", "A 64484-2021")</f>
        <v/>
      </c>
      <c r="Y413">
        <f>HYPERLINK("https://klasma.github.io/Logging_1435/tillsynsmail/A 64484-2021 tillsynsbegäran mail.docx", "A 64484-2021")</f>
        <v/>
      </c>
    </row>
    <row r="414" ht="15" customHeight="1">
      <c r="A414" t="inlineStr">
        <is>
          <t>A 64046-2020</t>
        </is>
      </c>
      <c r="B414" s="1" t="n">
        <v>44167</v>
      </c>
      <c r="C414" s="1" t="n">
        <v>45952</v>
      </c>
      <c r="D414" t="inlineStr">
        <is>
          <t>VÄSTRA GÖTALANDS LÄN</t>
        </is>
      </c>
      <c r="E414" t="inlineStr">
        <is>
          <t>MARIESTAD</t>
        </is>
      </c>
      <c r="G414" t="n">
        <v>12</v>
      </c>
      <c r="H414" t="n">
        <v>0</v>
      </c>
      <c r="I414" t="n">
        <v>0</v>
      </c>
      <c r="J414" t="n">
        <v>0</v>
      </c>
      <c r="K414" t="n">
        <v>0</v>
      </c>
      <c r="L414" t="n">
        <v>1</v>
      </c>
      <c r="M414" t="n">
        <v>0</v>
      </c>
      <c r="N414" t="n">
        <v>0</v>
      </c>
      <c r="O414" t="n">
        <v>1</v>
      </c>
      <c r="P414" t="n">
        <v>1</v>
      </c>
      <c r="Q414" t="n">
        <v>1</v>
      </c>
      <c r="R414" s="2" t="inlineStr">
        <is>
          <t>Fältgentiana</t>
        </is>
      </c>
      <c r="S414">
        <f>HYPERLINK("https://klasma.github.io/Logging_1493/artfynd/A 64046-2020 artfynd.xlsx", "A 64046-2020")</f>
        <v/>
      </c>
      <c r="T414">
        <f>HYPERLINK("https://klasma.github.io/Logging_1493/kartor/A 64046-2020 karta.png", "A 64046-2020")</f>
        <v/>
      </c>
      <c r="V414">
        <f>HYPERLINK("https://klasma.github.io/Logging_1493/klagomål/A 64046-2020 FSC-klagomål.docx", "A 64046-2020")</f>
        <v/>
      </c>
      <c r="W414">
        <f>HYPERLINK("https://klasma.github.io/Logging_1493/klagomålsmail/A 64046-2020 FSC-klagomål mail.docx", "A 64046-2020")</f>
        <v/>
      </c>
      <c r="X414">
        <f>HYPERLINK("https://klasma.github.io/Logging_1493/tillsyn/A 64046-2020 tillsynsbegäran.docx", "A 64046-2020")</f>
        <v/>
      </c>
      <c r="Y414">
        <f>HYPERLINK("https://klasma.github.io/Logging_1493/tillsynsmail/A 64046-2020 tillsynsbegäran mail.docx", "A 64046-2020")</f>
        <v/>
      </c>
    </row>
    <row r="415" ht="15" customHeight="1">
      <c r="A415" t="inlineStr">
        <is>
          <t>A 16618-2022</t>
        </is>
      </c>
      <c r="B415" s="1" t="n">
        <v>44672.59796296297</v>
      </c>
      <c r="C415" s="1" t="n">
        <v>45952</v>
      </c>
      <c r="D415" t="inlineStr">
        <is>
          <t>VÄSTRA GÖTALANDS LÄN</t>
        </is>
      </c>
      <c r="E415" t="inlineStr">
        <is>
          <t>MUNKEDAL</t>
        </is>
      </c>
      <c r="G415" t="n">
        <v>0.8</v>
      </c>
      <c r="H415" t="n">
        <v>1</v>
      </c>
      <c r="I415" t="n">
        <v>0</v>
      </c>
      <c r="J415" t="n">
        <v>0</v>
      </c>
      <c r="K415" t="n">
        <v>0</v>
      </c>
      <c r="L415" t="n">
        <v>0</v>
      </c>
      <c r="M415" t="n">
        <v>0</v>
      </c>
      <c r="N415" t="n">
        <v>0</v>
      </c>
      <c r="O415" t="n">
        <v>0</v>
      </c>
      <c r="P415" t="n">
        <v>0</v>
      </c>
      <c r="Q415" t="n">
        <v>1</v>
      </c>
      <c r="R415" s="2" t="inlineStr">
        <is>
          <t>Vanlig padda</t>
        </is>
      </c>
      <c r="S415">
        <f>HYPERLINK("https://klasma.github.io/Logging_1430/artfynd/A 16618-2022 artfynd.xlsx", "A 16618-2022")</f>
        <v/>
      </c>
      <c r="T415">
        <f>HYPERLINK("https://klasma.github.io/Logging_1430/kartor/A 16618-2022 karta.png", "A 16618-2022")</f>
        <v/>
      </c>
      <c r="V415">
        <f>HYPERLINK("https://klasma.github.io/Logging_1430/klagomål/A 16618-2022 FSC-klagomål.docx", "A 16618-2022")</f>
        <v/>
      </c>
      <c r="W415">
        <f>HYPERLINK("https://klasma.github.io/Logging_1430/klagomålsmail/A 16618-2022 FSC-klagomål mail.docx", "A 16618-2022")</f>
        <v/>
      </c>
      <c r="X415">
        <f>HYPERLINK("https://klasma.github.io/Logging_1430/tillsyn/A 16618-2022 tillsynsbegäran.docx", "A 16618-2022")</f>
        <v/>
      </c>
      <c r="Y415">
        <f>HYPERLINK("https://klasma.github.io/Logging_1430/tillsynsmail/A 16618-2022 tillsynsbegäran mail.docx", "A 16618-2022")</f>
        <v/>
      </c>
    </row>
    <row r="416" ht="15" customHeight="1">
      <c r="A416" t="inlineStr">
        <is>
          <t>A 17770-2021</t>
        </is>
      </c>
      <c r="B416" s="1" t="n">
        <v>44300</v>
      </c>
      <c r="C416" s="1" t="n">
        <v>45952</v>
      </c>
      <c r="D416" t="inlineStr">
        <is>
          <t>VÄSTRA GÖTALANDS LÄN</t>
        </is>
      </c>
      <c r="E416" t="inlineStr">
        <is>
          <t>SKARA</t>
        </is>
      </c>
      <c r="F416" t="inlineStr">
        <is>
          <t>Övriga statliga verk och myndigheter</t>
        </is>
      </c>
      <c r="G416" t="n">
        <v>2.7</v>
      </c>
      <c r="H416" t="n">
        <v>1</v>
      </c>
      <c r="I416" t="n">
        <v>0</v>
      </c>
      <c r="J416" t="n">
        <v>0</v>
      </c>
      <c r="K416" t="n">
        <v>0</v>
      </c>
      <c r="L416" t="n">
        <v>1</v>
      </c>
      <c r="M416" t="n">
        <v>0</v>
      </c>
      <c r="N416" t="n">
        <v>0</v>
      </c>
      <c r="O416" t="n">
        <v>1</v>
      </c>
      <c r="P416" t="n">
        <v>1</v>
      </c>
      <c r="Q416" t="n">
        <v>1</v>
      </c>
      <c r="R416" s="2" t="inlineStr">
        <is>
          <t>Brunand</t>
        </is>
      </c>
      <c r="S416">
        <f>HYPERLINK("https://klasma.github.io/Logging_1495/artfynd/A 17770-2021 artfynd.xlsx", "A 17770-2021")</f>
        <v/>
      </c>
      <c r="T416">
        <f>HYPERLINK("https://klasma.github.io/Logging_1495/kartor/A 17770-2021 karta.png", "A 17770-2021")</f>
        <v/>
      </c>
      <c r="V416">
        <f>HYPERLINK("https://klasma.github.io/Logging_1495/klagomål/A 17770-2021 FSC-klagomål.docx", "A 17770-2021")</f>
        <v/>
      </c>
      <c r="W416">
        <f>HYPERLINK("https://klasma.github.io/Logging_1495/klagomålsmail/A 17770-2021 FSC-klagomål mail.docx", "A 17770-2021")</f>
        <v/>
      </c>
      <c r="X416">
        <f>HYPERLINK("https://klasma.github.io/Logging_1495/tillsyn/A 17770-2021 tillsynsbegäran.docx", "A 17770-2021")</f>
        <v/>
      </c>
      <c r="Y416">
        <f>HYPERLINK("https://klasma.github.io/Logging_1495/tillsynsmail/A 17770-2021 tillsynsbegäran mail.docx", "A 17770-2021")</f>
        <v/>
      </c>
    </row>
    <row r="417" ht="15" customHeight="1">
      <c r="A417" t="inlineStr">
        <is>
          <t>A 64414-2020</t>
        </is>
      </c>
      <c r="B417" s="1" t="n">
        <v>44168</v>
      </c>
      <c r="C417" s="1" t="n">
        <v>45952</v>
      </c>
      <c r="D417" t="inlineStr">
        <is>
          <t>VÄSTRA GÖTALANDS LÄN</t>
        </is>
      </c>
      <c r="E417" t="inlineStr">
        <is>
          <t>BORÅS</t>
        </is>
      </c>
      <c r="F417" t="inlineStr">
        <is>
          <t>Kommuner</t>
        </is>
      </c>
      <c r="G417" t="n">
        <v>1</v>
      </c>
      <c r="H417" t="n">
        <v>1</v>
      </c>
      <c r="I417" t="n">
        <v>0</v>
      </c>
      <c r="J417" t="n">
        <v>0</v>
      </c>
      <c r="K417" t="n">
        <v>0</v>
      </c>
      <c r="L417" t="n">
        <v>0</v>
      </c>
      <c r="M417" t="n">
        <v>0</v>
      </c>
      <c r="N417" t="n">
        <v>0</v>
      </c>
      <c r="O417" t="n">
        <v>0</v>
      </c>
      <c r="P417" t="n">
        <v>0</v>
      </c>
      <c r="Q417" t="n">
        <v>1</v>
      </c>
      <c r="R417" s="2" t="inlineStr">
        <is>
          <t>Fläcknycklar</t>
        </is>
      </c>
      <c r="S417">
        <f>HYPERLINK("https://klasma.github.io/Logging_1490/artfynd/A 64414-2020 artfynd.xlsx", "A 64414-2020")</f>
        <v/>
      </c>
      <c r="T417">
        <f>HYPERLINK("https://klasma.github.io/Logging_1490/kartor/A 64414-2020 karta.png", "A 64414-2020")</f>
        <v/>
      </c>
      <c r="V417">
        <f>HYPERLINK("https://klasma.github.io/Logging_1490/klagomål/A 64414-2020 FSC-klagomål.docx", "A 64414-2020")</f>
        <v/>
      </c>
      <c r="W417">
        <f>HYPERLINK("https://klasma.github.io/Logging_1490/klagomålsmail/A 64414-2020 FSC-klagomål mail.docx", "A 64414-2020")</f>
        <v/>
      </c>
      <c r="X417">
        <f>HYPERLINK("https://klasma.github.io/Logging_1490/tillsyn/A 64414-2020 tillsynsbegäran.docx", "A 64414-2020")</f>
        <v/>
      </c>
      <c r="Y417">
        <f>HYPERLINK("https://klasma.github.io/Logging_1490/tillsynsmail/A 64414-2020 tillsynsbegäran mail.docx", "A 64414-2020")</f>
        <v/>
      </c>
    </row>
    <row r="418" ht="15" customHeight="1">
      <c r="A418" t="inlineStr">
        <is>
          <t>A 5135-2021</t>
        </is>
      </c>
      <c r="B418" s="1" t="n">
        <v>44228</v>
      </c>
      <c r="C418" s="1" t="n">
        <v>45952</v>
      </c>
      <c r="D418" t="inlineStr">
        <is>
          <t>VÄSTRA GÖTALANDS LÄN</t>
        </is>
      </c>
      <c r="E418" t="inlineStr">
        <is>
          <t>VÅRGÅRDA</t>
        </is>
      </c>
      <c r="G418" t="n">
        <v>0.7</v>
      </c>
      <c r="H418" t="n">
        <v>1</v>
      </c>
      <c r="I418" t="n">
        <v>0</v>
      </c>
      <c r="J418" t="n">
        <v>0</v>
      </c>
      <c r="K418" t="n">
        <v>0</v>
      </c>
      <c r="L418" t="n">
        <v>0</v>
      </c>
      <c r="M418" t="n">
        <v>0</v>
      </c>
      <c r="N418" t="n">
        <v>0</v>
      </c>
      <c r="O418" t="n">
        <v>0</v>
      </c>
      <c r="P418" t="n">
        <v>0</v>
      </c>
      <c r="Q418" t="n">
        <v>1</v>
      </c>
      <c r="R418" s="2" t="inlineStr">
        <is>
          <t>Vanlig groda</t>
        </is>
      </c>
      <c r="S418">
        <f>HYPERLINK("https://klasma.github.io/Logging_1442/artfynd/A 5135-2021 artfynd.xlsx", "A 5135-2021")</f>
        <v/>
      </c>
      <c r="T418">
        <f>HYPERLINK("https://klasma.github.io/Logging_1442/kartor/A 5135-2021 karta.png", "A 5135-2021")</f>
        <v/>
      </c>
      <c r="V418">
        <f>HYPERLINK("https://klasma.github.io/Logging_1442/klagomål/A 5135-2021 FSC-klagomål.docx", "A 5135-2021")</f>
        <v/>
      </c>
      <c r="W418">
        <f>HYPERLINK("https://klasma.github.io/Logging_1442/klagomålsmail/A 5135-2021 FSC-klagomål mail.docx", "A 5135-2021")</f>
        <v/>
      </c>
      <c r="X418">
        <f>HYPERLINK("https://klasma.github.io/Logging_1442/tillsyn/A 5135-2021 tillsynsbegäran.docx", "A 5135-2021")</f>
        <v/>
      </c>
      <c r="Y418">
        <f>HYPERLINK("https://klasma.github.io/Logging_1442/tillsynsmail/A 5135-2021 tillsynsbegäran mail.docx", "A 5135-2021")</f>
        <v/>
      </c>
    </row>
    <row r="419" ht="15" customHeight="1">
      <c r="A419" t="inlineStr">
        <is>
          <t>A 65769-2020</t>
        </is>
      </c>
      <c r="B419" s="1" t="n">
        <v>44172</v>
      </c>
      <c r="C419" s="1" t="n">
        <v>45952</v>
      </c>
      <c r="D419" t="inlineStr">
        <is>
          <t>VÄSTRA GÖTALANDS LÄN</t>
        </is>
      </c>
      <c r="E419" t="inlineStr">
        <is>
          <t>MELLERUD</t>
        </is>
      </c>
      <c r="G419" t="n">
        <v>5.1</v>
      </c>
      <c r="H419" t="n">
        <v>1</v>
      </c>
      <c r="I419" t="n">
        <v>0</v>
      </c>
      <c r="J419" t="n">
        <v>0</v>
      </c>
      <c r="K419" t="n">
        <v>0</v>
      </c>
      <c r="L419" t="n">
        <v>0</v>
      </c>
      <c r="M419" t="n">
        <v>0</v>
      </c>
      <c r="N419" t="n">
        <v>0</v>
      </c>
      <c r="O419" t="n">
        <v>0</v>
      </c>
      <c r="P419" t="n">
        <v>0</v>
      </c>
      <c r="Q419" t="n">
        <v>1</v>
      </c>
      <c r="R419" s="2" t="inlineStr">
        <is>
          <t>Sankt pers nycklar</t>
        </is>
      </c>
      <c r="S419">
        <f>HYPERLINK("https://klasma.github.io/Logging_1461/artfynd/A 65769-2020 artfynd.xlsx", "A 65769-2020")</f>
        <v/>
      </c>
      <c r="T419">
        <f>HYPERLINK("https://klasma.github.io/Logging_1461/kartor/A 65769-2020 karta.png", "A 65769-2020")</f>
        <v/>
      </c>
      <c r="V419">
        <f>HYPERLINK("https://klasma.github.io/Logging_1461/klagomål/A 65769-2020 FSC-klagomål.docx", "A 65769-2020")</f>
        <v/>
      </c>
      <c r="W419">
        <f>HYPERLINK("https://klasma.github.io/Logging_1461/klagomålsmail/A 65769-2020 FSC-klagomål mail.docx", "A 65769-2020")</f>
        <v/>
      </c>
      <c r="X419">
        <f>HYPERLINK("https://klasma.github.io/Logging_1461/tillsyn/A 65769-2020 tillsynsbegäran.docx", "A 65769-2020")</f>
        <v/>
      </c>
      <c r="Y419">
        <f>HYPERLINK("https://klasma.github.io/Logging_1461/tillsynsmail/A 65769-2020 tillsynsbegäran mail.docx", "A 65769-2020")</f>
        <v/>
      </c>
    </row>
    <row r="420" ht="15" customHeight="1">
      <c r="A420" t="inlineStr">
        <is>
          <t>A 26710-2021</t>
        </is>
      </c>
      <c r="B420" s="1" t="n">
        <v>44349</v>
      </c>
      <c r="C420" s="1" t="n">
        <v>45952</v>
      </c>
      <c r="D420" t="inlineStr">
        <is>
          <t>VÄSTRA GÖTALANDS LÄN</t>
        </is>
      </c>
      <c r="E420" t="inlineStr">
        <is>
          <t>FALKÖPING</t>
        </is>
      </c>
      <c r="G420" t="n">
        <v>3.1</v>
      </c>
      <c r="H420" t="n">
        <v>0</v>
      </c>
      <c r="I420" t="n">
        <v>1</v>
      </c>
      <c r="J420" t="n">
        <v>0</v>
      </c>
      <c r="K420" t="n">
        <v>0</v>
      </c>
      <c r="L420" t="n">
        <v>0</v>
      </c>
      <c r="M420" t="n">
        <v>0</v>
      </c>
      <c r="N420" t="n">
        <v>0</v>
      </c>
      <c r="O420" t="n">
        <v>0</v>
      </c>
      <c r="P420" t="n">
        <v>0</v>
      </c>
      <c r="Q420" t="n">
        <v>1</v>
      </c>
      <c r="R420" s="2" t="inlineStr">
        <is>
          <t>Tibast</t>
        </is>
      </c>
      <c r="S420">
        <f>HYPERLINK("https://klasma.github.io/Logging_1499/artfynd/A 26710-2021 artfynd.xlsx", "A 26710-2021")</f>
        <v/>
      </c>
      <c r="T420">
        <f>HYPERLINK("https://klasma.github.io/Logging_1499/kartor/A 26710-2021 karta.png", "A 26710-2021")</f>
        <v/>
      </c>
      <c r="V420">
        <f>HYPERLINK("https://klasma.github.io/Logging_1499/klagomål/A 26710-2021 FSC-klagomål.docx", "A 26710-2021")</f>
        <v/>
      </c>
      <c r="W420">
        <f>HYPERLINK("https://klasma.github.io/Logging_1499/klagomålsmail/A 26710-2021 FSC-klagomål mail.docx", "A 26710-2021")</f>
        <v/>
      </c>
      <c r="X420">
        <f>HYPERLINK("https://klasma.github.io/Logging_1499/tillsyn/A 26710-2021 tillsynsbegäran.docx", "A 26710-2021")</f>
        <v/>
      </c>
      <c r="Y420">
        <f>HYPERLINK("https://klasma.github.io/Logging_1499/tillsynsmail/A 26710-2021 tillsynsbegäran mail.docx", "A 26710-2021")</f>
        <v/>
      </c>
    </row>
    <row r="421" ht="15" customHeight="1">
      <c r="A421" t="inlineStr">
        <is>
          <t>A 72571-2021</t>
        </is>
      </c>
      <c r="B421" s="1" t="n">
        <v>44546</v>
      </c>
      <c r="C421" s="1" t="n">
        <v>45952</v>
      </c>
      <c r="D421" t="inlineStr">
        <is>
          <t>VÄSTRA GÖTALANDS LÄN</t>
        </is>
      </c>
      <c r="E421" t="inlineStr">
        <is>
          <t>HERRLJUNGA</t>
        </is>
      </c>
      <c r="F421" t="inlineStr">
        <is>
          <t>Kommuner</t>
        </is>
      </c>
      <c r="G421" t="n">
        <v>2</v>
      </c>
      <c r="H421" t="n">
        <v>1</v>
      </c>
      <c r="I421" t="n">
        <v>0</v>
      </c>
      <c r="J421" t="n">
        <v>0</v>
      </c>
      <c r="K421" t="n">
        <v>0</v>
      </c>
      <c r="L421" t="n">
        <v>0</v>
      </c>
      <c r="M421" t="n">
        <v>0</v>
      </c>
      <c r="N421" t="n">
        <v>0</v>
      </c>
      <c r="O421" t="n">
        <v>0</v>
      </c>
      <c r="P421" t="n">
        <v>0</v>
      </c>
      <c r="Q421" t="n">
        <v>1</v>
      </c>
      <c r="R421" s="2" t="inlineStr">
        <is>
          <t>Vanlig padda</t>
        </is>
      </c>
      <c r="S421">
        <f>HYPERLINK("https://klasma.github.io/Logging_1466/artfynd/A 72571-2021 artfynd.xlsx", "A 72571-2021")</f>
        <v/>
      </c>
      <c r="T421">
        <f>HYPERLINK("https://klasma.github.io/Logging_1466/kartor/A 72571-2021 karta.png", "A 72571-2021")</f>
        <v/>
      </c>
      <c r="V421">
        <f>HYPERLINK("https://klasma.github.io/Logging_1466/klagomål/A 72571-2021 FSC-klagomål.docx", "A 72571-2021")</f>
        <v/>
      </c>
      <c r="W421">
        <f>HYPERLINK("https://klasma.github.io/Logging_1466/klagomålsmail/A 72571-2021 FSC-klagomål mail.docx", "A 72571-2021")</f>
        <v/>
      </c>
      <c r="X421">
        <f>HYPERLINK("https://klasma.github.io/Logging_1466/tillsyn/A 72571-2021 tillsynsbegäran.docx", "A 72571-2021")</f>
        <v/>
      </c>
      <c r="Y421">
        <f>HYPERLINK("https://klasma.github.io/Logging_1466/tillsynsmail/A 72571-2021 tillsynsbegäran mail.docx", "A 72571-2021")</f>
        <v/>
      </c>
    </row>
    <row r="422" ht="15" customHeight="1">
      <c r="A422" t="inlineStr">
        <is>
          <t>A 36083-2021</t>
        </is>
      </c>
      <c r="B422" s="1" t="n">
        <v>44389</v>
      </c>
      <c r="C422" s="1" t="n">
        <v>45952</v>
      </c>
      <c r="D422" t="inlineStr">
        <is>
          <t>VÄSTRA GÖTALANDS LÄN</t>
        </is>
      </c>
      <c r="E422" t="inlineStr">
        <is>
          <t>MELLERUD</t>
        </is>
      </c>
      <c r="G422" t="n">
        <v>4.1</v>
      </c>
      <c r="H422" t="n">
        <v>0</v>
      </c>
      <c r="I422" t="n">
        <v>1</v>
      </c>
      <c r="J422" t="n">
        <v>0</v>
      </c>
      <c r="K422" t="n">
        <v>0</v>
      </c>
      <c r="L422" t="n">
        <v>0</v>
      </c>
      <c r="M422" t="n">
        <v>0</v>
      </c>
      <c r="N422" t="n">
        <v>0</v>
      </c>
      <c r="O422" t="n">
        <v>0</v>
      </c>
      <c r="P422" t="n">
        <v>0</v>
      </c>
      <c r="Q422" t="n">
        <v>1</v>
      </c>
      <c r="R422" s="2" t="inlineStr">
        <is>
          <t>Strutbräken</t>
        </is>
      </c>
      <c r="S422">
        <f>HYPERLINK("https://klasma.github.io/Logging_1461/artfynd/A 36083-2021 artfynd.xlsx", "A 36083-2021")</f>
        <v/>
      </c>
      <c r="T422">
        <f>HYPERLINK("https://klasma.github.io/Logging_1461/kartor/A 36083-2021 karta.png", "A 36083-2021")</f>
        <v/>
      </c>
      <c r="V422">
        <f>HYPERLINK("https://klasma.github.io/Logging_1461/klagomål/A 36083-2021 FSC-klagomål.docx", "A 36083-2021")</f>
        <v/>
      </c>
      <c r="W422">
        <f>HYPERLINK("https://klasma.github.io/Logging_1461/klagomålsmail/A 36083-2021 FSC-klagomål mail.docx", "A 36083-2021")</f>
        <v/>
      </c>
      <c r="X422">
        <f>HYPERLINK("https://klasma.github.io/Logging_1461/tillsyn/A 36083-2021 tillsynsbegäran.docx", "A 36083-2021")</f>
        <v/>
      </c>
      <c r="Y422">
        <f>HYPERLINK("https://klasma.github.io/Logging_1461/tillsynsmail/A 36083-2021 tillsynsbegäran mail.docx", "A 36083-2021")</f>
        <v/>
      </c>
    </row>
    <row r="423" ht="15" customHeight="1">
      <c r="A423" t="inlineStr">
        <is>
          <t>A 1013-2022</t>
        </is>
      </c>
      <c r="B423" s="1" t="n">
        <v>44571</v>
      </c>
      <c r="C423" s="1" t="n">
        <v>45952</v>
      </c>
      <c r="D423" t="inlineStr">
        <is>
          <t>VÄSTRA GÖTALANDS LÄN</t>
        </is>
      </c>
      <c r="E423" t="inlineStr">
        <is>
          <t>STRÖMSTAD</t>
        </is>
      </c>
      <c r="G423" t="n">
        <v>2.5</v>
      </c>
      <c r="H423" t="n">
        <v>0</v>
      </c>
      <c r="I423" t="n">
        <v>0</v>
      </c>
      <c r="J423" t="n">
        <v>1</v>
      </c>
      <c r="K423" t="n">
        <v>0</v>
      </c>
      <c r="L423" t="n">
        <v>0</v>
      </c>
      <c r="M423" t="n">
        <v>0</v>
      </c>
      <c r="N423" t="n">
        <v>0</v>
      </c>
      <c r="O423" t="n">
        <v>1</v>
      </c>
      <c r="P423" t="n">
        <v>0</v>
      </c>
      <c r="Q423" t="n">
        <v>1</v>
      </c>
      <c r="R423" s="2" t="inlineStr">
        <is>
          <t>Skogssvingel</t>
        </is>
      </c>
      <c r="S423">
        <f>HYPERLINK("https://klasma.github.io/Logging_1486/artfynd/A 1013-2022 artfynd.xlsx", "A 1013-2022")</f>
        <v/>
      </c>
      <c r="T423">
        <f>HYPERLINK("https://klasma.github.io/Logging_1486/kartor/A 1013-2022 karta.png", "A 1013-2022")</f>
        <v/>
      </c>
      <c r="V423">
        <f>HYPERLINK("https://klasma.github.io/Logging_1486/klagomål/A 1013-2022 FSC-klagomål.docx", "A 1013-2022")</f>
        <v/>
      </c>
      <c r="W423">
        <f>HYPERLINK("https://klasma.github.io/Logging_1486/klagomålsmail/A 1013-2022 FSC-klagomål mail.docx", "A 1013-2022")</f>
        <v/>
      </c>
      <c r="X423">
        <f>HYPERLINK("https://klasma.github.io/Logging_1486/tillsyn/A 1013-2022 tillsynsbegäran.docx", "A 1013-2022")</f>
        <v/>
      </c>
      <c r="Y423">
        <f>HYPERLINK("https://klasma.github.io/Logging_1486/tillsynsmail/A 1013-2022 tillsynsbegäran mail.docx", "A 1013-2022")</f>
        <v/>
      </c>
    </row>
    <row r="424" ht="15" customHeight="1">
      <c r="A424" t="inlineStr">
        <is>
          <t>A 50318-2021</t>
        </is>
      </c>
      <c r="B424" s="1" t="n">
        <v>44459</v>
      </c>
      <c r="C424" s="1" t="n">
        <v>45952</v>
      </c>
      <c r="D424" t="inlineStr">
        <is>
          <t>VÄSTRA GÖTALANDS LÄN</t>
        </is>
      </c>
      <c r="E424" t="inlineStr">
        <is>
          <t>SKARA</t>
        </is>
      </c>
      <c r="G424" t="n">
        <v>0.8</v>
      </c>
      <c r="H424" t="n">
        <v>1</v>
      </c>
      <c r="I424" t="n">
        <v>0</v>
      </c>
      <c r="J424" t="n">
        <v>0</v>
      </c>
      <c r="K424" t="n">
        <v>1</v>
      </c>
      <c r="L424" t="n">
        <v>0</v>
      </c>
      <c r="M424" t="n">
        <v>0</v>
      </c>
      <c r="N424" t="n">
        <v>0</v>
      </c>
      <c r="O424" t="n">
        <v>1</v>
      </c>
      <c r="P424" t="n">
        <v>1</v>
      </c>
      <c r="Q424" t="n">
        <v>1</v>
      </c>
      <c r="R424" s="2" t="inlineStr">
        <is>
          <t>Knärot</t>
        </is>
      </c>
      <c r="S424">
        <f>HYPERLINK("https://klasma.github.io/Logging_1495/artfynd/A 50318-2021 artfynd.xlsx", "A 50318-2021")</f>
        <v/>
      </c>
      <c r="T424">
        <f>HYPERLINK("https://klasma.github.io/Logging_1495/kartor/A 50318-2021 karta.png", "A 50318-2021")</f>
        <v/>
      </c>
      <c r="U424">
        <f>HYPERLINK("https://klasma.github.io/Logging_1495/knärot/A 50318-2021 karta knärot.png", "A 50318-2021")</f>
        <v/>
      </c>
      <c r="V424">
        <f>HYPERLINK("https://klasma.github.io/Logging_1495/klagomål/A 50318-2021 FSC-klagomål.docx", "A 50318-2021")</f>
        <v/>
      </c>
      <c r="W424">
        <f>HYPERLINK("https://klasma.github.io/Logging_1495/klagomålsmail/A 50318-2021 FSC-klagomål mail.docx", "A 50318-2021")</f>
        <v/>
      </c>
      <c r="X424">
        <f>HYPERLINK("https://klasma.github.io/Logging_1495/tillsyn/A 50318-2021 tillsynsbegäran.docx", "A 50318-2021")</f>
        <v/>
      </c>
      <c r="Y424">
        <f>HYPERLINK("https://klasma.github.io/Logging_1495/tillsynsmail/A 50318-2021 tillsynsbegäran mail.docx", "A 50318-2021")</f>
        <v/>
      </c>
    </row>
    <row r="425" ht="15" customHeight="1">
      <c r="A425" t="inlineStr">
        <is>
          <t>A 36840-2021</t>
        </is>
      </c>
      <c r="B425" s="1" t="n">
        <v>44393</v>
      </c>
      <c r="C425" s="1" t="n">
        <v>45952</v>
      </c>
      <c r="D425" t="inlineStr">
        <is>
          <t>VÄSTRA GÖTALANDS LÄN</t>
        </is>
      </c>
      <c r="E425" t="inlineStr">
        <is>
          <t>MARK</t>
        </is>
      </c>
      <c r="G425" t="n">
        <v>2.3</v>
      </c>
      <c r="H425" t="n">
        <v>0</v>
      </c>
      <c r="I425" t="n">
        <v>1</v>
      </c>
      <c r="J425" t="n">
        <v>0</v>
      </c>
      <c r="K425" t="n">
        <v>0</v>
      </c>
      <c r="L425" t="n">
        <v>0</v>
      </c>
      <c r="M425" t="n">
        <v>0</v>
      </c>
      <c r="N425" t="n">
        <v>0</v>
      </c>
      <c r="O425" t="n">
        <v>0</v>
      </c>
      <c r="P425" t="n">
        <v>0</v>
      </c>
      <c r="Q425" t="n">
        <v>1</v>
      </c>
      <c r="R425" s="2" t="inlineStr">
        <is>
          <t>Dropptaggsvamp</t>
        </is>
      </c>
      <c r="S425">
        <f>HYPERLINK("https://klasma.github.io/Logging_1463/artfynd/A 36840-2021 artfynd.xlsx", "A 36840-2021")</f>
        <v/>
      </c>
      <c r="T425">
        <f>HYPERLINK("https://klasma.github.io/Logging_1463/kartor/A 36840-2021 karta.png", "A 36840-2021")</f>
        <v/>
      </c>
      <c r="V425">
        <f>HYPERLINK("https://klasma.github.io/Logging_1463/klagomål/A 36840-2021 FSC-klagomål.docx", "A 36840-2021")</f>
        <v/>
      </c>
      <c r="W425">
        <f>HYPERLINK("https://klasma.github.io/Logging_1463/klagomålsmail/A 36840-2021 FSC-klagomål mail.docx", "A 36840-2021")</f>
        <v/>
      </c>
      <c r="X425">
        <f>HYPERLINK("https://klasma.github.io/Logging_1463/tillsyn/A 36840-2021 tillsynsbegäran.docx", "A 36840-2021")</f>
        <v/>
      </c>
      <c r="Y425">
        <f>HYPERLINK("https://klasma.github.io/Logging_1463/tillsynsmail/A 36840-2021 tillsynsbegäran mail.docx", "A 36840-2021")</f>
        <v/>
      </c>
    </row>
    <row r="426" ht="15" customHeight="1">
      <c r="A426" t="inlineStr">
        <is>
          <t>A 21050-2021</t>
        </is>
      </c>
      <c r="B426" s="1" t="n">
        <v>44319</v>
      </c>
      <c r="C426" s="1" t="n">
        <v>45952</v>
      </c>
      <c r="D426" t="inlineStr">
        <is>
          <t>VÄSTRA GÖTALANDS LÄN</t>
        </is>
      </c>
      <c r="E426" t="inlineStr">
        <is>
          <t>SKARA</t>
        </is>
      </c>
      <c r="G426" t="n">
        <v>13</v>
      </c>
      <c r="H426" t="n">
        <v>1</v>
      </c>
      <c r="I426" t="n">
        <v>0</v>
      </c>
      <c r="J426" t="n">
        <v>0</v>
      </c>
      <c r="K426" t="n">
        <v>1</v>
      </c>
      <c r="L426" t="n">
        <v>0</v>
      </c>
      <c r="M426" t="n">
        <v>0</v>
      </c>
      <c r="N426" t="n">
        <v>0</v>
      </c>
      <c r="O426" t="n">
        <v>1</v>
      </c>
      <c r="P426" t="n">
        <v>1</v>
      </c>
      <c r="Q426" t="n">
        <v>1</v>
      </c>
      <c r="R426" s="2" t="inlineStr">
        <is>
          <t>Knärot</t>
        </is>
      </c>
      <c r="S426">
        <f>HYPERLINK("https://klasma.github.io/Logging_1495/artfynd/A 21050-2021 artfynd.xlsx", "A 21050-2021")</f>
        <v/>
      </c>
      <c r="T426">
        <f>HYPERLINK("https://klasma.github.io/Logging_1495/kartor/A 21050-2021 karta.png", "A 21050-2021")</f>
        <v/>
      </c>
      <c r="U426">
        <f>HYPERLINK("https://klasma.github.io/Logging_1495/knärot/A 21050-2021 karta knärot.png", "A 21050-2021")</f>
        <v/>
      </c>
      <c r="V426">
        <f>HYPERLINK("https://klasma.github.io/Logging_1495/klagomål/A 21050-2021 FSC-klagomål.docx", "A 21050-2021")</f>
        <v/>
      </c>
      <c r="W426">
        <f>HYPERLINK("https://klasma.github.io/Logging_1495/klagomålsmail/A 21050-2021 FSC-klagomål mail.docx", "A 21050-2021")</f>
        <v/>
      </c>
      <c r="X426">
        <f>HYPERLINK("https://klasma.github.io/Logging_1495/tillsyn/A 21050-2021 tillsynsbegäran.docx", "A 21050-2021")</f>
        <v/>
      </c>
      <c r="Y426">
        <f>HYPERLINK("https://klasma.github.io/Logging_1495/tillsynsmail/A 21050-2021 tillsynsbegäran mail.docx", "A 21050-2021")</f>
        <v/>
      </c>
    </row>
    <row r="427" ht="15" customHeight="1">
      <c r="A427" t="inlineStr">
        <is>
          <t>A 9865-2021</t>
        </is>
      </c>
      <c r="B427" s="1" t="n">
        <v>44253</v>
      </c>
      <c r="C427" s="1" t="n">
        <v>45952</v>
      </c>
      <c r="D427" t="inlineStr">
        <is>
          <t>VÄSTRA GÖTALANDS LÄN</t>
        </is>
      </c>
      <c r="E427" t="inlineStr">
        <is>
          <t>LYSEKIL</t>
        </is>
      </c>
      <c r="G427" t="n">
        <v>2</v>
      </c>
      <c r="H427" t="n">
        <v>0</v>
      </c>
      <c r="I427" t="n">
        <v>0</v>
      </c>
      <c r="J427" t="n">
        <v>1</v>
      </c>
      <c r="K427" t="n">
        <v>0</v>
      </c>
      <c r="L427" t="n">
        <v>0</v>
      </c>
      <c r="M427" t="n">
        <v>0</v>
      </c>
      <c r="N427" t="n">
        <v>0</v>
      </c>
      <c r="O427" t="n">
        <v>1</v>
      </c>
      <c r="P427" t="n">
        <v>0</v>
      </c>
      <c r="Q427" t="n">
        <v>1</v>
      </c>
      <c r="R427" s="2" t="inlineStr">
        <is>
          <t>Svinrot</t>
        </is>
      </c>
      <c r="S427">
        <f>HYPERLINK("https://klasma.github.io/Logging_1484/artfynd/A 9865-2021 artfynd.xlsx", "A 9865-2021")</f>
        <v/>
      </c>
      <c r="T427">
        <f>HYPERLINK("https://klasma.github.io/Logging_1484/kartor/A 9865-2021 karta.png", "A 9865-2021")</f>
        <v/>
      </c>
      <c r="V427">
        <f>HYPERLINK("https://klasma.github.io/Logging_1484/klagomål/A 9865-2021 FSC-klagomål.docx", "A 9865-2021")</f>
        <v/>
      </c>
      <c r="W427">
        <f>HYPERLINK("https://klasma.github.io/Logging_1484/klagomålsmail/A 9865-2021 FSC-klagomål mail.docx", "A 9865-2021")</f>
        <v/>
      </c>
      <c r="X427">
        <f>HYPERLINK("https://klasma.github.io/Logging_1484/tillsyn/A 9865-2021 tillsynsbegäran.docx", "A 9865-2021")</f>
        <v/>
      </c>
      <c r="Y427">
        <f>HYPERLINK("https://klasma.github.io/Logging_1484/tillsynsmail/A 9865-2021 tillsynsbegäran mail.docx", "A 9865-2021")</f>
        <v/>
      </c>
    </row>
    <row r="428" ht="15" customHeight="1">
      <c r="A428" t="inlineStr">
        <is>
          <t>A 51770-2022</t>
        </is>
      </c>
      <c r="B428" s="1" t="n">
        <v>44872</v>
      </c>
      <c r="C428" s="1" t="n">
        <v>45952</v>
      </c>
      <c r="D428" t="inlineStr">
        <is>
          <t>VÄSTRA GÖTALANDS LÄN</t>
        </is>
      </c>
      <c r="E428" t="inlineStr">
        <is>
          <t>ULRICEHAMN</t>
        </is>
      </c>
      <c r="G428" t="n">
        <v>2.5</v>
      </c>
      <c r="H428" t="n">
        <v>0</v>
      </c>
      <c r="I428" t="n">
        <v>1</v>
      </c>
      <c r="J428" t="n">
        <v>0</v>
      </c>
      <c r="K428" t="n">
        <v>0</v>
      </c>
      <c r="L428" t="n">
        <v>0</v>
      </c>
      <c r="M428" t="n">
        <v>0</v>
      </c>
      <c r="N428" t="n">
        <v>0</v>
      </c>
      <c r="O428" t="n">
        <v>0</v>
      </c>
      <c r="P428" t="n">
        <v>0</v>
      </c>
      <c r="Q428" t="n">
        <v>1</v>
      </c>
      <c r="R428" s="2" t="inlineStr">
        <is>
          <t>Fällmossa</t>
        </is>
      </c>
      <c r="S428">
        <f>HYPERLINK("https://klasma.github.io/Logging_1491/artfynd/A 51770-2022 artfynd.xlsx", "A 51770-2022")</f>
        <v/>
      </c>
      <c r="T428">
        <f>HYPERLINK("https://klasma.github.io/Logging_1491/kartor/A 51770-2022 karta.png", "A 51770-2022")</f>
        <v/>
      </c>
      <c r="V428">
        <f>HYPERLINK("https://klasma.github.io/Logging_1491/klagomål/A 51770-2022 FSC-klagomål.docx", "A 51770-2022")</f>
        <v/>
      </c>
      <c r="W428">
        <f>HYPERLINK("https://klasma.github.io/Logging_1491/klagomålsmail/A 51770-2022 FSC-klagomål mail.docx", "A 51770-2022")</f>
        <v/>
      </c>
      <c r="X428">
        <f>HYPERLINK("https://klasma.github.io/Logging_1491/tillsyn/A 51770-2022 tillsynsbegäran.docx", "A 51770-2022")</f>
        <v/>
      </c>
      <c r="Y428">
        <f>HYPERLINK("https://klasma.github.io/Logging_1491/tillsynsmail/A 51770-2022 tillsynsbegäran mail.docx", "A 51770-2022")</f>
        <v/>
      </c>
    </row>
    <row r="429" ht="15" customHeight="1">
      <c r="A429" t="inlineStr">
        <is>
          <t>A 45735-2022</t>
        </is>
      </c>
      <c r="B429" s="1" t="n">
        <v>44846.31958333333</v>
      </c>
      <c r="C429" s="1" t="n">
        <v>45952</v>
      </c>
      <c r="D429" t="inlineStr">
        <is>
          <t>VÄSTRA GÖTALANDS LÄN</t>
        </is>
      </c>
      <c r="E429" t="inlineStr">
        <is>
          <t>MARK</t>
        </is>
      </c>
      <c r="G429" t="n">
        <v>6.6</v>
      </c>
      <c r="H429" t="n">
        <v>0</v>
      </c>
      <c r="I429" t="n">
        <v>1</v>
      </c>
      <c r="J429" t="n">
        <v>0</v>
      </c>
      <c r="K429" t="n">
        <v>0</v>
      </c>
      <c r="L429" t="n">
        <v>0</v>
      </c>
      <c r="M429" t="n">
        <v>0</v>
      </c>
      <c r="N429" t="n">
        <v>0</v>
      </c>
      <c r="O429" t="n">
        <v>0</v>
      </c>
      <c r="P429" t="n">
        <v>0</v>
      </c>
      <c r="Q429" t="n">
        <v>1</v>
      </c>
      <c r="R429" s="2" t="inlineStr">
        <is>
          <t>Blodticka</t>
        </is>
      </c>
      <c r="S429">
        <f>HYPERLINK("https://klasma.github.io/Logging_1463/artfynd/A 45735-2022 artfynd.xlsx", "A 45735-2022")</f>
        <v/>
      </c>
      <c r="T429">
        <f>HYPERLINK("https://klasma.github.io/Logging_1463/kartor/A 45735-2022 karta.png", "A 45735-2022")</f>
        <v/>
      </c>
      <c r="V429">
        <f>HYPERLINK("https://klasma.github.io/Logging_1463/klagomål/A 45735-2022 FSC-klagomål.docx", "A 45735-2022")</f>
        <v/>
      </c>
      <c r="W429">
        <f>HYPERLINK("https://klasma.github.io/Logging_1463/klagomålsmail/A 45735-2022 FSC-klagomål mail.docx", "A 45735-2022")</f>
        <v/>
      </c>
      <c r="X429">
        <f>HYPERLINK("https://klasma.github.io/Logging_1463/tillsyn/A 45735-2022 tillsynsbegäran.docx", "A 45735-2022")</f>
        <v/>
      </c>
      <c r="Y429">
        <f>HYPERLINK("https://klasma.github.io/Logging_1463/tillsynsmail/A 45735-2022 tillsynsbegäran mail.docx", "A 45735-2022")</f>
        <v/>
      </c>
    </row>
    <row r="430" ht="15" customHeight="1">
      <c r="A430" t="inlineStr">
        <is>
          <t>A 12624-2021</t>
        </is>
      </c>
      <c r="B430" s="1" t="n">
        <v>44270</v>
      </c>
      <c r="C430" s="1" t="n">
        <v>45952</v>
      </c>
      <c r="D430" t="inlineStr">
        <is>
          <t>VÄSTRA GÖTALANDS LÄN</t>
        </is>
      </c>
      <c r="E430" t="inlineStr">
        <is>
          <t>ÅMÅL</t>
        </is>
      </c>
      <c r="G430" t="n">
        <v>1.6</v>
      </c>
      <c r="H430" t="n">
        <v>0</v>
      </c>
      <c r="I430" t="n">
        <v>0</v>
      </c>
      <c r="J430" t="n">
        <v>1</v>
      </c>
      <c r="K430" t="n">
        <v>0</v>
      </c>
      <c r="L430" t="n">
        <v>0</v>
      </c>
      <c r="M430" t="n">
        <v>0</v>
      </c>
      <c r="N430" t="n">
        <v>0</v>
      </c>
      <c r="O430" t="n">
        <v>1</v>
      </c>
      <c r="P430" t="n">
        <v>0</v>
      </c>
      <c r="Q430" t="n">
        <v>1</v>
      </c>
      <c r="R430" s="2" t="inlineStr">
        <is>
          <t>Trollfibbla</t>
        </is>
      </c>
      <c r="S430">
        <f>HYPERLINK("https://klasma.github.io/Logging_1492/artfynd/A 12624-2021 artfynd.xlsx", "A 12624-2021")</f>
        <v/>
      </c>
      <c r="T430">
        <f>HYPERLINK("https://klasma.github.io/Logging_1492/kartor/A 12624-2021 karta.png", "A 12624-2021")</f>
        <v/>
      </c>
      <c r="V430">
        <f>HYPERLINK("https://klasma.github.io/Logging_1492/klagomål/A 12624-2021 FSC-klagomål.docx", "A 12624-2021")</f>
        <v/>
      </c>
      <c r="W430">
        <f>HYPERLINK("https://klasma.github.io/Logging_1492/klagomålsmail/A 12624-2021 FSC-klagomål mail.docx", "A 12624-2021")</f>
        <v/>
      </c>
      <c r="X430">
        <f>HYPERLINK("https://klasma.github.io/Logging_1492/tillsyn/A 12624-2021 tillsynsbegäran.docx", "A 12624-2021")</f>
        <v/>
      </c>
      <c r="Y430">
        <f>HYPERLINK("https://klasma.github.io/Logging_1492/tillsynsmail/A 12624-2021 tillsynsbegäran mail.docx", "A 12624-2021")</f>
        <v/>
      </c>
    </row>
    <row r="431" ht="15" customHeight="1">
      <c r="A431" t="inlineStr">
        <is>
          <t>A 36973-2022</t>
        </is>
      </c>
      <c r="B431" s="1" t="n">
        <v>44805</v>
      </c>
      <c r="C431" s="1" t="n">
        <v>45952</v>
      </c>
      <c r="D431" t="inlineStr">
        <is>
          <t>VÄSTRA GÖTALANDS LÄN</t>
        </is>
      </c>
      <c r="E431" t="inlineStr">
        <is>
          <t>FALKÖPING</t>
        </is>
      </c>
      <c r="G431" t="n">
        <v>5</v>
      </c>
      <c r="H431" t="n">
        <v>0</v>
      </c>
      <c r="I431" t="n">
        <v>1</v>
      </c>
      <c r="J431" t="n">
        <v>0</v>
      </c>
      <c r="K431" t="n">
        <v>0</v>
      </c>
      <c r="L431" t="n">
        <v>0</v>
      </c>
      <c r="M431" t="n">
        <v>0</v>
      </c>
      <c r="N431" t="n">
        <v>0</v>
      </c>
      <c r="O431" t="n">
        <v>0</v>
      </c>
      <c r="P431" t="n">
        <v>0</v>
      </c>
      <c r="Q431" t="n">
        <v>1</v>
      </c>
      <c r="R431" s="2" t="inlineStr">
        <is>
          <t>Svart trolldruva</t>
        </is>
      </c>
      <c r="S431">
        <f>HYPERLINK("https://klasma.github.io/Logging_1499/artfynd/A 36973-2022 artfynd.xlsx", "A 36973-2022")</f>
        <v/>
      </c>
      <c r="T431">
        <f>HYPERLINK("https://klasma.github.io/Logging_1499/kartor/A 36973-2022 karta.png", "A 36973-2022")</f>
        <v/>
      </c>
      <c r="V431">
        <f>HYPERLINK("https://klasma.github.io/Logging_1499/klagomål/A 36973-2022 FSC-klagomål.docx", "A 36973-2022")</f>
        <v/>
      </c>
      <c r="W431">
        <f>HYPERLINK("https://klasma.github.io/Logging_1499/klagomålsmail/A 36973-2022 FSC-klagomål mail.docx", "A 36973-2022")</f>
        <v/>
      </c>
      <c r="X431">
        <f>HYPERLINK("https://klasma.github.io/Logging_1499/tillsyn/A 36973-2022 tillsynsbegäran.docx", "A 36973-2022")</f>
        <v/>
      </c>
      <c r="Y431">
        <f>HYPERLINK("https://klasma.github.io/Logging_1499/tillsynsmail/A 36973-2022 tillsynsbegäran mail.docx", "A 36973-2022")</f>
        <v/>
      </c>
    </row>
    <row r="432" ht="15" customHeight="1">
      <c r="A432" t="inlineStr">
        <is>
          <t>A 56400-2020</t>
        </is>
      </c>
      <c r="B432" s="1" t="n">
        <v>44137</v>
      </c>
      <c r="C432" s="1" t="n">
        <v>45952</v>
      </c>
      <c r="D432" t="inlineStr">
        <is>
          <t>VÄSTRA GÖTALANDS LÄN</t>
        </is>
      </c>
      <c r="E432" t="inlineStr">
        <is>
          <t>MARIESTAD</t>
        </is>
      </c>
      <c r="G432" t="n">
        <v>3.9</v>
      </c>
      <c r="H432" t="n">
        <v>0</v>
      </c>
      <c r="I432" t="n">
        <v>0</v>
      </c>
      <c r="J432" t="n">
        <v>0</v>
      </c>
      <c r="K432" t="n">
        <v>1</v>
      </c>
      <c r="L432" t="n">
        <v>0</v>
      </c>
      <c r="M432" t="n">
        <v>0</v>
      </c>
      <c r="N432" t="n">
        <v>0</v>
      </c>
      <c r="O432" t="n">
        <v>1</v>
      </c>
      <c r="P432" t="n">
        <v>1</v>
      </c>
      <c r="Q432" t="n">
        <v>1</v>
      </c>
      <c r="R432" s="2" t="inlineStr">
        <is>
          <t>Färgginst</t>
        </is>
      </c>
      <c r="S432">
        <f>HYPERLINK("https://klasma.github.io/Logging_1493/artfynd/A 56400-2020 artfynd.xlsx", "A 56400-2020")</f>
        <v/>
      </c>
      <c r="T432">
        <f>HYPERLINK("https://klasma.github.io/Logging_1493/kartor/A 56400-2020 karta.png", "A 56400-2020")</f>
        <v/>
      </c>
      <c r="V432">
        <f>HYPERLINK("https://klasma.github.io/Logging_1493/klagomål/A 56400-2020 FSC-klagomål.docx", "A 56400-2020")</f>
        <v/>
      </c>
      <c r="W432">
        <f>HYPERLINK("https://klasma.github.io/Logging_1493/klagomålsmail/A 56400-2020 FSC-klagomål mail.docx", "A 56400-2020")</f>
        <v/>
      </c>
      <c r="X432">
        <f>HYPERLINK("https://klasma.github.io/Logging_1493/tillsyn/A 56400-2020 tillsynsbegäran.docx", "A 56400-2020")</f>
        <v/>
      </c>
      <c r="Y432">
        <f>HYPERLINK("https://klasma.github.io/Logging_1493/tillsynsmail/A 56400-2020 tillsynsbegäran mail.docx", "A 56400-2020")</f>
        <v/>
      </c>
    </row>
    <row r="433" ht="15" customHeight="1">
      <c r="A433" t="inlineStr">
        <is>
          <t>A 53555-2022</t>
        </is>
      </c>
      <c r="B433" s="1" t="n">
        <v>44879</v>
      </c>
      <c r="C433" s="1" t="n">
        <v>45952</v>
      </c>
      <c r="D433" t="inlineStr">
        <is>
          <t>VÄSTRA GÖTALANDS LÄN</t>
        </is>
      </c>
      <c r="E433" t="inlineStr">
        <is>
          <t>ULRICEHAMN</t>
        </is>
      </c>
      <c r="G433" t="n">
        <v>2.6</v>
      </c>
      <c r="H433" t="n">
        <v>0</v>
      </c>
      <c r="I433" t="n">
        <v>0</v>
      </c>
      <c r="J433" t="n">
        <v>0</v>
      </c>
      <c r="K433" t="n">
        <v>0</v>
      </c>
      <c r="L433" t="n">
        <v>1</v>
      </c>
      <c r="M433" t="n">
        <v>0</v>
      </c>
      <c r="N433" t="n">
        <v>0</v>
      </c>
      <c r="O433" t="n">
        <v>1</v>
      </c>
      <c r="P433" t="n">
        <v>1</v>
      </c>
      <c r="Q433" t="n">
        <v>1</v>
      </c>
      <c r="R433" s="2" t="inlineStr">
        <is>
          <t>Ask</t>
        </is>
      </c>
      <c r="S433">
        <f>HYPERLINK("https://klasma.github.io/Logging_1491/artfynd/A 53555-2022 artfynd.xlsx", "A 53555-2022")</f>
        <v/>
      </c>
      <c r="T433">
        <f>HYPERLINK("https://klasma.github.io/Logging_1491/kartor/A 53555-2022 karta.png", "A 53555-2022")</f>
        <v/>
      </c>
      <c r="V433">
        <f>HYPERLINK("https://klasma.github.io/Logging_1491/klagomål/A 53555-2022 FSC-klagomål.docx", "A 53555-2022")</f>
        <v/>
      </c>
      <c r="W433">
        <f>HYPERLINK("https://klasma.github.io/Logging_1491/klagomålsmail/A 53555-2022 FSC-klagomål mail.docx", "A 53555-2022")</f>
        <v/>
      </c>
      <c r="X433">
        <f>HYPERLINK("https://klasma.github.io/Logging_1491/tillsyn/A 53555-2022 tillsynsbegäran.docx", "A 53555-2022")</f>
        <v/>
      </c>
      <c r="Y433">
        <f>HYPERLINK("https://klasma.github.io/Logging_1491/tillsynsmail/A 53555-2022 tillsynsbegäran mail.docx", "A 53555-2022")</f>
        <v/>
      </c>
    </row>
    <row r="434" ht="15" customHeight="1">
      <c r="A434" t="inlineStr">
        <is>
          <t>A 4966-2022</t>
        </is>
      </c>
      <c r="B434" s="1" t="n">
        <v>44593</v>
      </c>
      <c r="C434" s="1" t="n">
        <v>45952</v>
      </c>
      <c r="D434" t="inlineStr">
        <is>
          <t>VÄSTRA GÖTALANDS LÄN</t>
        </is>
      </c>
      <c r="E434" t="inlineStr">
        <is>
          <t>HJO</t>
        </is>
      </c>
      <c r="G434" t="n">
        <v>0.6</v>
      </c>
      <c r="H434" t="n">
        <v>0</v>
      </c>
      <c r="I434" t="n">
        <v>0</v>
      </c>
      <c r="J434" t="n">
        <v>0</v>
      </c>
      <c r="K434" t="n">
        <v>0</v>
      </c>
      <c r="L434" t="n">
        <v>1</v>
      </c>
      <c r="M434" t="n">
        <v>0</v>
      </c>
      <c r="N434" t="n">
        <v>0</v>
      </c>
      <c r="O434" t="n">
        <v>1</v>
      </c>
      <c r="P434" t="n">
        <v>1</v>
      </c>
      <c r="Q434" t="n">
        <v>1</v>
      </c>
      <c r="R434" s="2" t="inlineStr">
        <is>
          <t>Ask</t>
        </is>
      </c>
      <c r="S434">
        <f>HYPERLINK("https://klasma.github.io/Logging_1497/artfynd/A 4966-2022 artfynd.xlsx", "A 4966-2022")</f>
        <v/>
      </c>
      <c r="T434">
        <f>HYPERLINK("https://klasma.github.io/Logging_1497/kartor/A 4966-2022 karta.png", "A 4966-2022")</f>
        <v/>
      </c>
      <c r="V434">
        <f>HYPERLINK("https://klasma.github.io/Logging_1497/klagomål/A 4966-2022 FSC-klagomål.docx", "A 4966-2022")</f>
        <v/>
      </c>
      <c r="W434">
        <f>HYPERLINK("https://klasma.github.io/Logging_1497/klagomålsmail/A 4966-2022 FSC-klagomål mail.docx", "A 4966-2022")</f>
        <v/>
      </c>
      <c r="X434">
        <f>HYPERLINK("https://klasma.github.io/Logging_1497/tillsyn/A 4966-2022 tillsynsbegäran.docx", "A 4966-2022")</f>
        <v/>
      </c>
      <c r="Y434">
        <f>HYPERLINK("https://klasma.github.io/Logging_1497/tillsynsmail/A 4966-2022 tillsynsbegäran mail.docx", "A 4966-2022")</f>
        <v/>
      </c>
    </row>
    <row r="435" ht="15" customHeight="1">
      <c r="A435" t="inlineStr">
        <is>
          <t>A 51869-2021</t>
        </is>
      </c>
      <c r="B435" s="1" t="n">
        <v>44462.73393518518</v>
      </c>
      <c r="C435" s="1" t="n">
        <v>45952</v>
      </c>
      <c r="D435" t="inlineStr">
        <is>
          <t>VÄSTRA GÖTALANDS LÄN</t>
        </is>
      </c>
      <c r="E435" t="inlineStr">
        <is>
          <t>UDDEVALLA</t>
        </is>
      </c>
      <c r="G435" t="n">
        <v>3.2</v>
      </c>
      <c r="H435" t="n">
        <v>0</v>
      </c>
      <c r="I435" t="n">
        <v>0</v>
      </c>
      <c r="J435" t="n">
        <v>1</v>
      </c>
      <c r="K435" t="n">
        <v>0</v>
      </c>
      <c r="L435" t="n">
        <v>0</v>
      </c>
      <c r="M435" t="n">
        <v>0</v>
      </c>
      <c r="N435" t="n">
        <v>0</v>
      </c>
      <c r="O435" t="n">
        <v>1</v>
      </c>
      <c r="P435" t="n">
        <v>0</v>
      </c>
      <c r="Q435" t="n">
        <v>1</v>
      </c>
      <c r="R435" s="2" t="inlineStr">
        <is>
          <t>Gullklöver</t>
        </is>
      </c>
      <c r="S435">
        <f>HYPERLINK("https://klasma.github.io/Logging_1485/artfynd/A 51869-2021 artfynd.xlsx", "A 51869-2021")</f>
        <v/>
      </c>
      <c r="T435">
        <f>HYPERLINK("https://klasma.github.io/Logging_1485/kartor/A 51869-2021 karta.png", "A 51869-2021")</f>
        <v/>
      </c>
      <c r="V435">
        <f>HYPERLINK("https://klasma.github.io/Logging_1485/klagomål/A 51869-2021 FSC-klagomål.docx", "A 51869-2021")</f>
        <v/>
      </c>
      <c r="W435">
        <f>HYPERLINK("https://klasma.github.io/Logging_1485/klagomålsmail/A 51869-2021 FSC-klagomål mail.docx", "A 51869-2021")</f>
        <v/>
      </c>
      <c r="X435">
        <f>HYPERLINK("https://klasma.github.io/Logging_1485/tillsyn/A 51869-2021 tillsynsbegäran.docx", "A 51869-2021")</f>
        <v/>
      </c>
      <c r="Y435">
        <f>HYPERLINK("https://klasma.github.io/Logging_1485/tillsynsmail/A 51869-2021 tillsynsbegäran mail.docx", "A 51869-2021")</f>
        <v/>
      </c>
    </row>
    <row r="436" ht="15" customHeight="1">
      <c r="A436" t="inlineStr">
        <is>
          <t>A 15136-2022</t>
        </is>
      </c>
      <c r="B436" s="1" t="n">
        <v>44658</v>
      </c>
      <c r="C436" s="1" t="n">
        <v>45952</v>
      </c>
      <c r="D436" t="inlineStr">
        <is>
          <t>VÄSTRA GÖTALANDS LÄN</t>
        </is>
      </c>
      <c r="E436" t="inlineStr">
        <is>
          <t>LERUM</t>
        </is>
      </c>
      <c r="G436" t="n">
        <v>0.4</v>
      </c>
      <c r="H436" t="n">
        <v>1</v>
      </c>
      <c r="I436" t="n">
        <v>0</v>
      </c>
      <c r="J436" t="n">
        <v>1</v>
      </c>
      <c r="K436" t="n">
        <v>0</v>
      </c>
      <c r="L436" t="n">
        <v>0</v>
      </c>
      <c r="M436" t="n">
        <v>0</v>
      </c>
      <c r="N436" t="n">
        <v>0</v>
      </c>
      <c r="O436" t="n">
        <v>1</v>
      </c>
      <c r="P436" t="n">
        <v>0</v>
      </c>
      <c r="Q436" t="n">
        <v>1</v>
      </c>
      <c r="R436" s="2" t="inlineStr">
        <is>
          <t>Mindre hackspett</t>
        </is>
      </c>
      <c r="S436">
        <f>HYPERLINK("https://klasma.github.io/Logging_1441/artfynd/A 15136-2022 artfynd.xlsx", "A 15136-2022")</f>
        <v/>
      </c>
      <c r="T436">
        <f>HYPERLINK("https://klasma.github.io/Logging_1441/kartor/A 15136-2022 karta.png", "A 15136-2022")</f>
        <v/>
      </c>
      <c r="V436">
        <f>HYPERLINK("https://klasma.github.io/Logging_1441/klagomål/A 15136-2022 FSC-klagomål.docx", "A 15136-2022")</f>
        <v/>
      </c>
      <c r="W436">
        <f>HYPERLINK("https://klasma.github.io/Logging_1441/klagomålsmail/A 15136-2022 FSC-klagomål mail.docx", "A 15136-2022")</f>
        <v/>
      </c>
      <c r="X436">
        <f>HYPERLINK("https://klasma.github.io/Logging_1441/tillsyn/A 15136-2022 tillsynsbegäran.docx", "A 15136-2022")</f>
        <v/>
      </c>
      <c r="Y436">
        <f>HYPERLINK("https://klasma.github.io/Logging_1441/tillsynsmail/A 15136-2022 tillsynsbegäran mail.docx", "A 15136-2022")</f>
        <v/>
      </c>
      <c r="Z436">
        <f>HYPERLINK("https://klasma.github.io/Logging_1441/fåglar/A 15136-2022 prioriterade fågelarter.docx", "A 15136-2022")</f>
        <v/>
      </c>
    </row>
    <row r="437" ht="15" customHeight="1">
      <c r="A437" t="inlineStr">
        <is>
          <t>A 29376-2022</t>
        </is>
      </c>
      <c r="B437" s="1" t="n">
        <v>44753</v>
      </c>
      <c r="C437" s="1" t="n">
        <v>45952</v>
      </c>
      <c r="D437" t="inlineStr">
        <is>
          <t>VÄSTRA GÖTALANDS LÄN</t>
        </is>
      </c>
      <c r="E437" t="inlineStr">
        <is>
          <t>VÄNERSBORG</t>
        </is>
      </c>
      <c r="F437" t="inlineStr">
        <is>
          <t>Sveaskog</t>
        </is>
      </c>
      <c r="G437" t="n">
        <v>8.300000000000001</v>
      </c>
      <c r="H437" t="n">
        <v>1</v>
      </c>
      <c r="I437" t="n">
        <v>0</v>
      </c>
      <c r="J437" t="n">
        <v>0</v>
      </c>
      <c r="K437" t="n">
        <v>0</v>
      </c>
      <c r="L437" t="n">
        <v>0</v>
      </c>
      <c r="M437" t="n">
        <v>0</v>
      </c>
      <c r="N437" t="n">
        <v>0</v>
      </c>
      <c r="O437" t="n">
        <v>0</v>
      </c>
      <c r="P437" t="n">
        <v>0</v>
      </c>
      <c r="Q437" t="n">
        <v>1</v>
      </c>
      <c r="R437" s="2" t="inlineStr">
        <is>
          <t>Revlummer</t>
        </is>
      </c>
      <c r="S437">
        <f>HYPERLINK("https://klasma.github.io/Logging_1487/artfynd/A 29376-2022 artfynd.xlsx", "A 29376-2022")</f>
        <v/>
      </c>
      <c r="T437">
        <f>HYPERLINK("https://klasma.github.io/Logging_1487/kartor/A 29376-2022 karta.png", "A 29376-2022")</f>
        <v/>
      </c>
      <c r="V437">
        <f>HYPERLINK("https://klasma.github.io/Logging_1487/klagomål/A 29376-2022 FSC-klagomål.docx", "A 29376-2022")</f>
        <v/>
      </c>
      <c r="W437">
        <f>HYPERLINK("https://klasma.github.io/Logging_1487/klagomålsmail/A 29376-2022 FSC-klagomål mail.docx", "A 29376-2022")</f>
        <v/>
      </c>
      <c r="X437">
        <f>HYPERLINK("https://klasma.github.io/Logging_1487/tillsyn/A 29376-2022 tillsynsbegäran.docx", "A 29376-2022")</f>
        <v/>
      </c>
      <c r="Y437">
        <f>HYPERLINK("https://klasma.github.io/Logging_1487/tillsynsmail/A 29376-2022 tillsynsbegäran mail.docx", "A 29376-2022")</f>
        <v/>
      </c>
    </row>
    <row r="438" ht="15" customHeight="1">
      <c r="A438" t="inlineStr">
        <is>
          <t>A 7814-2021</t>
        </is>
      </c>
      <c r="B438" s="1" t="n">
        <v>44242</v>
      </c>
      <c r="C438" s="1" t="n">
        <v>45952</v>
      </c>
      <c r="D438" t="inlineStr">
        <is>
          <t>VÄSTRA GÖTALANDS LÄN</t>
        </is>
      </c>
      <c r="E438" t="inlineStr">
        <is>
          <t>HÄRRYDA</t>
        </is>
      </c>
      <c r="G438" t="n">
        <v>1.1</v>
      </c>
      <c r="H438" t="n">
        <v>0</v>
      </c>
      <c r="I438" t="n">
        <v>1</v>
      </c>
      <c r="J438" t="n">
        <v>0</v>
      </c>
      <c r="K438" t="n">
        <v>0</v>
      </c>
      <c r="L438" t="n">
        <v>0</v>
      </c>
      <c r="M438" t="n">
        <v>0</v>
      </c>
      <c r="N438" t="n">
        <v>0</v>
      </c>
      <c r="O438" t="n">
        <v>0</v>
      </c>
      <c r="P438" t="n">
        <v>0</v>
      </c>
      <c r="Q438" t="n">
        <v>1</v>
      </c>
      <c r="R438" s="2" t="inlineStr">
        <is>
          <t>Kattfotslav</t>
        </is>
      </c>
      <c r="S438">
        <f>HYPERLINK("https://klasma.github.io/Logging_1401/artfynd/A 7814-2021 artfynd.xlsx", "A 7814-2021")</f>
        <v/>
      </c>
      <c r="T438">
        <f>HYPERLINK("https://klasma.github.io/Logging_1401/kartor/A 7814-2021 karta.png", "A 7814-2021")</f>
        <v/>
      </c>
      <c r="V438">
        <f>HYPERLINK("https://klasma.github.io/Logging_1401/klagomål/A 7814-2021 FSC-klagomål.docx", "A 7814-2021")</f>
        <v/>
      </c>
      <c r="W438">
        <f>HYPERLINK("https://klasma.github.io/Logging_1401/klagomålsmail/A 7814-2021 FSC-klagomål mail.docx", "A 7814-2021")</f>
        <v/>
      </c>
      <c r="X438">
        <f>HYPERLINK("https://klasma.github.io/Logging_1401/tillsyn/A 7814-2021 tillsynsbegäran.docx", "A 7814-2021")</f>
        <v/>
      </c>
      <c r="Y438">
        <f>HYPERLINK("https://klasma.github.io/Logging_1401/tillsynsmail/A 7814-2021 tillsynsbegäran mail.docx", "A 7814-2021")</f>
        <v/>
      </c>
    </row>
    <row r="439" ht="15" customHeight="1">
      <c r="A439" t="inlineStr">
        <is>
          <t>A 16279-2025</t>
        </is>
      </c>
      <c r="B439" s="1" t="n">
        <v>45751</v>
      </c>
      <c r="C439" s="1" t="n">
        <v>45952</v>
      </c>
      <c r="D439" t="inlineStr">
        <is>
          <t>VÄSTRA GÖTALANDS LÄN</t>
        </is>
      </c>
      <c r="E439" t="inlineStr">
        <is>
          <t>MARK</t>
        </is>
      </c>
      <c r="F439" t="inlineStr">
        <is>
          <t>Sveaskog</t>
        </is>
      </c>
      <c r="G439" t="n">
        <v>3.2</v>
      </c>
      <c r="H439" t="n">
        <v>0</v>
      </c>
      <c r="I439" t="n">
        <v>1</v>
      </c>
      <c r="J439" t="n">
        <v>0</v>
      </c>
      <c r="K439" t="n">
        <v>0</v>
      </c>
      <c r="L439" t="n">
        <v>0</v>
      </c>
      <c r="M439" t="n">
        <v>0</v>
      </c>
      <c r="N439" t="n">
        <v>0</v>
      </c>
      <c r="O439" t="n">
        <v>0</v>
      </c>
      <c r="P439" t="n">
        <v>0</v>
      </c>
      <c r="Q439" t="n">
        <v>1</v>
      </c>
      <c r="R439" s="2" t="inlineStr">
        <is>
          <t>Blåmossa</t>
        </is>
      </c>
      <c r="S439">
        <f>HYPERLINK("https://klasma.github.io/Logging_1463/artfynd/A 16279-2025 artfynd.xlsx", "A 16279-2025")</f>
        <v/>
      </c>
      <c r="T439">
        <f>HYPERLINK("https://klasma.github.io/Logging_1463/kartor/A 16279-2025 karta.png", "A 16279-2025")</f>
        <v/>
      </c>
      <c r="V439">
        <f>HYPERLINK("https://klasma.github.io/Logging_1463/klagomål/A 16279-2025 FSC-klagomål.docx", "A 16279-2025")</f>
        <v/>
      </c>
      <c r="W439">
        <f>HYPERLINK("https://klasma.github.io/Logging_1463/klagomålsmail/A 16279-2025 FSC-klagomål mail.docx", "A 16279-2025")</f>
        <v/>
      </c>
      <c r="X439">
        <f>HYPERLINK("https://klasma.github.io/Logging_1463/tillsyn/A 16279-2025 tillsynsbegäran.docx", "A 16279-2025")</f>
        <v/>
      </c>
      <c r="Y439">
        <f>HYPERLINK("https://klasma.github.io/Logging_1463/tillsynsmail/A 16279-2025 tillsynsbegäran mail.docx", "A 16279-2025")</f>
        <v/>
      </c>
    </row>
    <row r="440" ht="15" customHeight="1">
      <c r="A440" t="inlineStr">
        <is>
          <t>A 4933-2023</t>
        </is>
      </c>
      <c r="B440" s="1" t="n">
        <v>44958</v>
      </c>
      <c r="C440" s="1" t="n">
        <v>45952</v>
      </c>
      <c r="D440" t="inlineStr">
        <is>
          <t>VÄSTRA GÖTALANDS LÄN</t>
        </is>
      </c>
      <c r="E440" t="inlineStr">
        <is>
          <t>BORÅS</t>
        </is>
      </c>
      <c r="G440" t="n">
        <v>3.4</v>
      </c>
      <c r="H440" t="n">
        <v>1</v>
      </c>
      <c r="I440" t="n">
        <v>0</v>
      </c>
      <c r="J440" t="n">
        <v>0</v>
      </c>
      <c r="K440" t="n">
        <v>0</v>
      </c>
      <c r="L440" t="n">
        <v>0</v>
      </c>
      <c r="M440" t="n">
        <v>0</v>
      </c>
      <c r="N440" t="n">
        <v>0</v>
      </c>
      <c r="O440" t="n">
        <v>0</v>
      </c>
      <c r="P440" t="n">
        <v>0</v>
      </c>
      <c r="Q440" t="n">
        <v>1</v>
      </c>
      <c r="R440" s="2" t="inlineStr">
        <is>
          <t>Vanlig groda</t>
        </is>
      </c>
      <c r="S440">
        <f>HYPERLINK("https://klasma.github.io/Logging_1490/artfynd/A 4933-2023 artfynd.xlsx", "A 4933-2023")</f>
        <v/>
      </c>
      <c r="T440">
        <f>HYPERLINK("https://klasma.github.io/Logging_1490/kartor/A 4933-2023 karta.png", "A 4933-2023")</f>
        <v/>
      </c>
      <c r="V440">
        <f>HYPERLINK("https://klasma.github.io/Logging_1490/klagomål/A 4933-2023 FSC-klagomål.docx", "A 4933-2023")</f>
        <v/>
      </c>
      <c r="W440">
        <f>HYPERLINK("https://klasma.github.io/Logging_1490/klagomålsmail/A 4933-2023 FSC-klagomål mail.docx", "A 4933-2023")</f>
        <v/>
      </c>
      <c r="X440">
        <f>HYPERLINK("https://klasma.github.io/Logging_1490/tillsyn/A 4933-2023 tillsynsbegäran.docx", "A 4933-2023")</f>
        <v/>
      </c>
      <c r="Y440">
        <f>HYPERLINK("https://klasma.github.io/Logging_1490/tillsynsmail/A 4933-2023 tillsynsbegäran mail.docx", "A 4933-2023")</f>
        <v/>
      </c>
    </row>
    <row r="441" ht="15" customHeight="1">
      <c r="A441" t="inlineStr">
        <is>
          <t>A 25806-2022</t>
        </is>
      </c>
      <c r="B441" s="1" t="n">
        <v>44733</v>
      </c>
      <c r="C441" s="1" t="n">
        <v>45952</v>
      </c>
      <c r="D441" t="inlineStr">
        <is>
          <t>VÄSTRA GÖTALANDS LÄN</t>
        </is>
      </c>
      <c r="E441" t="inlineStr">
        <is>
          <t>UDDEVALLA</t>
        </is>
      </c>
      <c r="G441" t="n">
        <v>31.2</v>
      </c>
      <c r="H441" t="n">
        <v>1</v>
      </c>
      <c r="I441" t="n">
        <v>0</v>
      </c>
      <c r="J441" t="n">
        <v>1</v>
      </c>
      <c r="K441" t="n">
        <v>0</v>
      </c>
      <c r="L441" t="n">
        <v>0</v>
      </c>
      <c r="M441" t="n">
        <v>0</v>
      </c>
      <c r="N441" t="n">
        <v>0</v>
      </c>
      <c r="O441" t="n">
        <v>1</v>
      </c>
      <c r="P441" t="n">
        <v>0</v>
      </c>
      <c r="Q441" t="n">
        <v>1</v>
      </c>
      <c r="R441" s="2" t="inlineStr">
        <is>
          <t>Duvhök</t>
        </is>
      </c>
      <c r="S441">
        <f>HYPERLINK("https://klasma.github.io/Logging_1485/artfynd/A 25806-2022 artfynd.xlsx", "A 25806-2022")</f>
        <v/>
      </c>
      <c r="T441">
        <f>HYPERLINK("https://klasma.github.io/Logging_1485/kartor/A 25806-2022 karta.png", "A 25806-2022")</f>
        <v/>
      </c>
      <c r="V441">
        <f>HYPERLINK("https://klasma.github.io/Logging_1485/klagomål/A 25806-2022 FSC-klagomål.docx", "A 25806-2022")</f>
        <v/>
      </c>
      <c r="W441">
        <f>HYPERLINK("https://klasma.github.io/Logging_1485/klagomålsmail/A 25806-2022 FSC-klagomål mail.docx", "A 25806-2022")</f>
        <v/>
      </c>
      <c r="X441">
        <f>HYPERLINK("https://klasma.github.io/Logging_1485/tillsyn/A 25806-2022 tillsynsbegäran.docx", "A 25806-2022")</f>
        <v/>
      </c>
      <c r="Y441">
        <f>HYPERLINK("https://klasma.github.io/Logging_1485/tillsynsmail/A 25806-2022 tillsynsbegäran mail.docx", "A 25806-2022")</f>
        <v/>
      </c>
      <c r="Z441">
        <f>HYPERLINK("https://klasma.github.io/Logging_1485/fåglar/A 25806-2022 prioriterade fågelarter.docx", "A 25806-2022")</f>
        <v/>
      </c>
    </row>
    <row r="442" ht="15" customHeight="1">
      <c r="A442" t="inlineStr">
        <is>
          <t>A 426-2023</t>
        </is>
      </c>
      <c r="B442" s="1" t="n">
        <v>44929</v>
      </c>
      <c r="C442" s="1" t="n">
        <v>45952</v>
      </c>
      <c r="D442" t="inlineStr">
        <is>
          <t>VÄSTRA GÖTALANDS LÄN</t>
        </is>
      </c>
      <c r="E442" t="inlineStr">
        <is>
          <t>TIBRO</t>
        </is>
      </c>
      <c r="G442" t="n">
        <v>1.8</v>
      </c>
      <c r="H442" t="n">
        <v>0</v>
      </c>
      <c r="I442" t="n">
        <v>1</v>
      </c>
      <c r="J442" t="n">
        <v>0</v>
      </c>
      <c r="K442" t="n">
        <v>0</v>
      </c>
      <c r="L442" t="n">
        <v>0</v>
      </c>
      <c r="M442" t="n">
        <v>0</v>
      </c>
      <c r="N442" t="n">
        <v>0</v>
      </c>
      <c r="O442" t="n">
        <v>0</v>
      </c>
      <c r="P442" t="n">
        <v>0</v>
      </c>
      <c r="Q442" t="n">
        <v>1</v>
      </c>
      <c r="R442" s="2" t="inlineStr">
        <is>
          <t>Grönpyrola</t>
        </is>
      </c>
      <c r="S442">
        <f>HYPERLINK("https://klasma.github.io/Logging_1472/artfynd/A 426-2023 artfynd.xlsx", "A 426-2023")</f>
        <v/>
      </c>
      <c r="T442">
        <f>HYPERLINK("https://klasma.github.io/Logging_1472/kartor/A 426-2023 karta.png", "A 426-2023")</f>
        <v/>
      </c>
      <c r="V442">
        <f>HYPERLINK("https://klasma.github.io/Logging_1472/klagomål/A 426-2023 FSC-klagomål.docx", "A 426-2023")</f>
        <v/>
      </c>
      <c r="W442">
        <f>HYPERLINK("https://klasma.github.io/Logging_1472/klagomålsmail/A 426-2023 FSC-klagomål mail.docx", "A 426-2023")</f>
        <v/>
      </c>
      <c r="X442">
        <f>HYPERLINK("https://klasma.github.io/Logging_1472/tillsyn/A 426-2023 tillsynsbegäran.docx", "A 426-2023")</f>
        <v/>
      </c>
      <c r="Y442">
        <f>HYPERLINK("https://klasma.github.io/Logging_1472/tillsynsmail/A 426-2023 tillsynsbegäran mail.docx", "A 426-2023")</f>
        <v/>
      </c>
    </row>
    <row r="443" ht="15" customHeight="1">
      <c r="A443" t="inlineStr">
        <is>
          <t>A 51265-2021</t>
        </is>
      </c>
      <c r="B443" s="1" t="n">
        <v>44461</v>
      </c>
      <c r="C443" s="1" t="n">
        <v>45952</v>
      </c>
      <c r="D443" t="inlineStr">
        <is>
          <t>VÄSTRA GÖTALANDS LÄN</t>
        </is>
      </c>
      <c r="E443" t="inlineStr">
        <is>
          <t>MARIESTAD</t>
        </is>
      </c>
      <c r="G443" t="n">
        <v>30.9</v>
      </c>
      <c r="H443" t="n">
        <v>1</v>
      </c>
      <c r="I443" t="n">
        <v>0</v>
      </c>
      <c r="J443" t="n">
        <v>1</v>
      </c>
      <c r="K443" t="n">
        <v>0</v>
      </c>
      <c r="L443" t="n">
        <v>0</v>
      </c>
      <c r="M443" t="n">
        <v>0</v>
      </c>
      <c r="N443" t="n">
        <v>0</v>
      </c>
      <c r="O443" t="n">
        <v>1</v>
      </c>
      <c r="P443" t="n">
        <v>0</v>
      </c>
      <c r="Q443" t="n">
        <v>1</v>
      </c>
      <c r="R443" s="2" t="inlineStr">
        <is>
          <t>Spillkråka</t>
        </is>
      </c>
      <c r="S443">
        <f>HYPERLINK("https://klasma.github.io/Logging_1493/artfynd/A 51265-2021 artfynd.xlsx", "A 51265-2021")</f>
        <v/>
      </c>
      <c r="T443">
        <f>HYPERLINK("https://klasma.github.io/Logging_1493/kartor/A 51265-2021 karta.png", "A 51265-2021")</f>
        <v/>
      </c>
      <c r="V443">
        <f>HYPERLINK("https://klasma.github.io/Logging_1493/klagomål/A 51265-2021 FSC-klagomål.docx", "A 51265-2021")</f>
        <v/>
      </c>
      <c r="W443">
        <f>HYPERLINK("https://klasma.github.io/Logging_1493/klagomålsmail/A 51265-2021 FSC-klagomål mail.docx", "A 51265-2021")</f>
        <v/>
      </c>
      <c r="X443">
        <f>HYPERLINK("https://klasma.github.io/Logging_1493/tillsyn/A 51265-2021 tillsynsbegäran.docx", "A 51265-2021")</f>
        <v/>
      </c>
      <c r="Y443">
        <f>HYPERLINK("https://klasma.github.io/Logging_1493/tillsynsmail/A 51265-2021 tillsynsbegäran mail.docx", "A 51265-2021")</f>
        <v/>
      </c>
      <c r="Z443">
        <f>HYPERLINK("https://klasma.github.io/Logging_1493/fåglar/A 51265-2021 prioriterade fågelarter.docx", "A 51265-2021")</f>
        <v/>
      </c>
    </row>
    <row r="444" ht="15" customHeight="1">
      <c r="A444" t="inlineStr">
        <is>
          <t>A 34381-2022</t>
        </is>
      </c>
      <c r="B444" s="1" t="n">
        <v>44792</v>
      </c>
      <c r="C444" s="1" t="n">
        <v>45952</v>
      </c>
      <c r="D444" t="inlineStr">
        <is>
          <t>VÄSTRA GÖTALANDS LÄN</t>
        </is>
      </c>
      <c r="E444" t="inlineStr">
        <is>
          <t>VÄNERSBORG</t>
        </is>
      </c>
      <c r="G444" t="n">
        <v>6.6</v>
      </c>
      <c r="H444" t="n">
        <v>0</v>
      </c>
      <c r="I444" t="n">
        <v>1</v>
      </c>
      <c r="J444" t="n">
        <v>0</v>
      </c>
      <c r="K444" t="n">
        <v>0</v>
      </c>
      <c r="L444" t="n">
        <v>0</v>
      </c>
      <c r="M444" t="n">
        <v>0</v>
      </c>
      <c r="N444" t="n">
        <v>0</v>
      </c>
      <c r="O444" t="n">
        <v>0</v>
      </c>
      <c r="P444" t="n">
        <v>0</v>
      </c>
      <c r="Q444" t="n">
        <v>1</v>
      </c>
      <c r="R444" s="2" t="inlineStr">
        <is>
          <t>Skogsbräsma</t>
        </is>
      </c>
      <c r="S444">
        <f>HYPERLINK("https://klasma.github.io/Logging_1487/artfynd/A 34381-2022 artfynd.xlsx", "A 34381-2022")</f>
        <v/>
      </c>
      <c r="T444">
        <f>HYPERLINK("https://klasma.github.io/Logging_1487/kartor/A 34381-2022 karta.png", "A 34381-2022")</f>
        <v/>
      </c>
      <c r="V444">
        <f>HYPERLINK("https://klasma.github.io/Logging_1487/klagomål/A 34381-2022 FSC-klagomål.docx", "A 34381-2022")</f>
        <v/>
      </c>
      <c r="W444">
        <f>HYPERLINK("https://klasma.github.io/Logging_1487/klagomålsmail/A 34381-2022 FSC-klagomål mail.docx", "A 34381-2022")</f>
        <v/>
      </c>
      <c r="X444">
        <f>HYPERLINK("https://klasma.github.io/Logging_1487/tillsyn/A 34381-2022 tillsynsbegäran.docx", "A 34381-2022")</f>
        <v/>
      </c>
      <c r="Y444">
        <f>HYPERLINK("https://klasma.github.io/Logging_1487/tillsynsmail/A 34381-2022 tillsynsbegäran mail.docx", "A 34381-2022")</f>
        <v/>
      </c>
    </row>
    <row r="445" ht="15" customHeight="1">
      <c r="A445" t="inlineStr">
        <is>
          <t>A 55617-2023</t>
        </is>
      </c>
      <c r="B445" s="1" t="n">
        <v>45238.82357638889</v>
      </c>
      <c r="C445" s="1" t="n">
        <v>45952</v>
      </c>
      <c r="D445" t="inlineStr">
        <is>
          <t>VÄSTRA GÖTALANDS LÄN</t>
        </is>
      </c>
      <c r="E445" t="inlineStr">
        <is>
          <t>VÄNERSBORG</t>
        </is>
      </c>
      <c r="G445" t="n">
        <v>1.1</v>
      </c>
      <c r="H445" t="n">
        <v>1</v>
      </c>
      <c r="I445" t="n">
        <v>0</v>
      </c>
      <c r="J445" t="n">
        <v>0</v>
      </c>
      <c r="K445" t="n">
        <v>0</v>
      </c>
      <c r="L445" t="n">
        <v>0</v>
      </c>
      <c r="M445" t="n">
        <v>0</v>
      </c>
      <c r="N445" t="n">
        <v>0</v>
      </c>
      <c r="O445" t="n">
        <v>0</v>
      </c>
      <c r="P445" t="n">
        <v>0</v>
      </c>
      <c r="Q445" t="n">
        <v>1</v>
      </c>
      <c r="R445" s="2" t="inlineStr">
        <is>
          <t>Blåsippa</t>
        </is>
      </c>
      <c r="S445">
        <f>HYPERLINK("https://klasma.github.io/Logging_1487/artfynd/A 55617-2023 artfynd.xlsx", "A 55617-2023")</f>
        <v/>
      </c>
      <c r="T445">
        <f>HYPERLINK("https://klasma.github.io/Logging_1487/kartor/A 55617-2023 karta.png", "A 55617-2023")</f>
        <v/>
      </c>
      <c r="V445">
        <f>HYPERLINK("https://klasma.github.io/Logging_1487/klagomål/A 55617-2023 FSC-klagomål.docx", "A 55617-2023")</f>
        <v/>
      </c>
      <c r="W445">
        <f>HYPERLINK("https://klasma.github.io/Logging_1487/klagomålsmail/A 55617-2023 FSC-klagomål mail.docx", "A 55617-2023")</f>
        <v/>
      </c>
      <c r="X445">
        <f>HYPERLINK("https://klasma.github.io/Logging_1487/tillsyn/A 55617-2023 tillsynsbegäran.docx", "A 55617-2023")</f>
        <v/>
      </c>
      <c r="Y445">
        <f>HYPERLINK("https://klasma.github.io/Logging_1487/tillsynsmail/A 55617-2023 tillsynsbegäran mail.docx", "A 55617-2023")</f>
        <v/>
      </c>
    </row>
    <row r="446" ht="15" customHeight="1">
      <c r="A446" t="inlineStr">
        <is>
          <t>A 34589-2021</t>
        </is>
      </c>
      <c r="B446" s="1" t="n">
        <v>44382</v>
      </c>
      <c r="C446" s="1" t="n">
        <v>45952</v>
      </c>
      <c r="D446" t="inlineStr">
        <is>
          <t>VÄSTRA GÖTALANDS LÄN</t>
        </is>
      </c>
      <c r="E446" t="inlineStr">
        <is>
          <t>VÄNERSBORG</t>
        </is>
      </c>
      <c r="F446" t="inlineStr">
        <is>
          <t>Sveaskog</t>
        </is>
      </c>
      <c r="G446" t="n">
        <v>13.7</v>
      </c>
      <c r="H446" t="n">
        <v>1</v>
      </c>
      <c r="I446" t="n">
        <v>0</v>
      </c>
      <c r="J446" t="n">
        <v>0</v>
      </c>
      <c r="K446" t="n">
        <v>0</v>
      </c>
      <c r="L446" t="n">
        <v>0</v>
      </c>
      <c r="M446" t="n">
        <v>0</v>
      </c>
      <c r="N446" t="n">
        <v>0</v>
      </c>
      <c r="O446" t="n">
        <v>0</v>
      </c>
      <c r="P446" t="n">
        <v>0</v>
      </c>
      <c r="Q446" t="n">
        <v>1</v>
      </c>
      <c r="R446" s="2" t="inlineStr">
        <is>
          <t>Blåsippa</t>
        </is>
      </c>
      <c r="S446">
        <f>HYPERLINK("https://klasma.github.io/Logging_1487/artfynd/A 34589-2021 artfynd.xlsx", "A 34589-2021")</f>
        <v/>
      </c>
      <c r="T446">
        <f>HYPERLINK("https://klasma.github.io/Logging_1487/kartor/A 34589-2021 karta.png", "A 34589-2021")</f>
        <v/>
      </c>
      <c r="V446">
        <f>HYPERLINK("https://klasma.github.io/Logging_1487/klagomål/A 34589-2021 FSC-klagomål.docx", "A 34589-2021")</f>
        <v/>
      </c>
      <c r="W446">
        <f>HYPERLINK("https://klasma.github.io/Logging_1487/klagomålsmail/A 34589-2021 FSC-klagomål mail.docx", "A 34589-2021")</f>
        <v/>
      </c>
      <c r="X446">
        <f>HYPERLINK("https://klasma.github.io/Logging_1487/tillsyn/A 34589-2021 tillsynsbegäran.docx", "A 34589-2021")</f>
        <v/>
      </c>
      <c r="Y446">
        <f>HYPERLINK("https://klasma.github.io/Logging_1487/tillsynsmail/A 34589-2021 tillsynsbegäran mail.docx", "A 34589-2021")</f>
        <v/>
      </c>
    </row>
    <row r="447" ht="15" customHeight="1">
      <c r="A447" t="inlineStr">
        <is>
          <t>A 7575-2025</t>
        </is>
      </c>
      <c r="B447" s="1" t="n">
        <v>45705</v>
      </c>
      <c r="C447" s="1" t="n">
        <v>45952</v>
      </c>
      <c r="D447" t="inlineStr">
        <is>
          <t>VÄSTRA GÖTALANDS LÄN</t>
        </is>
      </c>
      <c r="E447" t="inlineStr">
        <is>
          <t>HÄRRYDA</t>
        </is>
      </c>
      <c r="G447" t="n">
        <v>3.9</v>
      </c>
      <c r="H447" t="n">
        <v>0</v>
      </c>
      <c r="I447" t="n">
        <v>1</v>
      </c>
      <c r="J447" t="n">
        <v>0</v>
      </c>
      <c r="K447" t="n">
        <v>0</v>
      </c>
      <c r="L447" t="n">
        <v>0</v>
      </c>
      <c r="M447" t="n">
        <v>0</v>
      </c>
      <c r="N447" t="n">
        <v>0</v>
      </c>
      <c r="O447" t="n">
        <v>0</v>
      </c>
      <c r="P447" t="n">
        <v>0</v>
      </c>
      <c r="Q447" t="n">
        <v>1</v>
      </c>
      <c r="R447" s="2" t="inlineStr">
        <is>
          <t>Mindre märgborre</t>
        </is>
      </c>
      <c r="S447">
        <f>HYPERLINK("https://klasma.github.io/Logging_1401/artfynd/A 7575-2025 artfynd.xlsx", "A 7575-2025")</f>
        <v/>
      </c>
      <c r="T447">
        <f>HYPERLINK("https://klasma.github.io/Logging_1401/kartor/A 7575-2025 karta.png", "A 7575-2025")</f>
        <v/>
      </c>
      <c r="V447">
        <f>HYPERLINK("https://klasma.github.io/Logging_1401/klagomål/A 7575-2025 FSC-klagomål.docx", "A 7575-2025")</f>
        <v/>
      </c>
      <c r="W447">
        <f>HYPERLINK("https://klasma.github.io/Logging_1401/klagomålsmail/A 7575-2025 FSC-klagomål mail.docx", "A 7575-2025")</f>
        <v/>
      </c>
      <c r="X447">
        <f>HYPERLINK("https://klasma.github.io/Logging_1401/tillsyn/A 7575-2025 tillsynsbegäran.docx", "A 7575-2025")</f>
        <v/>
      </c>
      <c r="Y447">
        <f>HYPERLINK("https://klasma.github.io/Logging_1401/tillsynsmail/A 7575-2025 tillsynsbegäran mail.docx", "A 7575-2025")</f>
        <v/>
      </c>
    </row>
    <row r="448" ht="15" customHeight="1">
      <c r="A448" t="inlineStr">
        <is>
          <t>A 18264-2022</t>
        </is>
      </c>
      <c r="B448" s="1" t="n">
        <v>44685</v>
      </c>
      <c r="C448" s="1" t="n">
        <v>45952</v>
      </c>
      <c r="D448" t="inlineStr">
        <is>
          <t>VÄSTRA GÖTALANDS LÄN</t>
        </is>
      </c>
      <c r="E448" t="inlineStr">
        <is>
          <t>TROLLHÄTTAN</t>
        </is>
      </c>
      <c r="G448" t="n">
        <v>16</v>
      </c>
      <c r="H448" t="n">
        <v>1</v>
      </c>
      <c r="I448" t="n">
        <v>0</v>
      </c>
      <c r="J448" t="n">
        <v>0</v>
      </c>
      <c r="K448" t="n">
        <v>1</v>
      </c>
      <c r="L448" t="n">
        <v>0</v>
      </c>
      <c r="M448" t="n">
        <v>0</v>
      </c>
      <c r="N448" t="n">
        <v>0</v>
      </c>
      <c r="O448" t="n">
        <v>1</v>
      </c>
      <c r="P448" t="n">
        <v>1</v>
      </c>
      <c r="Q448" t="n">
        <v>1</v>
      </c>
      <c r="R448" s="2" t="inlineStr">
        <is>
          <t>Knärot</t>
        </is>
      </c>
      <c r="S448">
        <f>HYPERLINK("https://klasma.github.io/Logging_1488/artfynd/A 18264-2022 artfynd.xlsx", "A 18264-2022")</f>
        <v/>
      </c>
      <c r="T448">
        <f>HYPERLINK("https://klasma.github.io/Logging_1488/kartor/A 18264-2022 karta.png", "A 18264-2022")</f>
        <v/>
      </c>
      <c r="U448">
        <f>HYPERLINK("https://klasma.github.io/Logging_1488/knärot/A 18264-2022 karta knärot.png", "A 18264-2022")</f>
        <v/>
      </c>
      <c r="V448">
        <f>HYPERLINK("https://klasma.github.io/Logging_1488/klagomål/A 18264-2022 FSC-klagomål.docx", "A 18264-2022")</f>
        <v/>
      </c>
      <c r="W448">
        <f>HYPERLINK("https://klasma.github.io/Logging_1488/klagomålsmail/A 18264-2022 FSC-klagomål mail.docx", "A 18264-2022")</f>
        <v/>
      </c>
      <c r="X448">
        <f>HYPERLINK("https://klasma.github.io/Logging_1488/tillsyn/A 18264-2022 tillsynsbegäran.docx", "A 18264-2022")</f>
        <v/>
      </c>
      <c r="Y448">
        <f>HYPERLINK("https://klasma.github.io/Logging_1488/tillsynsmail/A 18264-2022 tillsynsbegäran mail.docx", "A 18264-2022")</f>
        <v/>
      </c>
    </row>
    <row r="449" ht="15" customHeight="1">
      <c r="A449" t="inlineStr">
        <is>
          <t>A 17023-2023</t>
        </is>
      </c>
      <c r="B449" s="1" t="n">
        <v>45030</v>
      </c>
      <c r="C449" s="1" t="n">
        <v>45952</v>
      </c>
      <c r="D449" t="inlineStr">
        <is>
          <t>VÄSTRA GÖTALANDS LÄN</t>
        </is>
      </c>
      <c r="E449" t="inlineStr">
        <is>
          <t>MARK</t>
        </is>
      </c>
      <c r="G449" t="n">
        <v>2.9</v>
      </c>
      <c r="H449" t="n">
        <v>0</v>
      </c>
      <c r="I449" t="n">
        <v>0</v>
      </c>
      <c r="J449" t="n">
        <v>1</v>
      </c>
      <c r="K449" t="n">
        <v>0</v>
      </c>
      <c r="L449" t="n">
        <v>0</v>
      </c>
      <c r="M449" t="n">
        <v>0</v>
      </c>
      <c r="N449" t="n">
        <v>0</v>
      </c>
      <c r="O449" t="n">
        <v>1</v>
      </c>
      <c r="P449" t="n">
        <v>0</v>
      </c>
      <c r="Q449" t="n">
        <v>1</v>
      </c>
      <c r="R449" s="2" t="inlineStr">
        <is>
          <t>Guldsandbi</t>
        </is>
      </c>
      <c r="S449">
        <f>HYPERLINK("https://klasma.github.io/Logging_1463/artfynd/A 17023-2023 artfynd.xlsx", "A 17023-2023")</f>
        <v/>
      </c>
      <c r="T449">
        <f>HYPERLINK("https://klasma.github.io/Logging_1463/kartor/A 17023-2023 karta.png", "A 17023-2023")</f>
        <v/>
      </c>
      <c r="V449">
        <f>HYPERLINK("https://klasma.github.io/Logging_1463/klagomål/A 17023-2023 FSC-klagomål.docx", "A 17023-2023")</f>
        <v/>
      </c>
      <c r="W449">
        <f>HYPERLINK("https://klasma.github.io/Logging_1463/klagomålsmail/A 17023-2023 FSC-klagomål mail.docx", "A 17023-2023")</f>
        <v/>
      </c>
      <c r="X449">
        <f>HYPERLINK("https://klasma.github.io/Logging_1463/tillsyn/A 17023-2023 tillsynsbegäran.docx", "A 17023-2023")</f>
        <v/>
      </c>
      <c r="Y449">
        <f>HYPERLINK("https://klasma.github.io/Logging_1463/tillsynsmail/A 17023-2023 tillsynsbegäran mail.docx", "A 17023-2023")</f>
        <v/>
      </c>
    </row>
    <row r="450" ht="15" customHeight="1">
      <c r="A450" t="inlineStr">
        <is>
          <t>A 23519-2021</t>
        </is>
      </c>
      <c r="B450" s="1" t="n">
        <v>44333</v>
      </c>
      <c r="C450" s="1" t="n">
        <v>45952</v>
      </c>
      <c r="D450" t="inlineStr">
        <is>
          <t>VÄSTRA GÖTALANDS LÄN</t>
        </is>
      </c>
      <c r="E450" t="inlineStr">
        <is>
          <t>MARK</t>
        </is>
      </c>
      <c r="G450" t="n">
        <v>0.8</v>
      </c>
      <c r="H450" t="n">
        <v>0</v>
      </c>
      <c r="I450" t="n">
        <v>0</v>
      </c>
      <c r="J450" t="n">
        <v>1</v>
      </c>
      <c r="K450" t="n">
        <v>0</v>
      </c>
      <c r="L450" t="n">
        <v>0</v>
      </c>
      <c r="M450" t="n">
        <v>0</v>
      </c>
      <c r="N450" t="n">
        <v>0</v>
      </c>
      <c r="O450" t="n">
        <v>1</v>
      </c>
      <c r="P450" t="n">
        <v>0</v>
      </c>
      <c r="Q450" t="n">
        <v>1</v>
      </c>
      <c r="R450" s="2" t="inlineStr">
        <is>
          <t>Grynig filtlav</t>
        </is>
      </c>
      <c r="S450">
        <f>HYPERLINK("https://klasma.github.io/Logging_1463/artfynd/A 23519-2021 artfynd.xlsx", "A 23519-2021")</f>
        <v/>
      </c>
      <c r="T450">
        <f>HYPERLINK("https://klasma.github.io/Logging_1463/kartor/A 23519-2021 karta.png", "A 23519-2021")</f>
        <v/>
      </c>
      <c r="V450">
        <f>HYPERLINK("https://klasma.github.io/Logging_1463/klagomål/A 23519-2021 FSC-klagomål.docx", "A 23519-2021")</f>
        <v/>
      </c>
      <c r="W450">
        <f>HYPERLINK("https://klasma.github.io/Logging_1463/klagomålsmail/A 23519-2021 FSC-klagomål mail.docx", "A 23519-2021")</f>
        <v/>
      </c>
      <c r="X450">
        <f>HYPERLINK("https://klasma.github.io/Logging_1463/tillsyn/A 23519-2021 tillsynsbegäran.docx", "A 23519-2021")</f>
        <v/>
      </c>
      <c r="Y450">
        <f>HYPERLINK("https://klasma.github.io/Logging_1463/tillsynsmail/A 23519-2021 tillsynsbegäran mail.docx", "A 23519-2021")</f>
        <v/>
      </c>
    </row>
    <row r="451" ht="15" customHeight="1">
      <c r="A451" t="inlineStr">
        <is>
          <t>A 19162-2021</t>
        </is>
      </c>
      <c r="B451" s="1" t="n">
        <v>44308</v>
      </c>
      <c r="C451" s="1" t="n">
        <v>45952</v>
      </c>
      <c r="D451" t="inlineStr">
        <is>
          <t>VÄSTRA GÖTALANDS LÄN</t>
        </is>
      </c>
      <c r="E451" t="inlineStr">
        <is>
          <t>TRANEMO</t>
        </is>
      </c>
      <c r="F451" t="inlineStr">
        <is>
          <t>Sveaskog</t>
        </is>
      </c>
      <c r="G451" t="n">
        <v>5.2</v>
      </c>
      <c r="H451" t="n">
        <v>0</v>
      </c>
      <c r="I451" t="n">
        <v>0</v>
      </c>
      <c r="J451" t="n">
        <v>1</v>
      </c>
      <c r="K451" t="n">
        <v>0</v>
      </c>
      <c r="L451" t="n">
        <v>0</v>
      </c>
      <c r="M451" t="n">
        <v>0</v>
      </c>
      <c r="N451" t="n">
        <v>0</v>
      </c>
      <c r="O451" t="n">
        <v>1</v>
      </c>
      <c r="P451" t="n">
        <v>0</v>
      </c>
      <c r="Q451" t="n">
        <v>1</v>
      </c>
      <c r="R451" s="2" t="inlineStr">
        <is>
          <t>Borsttåg</t>
        </is>
      </c>
      <c r="S451">
        <f>HYPERLINK("https://klasma.github.io/Logging_1452/artfynd/A 19162-2021 artfynd.xlsx", "A 19162-2021")</f>
        <v/>
      </c>
      <c r="T451">
        <f>HYPERLINK("https://klasma.github.io/Logging_1452/kartor/A 19162-2021 karta.png", "A 19162-2021")</f>
        <v/>
      </c>
      <c r="V451">
        <f>HYPERLINK("https://klasma.github.io/Logging_1452/klagomål/A 19162-2021 FSC-klagomål.docx", "A 19162-2021")</f>
        <v/>
      </c>
      <c r="W451">
        <f>HYPERLINK("https://klasma.github.io/Logging_1452/klagomålsmail/A 19162-2021 FSC-klagomål mail.docx", "A 19162-2021")</f>
        <v/>
      </c>
      <c r="X451">
        <f>HYPERLINK("https://klasma.github.io/Logging_1452/tillsyn/A 19162-2021 tillsynsbegäran.docx", "A 19162-2021")</f>
        <v/>
      </c>
      <c r="Y451">
        <f>HYPERLINK("https://klasma.github.io/Logging_1452/tillsynsmail/A 19162-2021 tillsynsbegäran mail.docx", "A 19162-2021")</f>
        <v/>
      </c>
    </row>
    <row r="452" ht="15" customHeight="1">
      <c r="A452" t="inlineStr">
        <is>
          <t>A 65581-2020</t>
        </is>
      </c>
      <c r="B452" s="1" t="n">
        <v>44173</v>
      </c>
      <c r="C452" s="1" t="n">
        <v>45952</v>
      </c>
      <c r="D452" t="inlineStr">
        <is>
          <t>VÄSTRA GÖTALANDS LÄN</t>
        </is>
      </c>
      <c r="E452" t="inlineStr">
        <is>
          <t>BOLLEBYGD</t>
        </is>
      </c>
      <c r="F452" t="inlineStr">
        <is>
          <t>Kommuner</t>
        </is>
      </c>
      <c r="G452" t="n">
        <v>1.6</v>
      </c>
      <c r="H452" t="n">
        <v>1</v>
      </c>
      <c r="I452" t="n">
        <v>0</v>
      </c>
      <c r="J452" t="n">
        <v>0</v>
      </c>
      <c r="K452" t="n">
        <v>1</v>
      </c>
      <c r="L452" t="n">
        <v>0</v>
      </c>
      <c r="M452" t="n">
        <v>0</v>
      </c>
      <c r="N452" t="n">
        <v>0</v>
      </c>
      <c r="O452" t="n">
        <v>1</v>
      </c>
      <c r="P452" t="n">
        <v>1</v>
      </c>
      <c r="Q452" t="n">
        <v>1</v>
      </c>
      <c r="R452" s="2" t="inlineStr">
        <is>
          <t>Knärot</t>
        </is>
      </c>
      <c r="S452">
        <f>HYPERLINK("https://klasma.github.io/Logging_1443/artfynd/A 65581-2020 artfynd.xlsx", "A 65581-2020")</f>
        <v/>
      </c>
      <c r="T452">
        <f>HYPERLINK("https://klasma.github.io/Logging_1443/kartor/A 65581-2020 karta.png", "A 65581-2020")</f>
        <v/>
      </c>
      <c r="U452">
        <f>HYPERLINK("https://klasma.github.io/Logging_1443/knärot/A 65581-2020 karta knärot.png", "A 65581-2020")</f>
        <v/>
      </c>
      <c r="V452">
        <f>HYPERLINK("https://klasma.github.io/Logging_1443/klagomål/A 65581-2020 FSC-klagomål.docx", "A 65581-2020")</f>
        <v/>
      </c>
      <c r="W452">
        <f>HYPERLINK("https://klasma.github.io/Logging_1443/klagomålsmail/A 65581-2020 FSC-klagomål mail.docx", "A 65581-2020")</f>
        <v/>
      </c>
      <c r="X452">
        <f>HYPERLINK("https://klasma.github.io/Logging_1443/tillsyn/A 65581-2020 tillsynsbegäran.docx", "A 65581-2020")</f>
        <v/>
      </c>
      <c r="Y452">
        <f>HYPERLINK("https://klasma.github.io/Logging_1443/tillsynsmail/A 65581-2020 tillsynsbegäran mail.docx", "A 65581-2020")</f>
        <v/>
      </c>
    </row>
    <row r="453" ht="15" customHeight="1">
      <c r="A453" t="inlineStr">
        <is>
          <t>A 14220-2024</t>
        </is>
      </c>
      <c r="B453" s="1" t="n">
        <v>45393.45601851852</v>
      </c>
      <c r="C453" s="1" t="n">
        <v>45952</v>
      </c>
      <c r="D453" t="inlineStr">
        <is>
          <t>VÄSTRA GÖTALANDS LÄN</t>
        </is>
      </c>
      <c r="E453" t="inlineStr">
        <is>
          <t>BORÅS</t>
        </is>
      </c>
      <c r="F453" t="inlineStr">
        <is>
          <t>Sveaskog</t>
        </is>
      </c>
      <c r="G453" t="n">
        <v>8</v>
      </c>
      <c r="H453" t="n">
        <v>1</v>
      </c>
      <c r="I453" t="n">
        <v>0</v>
      </c>
      <c r="J453" t="n">
        <v>0</v>
      </c>
      <c r="K453" t="n">
        <v>0</v>
      </c>
      <c r="L453" t="n">
        <v>0</v>
      </c>
      <c r="M453" t="n">
        <v>0</v>
      </c>
      <c r="N453" t="n">
        <v>0</v>
      </c>
      <c r="O453" t="n">
        <v>0</v>
      </c>
      <c r="P453" t="n">
        <v>0</v>
      </c>
      <c r="Q453" t="n">
        <v>1</v>
      </c>
      <c r="R453" s="2" t="inlineStr">
        <is>
          <t>Revlummer</t>
        </is>
      </c>
      <c r="S453">
        <f>HYPERLINK("https://klasma.github.io/Logging_1490/artfynd/A 14220-2024 artfynd.xlsx", "A 14220-2024")</f>
        <v/>
      </c>
      <c r="T453">
        <f>HYPERLINK("https://klasma.github.io/Logging_1490/kartor/A 14220-2024 karta.png", "A 14220-2024")</f>
        <v/>
      </c>
      <c r="V453">
        <f>HYPERLINK("https://klasma.github.io/Logging_1490/klagomål/A 14220-2024 FSC-klagomål.docx", "A 14220-2024")</f>
        <v/>
      </c>
      <c r="W453">
        <f>HYPERLINK("https://klasma.github.io/Logging_1490/klagomålsmail/A 14220-2024 FSC-klagomål mail.docx", "A 14220-2024")</f>
        <v/>
      </c>
      <c r="X453">
        <f>HYPERLINK("https://klasma.github.io/Logging_1490/tillsyn/A 14220-2024 tillsynsbegäran.docx", "A 14220-2024")</f>
        <v/>
      </c>
      <c r="Y453">
        <f>HYPERLINK("https://klasma.github.io/Logging_1490/tillsynsmail/A 14220-2024 tillsynsbegäran mail.docx", "A 14220-2024")</f>
        <v/>
      </c>
    </row>
    <row r="454" ht="15" customHeight="1">
      <c r="A454" t="inlineStr">
        <is>
          <t>A 8262-2022</t>
        </is>
      </c>
      <c r="B454" s="1" t="n">
        <v>44610.35016203704</v>
      </c>
      <c r="C454" s="1" t="n">
        <v>45952</v>
      </c>
      <c r="D454" t="inlineStr">
        <is>
          <t>VÄSTRA GÖTALANDS LÄN</t>
        </is>
      </c>
      <c r="E454" t="inlineStr">
        <is>
          <t>MARIESTAD</t>
        </is>
      </c>
      <c r="G454" t="n">
        <v>0.9</v>
      </c>
      <c r="H454" t="n">
        <v>1</v>
      </c>
      <c r="I454" t="n">
        <v>0</v>
      </c>
      <c r="J454" t="n">
        <v>1</v>
      </c>
      <c r="K454" t="n">
        <v>0</v>
      </c>
      <c r="L454" t="n">
        <v>0</v>
      </c>
      <c r="M454" t="n">
        <v>0</v>
      </c>
      <c r="N454" t="n">
        <v>0</v>
      </c>
      <c r="O454" t="n">
        <v>1</v>
      </c>
      <c r="P454" t="n">
        <v>0</v>
      </c>
      <c r="Q454" t="n">
        <v>1</v>
      </c>
      <c r="R454" s="2" t="inlineStr">
        <is>
          <t>Gulsparv</t>
        </is>
      </c>
      <c r="S454">
        <f>HYPERLINK("https://klasma.github.io/Logging_1493/artfynd/A 8262-2022 artfynd.xlsx", "A 8262-2022")</f>
        <v/>
      </c>
      <c r="T454">
        <f>HYPERLINK("https://klasma.github.io/Logging_1493/kartor/A 8262-2022 karta.png", "A 8262-2022")</f>
        <v/>
      </c>
      <c r="V454">
        <f>HYPERLINK("https://klasma.github.io/Logging_1493/klagomål/A 8262-2022 FSC-klagomål.docx", "A 8262-2022")</f>
        <v/>
      </c>
      <c r="W454">
        <f>HYPERLINK("https://klasma.github.io/Logging_1493/klagomålsmail/A 8262-2022 FSC-klagomål mail.docx", "A 8262-2022")</f>
        <v/>
      </c>
      <c r="X454">
        <f>HYPERLINK("https://klasma.github.io/Logging_1493/tillsyn/A 8262-2022 tillsynsbegäran.docx", "A 8262-2022")</f>
        <v/>
      </c>
      <c r="Y454">
        <f>HYPERLINK("https://klasma.github.io/Logging_1493/tillsynsmail/A 8262-2022 tillsynsbegäran mail.docx", "A 8262-2022")</f>
        <v/>
      </c>
      <c r="Z454">
        <f>HYPERLINK("https://klasma.github.io/Logging_1493/fåglar/A 8262-2022 prioriterade fågelarter.docx", "A 8262-2022")</f>
        <v/>
      </c>
    </row>
    <row r="455" ht="15" customHeight="1">
      <c r="A455" t="inlineStr">
        <is>
          <t>A 30771-2022</t>
        </is>
      </c>
      <c r="B455" s="1" t="n">
        <v>44764</v>
      </c>
      <c r="C455" s="1" t="n">
        <v>45952</v>
      </c>
      <c r="D455" t="inlineStr">
        <is>
          <t>VÄSTRA GÖTALANDS LÄN</t>
        </is>
      </c>
      <c r="E455" t="inlineStr">
        <is>
          <t>SVENLJUNGA</t>
        </is>
      </c>
      <c r="G455" t="n">
        <v>1.8</v>
      </c>
      <c r="H455" t="n">
        <v>0</v>
      </c>
      <c r="I455" t="n">
        <v>0</v>
      </c>
      <c r="J455" t="n">
        <v>1</v>
      </c>
      <c r="K455" t="n">
        <v>0</v>
      </c>
      <c r="L455" t="n">
        <v>0</v>
      </c>
      <c r="M455" t="n">
        <v>0</v>
      </c>
      <c r="N455" t="n">
        <v>0</v>
      </c>
      <c r="O455" t="n">
        <v>1</v>
      </c>
      <c r="P455" t="n">
        <v>0</v>
      </c>
      <c r="Q455" t="n">
        <v>1</v>
      </c>
      <c r="R455" s="2" t="inlineStr">
        <is>
          <t>Grynig filtlav</t>
        </is>
      </c>
      <c r="S455">
        <f>HYPERLINK("https://klasma.github.io/Logging_1465/artfynd/A 30771-2022 artfynd.xlsx", "A 30771-2022")</f>
        <v/>
      </c>
      <c r="T455">
        <f>HYPERLINK("https://klasma.github.io/Logging_1465/kartor/A 30771-2022 karta.png", "A 30771-2022")</f>
        <v/>
      </c>
      <c r="V455">
        <f>HYPERLINK("https://klasma.github.io/Logging_1465/klagomål/A 30771-2022 FSC-klagomål.docx", "A 30771-2022")</f>
        <v/>
      </c>
      <c r="W455">
        <f>HYPERLINK("https://klasma.github.io/Logging_1465/klagomålsmail/A 30771-2022 FSC-klagomål mail.docx", "A 30771-2022")</f>
        <v/>
      </c>
      <c r="X455">
        <f>HYPERLINK("https://klasma.github.io/Logging_1465/tillsyn/A 30771-2022 tillsynsbegäran.docx", "A 30771-2022")</f>
        <v/>
      </c>
      <c r="Y455">
        <f>HYPERLINK("https://klasma.github.io/Logging_1465/tillsynsmail/A 30771-2022 tillsynsbegäran mail.docx", "A 30771-2022")</f>
        <v/>
      </c>
    </row>
    <row r="456" ht="15" customHeight="1">
      <c r="A456" t="inlineStr">
        <is>
          <t>A 45160-2024</t>
        </is>
      </c>
      <c r="B456" s="1" t="n">
        <v>45575.6496412037</v>
      </c>
      <c r="C456" s="1" t="n">
        <v>45952</v>
      </c>
      <c r="D456" t="inlineStr">
        <is>
          <t>VÄSTRA GÖTALANDS LÄN</t>
        </is>
      </c>
      <c r="E456" t="inlineStr">
        <is>
          <t>MUNKEDAL</t>
        </is>
      </c>
      <c r="F456" t="inlineStr">
        <is>
          <t>Naturvårdsverket</t>
        </is>
      </c>
      <c r="G456" t="n">
        <v>3.4</v>
      </c>
      <c r="H456" t="n">
        <v>1</v>
      </c>
      <c r="I456" t="n">
        <v>0</v>
      </c>
      <c r="J456" t="n">
        <v>1</v>
      </c>
      <c r="K456" t="n">
        <v>0</v>
      </c>
      <c r="L456" t="n">
        <v>0</v>
      </c>
      <c r="M456" t="n">
        <v>0</v>
      </c>
      <c r="N456" t="n">
        <v>0</v>
      </c>
      <c r="O456" t="n">
        <v>1</v>
      </c>
      <c r="P456" t="n">
        <v>0</v>
      </c>
      <c r="Q456" t="n">
        <v>1</v>
      </c>
      <c r="R456" s="2" t="inlineStr">
        <is>
          <t>Spillkråka</t>
        </is>
      </c>
      <c r="S456">
        <f>HYPERLINK("https://klasma.github.io/Logging_1430/artfynd/A 45160-2024 artfynd.xlsx", "A 45160-2024")</f>
        <v/>
      </c>
      <c r="T456">
        <f>HYPERLINK("https://klasma.github.io/Logging_1430/kartor/A 45160-2024 karta.png", "A 45160-2024")</f>
        <v/>
      </c>
      <c r="V456">
        <f>HYPERLINK("https://klasma.github.io/Logging_1430/klagomål/A 45160-2024 FSC-klagomål.docx", "A 45160-2024")</f>
        <v/>
      </c>
      <c r="W456">
        <f>HYPERLINK("https://klasma.github.io/Logging_1430/klagomålsmail/A 45160-2024 FSC-klagomål mail.docx", "A 45160-2024")</f>
        <v/>
      </c>
      <c r="X456">
        <f>HYPERLINK("https://klasma.github.io/Logging_1430/tillsyn/A 45160-2024 tillsynsbegäran.docx", "A 45160-2024")</f>
        <v/>
      </c>
      <c r="Y456">
        <f>HYPERLINK("https://klasma.github.io/Logging_1430/tillsynsmail/A 45160-2024 tillsynsbegäran mail.docx", "A 45160-2024")</f>
        <v/>
      </c>
      <c r="Z456">
        <f>HYPERLINK("https://klasma.github.io/Logging_1430/fåglar/A 45160-2024 prioriterade fågelarter.docx", "A 45160-2024")</f>
        <v/>
      </c>
    </row>
    <row r="457" ht="15" customHeight="1">
      <c r="A457" t="inlineStr">
        <is>
          <t>A 18387-2025</t>
        </is>
      </c>
      <c r="B457" s="1" t="n">
        <v>45762.58939814815</v>
      </c>
      <c r="C457" s="1" t="n">
        <v>45952</v>
      </c>
      <c r="D457" t="inlineStr">
        <is>
          <t>VÄSTRA GÖTALANDS LÄN</t>
        </is>
      </c>
      <c r="E457" t="inlineStr">
        <is>
          <t>UDDEVALLA</t>
        </is>
      </c>
      <c r="G457" t="n">
        <v>0.6</v>
      </c>
      <c r="H457" t="n">
        <v>1</v>
      </c>
      <c r="I457" t="n">
        <v>0</v>
      </c>
      <c r="J457" t="n">
        <v>0</v>
      </c>
      <c r="K457" t="n">
        <v>0</v>
      </c>
      <c r="L457" t="n">
        <v>0</v>
      </c>
      <c r="M457" t="n">
        <v>0</v>
      </c>
      <c r="N457" t="n">
        <v>0</v>
      </c>
      <c r="O457" t="n">
        <v>0</v>
      </c>
      <c r="P457" t="n">
        <v>0</v>
      </c>
      <c r="Q457" t="n">
        <v>1</v>
      </c>
      <c r="R457" s="2" t="inlineStr">
        <is>
          <t>Vanlig groda</t>
        </is>
      </c>
      <c r="S457">
        <f>HYPERLINK("https://klasma.github.io/Logging_1485/artfynd/A 18387-2025 artfynd.xlsx", "A 18387-2025")</f>
        <v/>
      </c>
      <c r="T457">
        <f>HYPERLINK("https://klasma.github.io/Logging_1485/kartor/A 18387-2025 karta.png", "A 18387-2025")</f>
        <v/>
      </c>
      <c r="V457">
        <f>HYPERLINK("https://klasma.github.io/Logging_1485/klagomål/A 18387-2025 FSC-klagomål.docx", "A 18387-2025")</f>
        <v/>
      </c>
      <c r="W457">
        <f>HYPERLINK("https://klasma.github.io/Logging_1485/klagomålsmail/A 18387-2025 FSC-klagomål mail.docx", "A 18387-2025")</f>
        <v/>
      </c>
      <c r="X457">
        <f>HYPERLINK("https://klasma.github.io/Logging_1485/tillsyn/A 18387-2025 tillsynsbegäran.docx", "A 18387-2025")</f>
        <v/>
      </c>
      <c r="Y457">
        <f>HYPERLINK("https://klasma.github.io/Logging_1485/tillsynsmail/A 18387-2025 tillsynsbegäran mail.docx", "A 18387-2025")</f>
        <v/>
      </c>
    </row>
    <row r="458" ht="15" customHeight="1">
      <c r="A458" t="inlineStr">
        <is>
          <t>A 6484-2021</t>
        </is>
      </c>
      <c r="B458" s="1" t="n">
        <v>44235</v>
      </c>
      <c r="C458" s="1" t="n">
        <v>45952</v>
      </c>
      <c r="D458" t="inlineStr">
        <is>
          <t>VÄSTRA GÖTALANDS LÄN</t>
        </is>
      </c>
      <c r="E458" t="inlineStr">
        <is>
          <t>SKÖVDE</t>
        </is>
      </c>
      <c r="G458" t="n">
        <v>2.9</v>
      </c>
      <c r="H458" t="n">
        <v>0</v>
      </c>
      <c r="I458" t="n">
        <v>1</v>
      </c>
      <c r="J458" t="n">
        <v>0</v>
      </c>
      <c r="K458" t="n">
        <v>0</v>
      </c>
      <c r="L458" t="n">
        <v>0</v>
      </c>
      <c r="M458" t="n">
        <v>0</v>
      </c>
      <c r="N458" t="n">
        <v>0</v>
      </c>
      <c r="O458" t="n">
        <v>0</v>
      </c>
      <c r="P458" t="n">
        <v>0</v>
      </c>
      <c r="Q458" t="n">
        <v>1</v>
      </c>
      <c r="R458" s="2" t="inlineStr">
        <is>
          <t>Tibast</t>
        </is>
      </c>
      <c r="S458">
        <f>HYPERLINK("https://klasma.github.io/Logging_1496/artfynd/A 6484-2021 artfynd.xlsx", "A 6484-2021")</f>
        <v/>
      </c>
      <c r="T458">
        <f>HYPERLINK("https://klasma.github.io/Logging_1496/kartor/A 6484-2021 karta.png", "A 6484-2021")</f>
        <v/>
      </c>
      <c r="V458">
        <f>HYPERLINK("https://klasma.github.io/Logging_1496/klagomål/A 6484-2021 FSC-klagomål.docx", "A 6484-2021")</f>
        <v/>
      </c>
      <c r="W458">
        <f>HYPERLINK("https://klasma.github.io/Logging_1496/klagomålsmail/A 6484-2021 FSC-klagomål mail.docx", "A 6484-2021")</f>
        <v/>
      </c>
      <c r="X458">
        <f>HYPERLINK("https://klasma.github.io/Logging_1496/tillsyn/A 6484-2021 tillsynsbegäran.docx", "A 6484-2021")</f>
        <v/>
      </c>
      <c r="Y458">
        <f>HYPERLINK("https://klasma.github.io/Logging_1496/tillsynsmail/A 6484-2021 tillsynsbegäran mail.docx", "A 6484-2021")</f>
        <v/>
      </c>
    </row>
    <row r="459" ht="15" customHeight="1">
      <c r="A459" t="inlineStr">
        <is>
          <t>A 29369-2022</t>
        </is>
      </c>
      <c r="B459" s="1" t="n">
        <v>44753</v>
      </c>
      <c r="C459" s="1" t="n">
        <v>45952</v>
      </c>
      <c r="D459" t="inlineStr">
        <is>
          <t>VÄSTRA GÖTALANDS LÄN</t>
        </is>
      </c>
      <c r="E459" t="inlineStr">
        <is>
          <t>VÄNERSBORG</t>
        </is>
      </c>
      <c r="F459" t="inlineStr">
        <is>
          <t>Sveaskog</t>
        </is>
      </c>
      <c r="G459" t="n">
        <v>9.9</v>
      </c>
      <c r="H459" t="n">
        <v>0</v>
      </c>
      <c r="I459" t="n">
        <v>1</v>
      </c>
      <c r="J459" t="n">
        <v>0</v>
      </c>
      <c r="K459" t="n">
        <v>0</v>
      </c>
      <c r="L459" t="n">
        <v>0</v>
      </c>
      <c r="M459" t="n">
        <v>0</v>
      </c>
      <c r="N459" t="n">
        <v>0</v>
      </c>
      <c r="O459" t="n">
        <v>0</v>
      </c>
      <c r="P459" t="n">
        <v>0</v>
      </c>
      <c r="Q459" t="n">
        <v>1</v>
      </c>
      <c r="R459" s="2" t="inlineStr">
        <is>
          <t>Blåmossa</t>
        </is>
      </c>
      <c r="S459">
        <f>HYPERLINK("https://klasma.github.io/Logging_1487/artfynd/A 29369-2022 artfynd.xlsx", "A 29369-2022")</f>
        <v/>
      </c>
      <c r="T459">
        <f>HYPERLINK("https://klasma.github.io/Logging_1487/kartor/A 29369-2022 karta.png", "A 29369-2022")</f>
        <v/>
      </c>
      <c r="V459">
        <f>HYPERLINK("https://klasma.github.io/Logging_1487/klagomål/A 29369-2022 FSC-klagomål.docx", "A 29369-2022")</f>
        <v/>
      </c>
      <c r="W459">
        <f>HYPERLINK("https://klasma.github.io/Logging_1487/klagomålsmail/A 29369-2022 FSC-klagomål mail.docx", "A 29369-2022")</f>
        <v/>
      </c>
      <c r="X459">
        <f>HYPERLINK("https://klasma.github.io/Logging_1487/tillsyn/A 29369-2022 tillsynsbegäran.docx", "A 29369-2022")</f>
        <v/>
      </c>
      <c r="Y459">
        <f>HYPERLINK("https://klasma.github.io/Logging_1487/tillsynsmail/A 29369-2022 tillsynsbegäran mail.docx", "A 29369-2022")</f>
        <v/>
      </c>
    </row>
    <row r="460" ht="15" customHeight="1">
      <c r="A460" t="inlineStr">
        <is>
          <t>A 6040-2025</t>
        </is>
      </c>
      <c r="B460" s="1" t="n">
        <v>45695.66266203704</v>
      </c>
      <c r="C460" s="1" t="n">
        <v>45952</v>
      </c>
      <c r="D460" t="inlineStr">
        <is>
          <t>VÄSTRA GÖTALANDS LÄN</t>
        </is>
      </c>
      <c r="E460" t="inlineStr">
        <is>
          <t>VARA</t>
        </is>
      </c>
      <c r="G460" t="n">
        <v>2.4</v>
      </c>
      <c r="H460" t="n">
        <v>1</v>
      </c>
      <c r="I460" t="n">
        <v>0</v>
      </c>
      <c r="J460" t="n">
        <v>0</v>
      </c>
      <c r="K460" t="n">
        <v>0</v>
      </c>
      <c r="L460" t="n">
        <v>0</v>
      </c>
      <c r="M460" t="n">
        <v>0</v>
      </c>
      <c r="N460" t="n">
        <v>0</v>
      </c>
      <c r="O460" t="n">
        <v>0</v>
      </c>
      <c r="P460" t="n">
        <v>0</v>
      </c>
      <c r="Q460" t="n">
        <v>1</v>
      </c>
      <c r="R460" s="2" t="inlineStr">
        <is>
          <t>Revlummer</t>
        </is>
      </c>
      <c r="S460">
        <f>HYPERLINK("https://klasma.github.io/Logging_1470/artfynd/A 6040-2025 artfynd.xlsx", "A 6040-2025")</f>
        <v/>
      </c>
      <c r="T460">
        <f>HYPERLINK("https://klasma.github.io/Logging_1470/kartor/A 6040-2025 karta.png", "A 6040-2025")</f>
        <v/>
      </c>
      <c r="V460">
        <f>HYPERLINK("https://klasma.github.io/Logging_1470/klagomål/A 6040-2025 FSC-klagomål.docx", "A 6040-2025")</f>
        <v/>
      </c>
      <c r="W460">
        <f>HYPERLINK("https://klasma.github.io/Logging_1470/klagomålsmail/A 6040-2025 FSC-klagomål mail.docx", "A 6040-2025")</f>
        <v/>
      </c>
      <c r="X460">
        <f>HYPERLINK("https://klasma.github.io/Logging_1470/tillsyn/A 6040-2025 tillsynsbegäran.docx", "A 6040-2025")</f>
        <v/>
      </c>
      <c r="Y460">
        <f>HYPERLINK("https://klasma.github.io/Logging_1470/tillsynsmail/A 6040-2025 tillsynsbegäran mail.docx", "A 6040-2025")</f>
        <v/>
      </c>
    </row>
    <row r="461" ht="15" customHeight="1">
      <c r="A461" t="inlineStr">
        <is>
          <t>A 32276-2023</t>
        </is>
      </c>
      <c r="B461" s="1" t="n">
        <v>45120.36098379629</v>
      </c>
      <c r="C461" s="1" t="n">
        <v>45952</v>
      </c>
      <c r="D461" t="inlineStr">
        <is>
          <t>VÄSTRA GÖTALANDS LÄN</t>
        </is>
      </c>
      <c r="E461" t="inlineStr">
        <is>
          <t>ULRICEHAMN</t>
        </is>
      </c>
      <c r="G461" t="n">
        <v>9.300000000000001</v>
      </c>
      <c r="H461" t="n">
        <v>1</v>
      </c>
      <c r="I461" t="n">
        <v>0</v>
      </c>
      <c r="J461" t="n">
        <v>0</v>
      </c>
      <c r="K461" t="n">
        <v>0</v>
      </c>
      <c r="L461" t="n">
        <v>1</v>
      </c>
      <c r="M461" t="n">
        <v>0</v>
      </c>
      <c r="N461" t="n">
        <v>0</v>
      </c>
      <c r="O461" t="n">
        <v>1</v>
      </c>
      <c r="P461" t="n">
        <v>1</v>
      </c>
      <c r="Q461" t="n">
        <v>1</v>
      </c>
      <c r="R461" s="2" t="inlineStr">
        <is>
          <t>Smalbladig lungört</t>
        </is>
      </c>
      <c r="S461">
        <f>HYPERLINK("https://klasma.github.io/Logging_1491/artfynd/A 32276-2023 artfynd.xlsx", "A 32276-2023")</f>
        <v/>
      </c>
      <c r="T461">
        <f>HYPERLINK("https://klasma.github.io/Logging_1491/kartor/A 32276-2023 karta.png", "A 32276-2023")</f>
        <v/>
      </c>
      <c r="V461">
        <f>HYPERLINK("https://klasma.github.io/Logging_1491/klagomål/A 32276-2023 FSC-klagomål.docx", "A 32276-2023")</f>
        <v/>
      </c>
      <c r="W461">
        <f>HYPERLINK("https://klasma.github.io/Logging_1491/klagomålsmail/A 32276-2023 FSC-klagomål mail.docx", "A 32276-2023")</f>
        <v/>
      </c>
      <c r="X461">
        <f>HYPERLINK("https://klasma.github.io/Logging_1491/tillsyn/A 32276-2023 tillsynsbegäran.docx", "A 32276-2023")</f>
        <v/>
      </c>
      <c r="Y461">
        <f>HYPERLINK("https://klasma.github.io/Logging_1491/tillsynsmail/A 32276-2023 tillsynsbegäran mail.docx", "A 32276-2023")</f>
        <v/>
      </c>
    </row>
    <row r="462" ht="15" customHeight="1">
      <c r="A462" t="inlineStr">
        <is>
          <t>A 5095-2024</t>
        </is>
      </c>
      <c r="B462" s="1" t="n">
        <v>45330.36855324074</v>
      </c>
      <c r="C462" s="1" t="n">
        <v>45952</v>
      </c>
      <c r="D462" t="inlineStr">
        <is>
          <t>VÄSTRA GÖTALANDS LÄN</t>
        </is>
      </c>
      <c r="E462" t="inlineStr">
        <is>
          <t>BENGTSFORS</t>
        </is>
      </c>
      <c r="G462" t="n">
        <v>4.7</v>
      </c>
      <c r="H462" t="n">
        <v>1</v>
      </c>
      <c r="I462" t="n">
        <v>0</v>
      </c>
      <c r="J462" t="n">
        <v>0</v>
      </c>
      <c r="K462" t="n">
        <v>0</v>
      </c>
      <c r="L462" t="n">
        <v>0</v>
      </c>
      <c r="M462" t="n">
        <v>0</v>
      </c>
      <c r="N462" t="n">
        <v>0</v>
      </c>
      <c r="O462" t="n">
        <v>0</v>
      </c>
      <c r="P462" t="n">
        <v>0</v>
      </c>
      <c r="Q462" t="n">
        <v>1</v>
      </c>
      <c r="R462" s="2" t="inlineStr">
        <is>
          <t>Blåsippa</t>
        </is>
      </c>
      <c r="S462">
        <f>HYPERLINK("https://klasma.github.io/Logging_1460/artfynd/A 5095-2024 artfynd.xlsx", "A 5095-2024")</f>
        <v/>
      </c>
      <c r="T462">
        <f>HYPERLINK("https://klasma.github.io/Logging_1460/kartor/A 5095-2024 karta.png", "A 5095-2024")</f>
        <v/>
      </c>
      <c r="V462">
        <f>HYPERLINK("https://klasma.github.io/Logging_1460/klagomål/A 5095-2024 FSC-klagomål.docx", "A 5095-2024")</f>
        <v/>
      </c>
      <c r="W462">
        <f>HYPERLINK("https://klasma.github.io/Logging_1460/klagomålsmail/A 5095-2024 FSC-klagomål mail.docx", "A 5095-2024")</f>
        <v/>
      </c>
      <c r="X462">
        <f>HYPERLINK("https://klasma.github.io/Logging_1460/tillsyn/A 5095-2024 tillsynsbegäran.docx", "A 5095-2024")</f>
        <v/>
      </c>
      <c r="Y462">
        <f>HYPERLINK("https://klasma.github.io/Logging_1460/tillsynsmail/A 5095-2024 tillsynsbegäran mail.docx", "A 5095-2024")</f>
        <v/>
      </c>
    </row>
    <row r="463" ht="15" customHeight="1">
      <c r="A463" t="inlineStr">
        <is>
          <t>A 48150-2021</t>
        </is>
      </c>
      <c r="B463" s="1" t="n">
        <v>44449</v>
      </c>
      <c r="C463" s="1" t="n">
        <v>45952</v>
      </c>
      <c r="D463" t="inlineStr">
        <is>
          <t>VÄSTRA GÖTALANDS LÄN</t>
        </is>
      </c>
      <c r="E463" t="inlineStr">
        <is>
          <t>ULRICEHAMN</t>
        </is>
      </c>
      <c r="F463" t="inlineStr">
        <is>
          <t>Sveaskog</t>
        </is>
      </c>
      <c r="G463" t="n">
        <v>0.4</v>
      </c>
      <c r="H463" t="n">
        <v>0</v>
      </c>
      <c r="I463" t="n">
        <v>0</v>
      </c>
      <c r="J463" t="n">
        <v>0</v>
      </c>
      <c r="K463" t="n">
        <v>0</v>
      </c>
      <c r="L463" t="n">
        <v>1</v>
      </c>
      <c r="M463" t="n">
        <v>0</v>
      </c>
      <c r="N463" t="n">
        <v>0</v>
      </c>
      <c r="O463" t="n">
        <v>1</v>
      </c>
      <c r="P463" t="n">
        <v>1</v>
      </c>
      <c r="Q463" t="n">
        <v>1</v>
      </c>
      <c r="R463" s="2" t="inlineStr">
        <is>
          <t>Ask</t>
        </is>
      </c>
      <c r="S463">
        <f>HYPERLINK("https://klasma.github.io/Logging_1491/artfynd/A 48150-2021 artfynd.xlsx", "A 48150-2021")</f>
        <v/>
      </c>
      <c r="T463">
        <f>HYPERLINK("https://klasma.github.io/Logging_1491/kartor/A 48150-2021 karta.png", "A 48150-2021")</f>
        <v/>
      </c>
      <c r="V463">
        <f>HYPERLINK("https://klasma.github.io/Logging_1491/klagomål/A 48150-2021 FSC-klagomål.docx", "A 48150-2021")</f>
        <v/>
      </c>
      <c r="W463">
        <f>HYPERLINK("https://klasma.github.io/Logging_1491/klagomålsmail/A 48150-2021 FSC-klagomål mail.docx", "A 48150-2021")</f>
        <v/>
      </c>
      <c r="X463">
        <f>HYPERLINK("https://klasma.github.io/Logging_1491/tillsyn/A 48150-2021 tillsynsbegäran.docx", "A 48150-2021")</f>
        <v/>
      </c>
      <c r="Y463">
        <f>HYPERLINK("https://klasma.github.io/Logging_1491/tillsynsmail/A 48150-2021 tillsynsbegäran mail.docx", "A 48150-2021")</f>
        <v/>
      </c>
    </row>
    <row r="464" ht="15" customHeight="1">
      <c r="A464" t="inlineStr">
        <is>
          <t>A 30653-2023</t>
        </is>
      </c>
      <c r="B464" s="1" t="n">
        <v>45112</v>
      </c>
      <c r="C464" s="1" t="n">
        <v>45952</v>
      </c>
      <c r="D464" t="inlineStr">
        <is>
          <t>VÄSTRA GÖTALANDS LÄN</t>
        </is>
      </c>
      <c r="E464" t="inlineStr">
        <is>
          <t>BOLLEBYGD</t>
        </is>
      </c>
      <c r="G464" t="n">
        <v>3</v>
      </c>
      <c r="H464" t="n">
        <v>1</v>
      </c>
      <c r="I464" t="n">
        <v>0</v>
      </c>
      <c r="J464" t="n">
        <v>0</v>
      </c>
      <c r="K464" t="n">
        <v>0</v>
      </c>
      <c r="L464" t="n">
        <v>0</v>
      </c>
      <c r="M464" t="n">
        <v>0</v>
      </c>
      <c r="N464" t="n">
        <v>0</v>
      </c>
      <c r="O464" t="n">
        <v>0</v>
      </c>
      <c r="P464" t="n">
        <v>0</v>
      </c>
      <c r="Q464" t="n">
        <v>1</v>
      </c>
      <c r="R464" s="2" t="inlineStr">
        <is>
          <t>Tjäder</t>
        </is>
      </c>
      <c r="S464">
        <f>HYPERLINK("https://klasma.github.io/Logging_1443/artfynd/A 30653-2023 artfynd.xlsx", "A 30653-2023")</f>
        <v/>
      </c>
      <c r="T464">
        <f>HYPERLINK("https://klasma.github.io/Logging_1443/kartor/A 30653-2023 karta.png", "A 30653-2023")</f>
        <v/>
      </c>
      <c r="V464">
        <f>HYPERLINK("https://klasma.github.io/Logging_1443/klagomål/A 30653-2023 FSC-klagomål.docx", "A 30653-2023")</f>
        <v/>
      </c>
      <c r="W464">
        <f>HYPERLINK("https://klasma.github.io/Logging_1443/klagomålsmail/A 30653-2023 FSC-klagomål mail.docx", "A 30653-2023")</f>
        <v/>
      </c>
      <c r="X464">
        <f>HYPERLINK("https://klasma.github.io/Logging_1443/tillsyn/A 30653-2023 tillsynsbegäran.docx", "A 30653-2023")</f>
        <v/>
      </c>
      <c r="Y464">
        <f>HYPERLINK("https://klasma.github.io/Logging_1443/tillsynsmail/A 30653-2023 tillsynsbegäran mail.docx", "A 30653-2023")</f>
        <v/>
      </c>
      <c r="Z464">
        <f>HYPERLINK("https://klasma.github.io/Logging_1443/fåglar/A 30653-2023 prioriterade fågelarter.docx", "A 30653-2023")</f>
        <v/>
      </c>
    </row>
    <row r="465" ht="15" customHeight="1">
      <c r="A465" t="inlineStr">
        <is>
          <t>A 7770-2024</t>
        </is>
      </c>
      <c r="B465" s="1" t="n">
        <v>45348</v>
      </c>
      <c r="C465" s="1" t="n">
        <v>45952</v>
      </c>
      <c r="D465" t="inlineStr">
        <is>
          <t>VÄSTRA GÖTALANDS LÄN</t>
        </is>
      </c>
      <c r="E465" t="inlineStr">
        <is>
          <t>UDDEVALLA</t>
        </is>
      </c>
      <c r="F465" t="inlineStr">
        <is>
          <t>Kyrkan</t>
        </is>
      </c>
      <c r="G465" t="n">
        <v>6.2</v>
      </c>
      <c r="H465" t="n">
        <v>1</v>
      </c>
      <c r="I465" t="n">
        <v>0</v>
      </c>
      <c r="J465" t="n">
        <v>0</v>
      </c>
      <c r="K465" t="n">
        <v>0</v>
      </c>
      <c r="L465" t="n">
        <v>0</v>
      </c>
      <c r="M465" t="n">
        <v>0</v>
      </c>
      <c r="N465" t="n">
        <v>0</v>
      </c>
      <c r="O465" t="n">
        <v>0</v>
      </c>
      <c r="P465" t="n">
        <v>0</v>
      </c>
      <c r="Q465" t="n">
        <v>1</v>
      </c>
      <c r="R465" s="2" t="inlineStr">
        <is>
          <t>Blåsippa</t>
        </is>
      </c>
      <c r="S465">
        <f>HYPERLINK("https://klasma.github.io/Logging_1485/artfynd/A 7770-2024 artfynd.xlsx", "A 7770-2024")</f>
        <v/>
      </c>
      <c r="T465">
        <f>HYPERLINK("https://klasma.github.io/Logging_1485/kartor/A 7770-2024 karta.png", "A 7770-2024")</f>
        <v/>
      </c>
      <c r="V465">
        <f>HYPERLINK("https://klasma.github.io/Logging_1485/klagomål/A 7770-2024 FSC-klagomål.docx", "A 7770-2024")</f>
        <v/>
      </c>
      <c r="W465">
        <f>HYPERLINK("https://klasma.github.io/Logging_1485/klagomålsmail/A 7770-2024 FSC-klagomål mail.docx", "A 7770-2024")</f>
        <v/>
      </c>
      <c r="X465">
        <f>HYPERLINK("https://klasma.github.io/Logging_1485/tillsyn/A 7770-2024 tillsynsbegäran.docx", "A 7770-2024")</f>
        <v/>
      </c>
      <c r="Y465">
        <f>HYPERLINK("https://klasma.github.io/Logging_1485/tillsynsmail/A 7770-2024 tillsynsbegäran mail.docx", "A 7770-2024")</f>
        <v/>
      </c>
    </row>
    <row r="466" ht="15" customHeight="1">
      <c r="A466" t="inlineStr">
        <is>
          <t>A 32284-2023</t>
        </is>
      </c>
      <c r="B466" s="1" t="n">
        <v>45120</v>
      </c>
      <c r="C466" s="1" t="n">
        <v>45952</v>
      </c>
      <c r="D466" t="inlineStr">
        <is>
          <t>VÄSTRA GÖTALANDS LÄN</t>
        </is>
      </c>
      <c r="E466" t="inlineStr">
        <is>
          <t>DALS-ED</t>
        </is>
      </c>
      <c r="G466" t="n">
        <v>3.9</v>
      </c>
      <c r="H466" t="n">
        <v>0</v>
      </c>
      <c r="I466" t="n">
        <v>0</v>
      </c>
      <c r="J466" t="n">
        <v>1</v>
      </c>
      <c r="K466" t="n">
        <v>0</v>
      </c>
      <c r="L466" t="n">
        <v>0</v>
      </c>
      <c r="M466" t="n">
        <v>0</v>
      </c>
      <c r="N466" t="n">
        <v>0</v>
      </c>
      <c r="O466" t="n">
        <v>1</v>
      </c>
      <c r="P466" t="n">
        <v>0</v>
      </c>
      <c r="Q466" t="n">
        <v>1</v>
      </c>
      <c r="R466" s="2" t="inlineStr">
        <is>
          <t>Mindre bastardsvärmare</t>
        </is>
      </c>
      <c r="S466">
        <f>HYPERLINK("https://klasma.github.io/Logging_1438/artfynd/A 32284-2023 artfynd.xlsx", "A 32284-2023")</f>
        <v/>
      </c>
      <c r="T466">
        <f>HYPERLINK("https://klasma.github.io/Logging_1438/kartor/A 32284-2023 karta.png", "A 32284-2023")</f>
        <v/>
      </c>
      <c r="V466">
        <f>HYPERLINK("https://klasma.github.io/Logging_1438/klagomål/A 32284-2023 FSC-klagomål.docx", "A 32284-2023")</f>
        <v/>
      </c>
      <c r="W466">
        <f>HYPERLINK("https://klasma.github.io/Logging_1438/klagomålsmail/A 32284-2023 FSC-klagomål mail.docx", "A 32284-2023")</f>
        <v/>
      </c>
      <c r="X466">
        <f>HYPERLINK("https://klasma.github.io/Logging_1438/tillsyn/A 32284-2023 tillsynsbegäran.docx", "A 32284-2023")</f>
        <v/>
      </c>
      <c r="Y466">
        <f>HYPERLINK("https://klasma.github.io/Logging_1438/tillsynsmail/A 32284-2023 tillsynsbegäran mail.docx", "A 32284-2023")</f>
        <v/>
      </c>
    </row>
    <row r="467" ht="15" customHeight="1">
      <c r="A467" t="inlineStr">
        <is>
          <t>A 10455-2024</t>
        </is>
      </c>
      <c r="B467" s="1" t="n">
        <v>45366</v>
      </c>
      <c r="C467" s="1" t="n">
        <v>45952</v>
      </c>
      <c r="D467" t="inlineStr">
        <is>
          <t>VÄSTRA GÖTALANDS LÄN</t>
        </is>
      </c>
      <c r="E467" t="inlineStr">
        <is>
          <t>FALKÖPING</t>
        </is>
      </c>
      <c r="G467" t="n">
        <v>2.5</v>
      </c>
      <c r="H467" t="n">
        <v>1</v>
      </c>
      <c r="I467" t="n">
        <v>0</v>
      </c>
      <c r="J467" t="n">
        <v>0</v>
      </c>
      <c r="K467" t="n">
        <v>0</v>
      </c>
      <c r="L467" t="n">
        <v>1</v>
      </c>
      <c r="M467" t="n">
        <v>0</v>
      </c>
      <c r="N467" t="n">
        <v>0</v>
      </c>
      <c r="O467" t="n">
        <v>1</v>
      </c>
      <c r="P467" t="n">
        <v>1</v>
      </c>
      <c r="Q467" t="n">
        <v>1</v>
      </c>
      <c r="R467" s="2" t="inlineStr">
        <is>
          <t>Storspov</t>
        </is>
      </c>
      <c r="S467">
        <f>HYPERLINK("https://klasma.github.io/Logging_1499/artfynd/A 10455-2024 artfynd.xlsx", "A 10455-2024")</f>
        <v/>
      </c>
      <c r="T467">
        <f>HYPERLINK("https://klasma.github.io/Logging_1499/kartor/A 10455-2024 karta.png", "A 10455-2024")</f>
        <v/>
      </c>
      <c r="V467">
        <f>HYPERLINK("https://klasma.github.io/Logging_1499/klagomål/A 10455-2024 FSC-klagomål.docx", "A 10455-2024")</f>
        <v/>
      </c>
      <c r="W467">
        <f>HYPERLINK("https://klasma.github.io/Logging_1499/klagomålsmail/A 10455-2024 FSC-klagomål mail.docx", "A 10455-2024")</f>
        <v/>
      </c>
      <c r="X467">
        <f>HYPERLINK("https://klasma.github.io/Logging_1499/tillsyn/A 10455-2024 tillsynsbegäran.docx", "A 10455-2024")</f>
        <v/>
      </c>
      <c r="Y467">
        <f>HYPERLINK("https://klasma.github.io/Logging_1499/tillsynsmail/A 10455-2024 tillsynsbegäran mail.docx", "A 10455-2024")</f>
        <v/>
      </c>
    </row>
    <row r="468" ht="15" customHeight="1">
      <c r="A468" t="inlineStr">
        <is>
          <t>A 50293-2022</t>
        </is>
      </c>
      <c r="B468" s="1" t="n">
        <v>44865</v>
      </c>
      <c r="C468" s="1" t="n">
        <v>45952</v>
      </c>
      <c r="D468" t="inlineStr">
        <is>
          <t>VÄSTRA GÖTALANDS LÄN</t>
        </is>
      </c>
      <c r="E468" t="inlineStr">
        <is>
          <t>TIDAHOLM</t>
        </is>
      </c>
      <c r="G468" t="n">
        <v>3.5</v>
      </c>
      <c r="H468" t="n">
        <v>0</v>
      </c>
      <c r="I468" t="n">
        <v>1</v>
      </c>
      <c r="J468" t="n">
        <v>0</v>
      </c>
      <c r="K468" t="n">
        <v>0</v>
      </c>
      <c r="L468" t="n">
        <v>0</v>
      </c>
      <c r="M468" t="n">
        <v>0</v>
      </c>
      <c r="N468" t="n">
        <v>0</v>
      </c>
      <c r="O468" t="n">
        <v>0</v>
      </c>
      <c r="P468" t="n">
        <v>0</v>
      </c>
      <c r="Q468" t="n">
        <v>1</v>
      </c>
      <c r="R468" s="2" t="inlineStr">
        <is>
          <t>Kambräken</t>
        </is>
      </c>
      <c r="S468">
        <f>HYPERLINK("https://klasma.github.io/Logging_1498/artfynd/A 50293-2022 artfynd.xlsx", "A 50293-2022")</f>
        <v/>
      </c>
      <c r="T468">
        <f>HYPERLINK("https://klasma.github.io/Logging_1498/kartor/A 50293-2022 karta.png", "A 50293-2022")</f>
        <v/>
      </c>
      <c r="V468">
        <f>HYPERLINK("https://klasma.github.io/Logging_1498/klagomål/A 50293-2022 FSC-klagomål.docx", "A 50293-2022")</f>
        <v/>
      </c>
      <c r="W468">
        <f>HYPERLINK("https://klasma.github.io/Logging_1498/klagomålsmail/A 50293-2022 FSC-klagomål mail.docx", "A 50293-2022")</f>
        <v/>
      </c>
      <c r="X468">
        <f>HYPERLINK("https://klasma.github.io/Logging_1498/tillsyn/A 50293-2022 tillsynsbegäran.docx", "A 50293-2022")</f>
        <v/>
      </c>
      <c r="Y468">
        <f>HYPERLINK("https://klasma.github.io/Logging_1498/tillsynsmail/A 50293-2022 tillsynsbegäran mail.docx", "A 50293-2022")</f>
        <v/>
      </c>
    </row>
    <row r="469" ht="15" customHeight="1">
      <c r="A469" t="inlineStr">
        <is>
          <t>A 9504-2024</t>
        </is>
      </c>
      <c r="B469" s="1" t="n">
        <v>45359.61542824074</v>
      </c>
      <c r="C469" s="1" t="n">
        <v>45952</v>
      </c>
      <c r="D469" t="inlineStr">
        <is>
          <t>VÄSTRA GÖTALANDS LÄN</t>
        </is>
      </c>
      <c r="E469" t="inlineStr">
        <is>
          <t>MARK</t>
        </is>
      </c>
      <c r="G469" t="n">
        <v>9.199999999999999</v>
      </c>
      <c r="H469" t="n">
        <v>0</v>
      </c>
      <c r="I469" t="n">
        <v>0</v>
      </c>
      <c r="J469" t="n">
        <v>1</v>
      </c>
      <c r="K469" t="n">
        <v>0</v>
      </c>
      <c r="L469" t="n">
        <v>0</v>
      </c>
      <c r="M469" t="n">
        <v>0</v>
      </c>
      <c r="N469" t="n">
        <v>0</v>
      </c>
      <c r="O469" t="n">
        <v>1</v>
      </c>
      <c r="P469" t="n">
        <v>0</v>
      </c>
      <c r="Q469" t="n">
        <v>1</v>
      </c>
      <c r="R469" s="2" t="inlineStr">
        <is>
          <t>Svävflugedagsvärmare</t>
        </is>
      </c>
      <c r="S469">
        <f>HYPERLINK("https://klasma.github.io/Logging_1463/artfynd/A 9504-2024 artfynd.xlsx", "A 9504-2024")</f>
        <v/>
      </c>
      <c r="T469">
        <f>HYPERLINK("https://klasma.github.io/Logging_1463/kartor/A 9504-2024 karta.png", "A 9504-2024")</f>
        <v/>
      </c>
      <c r="V469">
        <f>HYPERLINK("https://klasma.github.io/Logging_1463/klagomål/A 9504-2024 FSC-klagomål.docx", "A 9504-2024")</f>
        <v/>
      </c>
      <c r="W469">
        <f>HYPERLINK("https://klasma.github.io/Logging_1463/klagomålsmail/A 9504-2024 FSC-klagomål mail.docx", "A 9504-2024")</f>
        <v/>
      </c>
      <c r="X469">
        <f>HYPERLINK("https://klasma.github.io/Logging_1463/tillsyn/A 9504-2024 tillsynsbegäran.docx", "A 9504-2024")</f>
        <v/>
      </c>
      <c r="Y469">
        <f>HYPERLINK("https://klasma.github.io/Logging_1463/tillsynsmail/A 9504-2024 tillsynsbegäran mail.docx", "A 9504-2024")</f>
        <v/>
      </c>
    </row>
    <row r="470" ht="15" customHeight="1">
      <c r="A470" t="inlineStr">
        <is>
          <t>A 9934-2023</t>
        </is>
      </c>
      <c r="B470" s="1" t="n">
        <v>44978</v>
      </c>
      <c r="C470" s="1" t="n">
        <v>45952</v>
      </c>
      <c r="D470" t="inlineStr">
        <is>
          <t>VÄSTRA GÖTALANDS LÄN</t>
        </is>
      </c>
      <c r="E470" t="inlineStr">
        <is>
          <t>MUNKEDAL</t>
        </is>
      </c>
      <c r="G470" t="n">
        <v>2</v>
      </c>
      <c r="H470" t="n">
        <v>1</v>
      </c>
      <c r="I470" t="n">
        <v>0</v>
      </c>
      <c r="J470" t="n">
        <v>1</v>
      </c>
      <c r="K470" t="n">
        <v>0</v>
      </c>
      <c r="L470" t="n">
        <v>0</v>
      </c>
      <c r="M470" t="n">
        <v>0</v>
      </c>
      <c r="N470" t="n">
        <v>0</v>
      </c>
      <c r="O470" t="n">
        <v>1</v>
      </c>
      <c r="P470" t="n">
        <v>0</v>
      </c>
      <c r="Q470" t="n">
        <v>1</v>
      </c>
      <c r="R470" s="2" t="inlineStr">
        <is>
          <t>Spillkråka</t>
        </is>
      </c>
      <c r="S470">
        <f>HYPERLINK("https://klasma.github.io/Logging_1430/artfynd/A 9934-2023 artfynd.xlsx", "A 9934-2023")</f>
        <v/>
      </c>
      <c r="T470">
        <f>HYPERLINK("https://klasma.github.io/Logging_1430/kartor/A 9934-2023 karta.png", "A 9934-2023")</f>
        <v/>
      </c>
      <c r="V470">
        <f>HYPERLINK("https://klasma.github.io/Logging_1430/klagomål/A 9934-2023 FSC-klagomål.docx", "A 9934-2023")</f>
        <v/>
      </c>
      <c r="W470">
        <f>HYPERLINK("https://klasma.github.io/Logging_1430/klagomålsmail/A 9934-2023 FSC-klagomål mail.docx", "A 9934-2023")</f>
        <v/>
      </c>
      <c r="X470">
        <f>HYPERLINK("https://klasma.github.io/Logging_1430/tillsyn/A 9934-2023 tillsynsbegäran.docx", "A 9934-2023")</f>
        <v/>
      </c>
      <c r="Y470">
        <f>HYPERLINK("https://klasma.github.io/Logging_1430/tillsynsmail/A 9934-2023 tillsynsbegäran mail.docx", "A 9934-2023")</f>
        <v/>
      </c>
      <c r="Z470">
        <f>HYPERLINK("https://klasma.github.io/Logging_1430/fåglar/A 9934-2023 prioriterade fågelarter.docx", "A 9934-2023")</f>
        <v/>
      </c>
    </row>
    <row r="471" ht="15" customHeight="1">
      <c r="A471" t="inlineStr">
        <is>
          <t>A 8098-2022</t>
        </is>
      </c>
      <c r="B471" s="1" t="n">
        <v>44609</v>
      </c>
      <c r="C471" s="1" t="n">
        <v>45952</v>
      </c>
      <c r="D471" t="inlineStr">
        <is>
          <t>VÄSTRA GÖTALANDS LÄN</t>
        </is>
      </c>
      <c r="E471" t="inlineStr">
        <is>
          <t>TRANEMO</t>
        </is>
      </c>
      <c r="F471" t="inlineStr">
        <is>
          <t>Kommuner</t>
        </is>
      </c>
      <c r="G471" t="n">
        <v>5.3</v>
      </c>
      <c r="H471" t="n">
        <v>0</v>
      </c>
      <c r="I471" t="n">
        <v>0</v>
      </c>
      <c r="J471" t="n">
        <v>1</v>
      </c>
      <c r="K471" t="n">
        <v>0</v>
      </c>
      <c r="L471" t="n">
        <v>0</v>
      </c>
      <c r="M471" t="n">
        <v>0</v>
      </c>
      <c r="N471" t="n">
        <v>0</v>
      </c>
      <c r="O471" t="n">
        <v>1</v>
      </c>
      <c r="P471" t="n">
        <v>0</v>
      </c>
      <c r="Q471" t="n">
        <v>1</v>
      </c>
      <c r="R471" s="2" t="inlineStr">
        <is>
          <t>Brunpudrad nållav</t>
        </is>
      </c>
      <c r="S471">
        <f>HYPERLINK("https://klasma.github.io/Logging_1452/artfynd/A 8098-2022 artfynd.xlsx", "A 8098-2022")</f>
        <v/>
      </c>
      <c r="T471">
        <f>HYPERLINK("https://klasma.github.io/Logging_1452/kartor/A 8098-2022 karta.png", "A 8098-2022")</f>
        <v/>
      </c>
      <c r="V471">
        <f>HYPERLINK("https://klasma.github.io/Logging_1452/klagomål/A 8098-2022 FSC-klagomål.docx", "A 8098-2022")</f>
        <v/>
      </c>
      <c r="W471">
        <f>HYPERLINK("https://klasma.github.io/Logging_1452/klagomålsmail/A 8098-2022 FSC-klagomål mail.docx", "A 8098-2022")</f>
        <v/>
      </c>
      <c r="X471">
        <f>HYPERLINK("https://klasma.github.io/Logging_1452/tillsyn/A 8098-2022 tillsynsbegäran.docx", "A 8098-2022")</f>
        <v/>
      </c>
      <c r="Y471">
        <f>HYPERLINK("https://klasma.github.io/Logging_1452/tillsynsmail/A 8098-2022 tillsynsbegäran mail.docx", "A 8098-2022")</f>
        <v/>
      </c>
    </row>
    <row r="472" ht="15" customHeight="1">
      <c r="A472" t="inlineStr">
        <is>
          <t>A 43202-2024</t>
        </is>
      </c>
      <c r="B472" s="1" t="n">
        <v>45567.69123842593</v>
      </c>
      <c r="C472" s="1" t="n">
        <v>45952</v>
      </c>
      <c r="D472" t="inlineStr">
        <is>
          <t>VÄSTRA GÖTALANDS LÄN</t>
        </is>
      </c>
      <c r="E472" t="inlineStr">
        <is>
          <t>HÄRRYDA</t>
        </is>
      </c>
      <c r="G472" t="n">
        <v>5.3</v>
      </c>
      <c r="H472" t="n">
        <v>0</v>
      </c>
      <c r="I472" t="n">
        <v>1</v>
      </c>
      <c r="J472" t="n">
        <v>0</v>
      </c>
      <c r="K472" t="n">
        <v>0</v>
      </c>
      <c r="L472" t="n">
        <v>0</v>
      </c>
      <c r="M472" t="n">
        <v>0</v>
      </c>
      <c r="N472" t="n">
        <v>0</v>
      </c>
      <c r="O472" t="n">
        <v>0</v>
      </c>
      <c r="P472" t="n">
        <v>0</v>
      </c>
      <c r="Q472" t="n">
        <v>1</v>
      </c>
      <c r="R472" s="2" t="inlineStr">
        <is>
          <t>Havstulpanlav</t>
        </is>
      </c>
      <c r="S472">
        <f>HYPERLINK("https://klasma.github.io/Logging_1401/artfynd/A 43202-2024 artfynd.xlsx", "A 43202-2024")</f>
        <v/>
      </c>
      <c r="T472">
        <f>HYPERLINK("https://klasma.github.io/Logging_1401/kartor/A 43202-2024 karta.png", "A 43202-2024")</f>
        <v/>
      </c>
      <c r="V472">
        <f>HYPERLINK("https://klasma.github.io/Logging_1401/klagomål/A 43202-2024 FSC-klagomål.docx", "A 43202-2024")</f>
        <v/>
      </c>
      <c r="W472">
        <f>HYPERLINK("https://klasma.github.io/Logging_1401/klagomålsmail/A 43202-2024 FSC-klagomål mail.docx", "A 43202-2024")</f>
        <v/>
      </c>
      <c r="X472">
        <f>HYPERLINK("https://klasma.github.io/Logging_1401/tillsyn/A 43202-2024 tillsynsbegäran.docx", "A 43202-2024")</f>
        <v/>
      </c>
      <c r="Y472">
        <f>HYPERLINK("https://klasma.github.io/Logging_1401/tillsynsmail/A 43202-2024 tillsynsbegäran mail.docx", "A 43202-2024")</f>
        <v/>
      </c>
    </row>
    <row r="473" ht="15" customHeight="1">
      <c r="A473" t="inlineStr">
        <is>
          <t>A 5634-2025</t>
        </is>
      </c>
      <c r="B473" s="1" t="n">
        <v>45693.6689699074</v>
      </c>
      <c r="C473" s="1" t="n">
        <v>45952</v>
      </c>
      <c r="D473" t="inlineStr">
        <is>
          <t>VÄSTRA GÖTALANDS LÄN</t>
        </is>
      </c>
      <c r="E473" t="inlineStr">
        <is>
          <t>ORUST</t>
        </is>
      </c>
      <c r="G473" t="n">
        <v>3.1</v>
      </c>
      <c r="H473" t="n">
        <v>1</v>
      </c>
      <c r="I473" t="n">
        <v>0</v>
      </c>
      <c r="J473" t="n">
        <v>0</v>
      </c>
      <c r="K473" t="n">
        <v>1</v>
      </c>
      <c r="L473" t="n">
        <v>0</v>
      </c>
      <c r="M473" t="n">
        <v>0</v>
      </c>
      <c r="N473" t="n">
        <v>0</v>
      </c>
      <c r="O473" t="n">
        <v>1</v>
      </c>
      <c r="P473" t="n">
        <v>1</v>
      </c>
      <c r="Q473" t="n">
        <v>1</v>
      </c>
      <c r="R473" s="2" t="inlineStr">
        <is>
          <t>Knärot</t>
        </is>
      </c>
      <c r="S473">
        <f>HYPERLINK("https://klasma.github.io/Logging_1421/artfynd/A 5634-2025 artfynd.xlsx", "A 5634-2025")</f>
        <v/>
      </c>
      <c r="T473">
        <f>HYPERLINK("https://klasma.github.io/Logging_1421/kartor/A 5634-2025 karta.png", "A 5634-2025")</f>
        <v/>
      </c>
      <c r="U473">
        <f>HYPERLINK("https://klasma.github.io/Logging_1421/knärot/A 5634-2025 karta knärot.png", "A 5634-2025")</f>
        <v/>
      </c>
      <c r="V473">
        <f>HYPERLINK("https://klasma.github.io/Logging_1421/klagomål/A 5634-2025 FSC-klagomål.docx", "A 5634-2025")</f>
        <v/>
      </c>
      <c r="W473">
        <f>HYPERLINK("https://klasma.github.io/Logging_1421/klagomålsmail/A 5634-2025 FSC-klagomål mail.docx", "A 5634-2025")</f>
        <v/>
      </c>
      <c r="X473">
        <f>HYPERLINK("https://klasma.github.io/Logging_1421/tillsyn/A 5634-2025 tillsynsbegäran.docx", "A 5634-2025")</f>
        <v/>
      </c>
      <c r="Y473">
        <f>HYPERLINK("https://klasma.github.io/Logging_1421/tillsynsmail/A 5634-2025 tillsynsbegäran mail.docx", "A 5634-2025")</f>
        <v/>
      </c>
    </row>
    <row r="474" ht="15" customHeight="1">
      <c r="A474" t="inlineStr">
        <is>
          <t>A 58632-2024</t>
        </is>
      </c>
      <c r="B474" s="1" t="n">
        <v>45635.57728009259</v>
      </c>
      <c r="C474" s="1" t="n">
        <v>45952</v>
      </c>
      <c r="D474" t="inlineStr">
        <is>
          <t>VÄSTRA GÖTALANDS LÄN</t>
        </is>
      </c>
      <c r="E474" t="inlineStr">
        <is>
          <t>ÅMÅL</t>
        </is>
      </c>
      <c r="G474" t="n">
        <v>1.9</v>
      </c>
      <c r="H474" t="n">
        <v>1</v>
      </c>
      <c r="I474" t="n">
        <v>1</v>
      </c>
      <c r="J474" t="n">
        <v>0</v>
      </c>
      <c r="K474" t="n">
        <v>0</v>
      </c>
      <c r="L474" t="n">
        <v>0</v>
      </c>
      <c r="M474" t="n">
        <v>0</v>
      </c>
      <c r="N474" t="n">
        <v>0</v>
      </c>
      <c r="O474" t="n">
        <v>0</v>
      </c>
      <c r="P474" t="n">
        <v>0</v>
      </c>
      <c r="Q474" t="n">
        <v>1</v>
      </c>
      <c r="R474" s="2" t="inlineStr">
        <is>
          <t>Skogsknipprot</t>
        </is>
      </c>
      <c r="S474">
        <f>HYPERLINK("https://klasma.github.io/Logging_1492/artfynd/A 58632-2024 artfynd.xlsx", "A 58632-2024")</f>
        <v/>
      </c>
      <c r="T474">
        <f>HYPERLINK("https://klasma.github.io/Logging_1492/kartor/A 58632-2024 karta.png", "A 58632-2024")</f>
        <v/>
      </c>
      <c r="V474">
        <f>HYPERLINK("https://klasma.github.io/Logging_1492/klagomål/A 58632-2024 FSC-klagomål.docx", "A 58632-2024")</f>
        <v/>
      </c>
      <c r="W474">
        <f>HYPERLINK("https://klasma.github.io/Logging_1492/klagomålsmail/A 58632-2024 FSC-klagomål mail.docx", "A 58632-2024")</f>
        <v/>
      </c>
      <c r="X474">
        <f>HYPERLINK("https://klasma.github.io/Logging_1492/tillsyn/A 58632-2024 tillsynsbegäran.docx", "A 58632-2024")</f>
        <v/>
      </c>
      <c r="Y474">
        <f>HYPERLINK("https://klasma.github.io/Logging_1492/tillsynsmail/A 58632-2024 tillsynsbegäran mail.docx", "A 58632-2024")</f>
        <v/>
      </c>
    </row>
    <row r="475" ht="15" customHeight="1">
      <c r="A475" t="inlineStr">
        <is>
          <t>A 10602-2023</t>
        </is>
      </c>
      <c r="B475" s="1" t="n">
        <v>44988.39806712963</v>
      </c>
      <c r="C475" s="1" t="n">
        <v>45952</v>
      </c>
      <c r="D475" t="inlineStr">
        <is>
          <t>VÄSTRA GÖTALANDS LÄN</t>
        </is>
      </c>
      <c r="E475" t="inlineStr">
        <is>
          <t>SKÖVDE</t>
        </is>
      </c>
      <c r="G475" t="n">
        <v>0.8</v>
      </c>
      <c r="H475" t="n">
        <v>0</v>
      </c>
      <c r="I475" t="n">
        <v>0</v>
      </c>
      <c r="J475" t="n">
        <v>0</v>
      </c>
      <c r="K475" t="n">
        <v>0</v>
      </c>
      <c r="L475" t="n">
        <v>1</v>
      </c>
      <c r="M475" t="n">
        <v>0</v>
      </c>
      <c r="N475" t="n">
        <v>0</v>
      </c>
      <c r="O475" t="n">
        <v>1</v>
      </c>
      <c r="P475" t="n">
        <v>1</v>
      </c>
      <c r="Q475" t="n">
        <v>1</v>
      </c>
      <c r="R475" s="2" t="inlineStr">
        <is>
          <t>Ask</t>
        </is>
      </c>
      <c r="S475">
        <f>HYPERLINK("https://klasma.github.io/Logging_1496/artfynd/A 10602-2023 artfynd.xlsx", "A 10602-2023")</f>
        <v/>
      </c>
      <c r="T475">
        <f>HYPERLINK("https://klasma.github.io/Logging_1496/kartor/A 10602-2023 karta.png", "A 10602-2023")</f>
        <v/>
      </c>
      <c r="V475">
        <f>HYPERLINK("https://klasma.github.io/Logging_1496/klagomål/A 10602-2023 FSC-klagomål.docx", "A 10602-2023")</f>
        <v/>
      </c>
      <c r="W475">
        <f>HYPERLINK("https://klasma.github.io/Logging_1496/klagomålsmail/A 10602-2023 FSC-klagomål mail.docx", "A 10602-2023")</f>
        <v/>
      </c>
      <c r="X475">
        <f>HYPERLINK("https://klasma.github.io/Logging_1496/tillsyn/A 10602-2023 tillsynsbegäran.docx", "A 10602-2023")</f>
        <v/>
      </c>
      <c r="Y475">
        <f>HYPERLINK("https://klasma.github.io/Logging_1496/tillsynsmail/A 10602-2023 tillsynsbegäran mail.docx", "A 10602-2023")</f>
        <v/>
      </c>
    </row>
    <row r="476" ht="15" customHeight="1">
      <c r="A476" t="inlineStr">
        <is>
          <t>A 17546-2021</t>
        </is>
      </c>
      <c r="B476" s="1" t="n">
        <v>44299</v>
      </c>
      <c r="C476" s="1" t="n">
        <v>45952</v>
      </c>
      <c r="D476" t="inlineStr">
        <is>
          <t>VÄSTRA GÖTALANDS LÄN</t>
        </is>
      </c>
      <c r="E476" t="inlineStr">
        <is>
          <t>SKARA</t>
        </is>
      </c>
      <c r="G476" t="n">
        <v>5.2</v>
      </c>
      <c r="H476" t="n">
        <v>0</v>
      </c>
      <c r="I476" t="n">
        <v>1</v>
      </c>
      <c r="J476" t="n">
        <v>0</v>
      </c>
      <c r="K476" t="n">
        <v>0</v>
      </c>
      <c r="L476" t="n">
        <v>0</v>
      </c>
      <c r="M476" t="n">
        <v>0</v>
      </c>
      <c r="N476" t="n">
        <v>0</v>
      </c>
      <c r="O476" t="n">
        <v>0</v>
      </c>
      <c r="P476" t="n">
        <v>0</v>
      </c>
      <c r="Q476" t="n">
        <v>1</v>
      </c>
      <c r="R476" s="2" t="inlineStr">
        <is>
          <t>Blomkålssvamp</t>
        </is>
      </c>
      <c r="S476">
        <f>HYPERLINK("https://klasma.github.io/Logging_1495/artfynd/A 17546-2021 artfynd.xlsx", "A 17546-2021")</f>
        <v/>
      </c>
      <c r="T476">
        <f>HYPERLINK("https://klasma.github.io/Logging_1495/kartor/A 17546-2021 karta.png", "A 17546-2021")</f>
        <v/>
      </c>
      <c r="V476">
        <f>HYPERLINK("https://klasma.github.io/Logging_1495/klagomål/A 17546-2021 FSC-klagomål.docx", "A 17546-2021")</f>
        <v/>
      </c>
      <c r="W476">
        <f>HYPERLINK("https://klasma.github.io/Logging_1495/klagomålsmail/A 17546-2021 FSC-klagomål mail.docx", "A 17546-2021")</f>
        <v/>
      </c>
      <c r="X476">
        <f>HYPERLINK("https://klasma.github.io/Logging_1495/tillsyn/A 17546-2021 tillsynsbegäran.docx", "A 17546-2021")</f>
        <v/>
      </c>
      <c r="Y476">
        <f>HYPERLINK("https://klasma.github.io/Logging_1495/tillsynsmail/A 17546-2021 tillsynsbegäran mail.docx", "A 17546-2021")</f>
        <v/>
      </c>
    </row>
    <row r="477" ht="15" customHeight="1">
      <c r="A477" t="inlineStr">
        <is>
          <t>A 62043-2024</t>
        </is>
      </c>
      <c r="B477" s="1" t="n">
        <v>45656.35826388889</v>
      </c>
      <c r="C477" s="1" t="n">
        <v>45952</v>
      </c>
      <c r="D477" t="inlineStr">
        <is>
          <t>VÄSTRA GÖTALANDS LÄN</t>
        </is>
      </c>
      <c r="E477" t="inlineStr">
        <is>
          <t>UDDEVALLA</t>
        </is>
      </c>
      <c r="F477" t="inlineStr">
        <is>
          <t>Kommuner</t>
        </is>
      </c>
      <c r="G477" t="n">
        <v>2.7</v>
      </c>
      <c r="H477" t="n">
        <v>1</v>
      </c>
      <c r="I477" t="n">
        <v>0</v>
      </c>
      <c r="J477" t="n">
        <v>1</v>
      </c>
      <c r="K477" t="n">
        <v>0</v>
      </c>
      <c r="L477" t="n">
        <v>0</v>
      </c>
      <c r="M477" t="n">
        <v>0</v>
      </c>
      <c r="N477" t="n">
        <v>0</v>
      </c>
      <c r="O477" t="n">
        <v>1</v>
      </c>
      <c r="P477" t="n">
        <v>0</v>
      </c>
      <c r="Q477" t="n">
        <v>1</v>
      </c>
      <c r="R477" s="2" t="inlineStr">
        <is>
          <t>Spillkråka</t>
        </is>
      </c>
      <c r="S477">
        <f>HYPERLINK("https://klasma.github.io/Logging_1485/artfynd/A 62043-2024 artfynd.xlsx", "A 62043-2024")</f>
        <v/>
      </c>
      <c r="T477">
        <f>HYPERLINK("https://klasma.github.io/Logging_1485/kartor/A 62043-2024 karta.png", "A 62043-2024")</f>
        <v/>
      </c>
      <c r="V477">
        <f>HYPERLINK("https://klasma.github.io/Logging_1485/klagomål/A 62043-2024 FSC-klagomål.docx", "A 62043-2024")</f>
        <v/>
      </c>
      <c r="W477">
        <f>HYPERLINK("https://klasma.github.io/Logging_1485/klagomålsmail/A 62043-2024 FSC-klagomål mail.docx", "A 62043-2024")</f>
        <v/>
      </c>
      <c r="X477">
        <f>HYPERLINK("https://klasma.github.io/Logging_1485/tillsyn/A 62043-2024 tillsynsbegäran.docx", "A 62043-2024")</f>
        <v/>
      </c>
      <c r="Y477">
        <f>HYPERLINK("https://klasma.github.io/Logging_1485/tillsynsmail/A 62043-2024 tillsynsbegäran mail.docx", "A 62043-2024")</f>
        <v/>
      </c>
      <c r="Z477">
        <f>HYPERLINK("https://klasma.github.io/Logging_1485/fåglar/A 62043-2024 prioriterade fågelarter.docx", "A 62043-2024")</f>
        <v/>
      </c>
    </row>
    <row r="478" ht="15" customHeight="1">
      <c r="A478" t="inlineStr">
        <is>
          <t>A 54358-2024</t>
        </is>
      </c>
      <c r="B478" s="1" t="n">
        <v>45617.40755787037</v>
      </c>
      <c r="C478" s="1" t="n">
        <v>45952</v>
      </c>
      <c r="D478" t="inlineStr">
        <is>
          <t>VÄSTRA GÖTALANDS LÄN</t>
        </is>
      </c>
      <c r="E478" t="inlineStr">
        <is>
          <t>LILLA EDET</t>
        </is>
      </c>
      <c r="G478" t="n">
        <v>3</v>
      </c>
      <c r="H478" t="n">
        <v>1</v>
      </c>
      <c r="I478" t="n">
        <v>0</v>
      </c>
      <c r="J478" t="n">
        <v>0</v>
      </c>
      <c r="K478" t="n">
        <v>0</v>
      </c>
      <c r="L478" t="n">
        <v>0</v>
      </c>
      <c r="M478" t="n">
        <v>0</v>
      </c>
      <c r="N478" t="n">
        <v>0</v>
      </c>
      <c r="O478" t="n">
        <v>0</v>
      </c>
      <c r="P478" t="n">
        <v>0</v>
      </c>
      <c r="Q478" t="n">
        <v>1</v>
      </c>
      <c r="R478" s="2" t="inlineStr">
        <is>
          <t>Mattlummer</t>
        </is>
      </c>
      <c r="S478">
        <f>HYPERLINK("https://klasma.github.io/Logging_1462/artfynd/A 54358-2024 artfynd.xlsx", "A 54358-2024")</f>
        <v/>
      </c>
      <c r="T478">
        <f>HYPERLINK("https://klasma.github.io/Logging_1462/kartor/A 54358-2024 karta.png", "A 54358-2024")</f>
        <v/>
      </c>
      <c r="V478">
        <f>HYPERLINK("https://klasma.github.io/Logging_1462/klagomål/A 54358-2024 FSC-klagomål.docx", "A 54358-2024")</f>
        <v/>
      </c>
      <c r="W478">
        <f>HYPERLINK("https://klasma.github.io/Logging_1462/klagomålsmail/A 54358-2024 FSC-klagomål mail.docx", "A 54358-2024")</f>
        <v/>
      </c>
      <c r="X478">
        <f>HYPERLINK("https://klasma.github.io/Logging_1462/tillsyn/A 54358-2024 tillsynsbegäran.docx", "A 54358-2024")</f>
        <v/>
      </c>
      <c r="Y478">
        <f>HYPERLINK("https://klasma.github.io/Logging_1462/tillsynsmail/A 54358-2024 tillsynsbegäran mail.docx", "A 54358-2024")</f>
        <v/>
      </c>
    </row>
    <row r="479" ht="15" customHeight="1">
      <c r="A479" t="inlineStr">
        <is>
          <t>A 100-2023</t>
        </is>
      </c>
      <c r="B479" s="1" t="n">
        <v>44928</v>
      </c>
      <c r="C479" s="1" t="n">
        <v>45952</v>
      </c>
      <c r="D479" t="inlineStr">
        <is>
          <t>VÄSTRA GÖTALANDS LÄN</t>
        </is>
      </c>
      <c r="E479" t="inlineStr">
        <is>
          <t>SKÖVDE</t>
        </is>
      </c>
      <c r="F479" t="inlineStr">
        <is>
          <t>Kommuner</t>
        </is>
      </c>
      <c r="G479" t="n">
        <v>1.4</v>
      </c>
      <c r="H479" t="n">
        <v>0</v>
      </c>
      <c r="I479" t="n">
        <v>0</v>
      </c>
      <c r="J479" t="n">
        <v>1</v>
      </c>
      <c r="K479" t="n">
        <v>0</v>
      </c>
      <c r="L479" t="n">
        <v>0</v>
      </c>
      <c r="M479" t="n">
        <v>0</v>
      </c>
      <c r="N479" t="n">
        <v>0</v>
      </c>
      <c r="O479" t="n">
        <v>1</v>
      </c>
      <c r="P479" t="n">
        <v>0</v>
      </c>
      <c r="Q479" t="n">
        <v>1</v>
      </c>
      <c r="R479" s="2" t="inlineStr">
        <is>
          <t>Borsttåg</t>
        </is>
      </c>
      <c r="S479">
        <f>HYPERLINK("https://klasma.github.io/Logging_1496/artfynd/A 100-2023 artfynd.xlsx", "A 100-2023")</f>
        <v/>
      </c>
      <c r="T479">
        <f>HYPERLINK("https://klasma.github.io/Logging_1496/kartor/A 100-2023 karta.png", "A 100-2023")</f>
        <v/>
      </c>
      <c r="V479">
        <f>HYPERLINK("https://klasma.github.io/Logging_1496/klagomål/A 100-2023 FSC-klagomål.docx", "A 100-2023")</f>
        <v/>
      </c>
      <c r="W479">
        <f>HYPERLINK("https://klasma.github.io/Logging_1496/klagomålsmail/A 100-2023 FSC-klagomål mail.docx", "A 100-2023")</f>
        <v/>
      </c>
      <c r="X479">
        <f>HYPERLINK("https://klasma.github.io/Logging_1496/tillsyn/A 100-2023 tillsynsbegäran.docx", "A 100-2023")</f>
        <v/>
      </c>
      <c r="Y479">
        <f>HYPERLINK("https://klasma.github.io/Logging_1496/tillsynsmail/A 100-2023 tillsynsbegäran mail.docx", "A 100-2023")</f>
        <v/>
      </c>
    </row>
    <row r="480" ht="15" customHeight="1">
      <c r="A480" t="inlineStr">
        <is>
          <t>A 61742-2023</t>
        </is>
      </c>
      <c r="B480" s="1" t="n">
        <v>45265</v>
      </c>
      <c r="C480" s="1" t="n">
        <v>45952</v>
      </c>
      <c r="D480" t="inlineStr">
        <is>
          <t>VÄSTRA GÖTALANDS LÄN</t>
        </is>
      </c>
      <c r="E480" t="inlineStr">
        <is>
          <t>DALS-ED</t>
        </is>
      </c>
      <c r="G480" t="n">
        <v>0.6</v>
      </c>
      <c r="H480" t="n">
        <v>0</v>
      </c>
      <c r="I480" t="n">
        <v>1</v>
      </c>
      <c r="J480" t="n">
        <v>0</v>
      </c>
      <c r="K480" t="n">
        <v>0</v>
      </c>
      <c r="L480" t="n">
        <v>0</v>
      </c>
      <c r="M480" t="n">
        <v>0</v>
      </c>
      <c r="N480" t="n">
        <v>0</v>
      </c>
      <c r="O480" t="n">
        <v>0</v>
      </c>
      <c r="P480" t="n">
        <v>0</v>
      </c>
      <c r="Q480" t="n">
        <v>1</v>
      </c>
      <c r="R480" s="2" t="inlineStr">
        <is>
          <t>Björksplintborre</t>
        </is>
      </c>
      <c r="S480">
        <f>HYPERLINK("https://klasma.github.io/Logging_1438/artfynd/A 61742-2023 artfynd.xlsx", "A 61742-2023")</f>
        <v/>
      </c>
      <c r="T480">
        <f>HYPERLINK("https://klasma.github.io/Logging_1438/kartor/A 61742-2023 karta.png", "A 61742-2023")</f>
        <v/>
      </c>
      <c r="V480">
        <f>HYPERLINK("https://klasma.github.io/Logging_1438/klagomål/A 61742-2023 FSC-klagomål.docx", "A 61742-2023")</f>
        <v/>
      </c>
      <c r="W480">
        <f>HYPERLINK("https://klasma.github.io/Logging_1438/klagomålsmail/A 61742-2023 FSC-klagomål mail.docx", "A 61742-2023")</f>
        <v/>
      </c>
      <c r="X480">
        <f>HYPERLINK("https://klasma.github.io/Logging_1438/tillsyn/A 61742-2023 tillsynsbegäran.docx", "A 61742-2023")</f>
        <v/>
      </c>
      <c r="Y480">
        <f>HYPERLINK("https://klasma.github.io/Logging_1438/tillsynsmail/A 61742-2023 tillsynsbegäran mail.docx", "A 61742-2023")</f>
        <v/>
      </c>
    </row>
    <row r="481" ht="15" customHeight="1">
      <c r="A481" t="inlineStr">
        <is>
          <t>A 42900-2024</t>
        </is>
      </c>
      <c r="B481" s="1" t="n">
        <v>45566.86297453703</v>
      </c>
      <c r="C481" s="1" t="n">
        <v>45952</v>
      </c>
      <c r="D481" t="inlineStr">
        <is>
          <t>VÄSTRA GÖTALANDS LÄN</t>
        </is>
      </c>
      <c r="E481" t="inlineStr">
        <is>
          <t>SVENLJUNGA</t>
        </is>
      </c>
      <c r="G481" t="n">
        <v>4.6</v>
      </c>
      <c r="H481" t="n">
        <v>1</v>
      </c>
      <c r="I481" t="n">
        <v>0</v>
      </c>
      <c r="J481" t="n">
        <v>0</v>
      </c>
      <c r="K481" t="n">
        <v>0</v>
      </c>
      <c r="L481" t="n">
        <v>0</v>
      </c>
      <c r="M481" t="n">
        <v>0</v>
      </c>
      <c r="N481" t="n">
        <v>0</v>
      </c>
      <c r="O481" t="n">
        <v>0</v>
      </c>
      <c r="P481" t="n">
        <v>0</v>
      </c>
      <c r="Q481" t="n">
        <v>1</v>
      </c>
      <c r="R481" s="2" t="inlineStr">
        <is>
          <t>Mattlummer</t>
        </is>
      </c>
      <c r="S481">
        <f>HYPERLINK("https://klasma.github.io/Logging_1465/artfynd/A 42900-2024 artfynd.xlsx", "A 42900-2024")</f>
        <v/>
      </c>
      <c r="T481">
        <f>HYPERLINK("https://klasma.github.io/Logging_1465/kartor/A 42900-2024 karta.png", "A 42900-2024")</f>
        <v/>
      </c>
      <c r="V481">
        <f>HYPERLINK("https://klasma.github.io/Logging_1465/klagomål/A 42900-2024 FSC-klagomål.docx", "A 42900-2024")</f>
        <v/>
      </c>
      <c r="W481">
        <f>HYPERLINK("https://klasma.github.io/Logging_1465/klagomålsmail/A 42900-2024 FSC-klagomål mail.docx", "A 42900-2024")</f>
        <v/>
      </c>
      <c r="X481">
        <f>HYPERLINK("https://klasma.github.io/Logging_1465/tillsyn/A 42900-2024 tillsynsbegäran.docx", "A 42900-2024")</f>
        <v/>
      </c>
      <c r="Y481">
        <f>HYPERLINK("https://klasma.github.io/Logging_1465/tillsynsmail/A 42900-2024 tillsynsbegäran mail.docx", "A 42900-2024")</f>
        <v/>
      </c>
    </row>
    <row r="482" ht="15" customHeight="1">
      <c r="A482" t="inlineStr">
        <is>
          <t>A 5086-2024</t>
        </is>
      </c>
      <c r="B482" s="1" t="n">
        <v>45330</v>
      </c>
      <c r="C482" s="1" t="n">
        <v>45952</v>
      </c>
      <c r="D482" t="inlineStr">
        <is>
          <t>VÄSTRA GÖTALANDS LÄN</t>
        </is>
      </c>
      <c r="E482" t="inlineStr">
        <is>
          <t>GÖTENE</t>
        </is>
      </c>
      <c r="G482" t="n">
        <v>4.5</v>
      </c>
      <c r="H482" t="n">
        <v>0</v>
      </c>
      <c r="I482" t="n">
        <v>1</v>
      </c>
      <c r="J482" t="n">
        <v>0</v>
      </c>
      <c r="K482" t="n">
        <v>0</v>
      </c>
      <c r="L482" t="n">
        <v>0</v>
      </c>
      <c r="M482" t="n">
        <v>0</v>
      </c>
      <c r="N482" t="n">
        <v>0</v>
      </c>
      <c r="O482" t="n">
        <v>0</v>
      </c>
      <c r="P482" t="n">
        <v>0</v>
      </c>
      <c r="Q482" t="n">
        <v>1</v>
      </c>
      <c r="R482" s="2" t="inlineStr">
        <is>
          <t>Strävlosta</t>
        </is>
      </c>
      <c r="S482">
        <f>HYPERLINK("https://klasma.github.io/Logging_1471/artfynd/A 5086-2024 artfynd.xlsx", "A 5086-2024")</f>
        <v/>
      </c>
      <c r="T482">
        <f>HYPERLINK("https://klasma.github.io/Logging_1471/kartor/A 5086-2024 karta.png", "A 5086-2024")</f>
        <v/>
      </c>
      <c r="V482">
        <f>HYPERLINK("https://klasma.github.io/Logging_1471/klagomål/A 5086-2024 FSC-klagomål.docx", "A 5086-2024")</f>
        <v/>
      </c>
      <c r="W482">
        <f>HYPERLINK("https://klasma.github.io/Logging_1471/klagomålsmail/A 5086-2024 FSC-klagomål mail.docx", "A 5086-2024")</f>
        <v/>
      </c>
      <c r="X482">
        <f>HYPERLINK("https://klasma.github.io/Logging_1471/tillsyn/A 5086-2024 tillsynsbegäran.docx", "A 5086-2024")</f>
        <v/>
      </c>
      <c r="Y482">
        <f>HYPERLINK("https://klasma.github.io/Logging_1471/tillsynsmail/A 5086-2024 tillsynsbegäran mail.docx", "A 5086-2024")</f>
        <v/>
      </c>
    </row>
    <row r="483" ht="15" customHeight="1">
      <c r="A483" t="inlineStr">
        <is>
          <t>A 23401-2023</t>
        </is>
      </c>
      <c r="B483" s="1" t="n">
        <v>45076</v>
      </c>
      <c r="C483" s="1" t="n">
        <v>45952</v>
      </c>
      <c r="D483" t="inlineStr">
        <is>
          <t>VÄSTRA GÖTALANDS LÄN</t>
        </is>
      </c>
      <c r="E483" t="inlineStr">
        <is>
          <t>UDDEVALLA</t>
        </is>
      </c>
      <c r="G483" t="n">
        <v>3.3</v>
      </c>
      <c r="H483" t="n">
        <v>0</v>
      </c>
      <c r="I483" t="n">
        <v>1</v>
      </c>
      <c r="J483" t="n">
        <v>0</v>
      </c>
      <c r="K483" t="n">
        <v>0</v>
      </c>
      <c r="L483" t="n">
        <v>0</v>
      </c>
      <c r="M483" t="n">
        <v>0</v>
      </c>
      <c r="N483" t="n">
        <v>0</v>
      </c>
      <c r="O483" t="n">
        <v>0</v>
      </c>
      <c r="P483" t="n">
        <v>0</v>
      </c>
      <c r="Q483" t="n">
        <v>1</v>
      </c>
      <c r="R483" s="2" t="inlineStr">
        <is>
          <t>Vedticka</t>
        </is>
      </c>
      <c r="S483">
        <f>HYPERLINK("https://klasma.github.io/Logging_1485/artfynd/A 23401-2023 artfynd.xlsx", "A 23401-2023")</f>
        <v/>
      </c>
      <c r="T483">
        <f>HYPERLINK("https://klasma.github.io/Logging_1485/kartor/A 23401-2023 karta.png", "A 23401-2023")</f>
        <v/>
      </c>
      <c r="V483">
        <f>HYPERLINK("https://klasma.github.io/Logging_1485/klagomål/A 23401-2023 FSC-klagomål.docx", "A 23401-2023")</f>
        <v/>
      </c>
      <c r="W483">
        <f>HYPERLINK("https://klasma.github.io/Logging_1485/klagomålsmail/A 23401-2023 FSC-klagomål mail.docx", "A 23401-2023")</f>
        <v/>
      </c>
      <c r="X483">
        <f>HYPERLINK("https://klasma.github.io/Logging_1485/tillsyn/A 23401-2023 tillsynsbegäran.docx", "A 23401-2023")</f>
        <v/>
      </c>
      <c r="Y483">
        <f>HYPERLINK("https://klasma.github.io/Logging_1485/tillsynsmail/A 23401-2023 tillsynsbegäran mail.docx", "A 23401-2023")</f>
        <v/>
      </c>
    </row>
    <row r="484" ht="15" customHeight="1">
      <c r="A484" t="inlineStr">
        <is>
          <t>A 60816-2023</t>
        </is>
      </c>
      <c r="B484" s="1" t="n">
        <v>45260</v>
      </c>
      <c r="C484" s="1" t="n">
        <v>45952</v>
      </c>
      <c r="D484" t="inlineStr">
        <is>
          <t>VÄSTRA GÖTALANDS LÄN</t>
        </is>
      </c>
      <c r="E484" t="inlineStr">
        <is>
          <t>BORÅS</t>
        </is>
      </c>
      <c r="G484" t="n">
        <v>3.8</v>
      </c>
      <c r="H484" t="n">
        <v>0</v>
      </c>
      <c r="I484" t="n">
        <v>1</v>
      </c>
      <c r="J484" t="n">
        <v>0</v>
      </c>
      <c r="K484" t="n">
        <v>0</v>
      </c>
      <c r="L484" t="n">
        <v>0</v>
      </c>
      <c r="M484" t="n">
        <v>0</v>
      </c>
      <c r="N484" t="n">
        <v>0</v>
      </c>
      <c r="O484" t="n">
        <v>0</v>
      </c>
      <c r="P484" t="n">
        <v>0</v>
      </c>
      <c r="Q484" t="n">
        <v>1</v>
      </c>
      <c r="R484" s="2" t="inlineStr">
        <is>
          <t>Springkorn</t>
        </is>
      </c>
      <c r="S484">
        <f>HYPERLINK("https://klasma.github.io/Logging_1490/artfynd/A 60816-2023 artfynd.xlsx", "A 60816-2023")</f>
        <v/>
      </c>
      <c r="T484">
        <f>HYPERLINK("https://klasma.github.io/Logging_1490/kartor/A 60816-2023 karta.png", "A 60816-2023")</f>
        <v/>
      </c>
      <c r="V484">
        <f>HYPERLINK("https://klasma.github.io/Logging_1490/klagomål/A 60816-2023 FSC-klagomål.docx", "A 60816-2023")</f>
        <v/>
      </c>
      <c r="W484">
        <f>HYPERLINK("https://klasma.github.io/Logging_1490/klagomålsmail/A 60816-2023 FSC-klagomål mail.docx", "A 60816-2023")</f>
        <v/>
      </c>
      <c r="X484">
        <f>HYPERLINK("https://klasma.github.io/Logging_1490/tillsyn/A 60816-2023 tillsynsbegäran.docx", "A 60816-2023")</f>
        <v/>
      </c>
      <c r="Y484">
        <f>HYPERLINK("https://klasma.github.io/Logging_1490/tillsynsmail/A 60816-2023 tillsynsbegäran mail.docx", "A 60816-2023")</f>
        <v/>
      </c>
    </row>
    <row r="485" ht="15" customHeight="1">
      <c r="A485" t="inlineStr">
        <is>
          <t>A 21300-2023</t>
        </is>
      </c>
      <c r="B485" s="1" t="n">
        <v>45062</v>
      </c>
      <c r="C485" s="1" t="n">
        <v>45952</v>
      </c>
      <c r="D485" t="inlineStr">
        <is>
          <t>VÄSTRA GÖTALANDS LÄN</t>
        </is>
      </c>
      <c r="E485" t="inlineStr">
        <is>
          <t>BENGTSFORS</t>
        </is>
      </c>
      <c r="G485" t="n">
        <v>2.3</v>
      </c>
      <c r="H485" t="n">
        <v>1</v>
      </c>
      <c r="I485" t="n">
        <v>0</v>
      </c>
      <c r="J485" t="n">
        <v>0</v>
      </c>
      <c r="K485" t="n">
        <v>0</v>
      </c>
      <c r="L485" t="n">
        <v>0</v>
      </c>
      <c r="M485" t="n">
        <v>0</v>
      </c>
      <c r="N485" t="n">
        <v>0</v>
      </c>
      <c r="O485" t="n">
        <v>0</v>
      </c>
      <c r="P485" t="n">
        <v>0</v>
      </c>
      <c r="Q485" t="n">
        <v>1</v>
      </c>
      <c r="R485" s="2" t="inlineStr">
        <is>
          <t>Blåsippa</t>
        </is>
      </c>
      <c r="S485">
        <f>HYPERLINK("https://klasma.github.io/Logging_1460/artfynd/A 21300-2023 artfynd.xlsx", "A 21300-2023")</f>
        <v/>
      </c>
      <c r="T485">
        <f>HYPERLINK("https://klasma.github.io/Logging_1460/kartor/A 21300-2023 karta.png", "A 21300-2023")</f>
        <v/>
      </c>
      <c r="V485">
        <f>HYPERLINK("https://klasma.github.io/Logging_1460/klagomål/A 21300-2023 FSC-klagomål.docx", "A 21300-2023")</f>
        <v/>
      </c>
      <c r="W485">
        <f>HYPERLINK("https://klasma.github.io/Logging_1460/klagomålsmail/A 21300-2023 FSC-klagomål mail.docx", "A 21300-2023")</f>
        <v/>
      </c>
      <c r="X485">
        <f>HYPERLINK("https://klasma.github.io/Logging_1460/tillsyn/A 21300-2023 tillsynsbegäran.docx", "A 21300-2023")</f>
        <v/>
      </c>
      <c r="Y485">
        <f>HYPERLINK("https://klasma.github.io/Logging_1460/tillsynsmail/A 21300-2023 tillsynsbegäran mail.docx", "A 21300-2023")</f>
        <v/>
      </c>
    </row>
    <row r="486" ht="15" customHeight="1">
      <c r="A486" t="inlineStr">
        <is>
          <t>A 26270-2024</t>
        </is>
      </c>
      <c r="B486" s="1" t="n">
        <v>45468</v>
      </c>
      <c r="C486" s="1" t="n">
        <v>45952</v>
      </c>
      <c r="D486" t="inlineStr">
        <is>
          <t>VÄSTRA GÖTALANDS LÄN</t>
        </is>
      </c>
      <c r="E486" t="inlineStr">
        <is>
          <t>HJO</t>
        </is>
      </c>
      <c r="G486" t="n">
        <v>5.6</v>
      </c>
      <c r="H486" t="n">
        <v>0</v>
      </c>
      <c r="I486" t="n">
        <v>0</v>
      </c>
      <c r="J486" t="n">
        <v>0</v>
      </c>
      <c r="K486" t="n">
        <v>0</v>
      </c>
      <c r="L486" t="n">
        <v>1</v>
      </c>
      <c r="M486" t="n">
        <v>0</v>
      </c>
      <c r="N486" t="n">
        <v>0</v>
      </c>
      <c r="O486" t="n">
        <v>1</v>
      </c>
      <c r="P486" t="n">
        <v>1</v>
      </c>
      <c r="Q486" t="n">
        <v>1</v>
      </c>
      <c r="R486" s="2" t="inlineStr">
        <is>
          <t>Ask</t>
        </is>
      </c>
      <c r="S486">
        <f>HYPERLINK("https://klasma.github.io/Logging_1497/artfynd/A 26270-2024 artfynd.xlsx", "A 26270-2024")</f>
        <v/>
      </c>
      <c r="T486">
        <f>HYPERLINK("https://klasma.github.io/Logging_1497/kartor/A 26270-2024 karta.png", "A 26270-2024")</f>
        <v/>
      </c>
      <c r="V486">
        <f>HYPERLINK("https://klasma.github.io/Logging_1497/klagomål/A 26270-2024 FSC-klagomål.docx", "A 26270-2024")</f>
        <v/>
      </c>
      <c r="W486">
        <f>HYPERLINK("https://klasma.github.io/Logging_1497/klagomålsmail/A 26270-2024 FSC-klagomål mail.docx", "A 26270-2024")</f>
        <v/>
      </c>
      <c r="X486">
        <f>HYPERLINK("https://klasma.github.io/Logging_1497/tillsyn/A 26270-2024 tillsynsbegäran.docx", "A 26270-2024")</f>
        <v/>
      </c>
      <c r="Y486">
        <f>HYPERLINK("https://klasma.github.io/Logging_1497/tillsynsmail/A 26270-2024 tillsynsbegäran mail.docx", "A 26270-2024")</f>
        <v/>
      </c>
    </row>
    <row r="487" ht="15" customHeight="1">
      <c r="A487" t="inlineStr">
        <is>
          <t>A 56305-2023</t>
        </is>
      </c>
      <c r="B487" s="1" t="n">
        <v>45242.82253472223</v>
      </c>
      <c r="C487" s="1" t="n">
        <v>45952</v>
      </c>
      <c r="D487" t="inlineStr">
        <is>
          <t>VÄSTRA GÖTALANDS LÄN</t>
        </is>
      </c>
      <c r="E487" t="inlineStr">
        <is>
          <t>FÄRGELANDA</t>
        </is>
      </c>
      <c r="G487" t="n">
        <v>20.1</v>
      </c>
      <c r="H487" t="n">
        <v>1</v>
      </c>
      <c r="I487" t="n">
        <v>0</v>
      </c>
      <c r="J487" t="n">
        <v>0</v>
      </c>
      <c r="K487" t="n">
        <v>0</v>
      </c>
      <c r="L487" t="n">
        <v>0</v>
      </c>
      <c r="M487" t="n">
        <v>0</v>
      </c>
      <c r="N487" t="n">
        <v>0</v>
      </c>
      <c r="O487" t="n">
        <v>0</v>
      </c>
      <c r="P487" t="n">
        <v>0</v>
      </c>
      <c r="Q487" t="n">
        <v>1</v>
      </c>
      <c r="R487" s="2" t="inlineStr">
        <is>
          <t>Revlummer</t>
        </is>
      </c>
      <c r="S487">
        <f>HYPERLINK("https://klasma.github.io/Logging_1439/artfynd/A 56305-2023 artfynd.xlsx", "A 56305-2023")</f>
        <v/>
      </c>
      <c r="T487">
        <f>HYPERLINK("https://klasma.github.io/Logging_1439/kartor/A 56305-2023 karta.png", "A 56305-2023")</f>
        <v/>
      </c>
      <c r="V487">
        <f>HYPERLINK("https://klasma.github.io/Logging_1439/klagomål/A 56305-2023 FSC-klagomål.docx", "A 56305-2023")</f>
        <v/>
      </c>
      <c r="W487">
        <f>HYPERLINK("https://klasma.github.io/Logging_1439/klagomålsmail/A 56305-2023 FSC-klagomål mail.docx", "A 56305-2023")</f>
        <v/>
      </c>
      <c r="X487">
        <f>HYPERLINK("https://klasma.github.io/Logging_1439/tillsyn/A 56305-2023 tillsynsbegäran.docx", "A 56305-2023")</f>
        <v/>
      </c>
      <c r="Y487">
        <f>HYPERLINK("https://klasma.github.io/Logging_1439/tillsynsmail/A 56305-2023 tillsynsbegäran mail.docx", "A 56305-2023")</f>
        <v/>
      </c>
    </row>
    <row r="488" ht="15" customHeight="1">
      <c r="A488" t="inlineStr">
        <is>
          <t>A 2531-2024</t>
        </is>
      </c>
      <c r="B488" s="1" t="n">
        <v>45313</v>
      </c>
      <c r="C488" s="1" t="n">
        <v>45952</v>
      </c>
      <c r="D488" t="inlineStr">
        <is>
          <t>VÄSTRA GÖTALANDS LÄN</t>
        </is>
      </c>
      <c r="E488" t="inlineStr">
        <is>
          <t>MUNKEDAL</t>
        </is>
      </c>
      <c r="G488" t="n">
        <v>2.2</v>
      </c>
      <c r="H488" t="n">
        <v>1</v>
      </c>
      <c r="I488" t="n">
        <v>0</v>
      </c>
      <c r="J488" t="n">
        <v>0</v>
      </c>
      <c r="K488" t="n">
        <v>0</v>
      </c>
      <c r="L488" t="n">
        <v>0</v>
      </c>
      <c r="M488" t="n">
        <v>0</v>
      </c>
      <c r="N488" t="n">
        <v>0</v>
      </c>
      <c r="O488" t="n">
        <v>0</v>
      </c>
      <c r="P488" t="n">
        <v>0</v>
      </c>
      <c r="Q488" t="n">
        <v>1</v>
      </c>
      <c r="R488" s="2" t="inlineStr">
        <is>
          <t>Revlummer</t>
        </is>
      </c>
      <c r="S488">
        <f>HYPERLINK("https://klasma.github.io/Logging_1430/artfynd/A 2531-2024 artfynd.xlsx", "A 2531-2024")</f>
        <v/>
      </c>
      <c r="T488">
        <f>HYPERLINK("https://klasma.github.io/Logging_1430/kartor/A 2531-2024 karta.png", "A 2531-2024")</f>
        <v/>
      </c>
      <c r="V488">
        <f>HYPERLINK("https://klasma.github.io/Logging_1430/klagomål/A 2531-2024 FSC-klagomål.docx", "A 2531-2024")</f>
        <v/>
      </c>
      <c r="W488">
        <f>HYPERLINK("https://klasma.github.io/Logging_1430/klagomålsmail/A 2531-2024 FSC-klagomål mail.docx", "A 2531-2024")</f>
        <v/>
      </c>
      <c r="X488">
        <f>HYPERLINK("https://klasma.github.io/Logging_1430/tillsyn/A 2531-2024 tillsynsbegäran.docx", "A 2531-2024")</f>
        <v/>
      </c>
      <c r="Y488">
        <f>HYPERLINK("https://klasma.github.io/Logging_1430/tillsynsmail/A 2531-2024 tillsynsbegäran mail.docx", "A 2531-2024")</f>
        <v/>
      </c>
    </row>
    <row r="489" ht="15" customHeight="1">
      <c r="A489" t="inlineStr">
        <is>
          <t>A 8144-2023</t>
        </is>
      </c>
      <c r="B489" s="1" t="n">
        <v>44974</v>
      </c>
      <c r="C489" s="1" t="n">
        <v>45952</v>
      </c>
      <c r="D489" t="inlineStr">
        <is>
          <t>VÄSTRA GÖTALANDS LÄN</t>
        </is>
      </c>
      <c r="E489" t="inlineStr">
        <is>
          <t>MARIESTAD</t>
        </is>
      </c>
      <c r="G489" t="n">
        <v>4</v>
      </c>
      <c r="H489" t="n">
        <v>1</v>
      </c>
      <c r="I489" t="n">
        <v>0</v>
      </c>
      <c r="J489" t="n">
        <v>0</v>
      </c>
      <c r="K489" t="n">
        <v>0</v>
      </c>
      <c r="L489" t="n">
        <v>1</v>
      </c>
      <c r="M489" t="n">
        <v>0</v>
      </c>
      <c r="N489" t="n">
        <v>0</v>
      </c>
      <c r="O489" t="n">
        <v>1</v>
      </c>
      <c r="P489" t="n">
        <v>1</v>
      </c>
      <c r="Q489" t="n">
        <v>1</v>
      </c>
      <c r="R489" s="2" t="inlineStr">
        <is>
          <t>Tornseglare</t>
        </is>
      </c>
      <c r="S489">
        <f>HYPERLINK("https://klasma.github.io/Logging_1493/artfynd/A 8144-2023 artfynd.xlsx", "A 8144-2023")</f>
        <v/>
      </c>
      <c r="T489">
        <f>HYPERLINK("https://klasma.github.io/Logging_1493/kartor/A 8144-2023 karta.png", "A 8144-2023")</f>
        <v/>
      </c>
      <c r="V489">
        <f>HYPERLINK("https://klasma.github.io/Logging_1493/klagomål/A 8144-2023 FSC-klagomål.docx", "A 8144-2023")</f>
        <v/>
      </c>
      <c r="W489">
        <f>HYPERLINK("https://klasma.github.io/Logging_1493/klagomålsmail/A 8144-2023 FSC-klagomål mail.docx", "A 8144-2023")</f>
        <v/>
      </c>
      <c r="X489">
        <f>HYPERLINK("https://klasma.github.io/Logging_1493/tillsyn/A 8144-2023 tillsynsbegäran.docx", "A 8144-2023")</f>
        <v/>
      </c>
      <c r="Y489">
        <f>HYPERLINK("https://klasma.github.io/Logging_1493/tillsynsmail/A 8144-2023 tillsynsbegäran mail.docx", "A 8144-2023")</f>
        <v/>
      </c>
      <c r="Z489">
        <f>HYPERLINK("https://klasma.github.io/Logging_1493/fåglar/A 8144-2023 prioriterade fågelarter.docx", "A 8144-2023")</f>
        <v/>
      </c>
    </row>
    <row r="490" ht="15" customHeight="1">
      <c r="A490" t="inlineStr">
        <is>
          <t>A 39804-2021</t>
        </is>
      </c>
      <c r="B490" s="1" t="n">
        <v>44417</v>
      </c>
      <c r="C490" s="1" t="n">
        <v>45952</v>
      </c>
      <c r="D490" t="inlineStr">
        <is>
          <t>VÄSTRA GÖTALANDS LÄN</t>
        </is>
      </c>
      <c r="E490" t="inlineStr">
        <is>
          <t>BENGTSFORS</t>
        </is>
      </c>
      <c r="G490" t="n">
        <v>4</v>
      </c>
      <c r="H490" t="n">
        <v>0</v>
      </c>
      <c r="I490" t="n">
        <v>1</v>
      </c>
      <c r="J490" t="n">
        <v>0</v>
      </c>
      <c r="K490" t="n">
        <v>0</v>
      </c>
      <c r="L490" t="n">
        <v>0</v>
      </c>
      <c r="M490" t="n">
        <v>0</v>
      </c>
      <c r="N490" t="n">
        <v>0</v>
      </c>
      <c r="O490" t="n">
        <v>0</v>
      </c>
      <c r="P490" t="n">
        <v>0</v>
      </c>
      <c r="Q490" t="n">
        <v>1</v>
      </c>
      <c r="R490" s="2" t="inlineStr">
        <is>
          <t>Kambräken</t>
        </is>
      </c>
      <c r="S490">
        <f>HYPERLINK("https://klasma.github.io/Logging_1460/artfynd/A 39804-2021 artfynd.xlsx", "A 39804-2021")</f>
        <v/>
      </c>
      <c r="T490">
        <f>HYPERLINK("https://klasma.github.io/Logging_1460/kartor/A 39804-2021 karta.png", "A 39804-2021")</f>
        <v/>
      </c>
      <c r="V490">
        <f>HYPERLINK("https://klasma.github.io/Logging_1460/klagomål/A 39804-2021 FSC-klagomål.docx", "A 39804-2021")</f>
        <v/>
      </c>
      <c r="W490">
        <f>HYPERLINK("https://klasma.github.io/Logging_1460/klagomålsmail/A 39804-2021 FSC-klagomål mail.docx", "A 39804-2021")</f>
        <v/>
      </c>
      <c r="X490">
        <f>HYPERLINK("https://klasma.github.io/Logging_1460/tillsyn/A 39804-2021 tillsynsbegäran.docx", "A 39804-2021")</f>
        <v/>
      </c>
      <c r="Y490">
        <f>HYPERLINK("https://klasma.github.io/Logging_1460/tillsynsmail/A 39804-2021 tillsynsbegäran mail.docx", "A 39804-2021")</f>
        <v/>
      </c>
    </row>
    <row r="491" ht="15" customHeight="1">
      <c r="A491" t="inlineStr">
        <is>
          <t>A 63493-2023</t>
        </is>
      </c>
      <c r="B491" s="1" t="n">
        <v>45274</v>
      </c>
      <c r="C491" s="1" t="n">
        <v>45952</v>
      </c>
      <c r="D491" t="inlineStr">
        <is>
          <t>VÄSTRA GÖTALANDS LÄN</t>
        </is>
      </c>
      <c r="E491" t="inlineStr">
        <is>
          <t>ALINGSÅS</t>
        </is>
      </c>
      <c r="F491" t="inlineStr">
        <is>
          <t>Kommuner</t>
        </is>
      </c>
      <c r="G491" t="n">
        <v>3.7</v>
      </c>
      <c r="H491" t="n">
        <v>1</v>
      </c>
      <c r="I491" t="n">
        <v>0</v>
      </c>
      <c r="J491" t="n">
        <v>0</v>
      </c>
      <c r="K491" t="n">
        <v>0</v>
      </c>
      <c r="L491" t="n">
        <v>0</v>
      </c>
      <c r="M491" t="n">
        <v>0</v>
      </c>
      <c r="N491" t="n">
        <v>0</v>
      </c>
      <c r="O491" t="n">
        <v>0</v>
      </c>
      <c r="P491" t="n">
        <v>0</v>
      </c>
      <c r="Q491" t="n">
        <v>1</v>
      </c>
      <c r="R491" s="2" t="inlineStr">
        <is>
          <t>Kungsfågel</t>
        </is>
      </c>
      <c r="S491">
        <f>HYPERLINK("https://klasma.github.io/Logging_1489/artfynd/A 63493-2023 artfynd.xlsx", "A 63493-2023")</f>
        <v/>
      </c>
      <c r="T491">
        <f>HYPERLINK("https://klasma.github.io/Logging_1489/kartor/A 63493-2023 karta.png", "A 63493-2023")</f>
        <v/>
      </c>
      <c r="V491">
        <f>HYPERLINK("https://klasma.github.io/Logging_1489/klagomål/A 63493-2023 FSC-klagomål.docx", "A 63493-2023")</f>
        <v/>
      </c>
      <c r="W491">
        <f>HYPERLINK("https://klasma.github.io/Logging_1489/klagomålsmail/A 63493-2023 FSC-klagomål mail.docx", "A 63493-2023")</f>
        <v/>
      </c>
      <c r="X491">
        <f>HYPERLINK("https://klasma.github.io/Logging_1489/tillsyn/A 63493-2023 tillsynsbegäran.docx", "A 63493-2023")</f>
        <v/>
      </c>
      <c r="Y491">
        <f>HYPERLINK("https://klasma.github.io/Logging_1489/tillsynsmail/A 63493-2023 tillsynsbegäran mail.docx", "A 63493-2023")</f>
        <v/>
      </c>
      <c r="Z491">
        <f>HYPERLINK("https://klasma.github.io/Logging_1489/fåglar/A 63493-2023 prioriterade fågelarter.docx", "A 63493-2023")</f>
        <v/>
      </c>
    </row>
    <row r="492" ht="15" customHeight="1">
      <c r="A492" t="inlineStr">
        <is>
          <t>A 57759-2024</t>
        </is>
      </c>
      <c r="B492" s="1" t="n">
        <v>45630.84898148148</v>
      </c>
      <c r="C492" s="1" t="n">
        <v>45952</v>
      </c>
      <c r="D492" t="inlineStr">
        <is>
          <t>VÄSTRA GÖTALANDS LÄN</t>
        </is>
      </c>
      <c r="E492" t="inlineStr">
        <is>
          <t>ALINGSÅS</t>
        </is>
      </c>
      <c r="F492" t="inlineStr">
        <is>
          <t>Kommuner</t>
        </is>
      </c>
      <c r="G492" t="n">
        <v>4.5</v>
      </c>
      <c r="H492" t="n">
        <v>1</v>
      </c>
      <c r="I492" t="n">
        <v>0</v>
      </c>
      <c r="J492" t="n">
        <v>1</v>
      </c>
      <c r="K492" t="n">
        <v>0</v>
      </c>
      <c r="L492" t="n">
        <v>0</v>
      </c>
      <c r="M492" t="n">
        <v>0</v>
      </c>
      <c r="N492" t="n">
        <v>0</v>
      </c>
      <c r="O492" t="n">
        <v>1</v>
      </c>
      <c r="P492" t="n">
        <v>0</v>
      </c>
      <c r="Q492" t="n">
        <v>1</v>
      </c>
      <c r="R492" s="2" t="inlineStr">
        <is>
          <t>Spillkråka</t>
        </is>
      </c>
      <c r="S492">
        <f>HYPERLINK("https://klasma.github.io/Logging_1489/artfynd/A 57759-2024 artfynd.xlsx", "A 57759-2024")</f>
        <v/>
      </c>
      <c r="T492">
        <f>HYPERLINK("https://klasma.github.io/Logging_1489/kartor/A 57759-2024 karta.png", "A 57759-2024")</f>
        <v/>
      </c>
      <c r="V492">
        <f>HYPERLINK("https://klasma.github.io/Logging_1489/klagomål/A 57759-2024 FSC-klagomål.docx", "A 57759-2024")</f>
        <v/>
      </c>
      <c r="W492">
        <f>HYPERLINK("https://klasma.github.io/Logging_1489/klagomålsmail/A 57759-2024 FSC-klagomål mail.docx", "A 57759-2024")</f>
        <v/>
      </c>
      <c r="X492">
        <f>HYPERLINK("https://klasma.github.io/Logging_1489/tillsyn/A 57759-2024 tillsynsbegäran.docx", "A 57759-2024")</f>
        <v/>
      </c>
      <c r="Y492">
        <f>HYPERLINK("https://klasma.github.io/Logging_1489/tillsynsmail/A 57759-2024 tillsynsbegäran mail.docx", "A 57759-2024")</f>
        <v/>
      </c>
      <c r="Z492">
        <f>HYPERLINK("https://klasma.github.io/Logging_1489/fåglar/A 57759-2024 prioriterade fågelarter.docx", "A 57759-2024")</f>
        <v/>
      </c>
    </row>
    <row r="493" ht="15" customHeight="1">
      <c r="A493" t="inlineStr">
        <is>
          <t>A 58467-2024</t>
        </is>
      </c>
      <c r="B493" s="1" t="n">
        <v>45635.3708912037</v>
      </c>
      <c r="C493" s="1" t="n">
        <v>45952</v>
      </c>
      <c r="D493" t="inlineStr">
        <is>
          <t>VÄSTRA GÖTALANDS LÄN</t>
        </is>
      </c>
      <c r="E493" t="inlineStr">
        <is>
          <t>SKÖVDE</t>
        </is>
      </c>
      <c r="G493" t="n">
        <v>1</v>
      </c>
      <c r="H493" t="n">
        <v>0</v>
      </c>
      <c r="I493" t="n">
        <v>0</v>
      </c>
      <c r="J493" t="n">
        <v>1</v>
      </c>
      <c r="K493" t="n">
        <v>0</v>
      </c>
      <c r="L493" t="n">
        <v>0</v>
      </c>
      <c r="M493" t="n">
        <v>0</v>
      </c>
      <c r="N493" t="n">
        <v>0</v>
      </c>
      <c r="O493" t="n">
        <v>1</v>
      </c>
      <c r="P493" t="n">
        <v>0</v>
      </c>
      <c r="Q493" t="n">
        <v>1</v>
      </c>
      <c r="R493" s="2" t="inlineStr">
        <is>
          <t>Sommarfibbla</t>
        </is>
      </c>
      <c r="S493">
        <f>HYPERLINK("https://klasma.github.io/Logging_1496/artfynd/A 58467-2024 artfynd.xlsx", "A 58467-2024")</f>
        <v/>
      </c>
      <c r="T493">
        <f>HYPERLINK("https://klasma.github.io/Logging_1496/kartor/A 58467-2024 karta.png", "A 58467-2024")</f>
        <v/>
      </c>
      <c r="V493">
        <f>HYPERLINK("https://klasma.github.io/Logging_1496/klagomål/A 58467-2024 FSC-klagomål.docx", "A 58467-2024")</f>
        <v/>
      </c>
      <c r="W493">
        <f>HYPERLINK("https://klasma.github.io/Logging_1496/klagomålsmail/A 58467-2024 FSC-klagomål mail.docx", "A 58467-2024")</f>
        <v/>
      </c>
      <c r="X493">
        <f>HYPERLINK("https://klasma.github.io/Logging_1496/tillsyn/A 58467-2024 tillsynsbegäran.docx", "A 58467-2024")</f>
        <v/>
      </c>
      <c r="Y493">
        <f>HYPERLINK("https://klasma.github.io/Logging_1496/tillsynsmail/A 58467-2024 tillsynsbegäran mail.docx", "A 58467-2024")</f>
        <v/>
      </c>
    </row>
    <row r="494" ht="15" customHeight="1">
      <c r="A494" t="inlineStr">
        <is>
          <t>A 65109-2023</t>
        </is>
      </c>
      <c r="B494" s="1" t="n">
        <v>45288</v>
      </c>
      <c r="C494" s="1" t="n">
        <v>45952</v>
      </c>
      <c r="D494" t="inlineStr">
        <is>
          <t>VÄSTRA GÖTALANDS LÄN</t>
        </is>
      </c>
      <c r="E494" t="inlineStr">
        <is>
          <t>UDDEVALLA</t>
        </is>
      </c>
      <c r="G494" t="n">
        <v>1.8</v>
      </c>
      <c r="H494" t="n">
        <v>0</v>
      </c>
      <c r="I494" t="n">
        <v>0</v>
      </c>
      <c r="J494" t="n">
        <v>1</v>
      </c>
      <c r="K494" t="n">
        <v>0</v>
      </c>
      <c r="L494" t="n">
        <v>0</v>
      </c>
      <c r="M494" t="n">
        <v>0</v>
      </c>
      <c r="N494" t="n">
        <v>0</v>
      </c>
      <c r="O494" t="n">
        <v>1</v>
      </c>
      <c r="P494" t="n">
        <v>0</v>
      </c>
      <c r="Q494" t="n">
        <v>1</v>
      </c>
      <c r="R494" s="2" t="inlineStr">
        <is>
          <t>Lunglav</t>
        </is>
      </c>
      <c r="S494">
        <f>HYPERLINK("https://klasma.github.io/Logging_1485/artfynd/A 65109-2023 artfynd.xlsx", "A 65109-2023")</f>
        <v/>
      </c>
      <c r="T494">
        <f>HYPERLINK("https://klasma.github.io/Logging_1485/kartor/A 65109-2023 karta.png", "A 65109-2023")</f>
        <v/>
      </c>
      <c r="V494">
        <f>HYPERLINK("https://klasma.github.io/Logging_1485/klagomål/A 65109-2023 FSC-klagomål.docx", "A 65109-2023")</f>
        <v/>
      </c>
      <c r="W494">
        <f>HYPERLINK("https://klasma.github.io/Logging_1485/klagomålsmail/A 65109-2023 FSC-klagomål mail.docx", "A 65109-2023")</f>
        <v/>
      </c>
      <c r="X494">
        <f>HYPERLINK("https://klasma.github.io/Logging_1485/tillsyn/A 65109-2023 tillsynsbegäran.docx", "A 65109-2023")</f>
        <v/>
      </c>
      <c r="Y494">
        <f>HYPERLINK("https://klasma.github.io/Logging_1485/tillsynsmail/A 65109-2023 tillsynsbegäran mail.docx", "A 65109-2023")</f>
        <v/>
      </c>
    </row>
    <row r="495" ht="15" customHeight="1">
      <c r="A495" t="inlineStr">
        <is>
          <t>A 12075-2022</t>
        </is>
      </c>
      <c r="B495" s="1" t="n">
        <v>44636.47275462963</v>
      </c>
      <c r="C495" s="1" t="n">
        <v>45952</v>
      </c>
      <c r="D495" t="inlineStr">
        <is>
          <t>VÄSTRA GÖTALANDS LÄN</t>
        </is>
      </c>
      <c r="E495" t="inlineStr">
        <is>
          <t>STENUNGSUND</t>
        </is>
      </c>
      <c r="G495" t="n">
        <v>7.5</v>
      </c>
      <c r="H495" t="n">
        <v>1</v>
      </c>
      <c r="I495" t="n">
        <v>0</v>
      </c>
      <c r="J495" t="n">
        <v>0</v>
      </c>
      <c r="K495" t="n">
        <v>0</v>
      </c>
      <c r="L495" t="n">
        <v>1</v>
      </c>
      <c r="M495" t="n">
        <v>0</v>
      </c>
      <c r="N495" t="n">
        <v>0</v>
      </c>
      <c r="O495" t="n">
        <v>1</v>
      </c>
      <c r="P495" t="n">
        <v>1</v>
      </c>
      <c r="Q495" t="n">
        <v>1</v>
      </c>
      <c r="R495" s="2" t="inlineStr">
        <is>
          <t>Bredgentiana</t>
        </is>
      </c>
      <c r="S495">
        <f>HYPERLINK("https://klasma.github.io/Logging_1415/artfynd/A 12075-2022 artfynd.xlsx", "A 12075-2022")</f>
        <v/>
      </c>
      <c r="T495">
        <f>HYPERLINK("https://klasma.github.io/Logging_1415/kartor/A 12075-2022 karta.png", "A 12075-2022")</f>
        <v/>
      </c>
      <c r="V495">
        <f>HYPERLINK("https://klasma.github.io/Logging_1415/klagomål/A 12075-2022 FSC-klagomål.docx", "A 12075-2022")</f>
        <v/>
      </c>
      <c r="W495">
        <f>HYPERLINK("https://klasma.github.io/Logging_1415/klagomålsmail/A 12075-2022 FSC-klagomål mail.docx", "A 12075-2022")</f>
        <v/>
      </c>
      <c r="X495">
        <f>HYPERLINK("https://klasma.github.io/Logging_1415/tillsyn/A 12075-2022 tillsynsbegäran.docx", "A 12075-2022")</f>
        <v/>
      </c>
      <c r="Y495">
        <f>HYPERLINK("https://klasma.github.io/Logging_1415/tillsynsmail/A 12075-2022 tillsynsbegäran mail.docx", "A 12075-2022")</f>
        <v/>
      </c>
    </row>
    <row r="496" ht="15" customHeight="1">
      <c r="A496" t="inlineStr">
        <is>
          <t>A 40050-2021</t>
        </is>
      </c>
      <c r="B496" s="1" t="n">
        <v>44418.48847222222</v>
      </c>
      <c r="C496" s="1" t="n">
        <v>45952</v>
      </c>
      <c r="D496" t="inlineStr">
        <is>
          <t>VÄSTRA GÖTALANDS LÄN</t>
        </is>
      </c>
      <c r="E496" t="inlineStr">
        <is>
          <t>TRANEMO</t>
        </is>
      </c>
      <c r="G496" t="n">
        <v>1.9</v>
      </c>
      <c r="H496" t="n">
        <v>1</v>
      </c>
      <c r="I496" t="n">
        <v>0</v>
      </c>
      <c r="J496" t="n">
        <v>1</v>
      </c>
      <c r="K496" t="n">
        <v>0</v>
      </c>
      <c r="L496" t="n">
        <v>0</v>
      </c>
      <c r="M496" t="n">
        <v>0</v>
      </c>
      <c r="N496" t="n">
        <v>0</v>
      </c>
      <c r="O496" t="n">
        <v>1</v>
      </c>
      <c r="P496" t="n">
        <v>0</v>
      </c>
      <c r="Q496" t="n">
        <v>1</v>
      </c>
      <c r="R496" s="2" t="inlineStr">
        <is>
          <t>Spillkråka</t>
        </is>
      </c>
      <c r="S496">
        <f>HYPERLINK("https://klasma.github.io/Logging_1452/artfynd/A 40050-2021 artfynd.xlsx", "A 40050-2021")</f>
        <v/>
      </c>
      <c r="T496">
        <f>HYPERLINK("https://klasma.github.io/Logging_1452/kartor/A 40050-2021 karta.png", "A 40050-2021")</f>
        <v/>
      </c>
      <c r="V496">
        <f>HYPERLINK("https://klasma.github.io/Logging_1452/klagomål/A 40050-2021 FSC-klagomål.docx", "A 40050-2021")</f>
        <v/>
      </c>
      <c r="W496">
        <f>HYPERLINK("https://klasma.github.io/Logging_1452/klagomålsmail/A 40050-2021 FSC-klagomål mail.docx", "A 40050-2021")</f>
        <v/>
      </c>
      <c r="X496">
        <f>HYPERLINK("https://klasma.github.io/Logging_1452/tillsyn/A 40050-2021 tillsynsbegäran.docx", "A 40050-2021")</f>
        <v/>
      </c>
      <c r="Y496">
        <f>HYPERLINK("https://klasma.github.io/Logging_1452/tillsynsmail/A 40050-2021 tillsynsbegäran mail.docx", "A 40050-2021")</f>
        <v/>
      </c>
      <c r="Z496">
        <f>HYPERLINK("https://klasma.github.io/Logging_1452/fåglar/A 40050-2021 prioriterade fågelarter.docx", "A 40050-2021")</f>
        <v/>
      </c>
    </row>
    <row r="497" ht="15" customHeight="1">
      <c r="A497" t="inlineStr">
        <is>
          <t>A 12807-2023</t>
        </is>
      </c>
      <c r="B497" s="1" t="n">
        <v>45001</v>
      </c>
      <c r="C497" s="1" t="n">
        <v>45952</v>
      </c>
      <c r="D497" t="inlineStr">
        <is>
          <t>VÄSTRA GÖTALANDS LÄN</t>
        </is>
      </c>
      <c r="E497" t="inlineStr">
        <is>
          <t>MARK</t>
        </is>
      </c>
      <c r="G497" t="n">
        <v>2.2</v>
      </c>
      <c r="H497" t="n">
        <v>1</v>
      </c>
      <c r="I497" t="n">
        <v>0</v>
      </c>
      <c r="J497" t="n">
        <v>0</v>
      </c>
      <c r="K497" t="n">
        <v>1</v>
      </c>
      <c r="L497" t="n">
        <v>0</v>
      </c>
      <c r="M497" t="n">
        <v>0</v>
      </c>
      <c r="N497" t="n">
        <v>0</v>
      </c>
      <c r="O497" t="n">
        <v>1</v>
      </c>
      <c r="P497" t="n">
        <v>1</v>
      </c>
      <c r="Q497" t="n">
        <v>1</v>
      </c>
      <c r="R497" s="2" t="inlineStr">
        <is>
          <t>Knärot</t>
        </is>
      </c>
      <c r="S497">
        <f>HYPERLINK("https://klasma.github.io/Logging_1463/artfynd/A 12807-2023 artfynd.xlsx", "A 12807-2023")</f>
        <v/>
      </c>
      <c r="T497">
        <f>HYPERLINK("https://klasma.github.io/Logging_1463/kartor/A 12807-2023 karta.png", "A 12807-2023")</f>
        <v/>
      </c>
      <c r="U497">
        <f>HYPERLINK("https://klasma.github.io/Logging_1463/knärot/A 12807-2023 karta knärot.png", "A 12807-2023")</f>
        <v/>
      </c>
      <c r="V497">
        <f>HYPERLINK("https://klasma.github.io/Logging_1463/klagomål/A 12807-2023 FSC-klagomål.docx", "A 12807-2023")</f>
        <v/>
      </c>
      <c r="W497">
        <f>HYPERLINK("https://klasma.github.io/Logging_1463/klagomålsmail/A 12807-2023 FSC-klagomål mail.docx", "A 12807-2023")</f>
        <v/>
      </c>
      <c r="X497">
        <f>HYPERLINK("https://klasma.github.io/Logging_1463/tillsyn/A 12807-2023 tillsynsbegäran.docx", "A 12807-2023")</f>
        <v/>
      </c>
      <c r="Y497">
        <f>HYPERLINK("https://klasma.github.io/Logging_1463/tillsynsmail/A 12807-2023 tillsynsbegäran mail.docx", "A 12807-2023")</f>
        <v/>
      </c>
    </row>
    <row r="498" ht="15" customHeight="1">
      <c r="A498" t="inlineStr">
        <is>
          <t>A 39092-2022</t>
        </is>
      </c>
      <c r="B498" s="1" t="n">
        <v>44817</v>
      </c>
      <c r="C498" s="1" t="n">
        <v>45952</v>
      </c>
      <c r="D498" t="inlineStr">
        <is>
          <t>VÄSTRA GÖTALANDS LÄN</t>
        </is>
      </c>
      <c r="E498" t="inlineStr">
        <is>
          <t>SKÖVDE</t>
        </is>
      </c>
      <c r="G498" t="n">
        <v>3.1</v>
      </c>
      <c r="H498" t="n">
        <v>0</v>
      </c>
      <c r="I498" t="n">
        <v>1</v>
      </c>
      <c r="J498" t="n">
        <v>0</v>
      </c>
      <c r="K498" t="n">
        <v>0</v>
      </c>
      <c r="L498" t="n">
        <v>0</v>
      </c>
      <c r="M498" t="n">
        <v>0</v>
      </c>
      <c r="N498" t="n">
        <v>0</v>
      </c>
      <c r="O498" t="n">
        <v>0</v>
      </c>
      <c r="P498" t="n">
        <v>0</v>
      </c>
      <c r="Q498" t="n">
        <v>1</v>
      </c>
      <c r="R498" s="2" t="inlineStr">
        <is>
          <t>Sårläka</t>
        </is>
      </c>
      <c r="S498">
        <f>HYPERLINK("https://klasma.github.io/Logging_1496/artfynd/A 39092-2022 artfynd.xlsx", "A 39092-2022")</f>
        <v/>
      </c>
      <c r="T498">
        <f>HYPERLINK("https://klasma.github.io/Logging_1496/kartor/A 39092-2022 karta.png", "A 39092-2022")</f>
        <v/>
      </c>
      <c r="V498">
        <f>HYPERLINK("https://klasma.github.io/Logging_1496/klagomål/A 39092-2022 FSC-klagomål.docx", "A 39092-2022")</f>
        <v/>
      </c>
      <c r="W498">
        <f>HYPERLINK("https://klasma.github.io/Logging_1496/klagomålsmail/A 39092-2022 FSC-klagomål mail.docx", "A 39092-2022")</f>
        <v/>
      </c>
      <c r="X498">
        <f>HYPERLINK("https://klasma.github.io/Logging_1496/tillsyn/A 39092-2022 tillsynsbegäran.docx", "A 39092-2022")</f>
        <v/>
      </c>
      <c r="Y498">
        <f>HYPERLINK("https://klasma.github.io/Logging_1496/tillsynsmail/A 39092-2022 tillsynsbegäran mail.docx", "A 39092-2022")</f>
        <v/>
      </c>
    </row>
    <row r="499" ht="15" customHeight="1">
      <c r="A499" t="inlineStr">
        <is>
          <t>A 61684-2023</t>
        </is>
      </c>
      <c r="B499" s="1" t="n">
        <v>45264</v>
      </c>
      <c r="C499" s="1" t="n">
        <v>45952</v>
      </c>
      <c r="D499" t="inlineStr">
        <is>
          <t>VÄSTRA GÖTALANDS LÄN</t>
        </is>
      </c>
      <c r="E499" t="inlineStr">
        <is>
          <t>BORÅS</t>
        </is>
      </c>
      <c r="G499" t="n">
        <v>0.8</v>
      </c>
      <c r="H499" t="n">
        <v>0</v>
      </c>
      <c r="I499" t="n">
        <v>1</v>
      </c>
      <c r="J499" t="n">
        <v>0</v>
      </c>
      <c r="K499" t="n">
        <v>0</v>
      </c>
      <c r="L499" t="n">
        <v>0</v>
      </c>
      <c r="M499" t="n">
        <v>0</v>
      </c>
      <c r="N499" t="n">
        <v>0</v>
      </c>
      <c r="O499" t="n">
        <v>0</v>
      </c>
      <c r="P499" t="n">
        <v>0</v>
      </c>
      <c r="Q499" t="n">
        <v>1</v>
      </c>
      <c r="R499" s="2" t="inlineStr">
        <is>
          <t>Fällmossa</t>
        </is>
      </c>
      <c r="S499">
        <f>HYPERLINK("https://klasma.github.io/Logging_1490/artfynd/A 61684-2023 artfynd.xlsx", "A 61684-2023")</f>
        <v/>
      </c>
      <c r="T499">
        <f>HYPERLINK("https://klasma.github.io/Logging_1490/kartor/A 61684-2023 karta.png", "A 61684-2023")</f>
        <v/>
      </c>
      <c r="V499">
        <f>HYPERLINK("https://klasma.github.io/Logging_1490/klagomål/A 61684-2023 FSC-klagomål.docx", "A 61684-2023")</f>
        <v/>
      </c>
      <c r="W499">
        <f>HYPERLINK("https://klasma.github.io/Logging_1490/klagomålsmail/A 61684-2023 FSC-klagomål mail.docx", "A 61684-2023")</f>
        <v/>
      </c>
      <c r="X499">
        <f>HYPERLINK("https://klasma.github.io/Logging_1490/tillsyn/A 61684-2023 tillsynsbegäran.docx", "A 61684-2023")</f>
        <v/>
      </c>
      <c r="Y499">
        <f>HYPERLINK("https://klasma.github.io/Logging_1490/tillsynsmail/A 61684-2023 tillsynsbegäran mail.docx", "A 61684-2023")</f>
        <v/>
      </c>
    </row>
    <row r="500" ht="15" customHeight="1">
      <c r="A500" t="inlineStr">
        <is>
          <t>A 2637-2022</t>
        </is>
      </c>
      <c r="B500" s="1" t="n">
        <v>44580</v>
      </c>
      <c r="C500" s="1" t="n">
        <v>45952</v>
      </c>
      <c r="D500" t="inlineStr">
        <is>
          <t>VÄSTRA GÖTALANDS LÄN</t>
        </is>
      </c>
      <c r="E500" t="inlineStr">
        <is>
          <t>GULLSPÅNG</t>
        </is>
      </c>
      <c r="G500" t="n">
        <v>3</v>
      </c>
      <c r="H500" t="n">
        <v>1</v>
      </c>
      <c r="I500" t="n">
        <v>0</v>
      </c>
      <c r="J500" t="n">
        <v>0</v>
      </c>
      <c r="K500" t="n">
        <v>1</v>
      </c>
      <c r="L500" t="n">
        <v>0</v>
      </c>
      <c r="M500" t="n">
        <v>0</v>
      </c>
      <c r="N500" t="n">
        <v>0</v>
      </c>
      <c r="O500" t="n">
        <v>1</v>
      </c>
      <c r="P500" t="n">
        <v>1</v>
      </c>
      <c r="Q500" t="n">
        <v>1</v>
      </c>
      <c r="R500" s="2" t="inlineStr">
        <is>
          <t>Knärot</t>
        </is>
      </c>
      <c r="S500">
        <f>HYPERLINK("https://klasma.github.io/Logging_1447/artfynd/A 2637-2022 artfynd.xlsx", "A 2637-2022")</f>
        <v/>
      </c>
      <c r="T500">
        <f>HYPERLINK("https://klasma.github.io/Logging_1447/kartor/A 2637-2022 karta.png", "A 2637-2022")</f>
        <v/>
      </c>
      <c r="U500">
        <f>HYPERLINK("https://klasma.github.io/Logging_1447/knärot/A 2637-2022 karta knärot.png", "A 2637-2022")</f>
        <v/>
      </c>
      <c r="V500">
        <f>HYPERLINK("https://klasma.github.io/Logging_1447/klagomål/A 2637-2022 FSC-klagomål.docx", "A 2637-2022")</f>
        <v/>
      </c>
      <c r="W500">
        <f>HYPERLINK("https://klasma.github.io/Logging_1447/klagomålsmail/A 2637-2022 FSC-klagomål mail.docx", "A 2637-2022")</f>
        <v/>
      </c>
      <c r="X500">
        <f>HYPERLINK("https://klasma.github.io/Logging_1447/tillsyn/A 2637-2022 tillsynsbegäran.docx", "A 2637-2022")</f>
        <v/>
      </c>
      <c r="Y500">
        <f>HYPERLINK("https://klasma.github.io/Logging_1447/tillsynsmail/A 2637-2022 tillsynsbegäran mail.docx", "A 2637-2022")</f>
        <v/>
      </c>
    </row>
    <row r="501" ht="15" customHeight="1">
      <c r="A501" t="inlineStr">
        <is>
          <t>A 58626-2024</t>
        </is>
      </c>
      <c r="B501" s="1" t="n">
        <v>45635</v>
      </c>
      <c r="C501" s="1" t="n">
        <v>45952</v>
      </c>
      <c r="D501" t="inlineStr">
        <is>
          <t>VÄSTRA GÖTALANDS LÄN</t>
        </is>
      </c>
      <c r="E501" t="inlineStr">
        <is>
          <t>UDDEVALLA</t>
        </is>
      </c>
      <c r="G501" t="n">
        <v>1.1</v>
      </c>
      <c r="H501" t="n">
        <v>0</v>
      </c>
      <c r="I501" t="n">
        <v>1</v>
      </c>
      <c r="J501" t="n">
        <v>0</v>
      </c>
      <c r="K501" t="n">
        <v>0</v>
      </c>
      <c r="L501" t="n">
        <v>0</v>
      </c>
      <c r="M501" t="n">
        <v>0</v>
      </c>
      <c r="N501" t="n">
        <v>0</v>
      </c>
      <c r="O501" t="n">
        <v>0</v>
      </c>
      <c r="P501" t="n">
        <v>0</v>
      </c>
      <c r="Q501" t="n">
        <v>1</v>
      </c>
      <c r="R501" s="2" t="inlineStr">
        <is>
          <t>Lundvårlök</t>
        </is>
      </c>
      <c r="S501">
        <f>HYPERLINK("https://klasma.github.io/Logging_1485/artfynd/A 58626-2024 artfynd.xlsx", "A 58626-2024")</f>
        <v/>
      </c>
      <c r="T501">
        <f>HYPERLINK("https://klasma.github.io/Logging_1485/kartor/A 58626-2024 karta.png", "A 58626-2024")</f>
        <v/>
      </c>
      <c r="V501">
        <f>HYPERLINK("https://klasma.github.io/Logging_1485/klagomål/A 58626-2024 FSC-klagomål.docx", "A 58626-2024")</f>
        <v/>
      </c>
      <c r="W501">
        <f>HYPERLINK("https://klasma.github.io/Logging_1485/klagomålsmail/A 58626-2024 FSC-klagomål mail.docx", "A 58626-2024")</f>
        <v/>
      </c>
      <c r="X501">
        <f>HYPERLINK("https://klasma.github.io/Logging_1485/tillsyn/A 58626-2024 tillsynsbegäran.docx", "A 58626-2024")</f>
        <v/>
      </c>
      <c r="Y501">
        <f>HYPERLINK("https://klasma.github.io/Logging_1485/tillsynsmail/A 58626-2024 tillsynsbegäran mail.docx", "A 58626-2024")</f>
        <v/>
      </c>
    </row>
    <row r="502" ht="15" customHeight="1">
      <c r="A502" t="inlineStr">
        <is>
          <t>A 60910-2023</t>
        </is>
      </c>
      <c r="B502" s="1" t="n">
        <v>45261.38623842593</v>
      </c>
      <c r="C502" s="1" t="n">
        <v>45952</v>
      </c>
      <c r="D502" t="inlineStr">
        <is>
          <t>VÄSTRA GÖTALANDS LÄN</t>
        </is>
      </c>
      <c r="E502" t="inlineStr">
        <is>
          <t>TRANEMO</t>
        </is>
      </c>
      <c r="G502" t="n">
        <v>1.1</v>
      </c>
      <c r="H502" t="n">
        <v>1</v>
      </c>
      <c r="I502" t="n">
        <v>0</v>
      </c>
      <c r="J502" t="n">
        <v>1</v>
      </c>
      <c r="K502" t="n">
        <v>0</v>
      </c>
      <c r="L502" t="n">
        <v>0</v>
      </c>
      <c r="M502" t="n">
        <v>0</v>
      </c>
      <c r="N502" t="n">
        <v>0</v>
      </c>
      <c r="O502" t="n">
        <v>1</v>
      </c>
      <c r="P502" t="n">
        <v>0</v>
      </c>
      <c r="Q502" t="n">
        <v>1</v>
      </c>
      <c r="R502" s="2" t="inlineStr">
        <is>
          <t>Smålom</t>
        </is>
      </c>
      <c r="S502">
        <f>HYPERLINK("https://klasma.github.io/Logging_1452/artfynd/A 60910-2023 artfynd.xlsx", "A 60910-2023")</f>
        <v/>
      </c>
      <c r="T502">
        <f>HYPERLINK("https://klasma.github.io/Logging_1452/kartor/A 60910-2023 karta.png", "A 60910-2023")</f>
        <v/>
      </c>
      <c r="V502">
        <f>HYPERLINK("https://klasma.github.io/Logging_1452/klagomål/A 60910-2023 FSC-klagomål.docx", "A 60910-2023")</f>
        <v/>
      </c>
      <c r="W502">
        <f>HYPERLINK("https://klasma.github.io/Logging_1452/klagomålsmail/A 60910-2023 FSC-klagomål mail.docx", "A 60910-2023")</f>
        <v/>
      </c>
      <c r="X502">
        <f>HYPERLINK("https://klasma.github.io/Logging_1452/tillsyn/A 60910-2023 tillsynsbegäran.docx", "A 60910-2023")</f>
        <v/>
      </c>
      <c r="Y502">
        <f>HYPERLINK("https://klasma.github.io/Logging_1452/tillsynsmail/A 60910-2023 tillsynsbegäran mail.docx", "A 60910-2023")</f>
        <v/>
      </c>
      <c r="Z502">
        <f>HYPERLINK("https://klasma.github.io/Logging_1452/fåglar/A 60910-2023 prioriterade fågelarter.docx", "A 60910-2023")</f>
        <v/>
      </c>
    </row>
    <row r="503" ht="15" customHeight="1">
      <c r="A503" t="inlineStr">
        <is>
          <t>A 21101-2023</t>
        </is>
      </c>
      <c r="B503" s="1" t="n">
        <v>45061</v>
      </c>
      <c r="C503" s="1" t="n">
        <v>45952</v>
      </c>
      <c r="D503" t="inlineStr">
        <is>
          <t>VÄSTRA GÖTALANDS LÄN</t>
        </is>
      </c>
      <c r="E503" t="inlineStr">
        <is>
          <t>HÄRRYDA</t>
        </is>
      </c>
      <c r="G503" t="n">
        <v>0.5</v>
      </c>
      <c r="H503" t="n">
        <v>1</v>
      </c>
      <c r="I503" t="n">
        <v>0</v>
      </c>
      <c r="J503" t="n">
        <v>0</v>
      </c>
      <c r="K503" t="n">
        <v>0</v>
      </c>
      <c r="L503" t="n">
        <v>0</v>
      </c>
      <c r="M503" t="n">
        <v>0</v>
      </c>
      <c r="N503" t="n">
        <v>0</v>
      </c>
      <c r="O503" t="n">
        <v>0</v>
      </c>
      <c r="P503" t="n">
        <v>0</v>
      </c>
      <c r="Q503" t="n">
        <v>1</v>
      </c>
      <c r="R503" s="2" t="inlineStr">
        <is>
          <t>Åkergroda</t>
        </is>
      </c>
      <c r="S503">
        <f>HYPERLINK("https://klasma.github.io/Logging_1401/artfynd/A 21101-2023 artfynd.xlsx", "A 21101-2023")</f>
        <v/>
      </c>
      <c r="T503">
        <f>HYPERLINK("https://klasma.github.io/Logging_1401/kartor/A 21101-2023 karta.png", "A 21101-2023")</f>
        <v/>
      </c>
      <c r="V503">
        <f>HYPERLINK("https://klasma.github.io/Logging_1401/klagomål/A 21101-2023 FSC-klagomål.docx", "A 21101-2023")</f>
        <v/>
      </c>
      <c r="W503">
        <f>HYPERLINK("https://klasma.github.io/Logging_1401/klagomålsmail/A 21101-2023 FSC-klagomål mail.docx", "A 21101-2023")</f>
        <v/>
      </c>
      <c r="X503">
        <f>HYPERLINK("https://klasma.github.io/Logging_1401/tillsyn/A 21101-2023 tillsynsbegäran.docx", "A 21101-2023")</f>
        <v/>
      </c>
      <c r="Y503">
        <f>HYPERLINK("https://klasma.github.io/Logging_1401/tillsynsmail/A 21101-2023 tillsynsbegäran mail.docx", "A 21101-2023")</f>
        <v/>
      </c>
    </row>
    <row r="504" ht="15" customHeight="1">
      <c r="A504" t="inlineStr">
        <is>
          <t>A 7062-2024</t>
        </is>
      </c>
      <c r="B504" s="1" t="n">
        <v>45343</v>
      </c>
      <c r="C504" s="1" t="n">
        <v>45952</v>
      </c>
      <c r="D504" t="inlineStr">
        <is>
          <t>VÄSTRA GÖTALANDS LÄN</t>
        </is>
      </c>
      <c r="E504" t="inlineStr">
        <is>
          <t>LILLA EDET</t>
        </is>
      </c>
      <c r="G504" t="n">
        <v>9.1</v>
      </c>
      <c r="H504" t="n">
        <v>1</v>
      </c>
      <c r="I504" t="n">
        <v>0</v>
      </c>
      <c r="J504" t="n">
        <v>0</v>
      </c>
      <c r="K504" t="n">
        <v>0</v>
      </c>
      <c r="L504" t="n">
        <v>0</v>
      </c>
      <c r="M504" t="n">
        <v>0</v>
      </c>
      <c r="N504" t="n">
        <v>0</v>
      </c>
      <c r="O504" t="n">
        <v>0</v>
      </c>
      <c r="P504" t="n">
        <v>0</v>
      </c>
      <c r="Q504" t="n">
        <v>1</v>
      </c>
      <c r="R504" s="2" t="inlineStr">
        <is>
          <t>Revlummer</t>
        </is>
      </c>
      <c r="S504">
        <f>HYPERLINK("https://klasma.github.io/Logging_1462/artfynd/A 7062-2024 artfynd.xlsx", "A 7062-2024")</f>
        <v/>
      </c>
      <c r="T504">
        <f>HYPERLINK("https://klasma.github.io/Logging_1462/kartor/A 7062-2024 karta.png", "A 7062-2024")</f>
        <v/>
      </c>
      <c r="V504">
        <f>HYPERLINK("https://klasma.github.io/Logging_1462/klagomål/A 7062-2024 FSC-klagomål.docx", "A 7062-2024")</f>
        <v/>
      </c>
      <c r="W504">
        <f>HYPERLINK("https://klasma.github.io/Logging_1462/klagomålsmail/A 7062-2024 FSC-klagomål mail.docx", "A 7062-2024")</f>
        <v/>
      </c>
      <c r="X504">
        <f>HYPERLINK("https://klasma.github.io/Logging_1462/tillsyn/A 7062-2024 tillsynsbegäran.docx", "A 7062-2024")</f>
        <v/>
      </c>
      <c r="Y504">
        <f>HYPERLINK("https://klasma.github.io/Logging_1462/tillsynsmail/A 7062-2024 tillsynsbegäran mail.docx", "A 7062-2024")</f>
        <v/>
      </c>
    </row>
    <row r="505" ht="15" customHeight="1">
      <c r="A505" t="inlineStr">
        <is>
          <t>A 25432-2021</t>
        </is>
      </c>
      <c r="B505" s="1" t="n">
        <v>44342</v>
      </c>
      <c r="C505" s="1" t="n">
        <v>45952</v>
      </c>
      <c r="D505" t="inlineStr">
        <is>
          <t>VÄSTRA GÖTALANDS LÄN</t>
        </is>
      </c>
      <c r="E505" t="inlineStr">
        <is>
          <t>GULLSPÅNG</t>
        </is>
      </c>
      <c r="G505" t="n">
        <v>7.8</v>
      </c>
      <c r="H505" t="n">
        <v>0</v>
      </c>
      <c r="I505" t="n">
        <v>0</v>
      </c>
      <c r="J505" t="n">
        <v>1</v>
      </c>
      <c r="K505" t="n">
        <v>0</v>
      </c>
      <c r="L505" t="n">
        <v>0</v>
      </c>
      <c r="M505" t="n">
        <v>0</v>
      </c>
      <c r="N505" t="n">
        <v>0</v>
      </c>
      <c r="O505" t="n">
        <v>1</v>
      </c>
      <c r="P505" t="n">
        <v>0</v>
      </c>
      <c r="Q505" t="n">
        <v>1</v>
      </c>
      <c r="R505" s="2" t="inlineStr">
        <is>
          <t>Åkerrödtoppa</t>
        </is>
      </c>
      <c r="S505">
        <f>HYPERLINK("https://klasma.github.io/Logging_1447/artfynd/A 25432-2021 artfynd.xlsx", "A 25432-2021")</f>
        <v/>
      </c>
      <c r="T505">
        <f>HYPERLINK("https://klasma.github.io/Logging_1447/kartor/A 25432-2021 karta.png", "A 25432-2021")</f>
        <v/>
      </c>
      <c r="V505">
        <f>HYPERLINK("https://klasma.github.io/Logging_1447/klagomål/A 25432-2021 FSC-klagomål.docx", "A 25432-2021")</f>
        <v/>
      </c>
      <c r="W505">
        <f>HYPERLINK("https://klasma.github.io/Logging_1447/klagomålsmail/A 25432-2021 FSC-klagomål mail.docx", "A 25432-2021")</f>
        <v/>
      </c>
      <c r="X505">
        <f>HYPERLINK("https://klasma.github.io/Logging_1447/tillsyn/A 25432-2021 tillsynsbegäran.docx", "A 25432-2021")</f>
        <v/>
      </c>
      <c r="Y505">
        <f>HYPERLINK("https://klasma.github.io/Logging_1447/tillsynsmail/A 25432-2021 tillsynsbegäran mail.docx", "A 25432-2021")</f>
        <v/>
      </c>
    </row>
    <row r="506" ht="15" customHeight="1">
      <c r="A506" t="inlineStr">
        <is>
          <t>A 37011-2022</t>
        </is>
      </c>
      <c r="B506" s="1" t="n">
        <v>44806</v>
      </c>
      <c r="C506" s="1" t="n">
        <v>45952</v>
      </c>
      <c r="D506" t="inlineStr">
        <is>
          <t>VÄSTRA GÖTALANDS LÄN</t>
        </is>
      </c>
      <c r="E506" t="inlineStr">
        <is>
          <t>GÖTEBORG</t>
        </is>
      </c>
      <c r="G506" t="n">
        <v>2.9</v>
      </c>
      <c r="H506" t="n">
        <v>1</v>
      </c>
      <c r="I506" t="n">
        <v>0</v>
      </c>
      <c r="J506" t="n">
        <v>0</v>
      </c>
      <c r="K506" t="n">
        <v>1</v>
      </c>
      <c r="L506" t="n">
        <v>0</v>
      </c>
      <c r="M506" t="n">
        <v>0</v>
      </c>
      <c r="N506" t="n">
        <v>0</v>
      </c>
      <c r="O506" t="n">
        <v>1</v>
      </c>
      <c r="P506" t="n">
        <v>1</v>
      </c>
      <c r="Q506" t="n">
        <v>1</v>
      </c>
      <c r="R506" s="2" t="inlineStr">
        <is>
          <t>Hasselsnok</t>
        </is>
      </c>
      <c r="S506">
        <f>HYPERLINK("https://klasma.github.io/Logging_1480/artfynd/A 37011-2022 artfynd.xlsx", "A 37011-2022")</f>
        <v/>
      </c>
      <c r="T506">
        <f>HYPERLINK("https://klasma.github.io/Logging_1480/kartor/A 37011-2022 karta.png", "A 37011-2022")</f>
        <v/>
      </c>
      <c r="V506">
        <f>HYPERLINK("https://klasma.github.io/Logging_1480/klagomål/A 37011-2022 FSC-klagomål.docx", "A 37011-2022")</f>
        <v/>
      </c>
      <c r="W506">
        <f>HYPERLINK("https://klasma.github.io/Logging_1480/klagomålsmail/A 37011-2022 FSC-klagomål mail.docx", "A 37011-2022")</f>
        <v/>
      </c>
      <c r="X506">
        <f>HYPERLINK("https://klasma.github.io/Logging_1480/tillsyn/A 37011-2022 tillsynsbegäran.docx", "A 37011-2022")</f>
        <v/>
      </c>
      <c r="Y506">
        <f>HYPERLINK("https://klasma.github.io/Logging_1480/tillsynsmail/A 37011-2022 tillsynsbegäran mail.docx", "A 37011-2022")</f>
        <v/>
      </c>
    </row>
    <row r="507" ht="15" customHeight="1">
      <c r="A507" t="inlineStr">
        <is>
          <t>A 7185-2024</t>
        </is>
      </c>
      <c r="B507" s="1" t="n">
        <v>45344</v>
      </c>
      <c r="C507" s="1" t="n">
        <v>45952</v>
      </c>
      <c r="D507" t="inlineStr">
        <is>
          <t>VÄSTRA GÖTALANDS LÄN</t>
        </is>
      </c>
      <c r="E507" t="inlineStr">
        <is>
          <t>SVENLJUNGA</t>
        </is>
      </c>
      <c r="F507" t="inlineStr">
        <is>
          <t>Kommuner</t>
        </is>
      </c>
      <c r="G507" t="n">
        <v>1</v>
      </c>
      <c r="H507" t="n">
        <v>1</v>
      </c>
      <c r="I507" t="n">
        <v>0</v>
      </c>
      <c r="J507" t="n">
        <v>0</v>
      </c>
      <c r="K507" t="n">
        <v>0</v>
      </c>
      <c r="L507" t="n">
        <v>0</v>
      </c>
      <c r="M507" t="n">
        <v>0</v>
      </c>
      <c r="N507" t="n">
        <v>0</v>
      </c>
      <c r="O507" t="n">
        <v>0</v>
      </c>
      <c r="P507" t="n">
        <v>0</v>
      </c>
      <c r="Q507" t="n">
        <v>1</v>
      </c>
      <c r="R507" s="2" t="inlineStr">
        <is>
          <t>Revlummer</t>
        </is>
      </c>
      <c r="S507">
        <f>HYPERLINK("https://klasma.github.io/Logging_1465/artfynd/A 7185-2024 artfynd.xlsx", "A 7185-2024")</f>
        <v/>
      </c>
      <c r="T507">
        <f>HYPERLINK("https://klasma.github.io/Logging_1465/kartor/A 7185-2024 karta.png", "A 7185-2024")</f>
        <v/>
      </c>
      <c r="V507">
        <f>HYPERLINK("https://klasma.github.io/Logging_1465/klagomål/A 7185-2024 FSC-klagomål.docx", "A 7185-2024")</f>
        <v/>
      </c>
      <c r="W507">
        <f>HYPERLINK("https://klasma.github.io/Logging_1465/klagomålsmail/A 7185-2024 FSC-klagomål mail.docx", "A 7185-2024")</f>
        <v/>
      </c>
      <c r="X507">
        <f>HYPERLINK("https://klasma.github.io/Logging_1465/tillsyn/A 7185-2024 tillsynsbegäran.docx", "A 7185-2024")</f>
        <v/>
      </c>
      <c r="Y507">
        <f>HYPERLINK("https://klasma.github.io/Logging_1465/tillsynsmail/A 7185-2024 tillsynsbegäran mail.docx", "A 7185-2024")</f>
        <v/>
      </c>
    </row>
    <row r="508" ht="15" customHeight="1">
      <c r="A508" t="inlineStr">
        <is>
          <t>A 53880-2022</t>
        </is>
      </c>
      <c r="B508" s="1" t="n">
        <v>44880.67344907407</v>
      </c>
      <c r="C508" s="1" t="n">
        <v>45952</v>
      </c>
      <c r="D508" t="inlineStr">
        <is>
          <t>VÄSTRA GÖTALANDS LÄN</t>
        </is>
      </c>
      <c r="E508" t="inlineStr">
        <is>
          <t>MARIESTAD</t>
        </is>
      </c>
      <c r="G508" t="n">
        <v>2.2</v>
      </c>
      <c r="H508" t="n">
        <v>0</v>
      </c>
      <c r="I508" t="n">
        <v>0</v>
      </c>
      <c r="J508" t="n">
        <v>1</v>
      </c>
      <c r="K508" t="n">
        <v>0</v>
      </c>
      <c r="L508" t="n">
        <v>0</v>
      </c>
      <c r="M508" t="n">
        <v>0</v>
      </c>
      <c r="N508" t="n">
        <v>0</v>
      </c>
      <c r="O508" t="n">
        <v>1</v>
      </c>
      <c r="P508" t="n">
        <v>0</v>
      </c>
      <c r="Q508" t="n">
        <v>1</v>
      </c>
      <c r="R508" s="2" t="inlineStr">
        <is>
          <t>Svinrot</t>
        </is>
      </c>
      <c r="S508">
        <f>HYPERLINK("https://klasma.github.io/Logging_1493/artfynd/A 53880-2022 artfynd.xlsx", "A 53880-2022")</f>
        <v/>
      </c>
      <c r="T508">
        <f>HYPERLINK("https://klasma.github.io/Logging_1493/kartor/A 53880-2022 karta.png", "A 53880-2022")</f>
        <v/>
      </c>
      <c r="V508">
        <f>HYPERLINK("https://klasma.github.io/Logging_1493/klagomål/A 53880-2022 FSC-klagomål.docx", "A 53880-2022")</f>
        <v/>
      </c>
      <c r="W508">
        <f>HYPERLINK("https://klasma.github.io/Logging_1493/klagomålsmail/A 53880-2022 FSC-klagomål mail.docx", "A 53880-2022")</f>
        <v/>
      </c>
      <c r="X508">
        <f>HYPERLINK("https://klasma.github.io/Logging_1493/tillsyn/A 53880-2022 tillsynsbegäran.docx", "A 53880-2022")</f>
        <v/>
      </c>
      <c r="Y508">
        <f>HYPERLINK("https://klasma.github.io/Logging_1493/tillsynsmail/A 53880-2022 tillsynsbegäran mail.docx", "A 53880-2022")</f>
        <v/>
      </c>
    </row>
    <row r="509" ht="15" customHeight="1">
      <c r="A509" t="inlineStr">
        <is>
          <t>A 20086-2023</t>
        </is>
      </c>
      <c r="B509" s="1" t="n">
        <v>45054</v>
      </c>
      <c r="C509" s="1" t="n">
        <v>45952</v>
      </c>
      <c r="D509" t="inlineStr">
        <is>
          <t>VÄSTRA GÖTALANDS LÄN</t>
        </is>
      </c>
      <c r="E509" t="inlineStr">
        <is>
          <t>ORUST</t>
        </is>
      </c>
      <c r="G509" t="n">
        <v>1.9</v>
      </c>
      <c r="H509" t="n">
        <v>1</v>
      </c>
      <c r="I509" t="n">
        <v>0</v>
      </c>
      <c r="J509" t="n">
        <v>0</v>
      </c>
      <c r="K509" t="n">
        <v>1</v>
      </c>
      <c r="L509" t="n">
        <v>0</v>
      </c>
      <c r="M509" t="n">
        <v>0</v>
      </c>
      <c r="N509" t="n">
        <v>0</v>
      </c>
      <c r="O509" t="n">
        <v>1</v>
      </c>
      <c r="P509" t="n">
        <v>1</v>
      </c>
      <c r="Q509" t="n">
        <v>1</v>
      </c>
      <c r="R509" s="2" t="inlineStr">
        <is>
          <t>Knärot</t>
        </is>
      </c>
      <c r="S509">
        <f>HYPERLINK("https://klasma.github.io/Logging_1421/artfynd/A 20086-2023 artfynd.xlsx", "A 20086-2023")</f>
        <v/>
      </c>
      <c r="T509">
        <f>HYPERLINK("https://klasma.github.io/Logging_1421/kartor/A 20086-2023 karta.png", "A 20086-2023")</f>
        <v/>
      </c>
      <c r="U509">
        <f>HYPERLINK("https://klasma.github.io/Logging_1421/knärot/A 20086-2023 karta knärot.png", "A 20086-2023")</f>
        <v/>
      </c>
      <c r="V509">
        <f>HYPERLINK("https://klasma.github.io/Logging_1421/klagomål/A 20086-2023 FSC-klagomål.docx", "A 20086-2023")</f>
        <v/>
      </c>
      <c r="W509">
        <f>HYPERLINK("https://klasma.github.io/Logging_1421/klagomålsmail/A 20086-2023 FSC-klagomål mail.docx", "A 20086-2023")</f>
        <v/>
      </c>
      <c r="X509">
        <f>HYPERLINK("https://klasma.github.io/Logging_1421/tillsyn/A 20086-2023 tillsynsbegäran.docx", "A 20086-2023")</f>
        <v/>
      </c>
      <c r="Y509">
        <f>HYPERLINK("https://klasma.github.io/Logging_1421/tillsynsmail/A 20086-2023 tillsynsbegäran mail.docx", "A 20086-2023")</f>
        <v/>
      </c>
    </row>
    <row r="510" ht="15" customHeight="1">
      <c r="A510" t="inlineStr">
        <is>
          <t>A 11709-2024</t>
        </is>
      </c>
      <c r="B510" s="1" t="n">
        <v>45373.61430555556</v>
      </c>
      <c r="C510" s="1" t="n">
        <v>45952</v>
      </c>
      <c r="D510" t="inlineStr">
        <is>
          <t>VÄSTRA GÖTALANDS LÄN</t>
        </is>
      </c>
      <c r="E510" t="inlineStr">
        <is>
          <t>VÄNERSBORG</t>
        </is>
      </c>
      <c r="G510" t="n">
        <v>4.1</v>
      </c>
      <c r="H510" t="n">
        <v>0</v>
      </c>
      <c r="I510" t="n">
        <v>0</v>
      </c>
      <c r="J510" t="n">
        <v>1</v>
      </c>
      <c r="K510" t="n">
        <v>0</v>
      </c>
      <c r="L510" t="n">
        <v>0</v>
      </c>
      <c r="M510" t="n">
        <v>0</v>
      </c>
      <c r="N510" t="n">
        <v>0</v>
      </c>
      <c r="O510" t="n">
        <v>1</v>
      </c>
      <c r="P510" t="n">
        <v>0</v>
      </c>
      <c r="Q510" t="n">
        <v>1</v>
      </c>
      <c r="R510" s="2" t="inlineStr">
        <is>
          <t>Gullklöver</t>
        </is>
      </c>
      <c r="S510">
        <f>HYPERLINK("https://klasma.github.io/Logging_1487/artfynd/A 11709-2024 artfynd.xlsx", "A 11709-2024")</f>
        <v/>
      </c>
      <c r="T510">
        <f>HYPERLINK("https://klasma.github.io/Logging_1487/kartor/A 11709-2024 karta.png", "A 11709-2024")</f>
        <v/>
      </c>
      <c r="V510">
        <f>HYPERLINK("https://klasma.github.io/Logging_1487/klagomål/A 11709-2024 FSC-klagomål.docx", "A 11709-2024")</f>
        <v/>
      </c>
      <c r="W510">
        <f>HYPERLINK("https://klasma.github.io/Logging_1487/klagomålsmail/A 11709-2024 FSC-klagomål mail.docx", "A 11709-2024")</f>
        <v/>
      </c>
      <c r="X510">
        <f>HYPERLINK("https://klasma.github.io/Logging_1487/tillsyn/A 11709-2024 tillsynsbegäran.docx", "A 11709-2024")</f>
        <v/>
      </c>
      <c r="Y510">
        <f>HYPERLINK("https://klasma.github.io/Logging_1487/tillsynsmail/A 11709-2024 tillsynsbegäran mail.docx", "A 11709-2024")</f>
        <v/>
      </c>
    </row>
    <row r="511" ht="15" customHeight="1">
      <c r="A511" t="inlineStr">
        <is>
          <t>A 11214-2023</t>
        </is>
      </c>
      <c r="B511" s="1" t="n">
        <v>44992</v>
      </c>
      <c r="C511" s="1" t="n">
        <v>45952</v>
      </c>
      <c r="D511" t="inlineStr">
        <is>
          <t>VÄSTRA GÖTALANDS LÄN</t>
        </is>
      </c>
      <c r="E511" t="inlineStr">
        <is>
          <t>VÅRGÅRDA</t>
        </is>
      </c>
      <c r="G511" t="n">
        <v>1.9</v>
      </c>
      <c r="H511" t="n">
        <v>1</v>
      </c>
      <c r="I511" t="n">
        <v>0</v>
      </c>
      <c r="J511" t="n">
        <v>0</v>
      </c>
      <c r="K511" t="n">
        <v>1</v>
      </c>
      <c r="L511" t="n">
        <v>0</v>
      </c>
      <c r="M511" t="n">
        <v>0</v>
      </c>
      <c r="N511" t="n">
        <v>0</v>
      </c>
      <c r="O511" t="n">
        <v>1</v>
      </c>
      <c r="P511" t="n">
        <v>1</v>
      </c>
      <c r="Q511" t="n">
        <v>1</v>
      </c>
      <c r="R511" s="2" t="inlineStr">
        <is>
          <t>Stare</t>
        </is>
      </c>
      <c r="S511">
        <f>HYPERLINK("https://klasma.github.io/Logging_1442/artfynd/A 11214-2023 artfynd.xlsx", "A 11214-2023")</f>
        <v/>
      </c>
      <c r="T511">
        <f>HYPERLINK("https://klasma.github.io/Logging_1442/kartor/A 11214-2023 karta.png", "A 11214-2023")</f>
        <v/>
      </c>
      <c r="V511">
        <f>HYPERLINK("https://klasma.github.io/Logging_1442/klagomål/A 11214-2023 FSC-klagomål.docx", "A 11214-2023")</f>
        <v/>
      </c>
      <c r="W511">
        <f>HYPERLINK("https://klasma.github.io/Logging_1442/klagomålsmail/A 11214-2023 FSC-klagomål mail.docx", "A 11214-2023")</f>
        <v/>
      </c>
      <c r="X511">
        <f>HYPERLINK("https://klasma.github.io/Logging_1442/tillsyn/A 11214-2023 tillsynsbegäran.docx", "A 11214-2023")</f>
        <v/>
      </c>
      <c r="Y511">
        <f>HYPERLINK("https://klasma.github.io/Logging_1442/tillsynsmail/A 11214-2023 tillsynsbegäran mail.docx", "A 11214-2023")</f>
        <v/>
      </c>
    </row>
    <row r="512" ht="15" customHeight="1">
      <c r="A512" t="inlineStr">
        <is>
          <t>A 3700-2024</t>
        </is>
      </c>
      <c r="B512" s="1" t="n">
        <v>45321</v>
      </c>
      <c r="C512" s="1" t="n">
        <v>45952</v>
      </c>
      <c r="D512" t="inlineStr">
        <is>
          <t>VÄSTRA GÖTALANDS LÄN</t>
        </is>
      </c>
      <c r="E512" t="inlineStr">
        <is>
          <t>FALKÖPING</t>
        </is>
      </c>
      <c r="F512" t="inlineStr">
        <is>
          <t>Kommuner</t>
        </is>
      </c>
      <c r="G512" t="n">
        <v>0.8</v>
      </c>
      <c r="H512" t="n">
        <v>0</v>
      </c>
      <c r="I512" t="n">
        <v>0</v>
      </c>
      <c r="J512" t="n">
        <v>0</v>
      </c>
      <c r="K512" t="n">
        <v>0</v>
      </c>
      <c r="L512" t="n">
        <v>1</v>
      </c>
      <c r="M512" t="n">
        <v>0</v>
      </c>
      <c r="N512" t="n">
        <v>0</v>
      </c>
      <c r="O512" t="n">
        <v>1</v>
      </c>
      <c r="P512" t="n">
        <v>1</v>
      </c>
      <c r="Q512" t="n">
        <v>1</v>
      </c>
      <c r="R512" s="2" t="inlineStr">
        <is>
          <t>Ask</t>
        </is>
      </c>
      <c r="S512">
        <f>HYPERLINK("https://klasma.github.io/Logging_1499/artfynd/A 3700-2024 artfynd.xlsx", "A 3700-2024")</f>
        <v/>
      </c>
      <c r="T512">
        <f>HYPERLINK("https://klasma.github.io/Logging_1499/kartor/A 3700-2024 karta.png", "A 3700-2024")</f>
        <v/>
      </c>
      <c r="V512">
        <f>HYPERLINK("https://klasma.github.io/Logging_1499/klagomål/A 3700-2024 FSC-klagomål.docx", "A 3700-2024")</f>
        <v/>
      </c>
      <c r="W512">
        <f>HYPERLINK("https://klasma.github.io/Logging_1499/klagomålsmail/A 3700-2024 FSC-klagomål mail.docx", "A 3700-2024")</f>
        <v/>
      </c>
      <c r="X512">
        <f>HYPERLINK("https://klasma.github.io/Logging_1499/tillsyn/A 3700-2024 tillsynsbegäran.docx", "A 3700-2024")</f>
        <v/>
      </c>
      <c r="Y512">
        <f>HYPERLINK("https://klasma.github.io/Logging_1499/tillsynsmail/A 3700-2024 tillsynsbegäran mail.docx", "A 3700-2024")</f>
        <v/>
      </c>
    </row>
    <row r="513" ht="15" customHeight="1">
      <c r="A513" t="inlineStr">
        <is>
          <t>A 61244-2024</t>
        </is>
      </c>
      <c r="B513" s="1" t="n">
        <v>45645.68797453704</v>
      </c>
      <c r="C513" s="1" t="n">
        <v>45952</v>
      </c>
      <c r="D513" t="inlineStr">
        <is>
          <t>VÄSTRA GÖTALANDS LÄN</t>
        </is>
      </c>
      <c r="E513" t="inlineStr">
        <is>
          <t>BOLLEBYGD</t>
        </is>
      </c>
      <c r="G513" t="n">
        <v>4</v>
      </c>
      <c r="H513" t="n">
        <v>0</v>
      </c>
      <c r="I513" t="n">
        <v>0</v>
      </c>
      <c r="J513" t="n">
        <v>1</v>
      </c>
      <c r="K513" t="n">
        <v>0</v>
      </c>
      <c r="L513" t="n">
        <v>0</v>
      </c>
      <c r="M513" t="n">
        <v>0</v>
      </c>
      <c r="N513" t="n">
        <v>0</v>
      </c>
      <c r="O513" t="n">
        <v>1</v>
      </c>
      <c r="P513" t="n">
        <v>0</v>
      </c>
      <c r="Q513" t="n">
        <v>1</v>
      </c>
      <c r="R513" s="2" t="inlineStr">
        <is>
          <t>Grönhjon</t>
        </is>
      </c>
      <c r="S513">
        <f>HYPERLINK("https://klasma.github.io/Logging_1443/artfynd/A 61244-2024 artfynd.xlsx", "A 61244-2024")</f>
        <v/>
      </c>
      <c r="T513">
        <f>HYPERLINK("https://klasma.github.io/Logging_1443/kartor/A 61244-2024 karta.png", "A 61244-2024")</f>
        <v/>
      </c>
      <c r="V513">
        <f>HYPERLINK("https://klasma.github.io/Logging_1443/klagomål/A 61244-2024 FSC-klagomål.docx", "A 61244-2024")</f>
        <v/>
      </c>
      <c r="W513">
        <f>HYPERLINK("https://klasma.github.io/Logging_1443/klagomålsmail/A 61244-2024 FSC-klagomål mail.docx", "A 61244-2024")</f>
        <v/>
      </c>
      <c r="X513">
        <f>HYPERLINK("https://klasma.github.io/Logging_1443/tillsyn/A 61244-2024 tillsynsbegäran.docx", "A 61244-2024")</f>
        <v/>
      </c>
      <c r="Y513">
        <f>HYPERLINK("https://klasma.github.io/Logging_1443/tillsynsmail/A 61244-2024 tillsynsbegäran mail.docx", "A 61244-2024")</f>
        <v/>
      </c>
    </row>
    <row r="514" ht="15" customHeight="1">
      <c r="A514" t="inlineStr">
        <is>
          <t>A 40355-2022</t>
        </is>
      </c>
      <c r="B514" s="1" t="n">
        <v>44818</v>
      </c>
      <c r="C514" s="1" t="n">
        <v>45952</v>
      </c>
      <c r="D514" t="inlineStr">
        <is>
          <t>VÄSTRA GÖTALANDS LÄN</t>
        </is>
      </c>
      <c r="E514" t="inlineStr">
        <is>
          <t>DALS-ED</t>
        </is>
      </c>
      <c r="F514" t="inlineStr">
        <is>
          <t>Kyrkan</t>
        </is>
      </c>
      <c r="G514" t="n">
        <v>4.2</v>
      </c>
      <c r="H514" t="n">
        <v>0</v>
      </c>
      <c r="I514" t="n">
        <v>0</v>
      </c>
      <c r="J514" t="n">
        <v>0</v>
      </c>
      <c r="K514" t="n">
        <v>0</v>
      </c>
      <c r="L514" t="n">
        <v>1</v>
      </c>
      <c r="M514" t="n">
        <v>0</v>
      </c>
      <c r="N514" t="n">
        <v>0</v>
      </c>
      <c r="O514" t="n">
        <v>1</v>
      </c>
      <c r="P514" t="n">
        <v>1</v>
      </c>
      <c r="Q514" t="n">
        <v>1</v>
      </c>
      <c r="R514" s="2" t="inlineStr">
        <is>
          <t>Kantlök</t>
        </is>
      </c>
      <c r="S514">
        <f>HYPERLINK("https://klasma.github.io/Logging_1438/artfynd/A 40355-2022 artfynd.xlsx", "A 40355-2022")</f>
        <v/>
      </c>
      <c r="T514">
        <f>HYPERLINK("https://klasma.github.io/Logging_1438/kartor/A 40355-2022 karta.png", "A 40355-2022")</f>
        <v/>
      </c>
      <c r="V514">
        <f>HYPERLINK("https://klasma.github.io/Logging_1438/klagomål/A 40355-2022 FSC-klagomål.docx", "A 40355-2022")</f>
        <v/>
      </c>
      <c r="W514">
        <f>HYPERLINK("https://klasma.github.io/Logging_1438/klagomålsmail/A 40355-2022 FSC-klagomål mail.docx", "A 40355-2022")</f>
        <v/>
      </c>
      <c r="X514">
        <f>HYPERLINK("https://klasma.github.io/Logging_1438/tillsyn/A 40355-2022 tillsynsbegäran.docx", "A 40355-2022")</f>
        <v/>
      </c>
      <c r="Y514">
        <f>HYPERLINK("https://klasma.github.io/Logging_1438/tillsynsmail/A 40355-2022 tillsynsbegäran mail.docx", "A 40355-2022")</f>
        <v/>
      </c>
    </row>
    <row r="515" ht="15" customHeight="1">
      <c r="A515" t="inlineStr">
        <is>
          <t>A 23151-2022</t>
        </is>
      </c>
      <c r="B515" s="1" t="n">
        <v>44719</v>
      </c>
      <c r="C515" s="1" t="n">
        <v>45952</v>
      </c>
      <c r="D515" t="inlineStr">
        <is>
          <t>VÄSTRA GÖTALANDS LÄN</t>
        </is>
      </c>
      <c r="E515" t="inlineStr">
        <is>
          <t>TANUM</t>
        </is>
      </c>
      <c r="G515" t="n">
        <v>4</v>
      </c>
      <c r="H515" t="n">
        <v>1</v>
      </c>
      <c r="I515" t="n">
        <v>0</v>
      </c>
      <c r="J515" t="n">
        <v>0</v>
      </c>
      <c r="K515" t="n">
        <v>0</v>
      </c>
      <c r="L515" t="n">
        <v>0</v>
      </c>
      <c r="M515" t="n">
        <v>0</v>
      </c>
      <c r="N515" t="n">
        <v>0</v>
      </c>
      <c r="O515" t="n">
        <v>0</v>
      </c>
      <c r="P515" t="n">
        <v>0</v>
      </c>
      <c r="Q515" t="n">
        <v>1</v>
      </c>
      <c r="R515" s="2" t="inlineStr">
        <is>
          <t>Blåsippa</t>
        </is>
      </c>
      <c r="S515">
        <f>HYPERLINK("https://klasma.github.io/Logging_1435/artfynd/A 23151-2022 artfynd.xlsx", "A 23151-2022")</f>
        <v/>
      </c>
      <c r="T515">
        <f>HYPERLINK("https://klasma.github.io/Logging_1435/kartor/A 23151-2022 karta.png", "A 23151-2022")</f>
        <v/>
      </c>
      <c r="V515">
        <f>HYPERLINK("https://klasma.github.io/Logging_1435/klagomål/A 23151-2022 FSC-klagomål.docx", "A 23151-2022")</f>
        <v/>
      </c>
      <c r="W515">
        <f>HYPERLINK("https://klasma.github.io/Logging_1435/klagomålsmail/A 23151-2022 FSC-klagomål mail.docx", "A 23151-2022")</f>
        <v/>
      </c>
      <c r="X515">
        <f>HYPERLINK("https://klasma.github.io/Logging_1435/tillsyn/A 23151-2022 tillsynsbegäran.docx", "A 23151-2022")</f>
        <v/>
      </c>
      <c r="Y515">
        <f>HYPERLINK("https://klasma.github.io/Logging_1435/tillsynsmail/A 23151-2022 tillsynsbegäran mail.docx", "A 23151-2022")</f>
        <v/>
      </c>
    </row>
    <row r="516" ht="15" customHeight="1">
      <c r="A516" t="inlineStr">
        <is>
          <t>A 15042-2024</t>
        </is>
      </c>
      <c r="B516" s="1" t="n">
        <v>45399.49349537037</v>
      </c>
      <c r="C516" s="1" t="n">
        <v>45952</v>
      </c>
      <c r="D516" t="inlineStr">
        <is>
          <t>VÄSTRA GÖTALANDS LÄN</t>
        </is>
      </c>
      <c r="E516" t="inlineStr">
        <is>
          <t>HERRLJUNGA</t>
        </is>
      </c>
      <c r="F516" t="inlineStr">
        <is>
          <t>Sveaskog</t>
        </is>
      </c>
      <c r="G516" t="n">
        <v>14.2</v>
      </c>
      <c r="H516" t="n">
        <v>1</v>
      </c>
      <c r="I516" t="n">
        <v>0</v>
      </c>
      <c r="J516" t="n">
        <v>1</v>
      </c>
      <c r="K516" t="n">
        <v>0</v>
      </c>
      <c r="L516" t="n">
        <v>0</v>
      </c>
      <c r="M516" t="n">
        <v>0</v>
      </c>
      <c r="N516" t="n">
        <v>0</v>
      </c>
      <c r="O516" t="n">
        <v>1</v>
      </c>
      <c r="P516" t="n">
        <v>0</v>
      </c>
      <c r="Q516" t="n">
        <v>1</v>
      </c>
      <c r="R516" s="2" t="inlineStr">
        <is>
          <t>Björktrast</t>
        </is>
      </c>
      <c r="S516">
        <f>HYPERLINK("https://klasma.github.io/Logging_1466/artfynd/A 15042-2024 artfynd.xlsx", "A 15042-2024")</f>
        <v/>
      </c>
      <c r="T516">
        <f>HYPERLINK("https://klasma.github.io/Logging_1466/kartor/A 15042-2024 karta.png", "A 15042-2024")</f>
        <v/>
      </c>
      <c r="V516">
        <f>HYPERLINK("https://klasma.github.io/Logging_1466/klagomål/A 15042-2024 FSC-klagomål.docx", "A 15042-2024")</f>
        <v/>
      </c>
      <c r="W516">
        <f>HYPERLINK("https://klasma.github.io/Logging_1466/klagomålsmail/A 15042-2024 FSC-klagomål mail.docx", "A 15042-2024")</f>
        <v/>
      </c>
      <c r="X516">
        <f>HYPERLINK("https://klasma.github.io/Logging_1466/tillsyn/A 15042-2024 tillsynsbegäran.docx", "A 15042-2024")</f>
        <v/>
      </c>
      <c r="Y516">
        <f>HYPERLINK("https://klasma.github.io/Logging_1466/tillsynsmail/A 15042-2024 tillsynsbegäran mail.docx", "A 15042-2024")</f>
        <v/>
      </c>
      <c r="Z516">
        <f>HYPERLINK("https://klasma.github.io/Logging_1466/fåglar/A 15042-2024 prioriterade fågelarter.docx", "A 15042-2024")</f>
        <v/>
      </c>
    </row>
    <row r="517" ht="15" customHeight="1">
      <c r="A517" t="inlineStr">
        <is>
          <t>A 8055-2024</t>
        </is>
      </c>
      <c r="B517" s="1" t="n">
        <v>45351</v>
      </c>
      <c r="C517" s="1" t="n">
        <v>45952</v>
      </c>
      <c r="D517" t="inlineStr">
        <is>
          <t>VÄSTRA GÖTALANDS LÄN</t>
        </is>
      </c>
      <c r="E517" t="inlineStr">
        <is>
          <t>ULRICEHAMN</t>
        </is>
      </c>
      <c r="G517" t="n">
        <v>2.9</v>
      </c>
      <c r="H517" t="n">
        <v>1</v>
      </c>
      <c r="I517" t="n">
        <v>0</v>
      </c>
      <c r="J517" t="n">
        <v>0</v>
      </c>
      <c r="K517" t="n">
        <v>0</v>
      </c>
      <c r="L517" t="n">
        <v>0</v>
      </c>
      <c r="M517" t="n">
        <v>0</v>
      </c>
      <c r="N517" t="n">
        <v>0</v>
      </c>
      <c r="O517" t="n">
        <v>0</v>
      </c>
      <c r="P517" t="n">
        <v>0</v>
      </c>
      <c r="Q517" t="n">
        <v>1</v>
      </c>
      <c r="R517" s="2" t="inlineStr">
        <is>
          <t>Hasselmus</t>
        </is>
      </c>
      <c r="S517">
        <f>HYPERLINK("https://klasma.github.io/Logging_1491/artfynd/A 8055-2024 artfynd.xlsx", "A 8055-2024")</f>
        <v/>
      </c>
      <c r="T517">
        <f>HYPERLINK("https://klasma.github.io/Logging_1491/kartor/A 8055-2024 karta.png", "A 8055-2024")</f>
        <v/>
      </c>
      <c r="V517">
        <f>HYPERLINK("https://klasma.github.io/Logging_1491/klagomål/A 8055-2024 FSC-klagomål.docx", "A 8055-2024")</f>
        <v/>
      </c>
      <c r="W517">
        <f>HYPERLINK("https://klasma.github.io/Logging_1491/klagomålsmail/A 8055-2024 FSC-klagomål mail.docx", "A 8055-2024")</f>
        <v/>
      </c>
      <c r="X517">
        <f>HYPERLINK("https://klasma.github.io/Logging_1491/tillsyn/A 8055-2024 tillsynsbegäran.docx", "A 8055-2024")</f>
        <v/>
      </c>
      <c r="Y517">
        <f>HYPERLINK("https://klasma.github.io/Logging_1491/tillsynsmail/A 8055-2024 tillsynsbegäran mail.docx", "A 8055-2024")</f>
        <v/>
      </c>
    </row>
    <row r="518" ht="15" customHeight="1">
      <c r="A518" t="inlineStr">
        <is>
          <t>A 5971-2024</t>
        </is>
      </c>
      <c r="B518" s="1" t="n">
        <v>45336.5199537037</v>
      </c>
      <c r="C518" s="1" t="n">
        <v>45952</v>
      </c>
      <c r="D518" t="inlineStr">
        <is>
          <t>VÄSTRA GÖTALANDS LÄN</t>
        </is>
      </c>
      <c r="E518" t="inlineStr">
        <is>
          <t>BENGTSFORS</t>
        </is>
      </c>
      <c r="G518" t="n">
        <v>3.4</v>
      </c>
      <c r="H518" t="n">
        <v>0</v>
      </c>
      <c r="I518" t="n">
        <v>0</v>
      </c>
      <c r="J518" t="n">
        <v>1</v>
      </c>
      <c r="K518" t="n">
        <v>0</v>
      </c>
      <c r="L518" t="n">
        <v>0</v>
      </c>
      <c r="M518" t="n">
        <v>0</v>
      </c>
      <c r="N518" t="n">
        <v>0</v>
      </c>
      <c r="O518" t="n">
        <v>1</v>
      </c>
      <c r="P518" t="n">
        <v>0</v>
      </c>
      <c r="Q518" t="n">
        <v>1</v>
      </c>
      <c r="R518" s="2" t="inlineStr">
        <is>
          <t>Tallticka</t>
        </is>
      </c>
      <c r="S518">
        <f>HYPERLINK("https://klasma.github.io/Logging_1460/artfynd/A 5971-2024 artfynd.xlsx", "A 5971-2024")</f>
        <v/>
      </c>
      <c r="T518">
        <f>HYPERLINK("https://klasma.github.io/Logging_1460/kartor/A 5971-2024 karta.png", "A 5971-2024")</f>
        <v/>
      </c>
      <c r="V518">
        <f>HYPERLINK("https://klasma.github.io/Logging_1460/klagomål/A 5971-2024 FSC-klagomål.docx", "A 5971-2024")</f>
        <v/>
      </c>
      <c r="W518">
        <f>HYPERLINK("https://klasma.github.io/Logging_1460/klagomålsmail/A 5971-2024 FSC-klagomål mail.docx", "A 5971-2024")</f>
        <v/>
      </c>
      <c r="X518">
        <f>HYPERLINK("https://klasma.github.io/Logging_1460/tillsyn/A 5971-2024 tillsynsbegäran.docx", "A 5971-2024")</f>
        <v/>
      </c>
      <c r="Y518">
        <f>HYPERLINK("https://klasma.github.io/Logging_1460/tillsynsmail/A 5971-2024 tillsynsbegäran mail.docx", "A 5971-2024")</f>
        <v/>
      </c>
    </row>
    <row r="519" ht="15" customHeight="1">
      <c r="A519" t="inlineStr">
        <is>
          <t>A 969-2024</t>
        </is>
      </c>
      <c r="B519" s="1" t="n">
        <v>45301</v>
      </c>
      <c r="C519" s="1" t="n">
        <v>45952</v>
      </c>
      <c r="D519" t="inlineStr">
        <is>
          <t>VÄSTRA GÖTALANDS LÄN</t>
        </is>
      </c>
      <c r="E519" t="inlineStr">
        <is>
          <t>UDDEVALLA</t>
        </is>
      </c>
      <c r="G519" t="n">
        <v>17.4</v>
      </c>
      <c r="H519" t="n">
        <v>1</v>
      </c>
      <c r="I519" t="n">
        <v>0</v>
      </c>
      <c r="J519" t="n">
        <v>0</v>
      </c>
      <c r="K519" t="n">
        <v>0</v>
      </c>
      <c r="L519" t="n">
        <v>0</v>
      </c>
      <c r="M519" t="n">
        <v>0</v>
      </c>
      <c r="N519" t="n">
        <v>0</v>
      </c>
      <c r="O519" t="n">
        <v>0</v>
      </c>
      <c r="P519" t="n">
        <v>0</v>
      </c>
      <c r="Q519" t="n">
        <v>1</v>
      </c>
      <c r="R519" s="2" t="inlineStr">
        <is>
          <t>Revlummer</t>
        </is>
      </c>
      <c r="S519">
        <f>HYPERLINK("https://klasma.github.io/Logging_1485/artfynd/A 969-2024 artfynd.xlsx", "A 969-2024")</f>
        <v/>
      </c>
      <c r="T519">
        <f>HYPERLINK("https://klasma.github.io/Logging_1485/kartor/A 969-2024 karta.png", "A 969-2024")</f>
        <v/>
      </c>
      <c r="V519">
        <f>HYPERLINK("https://klasma.github.io/Logging_1485/klagomål/A 969-2024 FSC-klagomål.docx", "A 969-2024")</f>
        <v/>
      </c>
      <c r="W519">
        <f>HYPERLINK("https://klasma.github.io/Logging_1485/klagomålsmail/A 969-2024 FSC-klagomål mail.docx", "A 969-2024")</f>
        <v/>
      </c>
      <c r="X519">
        <f>HYPERLINK("https://klasma.github.io/Logging_1485/tillsyn/A 969-2024 tillsynsbegäran.docx", "A 969-2024")</f>
        <v/>
      </c>
      <c r="Y519">
        <f>HYPERLINK("https://klasma.github.io/Logging_1485/tillsynsmail/A 969-2024 tillsynsbegäran mail.docx", "A 969-2024")</f>
        <v/>
      </c>
    </row>
    <row r="520" ht="15" customHeight="1">
      <c r="A520" t="inlineStr">
        <is>
          <t>A 3497-2024</t>
        </is>
      </c>
      <c r="B520" s="1" t="n">
        <v>45317</v>
      </c>
      <c r="C520" s="1" t="n">
        <v>45952</v>
      </c>
      <c r="D520" t="inlineStr">
        <is>
          <t>VÄSTRA GÖTALANDS LÄN</t>
        </is>
      </c>
      <c r="E520" t="inlineStr">
        <is>
          <t>TANUM</t>
        </is>
      </c>
      <c r="G520" t="n">
        <v>0.3</v>
      </c>
      <c r="H520" t="n">
        <v>0</v>
      </c>
      <c r="I520" t="n">
        <v>1</v>
      </c>
      <c r="J520" t="n">
        <v>0</v>
      </c>
      <c r="K520" t="n">
        <v>0</v>
      </c>
      <c r="L520" t="n">
        <v>0</v>
      </c>
      <c r="M520" t="n">
        <v>0</v>
      </c>
      <c r="N520" t="n">
        <v>0</v>
      </c>
      <c r="O520" t="n">
        <v>0</v>
      </c>
      <c r="P520" t="n">
        <v>0</v>
      </c>
      <c r="Q520" t="n">
        <v>1</v>
      </c>
      <c r="R520" s="2" t="inlineStr">
        <is>
          <t>Fällmossa</t>
        </is>
      </c>
      <c r="S520">
        <f>HYPERLINK("https://klasma.github.io/Logging_1435/artfynd/A 3497-2024 artfynd.xlsx", "A 3497-2024")</f>
        <v/>
      </c>
      <c r="T520">
        <f>HYPERLINK("https://klasma.github.io/Logging_1435/kartor/A 3497-2024 karta.png", "A 3497-2024")</f>
        <v/>
      </c>
      <c r="V520">
        <f>HYPERLINK("https://klasma.github.io/Logging_1435/klagomål/A 3497-2024 FSC-klagomål.docx", "A 3497-2024")</f>
        <v/>
      </c>
      <c r="W520">
        <f>HYPERLINK("https://klasma.github.io/Logging_1435/klagomålsmail/A 3497-2024 FSC-klagomål mail.docx", "A 3497-2024")</f>
        <v/>
      </c>
      <c r="X520">
        <f>HYPERLINK("https://klasma.github.io/Logging_1435/tillsyn/A 3497-2024 tillsynsbegäran.docx", "A 3497-2024")</f>
        <v/>
      </c>
      <c r="Y520">
        <f>HYPERLINK("https://klasma.github.io/Logging_1435/tillsynsmail/A 3497-2024 tillsynsbegäran mail.docx", "A 3497-2024")</f>
        <v/>
      </c>
    </row>
    <row r="521" ht="15" customHeight="1">
      <c r="A521" t="inlineStr">
        <is>
          <t>A 31015-2022</t>
        </is>
      </c>
      <c r="B521" s="1" t="n">
        <v>44768.6502662037</v>
      </c>
      <c r="C521" s="1" t="n">
        <v>45952</v>
      </c>
      <c r="D521" t="inlineStr">
        <is>
          <t>VÄSTRA GÖTALANDS LÄN</t>
        </is>
      </c>
      <c r="E521" t="inlineStr">
        <is>
          <t>BENGTSFORS</t>
        </is>
      </c>
      <c r="G521" t="n">
        <v>17</v>
      </c>
      <c r="H521" t="n">
        <v>1</v>
      </c>
      <c r="I521" t="n">
        <v>0</v>
      </c>
      <c r="J521" t="n">
        <v>0</v>
      </c>
      <c r="K521" t="n">
        <v>0</v>
      </c>
      <c r="L521" t="n">
        <v>0</v>
      </c>
      <c r="M521" t="n">
        <v>0</v>
      </c>
      <c r="N521" t="n">
        <v>0</v>
      </c>
      <c r="O521" t="n">
        <v>0</v>
      </c>
      <c r="P521" t="n">
        <v>0</v>
      </c>
      <c r="Q521" t="n">
        <v>1</v>
      </c>
      <c r="R521" s="2" t="inlineStr">
        <is>
          <t>Grönsiska</t>
        </is>
      </c>
      <c r="S521">
        <f>HYPERLINK("https://klasma.github.io/Logging_1460/artfynd/A 31015-2022 artfynd.xlsx", "A 31015-2022")</f>
        <v/>
      </c>
      <c r="T521">
        <f>HYPERLINK("https://klasma.github.io/Logging_1460/kartor/A 31015-2022 karta.png", "A 31015-2022")</f>
        <v/>
      </c>
      <c r="V521">
        <f>HYPERLINK("https://klasma.github.io/Logging_1460/klagomål/A 31015-2022 FSC-klagomål.docx", "A 31015-2022")</f>
        <v/>
      </c>
      <c r="W521">
        <f>HYPERLINK("https://klasma.github.io/Logging_1460/klagomålsmail/A 31015-2022 FSC-klagomål mail.docx", "A 31015-2022")</f>
        <v/>
      </c>
      <c r="X521">
        <f>HYPERLINK("https://klasma.github.io/Logging_1460/tillsyn/A 31015-2022 tillsynsbegäran.docx", "A 31015-2022")</f>
        <v/>
      </c>
      <c r="Y521">
        <f>HYPERLINK("https://klasma.github.io/Logging_1460/tillsynsmail/A 31015-2022 tillsynsbegäran mail.docx", "A 31015-2022")</f>
        <v/>
      </c>
      <c r="Z521">
        <f>HYPERLINK("https://klasma.github.io/Logging_1460/fåglar/A 31015-2022 prioriterade fågelarter.docx", "A 31015-2022")</f>
        <v/>
      </c>
    </row>
    <row r="522" ht="15" customHeight="1">
      <c r="A522" t="inlineStr">
        <is>
          <t>A 9985-2023</t>
        </is>
      </c>
      <c r="B522" s="1" t="n">
        <v>44985</v>
      </c>
      <c r="C522" s="1" t="n">
        <v>45952</v>
      </c>
      <c r="D522" t="inlineStr">
        <is>
          <t>VÄSTRA GÖTALANDS LÄN</t>
        </is>
      </c>
      <c r="E522" t="inlineStr">
        <is>
          <t>TÖREBODA</t>
        </is>
      </c>
      <c r="G522" t="n">
        <v>5.5</v>
      </c>
      <c r="H522" t="n">
        <v>1</v>
      </c>
      <c r="I522" t="n">
        <v>0</v>
      </c>
      <c r="J522" t="n">
        <v>0</v>
      </c>
      <c r="K522" t="n">
        <v>0</v>
      </c>
      <c r="L522" t="n">
        <v>0</v>
      </c>
      <c r="M522" t="n">
        <v>0</v>
      </c>
      <c r="N522" t="n">
        <v>0</v>
      </c>
      <c r="O522" t="n">
        <v>0</v>
      </c>
      <c r="P522" t="n">
        <v>0</v>
      </c>
      <c r="Q522" t="n">
        <v>1</v>
      </c>
      <c r="R522" s="2" t="inlineStr">
        <is>
          <t>Revlummer</t>
        </is>
      </c>
      <c r="S522">
        <f>HYPERLINK("https://klasma.github.io/Logging_1473/artfynd/A 9985-2023 artfynd.xlsx", "A 9985-2023")</f>
        <v/>
      </c>
      <c r="T522">
        <f>HYPERLINK("https://klasma.github.io/Logging_1473/kartor/A 9985-2023 karta.png", "A 9985-2023")</f>
        <v/>
      </c>
      <c r="V522">
        <f>HYPERLINK("https://klasma.github.io/Logging_1473/klagomål/A 9985-2023 FSC-klagomål.docx", "A 9985-2023")</f>
        <v/>
      </c>
      <c r="W522">
        <f>HYPERLINK("https://klasma.github.io/Logging_1473/klagomålsmail/A 9985-2023 FSC-klagomål mail.docx", "A 9985-2023")</f>
        <v/>
      </c>
      <c r="X522">
        <f>HYPERLINK("https://klasma.github.io/Logging_1473/tillsyn/A 9985-2023 tillsynsbegäran.docx", "A 9985-2023")</f>
        <v/>
      </c>
      <c r="Y522">
        <f>HYPERLINK("https://klasma.github.io/Logging_1473/tillsynsmail/A 9985-2023 tillsynsbegäran mail.docx", "A 9985-2023")</f>
        <v/>
      </c>
    </row>
    <row r="523" ht="15" customHeight="1">
      <c r="A523" t="inlineStr">
        <is>
          <t>A 19923-2025</t>
        </is>
      </c>
      <c r="B523" s="1" t="n">
        <v>45771.63234953704</v>
      </c>
      <c r="C523" s="1" t="n">
        <v>45952</v>
      </c>
      <c r="D523" t="inlineStr">
        <is>
          <t>VÄSTRA GÖTALANDS LÄN</t>
        </is>
      </c>
      <c r="E523" t="inlineStr">
        <is>
          <t>HERRLJUNGA</t>
        </is>
      </c>
      <c r="G523" t="n">
        <v>1.1</v>
      </c>
      <c r="H523" t="n">
        <v>1</v>
      </c>
      <c r="I523" t="n">
        <v>0</v>
      </c>
      <c r="J523" t="n">
        <v>0</v>
      </c>
      <c r="K523" t="n">
        <v>0</v>
      </c>
      <c r="L523" t="n">
        <v>0</v>
      </c>
      <c r="M523" t="n">
        <v>0</v>
      </c>
      <c r="N523" t="n">
        <v>0</v>
      </c>
      <c r="O523" t="n">
        <v>0</v>
      </c>
      <c r="P523" t="n">
        <v>0</v>
      </c>
      <c r="Q523" t="n">
        <v>1</v>
      </c>
      <c r="R523" s="2" t="inlineStr">
        <is>
          <t>Huggorm</t>
        </is>
      </c>
      <c r="S523">
        <f>HYPERLINK("https://klasma.github.io/Logging_1466/artfynd/A 19923-2025 artfynd.xlsx", "A 19923-2025")</f>
        <v/>
      </c>
      <c r="T523">
        <f>HYPERLINK("https://klasma.github.io/Logging_1466/kartor/A 19923-2025 karta.png", "A 19923-2025")</f>
        <v/>
      </c>
      <c r="V523">
        <f>HYPERLINK("https://klasma.github.io/Logging_1466/klagomål/A 19923-2025 FSC-klagomål.docx", "A 19923-2025")</f>
        <v/>
      </c>
      <c r="W523">
        <f>HYPERLINK("https://klasma.github.io/Logging_1466/klagomålsmail/A 19923-2025 FSC-klagomål mail.docx", "A 19923-2025")</f>
        <v/>
      </c>
      <c r="X523">
        <f>HYPERLINK("https://klasma.github.io/Logging_1466/tillsyn/A 19923-2025 tillsynsbegäran.docx", "A 19923-2025")</f>
        <v/>
      </c>
      <c r="Y523">
        <f>HYPERLINK("https://klasma.github.io/Logging_1466/tillsynsmail/A 19923-2025 tillsynsbegäran mail.docx", "A 19923-2025")</f>
        <v/>
      </c>
    </row>
    <row r="524" ht="15" customHeight="1">
      <c r="A524" t="inlineStr">
        <is>
          <t>A 24520-2024</t>
        </is>
      </c>
      <c r="B524" s="1" t="n">
        <v>45458</v>
      </c>
      <c r="C524" s="1" t="n">
        <v>45952</v>
      </c>
      <c r="D524" t="inlineStr">
        <is>
          <t>VÄSTRA GÖTALANDS LÄN</t>
        </is>
      </c>
      <c r="E524" t="inlineStr">
        <is>
          <t>MUNKEDAL</t>
        </is>
      </c>
      <c r="G524" t="n">
        <v>7</v>
      </c>
      <c r="H524" t="n">
        <v>1</v>
      </c>
      <c r="I524" t="n">
        <v>0</v>
      </c>
      <c r="J524" t="n">
        <v>1</v>
      </c>
      <c r="K524" t="n">
        <v>0</v>
      </c>
      <c r="L524" t="n">
        <v>0</v>
      </c>
      <c r="M524" t="n">
        <v>0</v>
      </c>
      <c r="N524" t="n">
        <v>0</v>
      </c>
      <c r="O524" t="n">
        <v>1</v>
      </c>
      <c r="P524" t="n">
        <v>0</v>
      </c>
      <c r="Q524" t="n">
        <v>1</v>
      </c>
      <c r="R524" s="2" t="inlineStr">
        <is>
          <t>Havsörn</t>
        </is>
      </c>
      <c r="S524">
        <f>HYPERLINK("https://klasma.github.io/Logging_1430/artfynd/A 24520-2024 artfynd.xlsx", "A 24520-2024")</f>
        <v/>
      </c>
      <c r="T524">
        <f>HYPERLINK("https://klasma.github.io/Logging_1430/kartor/A 24520-2024 karta.png", "A 24520-2024")</f>
        <v/>
      </c>
      <c r="V524">
        <f>HYPERLINK("https://klasma.github.io/Logging_1430/klagomål/A 24520-2024 FSC-klagomål.docx", "A 24520-2024")</f>
        <v/>
      </c>
      <c r="W524">
        <f>HYPERLINK("https://klasma.github.io/Logging_1430/klagomålsmail/A 24520-2024 FSC-klagomål mail.docx", "A 24520-2024")</f>
        <v/>
      </c>
      <c r="X524">
        <f>HYPERLINK("https://klasma.github.io/Logging_1430/tillsyn/A 24520-2024 tillsynsbegäran.docx", "A 24520-2024")</f>
        <v/>
      </c>
      <c r="Y524">
        <f>HYPERLINK("https://klasma.github.io/Logging_1430/tillsynsmail/A 24520-2024 tillsynsbegäran mail.docx", "A 24520-2024")</f>
        <v/>
      </c>
      <c r="Z524">
        <f>HYPERLINK("https://klasma.github.io/Logging_1430/fåglar/A 24520-2024 prioriterade fågelarter.docx", "A 24520-2024")</f>
        <v/>
      </c>
    </row>
    <row r="525" ht="15" customHeight="1">
      <c r="A525" t="inlineStr">
        <is>
          <t>A 15108-2023</t>
        </is>
      </c>
      <c r="B525" s="1" t="n">
        <v>45016</v>
      </c>
      <c r="C525" s="1" t="n">
        <v>45952</v>
      </c>
      <c r="D525" t="inlineStr">
        <is>
          <t>VÄSTRA GÖTALANDS LÄN</t>
        </is>
      </c>
      <c r="E525" t="inlineStr">
        <is>
          <t>LYSEKIL</t>
        </is>
      </c>
      <c r="G525" t="n">
        <v>1.7</v>
      </c>
      <c r="H525" t="n">
        <v>0</v>
      </c>
      <c r="I525" t="n">
        <v>0</v>
      </c>
      <c r="J525" t="n">
        <v>0</v>
      </c>
      <c r="K525" t="n">
        <v>0</v>
      </c>
      <c r="L525" t="n">
        <v>0</v>
      </c>
      <c r="M525" t="n">
        <v>1</v>
      </c>
      <c r="N525" t="n">
        <v>0</v>
      </c>
      <c r="O525" t="n">
        <v>1</v>
      </c>
      <c r="P525" t="n">
        <v>1</v>
      </c>
      <c r="Q525" t="n">
        <v>1</v>
      </c>
      <c r="R525" s="2" t="inlineStr">
        <is>
          <t>Skogsalm</t>
        </is>
      </c>
      <c r="S525">
        <f>HYPERLINK("https://klasma.github.io/Logging_1484/artfynd/A 15108-2023 artfynd.xlsx", "A 15108-2023")</f>
        <v/>
      </c>
      <c r="T525">
        <f>HYPERLINK("https://klasma.github.io/Logging_1484/kartor/A 15108-2023 karta.png", "A 15108-2023")</f>
        <v/>
      </c>
      <c r="V525">
        <f>HYPERLINK("https://klasma.github.io/Logging_1484/klagomål/A 15108-2023 FSC-klagomål.docx", "A 15108-2023")</f>
        <v/>
      </c>
      <c r="W525">
        <f>HYPERLINK("https://klasma.github.io/Logging_1484/klagomålsmail/A 15108-2023 FSC-klagomål mail.docx", "A 15108-2023")</f>
        <v/>
      </c>
      <c r="X525">
        <f>HYPERLINK("https://klasma.github.io/Logging_1484/tillsyn/A 15108-2023 tillsynsbegäran.docx", "A 15108-2023")</f>
        <v/>
      </c>
      <c r="Y525">
        <f>HYPERLINK("https://klasma.github.io/Logging_1484/tillsynsmail/A 15108-2023 tillsynsbegäran mail.docx", "A 15108-2023")</f>
        <v/>
      </c>
    </row>
    <row r="526" ht="15" customHeight="1">
      <c r="A526" t="inlineStr">
        <is>
          <t>A 2438-2023</t>
        </is>
      </c>
      <c r="B526" s="1" t="n">
        <v>44943.40148148148</v>
      </c>
      <c r="C526" s="1" t="n">
        <v>45952</v>
      </c>
      <c r="D526" t="inlineStr">
        <is>
          <t>VÄSTRA GÖTALANDS LÄN</t>
        </is>
      </c>
      <c r="E526" t="inlineStr">
        <is>
          <t>LERUM</t>
        </is>
      </c>
      <c r="G526" t="n">
        <v>2.6</v>
      </c>
      <c r="H526" t="n">
        <v>0</v>
      </c>
      <c r="I526" t="n">
        <v>1</v>
      </c>
      <c r="J526" t="n">
        <v>0</v>
      </c>
      <c r="K526" t="n">
        <v>0</v>
      </c>
      <c r="L526" t="n">
        <v>0</v>
      </c>
      <c r="M526" t="n">
        <v>0</v>
      </c>
      <c r="N526" t="n">
        <v>0</v>
      </c>
      <c r="O526" t="n">
        <v>0</v>
      </c>
      <c r="P526" t="n">
        <v>0</v>
      </c>
      <c r="Q526" t="n">
        <v>1</v>
      </c>
      <c r="R526" s="2" t="inlineStr">
        <is>
          <t>Björksplintborre</t>
        </is>
      </c>
      <c r="S526">
        <f>HYPERLINK("https://klasma.github.io/Logging_1441/artfynd/A 2438-2023 artfynd.xlsx", "A 2438-2023")</f>
        <v/>
      </c>
      <c r="T526">
        <f>HYPERLINK("https://klasma.github.io/Logging_1441/kartor/A 2438-2023 karta.png", "A 2438-2023")</f>
        <v/>
      </c>
      <c r="V526">
        <f>HYPERLINK("https://klasma.github.io/Logging_1441/klagomål/A 2438-2023 FSC-klagomål.docx", "A 2438-2023")</f>
        <v/>
      </c>
      <c r="W526">
        <f>HYPERLINK("https://klasma.github.io/Logging_1441/klagomålsmail/A 2438-2023 FSC-klagomål mail.docx", "A 2438-2023")</f>
        <v/>
      </c>
      <c r="X526">
        <f>HYPERLINK("https://klasma.github.io/Logging_1441/tillsyn/A 2438-2023 tillsynsbegäran.docx", "A 2438-2023")</f>
        <v/>
      </c>
      <c r="Y526">
        <f>HYPERLINK("https://klasma.github.io/Logging_1441/tillsynsmail/A 2438-2023 tillsynsbegäran mail.docx", "A 2438-2023")</f>
        <v/>
      </c>
    </row>
    <row r="527" ht="15" customHeight="1">
      <c r="A527" t="inlineStr">
        <is>
          <t>A 2555-2023</t>
        </is>
      </c>
      <c r="B527" s="1" t="n">
        <v>44943</v>
      </c>
      <c r="C527" s="1" t="n">
        <v>45952</v>
      </c>
      <c r="D527" t="inlineStr">
        <is>
          <t>VÄSTRA GÖTALANDS LÄN</t>
        </is>
      </c>
      <c r="E527" t="inlineStr">
        <is>
          <t>MUNKEDAL</t>
        </is>
      </c>
      <c r="G527" t="n">
        <v>3.1</v>
      </c>
      <c r="H527" t="n">
        <v>0</v>
      </c>
      <c r="I527" t="n">
        <v>1</v>
      </c>
      <c r="J527" t="n">
        <v>0</v>
      </c>
      <c r="K527" t="n">
        <v>0</v>
      </c>
      <c r="L527" t="n">
        <v>0</v>
      </c>
      <c r="M527" t="n">
        <v>0</v>
      </c>
      <c r="N527" t="n">
        <v>0</v>
      </c>
      <c r="O527" t="n">
        <v>0</v>
      </c>
      <c r="P527" t="n">
        <v>0</v>
      </c>
      <c r="Q527" t="n">
        <v>1</v>
      </c>
      <c r="R527" s="2" t="inlineStr">
        <is>
          <t>Svart trolldruva</t>
        </is>
      </c>
      <c r="S527">
        <f>HYPERLINK("https://klasma.github.io/Logging_1430/artfynd/A 2555-2023 artfynd.xlsx", "A 2555-2023")</f>
        <v/>
      </c>
      <c r="T527">
        <f>HYPERLINK("https://klasma.github.io/Logging_1430/kartor/A 2555-2023 karta.png", "A 2555-2023")</f>
        <v/>
      </c>
      <c r="V527">
        <f>HYPERLINK("https://klasma.github.io/Logging_1430/klagomål/A 2555-2023 FSC-klagomål.docx", "A 2555-2023")</f>
        <v/>
      </c>
      <c r="W527">
        <f>HYPERLINK("https://klasma.github.io/Logging_1430/klagomålsmail/A 2555-2023 FSC-klagomål mail.docx", "A 2555-2023")</f>
        <v/>
      </c>
      <c r="X527">
        <f>HYPERLINK("https://klasma.github.io/Logging_1430/tillsyn/A 2555-2023 tillsynsbegäran.docx", "A 2555-2023")</f>
        <v/>
      </c>
      <c r="Y527">
        <f>HYPERLINK("https://klasma.github.io/Logging_1430/tillsynsmail/A 2555-2023 tillsynsbegäran mail.docx", "A 2555-2023")</f>
        <v/>
      </c>
    </row>
    <row r="528" ht="15" customHeight="1">
      <c r="A528" t="inlineStr">
        <is>
          <t>A 30785-2023</t>
        </is>
      </c>
      <c r="B528" s="1" t="n">
        <v>45112</v>
      </c>
      <c r="C528" s="1" t="n">
        <v>45952</v>
      </c>
      <c r="D528" t="inlineStr">
        <is>
          <t>VÄSTRA GÖTALANDS LÄN</t>
        </is>
      </c>
      <c r="E528" t="inlineStr">
        <is>
          <t>BOLLEBYGD</t>
        </is>
      </c>
      <c r="G528" t="n">
        <v>3.4</v>
      </c>
      <c r="H528" t="n">
        <v>1</v>
      </c>
      <c r="I528" t="n">
        <v>0</v>
      </c>
      <c r="J528" t="n">
        <v>0</v>
      </c>
      <c r="K528" t="n">
        <v>0</v>
      </c>
      <c r="L528" t="n">
        <v>0</v>
      </c>
      <c r="M528" t="n">
        <v>0</v>
      </c>
      <c r="N528" t="n">
        <v>0</v>
      </c>
      <c r="O528" t="n">
        <v>0</v>
      </c>
      <c r="P528" t="n">
        <v>0</v>
      </c>
      <c r="Q528" t="n">
        <v>1</v>
      </c>
      <c r="R528" s="2" t="inlineStr">
        <is>
          <t>Revlummer</t>
        </is>
      </c>
      <c r="S528">
        <f>HYPERLINK("https://klasma.github.io/Logging_1443/artfynd/A 30785-2023 artfynd.xlsx", "A 30785-2023")</f>
        <v/>
      </c>
      <c r="T528">
        <f>HYPERLINK("https://klasma.github.io/Logging_1443/kartor/A 30785-2023 karta.png", "A 30785-2023")</f>
        <v/>
      </c>
      <c r="V528">
        <f>HYPERLINK("https://klasma.github.io/Logging_1443/klagomål/A 30785-2023 FSC-klagomål.docx", "A 30785-2023")</f>
        <v/>
      </c>
      <c r="W528">
        <f>HYPERLINK("https://klasma.github.io/Logging_1443/klagomålsmail/A 30785-2023 FSC-klagomål mail.docx", "A 30785-2023")</f>
        <v/>
      </c>
      <c r="X528">
        <f>HYPERLINK("https://klasma.github.io/Logging_1443/tillsyn/A 30785-2023 tillsynsbegäran.docx", "A 30785-2023")</f>
        <v/>
      </c>
      <c r="Y528">
        <f>HYPERLINK("https://klasma.github.io/Logging_1443/tillsynsmail/A 30785-2023 tillsynsbegäran mail.docx", "A 30785-2023")</f>
        <v/>
      </c>
    </row>
    <row r="529" ht="15" customHeight="1">
      <c r="A529" t="inlineStr">
        <is>
          <t>A 10476-2023</t>
        </is>
      </c>
      <c r="B529" s="1" t="n">
        <v>44987</v>
      </c>
      <c r="C529" s="1" t="n">
        <v>45952</v>
      </c>
      <c r="D529" t="inlineStr">
        <is>
          <t>VÄSTRA GÖTALANDS LÄN</t>
        </is>
      </c>
      <c r="E529" t="inlineStr">
        <is>
          <t>LIDKÖPING</t>
        </is>
      </c>
      <c r="G529" t="n">
        <v>2.2</v>
      </c>
      <c r="H529" t="n">
        <v>1</v>
      </c>
      <c r="I529" t="n">
        <v>0</v>
      </c>
      <c r="J529" t="n">
        <v>0</v>
      </c>
      <c r="K529" t="n">
        <v>0</v>
      </c>
      <c r="L529" t="n">
        <v>0</v>
      </c>
      <c r="M529" t="n">
        <v>0</v>
      </c>
      <c r="N529" t="n">
        <v>0</v>
      </c>
      <c r="O529" t="n">
        <v>0</v>
      </c>
      <c r="P529" t="n">
        <v>0</v>
      </c>
      <c r="Q529" t="n">
        <v>1</v>
      </c>
      <c r="R529" s="2" t="inlineStr">
        <is>
          <t>Kungsfågel</t>
        </is>
      </c>
      <c r="S529">
        <f>HYPERLINK("https://klasma.github.io/Logging_1494/artfynd/A 10476-2023 artfynd.xlsx", "A 10476-2023")</f>
        <v/>
      </c>
      <c r="T529">
        <f>HYPERLINK("https://klasma.github.io/Logging_1494/kartor/A 10476-2023 karta.png", "A 10476-2023")</f>
        <v/>
      </c>
      <c r="V529">
        <f>HYPERLINK("https://klasma.github.io/Logging_1494/klagomål/A 10476-2023 FSC-klagomål.docx", "A 10476-2023")</f>
        <v/>
      </c>
      <c r="W529">
        <f>HYPERLINK("https://klasma.github.io/Logging_1494/klagomålsmail/A 10476-2023 FSC-klagomål mail.docx", "A 10476-2023")</f>
        <v/>
      </c>
      <c r="X529">
        <f>HYPERLINK("https://klasma.github.io/Logging_1494/tillsyn/A 10476-2023 tillsynsbegäran.docx", "A 10476-2023")</f>
        <v/>
      </c>
      <c r="Y529">
        <f>HYPERLINK("https://klasma.github.io/Logging_1494/tillsynsmail/A 10476-2023 tillsynsbegäran mail.docx", "A 10476-2023")</f>
        <v/>
      </c>
      <c r="Z529">
        <f>HYPERLINK("https://klasma.github.io/Logging_1494/fåglar/A 10476-2023 prioriterade fågelarter.docx", "A 10476-2023")</f>
        <v/>
      </c>
    </row>
    <row r="530" ht="15" customHeight="1">
      <c r="A530" t="inlineStr">
        <is>
          <t>A 29313-2024</t>
        </is>
      </c>
      <c r="B530" s="1" t="n">
        <v>45483.40099537037</v>
      </c>
      <c r="C530" s="1" t="n">
        <v>45952</v>
      </c>
      <c r="D530" t="inlineStr">
        <is>
          <t>VÄSTRA GÖTALANDS LÄN</t>
        </is>
      </c>
      <c r="E530" t="inlineStr">
        <is>
          <t>ALINGSÅS</t>
        </is>
      </c>
      <c r="G530" t="n">
        <v>1</v>
      </c>
      <c r="H530" t="n">
        <v>1</v>
      </c>
      <c r="I530" t="n">
        <v>0</v>
      </c>
      <c r="J530" t="n">
        <v>0</v>
      </c>
      <c r="K530" t="n">
        <v>0</v>
      </c>
      <c r="L530" t="n">
        <v>0</v>
      </c>
      <c r="M530" t="n">
        <v>0</v>
      </c>
      <c r="N530" t="n">
        <v>0</v>
      </c>
      <c r="O530" t="n">
        <v>0</v>
      </c>
      <c r="P530" t="n">
        <v>0</v>
      </c>
      <c r="Q530" t="n">
        <v>1</v>
      </c>
      <c r="R530" s="2" t="inlineStr">
        <is>
          <t>Revlummer</t>
        </is>
      </c>
      <c r="S530">
        <f>HYPERLINK("https://klasma.github.io/Logging_1489/artfynd/A 29313-2024 artfynd.xlsx", "A 29313-2024")</f>
        <v/>
      </c>
      <c r="T530">
        <f>HYPERLINK("https://klasma.github.io/Logging_1489/kartor/A 29313-2024 karta.png", "A 29313-2024")</f>
        <v/>
      </c>
      <c r="V530">
        <f>HYPERLINK("https://klasma.github.io/Logging_1489/klagomål/A 29313-2024 FSC-klagomål.docx", "A 29313-2024")</f>
        <v/>
      </c>
      <c r="W530">
        <f>HYPERLINK("https://klasma.github.io/Logging_1489/klagomålsmail/A 29313-2024 FSC-klagomål mail.docx", "A 29313-2024")</f>
        <v/>
      </c>
      <c r="X530">
        <f>HYPERLINK("https://klasma.github.io/Logging_1489/tillsyn/A 29313-2024 tillsynsbegäran.docx", "A 29313-2024")</f>
        <v/>
      </c>
      <c r="Y530">
        <f>HYPERLINK("https://klasma.github.io/Logging_1489/tillsynsmail/A 29313-2024 tillsynsbegäran mail.docx", "A 29313-2024")</f>
        <v/>
      </c>
    </row>
    <row r="531" ht="15" customHeight="1">
      <c r="A531" t="inlineStr">
        <is>
          <t>A 4358-2025</t>
        </is>
      </c>
      <c r="B531" s="1" t="n">
        <v>45686.32912037037</v>
      </c>
      <c r="C531" s="1" t="n">
        <v>45952</v>
      </c>
      <c r="D531" t="inlineStr">
        <is>
          <t>VÄSTRA GÖTALANDS LÄN</t>
        </is>
      </c>
      <c r="E531" t="inlineStr">
        <is>
          <t>BORÅS</t>
        </is>
      </c>
      <c r="F531" t="inlineStr">
        <is>
          <t>Sveaskog</t>
        </is>
      </c>
      <c r="G531" t="n">
        <v>4.7</v>
      </c>
      <c r="H531" t="n">
        <v>1</v>
      </c>
      <c r="I531" t="n">
        <v>0</v>
      </c>
      <c r="J531" t="n">
        <v>0</v>
      </c>
      <c r="K531" t="n">
        <v>0</v>
      </c>
      <c r="L531" t="n">
        <v>0</v>
      </c>
      <c r="M531" t="n">
        <v>0</v>
      </c>
      <c r="N531" t="n">
        <v>0</v>
      </c>
      <c r="O531" t="n">
        <v>0</v>
      </c>
      <c r="P531" t="n">
        <v>0</v>
      </c>
      <c r="Q531" t="n">
        <v>1</v>
      </c>
      <c r="R531" s="2" t="inlineStr">
        <is>
          <t>Orre</t>
        </is>
      </c>
      <c r="S531">
        <f>HYPERLINK("https://klasma.github.io/Logging_1490/artfynd/A 4358-2025 artfynd.xlsx", "A 4358-2025")</f>
        <v/>
      </c>
      <c r="T531">
        <f>HYPERLINK("https://klasma.github.io/Logging_1490/kartor/A 4358-2025 karta.png", "A 4358-2025")</f>
        <v/>
      </c>
      <c r="V531">
        <f>HYPERLINK("https://klasma.github.io/Logging_1490/klagomål/A 4358-2025 FSC-klagomål.docx", "A 4358-2025")</f>
        <v/>
      </c>
      <c r="W531">
        <f>HYPERLINK("https://klasma.github.io/Logging_1490/klagomålsmail/A 4358-2025 FSC-klagomål mail.docx", "A 4358-2025")</f>
        <v/>
      </c>
      <c r="X531">
        <f>HYPERLINK("https://klasma.github.io/Logging_1490/tillsyn/A 4358-2025 tillsynsbegäran.docx", "A 4358-2025")</f>
        <v/>
      </c>
      <c r="Y531">
        <f>HYPERLINK("https://klasma.github.io/Logging_1490/tillsynsmail/A 4358-2025 tillsynsbegäran mail.docx", "A 4358-2025")</f>
        <v/>
      </c>
      <c r="Z531">
        <f>HYPERLINK("https://klasma.github.io/Logging_1490/fåglar/A 4358-2025 prioriterade fågelarter.docx", "A 4358-2025")</f>
        <v/>
      </c>
    </row>
    <row r="532" ht="15" customHeight="1">
      <c r="A532" t="inlineStr">
        <is>
          <t>A 19083-2025</t>
        </is>
      </c>
      <c r="B532" s="1" t="n">
        <v>45766.75263888889</v>
      </c>
      <c r="C532" s="1" t="n">
        <v>45952</v>
      </c>
      <c r="D532" t="inlineStr">
        <is>
          <t>VÄSTRA GÖTALANDS LÄN</t>
        </is>
      </c>
      <c r="E532" t="inlineStr">
        <is>
          <t>FÄRGELANDA</t>
        </is>
      </c>
      <c r="G532" t="n">
        <v>6.2</v>
      </c>
      <c r="H532" t="n">
        <v>0</v>
      </c>
      <c r="I532" t="n">
        <v>0</v>
      </c>
      <c r="J532" t="n">
        <v>1</v>
      </c>
      <c r="K532" t="n">
        <v>0</v>
      </c>
      <c r="L532" t="n">
        <v>0</v>
      </c>
      <c r="M532" t="n">
        <v>0</v>
      </c>
      <c r="N532" t="n">
        <v>0</v>
      </c>
      <c r="O532" t="n">
        <v>1</v>
      </c>
      <c r="P532" t="n">
        <v>0</v>
      </c>
      <c r="Q532" t="n">
        <v>1</v>
      </c>
      <c r="R532" s="2" t="inlineStr">
        <is>
          <t>Igelkott</t>
        </is>
      </c>
      <c r="S532">
        <f>HYPERLINK("https://klasma.github.io/Logging_1439/artfynd/A 19083-2025 artfynd.xlsx", "A 19083-2025")</f>
        <v/>
      </c>
      <c r="T532">
        <f>HYPERLINK("https://klasma.github.io/Logging_1439/kartor/A 19083-2025 karta.png", "A 19083-2025")</f>
        <v/>
      </c>
      <c r="V532">
        <f>HYPERLINK("https://klasma.github.io/Logging_1439/klagomål/A 19083-2025 FSC-klagomål.docx", "A 19083-2025")</f>
        <v/>
      </c>
      <c r="W532">
        <f>HYPERLINK("https://klasma.github.io/Logging_1439/klagomålsmail/A 19083-2025 FSC-klagomål mail.docx", "A 19083-2025")</f>
        <v/>
      </c>
      <c r="X532">
        <f>HYPERLINK("https://klasma.github.io/Logging_1439/tillsyn/A 19083-2025 tillsynsbegäran.docx", "A 19083-2025")</f>
        <v/>
      </c>
      <c r="Y532">
        <f>HYPERLINK("https://klasma.github.io/Logging_1439/tillsynsmail/A 19083-2025 tillsynsbegäran mail.docx", "A 19083-2025")</f>
        <v/>
      </c>
    </row>
    <row r="533" ht="15" customHeight="1">
      <c r="A533" t="inlineStr">
        <is>
          <t>A 3976-2024</t>
        </is>
      </c>
      <c r="B533" s="1" t="n">
        <v>45322</v>
      </c>
      <c r="C533" s="1" t="n">
        <v>45952</v>
      </c>
      <c r="D533" t="inlineStr">
        <is>
          <t>VÄSTRA GÖTALANDS LÄN</t>
        </is>
      </c>
      <c r="E533" t="inlineStr">
        <is>
          <t>TIDAHOLM</t>
        </is>
      </c>
      <c r="G533" t="n">
        <v>1.9</v>
      </c>
      <c r="H533" t="n">
        <v>1</v>
      </c>
      <c r="I533" t="n">
        <v>0</v>
      </c>
      <c r="J533" t="n">
        <v>1</v>
      </c>
      <c r="K533" t="n">
        <v>0</v>
      </c>
      <c r="L533" t="n">
        <v>0</v>
      </c>
      <c r="M533" t="n">
        <v>0</v>
      </c>
      <c r="N533" t="n">
        <v>0</v>
      </c>
      <c r="O533" t="n">
        <v>1</v>
      </c>
      <c r="P533" t="n">
        <v>0</v>
      </c>
      <c r="Q533" t="n">
        <v>1</v>
      </c>
      <c r="R533" s="2" t="inlineStr">
        <is>
          <t>Brunlångöra</t>
        </is>
      </c>
      <c r="S533">
        <f>HYPERLINK("https://klasma.github.io/Logging_1498/artfynd/A 3976-2024 artfynd.xlsx", "A 3976-2024")</f>
        <v/>
      </c>
      <c r="T533">
        <f>HYPERLINK("https://klasma.github.io/Logging_1498/kartor/A 3976-2024 karta.png", "A 3976-2024")</f>
        <v/>
      </c>
      <c r="V533">
        <f>HYPERLINK("https://klasma.github.io/Logging_1498/klagomål/A 3976-2024 FSC-klagomål.docx", "A 3976-2024")</f>
        <v/>
      </c>
      <c r="W533">
        <f>HYPERLINK("https://klasma.github.io/Logging_1498/klagomålsmail/A 3976-2024 FSC-klagomål mail.docx", "A 3976-2024")</f>
        <v/>
      </c>
      <c r="X533">
        <f>HYPERLINK("https://klasma.github.io/Logging_1498/tillsyn/A 3976-2024 tillsynsbegäran.docx", "A 3976-2024")</f>
        <v/>
      </c>
      <c r="Y533">
        <f>HYPERLINK("https://klasma.github.io/Logging_1498/tillsynsmail/A 3976-2024 tillsynsbegäran mail.docx", "A 3976-2024")</f>
        <v/>
      </c>
    </row>
    <row r="534" ht="15" customHeight="1">
      <c r="A534" t="inlineStr">
        <is>
          <t>A 50546-2024</t>
        </is>
      </c>
      <c r="B534" s="1" t="n">
        <v>45601.58664351852</v>
      </c>
      <c r="C534" s="1" t="n">
        <v>45952</v>
      </c>
      <c r="D534" t="inlineStr">
        <is>
          <t>VÄSTRA GÖTALANDS LÄN</t>
        </is>
      </c>
      <c r="E534" t="inlineStr">
        <is>
          <t>ÅMÅL</t>
        </is>
      </c>
      <c r="G534" t="n">
        <v>10.2</v>
      </c>
      <c r="H534" t="n">
        <v>0</v>
      </c>
      <c r="I534" t="n">
        <v>1</v>
      </c>
      <c r="J534" t="n">
        <v>0</v>
      </c>
      <c r="K534" t="n">
        <v>0</v>
      </c>
      <c r="L534" t="n">
        <v>0</v>
      </c>
      <c r="M534" t="n">
        <v>0</v>
      </c>
      <c r="N534" t="n">
        <v>0</v>
      </c>
      <c r="O534" t="n">
        <v>0</v>
      </c>
      <c r="P534" t="n">
        <v>0</v>
      </c>
      <c r="Q534" t="n">
        <v>1</v>
      </c>
      <c r="R534" s="2" t="inlineStr">
        <is>
          <t>Platt fjädermossa</t>
        </is>
      </c>
      <c r="S534">
        <f>HYPERLINK("https://klasma.github.io/Logging_1492/artfynd/A 50546-2024 artfynd.xlsx", "A 50546-2024")</f>
        <v/>
      </c>
      <c r="T534">
        <f>HYPERLINK("https://klasma.github.io/Logging_1492/kartor/A 50546-2024 karta.png", "A 50546-2024")</f>
        <v/>
      </c>
      <c r="V534">
        <f>HYPERLINK("https://klasma.github.io/Logging_1492/klagomål/A 50546-2024 FSC-klagomål.docx", "A 50546-2024")</f>
        <v/>
      </c>
      <c r="W534">
        <f>HYPERLINK("https://klasma.github.io/Logging_1492/klagomålsmail/A 50546-2024 FSC-klagomål mail.docx", "A 50546-2024")</f>
        <v/>
      </c>
      <c r="X534">
        <f>HYPERLINK("https://klasma.github.io/Logging_1492/tillsyn/A 50546-2024 tillsynsbegäran.docx", "A 50546-2024")</f>
        <v/>
      </c>
      <c r="Y534">
        <f>HYPERLINK("https://klasma.github.io/Logging_1492/tillsynsmail/A 50546-2024 tillsynsbegäran mail.docx", "A 50546-2024")</f>
        <v/>
      </c>
    </row>
    <row r="535" ht="15" customHeight="1">
      <c r="A535" t="inlineStr">
        <is>
          <t>A 4113-2023</t>
        </is>
      </c>
      <c r="B535" s="1" t="n">
        <v>44952</v>
      </c>
      <c r="C535" s="1" t="n">
        <v>45952</v>
      </c>
      <c r="D535" t="inlineStr">
        <is>
          <t>VÄSTRA GÖTALANDS LÄN</t>
        </is>
      </c>
      <c r="E535" t="inlineStr">
        <is>
          <t>DALS-ED</t>
        </is>
      </c>
      <c r="G535" t="n">
        <v>7.9</v>
      </c>
      <c r="H535" t="n">
        <v>0</v>
      </c>
      <c r="I535" t="n">
        <v>0</v>
      </c>
      <c r="J535" t="n">
        <v>0</v>
      </c>
      <c r="K535" t="n">
        <v>1</v>
      </c>
      <c r="L535" t="n">
        <v>0</v>
      </c>
      <c r="M535" t="n">
        <v>0</v>
      </c>
      <c r="N535" t="n">
        <v>0</v>
      </c>
      <c r="O535" t="n">
        <v>1</v>
      </c>
      <c r="P535" t="n">
        <v>1</v>
      </c>
      <c r="Q535" t="n">
        <v>1</v>
      </c>
      <c r="R535" s="2" t="inlineStr">
        <is>
          <t>Slåttergubbe</t>
        </is>
      </c>
      <c r="S535">
        <f>HYPERLINK("https://klasma.github.io/Logging_1438/artfynd/A 4113-2023 artfynd.xlsx", "A 4113-2023")</f>
        <v/>
      </c>
      <c r="T535">
        <f>HYPERLINK("https://klasma.github.io/Logging_1438/kartor/A 4113-2023 karta.png", "A 4113-2023")</f>
        <v/>
      </c>
      <c r="V535">
        <f>HYPERLINK("https://klasma.github.io/Logging_1438/klagomål/A 4113-2023 FSC-klagomål.docx", "A 4113-2023")</f>
        <v/>
      </c>
      <c r="W535">
        <f>HYPERLINK("https://klasma.github.io/Logging_1438/klagomålsmail/A 4113-2023 FSC-klagomål mail.docx", "A 4113-2023")</f>
        <v/>
      </c>
      <c r="X535">
        <f>HYPERLINK("https://klasma.github.io/Logging_1438/tillsyn/A 4113-2023 tillsynsbegäran.docx", "A 4113-2023")</f>
        <v/>
      </c>
      <c r="Y535">
        <f>HYPERLINK("https://klasma.github.io/Logging_1438/tillsynsmail/A 4113-2023 tillsynsbegäran mail.docx", "A 4113-2023")</f>
        <v/>
      </c>
    </row>
    <row r="536" ht="15" customHeight="1">
      <c r="A536" t="inlineStr">
        <is>
          <t>A 42763-2024</t>
        </is>
      </c>
      <c r="B536" s="1" t="n">
        <v>45566.50440972222</v>
      </c>
      <c r="C536" s="1" t="n">
        <v>45952</v>
      </c>
      <c r="D536" t="inlineStr">
        <is>
          <t>VÄSTRA GÖTALANDS LÄN</t>
        </is>
      </c>
      <c r="E536" t="inlineStr">
        <is>
          <t>ULRICEHAMN</t>
        </is>
      </c>
      <c r="F536" t="inlineStr">
        <is>
          <t>Sveaskog</t>
        </is>
      </c>
      <c r="G536" t="n">
        <v>5.3</v>
      </c>
      <c r="H536" t="n">
        <v>1</v>
      </c>
      <c r="I536" t="n">
        <v>0</v>
      </c>
      <c r="J536" t="n">
        <v>0</v>
      </c>
      <c r="K536" t="n">
        <v>0</v>
      </c>
      <c r="L536" t="n">
        <v>0</v>
      </c>
      <c r="M536" t="n">
        <v>0</v>
      </c>
      <c r="N536" t="n">
        <v>0</v>
      </c>
      <c r="O536" t="n">
        <v>0</v>
      </c>
      <c r="P536" t="n">
        <v>0</v>
      </c>
      <c r="Q536" t="n">
        <v>1</v>
      </c>
      <c r="R536" s="2" t="inlineStr">
        <is>
          <t>Hasselmus</t>
        </is>
      </c>
      <c r="S536">
        <f>HYPERLINK("https://klasma.github.io/Logging_1491/artfynd/A 42763-2024 artfynd.xlsx", "A 42763-2024")</f>
        <v/>
      </c>
      <c r="T536">
        <f>HYPERLINK("https://klasma.github.io/Logging_1491/kartor/A 42763-2024 karta.png", "A 42763-2024")</f>
        <v/>
      </c>
      <c r="V536">
        <f>HYPERLINK("https://klasma.github.io/Logging_1491/klagomål/A 42763-2024 FSC-klagomål.docx", "A 42763-2024")</f>
        <v/>
      </c>
      <c r="W536">
        <f>HYPERLINK("https://klasma.github.io/Logging_1491/klagomålsmail/A 42763-2024 FSC-klagomål mail.docx", "A 42763-2024")</f>
        <v/>
      </c>
      <c r="X536">
        <f>HYPERLINK("https://klasma.github.io/Logging_1491/tillsyn/A 42763-2024 tillsynsbegäran.docx", "A 42763-2024")</f>
        <v/>
      </c>
      <c r="Y536">
        <f>HYPERLINK("https://klasma.github.io/Logging_1491/tillsynsmail/A 42763-2024 tillsynsbegäran mail.docx", "A 42763-2024")</f>
        <v/>
      </c>
    </row>
    <row r="537" ht="15" customHeight="1">
      <c r="A537" t="inlineStr">
        <is>
          <t>A 41724-2022</t>
        </is>
      </c>
      <c r="B537" s="1" t="n">
        <v>44827</v>
      </c>
      <c r="C537" s="1" t="n">
        <v>45952</v>
      </c>
      <c r="D537" t="inlineStr">
        <is>
          <t>VÄSTRA GÖTALANDS LÄN</t>
        </is>
      </c>
      <c r="E537" t="inlineStr">
        <is>
          <t>GÖTENE</t>
        </is>
      </c>
      <c r="G537" t="n">
        <v>1.9</v>
      </c>
      <c r="H537" t="n">
        <v>0</v>
      </c>
      <c r="I537" t="n">
        <v>0</v>
      </c>
      <c r="J537" t="n">
        <v>1</v>
      </c>
      <c r="K537" t="n">
        <v>0</v>
      </c>
      <c r="L537" t="n">
        <v>0</v>
      </c>
      <c r="M537" t="n">
        <v>0</v>
      </c>
      <c r="N537" t="n">
        <v>0</v>
      </c>
      <c r="O537" t="n">
        <v>1</v>
      </c>
      <c r="P537" t="n">
        <v>0</v>
      </c>
      <c r="Q537" t="n">
        <v>1</v>
      </c>
      <c r="R537" s="2" t="inlineStr">
        <is>
          <t>Svinrot</t>
        </is>
      </c>
      <c r="S537">
        <f>HYPERLINK("https://klasma.github.io/Logging_1471/artfynd/A 41724-2022 artfynd.xlsx", "A 41724-2022")</f>
        <v/>
      </c>
      <c r="T537">
        <f>HYPERLINK("https://klasma.github.io/Logging_1471/kartor/A 41724-2022 karta.png", "A 41724-2022")</f>
        <v/>
      </c>
      <c r="V537">
        <f>HYPERLINK("https://klasma.github.io/Logging_1471/klagomål/A 41724-2022 FSC-klagomål.docx", "A 41724-2022")</f>
        <v/>
      </c>
      <c r="W537">
        <f>HYPERLINK("https://klasma.github.io/Logging_1471/klagomålsmail/A 41724-2022 FSC-klagomål mail.docx", "A 41724-2022")</f>
        <v/>
      </c>
      <c r="X537">
        <f>HYPERLINK("https://klasma.github.io/Logging_1471/tillsyn/A 41724-2022 tillsynsbegäran.docx", "A 41724-2022")</f>
        <v/>
      </c>
      <c r="Y537">
        <f>HYPERLINK("https://klasma.github.io/Logging_1471/tillsynsmail/A 41724-2022 tillsynsbegäran mail.docx", "A 41724-2022")</f>
        <v/>
      </c>
    </row>
    <row r="538" ht="15" customHeight="1">
      <c r="A538" t="inlineStr">
        <is>
          <t>A 53156-2021</t>
        </is>
      </c>
      <c r="B538" s="1" t="n">
        <v>44468</v>
      </c>
      <c r="C538" s="1" t="n">
        <v>45952</v>
      </c>
      <c r="D538" t="inlineStr">
        <is>
          <t>VÄSTRA GÖTALANDS LÄN</t>
        </is>
      </c>
      <c r="E538" t="inlineStr">
        <is>
          <t>STENUNGSUND</t>
        </is>
      </c>
      <c r="G538" t="n">
        <v>10.4</v>
      </c>
      <c r="H538" t="n">
        <v>1</v>
      </c>
      <c r="I538" t="n">
        <v>0</v>
      </c>
      <c r="J538" t="n">
        <v>0</v>
      </c>
      <c r="K538" t="n">
        <v>1</v>
      </c>
      <c r="L538" t="n">
        <v>0</v>
      </c>
      <c r="M538" t="n">
        <v>0</v>
      </c>
      <c r="N538" t="n">
        <v>0</v>
      </c>
      <c r="O538" t="n">
        <v>1</v>
      </c>
      <c r="P538" t="n">
        <v>1</v>
      </c>
      <c r="Q538" t="n">
        <v>1</v>
      </c>
      <c r="R538" s="2" t="inlineStr">
        <is>
          <t>Knärot</t>
        </is>
      </c>
      <c r="S538">
        <f>HYPERLINK("https://klasma.github.io/Logging_1415/artfynd/A 53156-2021 artfynd.xlsx", "A 53156-2021")</f>
        <v/>
      </c>
      <c r="T538">
        <f>HYPERLINK("https://klasma.github.io/Logging_1415/kartor/A 53156-2021 karta.png", "A 53156-2021")</f>
        <v/>
      </c>
      <c r="U538">
        <f>HYPERLINK("https://klasma.github.io/Logging_1415/knärot/A 53156-2021 karta knärot.png", "A 53156-2021")</f>
        <v/>
      </c>
      <c r="V538">
        <f>HYPERLINK("https://klasma.github.io/Logging_1415/klagomål/A 53156-2021 FSC-klagomål.docx", "A 53156-2021")</f>
        <v/>
      </c>
      <c r="W538">
        <f>HYPERLINK("https://klasma.github.io/Logging_1415/klagomålsmail/A 53156-2021 FSC-klagomål mail.docx", "A 53156-2021")</f>
        <v/>
      </c>
      <c r="X538">
        <f>HYPERLINK("https://klasma.github.io/Logging_1415/tillsyn/A 53156-2021 tillsynsbegäran.docx", "A 53156-2021")</f>
        <v/>
      </c>
      <c r="Y538">
        <f>HYPERLINK("https://klasma.github.io/Logging_1415/tillsynsmail/A 53156-2021 tillsynsbegäran mail.docx", "A 53156-2021")</f>
        <v/>
      </c>
    </row>
    <row r="539" ht="15" customHeight="1">
      <c r="A539" t="inlineStr">
        <is>
          <t>A 36545-2023</t>
        </is>
      </c>
      <c r="B539" s="1" t="n">
        <v>45153</v>
      </c>
      <c r="C539" s="1" t="n">
        <v>45952</v>
      </c>
      <c r="D539" t="inlineStr">
        <is>
          <t>VÄSTRA GÖTALANDS LÄN</t>
        </is>
      </c>
      <c r="E539" t="inlineStr">
        <is>
          <t>BORÅS</t>
        </is>
      </c>
      <c r="G539" t="n">
        <v>4.5</v>
      </c>
      <c r="H539" t="n">
        <v>1</v>
      </c>
      <c r="I539" t="n">
        <v>0</v>
      </c>
      <c r="J539" t="n">
        <v>0</v>
      </c>
      <c r="K539" t="n">
        <v>0</v>
      </c>
      <c r="L539" t="n">
        <v>0</v>
      </c>
      <c r="M539" t="n">
        <v>0</v>
      </c>
      <c r="N539" t="n">
        <v>0</v>
      </c>
      <c r="O539" t="n">
        <v>0</v>
      </c>
      <c r="P539" t="n">
        <v>0</v>
      </c>
      <c r="Q539" t="n">
        <v>1</v>
      </c>
      <c r="R539" s="2" t="inlineStr">
        <is>
          <t>Revlummer</t>
        </is>
      </c>
      <c r="S539">
        <f>HYPERLINK("https://klasma.github.io/Logging_1490/artfynd/A 36545-2023 artfynd.xlsx", "A 36545-2023")</f>
        <v/>
      </c>
      <c r="T539">
        <f>HYPERLINK("https://klasma.github.io/Logging_1490/kartor/A 36545-2023 karta.png", "A 36545-2023")</f>
        <v/>
      </c>
      <c r="V539">
        <f>HYPERLINK("https://klasma.github.io/Logging_1490/klagomål/A 36545-2023 FSC-klagomål.docx", "A 36545-2023")</f>
        <v/>
      </c>
      <c r="W539">
        <f>HYPERLINK("https://klasma.github.io/Logging_1490/klagomålsmail/A 36545-2023 FSC-klagomål mail.docx", "A 36545-2023")</f>
        <v/>
      </c>
      <c r="X539">
        <f>HYPERLINK("https://klasma.github.io/Logging_1490/tillsyn/A 36545-2023 tillsynsbegäran.docx", "A 36545-2023")</f>
        <v/>
      </c>
      <c r="Y539">
        <f>HYPERLINK("https://klasma.github.io/Logging_1490/tillsynsmail/A 36545-2023 tillsynsbegäran mail.docx", "A 36545-2023")</f>
        <v/>
      </c>
    </row>
    <row r="540" ht="15" customHeight="1">
      <c r="A540" t="inlineStr">
        <is>
          <t>A 36783-2023</t>
        </is>
      </c>
      <c r="B540" s="1" t="n">
        <v>45154</v>
      </c>
      <c r="C540" s="1" t="n">
        <v>45952</v>
      </c>
      <c r="D540" t="inlineStr">
        <is>
          <t>VÄSTRA GÖTALANDS LÄN</t>
        </is>
      </c>
      <c r="E540" t="inlineStr">
        <is>
          <t>MARK</t>
        </is>
      </c>
      <c r="G540" t="n">
        <v>5.4</v>
      </c>
      <c r="H540" t="n">
        <v>0</v>
      </c>
      <c r="I540" t="n">
        <v>0</v>
      </c>
      <c r="J540" t="n">
        <v>0</v>
      </c>
      <c r="K540" t="n">
        <v>0</v>
      </c>
      <c r="L540" t="n">
        <v>0</v>
      </c>
      <c r="M540" t="n">
        <v>1</v>
      </c>
      <c r="N540" t="n">
        <v>0</v>
      </c>
      <c r="O540" t="n">
        <v>1</v>
      </c>
      <c r="P540" t="n">
        <v>1</v>
      </c>
      <c r="Q540" t="n">
        <v>1</v>
      </c>
      <c r="R540" s="2" t="inlineStr">
        <is>
          <t>Ål</t>
        </is>
      </c>
      <c r="S540">
        <f>HYPERLINK("https://klasma.github.io/Logging_1463/artfynd/A 36783-2023 artfynd.xlsx", "A 36783-2023")</f>
        <v/>
      </c>
      <c r="T540">
        <f>HYPERLINK("https://klasma.github.io/Logging_1463/kartor/A 36783-2023 karta.png", "A 36783-2023")</f>
        <v/>
      </c>
      <c r="V540">
        <f>HYPERLINK("https://klasma.github.io/Logging_1463/klagomål/A 36783-2023 FSC-klagomål.docx", "A 36783-2023")</f>
        <v/>
      </c>
      <c r="W540">
        <f>HYPERLINK("https://klasma.github.io/Logging_1463/klagomålsmail/A 36783-2023 FSC-klagomål mail.docx", "A 36783-2023")</f>
        <v/>
      </c>
      <c r="X540">
        <f>HYPERLINK("https://klasma.github.io/Logging_1463/tillsyn/A 36783-2023 tillsynsbegäran.docx", "A 36783-2023")</f>
        <v/>
      </c>
      <c r="Y540">
        <f>HYPERLINK("https://klasma.github.io/Logging_1463/tillsynsmail/A 36783-2023 tillsynsbegäran mail.docx", "A 36783-2023")</f>
        <v/>
      </c>
    </row>
    <row r="541" ht="15" customHeight="1">
      <c r="A541" t="inlineStr">
        <is>
          <t>A 60261-2024</t>
        </is>
      </c>
      <c r="B541" s="1" t="n">
        <v>45642</v>
      </c>
      <c r="C541" s="1" t="n">
        <v>45952</v>
      </c>
      <c r="D541" t="inlineStr">
        <is>
          <t>VÄSTRA GÖTALANDS LÄN</t>
        </is>
      </c>
      <c r="E541" t="inlineStr">
        <is>
          <t>LYSEKIL</t>
        </is>
      </c>
      <c r="G541" t="n">
        <v>0.7</v>
      </c>
      <c r="H541" t="n">
        <v>1</v>
      </c>
      <c r="I541" t="n">
        <v>0</v>
      </c>
      <c r="J541" t="n">
        <v>0</v>
      </c>
      <c r="K541" t="n">
        <v>0</v>
      </c>
      <c r="L541" t="n">
        <v>0</v>
      </c>
      <c r="M541" t="n">
        <v>0</v>
      </c>
      <c r="N541" t="n">
        <v>0</v>
      </c>
      <c r="O541" t="n">
        <v>0</v>
      </c>
      <c r="P541" t="n">
        <v>0</v>
      </c>
      <c r="Q541" t="n">
        <v>1</v>
      </c>
      <c r="R541" s="2" t="inlineStr">
        <is>
          <t>Blåsippa</t>
        </is>
      </c>
      <c r="S541">
        <f>HYPERLINK("https://klasma.github.io/Logging_1484/artfynd/A 60261-2024 artfynd.xlsx", "A 60261-2024")</f>
        <v/>
      </c>
      <c r="T541">
        <f>HYPERLINK("https://klasma.github.io/Logging_1484/kartor/A 60261-2024 karta.png", "A 60261-2024")</f>
        <v/>
      </c>
      <c r="V541">
        <f>HYPERLINK("https://klasma.github.io/Logging_1484/klagomål/A 60261-2024 FSC-klagomål.docx", "A 60261-2024")</f>
        <v/>
      </c>
      <c r="W541">
        <f>HYPERLINK("https://klasma.github.io/Logging_1484/klagomålsmail/A 60261-2024 FSC-klagomål mail.docx", "A 60261-2024")</f>
        <v/>
      </c>
      <c r="X541">
        <f>HYPERLINK("https://klasma.github.io/Logging_1484/tillsyn/A 60261-2024 tillsynsbegäran.docx", "A 60261-2024")</f>
        <v/>
      </c>
      <c r="Y541">
        <f>HYPERLINK("https://klasma.github.io/Logging_1484/tillsynsmail/A 60261-2024 tillsynsbegäran mail.docx", "A 60261-2024")</f>
        <v/>
      </c>
    </row>
    <row r="542" ht="15" customHeight="1">
      <c r="A542" t="inlineStr">
        <is>
          <t>A 23973-2023</t>
        </is>
      </c>
      <c r="B542" s="1" t="n">
        <v>45075</v>
      </c>
      <c r="C542" s="1" t="n">
        <v>45952</v>
      </c>
      <c r="D542" t="inlineStr">
        <is>
          <t>VÄSTRA GÖTALANDS LÄN</t>
        </is>
      </c>
      <c r="E542" t="inlineStr">
        <is>
          <t>KARLSBORG</t>
        </is>
      </c>
      <c r="G542" t="n">
        <v>2.2</v>
      </c>
      <c r="H542" t="n">
        <v>1</v>
      </c>
      <c r="I542" t="n">
        <v>0</v>
      </c>
      <c r="J542" t="n">
        <v>0</v>
      </c>
      <c r="K542" t="n">
        <v>0</v>
      </c>
      <c r="L542" t="n">
        <v>0</v>
      </c>
      <c r="M542" t="n">
        <v>0</v>
      </c>
      <c r="N542" t="n">
        <v>0</v>
      </c>
      <c r="O542" t="n">
        <v>0</v>
      </c>
      <c r="P542" t="n">
        <v>0</v>
      </c>
      <c r="Q542" t="n">
        <v>1</v>
      </c>
      <c r="R542" s="2" t="inlineStr">
        <is>
          <t>Orre</t>
        </is>
      </c>
      <c r="S542">
        <f>HYPERLINK("https://klasma.github.io/Logging_1446/artfynd/A 23973-2023 artfynd.xlsx", "A 23973-2023")</f>
        <v/>
      </c>
      <c r="T542">
        <f>HYPERLINK("https://klasma.github.io/Logging_1446/kartor/A 23973-2023 karta.png", "A 23973-2023")</f>
        <v/>
      </c>
      <c r="V542">
        <f>HYPERLINK("https://klasma.github.io/Logging_1446/klagomål/A 23973-2023 FSC-klagomål.docx", "A 23973-2023")</f>
        <v/>
      </c>
      <c r="W542">
        <f>HYPERLINK("https://klasma.github.io/Logging_1446/klagomålsmail/A 23973-2023 FSC-klagomål mail.docx", "A 23973-2023")</f>
        <v/>
      </c>
      <c r="X542">
        <f>HYPERLINK("https://klasma.github.io/Logging_1446/tillsyn/A 23973-2023 tillsynsbegäran.docx", "A 23973-2023")</f>
        <v/>
      </c>
      <c r="Y542">
        <f>HYPERLINK("https://klasma.github.io/Logging_1446/tillsynsmail/A 23973-2023 tillsynsbegäran mail.docx", "A 23973-2023")</f>
        <v/>
      </c>
      <c r="Z542">
        <f>HYPERLINK("https://klasma.github.io/Logging_1446/fåglar/A 23973-2023 prioriterade fågelarter.docx", "A 23973-2023")</f>
        <v/>
      </c>
    </row>
    <row r="543" ht="15" customHeight="1">
      <c r="A543" t="inlineStr">
        <is>
          <t>A 59493-2024</t>
        </is>
      </c>
      <c r="B543" s="1" t="n">
        <v>45637</v>
      </c>
      <c r="C543" s="1" t="n">
        <v>45952</v>
      </c>
      <c r="D543" t="inlineStr">
        <is>
          <t>VÄSTRA GÖTALANDS LÄN</t>
        </is>
      </c>
      <c r="E543" t="inlineStr">
        <is>
          <t>ÅMÅL</t>
        </is>
      </c>
      <c r="F543" t="inlineStr">
        <is>
          <t>Bergvik skog väst AB</t>
        </is>
      </c>
      <c r="G543" t="n">
        <v>5.2</v>
      </c>
      <c r="H543" t="n">
        <v>0</v>
      </c>
      <c r="I543" t="n">
        <v>0</v>
      </c>
      <c r="J543" t="n">
        <v>1</v>
      </c>
      <c r="K543" t="n">
        <v>0</v>
      </c>
      <c r="L543" t="n">
        <v>0</v>
      </c>
      <c r="M543" t="n">
        <v>0</v>
      </c>
      <c r="N543" t="n">
        <v>0</v>
      </c>
      <c r="O543" t="n">
        <v>1</v>
      </c>
      <c r="P543" t="n">
        <v>0</v>
      </c>
      <c r="Q543" t="n">
        <v>1</v>
      </c>
      <c r="R543" s="2" t="inlineStr">
        <is>
          <t>Skrovellav</t>
        </is>
      </c>
      <c r="S543">
        <f>HYPERLINK("https://klasma.github.io/Logging_1492/artfynd/A 59493-2024 artfynd.xlsx", "A 59493-2024")</f>
        <v/>
      </c>
      <c r="T543">
        <f>HYPERLINK("https://klasma.github.io/Logging_1492/kartor/A 59493-2024 karta.png", "A 59493-2024")</f>
        <v/>
      </c>
      <c r="V543">
        <f>HYPERLINK("https://klasma.github.io/Logging_1492/klagomål/A 59493-2024 FSC-klagomål.docx", "A 59493-2024")</f>
        <v/>
      </c>
      <c r="W543">
        <f>HYPERLINK("https://klasma.github.io/Logging_1492/klagomålsmail/A 59493-2024 FSC-klagomål mail.docx", "A 59493-2024")</f>
        <v/>
      </c>
      <c r="X543">
        <f>HYPERLINK("https://klasma.github.io/Logging_1492/tillsyn/A 59493-2024 tillsynsbegäran.docx", "A 59493-2024")</f>
        <v/>
      </c>
      <c r="Y543">
        <f>HYPERLINK("https://klasma.github.io/Logging_1492/tillsynsmail/A 59493-2024 tillsynsbegäran mail.docx", "A 59493-2024")</f>
        <v/>
      </c>
    </row>
    <row r="544" ht="15" customHeight="1">
      <c r="A544" t="inlineStr">
        <is>
          <t>A 36596-2023</t>
        </is>
      </c>
      <c r="B544" s="1" t="n">
        <v>45153</v>
      </c>
      <c r="C544" s="1" t="n">
        <v>45952</v>
      </c>
      <c r="D544" t="inlineStr">
        <is>
          <t>VÄSTRA GÖTALANDS LÄN</t>
        </is>
      </c>
      <c r="E544" t="inlineStr">
        <is>
          <t>BORÅS</t>
        </is>
      </c>
      <c r="G544" t="n">
        <v>1.5</v>
      </c>
      <c r="H544" t="n">
        <v>1</v>
      </c>
      <c r="I544" t="n">
        <v>0</v>
      </c>
      <c r="J544" t="n">
        <v>0</v>
      </c>
      <c r="K544" t="n">
        <v>0</v>
      </c>
      <c r="L544" t="n">
        <v>0</v>
      </c>
      <c r="M544" t="n">
        <v>0</v>
      </c>
      <c r="N544" t="n">
        <v>0</v>
      </c>
      <c r="O544" t="n">
        <v>0</v>
      </c>
      <c r="P544" t="n">
        <v>0</v>
      </c>
      <c r="Q544" t="n">
        <v>1</v>
      </c>
      <c r="R544" s="2" t="inlineStr">
        <is>
          <t>Grönvit nattviol</t>
        </is>
      </c>
      <c r="S544">
        <f>HYPERLINK("https://klasma.github.io/Logging_1490/artfynd/A 36596-2023 artfynd.xlsx", "A 36596-2023")</f>
        <v/>
      </c>
      <c r="T544">
        <f>HYPERLINK("https://klasma.github.io/Logging_1490/kartor/A 36596-2023 karta.png", "A 36596-2023")</f>
        <v/>
      </c>
      <c r="V544">
        <f>HYPERLINK("https://klasma.github.io/Logging_1490/klagomål/A 36596-2023 FSC-klagomål.docx", "A 36596-2023")</f>
        <v/>
      </c>
      <c r="W544">
        <f>HYPERLINK("https://klasma.github.io/Logging_1490/klagomålsmail/A 36596-2023 FSC-klagomål mail.docx", "A 36596-2023")</f>
        <v/>
      </c>
      <c r="X544">
        <f>HYPERLINK("https://klasma.github.io/Logging_1490/tillsyn/A 36596-2023 tillsynsbegäran.docx", "A 36596-2023")</f>
        <v/>
      </c>
      <c r="Y544">
        <f>HYPERLINK("https://klasma.github.io/Logging_1490/tillsynsmail/A 36596-2023 tillsynsbegäran mail.docx", "A 36596-2023")</f>
        <v/>
      </c>
    </row>
    <row r="545" ht="15" customHeight="1">
      <c r="A545" t="inlineStr">
        <is>
          <t>A 36645-2023</t>
        </is>
      </c>
      <c r="B545" s="1" t="n">
        <v>45153.55381944445</v>
      </c>
      <c r="C545" s="1" t="n">
        <v>45952</v>
      </c>
      <c r="D545" t="inlineStr">
        <is>
          <t>VÄSTRA GÖTALANDS LÄN</t>
        </is>
      </c>
      <c r="E545" t="inlineStr">
        <is>
          <t>FÄRGELANDA</t>
        </is>
      </c>
      <c r="G545" t="n">
        <v>6.6</v>
      </c>
      <c r="H545" t="n">
        <v>1</v>
      </c>
      <c r="I545" t="n">
        <v>1</v>
      </c>
      <c r="J545" t="n">
        <v>0</v>
      </c>
      <c r="K545" t="n">
        <v>0</v>
      </c>
      <c r="L545" t="n">
        <v>0</v>
      </c>
      <c r="M545" t="n">
        <v>0</v>
      </c>
      <c r="N545" t="n">
        <v>0</v>
      </c>
      <c r="O545" t="n">
        <v>0</v>
      </c>
      <c r="P545" t="n">
        <v>0</v>
      </c>
      <c r="Q545" t="n">
        <v>1</v>
      </c>
      <c r="R545" s="2" t="inlineStr">
        <is>
          <t>Spindelblomster</t>
        </is>
      </c>
      <c r="S545">
        <f>HYPERLINK("https://klasma.github.io/Logging_1439/artfynd/A 36645-2023 artfynd.xlsx", "A 36645-2023")</f>
        <v/>
      </c>
      <c r="T545">
        <f>HYPERLINK("https://klasma.github.io/Logging_1439/kartor/A 36645-2023 karta.png", "A 36645-2023")</f>
        <v/>
      </c>
      <c r="V545">
        <f>HYPERLINK("https://klasma.github.io/Logging_1439/klagomål/A 36645-2023 FSC-klagomål.docx", "A 36645-2023")</f>
        <v/>
      </c>
      <c r="W545">
        <f>HYPERLINK("https://klasma.github.io/Logging_1439/klagomålsmail/A 36645-2023 FSC-klagomål mail.docx", "A 36645-2023")</f>
        <v/>
      </c>
      <c r="X545">
        <f>HYPERLINK("https://klasma.github.io/Logging_1439/tillsyn/A 36645-2023 tillsynsbegäran.docx", "A 36645-2023")</f>
        <v/>
      </c>
      <c r="Y545">
        <f>HYPERLINK("https://klasma.github.io/Logging_1439/tillsynsmail/A 36645-2023 tillsynsbegäran mail.docx", "A 36645-2023")</f>
        <v/>
      </c>
    </row>
    <row r="546" ht="15" customHeight="1">
      <c r="A546" t="inlineStr">
        <is>
          <t>A 34766-2023</t>
        </is>
      </c>
      <c r="B546" s="1" t="n">
        <v>45140</v>
      </c>
      <c r="C546" s="1" t="n">
        <v>45952</v>
      </c>
      <c r="D546" t="inlineStr">
        <is>
          <t>VÄSTRA GÖTALANDS LÄN</t>
        </is>
      </c>
      <c r="E546" t="inlineStr">
        <is>
          <t>ULRICEHAMN</t>
        </is>
      </c>
      <c r="G546" t="n">
        <v>17.6</v>
      </c>
      <c r="H546" t="n">
        <v>0</v>
      </c>
      <c r="I546" t="n">
        <v>1</v>
      </c>
      <c r="J546" t="n">
        <v>0</v>
      </c>
      <c r="K546" t="n">
        <v>0</v>
      </c>
      <c r="L546" t="n">
        <v>0</v>
      </c>
      <c r="M546" t="n">
        <v>0</v>
      </c>
      <c r="N546" t="n">
        <v>0</v>
      </c>
      <c r="O546" t="n">
        <v>0</v>
      </c>
      <c r="P546" t="n">
        <v>0</v>
      </c>
      <c r="Q546" t="n">
        <v>1</v>
      </c>
      <c r="R546" s="2" t="inlineStr">
        <is>
          <t>Tibast</t>
        </is>
      </c>
      <c r="S546">
        <f>HYPERLINK("https://klasma.github.io/Logging_1491/artfynd/A 34766-2023 artfynd.xlsx", "A 34766-2023")</f>
        <v/>
      </c>
      <c r="T546">
        <f>HYPERLINK("https://klasma.github.io/Logging_1491/kartor/A 34766-2023 karta.png", "A 34766-2023")</f>
        <v/>
      </c>
      <c r="V546">
        <f>HYPERLINK("https://klasma.github.io/Logging_1491/klagomål/A 34766-2023 FSC-klagomål.docx", "A 34766-2023")</f>
        <v/>
      </c>
      <c r="W546">
        <f>HYPERLINK("https://klasma.github.io/Logging_1491/klagomålsmail/A 34766-2023 FSC-klagomål mail.docx", "A 34766-2023")</f>
        <v/>
      </c>
      <c r="X546">
        <f>HYPERLINK("https://klasma.github.io/Logging_1491/tillsyn/A 34766-2023 tillsynsbegäran.docx", "A 34766-2023")</f>
        <v/>
      </c>
      <c r="Y546">
        <f>HYPERLINK("https://klasma.github.io/Logging_1491/tillsynsmail/A 34766-2023 tillsynsbegäran mail.docx", "A 34766-2023")</f>
        <v/>
      </c>
    </row>
    <row r="547" ht="15" customHeight="1">
      <c r="A547" t="inlineStr">
        <is>
          <t>A 50515-2022</t>
        </is>
      </c>
      <c r="B547" s="1" t="n">
        <v>44866</v>
      </c>
      <c r="C547" s="1" t="n">
        <v>45952</v>
      </c>
      <c r="D547" t="inlineStr">
        <is>
          <t>VÄSTRA GÖTALANDS LÄN</t>
        </is>
      </c>
      <c r="E547" t="inlineStr">
        <is>
          <t>TRANEMO</t>
        </is>
      </c>
      <c r="F547" t="inlineStr">
        <is>
          <t>Sveaskog</t>
        </is>
      </c>
      <c r="G547" t="n">
        <v>0.6</v>
      </c>
      <c r="H547" t="n">
        <v>0</v>
      </c>
      <c r="I547" t="n">
        <v>0</v>
      </c>
      <c r="J547" t="n">
        <v>1</v>
      </c>
      <c r="K547" t="n">
        <v>0</v>
      </c>
      <c r="L547" t="n">
        <v>0</v>
      </c>
      <c r="M547" t="n">
        <v>0</v>
      </c>
      <c r="N547" t="n">
        <v>0</v>
      </c>
      <c r="O547" t="n">
        <v>1</v>
      </c>
      <c r="P547" t="n">
        <v>0</v>
      </c>
      <c r="Q547" t="n">
        <v>1</v>
      </c>
      <c r="R547" s="2" t="inlineStr">
        <is>
          <t>Borsttåg</t>
        </is>
      </c>
      <c r="S547">
        <f>HYPERLINK("https://klasma.github.io/Logging_1452/artfynd/A 50515-2022 artfynd.xlsx", "A 50515-2022")</f>
        <v/>
      </c>
      <c r="T547">
        <f>HYPERLINK("https://klasma.github.io/Logging_1452/kartor/A 50515-2022 karta.png", "A 50515-2022")</f>
        <v/>
      </c>
      <c r="V547">
        <f>HYPERLINK("https://klasma.github.io/Logging_1452/klagomål/A 50515-2022 FSC-klagomål.docx", "A 50515-2022")</f>
        <v/>
      </c>
      <c r="W547">
        <f>HYPERLINK("https://klasma.github.io/Logging_1452/klagomålsmail/A 50515-2022 FSC-klagomål mail.docx", "A 50515-2022")</f>
        <v/>
      </c>
      <c r="X547">
        <f>HYPERLINK("https://klasma.github.io/Logging_1452/tillsyn/A 50515-2022 tillsynsbegäran.docx", "A 50515-2022")</f>
        <v/>
      </c>
      <c r="Y547">
        <f>HYPERLINK("https://klasma.github.io/Logging_1452/tillsynsmail/A 50515-2022 tillsynsbegäran mail.docx", "A 50515-2022")</f>
        <v/>
      </c>
    </row>
    <row r="548" ht="15" customHeight="1">
      <c r="A548" t="inlineStr">
        <is>
          <t>A 779-2025</t>
        </is>
      </c>
      <c r="B548" s="1" t="n">
        <v>45665.4808449074</v>
      </c>
      <c r="C548" s="1" t="n">
        <v>45952</v>
      </c>
      <c r="D548" t="inlineStr">
        <is>
          <t>VÄSTRA GÖTALANDS LÄN</t>
        </is>
      </c>
      <c r="E548" t="inlineStr">
        <is>
          <t>TRANEMO</t>
        </is>
      </c>
      <c r="G548" t="n">
        <v>1.1</v>
      </c>
      <c r="H548" t="n">
        <v>0</v>
      </c>
      <c r="I548" t="n">
        <v>0</v>
      </c>
      <c r="J548" t="n">
        <v>1</v>
      </c>
      <c r="K548" t="n">
        <v>0</v>
      </c>
      <c r="L548" t="n">
        <v>0</v>
      </c>
      <c r="M548" t="n">
        <v>0</v>
      </c>
      <c r="N548" t="n">
        <v>0</v>
      </c>
      <c r="O548" t="n">
        <v>1</v>
      </c>
      <c r="P548" t="n">
        <v>0</v>
      </c>
      <c r="Q548" t="n">
        <v>1</v>
      </c>
      <c r="R548" s="2" t="inlineStr">
        <is>
          <t>Slåtterfibbla</t>
        </is>
      </c>
      <c r="S548">
        <f>HYPERLINK("https://klasma.github.io/Logging_1452/artfynd/A 779-2025 artfynd.xlsx", "A 779-2025")</f>
        <v/>
      </c>
      <c r="T548">
        <f>HYPERLINK("https://klasma.github.io/Logging_1452/kartor/A 779-2025 karta.png", "A 779-2025")</f>
        <v/>
      </c>
      <c r="V548">
        <f>HYPERLINK("https://klasma.github.io/Logging_1452/klagomål/A 779-2025 FSC-klagomål.docx", "A 779-2025")</f>
        <v/>
      </c>
      <c r="W548">
        <f>HYPERLINK("https://klasma.github.io/Logging_1452/klagomålsmail/A 779-2025 FSC-klagomål mail.docx", "A 779-2025")</f>
        <v/>
      </c>
      <c r="X548">
        <f>HYPERLINK("https://klasma.github.io/Logging_1452/tillsyn/A 779-2025 tillsynsbegäran.docx", "A 779-2025")</f>
        <v/>
      </c>
      <c r="Y548">
        <f>HYPERLINK("https://klasma.github.io/Logging_1452/tillsynsmail/A 779-2025 tillsynsbegäran mail.docx", "A 779-2025")</f>
        <v/>
      </c>
    </row>
    <row r="549" ht="15" customHeight="1">
      <c r="A549" t="inlineStr">
        <is>
          <t>A 5807-2024</t>
        </is>
      </c>
      <c r="B549" s="1" t="n">
        <v>45335</v>
      </c>
      <c r="C549" s="1" t="n">
        <v>45952</v>
      </c>
      <c r="D549" t="inlineStr">
        <is>
          <t>VÄSTRA GÖTALANDS LÄN</t>
        </is>
      </c>
      <c r="E549" t="inlineStr">
        <is>
          <t>FALKÖPING</t>
        </is>
      </c>
      <c r="G549" t="n">
        <v>3.9</v>
      </c>
      <c r="H549" t="n">
        <v>1</v>
      </c>
      <c r="I549" t="n">
        <v>0</v>
      </c>
      <c r="J549" t="n">
        <v>1</v>
      </c>
      <c r="K549" t="n">
        <v>0</v>
      </c>
      <c r="L549" t="n">
        <v>0</v>
      </c>
      <c r="M549" t="n">
        <v>0</v>
      </c>
      <c r="N549" t="n">
        <v>0</v>
      </c>
      <c r="O549" t="n">
        <v>1</v>
      </c>
      <c r="P549" t="n">
        <v>0</v>
      </c>
      <c r="Q549" t="n">
        <v>1</v>
      </c>
      <c r="R549" s="2" t="inlineStr">
        <is>
          <t>Duvhök</t>
        </is>
      </c>
      <c r="S549">
        <f>HYPERLINK("https://klasma.github.io/Logging_1499/artfynd/A 5807-2024 artfynd.xlsx", "A 5807-2024")</f>
        <v/>
      </c>
      <c r="T549">
        <f>HYPERLINK("https://klasma.github.io/Logging_1499/kartor/A 5807-2024 karta.png", "A 5807-2024")</f>
        <v/>
      </c>
      <c r="V549">
        <f>HYPERLINK("https://klasma.github.io/Logging_1499/klagomål/A 5807-2024 FSC-klagomål.docx", "A 5807-2024")</f>
        <v/>
      </c>
      <c r="W549">
        <f>HYPERLINK("https://klasma.github.io/Logging_1499/klagomålsmail/A 5807-2024 FSC-klagomål mail.docx", "A 5807-2024")</f>
        <v/>
      </c>
      <c r="X549">
        <f>HYPERLINK("https://klasma.github.io/Logging_1499/tillsyn/A 5807-2024 tillsynsbegäran.docx", "A 5807-2024")</f>
        <v/>
      </c>
      <c r="Y549">
        <f>HYPERLINK("https://klasma.github.io/Logging_1499/tillsynsmail/A 5807-2024 tillsynsbegäran mail.docx", "A 5807-2024")</f>
        <v/>
      </c>
      <c r="Z549">
        <f>HYPERLINK("https://klasma.github.io/Logging_1499/fåglar/A 5807-2024 prioriterade fågelarter.docx", "A 5807-2024")</f>
        <v/>
      </c>
    </row>
    <row r="550" ht="15" customHeight="1">
      <c r="A550" t="inlineStr">
        <is>
          <t>A 1255-2021</t>
        </is>
      </c>
      <c r="B550" s="1" t="n">
        <v>44207</v>
      </c>
      <c r="C550" s="1" t="n">
        <v>45952</v>
      </c>
      <c r="D550" t="inlineStr">
        <is>
          <t>VÄSTRA GÖTALANDS LÄN</t>
        </is>
      </c>
      <c r="E550" t="inlineStr">
        <is>
          <t>TANUM</t>
        </is>
      </c>
      <c r="F550" t="inlineStr">
        <is>
          <t>Kyrkan</t>
        </is>
      </c>
      <c r="G550" t="n">
        <v>20.8</v>
      </c>
      <c r="H550" t="n">
        <v>1</v>
      </c>
      <c r="I550" t="n">
        <v>0</v>
      </c>
      <c r="J550" t="n">
        <v>1</v>
      </c>
      <c r="K550" t="n">
        <v>0</v>
      </c>
      <c r="L550" t="n">
        <v>0</v>
      </c>
      <c r="M550" t="n">
        <v>0</v>
      </c>
      <c r="N550" t="n">
        <v>0</v>
      </c>
      <c r="O550" t="n">
        <v>1</v>
      </c>
      <c r="P550" t="n">
        <v>0</v>
      </c>
      <c r="Q550" t="n">
        <v>1</v>
      </c>
      <c r="R550" s="2" t="inlineStr">
        <is>
          <t>Spillkråka</t>
        </is>
      </c>
      <c r="S550">
        <f>HYPERLINK("https://klasma.github.io/Logging_1435/artfynd/A 1255-2021 artfynd.xlsx", "A 1255-2021")</f>
        <v/>
      </c>
      <c r="T550">
        <f>HYPERLINK("https://klasma.github.io/Logging_1435/kartor/A 1255-2021 karta.png", "A 1255-2021")</f>
        <v/>
      </c>
      <c r="V550">
        <f>HYPERLINK("https://klasma.github.io/Logging_1435/klagomål/A 1255-2021 FSC-klagomål.docx", "A 1255-2021")</f>
        <v/>
      </c>
      <c r="W550">
        <f>HYPERLINK("https://klasma.github.io/Logging_1435/klagomålsmail/A 1255-2021 FSC-klagomål mail.docx", "A 1255-2021")</f>
        <v/>
      </c>
      <c r="X550">
        <f>HYPERLINK("https://klasma.github.io/Logging_1435/tillsyn/A 1255-2021 tillsynsbegäran.docx", "A 1255-2021")</f>
        <v/>
      </c>
      <c r="Y550">
        <f>HYPERLINK("https://klasma.github.io/Logging_1435/tillsynsmail/A 1255-2021 tillsynsbegäran mail.docx", "A 1255-2021")</f>
        <v/>
      </c>
      <c r="Z550">
        <f>HYPERLINK("https://klasma.github.io/Logging_1435/fåglar/A 1255-2021 prioriterade fågelarter.docx", "A 1255-2021")</f>
        <v/>
      </c>
    </row>
    <row r="551" ht="15" customHeight="1">
      <c r="A551" t="inlineStr">
        <is>
          <t>A 67174-2020</t>
        </is>
      </c>
      <c r="B551" s="1" t="n">
        <v>44180</v>
      </c>
      <c r="C551" s="1" t="n">
        <v>45952</v>
      </c>
      <c r="D551" t="inlineStr">
        <is>
          <t>VÄSTRA GÖTALANDS LÄN</t>
        </is>
      </c>
      <c r="E551" t="inlineStr">
        <is>
          <t>DALS-ED</t>
        </is>
      </c>
      <c r="G551" t="n">
        <v>7.7</v>
      </c>
      <c r="H551" t="n">
        <v>0</v>
      </c>
      <c r="I551" t="n">
        <v>0</v>
      </c>
      <c r="J551" t="n">
        <v>1</v>
      </c>
      <c r="K551" t="n">
        <v>0</v>
      </c>
      <c r="L551" t="n">
        <v>0</v>
      </c>
      <c r="M551" t="n">
        <v>0</v>
      </c>
      <c r="N551" t="n">
        <v>0</v>
      </c>
      <c r="O551" t="n">
        <v>1</v>
      </c>
      <c r="P551" t="n">
        <v>0</v>
      </c>
      <c r="Q551" t="n">
        <v>1</v>
      </c>
      <c r="R551" s="2" t="inlineStr">
        <is>
          <t>Skrovellav</t>
        </is>
      </c>
      <c r="S551">
        <f>HYPERLINK("https://klasma.github.io/Logging_1438/artfynd/A 67174-2020 artfynd.xlsx", "A 67174-2020")</f>
        <v/>
      </c>
      <c r="T551">
        <f>HYPERLINK("https://klasma.github.io/Logging_1438/kartor/A 67174-2020 karta.png", "A 67174-2020")</f>
        <v/>
      </c>
      <c r="V551">
        <f>HYPERLINK("https://klasma.github.io/Logging_1438/klagomål/A 67174-2020 FSC-klagomål.docx", "A 67174-2020")</f>
        <v/>
      </c>
      <c r="W551">
        <f>HYPERLINK("https://klasma.github.io/Logging_1438/klagomålsmail/A 67174-2020 FSC-klagomål mail.docx", "A 67174-2020")</f>
        <v/>
      </c>
      <c r="X551">
        <f>HYPERLINK("https://klasma.github.io/Logging_1438/tillsyn/A 67174-2020 tillsynsbegäran.docx", "A 67174-2020")</f>
        <v/>
      </c>
      <c r="Y551">
        <f>HYPERLINK("https://klasma.github.io/Logging_1438/tillsynsmail/A 67174-2020 tillsynsbegäran mail.docx", "A 67174-2020")</f>
        <v/>
      </c>
    </row>
    <row r="552" ht="15" customHeight="1">
      <c r="A552" t="inlineStr">
        <is>
          <t>A 53422-2023</t>
        </is>
      </c>
      <c r="B552" s="1" t="n">
        <v>45229</v>
      </c>
      <c r="C552" s="1" t="n">
        <v>45952</v>
      </c>
      <c r="D552" t="inlineStr">
        <is>
          <t>VÄSTRA GÖTALANDS LÄN</t>
        </is>
      </c>
      <c r="E552" t="inlineStr">
        <is>
          <t>LYSEKIL</t>
        </is>
      </c>
      <c r="G552" t="n">
        <v>3.1</v>
      </c>
      <c r="H552" t="n">
        <v>1</v>
      </c>
      <c r="I552" t="n">
        <v>0</v>
      </c>
      <c r="J552" t="n">
        <v>0</v>
      </c>
      <c r="K552" t="n">
        <v>0</v>
      </c>
      <c r="L552" t="n">
        <v>0</v>
      </c>
      <c r="M552" t="n">
        <v>0</v>
      </c>
      <c r="N552" t="n">
        <v>0</v>
      </c>
      <c r="O552" t="n">
        <v>0</v>
      </c>
      <c r="P552" t="n">
        <v>0</v>
      </c>
      <c r="Q552" t="n">
        <v>1</v>
      </c>
      <c r="R552" s="2" t="inlineStr">
        <is>
          <t>Huggorm</t>
        </is>
      </c>
      <c r="S552">
        <f>HYPERLINK("https://klasma.github.io/Logging_1484/artfynd/A 53422-2023 artfynd.xlsx", "A 53422-2023")</f>
        <v/>
      </c>
      <c r="T552">
        <f>HYPERLINK("https://klasma.github.io/Logging_1484/kartor/A 53422-2023 karta.png", "A 53422-2023")</f>
        <v/>
      </c>
      <c r="V552">
        <f>HYPERLINK("https://klasma.github.io/Logging_1484/klagomål/A 53422-2023 FSC-klagomål.docx", "A 53422-2023")</f>
        <v/>
      </c>
      <c r="W552">
        <f>HYPERLINK("https://klasma.github.io/Logging_1484/klagomålsmail/A 53422-2023 FSC-klagomål mail.docx", "A 53422-2023")</f>
        <v/>
      </c>
      <c r="X552">
        <f>HYPERLINK("https://klasma.github.io/Logging_1484/tillsyn/A 53422-2023 tillsynsbegäran.docx", "A 53422-2023")</f>
        <v/>
      </c>
      <c r="Y552">
        <f>HYPERLINK("https://klasma.github.io/Logging_1484/tillsynsmail/A 53422-2023 tillsynsbegäran mail.docx", "A 53422-2023")</f>
        <v/>
      </c>
    </row>
    <row r="553" ht="15" customHeight="1">
      <c r="A553" t="inlineStr">
        <is>
          <t>A 14793-2023</t>
        </is>
      </c>
      <c r="B553" s="1" t="n">
        <v>45014.60708333334</v>
      </c>
      <c r="C553" s="1" t="n">
        <v>45952</v>
      </c>
      <c r="D553" t="inlineStr">
        <is>
          <t>VÄSTRA GÖTALANDS LÄN</t>
        </is>
      </c>
      <c r="E553" t="inlineStr">
        <is>
          <t>DALS-ED</t>
        </is>
      </c>
      <c r="G553" t="n">
        <v>1.6</v>
      </c>
      <c r="H553" t="n">
        <v>0</v>
      </c>
      <c r="I553" t="n">
        <v>0</v>
      </c>
      <c r="J553" t="n">
        <v>0</v>
      </c>
      <c r="K553" t="n">
        <v>1</v>
      </c>
      <c r="L553" t="n">
        <v>0</v>
      </c>
      <c r="M553" t="n">
        <v>0</v>
      </c>
      <c r="N553" t="n">
        <v>0</v>
      </c>
      <c r="O553" t="n">
        <v>1</v>
      </c>
      <c r="P553" t="n">
        <v>1</v>
      </c>
      <c r="Q553" t="n">
        <v>1</v>
      </c>
      <c r="R553" s="2" t="inlineStr">
        <is>
          <t>Slåttergubbe</t>
        </is>
      </c>
      <c r="S553">
        <f>HYPERLINK("https://klasma.github.io/Logging_1438/artfynd/A 14793-2023 artfynd.xlsx", "A 14793-2023")</f>
        <v/>
      </c>
      <c r="T553">
        <f>HYPERLINK("https://klasma.github.io/Logging_1438/kartor/A 14793-2023 karta.png", "A 14793-2023")</f>
        <v/>
      </c>
      <c r="V553">
        <f>HYPERLINK("https://klasma.github.io/Logging_1438/klagomål/A 14793-2023 FSC-klagomål.docx", "A 14793-2023")</f>
        <v/>
      </c>
      <c r="W553">
        <f>HYPERLINK("https://klasma.github.io/Logging_1438/klagomålsmail/A 14793-2023 FSC-klagomål mail.docx", "A 14793-2023")</f>
        <v/>
      </c>
      <c r="X553">
        <f>HYPERLINK("https://klasma.github.io/Logging_1438/tillsyn/A 14793-2023 tillsynsbegäran.docx", "A 14793-2023")</f>
        <v/>
      </c>
      <c r="Y553">
        <f>HYPERLINK("https://klasma.github.io/Logging_1438/tillsynsmail/A 14793-2023 tillsynsbegäran mail.docx", "A 14793-2023")</f>
        <v/>
      </c>
    </row>
    <row r="554" ht="15" customHeight="1">
      <c r="A554" t="inlineStr">
        <is>
          <t>A 6160-2023</t>
        </is>
      </c>
      <c r="B554" s="1" t="n">
        <v>44964</v>
      </c>
      <c r="C554" s="1" t="n">
        <v>45952</v>
      </c>
      <c r="D554" t="inlineStr">
        <is>
          <t>VÄSTRA GÖTALANDS LÄN</t>
        </is>
      </c>
      <c r="E554" t="inlineStr">
        <is>
          <t>TÖREBODA</t>
        </is>
      </c>
      <c r="G554" t="n">
        <v>1.6</v>
      </c>
      <c r="H554" t="n">
        <v>1</v>
      </c>
      <c r="I554" t="n">
        <v>0</v>
      </c>
      <c r="J554" t="n">
        <v>1</v>
      </c>
      <c r="K554" t="n">
        <v>0</v>
      </c>
      <c r="L554" t="n">
        <v>0</v>
      </c>
      <c r="M554" t="n">
        <v>0</v>
      </c>
      <c r="N554" t="n">
        <v>0</v>
      </c>
      <c r="O554" t="n">
        <v>1</v>
      </c>
      <c r="P554" t="n">
        <v>0</v>
      </c>
      <c r="Q554" t="n">
        <v>1</v>
      </c>
      <c r="R554" s="2" t="inlineStr">
        <is>
          <t>Havsörn</t>
        </is>
      </c>
      <c r="S554">
        <f>HYPERLINK("https://klasma.github.io/Logging_1473/artfynd/A 6160-2023 artfynd.xlsx", "A 6160-2023")</f>
        <v/>
      </c>
      <c r="T554">
        <f>HYPERLINK("https://klasma.github.io/Logging_1473/kartor/A 6160-2023 karta.png", "A 6160-2023")</f>
        <v/>
      </c>
      <c r="V554">
        <f>HYPERLINK("https://klasma.github.io/Logging_1473/klagomål/A 6160-2023 FSC-klagomål.docx", "A 6160-2023")</f>
        <v/>
      </c>
      <c r="W554">
        <f>HYPERLINK("https://klasma.github.io/Logging_1473/klagomålsmail/A 6160-2023 FSC-klagomål mail.docx", "A 6160-2023")</f>
        <v/>
      </c>
      <c r="X554">
        <f>HYPERLINK("https://klasma.github.io/Logging_1473/tillsyn/A 6160-2023 tillsynsbegäran.docx", "A 6160-2023")</f>
        <v/>
      </c>
      <c r="Y554">
        <f>HYPERLINK("https://klasma.github.io/Logging_1473/tillsynsmail/A 6160-2023 tillsynsbegäran mail.docx", "A 6160-2023")</f>
        <v/>
      </c>
      <c r="Z554">
        <f>HYPERLINK("https://klasma.github.io/Logging_1473/fåglar/A 6160-2023 prioriterade fågelarter.docx", "A 6160-2023")</f>
        <v/>
      </c>
    </row>
    <row r="555" ht="15" customHeight="1">
      <c r="A555" t="inlineStr">
        <is>
          <t>A 61199-2023</t>
        </is>
      </c>
      <c r="B555" s="1" t="n">
        <v>45264</v>
      </c>
      <c r="C555" s="1" t="n">
        <v>45952</v>
      </c>
      <c r="D555" t="inlineStr">
        <is>
          <t>VÄSTRA GÖTALANDS LÄN</t>
        </is>
      </c>
      <c r="E555" t="inlineStr">
        <is>
          <t>ULRICEHAMN</t>
        </is>
      </c>
      <c r="G555" t="n">
        <v>2.6</v>
      </c>
      <c r="H555" t="n">
        <v>0</v>
      </c>
      <c r="I555" t="n">
        <v>0</v>
      </c>
      <c r="J555" t="n">
        <v>0</v>
      </c>
      <c r="K555" t="n">
        <v>0</v>
      </c>
      <c r="L555" t="n">
        <v>1</v>
      </c>
      <c r="M555" t="n">
        <v>0</v>
      </c>
      <c r="N555" t="n">
        <v>0</v>
      </c>
      <c r="O555" t="n">
        <v>1</v>
      </c>
      <c r="P555" t="n">
        <v>1</v>
      </c>
      <c r="Q555" t="n">
        <v>1</v>
      </c>
      <c r="R555" s="2" t="inlineStr">
        <is>
          <t>Ask</t>
        </is>
      </c>
      <c r="S555">
        <f>HYPERLINK("https://klasma.github.io/Logging_1491/artfynd/A 61199-2023 artfynd.xlsx", "A 61199-2023")</f>
        <v/>
      </c>
      <c r="T555">
        <f>HYPERLINK("https://klasma.github.io/Logging_1491/kartor/A 61199-2023 karta.png", "A 61199-2023")</f>
        <v/>
      </c>
      <c r="V555">
        <f>HYPERLINK("https://klasma.github.io/Logging_1491/klagomål/A 61199-2023 FSC-klagomål.docx", "A 61199-2023")</f>
        <v/>
      </c>
      <c r="W555">
        <f>HYPERLINK("https://klasma.github.io/Logging_1491/klagomålsmail/A 61199-2023 FSC-klagomål mail.docx", "A 61199-2023")</f>
        <v/>
      </c>
      <c r="X555">
        <f>HYPERLINK("https://klasma.github.io/Logging_1491/tillsyn/A 61199-2023 tillsynsbegäran.docx", "A 61199-2023")</f>
        <v/>
      </c>
      <c r="Y555">
        <f>HYPERLINK("https://klasma.github.io/Logging_1491/tillsynsmail/A 61199-2023 tillsynsbegäran mail.docx", "A 61199-2023")</f>
        <v/>
      </c>
    </row>
    <row r="556" ht="15" customHeight="1">
      <c r="A556" t="inlineStr">
        <is>
          <t>A 25467-2022</t>
        </is>
      </c>
      <c r="B556" s="1" t="n">
        <v>44732</v>
      </c>
      <c r="C556" s="1" t="n">
        <v>45952</v>
      </c>
      <c r="D556" t="inlineStr">
        <is>
          <t>VÄSTRA GÖTALANDS LÄN</t>
        </is>
      </c>
      <c r="E556" t="inlineStr">
        <is>
          <t>TRANEMO</t>
        </is>
      </c>
      <c r="F556" t="inlineStr">
        <is>
          <t>Kommuner</t>
        </is>
      </c>
      <c r="G556" t="n">
        <v>11.8</v>
      </c>
      <c r="H556" t="n">
        <v>0</v>
      </c>
      <c r="I556" t="n">
        <v>0</v>
      </c>
      <c r="J556" t="n">
        <v>1</v>
      </c>
      <c r="K556" t="n">
        <v>0</v>
      </c>
      <c r="L556" t="n">
        <v>0</v>
      </c>
      <c r="M556" t="n">
        <v>0</v>
      </c>
      <c r="N556" t="n">
        <v>0</v>
      </c>
      <c r="O556" t="n">
        <v>1</v>
      </c>
      <c r="P556" t="n">
        <v>0</v>
      </c>
      <c r="Q556" t="n">
        <v>1</v>
      </c>
      <c r="R556" s="2" t="inlineStr">
        <is>
          <t>Borsttåg</t>
        </is>
      </c>
      <c r="S556">
        <f>HYPERLINK("https://klasma.github.io/Logging_1452/artfynd/A 25467-2022 artfynd.xlsx", "A 25467-2022")</f>
        <v/>
      </c>
      <c r="T556">
        <f>HYPERLINK("https://klasma.github.io/Logging_1452/kartor/A 25467-2022 karta.png", "A 25467-2022")</f>
        <v/>
      </c>
      <c r="V556">
        <f>HYPERLINK("https://klasma.github.io/Logging_1452/klagomål/A 25467-2022 FSC-klagomål.docx", "A 25467-2022")</f>
        <v/>
      </c>
      <c r="W556">
        <f>HYPERLINK("https://klasma.github.io/Logging_1452/klagomålsmail/A 25467-2022 FSC-klagomål mail.docx", "A 25467-2022")</f>
        <v/>
      </c>
      <c r="X556">
        <f>HYPERLINK("https://klasma.github.io/Logging_1452/tillsyn/A 25467-2022 tillsynsbegäran.docx", "A 25467-2022")</f>
        <v/>
      </c>
      <c r="Y556">
        <f>HYPERLINK("https://klasma.github.io/Logging_1452/tillsynsmail/A 25467-2022 tillsynsbegäran mail.docx", "A 25467-2022")</f>
        <v/>
      </c>
    </row>
    <row r="557" ht="15" customHeight="1">
      <c r="A557" t="inlineStr">
        <is>
          <t>A 2741-2021</t>
        </is>
      </c>
      <c r="B557" s="1" t="n">
        <v>44215</v>
      </c>
      <c r="C557" s="1" t="n">
        <v>45952</v>
      </c>
      <c r="D557" t="inlineStr">
        <is>
          <t>VÄSTRA GÖTALANDS LÄN</t>
        </is>
      </c>
      <c r="E557" t="inlineStr">
        <is>
          <t>HJO</t>
        </is>
      </c>
      <c r="G557" t="n">
        <v>10.2</v>
      </c>
      <c r="H557" t="n">
        <v>0</v>
      </c>
      <c r="I557" t="n">
        <v>1</v>
      </c>
      <c r="J557" t="n">
        <v>0</v>
      </c>
      <c r="K557" t="n">
        <v>0</v>
      </c>
      <c r="L557" t="n">
        <v>0</v>
      </c>
      <c r="M557" t="n">
        <v>0</v>
      </c>
      <c r="N557" t="n">
        <v>0</v>
      </c>
      <c r="O557" t="n">
        <v>0</v>
      </c>
      <c r="P557" t="n">
        <v>0</v>
      </c>
      <c r="Q557" t="n">
        <v>1</v>
      </c>
      <c r="R557" s="2" t="inlineStr">
        <is>
          <t>Springkorn</t>
        </is>
      </c>
      <c r="S557">
        <f>HYPERLINK("https://klasma.github.io/Logging_1497/artfynd/A 2741-2021 artfynd.xlsx", "A 2741-2021")</f>
        <v/>
      </c>
      <c r="T557">
        <f>HYPERLINK("https://klasma.github.io/Logging_1497/kartor/A 2741-2021 karta.png", "A 2741-2021")</f>
        <v/>
      </c>
      <c r="V557">
        <f>HYPERLINK("https://klasma.github.io/Logging_1497/klagomål/A 2741-2021 FSC-klagomål.docx", "A 2741-2021")</f>
        <v/>
      </c>
      <c r="W557">
        <f>HYPERLINK("https://klasma.github.io/Logging_1497/klagomålsmail/A 2741-2021 FSC-klagomål mail.docx", "A 2741-2021")</f>
        <v/>
      </c>
      <c r="X557">
        <f>HYPERLINK("https://klasma.github.io/Logging_1497/tillsyn/A 2741-2021 tillsynsbegäran.docx", "A 2741-2021")</f>
        <v/>
      </c>
      <c r="Y557">
        <f>HYPERLINK("https://klasma.github.io/Logging_1497/tillsynsmail/A 2741-2021 tillsynsbegäran mail.docx", "A 2741-2021")</f>
        <v/>
      </c>
    </row>
    <row r="558" ht="15" customHeight="1">
      <c r="A558" t="inlineStr">
        <is>
          <t>A 49789-2023</t>
        </is>
      </c>
      <c r="B558" s="1" t="n">
        <v>45212</v>
      </c>
      <c r="C558" s="1" t="n">
        <v>45952</v>
      </c>
      <c r="D558" t="inlineStr">
        <is>
          <t>VÄSTRA GÖTALANDS LÄN</t>
        </is>
      </c>
      <c r="E558" t="inlineStr">
        <is>
          <t>MÖLNDAL</t>
        </is>
      </c>
      <c r="G558" t="n">
        <v>3.8</v>
      </c>
      <c r="H558" t="n">
        <v>0</v>
      </c>
      <c r="I558" t="n">
        <v>1</v>
      </c>
      <c r="J558" t="n">
        <v>0</v>
      </c>
      <c r="K558" t="n">
        <v>0</v>
      </c>
      <c r="L558" t="n">
        <v>0</v>
      </c>
      <c r="M558" t="n">
        <v>0</v>
      </c>
      <c r="N558" t="n">
        <v>0</v>
      </c>
      <c r="O558" t="n">
        <v>0</v>
      </c>
      <c r="P558" t="n">
        <v>0</v>
      </c>
      <c r="Q558" t="n">
        <v>1</v>
      </c>
      <c r="R558" s="2" t="inlineStr">
        <is>
          <t>Trubbfjädermossa</t>
        </is>
      </c>
      <c r="S558">
        <f>HYPERLINK("https://klasma.github.io/Logging_1481/artfynd/A 49789-2023 artfynd.xlsx", "A 49789-2023")</f>
        <v/>
      </c>
      <c r="T558">
        <f>HYPERLINK("https://klasma.github.io/Logging_1481/kartor/A 49789-2023 karta.png", "A 49789-2023")</f>
        <v/>
      </c>
      <c r="V558">
        <f>HYPERLINK("https://klasma.github.io/Logging_1481/klagomål/A 49789-2023 FSC-klagomål.docx", "A 49789-2023")</f>
        <v/>
      </c>
      <c r="W558">
        <f>HYPERLINK("https://klasma.github.io/Logging_1481/klagomålsmail/A 49789-2023 FSC-klagomål mail.docx", "A 49789-2023")</f>
        <v/>
      </c>
      <c r="X558">
        <f>HYPERLINK("https://klasma.github.io/Logging_1481/tillsyn/A 49789-2023 tillsynsbegäran.docx", "A 49789-2023")</f>
        <v/>
      </c>
      <c r="Y558">
        <f>HYPERLINK("https://klasma.github.io/Logging_1481/tillsynsmail/A 49789-2023 tillsynsbegäran mail.docx", "A 49789-2023")</f>
        <v/>
      </c>
    </row>
    <row r="559" ht="15" customHeight="1">
      <c r="A559" t="inlineStr">
        <is>
          <t>A 47898-2023</t>
        </is>
      </c>
      <c r="B559" s="1" t="n">
        <v>45204.49358796296</v>
      </c>
      <c r="C559" s="1" t="n">
        <v>45952</v>
      </c>
      <c r="D559" t="inlineStr">
        <is>
          <t>VÄSTRA GÖTALANDS LÄN</t>
        </is>
      </c>
      <c r="E559" t="inlineStr">
        <is>
          <t>SKÖVDE</t>
        </is>
      </c>
      <c r="G559" t="n">
        <v>9.5</v>
      </c>
      <c r="H559" t="n">
        <v>0</v>
      </c>
      <c r="I559" t="n">
        <v>0</v>
      </c>
      <c r="J559" t="n">
        <v>1</v>
      </c>
      <c r="K559" t="n">
        <v>0</v>
      </c>
      <c r="L559" t="n">
        <v>0</v>
      </c>
      <c r="M559" t="n">
        <v>0</v>
      </c>
      <c r="N559" t="n">
        <v>0</v>
      </c>
      <c r="O559" t="n">
        <v>1</v>
      </c>
      <c r="P559" t="n">
        <v>0</v>
      </c>
      <c r="Q559" t="n">
        <v>1</v>
      </c>
      <c r="R559" s="2" t="inlineStr">
        <is>
          <t>Erastia ochraceolateritia</t>
        </is>
      </c>
      <c r="S559">
        <f>HYPERLINK("https://klasma.github.io/Logging_1496/artfynd/A 47898-2023 artfynd.xlsx", "A 47898-2023")</f>
        <v/>
      </c>
      <c r="T559">
        <f>HYPERLINK("https://klasma.github.io/Logging_1496/kartor/A 47898-2023 karta.png", "A 47898-2023")</f>
        <v/>
      </c>
      <c r="V559">
        <f>HYPERLINK("https://klasma.github.io/Logging_1496/klagomål/A 47898-2023 FSC-klagomål.docx", "A 47898-2023")</f>
        <v/>
      </c>
      <c r="W559">
        <f>HYPERLINK("https://klasma.github.io/Logging_1496/klagomålsmail/A 47898-2023 FSC-klagomål mail.docx", "A 47898-2023")</f>
        <v/>
      </c>
      <c r="X559">
        <f>HYPERLINK("https://klasma.github.io/Logging_1496/tillsyn/A 47898-2023 tillsynsbegäran.docx", "A 47898-2023")</f>
        <v/>
      </c>
      <c r="Y559">
        <f>HYPERLINK("https://klasma.github.io/Logging_1496/tillsynsmail/A 47898-2023 tillsynsbegäran mail.docx", "A 47898-2023")</f>
        <v/>
      </c>
    </row>
    <row r="560" ht="15" customHeight="1">
      <c r="A560" t="inlineStr">
        <is>
          <t>A 27871-2024</t>
        </is>
      </c>
      <c r="B560" s="1" t="n">
        <v>45475.71474537037</v>
      </c>
      <c r="C560" s="1" t="n">
        <v>45952</v>
      </c>
      <c r="D560" t="inlineStr">
        <is>
          <t>VÄSTRA GÖTALANDS LÄN</t>
        </is>
      </c>
      <c r="E560" t="inlineStr">
        <is>
          <t>DALS-ED</t>
        </is>
      </c>
      <c r="G560" t="n">
        <v>4.2</v>
      </c>
      <c r="H560" t="n">
        <v>0</v>
      </c>
      <c r="I560" t="n">
        <v>1</v>
      </c>
      <c r="J560" t="n">
        <v>0</v>
      </c>
      <c r="K560" t="n">
        <v>0</v>
      </c>
      <c r="L560" t="n">
        <v>0</v>
      </c>
      <c r="M560" t="n">
        <v>0</v>
      </c>
      <c r="N560" t="n">
        <v>0</v>
      </c>
      <c r="O560" t="n">
        <v>0</v>
      </c>
      <c r="P560" t="n">
        <v>0</v>
      </c>
      <c r="Q560" t="n">
        <v>1</v>
      </c>
      <c r="R560" s="2" t="inlineStr">
        <is>
          <t>Dropptaggsvamp</t>
        </is>
      </c>
      <c r="S560">
        <f>HYPERLINK("https://klasma.github.io/Logging_1438/artfynd/A 27871-2024 artfynd.xlsx", "A 27871-2024")</f>
        <v/>
      </c>
      <c r="T560">
        <f>HYPERLINK("https://klasma.github.io/Logging_1438/kartor/A 27871-2024 karta.png", "A 27871-2024")</f>
        <v/>
      </c>
      <c r="V560">
        <f>HYPERLINK("https://klasma.github.io/Logging_1438/klagomål/A 27871-2024 FSC-klagomål.docx", "A 27871-2024")</f>
        <v/>
      </c>
      <c r="W560">
        <f>HYPERLINK("https://klasma.github.io/Logging_1438/klagomålsmail/A 27871-2024 FSC-klagomål mail.docx", "A 27871-2024")</f>
        <v/>
      </c>
      <c r="X560">
        <f>HYPERLINK("https://klasma.github.io/Logging_1438/tillsyn/A 27871-2024 tillsynsbegäran.docx", "A 27871-2024")</f>
        <v/>
      </c>
      <c r="Y560">
        <f>HYPERLINK("https://klasma.github.io/Logging_1438/tillsynsmail/A 27871-2024 tillsynsbegäran mail.docx", "A 27871-2024")</f>
        <v/>
      </c>
    </row>
    <row r="561" ht="15" customHeight="1">
      <c r="A561" t="inlineStr">
        <is>
          <t>A 43859-2022</t>
        </is>
      </c>
      <c r="B561" s="1" t="n">
        <v>44837</v>
      </c>
      <c r="C561" s="1" t="n">
        <v>45952</v>
      </c>
      <c r="D561" t="inlineStr">
        <is>
          <t>VÄSTRA GÖTALANDS LÄN</t>
        </is>
      </c>
      <c r="E561" t="inlineStr">
        <is>
          <t>SKÖVDE</t>
        </is>
      </c>
      <c r="G561" t="n">
        <v>1</v>
      </c>
      <c r="H561" t="n">
        <v>0</v>
      </c>
      <c r="I561" t="n">
        <v>0</v>
      </c>
      <c r="J561" t="n">
        <v>1</v>
      </c>
      <c r="K561" t="n">
        <v>0</v>
      </c>
      <c r="L561" t="n">
        <v>0</v>
      </c>
      <c r="M561" t="n">
        <v>0</v>
      </c>
      <c r="N561" t="n">
        <v>0</v>
      </c>
      <c r="O561" t="n">
        <v>1</v>
      </c>
      <c r="P561" t="n">
        <v>0</v>
      </c>
      <c r="Q561" t="n">
        <v>1</v>
      </c>
      <c r="R561" s="2" t="inlineStr">
        <is>
          <t>Gullklöver</t>
        </is>
      </c>
      <c r="S561">
        <f>HYPERLINK("https://klasma.github.io/Logging_1496/artfynd/A 43859-2022 artfynd.xlsx", "A 43859-2022")</f>
        <v/>
      </c>
      <c r="T561">
        <f>HYPERLINK("https://klasma.github.io/Logging_1496/kartor/A 43859-2022 karta.png", "A 43859-2022")</f>
        <v/>
      </c>
      <c r="V561">
        <f>HYPERLINK("https://klasma.github.io/Logging_1496/klagomål/A 43859-2022 FSC-klagomål.docx", "A 43859-2022")</f>
        <v/>
      </c>
      <c r="W561">
        <f>HYPERLINK("https://klasma.github.io/Logging_1496/klagomålsmail/A 43859-2022 FSC-klagomål mail.docx", "A 43859-2022")</f>
        <v/>
      </c>
      <c r="X561">
        <f>HYPERLINK("https://klasma.github.io/Logging_1496/tillsyn/A 43859-2022 tillsynsbegäran.docx", "A 43859-2022")</f>
        <v/>
      </c>
      <c r="Y561">
        <f>HYPERLINK("https://klasma.github.io/Logging_1496/tillsynsmail/A 43859-2022 tillsynsbegäran mail.docx", "A 43859-2022")</f>
        <v/>
      </c>
    </row>
    <row r="562" ht="15" customHeight="1">
      <c r="A562" t="inlineStr">
        <is>
          <t>A 19343-2025</t>
        </is>
      </c>
      <c r="B562" s="1" t="n">
        <v>45769.59717592593</v>
      </c>
      <c r="C562" s="1" t="n">
        <v>45952</v>
      </c>
      <c r="D562" t="inlineStr">
        <is>
          <t>VÄSTRA GÖTALANDS LÄN</t>
        </is>
      </c>
      <c r="E562" t="inlineStr">
        <is>
          <t>TANUM</t>
        </is>
      </c>
      <c r="G562" t="n">
        <v>1.1</v>
      </c>
      <c r="H562" t="n">
        <v>1</v>
      </c>
      <c r="I562" t="n">
        <v>1</v>
      </c>
      <c r="J562" t="n">
        <v>0</v>
      </c>
      <c r="K562" t="n">
        <v>0</v>
      </c>
      <c r="L562" t="n">
        <v>0</v>
      </c>
      <c r="M562" t="n">
        <v>0</v>
      </c>
      <c r="N562" t="n">
        <v>0</v>
      </c>
      <c r="O562" t="n">
        <v>0</v>
      </c>
      <c r="P562" t="n">
        <v>0</v>
      </c>
      <c r="Q562" t="n">
        <v>1</v>
      </c>
      <c r="R562" s="2" t="inlineStr">
        <is>
          <t>Spindelblomster</t>
        </is>
      </c>
      <c r="S562">
        <f>HYPERLINK("https://klasma.github.io/Logging_1435/artfynd/A 19343-2025 artfynd.xlsx", "A 19343-2025")</f>
        <v/>
      </c>
      <c r="T562">
        <f>HYPERLINK("https://klasma.github.io/Logging_1435/kartor/A 19343-2025 karta.png", "A 19343-2025")</f>
        <v/>
      </c>
      <c r="V562">
        <f>HYPERLINK("https://klasma.github.io/Logging_1435/klagomål/A 19343-2025 FSC-klagomål.docx", "A 19343-2025")</f>
        <v/>
      </c>
      <c r="W562">
        <f>HYPERLINK("https://klasma.github.io/Logging_1435/klagomålsmail/A 19343-2025 FSC-klagomål mail.docx", "A 19343-2025")</f>
        <v/>
      </c>
      <c r="X562">
        <f>HYPERLINK("https://klasma.github.io/Logging_1435/tillsyn/A 19343-2025 tillsynsbegäran.docx", "A 19343-2025")</f>
        <v/>
      </c>
      <c r="Y562">
        <f>HYPERLINK("https://klasma.github.io/Logging_1435/tillsynsmail/A 19343-2025 tillsynsbegäran mail.docx", "A 19343-2025")</f>
        <v/>
      </c>
    </row>
    <row r="563" ht="15" customHeight="1">
      <c r="A563" t="inlineStr">
        <is>
          <t>A 4208-2025</t>
        </is>
      </c>
      <c r="B563" s="1" t="n">
        <v>45685</v>
      </c>
      <c r="C563" s="1" t="n">
        <v>45952</v>
      </c>
      <c r="D563" t="inlineStr">
        <is>
          <t>VÄSTRA GÖTALANDS LÄN</t>
        </is>
      </c>
      <c r="E563" t="inlineStr">
        <is>
          <t>TANUM</t>
        </is>
      </c>
      <c r="G563" t="n">
        <v>19.3</v>
      </c>
      <c r="H563" t="n">
        <v>1</v>
      </c>
      <c r="I563" t="n">
        <v>0</v>
      </c>
      <c r="J563" t="n">
        <v>0</v>
      </c>
      <c r="K563" t="n">
        <v>0</v>
      </c>
      <c r="L563" t="n">
        <v>0</v>
      </c>
      <c r="M563" t="n">
        <v>0</v>
      </c>
      <c r="N563" t="n">
        <v>0</v>
      </c>
      <c r="O563" t="n">
        <v>0</v>
      </c>
      <c r="P563" t="n">
        <v>0</v>
      </c>
      <c r="Q563" t="n">
        <v>1</v>
      </c>
      <c r="R563" s="2" t="inlineStr">
        <is>
          <t>Revlummer</t>
        </is>
      </c>
      <c r="S563">
        <f>HYPERLINK("https://klasma.github.io/Logging_1435/artfynd/A 4208-2025 artfynd.xlsx", "A 4208-2025")</f>
        <v/>
      </c>
      <c r="T563">
        <f>HYPERLINK("https://klasma.github.io/Logging_1435/kartor/A 4208-2025 karta.png", "A 4208-2025")</f>
        <v/>
      </c>
      <c r="V563">
        <f>HYPERLINK("https://klasma.github.io/Logging_1435/klagomål/A 4208-2025 FSC-klagomål.docx", "A 4208-2025")</f>
        <v/>
      </c>
      <c r="W563">
        <f>HYPERLINK("https://klasma.github.io/Logging_1435/klagomålsmail/A 4208-2025 FSC-klagomål mail.docx", "A 4208-2025")</f>
        <v/>
      </c>
      <c r="X563">
        <f>HYPERLINK("https://klasma.github.io/Logging_1435/tillsyn/A 4208-2025 tillsynsbegäran.docx", "A 4208-2025")</f>
        <v/>
      </c>
      <c r="Y563">
        <f>HYPERLINK("https://klasma.github.io/Logging_1435/tillsynsmail/A 4208-2025 tillsynsbegäran mail.docx", "A 4208-2025")</f>
        <v/>
      </c>
    </row>
    <row r="564" ht="15" customHeight="1">
      <c r="A564" t="inlineStr">
        <is>
          <t>A 64810-2021</t>
        </is>
      </c>
      <c r="B564" s="1" t="n">
        <v>44512</v>
      </c>
      <c r="C564" s="1" t="n">
        <v>45952</v>
      </c>
      <c r="D564" t="inlineStr">
        <is>
          <t>VÄSTRA GÖTALANDS LÄN</t>
        </is>
      </c>
      <c r="E564" t="inlineStr">
        <is>
          <t>ULRICEHAMN</t>
        </is>
      </c>
      <c r="G564" t="n">
        <v>17.3</v>
      </c>
      <c r="H564" t="n">
        <v>1</v>
      </c>
      <c r="I564" t="n">
        <v>1</v>
      </c>
      <c r="J564" t="n">
        <v>0</v>
      </c>
      <c r="K564" t="n">
        <v>0</v>
      </c>
      <c r="L564" t="n">
        <v>0</v>
      </c>
      <c r="M564" t="n">
        <v>0</v>
      </c>
      <c r="N564" t="n">
        <v>0</v>
      </c>
      <c r="O564" t="n">
        <v>0</v>
      </c>
      <c r="P564" t="n">
        <v>0</v>
      </c>
      <c r="Q564" t="n">
        <v>1</v>
      </c>
      <c r="R564" s="2" t="inlineStr">
        <is>
          <t>Plattlummer</t>
        </is>
      </c>
      <c r="S564">
        <f>HYPERLINK("https://klasma.github.io/Logging_1491/artfynd/A 64810-2021 artfynd.xlsx", "A 64810-2021")</f>
        <v/>
      </c>
      <c r="T564">
        <f>HYPERLINK("https://klasma.github.io/Logging_1491/kartor/A 64810-2021 karta.png", "A 64810-2021")</f>
        <v/>
      </c>
      <c r="V564">
        <f>HYPERLINK("https://klasma.github.io/Logging_1491/klagomål/A 64810-2021 FSC-klagomål.docx", "A 64810-2021")</f>
        <v/>
      </c>
      <c r="W564">
        <f>HYPERLINK("https://klasma.github.io/Logging_1491/klagomålsmail/A 64810-2021 FSC-klagomål mail.docx", "A 64810-2021")</f>
        <v/>
      </c>
      <c r="X564">
        <f>HYPERLINK("https://klasma.github.io/Logging_1491/tillsyn/A 64810-2021 tillsynsbegäran.docx", "A 64810-2021")</f>
        <v/>
      </c>
      <c r="Y564">
        <f>HYPERLINK("https://klasma.github.io/Logging_1491/tillsynsmail/A 64810-2021 tillsynsbegäran mail.docx", "A 64810-2021")</f>
        <v/>
      </c>
    </row>
    <row r="565" ht="15" customHeight="1">
      <c r="A565" t="inlineStr">
        <is>
          <t>A 23704-2024</t>
        </is>
      </c>
      <c r="B565" s="1" t="n">
        <v>45454.71498842593</v>
      </c>
      <c r="C565" s="1" t="n">
        <v>45952</v>
      </c>
      <c r="D565" t="inlineStr">
        <is>
          <t>VÄSTRA GÖTALANDS LÄN</t>
        </is>
      </c>
      <c r="E565" t="inlineStr">
        <is>
          <t>KUNGÄLV</t>
        </is>
      </c>
      <c r="G565" t="n">
        <v>4.9</v>
      </c>
      <c r="H565" t="n">
        <v>1</v>
      </c>
      <c r="I565" t="n">
        <v>0</v>
      </c>
      <c r="J565" t="n">
        <v>0</v>
      </c>
      <c r="K565" t="n">
        <v>1</v>
      </c>
      <c r="L565" t="n">
        <v>0</v>
      </c>
      <c r="M565" t="n">
        <v>0</v>
      </c>
      <c r="N565" t="n">
        <v>0</v>
      </c>
      <c r="O565" t="n">
        <v>1</v>
      </c>
      <c r="P565" t="n">
        <v>1</v>
      </c>
      <c r="Q565" t="n">
        <v>1</v>
      </c>
      <c r="R565" s="2" t="inlineStr">
        <is>
          <t>Hedjohannesört</t>
        </is>
      </c>
      <c r="S565">
        <f>HYPERLINK("https://klasma.github.io/Logging_1482/artfynd/A 23704-2024 artfynd.xlsx", "A 23704-2024")</f>
        <v/>
      </c>
      <c r="T565">
        <f>HYPERLINK("https://klasma.github.io/Logging_1482/kartor/A 23704-2024 karta.png", "A 23704-2024")</f>
        <v/>
      </c>
      <c r="V565">
        <f>HYPERLINK("https://klasma.github.io/Logging_1482/klagomål/A 23704-2024 FSC-klagomål.docx", "A 23704-2024")</f>
        <v/>
      </c>
      <c r="W565">
        <f>HYPERLINK("https://klasma.github.io/Logging_1482/klagomålsmail/A 23704-2024 FSC-klagomål mail.docx", "A 23704-2024")</f>
        <v/>
      </c>
      <c r="X565">
        <f>HYPERLINK("https://klasma.github.io/Logging_1482/tillsyn/A 23704-2024 tillsynsbegäran.docx", "A 23704-2024")</f>
        <v/>
      </c>
      <c r="Y565">
        <f>HYPERLINK("https://klasma.github.io/Logging_1482/tillsynsmail/A 23704-2024 tillsynsbegäran mail.docx", "A 23704-2024")</f>
        <v/>
      </c>
    </row>
    <row r="566" ht="15" customHeight="1">
      <c r="A566" t="inlineStr">
        <is>
          <t>A 43589-2024</t>
        </is>
      </c>
      <c r="B566" s="1" t="n">
        <v>45569.43392361111</v>
      </c>
      <c r="C566" s="1" t="n">
        <v>45952</v>
      </c>
      <c r="D566" t="inlineStr">
        <is>
          <t>VÄSTRA GÖTALANDS LÄN</t>
        </is>
      </c>
      <c r="E566" t="inlineStr">
        <is>
          <t>DALS-ED</t>
        </is>
      </c>
      <c r="G566" t="n">
        <v>5.2</v>
      </c>
      <c r="H566" t="n">
        <v>0</v>
      </c>
      <c r="I566" t="n">
        <v>0</v>
      </c>
      <c r="J566" t="n">
        <v>1</v>
      </c>
      <c r="K566" t="n">
        <v>0</v>
      </c>
      <c r="L566" t="n">
        <v>0</v>
      </c>
      <c r="M566" t="n">
        <v>0</v>
      </c>
      <c r="N566" t="n">
        <v>0</v>
      </c>
      <c r="O566" t="n">
        <v>1</v>
      </c>
      <c r="P566" t="n">
        <v>0</v>
      </c>
      <c r="Q566" t="n">
        <v>1</v>
      </c>
      <c r="R566" s="2" t="inlineStr">
        <is>
          <t>Motaggsvamp</t>
        </is>
      </c>
      <c r="S566">
        <f>HYPERLINK("https://klasma.github.io/Logging_1438/artfynd/A 43589-2024 artfynd.xlsx", "A 43589-2024")</f>
        <v/>
      </c>
      <c r="T566">
        <f>HYPERLINK("https://klasma.github.io/Logging_1438/kartor/A 43589-2024 karta.png", "A 43589-2024")</f>
        <v/>
      </c>
      <c r="V566">
        <f>HYPERLINK("https://klasma.github.io/Logging_1438/klagomål/A 43589-2024 FSC-klagomål.docx", "A 43589-2024")</f>
        <v/>
      </c>
      <c r="W566">
        <f>HYPERLINK("https://klasma.github.io/Logging_1438/klagomålsmail/A 43589-2024 FSC-klagomål mail.docx", "A 43589-2024")</f>
        <v/>
      </c>
      <c r="X566">
        <f>HYPERLINK("https://klasma.github.io/Logging_1438/tillsyn/A 43589-2024 tillsynsbegäran.docx", "A 43589-2024")</f>
        <v/>
      </c>
      <c r="Y566">
        <f>HYPERLINK("https://klasma.github.io/Logging_1438/tillsynsmail/A 43589-2024 tillsynsbegäran mail.docx", "A 43589-2024")</f>
        <v/>
      </c>
    </row>
    <row r="567" ht="15" customHeight="1">
      <c r="A567" t="inlineStr">
        <is>
          <t>A 57442-2024</t>
        </is>
      </c>
      <c r="B567" s="1" t="n">
        <v>45629.88878472222</v>
      </c>
      <c r="C567" s="1" t="n">
        <v>45952</v>
      </c>
      <c r="D567" t="inlineStr">
        <is>
          <t>VÄSTRA GÖTALANDS LÄN</t>
        </is>
      </c>
      <c r="E567" t="inlineStr">
        <is>
          <t>BORÅS</t>
        </is>
      </c>
      <c r="G567" t="n">
        <v>1.7</v>
      </c>
      <c r="H567" t="n">
        <v>1</v>
      </c>
      <c r="I567" t="n">
        <v>0</v>
      </c>
      <c r="J567" t="n">
        <v>1</v>
      </c>
      <c r="K567" t="n">
        <v>0</v>
      </c>
      <c r="L567" t="n">
        <v>0</v>
      </c>
      <c r="M567" t="n">
        <v>0</v>
      </c>
      <c r="N567" t="n">
        <v>0</v>
      </c>
      <c r="O567" t="n">
        <v>1</v>
      </c>
      <c r="P567" t="n">
        <v>0</v>
      </c>
      <c r="Q567" t="n">
        <v>1</v>
      </c>
      <c r="R567" s="2" t="inlineStr">
        <is>
          <t>Spillkråka</t>
        </is>
      </c>
      <c r="S567">
        <f>HYPERLINK("https://klasma.github.io/Logging_1490/artfynd/A 57442-2024 artfynd.xlsx", "A 57442-2024")</f>
        <v/>
      </c>
      <c r="T567">
        <f>HYPERLINK("https://klasma.github.io/Logging_1490/kartor/A 57442-2024 karta.png", "A 57442-2024")</f>
        <v/>
      </c>
      <c r="V567">
        <f>HYPERLINK("https://klasma.github.io/Logging_1490/klagomål/A 57442-2024 FSC-klagomål.docx", "A 57442-2024")</f>
        <v/>
      </c>
      <c r="W567">
        <f>HYPERLINK("https://klasma.github.io/Logging_1490/klagomålsmail/A 57442-2024 FSC-klagomål mail.docx", "A 57442-2024")</f>
        <v/>
      </c>
      <c r="X567">
        <f>HYPERLINK("https://klasma.github.io/Logging_1490/tillsyn/A 57442-2024 tillsynsbegäran.docx", "A 57442-2024")</f>
        <v/>
      </c>
      <c r="Y567">
        <f>HYPERLINK("https://klasma.github.io/Logging_1490/tillsynsmail/A 57442-2024 tillsynsbegäran mail.docx", "A 57442-2024")</f>
        <v/>
      </c>
      <c r="Z567">
        <f>HYPERLINK("https://klasma.github.io/Logging_1490/fåglar/A 57442-2024 prioriterade fågelarter.docx", "A 57442-2024")</f>
        <v/>
      </c>
    </row>
    <row r="568" ht="15" customHeight="1">
      <c r="A568" t="inlineStr">
        <is>
          <t>A 20643-2025</t>
        </is>
      </c>
      <c r="B568" s="1" t="n">
        <v>45776</v>
      </c>
      <c r="C568" s="1" t="n">
        <v>45952</v>
      </c>
      <c r="D568" t="inlineStr">
        <is>
          <t>VÄSTRA GÖTALANDS LÄN</t>
        </is>
      </c>
      <c r="E568" t="inlineStr">
        <is>
          <t>BORÅS</t>
        </is>
      </c>
      <c r="F568" t="inlineStr">
        <is>
          <t>Kommuner</t>
        </is>
      </c>
      <c r="G568" t="n">
        <v>6.9</v>
      </c>
      <c r="H568" t="n">
        <v>1</v>
      </c>
      <c r="I568" t="n">
        <v>0</v>
      </c>
      <c r="J568" t="n">
        <v>0</v>
      </c>
      <c r="K568" t="n">
        <v>0</v>
      </c>
      <c r="L568" t="n">
        <v>0</v>
      </c>
      <c r="M568" t="n">
        <v>0</v>
      </c>
      <c r="N568" t="n">
        <v>0</v>
      </c>
      <c r="O568" t="n">
        <v>0</v>
      </c>
      <c r="P568" t="n">
        <v>0</v>
      </c>
      <c r="Q568" t="n">
        <v>1</v>
      </c>
      <c r="R568" s="2" t="inlineStr">
        <is>
          <t>Grönsiska</t>
        </is>
      </c>
      <c r="S568">
        <f>HYPERLINK("https://klasma.github.io/Logging_1490/artfynd/A 20643-2025 artfynd.xlsx", "A 20643-2025")</f>
        <v/>
      </c>
      <c r="T568">
        <f>HYPERLINK("https://klasma.github.io/Logging_1490/kartor/A 20643-2025 karta.png", "A 20643-2025")</f>
        <v/>
      </c>
      <c r="V568">
        <f>HYPERLINK("https://klasma.github.io/Logging_1490/klagomål/A 20643-2025 FSC-klagomål.docx", "A 20643-2025")</f>
        <v/>
      </c>
      <c r="W568">
        <f>HYPERLINK("https://klasma.github.io/Logging_1490/klagomålsmail/A 20643-2025 FSC-klagomål mail.docx", "A 20643-2025")</f>
        <v/>
      </c>
      <c r="X568">
        <f>HYPERLINK("https://klasma.github.io/Logging_1490/tillsyn/A 20643-2025 tillsynsbegäran.docx", "A 20643-2025")</f>
        <v/>
      </c>
      <c r="Y568">
        <f>HYPERLINK("https://klasma.github.io/Logging_1490/tillsynsmail/A 20643-2025 tillsynsbegäran mail.docx", "A 20643-2025")</f>
        <v/>
      </c>
      <c r="Z568">
        <f>HYPERLINK("https://klasma.github.io/Logging_1490/fåglar/A 20643-2025 prioriterade fågelarter.docx", "A 20643-2025")</f>
        <v/>
      </c>
    </row>
    <row r="569" ht="15" customHeight="1">
      <c r="A569" t="inlineStr">
        <is>
          <t>A 20665-2025</t>
        </is>
      </c>
      <c r="B569" s="1" t="n">
        <v>45776.42414351852</v>
      </c>
      <c r="C569" s="1" t="n">
        <v>45952</v>
      </c>
      <c r="D569" t="inlineStr">
        <is>
          <t>VÄSTRA GÖTALANDS LÄN</t>
        </is>
      </c>
      <c r="E569" t="inlineStr">
        <is>
          <t>MARK</t>
        </is>
      </c>
      <c r="G569" t="n">
        <v>4.3</v>
      </c>
      <c r="H569" t="n">
        <v>0</v>
      </c>
      <c r="I569" t="n">
        <v>0</v>
      </c>
      <c r="J569" t="n">
        <v>0</v>
      </c>
      <c r="K569" t="n">
        <v>0</v>
      </c>
      <c r="L569" t="n">
        <v>1</v>
      </c>
      <c r="M569" t="n">
        <v>0</v>
      </c>
      <c r="N569" t="n">
        <v>0</v>
      </c>
      <c r="O569" t="n">
        <v>1</v>
      </c>
      <c r="P569" t="n">
        <v>1</v>
      </c>
      <c r="Q569" t="n">
        <v>1</v>
      </c>
      <c r="R569" s="2" t="inlineStr">
        <is>
          <t>Ask</t>
        </is>
      </c>
      <c r="S569">
        <f>HYPERLINK("https://klasma.github.io/Logging_1463/artfynd/A 20665-2025 artfynd.xlsx", "A 20665-2025")</f>
        <v/>
      </c>
      <c r="T569">
        <f>HYPERLINK("https://klasma.github.io/Logging_1463/kartor/A 20665-2025 karta.png", "A 20665-2025")</f>
        <v/>
      </c>
      <c r="V569">
        <f>HYPERLINK("https://klasma.github.io/Logging_1463/klagomål/A 20665-2025 FSC-klagomål.docx", "A 20665-2025")</f>
        <v/>
      </c>
      <c r="W569">
        <f>HYPERLINK("https://klasma.github.io/Logging_1463/klagomålsmail/A 20665-2025 FSC-klagomål mail.docx", "A 20665-2025")</f>
        <v/>
      </c>
      <c r="X569">
        <f>HYPERLINK("https://klasma.github.io/Logging_1463/tillsyn/A 20665-2025 tillsynsbegäran.docx", "A 20665-2025")</f>
        <v/>
      </c>
      <c r="Y569">
        <f>HYPERLINK("https://klasma.github.io/Logging_1463/tillsynsmail/A 20665-2025 tillsynsbegäran mail.docx", "A 20665-2025")</f>
        <v/>
      </c>
    </row>
    <row r="570" ht="15" customHeight="1">
      <c r="A570" t="inlineStr">
        <is>
          <t>A 51531-2023</t>
        </is>
      </c>
      <c r="B570" s="1" t="n">
        <v>45222</v>
      </c>
      <c r="C570" s="1" t="n">
        <v>45952</v>
      </c>
      <c r="D570" t="inlineStr">
        <is>
          <t>VÄSTRA GÖTALANDS LÄN</t>
        </is>
      </c>
      <c r="E570" t="inlineStr">
        <is>
          <t>KARLSBORG</t>
        </is>
      </c>
      <c r="F570" t="inlineStr">
        <is>
          <t>Kommuner</t>
        </is>
      </c>
      <c r="G570" t="n">
        <v>11.2</v>
      </c>
      <c r="H570" t="n">
        <v>1</v>
      </c>
      <c r="I570" t="n">
        <v>0</v>
      </c>
      <c r="J570" t="n">
        <v>0</v>
      </c>
      <c r="K570" t="n">
        <v>0</v>
      </c>
      <c r="L570" t="n">
        <v>0</v>
      </c>
      <c r="M570" t="n">
        <v>0</v>
      </c>
      <c r="N570" t="n">
        <v>0</v>
      </c>
      <c r="O570" t="n">
        <v>0</v>
      </c>
      <c r="P570" t="n">
        <v>0</v>
      </c>
      <c r="Q570" t="n">
        <v>1</v>
      </c>
      <c r="R570" s="2" t="inlineStr">
        <is>
          <t>Revlummer</t>
        </is>
      </c>
      <c r="S570">
        <f>HYPERLINK("https://klasma.github.io/Logging_1446/artfynd/A 51531-2023 artfynd.xlsx", "A 51531-2023")</f>
        <v/>
      </c>
      <c r="T570">
        <f>HYPERLINK("https://klasma.github.io/Logging_1446/kartor/A 51531-2023 karta.png", "A 51531-2023")</f>
        <v/>
      </c>
      <c r="V570">
        <f>HYPERLINK("https://klasma.github.io/Logging_1446/klagomål/A 51531-2023 FSC-klagomål.docx", "A 51531-2023")</f>
        <v/>
      </c>
      <c r="W570">
        <f>HYPERLINK("https://klasma.github.io/Logging_1446/klagomålsmail/A 51531-2023 FSC-klagomål mail.docx", "A 51531-2023")</f>
        <v/>
      </c>
      <c r="X570">
        <f>HYPERLINK("https://klasma.github.io/Logging_1446/tillsyn/A 51531-2023 tillsynsbegäran.docx", "A 51531-2023")</f>
        <v/>
      </c>
      <c r="Y570">
        <f>HYPERLINK("https://klasma.github.io/Logging_1446/tillsynsmail/A 51531-2023 tillsynsbegäran mail.docx", "A 51531-2023")</f>
        <v/>
      </c>
    </row>
    <row r="571" ht="15" customHeight="1">
      <c r="A571" t="inlineStr">
        <is>
          <t>A 10944-2025</t>
        </is>
      </c>
      <c r="B571" s="1" t="n">
        <v>45723.32413194444</v>
      </c>
      <c r="C571" s="1" t="n">
        <v>45952</v>
      </c>
      <c r="D571" t="inlineStr">
        <is>
          <t>VÄSTRA GÖTALANDS LÄN</t>
        </is>
      </c>
      <c r="E571" t="inlineStr">
        <is>
          <t>SVENLJUNGA</t>
        </is>
      </c>
      <c r="F571" t="inlineStr">
        <is>
          <t>Sveaskog</t>
        </is>
      </c>
      <c r="G571" t="n">
        <v>6.2</v>
      </c>
      <c r="H571" t="n">
        <v>0</v>
      </c>
      <c r="I571" t="n">
        <v>0</v>
      </c>
      <c r="J571" t="n">
        <v>0</v>
      </c>
      <c r="K571" t="n">
        <v>1</v>
      </c>
      <c r="L571" t="n">
        <v>0</v>
      </c>
      <c r="M571" t="n">
        <v>0</v>
      </c>
      <c r="N571" t="n">
        <v>0</v>
      </c>
      <c r="O571" t="n">
        <v>1</v>
      </c>
      <c r="P571" t="n">
        <v>1</v>
      </c>
      <c r="Q571" t="n">
        <v>1</v>
      </c>
      <c r="R571" s="2" t="inlineStr">
        <is>
          <t>Slåttergubbe</t>
        </is>
      </c>
      <c r="S571">
        <f>HYPERLINK("https://klasma.github.io/Logging_1465/artfynd/A 10944-2025 artfynd.xlsx", "A 10944-2025")</f>
        <v/>
      </c>
      <c r="T571">
        <f>HYPERLINK("https://klasma.github.io/Logging_1465/kartor/A 10944-2025 karta.png", "A 10944-2025")</f>
        <v/>
      </c>
      <c r="V571">
        <f>HYPERLINK("https://klasma.github.io/Logging_1465/klagomål/A 10944-2025 FSC-klagomål.docx", "A 10944-2025")</f>
        <v/>
      </c>
      <c r="W571">
        <f>HYPERLINK("https://klasma.github.io/Logging_1465/klagomålsmail/A 10944-2025 FSC-klagomål mail.docx", "A 10944-2025")</f>
        <v/>
      </c>
      <c r="X571">
        <f>HYPERLINK("https://klasma.github.io/Logging_1465/tillsyn/A 10944-2025 tillsynsbegäran.docx", "A 10944-2025")</f>
        <v/>
      </c>
      <c r="Y571">
        <f>HYPERLINK("https://klasma.github.io/Logging_1465/tillsynsmail/A 10944-2025 tillsynsbegäran mail.docx", "A 10944-2025")</f>
        <v/>
      </c>
    </row>
    <row r="572" ht="15" customHeight="1">
      <c r="A572" t="inlineStr">
        <is>
          <t>A 19620-2025</t>
        </is>
      </c>
      <c r="B572" s="1" t="n">
        <v>45770.62328703704</v>
      </c>
      <c r="C572" s="1" t="n">
        <v>45952</v>
      </c>
      <c r="D572" t="inlineStr">
        <is>
          <t>VÄSTRA GÖTALANDS LÄN</t>
        </is>
      </c>
      <c r="E572" t="inlineStr">
        <is>
          <t>ALINGSÅS</t>
        </is>
      </c>
      <c r="G572" t="n">
        <v>7.6</v>
      </c>
      <c r="H572" t="n">
        <v>0</v>
      </c>
      <c r="I572" t="n">
        <v>0</v>
      </c>
      <c r="J572" t="n">
        <v>1</v>
      </c>
      <c r="K572" t="n">
        <v>0</v>
      </c>
      <c r="L572" t="n">
        <v>0</v>
      </c>
      <c r="M572" t="n">
        <v>0</v>
      </c>
      <c r="N572" t="n">
        <v>0</v>
      </c>
      <c r="O572" t="n">
        <v>1</v>
      </c>
      <c r="P572" t="n">
        <v>0</v>
      </c>
      <c r="Q572" t="n">
        <v>1</v>
      </c>
      <c r="R572" s="2" t="inlineStr">
        <is>
          <t>Svinrot</t>
        </is>
      </c>
      <c r="S572">
        <f>HYPERLINK("https://klasma.github.io/Logging_1489/artfynd/A 19620-2025 artfynd.xlsx", "A 19620-2025")</f>
        <v/>
      </c>
      <c r="T572">
        <f>HYPERLINK("https://klasma.github.io/Logging_1489/kartor/A 19620-2025 karta.png", "A 19620-2025")</f>
        <v/>
      </c>
      <c r="V572">
        <f>HYPERLINK("https://klasma.github.io/Logging_1489/klagomål/A 19620-2025 FSC-klagomål.docx", "A 19620-2025")</f>
        <v/>
      </c>
      <c r="W572">
        <f>HYPERLINK("https://klasma.github.io/Logging_1489/klagomålsmail/A 19620-2025 FSC-klagomål mail.docx", "A 19620-2025")</f>
        <v/>
      </c>
      <c r="X572">
        <f>HYPERLINK("https://klasma.github.io/Logging_1489/tillsyn/A 19620-2025 tillsynsbegäran.docx", "A 19620-2025")</f>
        <v/>
      </c>
      <c r="Y572">
        <f>HYPERLINK("https://klasma.github.io/Logging_1489/tillsynsmail/A 19620-2025 tillsynsbegäran mail.docx", "A 19620-2025")</f>
        <v/>
      </c>
    </row>
    <row r="573" ht="15" customHeight="1">
      <c r="A573" t="inlineStr">
        <is>
          <t>A 58292-2023</t>
        </is>
      </c>
      <c r="B573" s="1" t="n">
        <v>45250</v>
      </c>
      <c r="C573" s="1" t="n">
        <v>45952</v>
      </c>
      <c r="D573" t="inlineStr">
        <is>
          <t>VÄSTRA GÖTALANDS LÄN</t>
        </is>
      </c>
      <c r="E573" t="inlineStr">
        <is>
          <t>VÄNERSBORG</t>
        </is>
      </c>
      <c r="G573" t="n">
        <v>19</v>
      </c>
      <c r="H573" t="n">
        <v>0</v>
      </c>
      <c r="I573" t="n">
        <v>0</v>
      </c>
      <c r="J573" t="n">
        <v>0</v>
      </c>
      <c r="K573" t="n">
        <v>0</v>
      </c>
      <c r="L573" t="n">
        <v>1</v>
      </c>
      <c r="M573" t="n">
        <v>0</v>
      </c>
      <c r="N573" t="n">
        <v>0</v>
      </c>
      <c r="O573" t="n">
        <v>1</v>
      </c>
      <c r="P573" t="n">
        <v>1</v>
      </c>
      <c r="Q573" t="n">
        <v>1</v>
      </c>
      <c r="R573" s="2" t="inlineStr">
        <is>
          <t>Ask</t>
        </is>
      </c>
      <c r="S573">
        <f>HYPERLINK("https://klasma.github.io/Logging_1487/artfynd/A 58292-2023 artfynd.xlsx", "A 58292-2023")</f>
        <v/>
      </c>
      <c r="T573">
        <f>HYPERLINK("https://klasma.github.io/Logging_1487/kartor/A 58292-2023 karta.png", "A 58292-2023")</f>
        <v/>
      </c>
      <c r="V573">
        <f>HYPERLINK("https://klasma.github.io/Logging_1487/klagomål/A 58292-2023 FSC-klagomål.docx", "A 58292-2023")</f>
        <v/>
      </c>
      <c r="W573">
        <f>HYPERLINK("https://klasma.github.io/Logging_1487/klagomålsmail/A 58292-2023 FSC-klagomål mail.docx", "A 58292-2023")</f>
        <v/>
      </c>
      <c r="X573">
        <f>HYPERLINK("https://klasma.github.io/Logging_1487/tillsyn/A 58292-2023 tillsynsbegäran.docx", "A 58292-2023")</f>
        <v/>
      </c>
      <c r="Y573">
        <f>HYPERLINK("https://klasma.github.io/Logging_1487/tillsynsmail/A 58292-2023 tillsynsbegäran mail.docx", "A 58292-2023")</f>
        <v/>
      </c>
    </row>
    <row r="574" ht="15" customHeight="1">
      <c r="A574" t="inlineStr">
        <is>
          <t>A 9277-2023</t>
        </is>
      </c>
      <c r="B574" s="1" t="n">
        <v>44980</v>
      </c>
      <c r="C574" s="1" t="n">
        <v>45952</v>
      </c>
      <c r="D574" t="inlineStr">
        <is>
          <t>VÄSTRA GÖTALANDS LÄN</t>
        </is>
      </c>
      <c r="E574" t="inlineStr">
        <is>
          <t>SKARA</t>
        </is>
      </c>
      <c r="G574" t="n">
        <v>1.3</v>
      </c>
      <c r="H574" t="n">
        <v>1</v>
      </c>
      <c r="I574" t="n">
        <v>0</v>
      </c>
      <c r="J574" t="n">
        <v>0</v>
      </c>
      <c r="K574" t="n">
        <v>0</v>
      </c>
      <c r="L574" t="n">
        <v>0</v>
      </c>
      <c r="M574" t="n">
        <v>0</v>
      </c>
      <c r="N574" t="n">
        <v>0</v>
      </c>
      <c r="O574" t="n">
        <v>0</v>
      </c>
      <c r="P574" t="n">
        <v>0</v>
      </c>
      <c r="Q574" t="n">
        <v>1</v>
      </c>
      <c r="R574" s="2" t="inlineStr">
        <is>
          <t>Grönvit nattviol</t>
        </is>
      </c>
      <c r="S574">
        <f>HYPERLINK("https://klasma.github.io/Logging_1495/artfynd/A 9277-2023 artfynd.xlsx", "A 9277-2023")</f>
        <v/>
      </c>
      <c r="T574">
        <f>HYPERLINK("https://klasma.github.io/Logging_1495/kartor/A 9277-2023 karta.png", "A 9277-2023")</f>
        <v/>
      </c>
      <c r="V574">
        <f>HYPERLINK("https://klasma.github.io/Logging_1495/klagomål/A 9277-2023 FSC-klagomål.docx", "A 9277-2023")</f>
        <v/>
      </c>
      <c r="W574">
        <f>HYPERLINK("https://klasma.github.io/Logging_1495/klagomålsmail/A 9277-2023 FSC-klagomål mail.docx", "A 9277-2023")</f>
        <v/>
      </c>
      <c r="X574">
        <f>HYPERLINK("https://klasma.github.io/Logging_1495/tillsyn/A 9277-2023 tillsynsbegäran.docx", "A 9277-2023")</f>
        <v/>
      </c>
      <c r="Y574">
        <f>HYPERLINK("https://klasma.github.io/Logging_1495/tillsynsmail/A 9277-2023 tillsynsbegäran mail.docx", "A 9277-2023")</f>
        <v/>
      </c>
    </row>
    <row r="575" ht="15" customHeight="1">
      <c r="A575" t="inlineStr">
        <is>
          <t>A 53515-2024</t>
        </is>
      </c>
      <c r="B575" s="1" t="n">
        <v>45614.60082175926</v>
      </c>
      <c r="C575" s="1" t="n">
        <v>45952</v>
      </c>
      <c r="D575" t="inlineStr">
        <is>
          <t>VÄSTRA GÖTALANDS LÄN</t>
        </is>
      </c>
      <c r="E575" t="inlineStr">
        <is>
          <t>MELLERUD</t>
        </is>
      </c>
      <c r="G575" t="n">
        <v>3.5</v>
      </c>
      <c r="H575" t="n">
        <v>1</v>
      </c>
      <c r="I575" t="n">
        <v>0</v>
      </c>
      <c r="J575" t="n">
        <v>0</v>
      </c>
      <c r="K575" t="n">
        <v>0</v>
      </c>
      <c r="L575" t="n">
        <v>0</v>
      </c>
      <c r="M575" t="n">
        <v>0</v>
      </c>
      <c r="N575" t="n">
        <v>0</v>
      </c>
      <c r="O575" t="n">
        <v>0</v>
      </c>
      <c r="P575" t="n">
        <v>0</v>
      </c>
      <c r="Q575" t="n">
        <v>1</v>
      </c>
      <c r="R575" s="2" t="inlineStr">
        <is>
          <t>Blåsippa</t>
        </is>
      </c>
      <c r="S575">
        <f>HYPERLINK("https://klasma.github.io/Logging_1461/artfynd/A 53515-2024 artfynd.xlsx", "A 53515-2024")</f>
        <v/>
      </c>
      <c r="T575">
        <f>HYPERLINK("https://klasma.github.io/Logging_1461/kartor/A 53515-2024 karta.png", "A 53515-2024")</f>
        <v/>
      </c>
      <c r="V575">
        <f>HYPERLINK("https://klasma.github.io/Logging_1461/klagomål/A 53515-2024 FSC-klagomål.docx", "A 53515-2024")</f>
        <v/>
      </c>
      <c r="W575">
        <f>HYPERLINK("https://klasma.github.io/Logging_1461/klagomålsmail/A 53515-2024 FSC-klagomål mail.docx", "A 53515-2024")</f>
        <v/>
      </c>
      <c r="X575">
        <f>HYPERLINK("https://klasma.github.io/Logging_1461/tillsyn/A 53515-2024 tillsynsbegäran.docx", "A 53515-2024")</f>
        <v/>
      </c>
      <c r="Y575">
        <f>HYPERLINK("https://klasma.github.io/Logging_1461/tillsynsmail/A 53515-2024 tillsynsbegäran mail.docx", "A 53515-2024")</f>
        <v/>
      </c>
    </row>
    <row r="576" ht="15" customHeight="1">
      <c r="A576" t="inlineStr">
        <is>
          <t>A 16347-2025</t>
        </is>
      </c>
      <c r="B576" s="1" t="n">
        <v>45751.37494212963</v>
      </c>
      <c r="C576" s="1" t="n">
        <v>45952</v>
      </c>
      <c r="D576" t="inlineStr">
        <is>
          <t>VÄSTRA GÖTALANDS LÄN</t>
        </is>
      </c>
      <c r="E576" t="inlineStr">
        <is>
          <t>UDDEVALLA</t>
        </is>
      </c>
      <c r="G576" t="n">
        <v>3.8</v>
      </c>
      <c r="H576" t="n">
        <v>0</v>
      </c>
      <c r="I576" t="n">
        <v>1</v>
      </c>
      <c r="J576" t="n">
        <v>0</v>
      </c>
      <c r="K576" t="n">
        <v>0</v>
      </c>
      <c r="L576" t="n">
        <v>0</v>
      </c>
      <c r="M576" t="n">
        <v>0</v>
      </c>
      <c r="N576" t="n">
        <v>0</v>
      </c>
      <c r="O576" t="n">
        <v>0</v>
      </c>
      <c r="P576" t="n">
        <v>0</v>
      </c>
      <c r="Q576" t="n">
        <v>1</v>
      </c>
      <c r="R576" s="2" t="inlineStr">
        <is>
          <t>Klibbtickgnagare</t>
        </is>
      </c>
      <c r="S576">
        <f>HYPERLINK("https://klasma.github.io/Logging_1485/artfynd/A 16347-2025 artfynd.xlsx", "A 16347-2025")</f>
        <v/>
      </c>
      <c r="T576">
        <f>HYPERLINK("https://klasma.github.io/Logging_1485/kartor/A 16347-2025 karta.png", "A 16347-2025")</f>
        <v/>
      </c>
      <c r="V576">
        <f>HYPERLINK("https://klasma.github.io/Logging_1485/klagomål/A 16347-2025 FSC-klagomål.docx", "A 16347-2025")</f>
        <v/>
      </c>
      <c r="W576">
        <f>HYPERLINK("https://klasma.github.io/Logging_1485/klagomålsmail/A 16347-2025 FSC-klagomål mail.docx", "A 16347-2025")</f>
        <v/>
      </c>
      <c r="X576">
        <f>HYPERLINK("https://klasma.github.io/Logging_1485/tillsyn/A 16347-2025 tillsynsbegäran.docx", "A 16347-2025")</f>
        <v/>
      </c>
      <c r="Y576">
        <f>HYPERLINK("https://klasma.github.io/Logging_1485/tillsynsmail/A 16347-2025 tillsynsbegäran mail.docx", "A 16347-2025")</f>
        <v/>
      </c>
    </row>
    <row r="577" ht="15" customHeight="1">
      <c r="A577" t="inlineStr">
        <is>
          <t>A 2381-2021</t>
        </is>
      </c>
      <c r="B577" s="1" t="n">
        <v>44211</v>
      </c>
      <c r="C577" s="1" t="n">
        <v>45952</v>
      </c>
      <c r="D577" t="inlineStr">
        <is>
          <t>VÄSTRA GÖTALANDS LÄN</t>
        </is>
      </c>
      <c r="E577" t="inlineStr">
        <is>
          <t>LILLA EDET</t>
        </is>
      </c>
      <c r="F577" t="inlineStr">
        <is>
          <t>Kommuner</t>
        </is>
      </c>
      <c r="G577" t="n">
        <v>4.1</v>
      </c>
      <c r="H577" t="n">
        <v>0</v>
      </c>
      <c r="I577" t="n">
        <v>0</v>
      </c>
      <c r="J577" t="n">
        <v>1</v>
      </c>
      <c r="K577" t="n">
        <v>0</v>
      </c>
      <c r="L577" t="n">
        <v>0</v>
      </c>
      <c r="M577" t="n">
        <v>0</v>
      </c>
      <c r="N577" t="n">
        <v>0</v>
      </c>
      <c r="O577" t="n">
        <v>1</v>
      </c>
      <c r="P577" t="n">
        <v>0</v>
      </c>
      <c r="Q577" t="n">
        <v>1</v>
      </c>
      <c r="R577" s="2" t="inlineStr">
        <is>
          <t>Bergjohannesört</t>
        </is>
      </c>
      <c r="S577">
        <f>HYPERLINK("https://klasma.github.io/Logging_1462/artfynd/A 2381-2021 artfynd.xlsx", "A 2381-2021")</f>
        <v/>
      </c>
      <c r="T577">
        <f>HYPERLINK("https://klasma.github.io/Logging_1462/kartor/A 2381-2021 karta.png", "A 2381-2021")</f>
        <v/>
      </c>
      <c r="V577">
        <f>HYPERLINK("https://klasma.github.io/Logging_1462/klagomål/A 2381-2021 FSC-klagomål.docx", "A 2381-2021")</f>
        <v/>
      </c>
      <c r="W577">
        <f>HYPERLINK("https://klasma.github.io/Logging_1462/klagomålsmail/A 2381-2021 FSC-klagomål mail.docx", "A 2381-2021")</f>
        <v/>
      </c>
      <c r="X577">
        <f>HYPERLINK("https://klasma.github.io/Logging_1462/tillsyn/A 2381-2021 tillsynsbegäran.docx", "A 2381-2021")</f>
        <v/>
      </c>
      <c r="Y577">
        <f>HYPERLINK("https://klasma.github.io/Logging_1462/tillsynsmail/A 2381-2021 tillsynsbegäran mail.docx", "A 2381-2021")</f>
        <v/>
      </c>
    </row>
    <row r="578" ht="15" customHeight="1">
      <c r="A578" t="inlineStr">
        <is>
          <t>A 63479-2023</t>
        </is>
      </c>
      <c r="B578" s="1" t="n">
        <v>45274</v>
      </c>
      <c r="C578" s="1" t="n">
        <v>45952</v>
      </c>
      <c r="D578" t="inlineStr">
        <is>
          <t>VÄSTRA GÖTALANDS LÄN</t>
        </is>
      </c>
      <c r="E578" t="inlineStr">
        <is>
          <t>ALINGSÅS</t>
        </is>
      </c>
      <c r="F578" t="inlineStr">
        <is>
          <t>Kommuner</t>
        </is>
      </c>
      <c r="G578" t="n">
        <v>6</v>
      </c>
      <c r="H578" t="n">
        <v>1</v>
      </c>
      <c r="I578" t="n">
        <v>0</v>
      </c>
      <c r="J578" t="n">
        <v>0</v>
      </c>
      <c r="K578" t="n">
        <v>0</v>
      </c>
      <c r="L578" t="n">
        <v>1</v>
      </c>
      <c r="M578" t="n">
        <v>0</v>
      </c>
      <c r="N578" t="n">
        <v>0</v>
      </c>
      <c r="O578" t="n">
        <v>1</v>
      </c>
      <c r="P578" t="n">
        <v>1</v>
      </c>
      <c r="Q578" t="n">
        <v>1</v>
      </c>
      <c r="R578" s="2" t="inlineStr">
        <is>
          <t>Grönfink</t>
        </is>
      </c>
      <c r="S578">
        <f>HYPERLINK("https://klasma.github.io/Logging_1489/artfynd/A 63479-2023 artfynd.xlsx", "A 63479-2023")</f>
        <v/>
      </c>
      <c r="T578">
        <f>HYPERLINK("https://klasma.github.io/Logging_1489/kartor/A 63479-2023 karta.png", "A 63479-2023")</f>
        <v/>
      </c>
      <c r="V578">
        <f>HYPERLINK("https://klasma.github.io/Logging_1489/klagomål/A 63479-2023 FSC-klagomål.docx", "A 63479-2023")</f>
        <v/>
      </c>
      <c r="W578">
        <f>HYPERLINK("https://klasma.github.io/Logging_1489/klagomålsmail/A 63479-2023 FSC-klagomål mail.docx", "A 63479-2023")</f>
        <v/>
      </c>
      <c r="X578">
        <f>HYPERLINK("https://klasma.github.io/Logging_1489/tillsyn/A 63479-2023 tillsynsbegäran.docx", "A 63479-2023")</f>
        <v/>
      </c>
      <c r="Y578">
        <f>HYPERLINK("https://klasma.github.io/Logging_1489/tillsynsmail/A 63479-2023 tillsynsbegäran mail.docx", "A 63479-2023")</f>
        <v/>
      </c>
      <c r="Z578">
        <f>HYPERLINK("https://klasma.github.io/Logging_1489/fåglar/A 63479-2023 prioriterade fågelarter.docx", "A 63479-2023")</f>
        <v/>
      </c>
    </row>
    <row r="579" ht="15" customHeight="1">
      <c r="A579" t="inlineStr">
        <is>
          <t>A 42904-2023</t>
        </is>
      </c>
      <c r="B579" s="1" t="n">
        <v>45182</v>
      </c>
      <c r="C579" s="1" t="n">
        <v>45952</v>
      </c>
      <c r="D579" t="inlineStr">
        <is>
          <t>VÄSTRA GÖTALANDS LÄN</t>
        </is>
      </c>
      <c r="E579" t="inlineStr">
        <is>
          <t>SKÖVDE</t>
        </is>
      </c>
      <c r="F579" t="inlineStr">
        <is>
          <t>Kommuner</t>
        </is>
      </c>
      <c r="G579" t="n">
        <v>1.1</v>
      </c>
      <c r="H579" t="n">
        <v>1</v>
      </c>
      <c r="I579" t="n">
        <v>0</v>
      </c>
      <c r="J579" t="n">
        <v>0</v>
      </c>
      <c r="K579" t="n">
        <v>0</v>
      </c>
      <c r="L579" t="n">
        <v>0</v>
      </c>
      <c r="M579" t="n">
        <v>0</v>
      </c>
      <c r="N579" t="n">
        <v>0</v>
      </c>
      <c r="O579" t="n">
        <v>0</v>
      </c>
      <c r="P579" t="n">
        <v>0</v>
      </c>
      <c r="Q579" t="n">
        <v>1</v>
      </c>
      <c r="R579" s="2" t="inlineStr">
        <is>
          <t>Grönvit nattviol</t>
        </is>
      </c>
      <c r="S579">
        <f>HYPERLINK("https://klasma.github.io/Logging_1496/artfynd/A 42904-2023 artfynd.xlsx", "A 42904-2023")</f>
        <v/>
      </c>
      <c r="T579">
        <f>HYPERLINK("https://klasma.github.io/Logging_1496/kartor/A 42904-2023 karta.png", "A 42904-2023")</f>
        <v/>
      </c>
      <c r="V579">
        <f>HYPERLINK("https://klasma.github.io/Logging_1496/klagomål/A 42904-2023 FSC-klagomål.docx", "A 42904-2023")</f>
        <v/>
      </c>
      <c r="W579">
        <f>HYPERLINK("https://klasma.github.io/Logging_1496/klagomålsmail/A 42904-2023 FSC-klagomål mail.docx", "A 42904-2023")</f>
        <v/>
      </c>
      <c r="X579">
        <f>HYPERLINK("https://klasma.github.io/Logging_1496/tillsyn/A 42904-2023 tillsynsbegäran.docx", "A 42904-2023")</f>
        <v/>
      </c>
      <c r="Y579">
        <f>HYPERLINK("https://klasma.github.io/Logging_1496/tillsynsmail/A 42904-2023 tillsynsbegäran mail.docx", "A 42904-2023")</f>
        <v/>
      </c>
    </row>
    <row r="580" ht="15" customHeight="1">
      <c r="A580" t="inlineStr">
        <is>
          <t>A 55174-2024</t>
        </is>
      </c>
      <c r="B580" s="1" t="n">
        <v>45621.529375</v>
      </c>
      <c r="C580" s="1" t="n">
        <v>45952</v>
      </c>
      <c r="D580" t="inlineStr">
        <is>
          <t>VÄSTRA GÖTALANDS LÄN</t>
        </is>
      </c>
      <c r="E580" t="inlineStr">
        <is>
          <t>TÖREBODA</t>
        </is>
      </c>
      <c r="G580" t="n">
        <v>5.4</v>
      </c>
      <c r="H580" t="n">
        <v>0</v>
      </c>
      <c r="I580" t="n">
        <v>1</v>
      </c>
      <c r="J580" t="n">
        <v>0</v>
      </c>
      <c r="K580" t="n">
        <v>0</v>
      </c>
      <c r="L580" t="n">
        <v>0</v>
      </c>
      <c r="M580" t="n">
        <v>0</v>
      </c>
      <c r="N580" t="n">
        <v>0</v>
      </c>
      <c r="O580" t="n">
        <v>0</v>
      </c>
      <c r="P580" t="n">
        <v>0</v>
      </c>
      <c r="Q580" t="n">
        <v>1</v>
      </c>
      <c r="R580" s="2" t="inlineStr">
        <is>
          <t>Västlig hakmossa</t>
        </is>
      </c>
      <c r="S580">
        <f>HYPERLINK("https://klasma.github.io/Logging_1473/artfynd/A 55174-2024 artfynd.xlsx", "A 55174-2024")</f>
        <v/>
      </c>
      <c r="T580">
        <f>HYPERLINK("https://klasma.github.io/Logging_1473/kartor/A 55174-2024 karta.png", "A 55174-2024")</f>
        <v/>
      </c>
      <c r="V580">
        <f>HYPERLINK("https://klasma.github.io/Logging_1473/klagomål/A 55174-2024 FSC-klagomål.docx", "A 55174-2024")</f>
        <v/>
      </c>
      <c r="W580">
        <f>HYPERLINK("https://klasma.github.io/Logging_1473/klagomålsmail/A 55174-2024 FSC-klagomål mail.docx", "A 55174-2024")</f>
        <v/>
      </c>
      <c r="X580">
        <f>HYPERLINK("https://klasma.github.io/Logging_1473/tillsyn/A 55174-2024 tillsynsbegäran.docx", "A 55174-2024")</f>
        <v/>
      </c>
      <c r="Y580">
        <f>HYPERLINK("https://klasma.github.io/Logging_1473/tillsynsmail/A 55174-2024 tillsynsbegäran mail.docx", "A 55174-2024")</f>
        <v/>
      </c>
    </row>
    <row r="581" ht="15" customHeight="1">
      <c r="A581" t="inlineStr">
        <is>
          <t>A 5383-2024</t>
        </is>
      </c>
      <c r="B581" s="1" t="n">
        <v>45330</v>
      </c>
      <c r="C581" s="1" t="n">
        <v>45952</v>
      </c>
      <c r="D581" t="inlineStr">
        <is>
          <t>VÄSTRA GÖTALANDS LÄN</t>
        </is>
      </c>
      <c r="E581" t="inlineStr">
        <is>
          <t>ALINGSÅS</t>
        </is>
      </c>
      <c r="F581" t="inlineStr">
        <is>
          <t>Övriga Aktiebolag</t>
        </is>
      </c>
      <c r="G581" t="n">
        <v>4.2</v>
      </c>
      <c r="H581" t="n">
        <v>0</v>
      </c>
      <c r="I581" t="n">
        <v>0</v>
      </c>
      <c r="J581" t="n">
        <v>0</v>
      </c>
      <c r="K581" t="n">
        <v>0</v>
      </c>
      <c r="L581" t="n">
        <v>1</v>
      </c>
      <c r="M581" t="n">
        <v>0</v>
      </c>
      <c r="N581" t="n">
        <v>0</v>
      </c>
      <c r="O581" t="n">
        <v>1</v>
      </c>
      <c r="P581" t="n">
        <v>1</v>
      </c>
      <c r="Q581" t="n">
        <v>1</v>
      </c>
      <c r="R581" s="2" t="inlineStr">
        <is>
          <t>Ask</t>
        </is>
      </c>
      <c r="S581">
        <f>HYPERLINK("https://klasma.github.io/Logging_1489/artfynd/A 5383-2024 artfynd.xlsx", "A 5383-2024")</f>
        <v/>
      </c>
      <c r="T581">
        <f>HYPERLINK("https://klasma.github.io/Logging_1489/kartor/A 5383-2024 karta.png", "A 5383-2024")</f>
        <v/>
      </c>
      <c r="V581">
        <f>HYPERLINK("https://klasma.github.io/Logging_1489/klagomål/A 5383-2024 FSC-klagomål.docx", "A 5383-2024")</f>
        <v/>
      </c>
      <c r="W581">
        <f>HYPERLINK("https://klasma.github.io/Logging_1489/klagomålsmail/A 5383-2024 FSC-klagomål mail.docx", "A 5383-2024")</f>
        <v/>
      </c>
      <c r="X581">
        <f>HYPERLINK("https://klasma.github.io/Logging_1489/tillsyn/A 5383-2024 tillsynsbegäran.docx", "A 5383-2024")</f>
        <v/>
      </c>
      <c r="Y581">
        <f>HYPERLINK("https://klasma.github.io/Logging_1489/tillsynsmail/A 5383-2024 tillsynsbegäran mail.docx", "A 5383-2024")</f>
        <v/>
      </c>
    </row>
    <row r="582" ht="15" customHeight="1">
      <c r="A582" t="inlineStr">
        <is>
          <t>A 9947-2021</t>
        </is>
      </c>
      <c r="B582" s="1" t="n">
        <v>44252</v>
      </c>
      <c r="C582" s="1" t="n">
        <v>45952</v>
      </c>
      <c r="D582" t="inlineStr">
        <is>
          <t>VÄSTRA GÖTALANDS LÄN</t>
        </is>
      </c>
      <c r="E582" t="inlineStr">
        <is>
          <t>STRÖMSTAD</t>
        </is>
      </c>
      <c r="G582" t="n">
        <v>3.1</v>
      </c>
      <c r="H582" t="n">
        <v>1</v>
      </c>
      <c r="I582" t="n">
        <v>0</v>
      </c>
      <c r="J582" t="n">
        <v>0</v>
      </c>
      <c r="K582" t="n">
        <v>1</v>
      </c>
      <c r="L582" t="n">
        <v>0</v>
      </c>
      <c r="M582" t="n">
        <v>0</v>
      </c>
      <c r="N582" t="n">
        <v>0</v>
      </c>
      <c r="O582" t="n">
        <v>1</v>
      </c>
      <c r="P582" t="n">
        <v>1</v>
      </c>
      <c r="Q582" t="n">
        <v>1</v>
      </c>
      <c r="R582" s="2" t="inlineStr">
        <is>
          <t>Knärot</t>
        </is>
      </c>
      <c r="S582">
        <f>HYPERLINK("https://klasma.github.io/Logging_1486/artfynd/A 9947-2021 artfynd.xlsx", "A 9947-2021")</f>
        <v/>
      </c>
      <c r="T582">
        <f>HYPERLINK("https://klasma.github.io/Logging_1486/kartor/A 9947-2021 karta.png", "A 9947-2021")</f>
        <v/>
      </c>
      <c r="U582">
        <f>HYPERLINK("https://klasma.github.io/Logging_1486/knärot/A 9947-2021 karta knärot.png", "A 9947-2021")</f>
        <v/>
      </c>
      <c r="V582">
        <f>HYPERLINK("https://klasma.github.io/Logging_1486/klagomål/A 9947-2021 FSC-klagomål.docx", "A 9947-2021")</f>
        <v/>
      </c>
      <c r="W582">
        <f>HYPERLINK("https://klasma.github.io/Logging_1486/klagomålsmail/A 9947-2021 FSC-klagomål mail.docx", "A 9947-2021")</f>
        <v/>
      </c>
      <c r="X582">
        <f>HYPERLINK("https://klasma.github.io/Logging_1486/tillsyn/A 9947-2021 tillsynsbegäran.docx", "A 9947-2021")</f>
        <v/>
      </c>
      <c r="Y582">
        <f>HYPERLINK("https://klasma.github.io/Logging_1486/tillsynsmail/A 9947-2021 tillsynsbegäran mail.docx", "A 9947-2021")</f>
        <v/>
      </c>
    </row>
    <row r="583" ht="15" customHeight="1">
      <c r="A583" t="inlineStr">
        <is>
          <t>A 37035-2024</t>
        </is>
      </c>
      <c r="B583" s="1" t="n">
        <v>45539</v>
      </c>
      <c r="C583" s="1" t="n">
        <v>45952</v>
      </c>
      <c r="D583" t="inlineStr">
        <is>
          <t>VÄSTRA GÖTALANDS LÄN</t>
        </is>
      </c>
      <c r="E583" t="inlineStr">
        <is>
          <t>MUNKEDAL</t>
        </is>
      </c>
      <c r="F583" t="inlineStr">
        <is>
          <t>Övriga Aktiebolag</t>
        </is>
      </c>
      <c r="G583" t="n">
        <v>43.6</v>
      </c>
      <c r="H583" t="n">
        <v>0</v>
      </c>
      <c r="I583" t="n">
        <v>0</v>
      </c>
      <c r="J583" t="n">
        <v>1</v>
      </c>
      <c r="K583" t="n">
        <v>0</v>
      </c>
      <c r="L583" t="n">
        <v>0</v>
      </c>
      <c r="M583" t="n">
        <v>0</v>
      </c>
      <c r="N583" t="n">
        <v>0</v>
      </c>
      <c r="O583" t="n">
        <v>1</v>
      </c>
      <c r="P583" t="n">
        <v>0</v>
      </c>
      <c r="Q583" t="n">
        <v>1</v>
      </c>
      <c r="R583" s="2" t="inlineStr">
        <is>
          <t>Svinrot</t>
        </is>
      </c>
      <c r="S583">
        <f>HYPERLINK("https://klasma.github.io/Logging_1430/artfynd/A 37035-2024 artfynd.xlsx", "A 37035-2024")</f>
        <v/>
      </c>
      <c r="T583">
        <f>HYPERLINK("https://klasma.github.io/Logging_1430/kartor/A 37035-2024 karta.png", "A 37035-2024")</f>
        <v/>
      </c>
      <c r="V583">
        <f>HYPERLINK("https://klasma.github.io/Logging_1430/klagomål/A 37035-2024 FSC-klagomål.docx", "A 37035-2024")</f>
        <v/>
      </c>
      <c r="W583">
        <f>HYPERLINK("https://klasma.github.io/Logging_1430/klagomålsmail/A 37035-2024 FSC-klagomål mail.docx", "A 37035-2024")</f>
        <v/>
      </c>
      <c r="X583">
        <f>HYPERLINK("https://klasma.github.io/Logging_1430/tillsyn/A 37035-2024 tillsynsbegäran.docx", "A 37035-2024")</f>
        <v/>
      </c>
      <c r="Y583">
        <f>HYPERLINK("https://klasma.github.io/Logging_1430/tillsynsmail/A 37035-2024 tillsynsbegäran mail.docx", "A 37035-2024")</f>
        <v/>
      </c>
    </row>
    <row r="584" ht="15" customHeight="1">
      <c r="A584" t="inlineStr">
        <is>
          <t>A 21672-2025</t>
        </is>
      </c>
      <c r="B584" s="1" t="n">
        <v>45783</v>
      </c>
      <c r="C584" s="1" t="n">
        <v>45952</v>
      </c>
      <c r="D584" t="inlineStr">
        <is>
          <t>VÄSTRA GÖTALANDS LÄN</t>
        </is>
      </c>
      <c r="E584" t="inlineStr">
        <is>
          <t>ULRICEHAMN</t>
        </is>
      </c>
      <c r="G584" t="n">
        <v>4.3</v>
      </c>
      <c r="H584" t="n">
        <v>1</v>
      </c>
      <c r="I584" t="n">
        <v>0</v>
      </c>
      <c r="J584" t="n">
        <v>1</v>
      </c>
      <c r="K584" t="n">
        <v>0</v>
      </c>
      <c r="L584" t="n">
        <v>0</v>
      </c>
      <c r="M584" t="n">
        <v>0</v>
      </c>
      <c r="N584" t="n">
        <v>0</v>
      </c>
      <c r="O584" t="n">
        <v>1</v>
      </c>
      <c r="P584" t="n">
        <v>0</v>
      </c>
      <c r="Q584" t="n">
        <v>1</v>
      </c>
      <c r="R584" s="2" t="inlineStr">
        <is>
          <t>Spillkråka</t>
        </is>
      </c>
      <c r="S584">
        <f>HYPERLINK("https://klasma.github.io/Logging_1491/artfynd/A 21672-2025 artfynd.xlsx", "A 21672-2025")</f>
        <v/>
      </c>
      <c r="T584">
        <f>HYPERLINK("https://klasma.github.io/Logging_1491/kartor/A 21672-2025 karta.png", "A 21672-2025")</f>
        <v/>
      </c>
      <c r="V584">
        <f>HYPERLINK("https://klasma.github.io/Logging_1491/klagomål/A 21672-2025 FSC-klagomål.docx", "A 21672-2025")</f>
        <v/>
      </c>
      <c r="W584">
        <f>HYPERLINK("https://klasma.github.io/Logging_1491/klagomålsmail/A 21672-2025 FSC-klagomål mail.docx", "A 21672-2025")</f>
        <v/>
      </c>
      <c r="X584">
        <f>HYPERLINK("https://klasma.github.io/Logging_1491/tillsyn/A 21672-2025 tillsynsbegäran.docx", "A 21672-2025")</f>
        <v/>
      </c>
      <c r="Y584">
        <f>HYPERLINK("https://klasma.github.io/Logging_1491/tillsynsmail/A 21672-2025 tillsynsbegäran mail.docx", "A 21672-2025")</f>
        <v/>
      </c>
      <c r="Z584">
        <f>HYPERLINK("https://klasma.github.io/Logging_1491/fåglar/A 21672-2025 prioriterade fågelarter.docx", "A 21672-2025")</f>
        <v/>
      </c>
    </row>
    <row r="585" ht="15" customHeight="1">
      <c r="A585" t="inlineStr">
        <is>
          <t>A 21728-2025</t>
        </is>
      </c>
      <c r="B585" s="1" t="n">
        <v>45783.57771990741</v>
      </c>
      <c r="C585" s="1" t="n">
        <v>45952</v>
      </c>
      <c r="D585" t="inlineStr">
        <is>
          <t>VÄSTRA GÖTALANDS LÄN</t>
        </is>
      </c>
      <c r="E585" t="inlineStr">
        <is>
          <t>BORÅS</t>
        </is>
      </c>
      <c r="G585" t="n">
        <v>11.9</v>
      </c>
      <c r="H585" t="n">
        <v>0</v>
      </c>
      <c r="I585" t="n">
        <v>1</v>
      </c>
      <c r="J585" t="n">
        <v>0</v>
      </c>
      <c r="K585" t="n">
        <v>0</v>
      </c>
      <c r="L585" t="n">
        <v>0</v>
      </c>
      <c r="M585" t="n">
        <v>0</v>
      </c>
      <c r="N585" t="n">
        <v>0</v>
      </c>
      <c r="O585" t="n">
        <v>0</v>
      </c>
      <c r="P585" t="n">
        <v>0</v>
      </c>
      <c r="Q585" t="n">
        <v>1</v>
      </c>
      <c r="R585" s="2" t="inlineStr">
        <is>
          <t>Rävticka</t>
        </is>
      </c>
      <c r="S585">
        <f>HYPERLINK("https://klasma.github.io/Logging_1490/artfynd/A 21728-2025 artfynd.xlsx", "A 21728-2025")</f>
        <v/>
      </c>
      <c r="T585">
        <f>HYPERLINK("https://klasma.github.io/Logging_1490/kartor/A 21728-2025 karta.png", "A 21728-2025")</f>
        <v/>
      </c>
      <c r="V585">
        <f>HYPERLINK("https://klasma.github.io/Logging_1490/klagomål/A 21728-2025 FSC-klagomål.docx", "A 21728-2025")</f>
        <v/>
      </c>
      <c r="W585">
        <f>HYPERLINK("https://klasma.github.io/Logging_1490/klagomålsmail/A 21728-2025 FSC-klagomål mail.docx", "A 21728-2025")</f>
        <v/>
      </c>
      <c r="X585">
        <f>HYPERLINK("https://klasma.github.io/Logging_1490/tillsyn/A 21728-2025 tillsynsbegäran.docx", "A 21728-2025")</f>
        <v/>
      </c>
      <c r="Y585">
        <f>HYPERLINK("https://klasma.github.io/Logging_1490/tillsynsmail/A 21728-2025 tillsynsbegäran mail.docx", "A 21728-2025")</f>
        <v/>
      </c>
    </row>
    <row r="586" ht="15" customHeight="1">
      <c r="A586" t="inlineStr">
        <is>
          <t>A 47239-2025</t>
        </is>
      </c>
      <c r="B586" s="1" t="n">
        <v>45930.42038194444</v>
      </c>
      <c r="C586" s="1" t="n">
        <v>45952</v>
      </c>
      <c r="D586" t="inlineStr">
        <is>
          <t>VÄSTRA GÖTALANDS LÄN</t>
        </is>
      </c>
      <c r="E586" t="inlineStr">
        <is>
          <t>BOLLEBYGD</t>
        </is>
      </c>
      <c r="G586" t="n">
        <v>1.4</v>
      </c>
      <c r="H586" t="n">
        <v>1</v>
      </c>
      <c r="I586" t="n">
        <v>0</v>
      </c>
      <c r="J586" t="n">
        <v>0</v>
      </c>
      <c r="K586" t="n">
        <v>0</v>
      </c>
      <c r="L586" t="n">
        <v>0</v>
      </c>
      <c r="M586" t="n">
        <v>0</v>
      </c>
      <c r="N586" t="n">
        <v>0</v>
      </c>
      <c r="O586" t="n">
        <v>0</v>
      </c>
      <c r="P586" t="n">
        <v>0</v>
      </c>
      <c r="Q586" t="n">
        <v>1</v>
      </c>
      <c r="R586" s="2" t="inlineStr">
        <is>
          <t>Revlummer</t>
        </is>
      </c>
      <c r="S586">
        <f>HYPERLINK("https://klasma.github.io/Logging_1443/artfynd/A 47239-2025 artfynd.xlsx", "A 47239-2025")</f>
        <v/>
      </c>
      <c r="T586">
        <f>HYPERLINK("https://klasma.github.io/Logging_1443/kartor/A 47239-2025 karta.png", "A 47239-2025")</f>
        <v/>
      </c>
      <c r="V586">
        <f>HYPERLINK("https://klasma.github.io/Logging_1443/klagomål/A 47239-2025 FSC-klagomål.docx", "A 47239-2025")</f>
        <v/>
      </c>
      <c r="W586">
        <f>HYPERLINK("https://klasma.github.io/Logging_1443/klagomålsmail/A 47239-2025 FSC-klagomål mail.docx", "A 47239-2025")</f>
        <v/>
      </c>
      <c r="X586">
        <f>HYPERLINK("https://klasma.github.io/Logging_1443/tillsyn/A 47239-2025 tillsynsbegäran.docx", "A 47239-2025")</f>
        <v/>
      </c>
      <c r="Y586">
        <f>HYPERLINK("https://klasma.github.io/Logging_1443/tillsynsmail/A 47239-2025 tillsynsbegäran mail.docx", "A 47239-2025")</f>
        <v/>
      </c>
    </row>
    <row r="587" ht="15" customHeight="1">
      <c r="A587" t="inlineStr">
        <is>
          <t>A 47393-2025</t>
        </is>
      </c>
      <c r="B587" s="1" t="n">
        <v>45930.60416666666</v>
      </c>
      <c r="C587" s="1" t="n">
        <v>45952</v>
      </c>
      <c r="D587" t="inlineStr">
        <is>
          <t>VÄSTRA GÖTALANDS LÄN</t>
        </is>
      </c>
      <c r="E587" t="inlineStr">
        <is>
          <t>GÖTENE</t>
        </is>
      </c>
      <c r="G587" t="n">
        <v>2</v>
      </c>
      <c r="H587" t="n">
        <v>0</v>
      </c>
      <c r="I587" t="n">
        <v>0</v>
      </c>
      <c r="J587" t="n">
        <v>1</v>
      </c>
      <c r="K587" t="n">
        <v>0</v>
      </c>
      <c r="L587" t="n">
        <v>0</v>
      </c>
      <c r="M587" t="n">
        <v>0</v>
      </c>
      <c r="N587" t="n">
        <v>0</v>
      </c>
      <c r="O587" t="n">
        <v>1</v>
      </c>
      <c r="P587" t="n">
        <v>0</v>
      </c>
      <c r="Q587" t="n">
        <v>1</v>
      </c>
      <c r="R587" s="2" t="inlineStr">
        <is>
          <t>Korallticka</t>
        </is>
      </c>
      <c r="S587">
        <f>HYPERLINK("https://klasma.github.io/Logging_1471/artfynd/A 47393-2025 artfynd.xlsx", "A 47393-2025")</f>
        <v/>
      </c>
      <c r="T587">
        <f>HYPERLINK("https://klasma.github.io/Logging_1471/kartor/A 47393-2025 karta.png", "A 47393-2025")</f>
        <v/>
      </c>
      <c r="V587">
        <f>HYPERLINK("https://klasma.github.io/Logging_1471/klagomål/A 47393-2025 FSC-klagomål.docx", "A 47393-2025")</f>
        <v/>
      </c>
      <c r="W587">
        <f>HYPERLINK("https://klasma.github.io/Logging_1471/klagomålsmail/A 47393-2025 FSC-klagomål mail.docx", "A 47393-2025")</f>
        <v/>
      </c>
      <c r="X587">
        <f>HYPERLINK("https://klasma.github.io/Logging_1471/tillsyn/A 47393-2025 tillsynsbegäran.docx", "A 47393-2025")</f>
        <v/>
      </c>
      <c r="Y587">
        <f>HYPERLINK("https://klasma.github.io/Logging_1471/tillsynsmail/A 47393-2025 tillsynsbegäran mail.docx", "A 47393-2025")</f>
        <v/>
      </c>
    </row>
    <row r="588" ht="15" customHeight="1">
      <c r="A588" t="inlineStr">
        <is>
          <t>A 59263-2024</t>
        </is>
      </c>
      <c r="B588" s="1" t="n">
        <v>45637.60543981481</v>
      </c>
      <c r="C588" s="1" t="n">
        <v>45952</v>
      </c>
      <c r="D588" t="inlineStr">
        <is>
          <t>VÄSTRA GÖTALANDS LÄN</t>
        </is>
      </c>
      <c r="E588" t="inlineStr">
        <is>
          <t>MARK</t>
        </is>
      </c>
      <c r="G588" t="n">
        <v>2.4</v>
      </c>
      <c r="H588" t="n">
        <v>1</v>
      </c>
      <c r="I588" t="n">
        <v>0</v>
      </c>
      <c r="J588" t="n">
        <v>0</v>
      </c>
      <c r="K588" t="n">
        <v>0</v>
      </c>
      <c r="L588" t="n">
        <v>0</v>
      </c>
      <c r="M588" t="n">
        <v>0</v>
      </c>
      <c r="N588" t="n">
        <v>0</v>
      </c>
      <c r="O588" t="n">
        <v>0</v>
      </c>
      <c r="P588" t="n">
        <v>0</v>
      </c>
      <c r="Q588" t="n">
        <v>1</v>
      </c>
      <c r="R588" s="2" t="inlineStr">
        <is>
          <t>Revlummer</t>
        </is>
      </c>
      <c r="S588">
        <f>HYPERLINK("https://klasma.github.io/Logging_1463/artfynd/A 59263-2024 artfynd.xlsx", "A 59263-2024")</f>
        <v/>
      </c>
      <c r="T588">
        <f>HYPERLINK("https://klasma.github.io/Logging_1463/kartor/A 59263-2024 karta.png", "A 59263-2024")</f>
        <v/>
      </c>
      <c r="V588">
        <f>HYPERLINK("https://klasma.github.io/Logging_1463/klagomål/A 59263-2024 FSC-klagomål.docx", "A 59263-2024")</f>
        <v/>
      </c>
      <c r="W588">
        <f>HYPERLINK("https://klasma.github.io/Logging_1463/klagomålsmail/A 59263-2024 FSC-klagomål mail.docx", "A 59263-2024")</f>
        <v/>
      </c>
      <c r="X588">
        <f>HYPERLINK("https://klasma.github.io/Logging_1463/tillsyn/A 59263-2024 tillsynsbegäran.docx", "A 59263-2024")</f>
        <v/>
      </c>
      <c r="Y588">
        <f>HYPERLINK("https://klasma.github.io/Logging_1463/tillsynsmail/A 59263-2024 tillsynsbegäran mail.docx", "A 59263-2024")</f>
        <v/>
      </c>
    </row>
    <row r="589" ht="15" customHeight="1">
      <c r="A589" t="inlineStr">
        <is>
          <t>A 21290-2025</t>
        </is>
      </c>
      <c r="B589" s="1" t="n">
        <v>45779.82824074074</v>
      </c>
      <c r="C589" s="1" t="n">
        <v>45952</v>
      </c>
      <c r="D589" t="inlineStr">
        <is>
          <t>VÄSTRA GÖTALANDS LÄN</t>
        </is>
      </c>
      <c r="E589" t="inlineStr">
        <is>
          <t>ULRICEHAMN</t>
        </is>
      </c>
      <c r="G589" t="n">
        <v>2.2</v>
      </c>
      <c r="H589" t="n">
        <v>0</v>
      </c>
      <c r="I589" t="n">
        <v>1</v>
      </c>
      <c r="J589" t="n">
        <v>0</v>
      </c>
      <c r="K589" t="n">
        <v>0</v>
      </c>
      <c r="L589" t="n">
        <v>0</v>
      </c>
      <c r="M589" t="n">
        <v>0</v>
      </c>
      <c r="N589" t="n">
        <v>0</v>
      </c>
      <c r="O589" t="n">
        <v>0</v>
      </c>
      <c r="P589" t="n">
        <v>0</v>
      </c>
      <c r="Q589" t="n">
        <v>1</v>
      </c>
      <c r="R589" s="2" t="inlineStr">
        <is>
          <t>Fällmossa</t>
        </is>
      </c>
      <c r="S589">
        <f>HYPERLINK("https://klasma.github.io/Logging_1491/artfynd/A 21290-2025 artfynd.xlsx", "A 21290-2025")</f>
        <v/>
      </c>
      <c r="T589">
        <f>HYPERLINK("https://klasma.github.io/Logging_1491/kartor/A 21290-2025 karta.png", "A 21290-2025")</f>
        <v/>
      </c>
      <c r="V589">
        <f>HYPERLINK("https://klasma.github.io/Logging_1491/klagomål/A 21290-2025 FSC-klagomål.docx", "A 21290-2025")</f>
        <v/>
      </c>
      <c r="W589">
        <f>HYPERLINK("https://klasma.github.io/Logging_1491/klagomålsmail/A 21290-2025 FSC-klagomål mail.docx", "A 21290-2025")</f>
        <v/>
      </c>
      <c r="X589">
        <f>HYPERLINK("https://klasma.github.io/Logging_1491/tillsyn/A 21290-2025 tillsynsbegäran.docx", "A 21290-2025")</f>
        <v/>
      </c>
      <c r="Y589">
        <f>HYPERLINK("https://klasma.github.io/Logging_1491/tillsynsmail/A 21290-2025 tillsynsbegäran mail.docx", "A 21290-2025")</f>
        <v/>
      </c>
    </row>
    <row r="590" ht="15" customHeight="1">
      <c r="A590" t="inlineStr">
        <is>
          <t>A 47321-2023</t>
        </is>
      </c>
      <c r="B590" s="1" t="n">
        <v>45202.50942129629</v>
      </c>
      <c r="C590" s="1" t="n">
        <v>45952</v>
      </c>
      <c r="D590" t="inlineStr">
        <is>
          <t>VÄSTRA GÖTALANDS LÄN</t>
        </is>
      </c>
      <c r="E590" t="inlineStr">
        <is>
          <t>LIDKÖPING</t>
        </is>
      </c>
      <c r="G590" t="n">
        <v>7.3</v>
      </c>
      <c r="H590" t="n">
        <v>1</v>
      </c>
      <c r="I590" t="n">
        <v>0</v>
      </c>
      <c r="J590" t="n">
        <v>0</v>
      </c>
      <c r="K590" t="n">
        <v>0</v>
      </c>
      <c r="L590" t="n">
        <v>0</v>
      </c>
      <c r="M590" t="n">
        <v>0</v>
      </c>
      <c r="N590" t="n">
        <v>0</v>
      </c>
      <c r="O590" t="n">
        <v>0</v>
      </c>
      <c r="P590" t="n">
        <v>0</v>
      </c>
      <c r="Q590" t="n">
        <v>1</v>
      </c>
      <c r="R590" s="2" t="inlineStr">
        <is>
          <t>Kungsfågel</t>
        </is>
      </c>
      <c r="S590">
        <f>HYPERLINK("https://klasma.github.io/Logging_1494/artfynd/A 47321-2023 artfynd.xlsx", "A 47321-2023")</f>
        <v/>
      </c>
      <c r="T590">
        <f>HYPERLINK("https://klasma.github.io/Logging_1494/kartor/A 47321-2023 karta.png", "A 47321-2023")</f>
        <v/>
      </c>
      <c r="V590">
        <f>HYPERLINK("https://klasma.github.io/Logging_1494/klagomål/A 47321-2023 FSC-klagomål.docx", "A 47321-2023")</f>
        <v/>
      </c>
      <c r="W590">
        <f>HYPERLINK("https://klasma.github.io/Logging_1494/klagomålsmail/A 47321-2023 FSC-klagomål mail.docx", "A 47321-2023")</f>
        <v/>
      </c>
      <c r="X590">
        <f>HYPERLINK("https://klasma.github.io/Logging_1494/tillsyn/A 47321-2023 tillsynsbegäran.docx", "A 47321-2023")</f>
        <v/>
      </c>
      <c r="Y590">
        <f>HYPERLINK("https://klasma.github.io/Logging_1494/tillsynsmail/A 47321-2023 tillsynsbegäran mail.docx", "A 47321-2023")</f>
        <v/>
      </c>
      <c r="Z590">
        <f>HYPERLINK("https://klasma.github.io/Logging_1494/fåglar/A 47321-2023 prioriterade fågelarter.docx", "A 47321-2023")</f>
        <v/>
      </c>
    </row>
    <row r="591" ht="15" customHeight="1">
      <c r="A591" t="inlineStr">
        <is>
          <t>A 393-2025</t>
        </is>
      </c>
      <c r="B591" s="1" t="n">
        <v>45663</v>
      </c>
      <c r="C591" s="1" t="n">
        <v>45952</v>
      </c>
      <c r="D591" t="inlineStr">
        <is>
          <t>VÄSTRA GÖTALANDS LÄN</t>
        </is>
      </c>
      <c r="E591" t="inlineStr">
        <is>
          <t>MÖLNDAL</t>
        </is>
      </c>
      <c r="G591" t="n">
        <v>5.1</v>
      </c>
      <c r="H591" t="n">
        <v>1</v>
      </c>
      <c r="I591" t="n">
        <v>0</v>
      </c>
      <c r="J591" t="n">
        <v>1</v>
      </c>
      <c r="K591" t="n">
        <v>0</v>
      </c>
      <c r="L591" t="n">
        <v>0</v>
      </c>
      <c r="M591" t="n">
        <v>0</v>
      </c>
      <c r="N591" t="n">
        <v>0</v>
      </c>
      <c r="O591" t="n">
        <v>1</v>
      </c>
      <c r="P591" t="n">
        <v>0</v>
      </c>
      <c r="Q591" t="n">
        <v>1</v>
      </c>
      <c r="R591" s="2" t="inlineStr">
        <is>
          <t>Spillkråka</t>
        </is>
      </c>
      <c r="S591">
        <f>HYPERLINK("https://klasma.github.io/Logging_1481/artfynd/A 393-2025 artfynd.xlsx", "A 393-2025")</f>
        <v/>
      </c>
      <c r="T591">
        <f>HYPERLINK("https://klasma.github.io/Logging_1481/kartor/A 393-2025 karta.png", "A 393-2025")</f>
        <v/>
      </c>
      <c r="V591">
        <f>HYPERLINK("https://klasma.github.io/Logging_1481/klagomål/A 393-2025 FSC-klagomål.docx", "A 393-2025")</f>
        <v/>
      </c>
      <c r="W591">
        <f>HYPERLINK("https://klasma.github.io/Logging_1481/klagomålsmail/A 393-2025 FSC-klagomål mail.docx", "A 393-2025")</f>
        <v/>
      </c>
      <c r="X591">
        <f>HYPERLINK("https://klasma.github.io/Logging_1481/tillsyn/A 393-2025 tillsynsbegäran.docx", "A 393-2025")</f>
        <v/>
      </c>
      <c r="Y591">
        <f>HYPERLINK("https://klasma.github.io/Logging_1481/tillsynsmail/A 393-2025 tillsynsbegäran mail.docx", "A 393-2025")</f>
        <v/>
      </c>
      <c r="Z591">
        <f>HYPERLINK("https://klasma.github.io/Logging_1481/fåglar/A 393-2025 prioriterade fågelarter.docx", "A 393-2025")</f>
        <v/>
      </c>
    </row>
    <row r="592" ht="15" customHeight="1">
      <c r="A592" t="inlineStr">
        <is>
          <t>A 18959-2022</t>
        </is>
      </c>
      <c r="B592" s="1" t="n">
        <v>44690</v>
      </c>
      <c r="C592" s="1" t="n">
        <v>45952</v>
      </c>
      <c r="D592" t="inlineStr">
        <is>
          <t>VÄSTRA GÖTALANDS LÄN</t>
        </is>
      </c>
      <c r="E592" t="inlineStr">
        <is>
          <t>ULRICEHAMN</t>
        </is>
      </c>
      <c r="F592" t="inlineStr">
        <is>
          <t>Kommuner</t>
        </is>
      </c>
      <c r="G592" t="n">
        <v>5.8</v>
      </c>
      <c r="H592" t="n">
        <v>1</v>
      </c>
      <c r="I592" t="n">
        <v>0</v>
      </c>
      <c r="J592" t="n">
        <v>0</v>
      </c>
      <c r="K592" t="n">
        <v>0</v>
      </c>
      <c r="L592" t="n">
        <v>0</v>
      </c>
      <c r="M592" t="n">
        <v>0</v>
      </c>
      <c r="N592" t="n">
        <v>0</v>
      </c>
      <c r="O592" t="n">
        <v>0</v>
      </c>
      <c r="P592" t="n">
        <v>0</v>
      </c>
      <c r="Q592" t="n">
        <v>1</v>
      </c>
      <c r="R592" s="2" t="inlineStr">
        <is>
          <t>Hasselmus</t>
        </is>
      </c>
      <c r="S592">
        <f>HYPERLINK("https://klasma.github.io/Logging_1491/artfynd/A 18959-2022 artfynd.xlsx", "A 18959-2022")</f>
        <v/>
      </c>
      <c r="T592">
        <f>HYPERLINK("https://klasma.github.io/Logging_1491/kartor/A 18959-2022 karta.png", "A 18959-2022")</f>
        <v/>
      </c>
      <c r="V592">
        <f>HYPERLINK("https://klasma.github.io/Logging_1491/klagomål/A 18959-2022 FSC-klagomål.docx", "A 18959-2022")</f>
        <v/>
      </c>
      <c r="W592">
        <f>HYPERLINK("https://klasma.github.io/Logging_1491/klagomålsmail/A 18959-2022 FSC-klagomål mail.docx", "A 18959-2022")</f>
        <v/>
      </c>
      <c r="X592">
        <f>HYPERLINK("https://klasma.github.io/Logging_1491/tillsyn/A 18959-2022 tillsynsbegäran.docx", "A 18959-2022")</f>
        <v/>
      </c>
      <c r="Y592">
        <f>HYPERLINK("https://klasma.github.io/Logging_1491/tillsynsmail/A 18959-2022 tillsynsbegäran mail.docx", "A 18959-2022")</f>
        <v/>
      </c>
    </row>
    <row r="593" ht="15" customHeight="1">
      <c r="A593" t="inlineStr">
        <is>
          <t>A 25789-2021</t>
        </is>
      </c>
      <c r="B593" s="1" t="n">
        <v>44343.8302662037</v>
      </c>
      <c r="C593" s="1" t="n">
        <v>45952</v>
      </c>
      <c r="D593" t="inlineStr">
        <is>
          <t>VÄSTRA GÖTALANDS LÄN</t>
        </is>
      </c>
      <c r="E593" t="inlineStr">
        <is>
          <t>LYSEKIL</t>
        </is>
      </c>
      <c r="G593" t="n">
        <v>2.2</v>
      </c>
      <c r="H593" t="n">
        <v>0</v>
      </c>
      <c r="I593" t="n">
        <v>0</v>
      </c>
      <c r="J593" t="n">
        <v>1</v>
      </c>
      <c r="K593" t="n">
        <v>0</v>
      </c>
      <c r="L593" t="n">
        <v>0</v>
      </c>
      <c r="M593" t="n">
        <v>0</v>
      </c>
      <c r="N593" t="n">
        <v>0</v>
      </c>
      <c r="O593" t="n">
        <v>1</v>
      </c>
      <c r="P593" t="n">
        <v>0</v>
      </c>
      <c r="Q593" t="n">
        <v>1</v>
      </c>
      <c r="R593" s="2" t="inlineStr">
        <is>
          <t>Gullklöver</t>
        </is>
      </c>
      <c r="S593">
        <f>HYPERLINK("https://klasma.github.io/Logging_1484/artfynd/A 25789-2021 artfynd.xlsx", "A 25789-2021")</f>
        <v/>
      </c>
      <c r="T593">
        <f>HYPERLINK("https://klasma.github.io/Logging_1484/kartor/A 25789-2021 karta.png", "A 25789-2021")</f>
        <v/>
      </c>
      <c r="V593">
        <f>HYPERLINK("https://klasma.github.io/Logging_1484/klagomål/A 25789-2021 FSC-klagomål.docx", "A 25789-2021")</f>
        <v/>
      </c>
      <c r="W593">
        <f>HYPERLINK("https://klasma.github.io/Logging_1484/klagomålsmail/A 25789-2021 FSC-klagomål mail.docx", "A 25789-2021")</f>
        <v/>
      </c>
      <c r="X593">
        <f>HYPERLINK("https://klasma.github.io/Logging_1484/tillsyn/A 25789-2021 tillsynsbegäran.docx", "A 25789-2021")</f>
        <v/>
      </c>
      <c r="Y593">
        <f>HYPERLINK("https://klasma.github.io/Logging_1484/tillsynsmail/A 25789-2021 tillsynsbegäran mail.docx", "A 25789-2021")</f>
        <v/>
      </c>
    </row>
    <row r="594" ht="15" customHeight="1">
      <c r="A594" t="inlineStr">
        <is>
          <t>A 4669-2025</t>
        </is>
      </c>
      <c r="B594" s="1" t="n">
        <v>45687.77530092592</v>
      </c>
      <c r="C594" s="1" t="n">
        <v>45952</v>
      </c>
      <c r="D594" t="inlineStr">
        <is>
          <t>VÄSTRA GÖTALANDS LÄN</t>
        </is>
      </c>
      <c r="E594" t="inlineStr">
        <is>
          <t>FÄRGELANDA</t>
        </is>
      </c>
      <c r="G594" t="n">
        <v>1.7</v>
      </c>
      <c r="H594" t="n">
        <v>1</v>
      </c>
      <c r="I594" t="n">
        <v>0</v>
      </c>
      <c r="J594" t="n">
        <v>1</v>
      </c>
      <c r="K594" t="n">
        <v>0</v>
      </c>
      <c r="L594" t="n">
        <v>0</v>
      </c>
      <c r="M594" t="n">
        <v>0</v>
      </c>
      <c r="N594" t="n">
        <v>0</v>
      </c>
      <c r="O594" t="n">
        <v>1</v>
      </c>
      <c r="P594" t="n">
        <v>0</v>
      </c>
      <c r="Q594" t="n">
        <v>1</v>
      </c>
      <c r="R594" s="2" t="inlineStr">
        <is>
          <t>Spillkråka</t>
        </is>
      </c>
      <c r="S594">
        <f>HYPERLINK("https://klasma.github.io/Logging_1439/artfynd/A 4669-2025 artfynd.xlsx", "A 4669-2025")</f>
        <v/>
      </c>
      <c r="T594">
        <f>HYPERLINK("https://klasma.github.io/Logging_1439/kartor/A 4669-2025 karta.png", "A 4669-2025")</f>
        <v/>
      </c>
      <c r="V594">
        <f>HYPERLINK("https://klasma.github.io/Logging_1439/klagomål/A 4669-2025 FSC-klagomål.docx", "A 4669-2025")</f>
        <v/>
      </c>
      <c r="W594">
        <f>HYPERLINK("https://klasma.github.io/Logging_1439/klagomålsmail/A 4669-2025 FSC-klagomål mail.docx", "A 4669-2025")</f>
        <v/>
      </c>
      <c r="X594">
        <f>HYPERLINK("https://klasma.github.io/Logging_1439/tillsyn/A 4669-2025 tillsynsbegäran.docx", "A 4669-2025")</f>
        <v/>
      </c>
      <c r="Y594">
        <f>HYPERLINK("https://klasma.github.io/Logging_1439/tillsynsmail/A 4669-2025 tillsynsbegäran mail.docx", "A 4669-2025")</f>
        <v/>
      </c>
      <c r="Z594">
        <f>HYPERLINK("https://klasma.github.io/Logging_1439/fåglar/A 4669-2025 prioriterade fågelarter.docx", "A 4669-2025")</f>
        <v/>
      </c>
    </row>
    <row r="595" ht="15" customHeight="1">
      <c r="A595" t="inlineStr">
        <is>
          <t>A 5162-2024</t>
        </is>
      </c>
      <c r="B595" s="1" t="n">
        <v>45330</v>
      </c>
      <c r="C595" s="1" t="n">
        <v>45952</v>
      </c>
      <c r="D595" t="inlineStr">
        <is>
          <t>VÄSTRA GÖTALANDS LÄN</t>
        </is>
      </c>
      <c r="E595" t="inlineStr">
        <is>
          <t>MARIESTAD</t>
        </is>
      </c>
      <c r="G595" t="n">
        <v>0.5</v>
      </c>
      <c r="H595" t="n">
        <v>1</v>
      </c>
      <c r="I595" t="n">
        <v>0</v>
      </c>
      <c r="J595" t="n">
        <v>0</v>
      </c>
      <c r="K595" t="n">
        <v>0</v>
      </c>
      <c r="L595" t="n">
        <v>0</v>
      </c>
      <c r="M595" t="n">
        <v>0</v>
      </c>
      <c r="N595" t="n">
        <v>0</v>
      </c>
      <c r="O595" t="n">
        <v>0</v>
      </c>
      <c r="P595" t="n">
        <v>0</v>
      </c>
      <c r="Q595" t="n">
        <v>1</v>
      </c>
      <c r="R595" s="2" t="inlineStr">
        <is>
          <t>Större brunfladdermus</t>
        </is>
      </c>
      <c r="S595">
        <f>HYPERLINK("https://klasma.github.io/Logging_1493/artfynd/A 5162-2024 artfynd.xlsx", "A 5162-2024")</f>
        <v/>
      </c>
      <c r="T595">
        <f>HYPERLINK("https://klasma.github.io/Logging_1493/kartor/A 5162-2024 karta.png", "A 5162-2024")</f>
        <v/>
      </c>
      <c r="V595">
        <f>HYPERLINK("https://klasma.github.io/Logging_1493/klagomål/A 5162-2024 FSC-klagomål.docx", "A 5162-2024")</f>
        <v/>
      </c>
      <c r="W595">
        <f>HYPERLINK("https://klasma.github.io/Logging_1493/klagomålsmail/A 5162-2024 FSC-klagomål mail.docx", "A 5162-2024")</f>
        <v/>
      </c>
      <c r="X595">
        <f>HYPERLINK("https://klasma.github.io/Logging_1493/tillsyn/A 5162-2024 tillsynsbegäran.docx", "A 5162-2024")</f>
        <v/>
      </c>
      <c r="Y595">
        <f>HYPERLINK("https://klasma.github.io/Logging_1493/tillsynsmail/A 5162-2024 tillsynsbegäran mail.docx", "A 5162-2024")</f>
        <v/>
      </c>
    </row>
    <row r="596" ht="15" customHeight="1">
      <c r="A596" t="inlineStr">
        <is>
          <t>A 38771-2024</t>
        </is>
      </c>
      <c r="B596" s="1" t="n">
        <v>45547.45959490741</v>
      </c>
      <c r="C596" s="1" t="n">
        <v>45952</v>
      </c>
      <c r="D596" t="inlineStr">
        <is>
          <t>VÄSTRA GÖTALANDS LÄN</t>
        </is>
      </c>
      <c r="E596" t="inlineStr">
        <is>
          <t>FÄRGELANDA</t>
        </is>
      </c>
      <c r="G596" t="n">
        <v>4.9</v>
      </c>
      <c r="H596" t="n">
        <v>1</v>
      </c>
      <c r="I596" t="n">
        <v>0</v>
      </c>
      <c r="J596" t="n">
        <v>0</v>
      </c>
      <c r="K596" t="n">
        <v>0</v>
      </c>
      <c r="L596" t="n">
        <v>0</v>
      </c>
      <c r="M596" t="n">
        <v>0</v>
      </c>
      <c r="N596" t="n">
        <v>0</v>
      </c>
      <c r="O596" t="n">
        <v>0</v>
      </c>
      <c r="P596" t="n">
        <v>0</v>
      </c>
      <c r="Q596" t="n">
        <v>1</v>
      </c>
      <c r="R596" s="2" t="inlineStr">
        <is>
          <t>Revlummer</t>
        </is>
      </c>
      <c r="S596">
        <f>HYPERLINK("https://klasma.github.io/Logging_1439/artfynd/A 38771-2024 artfynd.xlsx", "A 38771-2024")</f>
        <v/>
      </c>
      <c r="T596">
        <f>HYPERLINK("https://klasma.github.io/Logging_1439/kartor/A 38771-2024 karta.png", "A 38771-2024")</f>
        <v/>
      </c>
      <c r="V596">
        <f>HYPERLINK("https://klasma.github.io/Logging_1439/klagomål/A 38771-2024 FSC-klagomål.docx", "A 38771-2024")</f>
        <v/>
      </c>
      <c r="W596">
        <f>HYPERLINK("https://klasma.github.io/Logging_1439/klagomålsmail/A 38771-2024 FSC-klagomål mail.docx", "A 38771-2024")</f>
        <v/>
      </c>
      <c r="X596">
        <f>HYPERLINK("https://klasma.github.io/Logging_1439/tillsyn/A 38771-2024 tillsynsbegäran.docx", "A 38771-2024")</f>
        <v/>
      </c>
      <c r="Y596">
        <f>HYPERLINK("https://klasma.github.io/Logging_1439/tillsynsmail/A 38771-2024 tillsynsbegäran mail.docx", "A 38771-2024")</f>
        <v/>
      </c>
    </row>
    <row r="597" ht="15" customHeight="1">
      <c r="A597" t="inlineStr">
        <is>
          <t>A 16997-2024</t>
        </is>
      </c>
      <c r="B597" s="1" t="n">
        <v>45412.35115740741</v>
      </c>
      <c r="C597" s="1" t="n">
        <v>45952</v>
      </c>
      <c r="D597" t="inlineStr">
        <is>
          <t>VÄSTRA GÖTALANDS LÄN</t>
        </is>
      </c>
      <c r="E597" t="inlineStr">
        <is>
          <t>MARK</t>
        </is>
      </c>
      <c r="G597" t="n">
        <v>1.4</v>
      </c>
      <c r="H597" t="n">
        <v>1</v>
      </c>
      <c r="I597" t="n">
        <v>0</v>
      </c>
      <c r="J597" t="n">
        <v>0</v>
      </c>
      <c r="K597" t="n">
        <v>1</v>
      </c>
      <c r="L597" t="n">
        <v>0</v>
      </c>
      <c r="M597" t="n">
        <v>0</v>
      </c>
      <c r="N597" t="n">
        <v>0</v>
      </c>
      <c r="O597" t="n">
        <v>1</v>
      </c>
      <c r="P597" t="n">
        <v>1</v>
      </c>
      <c r="Q597" t="n">
        <v>1</v>
      </c>
      <c r="R597" s="2" t="inlineStr">
        <is>
          <t>Knärot</t>
        </is>
      </c>
      <c r="S597">
        <f>HYPERLINK("https://klasma.github.io/Logging_1463/artfynd/A 16997-2024 artfynd.xlsx", "A 16997-2024")</f>
        <v/>
      </c>
      <c r="T597">
        <f>HYPERLINK("https://klasma.github.io/Logging_1463/kartor/A 16997-2024 karta.png", "A 16997-2024")</f>
        <v/>
      </c>
      <c r="U597">
        <f>HYPERLINK("https://klasma.github.io/Logging_1463/knärot/A 16997-2024 karta knärot.png", "A 16997-2024")</f>
        <v/>
      </c>
      <c r="V597">
        <f>HYPERLINK("https://klasma.github.io/Logging_1463/klagomål/A 16997-2024 FSC-klagomål.docx", "A 16997-2024")</f>
        <v/>
      </c>
      <c r="W597">
        <f>HYPERLINK("https://klasma.github.io/Logging_1463/klagomålsmail/A 16997-2024 FSC-klagomål mail.docx", "A 16997-2024")</f>
        <v/>
      </c>
      <c r="X597">
        <f>HYPERLINK("https://klasma.github.io/Logging_1463/tillsyn/A 16997-2024 tillsynsbegäran.docx", "A 16997-2024")</f>
        <v/>
      </c>
      <c r="Y597">
        <f>HYPERLINK("https://klasma.github.io/Logging_1463/tillsynsmail/A 16997-2024 tillsynsbegäran mail.docx", "A 16997-2024")</f>
        <v/>
      </c>
    </row>
    <row r="598" ht="15" customHeight="1">
      <c r="A598" t="inlineStr">
        <is>
          <t>A 8266-2022</t>
        </is>
      </c>
      <c r="B598" s="1" t="n">
        <v>44610</v>
      </c>
      <c r="C598" s="1" t="n">
        <v>45952</v>
      </c>
      <c r="D598" t="inlineStr">
        <is>
          <t>VÄSTRA GÖTALANDS LÄN</t>
        </is>
      </c>
      <c r="E598" t="inlineStr">
        <is>
          <t>TÖREBODA</t>
        </is>
      </c>
      <c r="F598" t="inlineStr">
        <is>
          <t>Sveaskog</t>
        </is>
      </c>
      <c r="G598" t="n">
        <v>0.5</v>
      </c>
      <c r="H598" t="n">
        <v>0</v>
      </c>
      <c r="I598" t="n">
        <v>0</v>
      </c>
      <c r="J598" t="n">
        <v>1</v>
      </c>
      <c r="K598" t="n">
        <v>0</v>
      </c>
      <c r="L598" t="n">
        <v>0</v>
      </c>
      <c r="M598" t="n">
        <v>0</v>
      </c>
      <c r="N598" t="n">
        <v>0</v>
      </c>
      <c r="O598" t="n">
        <v>1</v>
      </c>
      <c r="P598" t="n">
        <v>0</v>
      </c>
      <c r="Q598" t="n">
        <v>1</v>
      </c>
      <c r="R598" s="2" t="inlineStr">
        <is>
          <t>Dofttaggsvamp</t>
        </is>
      </c>
      <c r="S598">
        <f>HYPERLINK("https://klasma.github.io/Logging_1473/artfynd/A 8266-2022 artfynd.xlsx", "A 8266-2022")</f>
        <v/>
      </c>
      <c r="T598">
        <f>HYPERLINK("https://klasma.github.io/Logging_1473/kartor/A 8266-2022 karta.png", "A 8266-2022")</f>
        <v/>
      </c>
      <c r="V598">
        <f>HYPERLINK("https://klasma.github.io/Logging_1473/klagomål/A 8266-2022 FSC-klagomål.docx", "A 8266-2022")</f>
        <v/>
      </c>
      <c r="W598">
        <f>HYPERLINK("https://klasma.github.io/Logging_1473/klagomålsmail/A 8266-2022 FSC-klagomål mail.docx", "A 8266-2022")</f>
        <v/>
      </c>
      <c r="X598">
        <f>HYPERLINK("https://klasma.github.io/Logging_1473/tillsyn/A 8266-2022 tillsynsbegäran.docx", "A 8266-2022")</f>
        <v/>
      </c>
      <c r="Y598">
        <f>HYPERLINK("https://klasma.github.io/Logging_1473/tillsynsmail/A 8266-2022 tillsynsbegäran mail.docx", "A 8266-2022")</f>
        <v/>
      </c>
    </row>
    <row r="599" ht="15" customHeight="1">
      <c r="A599" t="inlineStr">
        <is>
          <t>A 55686-2023</t>
        </is>
      </c>
      <c r="B599" s="1" t="n">
        <v>45239.34966435185</v>
      </c>
      <c r="C599" s="1" t="n">
        <v>45952</v>
      </c>
      <c r="D599" t="inlineStr">
        <is>
          <t>VÄSTRA GÖTALANDS LÄN</t>
        </is>
      </c>
      <c r="E599" t="inlineStr">
        <is>
          <t>HÄRRYDA</t>
        </is>
      </c>
      <c r="G599" t="n">
        <v>6.6</v>
      </c>
      <c r="H599" t="n">
        <v>1</v>
      </c>
      <c r="I599" t="n">
        <v>0</v>
      </c>
      <c r="J599" t="n">
        <v>0</v>
      </c>
      <c r="K599" t="n">
        <v>0</v>
      </c>
      <c r="L599" t="n">
        <v>0</v>
      </c>
      <c r="M599" t="n">
        <v>0</v>
      </c>
      <c r="N599" t="n">
        <v>0</v>
      </c>
      <c r="O599" t="n">
        <v>0</v>
      </c>
      <c r="P599" t="n">
        <v>0</v>
      </c>
      <c r="Q599" t="n">
        <v>1</v>
      </c>
      <c r="R599" s="2" t="inlineStr">
        <is>
          <t>Tjäder</t>
        </is>
      </c>
      <c r="S599">
        <f>HYPERLINK("https://klasma.github.io/Logging_1401/artfynd/A 55686-2023 artfynd.xlsx", "A 55686-2023")</f>
        <v/>
      </c>
      <c r="T599">
        <f>HYPERLINK("https://klasma.github.io/Logging_1401/kartor/A 55686-2023 karta.png", "A 55686-2023")</f>
        <v/>
      </c>
      <c r="V599">
        <f>HYPERLINK("https://klasma.github.io/Logging_1401/klagomål/A 55686-2023 FSC-klagomål.docx", "A 55686-2023")</f>
        <v/>
      </c>
      <c r="W599">
        <f>HYPERLINK("https://klasma.github.io/Logging_1401/klagomålsmail/A 55686-2023 FSC-klagomål mail.docx", "A 55686-2023")</f>
        <v/>
      </c>
      <c r="X599">
        <f>HYPERLINK("https://klasma.github.io/Logging_1401/tillsyn/A 55686-2023 tillsynsbegäran.docx", "A 55686-2023")</f>
        <v/>
      </c>
      <c r="Y599">
        <f>HYPERLINK("https://klasma.github.io/Logging_1401/tillsynsmail/A 55686-2023 tillsynsbegäran mail.docx", "A 55686-2023")</f>
        <v/>
      </c>
      <c r="Z599">
        <f>HYPERLINK("https://klasma.github.io/Logging_1401/fåglar/A 55686-2023 prioriterade fågelarter.docx", "A 55686-2023")</f>
        <v/>
      </c>
    </row>
    <row r="600" ht="15" customHeight="1">
      <c r="A600" t="inlineStr">
        <is>
          <t>A 39358-2025</t>
        </is>
      </c>
      <c r="B600" s="1" t="n">
        <v>45889.55650462963</v>
      </c>
      <c r="C600" s="1" t="n">
        <v>45952</v>
      </c>
      <c r="D600" t="inlineStr">
        <is>
          <t>VÄSTRA GÖTALANDS LÄN</t>
        </is>
      </c>
      <c r="E600" t="inlineStr">
        <is>
          <t>TANUM</t>
        </is>
      </c>
      <c r="G600" t="n">
        <v>1.6</v>
      </c>
      <c r="H600" t="n">
        <v>0</v>
      </c>
      <c r="I600" t="n">
        <v>0</v>
      </c>
      <c r="J600" t="n">
        <v>1</v>
      </c>
      <c r="K600" t="n">
        <v>0</v>
      </c>
      <c r="L600" t="n">
        <v>0</v>
      </c>
      <c r="M600" t="n">
        <v>0</v>
      </c>
      <c r="N600" t="n">
        <v>0</v>
      </c>
      <c r="O600" t="n">
        <v>1</v>
      </c>
      <c r="P600" t="n">
        <v>0</v>
      </c>
      <c r="Q600" t="n">
        <v>1</v>
      </c>
      <c r="R600" s="2" t="inlineStr">
        <is>
          <t>Åkerkulla</t>
        </is>
      </c>
      <c r="S600">
        <f>HYPERLINK("https://klasma.github.io/Logging_1435/artfynd/A 39358-2025 artfynd.xlsx", "A 39358-2025")</f>
        <v/>
      </c>
      <c r="T600">
        <f>HYPERLINK("https://klasma.github.io/Logging_1435/kartor/A 39358-2025 karta.png", "A 39358-2025")</f>
        <v/>
      </c>
      <c r="V600">
        <f>HYPERLINK("https://klasma.github.io/Logging_1435/klagomål/A 39358-2025 FSC-klagomål.docx", "A 39358-2025")</f>
        <v/>
      </c>
      <c r="W600">
        <f>HYPERLINK("https://klasma.github.io/Logging_1435/klagomålsmail/A 39358-2025 FSC-klagomål mail.docx", "A 39358-2025")</f>
        <v/>
      </c>
      <c r="X600">
        <f>HYPERLINK("https://klasma.github.io/Logging_1435/tillsyn/A 39358-2025 tillsynsbegäran.docx", "A 39358-2025")</f>
        <v/>
      </c>
      <c r="Y600">
        <f>HYPERLINK("https://klasma.github.io/Logging_1435/tillsynsmail/A 39358-2025 tillsynsbegäran mail.docx", "A 39358-2025")</f>
        <v/>
      </c>
    </row>
    <row r="601" ht="15" customHeight="1">
      <c r="A601" t="inlineStr">
        <is>
          <t>A 30666-2023</t>
        </is>
      </c>
      <c r="B601" s="1" t="n">
        <v>45112</v>
      </c>
      <c r="C601" s="1" t="n">
        <v>45952</v>
      </c>
      <c r="D601" t="inlineStr">
        <is>
          <t>VÄSTRA GÖTALANDS LÄN</t>
        </is>
      </c>
      <c r="E601" t="inlineStr">
        <is>
          <t>BOLLEBYGD</t>
        </is>
      </c>
      <c r="G601" t="n">
        <v>1.1</v>
      </c>
      <c r="H601" t="n">
        <v>1</v>
      </c>
      <c r="I601" t="n">
        <v>0</v>
      </c>
      <c r="J601" t="n">
        <v>1</v>
      </c>
      <c r="K601" t="n">
        <v>0</v>
      </c>
      <c r="L601" t="n">
        <v>0</v>
      </c>
      <c r="M601" t="n">
        <v>0</v>
      </c>
      <c r="N601" t="n">
        <v>0</v>
      </c>
      <c r="O601" t="n">
        <v>1</v>
      </c>
      <c r="P601" t="n">
        <v>0</v>
      </c>
      <c r="Q601" t="n">
        <v>1</v>
      </c>
      <c r="R601" s="2" t="inlineStr">
        <is>
          <t>Talltita</t>
        </is>
      </c>
      <c r="S601">
        <f>HYPERLINK("https://klasma.github.io/Logging_1443/artfynd/A 30666-2023 artfynd.xlsx", "A 30666-2023")</f>
        <v/>
      </c>
      <c r="T601">
        <f>HYPERLINK("https://klasma.github.io/Logging_1443/kartor/A 30666-2023 karta.png", "A 30666-2023")</f>
        <v/>
      </c>
      <c r="V601">
        <f>HYPERLINK("https://klasma.github.io/Logging_1443/klagomål/A 30666-2023 FSC-klagomål.docx", "A 30666-2023")</f>
        <v/>
      </c>
      <c r="W601">
        <f>HYPERLINK("https://klasma.github.io/Logging_1443/klagomålsmail/A 30666-2023 FSC-klagomål mail.docx", "A 30666-2023")</f>
        <v/>
      </c>
      <c r="X601">
        <f>HYPERLINK("https://klasma.github.io/Logging_1443/tillsyn/A 30666-2023 tillsynsbegäran.docx", "A 30666-2023")</f>
        <v/>
      </c>
      <c r="Y601">
        <f>HYPERLINK("https://klasma.github.io/Logging_1443/tillsynsmail/A 30666-2023 tillsynsbegäran mail.docx", "A 30666-2023")</f>
        <v/>
      </c>
      <c r="Z601">
        <f>HYPERLINK("https://klasma.github.io/Logging_1443/fåglar/A 30666-2023 prioriterade fågelarter.docx", "A 30666-2023")</f>
        <v/>
      </c>
    </row>
    <row r="602" ht="15" customHeight="1">
      <c r="A602" t="inlineStr">
        <is>
          <t>A 30671-2023</t>
        </is>
      </c>
      <c r="B602" s="1" t="n">
        <v>45112</v>
      </c>
      <c r="C602" s="1" t="n">
        <v>45952</v>
      </c>
      <c r="D602" t="inlineStr">
        <is>
          <t>VÄSTRA GÖTALANDS LÄN</t>
        </is>
      </c>
      <c r="E602" t="inlineStr">
        <is>
          <t>BOLLEBYGD</t>
        </is>
      </c>
      <c r="G602" t="n">
        <v>4.9</v>
      </c>
      <c r="H602" t="n">
        <v>1</v>
      </c>
      <c r="I602" t="n">
        <v>0</v>
      </c>
      <c r="J602" t="n">
        <v>0</v>
      </c>
      <c r="K602" t="n">
        <v>1</v>
      </c>
      <c r="L602" t="n">
        <v>0</v>
      </c>
      <c r="M602" t="n">
        <v>0</v>
      </c>
      <c r="N602" t="n">
        <v>0</v>
      </c>
      <c r="O602" t="n">
        <v>1</v>
      </c>
      <c r="P602" t="n">
        <v>1</v>
      </c>
      <c r="Q602" t="n">
        <v>1</v>
      </c>
      <c r="R602" s="2" t="inlineStr">
        <is>
          <t>Knärot</t>
        </is>
      </c>
      <c r="S602">
        <f>HYPERLINK("https://klasma.github.io/Logging_1443/artfynd/A 30671-2023 artfynd.xlsx", "A 30671-2023")</f>
        <v/>
      </c>
      <c r="T602">
        <f>HYPERLINK("https://klasma.github.io/Logging_1443/kartor/A 30671-2023 karta.png", "A 30671-2023")</f>
        <v/>
      </c>
      <c r="U602">
        <f>HYPERLINK("https://klasma.github.io/Logging_1443/knärot/A 30671-2023 karta knärot.png", "A 30671-2023")</f>
        <v/>
      </c>
      <c r="V602">
        <f>HYPERLINK("https://klasma.github.io/Logging_1443/klagomål/A 30671-2023 FSC-klagomål.docx", "A 30671-2023")</f>
        <v/>
      </c>
      <c r="W602">
        <f>HYPERLINK("https://klasma.github.io/Logging_1443/klagomålsmail/A 30671-2023 FSC-klagomål mail.docx", "A 30671-2023")</f>
        <v/>
      </c>
      <c r="X602">
        <f>HYPERLINK("https://klasma.github.io/Logging_1443/tillsyn/A 30671-2023 tillsynsbegäran.docx", "A 30671-2023")</f>
        <v/>
      </c>
      <c r="Y602">
        <f>HYPERLINK("https://klasma.github.io/Logging_1443/tillsynsmail/A 30671-2023 tillsynsbegäran mail.docx", "A 30671-2023")</f>
        <v/>
      </c>
    </row>
    <row r="603" ht="15" customHeight="1">
      <c r="A603" t="inlineStr">
        <is>
          <t>A 56006-2022</t>
        </is>
      </c>
      <c r="B603" s="1" t="n">
        <v>44889</v>
      </c>
      <c r="C603" s="1" t="n">
        <v>45952</v>
      </c>
      <c r="D603" t="inlineStr">
        <is>
          <t>VÄSTRA GÖTALANDS LÄN</t>
        </is>
      </c>
      <c r="E603" t="inlineStr">
        <is>
          <t>BENGTSFORS</t>
        </is>
      </c>
      <c r="G603" t="n">
        <v>6.4</v>
      </c>
      <c r="H603" t="n">
        <v>0</v>
      </c>
      <c r="I603" t="n">
        <v>1</v>
      </c>
      <c r="J603" t="n">
        <v>0</v>
      </c>
      <c r="K603" t="n">
        <v>0</v>
      </c>
      <c r="L603" t="n">
        <v>0</v>
      </c>
      <c r="M603" t="n">
        <v>0</v>
      </c>
      <c r="N603" t="n">
        <v>0</v>
      </c>
      <c r="O603" t="n">
        <v>0</v>
      </c>
      <c r="P603" t="n">
        <v>0</v>
      </c>
      <c r="Q603" t="n">
        <v>1</v>
      </c>
      <c r="R603" s="2" t="inlineStr">
        <is>
          <t>Västlig hakmossa</t>
        </is>
      </c>
      <c r="S603">
        <f>HYPERLINK("https://klasma.github.io/Logging_1460/artfynd/A 56006-2022 artfynd.xlsx", "A 56006-2022")</f>
        <v/>
      </c>
      <c r="T603">
        <f>HYPERLINK("https://klasma.github.io/Logging_1460/kartor/A 56006-2022 karta.png", "A 56006-2022")</f>
        <v/>
      </c>
      <c r="V603">
        <f>HYPERLINK("https://klasma.github.io/Logging_1460/klagomål/A 56006-2022 FSC-klagomål.docx", "A 56006-2022")</f>
        <v/>
      </c>
      <c r="W603">
        <f>HYPERLINK("https://klasma.github.io/Logging_1460/klagomålsmail/A 56006-2022 FSC-klagomål mail.docx", "A 56006-2022")</f>
        <v/>
      </c>
      <c r="X603">
        <f>HYPERLINK("https://klasma.github.io/Logging_1460/tillsyn/A 56006-2022 tillsynsbegäran.docx", "A 56006-2022")</f>
        <v/>
      </c>
      <c r="Y603">
        <f>HYPERLINK("https://klasma.github.io/Logging_1460/tillsynsmail/A 56006-2022 tillsynsbegäran mail.docx", "A 56006-2022")</f>
        <v/>
      </c>
    </row>
    <row r="604" ht="15" customHeight="1">
      <c r="A604" t="inlineStr">
        <is>
          <t>A 7778-2021</t>
        </is>
      </c>
      <c r="B604" s="1" t="n">
        <v>44242</v>
      </c>
      <c r="C604" s="1" t="n">
        <v>45952</v>
      </c>
      <c r="D604" t="inlineStr">
        <is>
          <t>VÄSTRA GÖTALANDS LÄN</t>
        </is>
      </c>
      <c r="E604" t="inlineStr">
        <is>
          <t>STRÖMSTAD</t>
        </is>
      </c>
      <c r="G604" t="n">
        <v>7.5</v>
      </c>
      <c r="H604" t="n">
        <v>0</v>
      </c>
      <c r="I604" t="n">
        <v>1</v>
      </c>
      <c r="J604" t="n">
        <v>0</v>
      </c>
      <c r="K604" t="n">
        <v>0</v>
      </c>
      <c r="L604" t="n">
        <v>0</v>
      </c>
      <c r="M604" t="n">
        <v>0</v>
      </c>
      <c r="N604" t="n">
        <v>0</v>
      </c>
      <c r="O604" t="n">
        <v>0</v>
      </c>
      <c r="P604" t="n">
        <v>0</v>
      </c>
      <c r="Q604" t="n">
        <v>1</v>
      </c>
      <c r="R604" s="2" t="inlineStr">
        <is>
          <t>Strutbräken</t>
        </is>
      </c>
      <c r="S604">
        <f>HYPERLINK("https://klasma.github.io/Logging_1486/artfynd/A 7778-2021 artfynd.xlsx", "A 7778-2021")</f>
        <v/>
      </c>
      <c r="T604">
        <f>HYPERLINK("https://klasma.github.io/Logging_1486/kartor/A 7778-2021 karta.png", "A 7778-2021")</f>
        <v/>
      </c>
      <c r="V604">
        <f>HYPERLINK("https://klasma.github.io/Logging_1486/klagomål/A 7778-2021 FSC-klagomål.docx", "A 7778-2021")</f>
        <v/>
      </c>
      <c r="W604">
        <f>HYPERLINK("https://klasma.github.io/Logging_1486/klagomålsmail/A 7778-2021 FSC-klagomål mail.docx", "A 7778-2021")</f>
        <v/>
      </c>
      <c r="X604">
        <f>HYPERLINK("https://klasma.github.io/Logging_1486/tillsyn/A 7778-2021 tillsynsbegäran.docx", "A 7778-2021")</f>
        <v/>
      </c>
      <c r="Y604">
        <f>HYPERLINK("https://klasma.github.io/Logging_1486/tillsynsmail/A 7778-2021 tillsynsbegäran mail.docx", "A 7778-2021")</f>
        <v/>
      </c>
    </row>
    <row r="605" ht="15" customHeight="1">
      <c r="A605" t="inlineStr">
        <is>
          <t>A 54031-2024</t>
        </is>
      </c>
      <c r="B605" s="1" t="n">
        <v>45616.40061342593</v>
      </c>
      <c r="C605" s="1" t="n">
        <v>45952</v>
      </c>
      <c r="D605" t="inlineStr">
        <is>
          <t>VÄSTRA GÖTALANDS LÄN</t>
        </is>
      </c>
      <c r="E605" t="inlineStr">
        <is>
          <t>TRANEMO</t>
        </is>
      </c>
      <c r="G605" t="n">
        <v>3</v>
      </c>
      <c r="H605" t="n">
        <v>0</v>
      </c>
      <c r="I605" t="n">
        <v>0</v>
      </c>
      <c r="J605" t="n">
        <v>0</v>
      </c>
      <c r="K605" t="n">
        <v>1</v>
      </c>
      <c r="L605" t="n">
        <v>0</v>
      </c>
      <c r="M605" t="n">
        <v>0</v>
      </c>
      <c r="N605" t="n">
        <v>0</v>
      </c>
      <c r="O605" t="n">
        <v>1</v>
      </c>
      <c r="P605" t="n">
        <v>1</v>
      </c>
      <c r="Q605" t="n">
        <v>1</v>
      </c>
      <c r="R605" s="2" t="inlineStr">
        <is>
          <t>Kullerlöpare</t>
        </is>
      </c>
      <c r="S605">
        <f>HYPERLINK("https://klasma.github.io/Logging_1452/artfynd/A 54031-2024 artfynd.xlsx", "A 54031-2024")</f>
        <v/>
      </c>
      <c r="T605">
        <f>HYPERLINK("https://klasma.github.io/Logging_1452/kartor/A 54031-2024 karta.png", "A 54031-2024")</f>
        <v/>
      </c>
      <c r="V605">
        <f>HYPERLINK("https://klasma.github.io/Logging_1452/klagomål/A 54031-2024 FSC-klagomål.docx", "A 54031-2024")</f>
        <v/>
      </c>
      <c r="W605">
        <f>HYPERLINK("https://klasma.github.io/Logging_1452/klagomålsmail/A 54031-2024 FSC-klagomål mail.docx", "A 54031-2024")</f>
        <v/>
      </c>
      <c r="X605">
        <f>HYPERLINK("https://klasma.github.io/Logging_1452/tillsyn/A 54031-2024 tillsynsbegäran.docx", "A 54031-2024")</f>
        <v/>
      </c>
      <c r="Y605">
        <f>HYPERLINK("https://klasma.github.io/Logging_1452/tillsynsmail/A 54031-2024 tillsynsbegäran mail.docx", "A 54031-2024")</f>
        <v/>
      </c>
    </row>
    <row r="606" ht="15" customHeight="1">
      <c r="A606" t="inlineStr">
        <is>
          <t>A 25655-2023</t>
        </is>
      </c>
      <c r="B606" s="1" t="n">
        <v>45089</v>
      </c>
      <c r="C606" s="1" t="n">
        <v>45952</v>
      </c>
      <c r="D606" t="inlineStr">
        <is>
          <t>VÄSTRA GÖTALANDS LÄN</t>
        </is>
      </c>
      <c r="E606" t="inlineStr">
        <is>
          <t>LILLA EDET</t>
        </is>
      </c>
      <c r="G606" t="n">
        <v>5.1</v>
      </c>
      <c r="H606" t="n">
        <v>0</v>
      </c>
      <c r="I606" t="n">
        <v>0</v>
      </c>
      <c r="J606" t="n">
        <v>1</v>
      </c>
      <c r="K606" t="n">
        <v>0</v>
      </c>
      <c r="L606" t="n">
        <v>0</v>
      </c>
      <c r="M606" t="n">
        <v>0</v>
      </c>
      <c r="N606" t="n">
        <v>0</v>
      </c>
      <c r="O606" t="n">
        <v>1</v>
      </c>
      <c r="P606" t="n">
        <v>0</v>
      </c>
      <c r="Q606" t="n">
        <v>1</v>
      </c>
      <c r="R606" s="2" t="inlineStr">
        <is>
          <t>Bergjohannesört</t>
        </is>
      </c>
      <c r="S606">
        <f>HYPERLINK("https://klasma.github.io/Logging_1462/artfynd/A 25655-2023 artfynd.xlsx", "A 25655-2023")</f>
        <v/>
      </c>
      <c r="T606">
        <f>HYPERLINK("https://klasma.github.io/Logging_1462/kartor/A 25655-2023 karta.png", "A 25655-2023")</f>
        <v/>
      </c>
      <c r="V606">
        <f>HYPERLINK("https://klasma.github.io/Logging_1462/klagomål/A 25655-2023 FSC-klagomål.docx", "A 25655-2023")</f>
        <v/>
      </c>
      <c r="W606">
        <f>HYPERLINK("https://klasma.github.io/Logging_1462/klagomålsmail/A 25655-2023 FSC-klagomål mail.docx", "A 25655-2023")</f>
        <v/>
      </c>
      <c r="X606">
        <f>HYPERLINK("https://klasma.github.io/Logging_1462/tillsyn/A 25655-2023 tillsynsbegäran.docx", "A 25655-2023")</f>
        <v/>
      </c>
      <c r="Y606">
        <f>HYPERLINK("https://klasma.github.io/Logging_1462/tillsynsmail/A 25655-2023 tillsynsbegäran mail.docx", "A 25655-2023")</f>
        <v/>
      </c>
    </row>
    <row r="607" ht="15" customHeight="1">
      <c r="A607" t="inlineStr">
        <is>
          <t>A 12413-2023</t>
        </is>
      </c>
      <c r="B607" s="1" t="n">
        <v>44999.52065972222</v>
      </c>
      <c r="C607" s="1" t="n">
        <v>45952</v>
      </c>
      <c r="D607" t="inlineStr">
        <is>
          <t>VÄSTRA GÖTALANDS LÄN</t>
        </is>
      </c>
      <c r="E607" t="inlineStr">
        <is>
          <t>ÅMÅL</t>
        </is>
      </c>
      <c r="G607" t="n">
        <v>2</v>
      </c>
      <c r="H607" t="n">
        <v>0</v>
      </c>
      <c r="I607" t="n">
        <v>1</v>
      </c>
      <c r="J607" t="n">
        <v>0</v>
      </c>
      <c r="K607" t="n">
        <v>0</v>
      </c>
      <c r="L607" t="n">
        <v>0</v>
      </c>
      <c r="M607" t="n">
        <v>0</v>
      </c>
      <c r="N607" t="n">
        <v>0</v>
      </c>
      <c r="O607" t="n">
        <v>0</v>
      </c>
      <c r="P607" t="n">
        <v>0</v>
      </c>
      <c r="Q607" t="n">
        <v>1</v>
      </c>
      <c r="R607" s="2" t="inlineStr">
        <is>
          <t>Bronshjon</t>
        </is>
      </c>
      <c r="S607">
        <f>HYPERLINK("https://klasma.github.io/Logging_1492/artfynd/A 12413-2023 artfynd.xlsx", "A 12413-2023")</f>
        <v/>
      </c>
      <c r="T607">
        <f>HYPERLINK("https://klasma.github.io/Logging_1492/kartor/A 12413-2023 karta.png", "A 12413-2023")</f>
        <v/>
      </c>
      <c r="V607">
        <f>HYPERLINK("https://klasma.github.io/Logging_1492/klagomål/A 12413-2023 FSC-klagomål.docx", "A 12413-2023")</f>
        <v/>
      </c>
      <c r="W607">
        <f>HYPERLINK("https://klasma.github.io/Logging_1492/klagomålsmail/A 12413-2023 FSC-klagomål mail.docx", "A 12413-2023")</f>
        <v/>
      </c>
      <c r="X607">
        <f>HYPERLINK("https://klasma.github.io/Logging_1492/tillsyn/A 12413-2023 tillsynsbegäran.docx", "A 12413-2023")</f>
        <v/>
      </c>
      <c r="Y607">
        <f>HYPERLINK("https://klasma.github.io/Logging_1492/tillsynsmail/A 12413-2023 tillsynsbegäran mail.docx", "A 12413-2023")</f>
        <v/>
      </c>
    </row>
    <row r="608" ht="15" customHeight="1">
      <c r="A608" t="inlineStr">
        <is>
          <t>A 29145-2022</t>
        </is>
      </c>
      <c r="B608" s="1" t="n">
        <v>44750.46633101852</v>
      </c>
      <c r="C608" s="1" t="n">
        <v>45952</v>
      </c>
      <c r="D608" t="inlineStr">
        <is>
          <t>VÄSTRA GÖTALANDS LÄN</t>
        </is>
      </c>
      <c r="E608" t="inlineStr">
        <is>
          <t>BORÅS</t>
        </is>
      </c>
      <c r="F608" t="inlineStr">
        <is>
          <t>Kommuner</t>
        </is>
      </c>
      <c r="G608" t="n">
        <v>3.6</v>
      </c>
      <c r="H608" t="n">
        <v>1</v>
      </c>
      <c r="I608" t="n">
        <v>0</v>
      </c>
      <c r="J608" t="n">
        <v>1</v>
      </c>
      <c r="K608" t="n">
        <v>0</v>
      </c>
      <c r="L608" t="n">
        <v>0</v>
      </c>
      <c r="M608" t="n">
        <v>0</v>
      </c>
      <c r="N608" t="n">
        <v>0</v>
      </c>
      <c r="O608" t="n">
        <v>1</v>
      </c>
      <c r="P608" t="n">
        <v>0</v>
      </c>
      <c r="Q608" t="n">
        <v>1</v>
      </c>
      <c r="R608" s="2" t="inlineStr">
        <is>
          <t>Spillkråka</t>
        </is>
      </c>
      <c r="S608">
        <f>HYPERLINK("https://klasma.github.io/Logging_1490/artfynd/A 29145-2022 artfynd.xlsx", "A 29145-2022")</f>
        <v/>
      </c>
      <c r="T608">
        <f>HYPERLINK("https://klasma.github.io/Logging_1490/kartor/A 29145-2022 karta.png", "A 29145-2022")</f>
        <v/>
      </c>
      <c r="V608">
        <f>HYPERLINK("https://klasma.github.io/Logging_1490/klagomål/A 29145-2022 FSC-klagomål.docx", "A 29145-2022")</f>
        <v/>
      </c>
      <c r="W608">
        <f>HYPERLINK("https://klasma.github.io/Logging_1490/klagomålsmail/A 29145-2022 FSC-klagomål mail.docx", "A 29145-2022")</f>
        <v/>
      </c>
      <c r="X608">
        <f>HYPERLINK("https://klasma.github.io/Logging_1490/tillsyn/A 29145-2022 tillsynsbegäran.docx", "A 29145-2022")</f>
        <v/>
      </c>
      <c r="Y608">
        <f>HYPERLINK("https://klasma.github.io/Logging_1490/tillsynsmail/A 29145-2022 tillsynsbegäran mail.docx", "A 29145-2022")</f>
        <v/>
      </c>
      <c r="Z608">
        <f>HYPERLINK("https://klasma.github.io/Logging_1490/fåglar/A 29145-2022 prioriterade fågelarter.docx", "A 29145-2022")</f>
        <v/>
      </c>
    </row>
    <row r="609" ht="15" customHeight="1">
      <c r="A609" t="inlineStr">
        <is>
          <t>A 22733-2025</t>
        </is>
      </c>
      <c r="B609" s="1" t="n">
        <v>45789.58555555555</v>
      </c>
      <c r="C609" s="1" t="n">
        <v>45952</v>
      </c>
      <c r="D609" t="inlineStr">
        <is>
          <t>VÄSTRA GÖTALANDS LÄN</t>
        </is>
      </c>
      <c r="E609" t="inlineStr">
        <is>
          <t>STENUNGSUND</t>
        </is>
      </c>
      <c r="G609" t="n">
        <v>1.2</v>
      </c>
      <c r="H609" t="n">
        <v>1</v>
      </c>
      <c r="I609" t="n">
        <v>0</v>
      </c>
      <c r="J609" t="n">
        <v>0</v>
      </c>
      <c r="K609" t="n">
        <v>0</v>
      </c>
      <c r="L609" t="n">
        <v>0</v>
      </c>
      <c r="M609" t="n">
        <v>0</v>
      </c>
      <c r="N609" t="n">
        <v>0</v>
      </c>
      <c r="O609" t="n">
        <v>0</v>
      </c>
      <c r="P609" t="n">
        <v>0</v>
      </c>
      <c r="Q609" t="n">
        <v>1</v>
      </c>
      <c r="R609" s="2" t="inlineStr">
        <is>
          <t>Revlummer</t>
        </is>
      </c>
      <c r="S609">
        <f>HYPERLINK("https://klasma.github.io/Logging_1415/artfynd/A 22733-2025 artfynd.xlsx", "A 22733-2025")</f>
        <v/>
      </c>
      <c r="T609">
        <f>HYPERLINK("https://klasma.github.io/Logging_1415/kartor/A 22733-2025 karta.png", "A 22733-2025")</f>
        <v/>
      </c>
      <c r="V609">
        <f>HYPERLINK("https://klasma.github.io/Logging_1415/klagomål/A 22733-2025 FSC-klagomål.docx", "A 22733-2025")</f>
        <v/>
      </c>
      <c r="W609">
        <f>HYPERLINK("https://klasma.github.io/Logging_1415/klagomålsmail/A 22733-2025 FSC-klagomål mail.docx", "A 22733-2025")</f>
        <v/>
      </c>
      <c r="X609">
        <f>HYPERLINK("https://klasma.github.io/Logging_1415/tillsyn/A 22733-2025 tillsynsbegäran.docx", "A 22733-2025")</f>
        <v/>
      </c>
      <c r="Y609">
        <f>HYPERLINK("https://klasma.github.io/Logging_1415/tillsynsmail/A 22733-2025 tillsynsbegäran mail.docx", "A 22733-2025")</f>
        <v/>
      </c>
    </row>
    <row r="610" ht="15" customHeight="1">
      <c r="A610" t="inlineStr">
        <is>
          <t>A 18881-2025</t>
        </is>
      </c>
      <c r="B610" s="1" t="n">
        <v>45764.43978009259</v>
      </c>
      <c r="C610" s="1" t="n">
        <v>45952</v>
      </c>
      <c r="D610" t="inlineStr">
        <is>
          <t>VÄSTRA GÖTALANDS LÄN</t>
        </is>
      </c>
      <c r="E610" t="inlineStr">
        <is>
          <t>KARLSBORG</t>
        </is>
      </c>
      <c r="G610" t="n">
        <v>2</v>
      </c>
      <c r="H610" t="n">
        <v>1</v>
      </c>
      <c r="I610" t="n">
        <v>0</v>
      </c>
      <c r="J610" t="n">
        <v>0</v>
      </c>
      <c r="K610" t="n">
        <v>1</v>
      </c>
      <c r="L610" t="n">
        <v>0</v>
      </c>
      <c r="M610" t="n">
        <v>0</v>
      </c>
      <c r="N610" t="n">
        <v>0</v>
      </c>
      <c r="O610" t="n">
        <v>1</v>
      </c>
      <c r="P610" t="n">
        <v>1</v>
      </c>
      <c r="Q610" t="n">
        <v>1</v>
      </c>
      <c r="R610" s="2" t="inlineStr">
        <is>
          <t>Hasselsnok</t>
        </is>
      </c>
      <c r="S610">
        <f>HYPERLINK("https://klasma.github.io/Logging_1446/artfynd/A 18881-2025 artfynd.xlsx", "A 18881-2025")</f>
        <v/>
      </c>
      <c r="T610">
        <f>HYPERLINK("https://klasma.github.io/Logging_1446/kartor/A 18881-2025 karta.png", "A 18881-2025")</f>
        <v/>
      </c>
      <c r="V610">
        <f>HYPERLINK("https://klasma.github.io/Logging_1446/klagomål/A 18881-2025 FSC-klagomål.docx", "A 18881-2025")</f>
        <v/>
      </c>
      <c r="W610">
        <f>HYPERLINK("https://klasma.github.io/Logging_1446/klagomålsmail/A 18881-2025 FSC-klagomål mail.docx", "A 18881-2025")</f>
        <v/>
      </c>
      <c r="X610">
        <f>HYPERLINK("https://klasma.github.io/Logging_1446/tillsyn/A 18881-2025 tillsynsbegäran.docx", "A 18881-2025")</f>
        <v/>
      </c>
      <c r="Y610">
        <f>HYPERLINK("https://klasma.github.io/Logging_1446/tillsynsmail/A 18881-2025 tillsynsbegäran mail.docx", "A 18881-2025")</f>
        <v/>
      </c>
    </row>
    <row r="611" ht="15" customHeight="1">
      <c r="A611" t="inlineStr">
        <is>
          <t>A 48101-2025</t>
        </is>
      </c>
      <c r="B611" s="1" t="n">
        <v>45933</v>
      </c>
      <c r="C611" s="1" t="n">
        <v>45952</v>
      </c>
      <c r="D611" t="inlineStr">
        <is>
          <t>VÄSTRA GÖTALANDS LÄN</t>
        </is>
      </c>
      <c r="E611" t="inlineStr">
        <is>
          <t>SKARA</t>
        </is>
      </c>
      <c r="G611" t="n">
        <v>1.2</v>
      </c>
      <c r="H611" t="n">
        <v>0</v>
      </c>
      <c r="I611" t="n">
        <v>0</v>
      </c>
      <c r="J611" t="n">
        <v>0</v>
      </c>
      <c r="K611" t="n">
        <v>1</v>
      </c>
      <c r="L611" t="n">
        <v>0</v>
      </c>
      <c r="M611" t="n">
        <v>0</v>
      </c>
      <c r="N611" t="n">
        <v>0</v>
      </c>
      <c r="O611" t="n">
        <v>1</v>
      </c>
      <c r="P611" t="n">
        <v>1</v>
      </c>
      <c r="Q611" t="n">
        <v>1</v>
      </c>
      <c r="R611" s="2" t="inlineStr">
        <is>
          <t>Plattsäv</t>
        </is>
      </c>
      <c r="S611">
        <f>HYPERLINK("https://klasma.github.io/Logging_1495/artfynd/A 48101-2025 artfynd.xlsx", "A 48101-2025")</f>
        <v/>
      </c>
      <c r="T611">
        <f>HYPERLINK("https://klasma.github.io/Logging_1495/kartor/A 48101-2025 karta.png", "A 48101-2025")</f>
        <v/>
      </c>
      <c r="V611">
        <f>HYPERLINK("https://klasma.github.io/Logging_1495/klagomål/A 48101-2025 FSC-klagomål.docx", "A 48101-2025")</f>
        <v/>
      </c>
      <c r="W611">
        <f>HYPERLINK("https://klasma.github.io/Logging_1495/klagomålsmail/A 48101-2025 FSC-klagomål mail.docx", "A 48101-2025")</f>
        <v/>
      </c>
      <c r="X611">
        <f>HYPERLINK("https://klasma.github.io/Logging_1495/tillsyn/A 48101-2025 tillsynsbegäran.docx", "A 48101-2025")</f>
        <v/>
      </c>
      <c r="Y611">
        <f>HYPERLINK("https://klasma.github.io/Logging_1495/tillsynsmail/A 48101-2025 tillsynsbegäran mail.docx", "A 48101-2025")</f>
        <v/>
      </c>
    </row>
    <row r="612" ht="15" customHeight="1">
      <c r="A612" t="inlineStr">
        <is>
          <t>A 43531-2025</t>
        </is>
      </c>
      <c r="B612" s="1" t="n">
        <v>45911</v>
      </c>
      <c r="C612" s="1" t="n">
        <v>45952</v>
      </c>
      <c r="D612" t="inlineStr">
        <is>
          <t>VÄSTRA GÖTALANDS LÄN</t>
        </is>
      </c>
      <c r="E612" t="inlineStr">
        <is>
          <t>MELLERUD</t>
        </is>
      </c>
      <c r="F612" t="inlineStr">
        <is>
          <t>Övriga Aktiebolag</t>
        </is>
      </c>
      <c r="G612" t="n">
        <v>8</v>
      </c>
      <c r="H612" t="n">
        <v>1</v>
      </c>
      <c r="I612" t="n">
        <v>0</v>
      </c>
      <c r="J612" t="n">
        <v>0</v>
      </c>
      <c r="K612" t="n">
        <v>0</v>
      </c>
      <c r="L612" t="n">
        <v>0</v>
      </c>
      <c r="M612" t="n">
        <v>0</v>
      </c>
      <c r="N612" t="n">
        <v>0</v>
      </c>
      <c r="O612" t="n">
        <v>0</v>
      </c>
      <c r="P612" t="n">
        <v>0</v>
      </c>
      <c r="Q612" t="n">
        <v>1</v>
      </c>
      <c r="R612" s="2" t="inlineStr">
        <is>
          <t>Kungsfågel</t>
        </is>
      </c>
      <c r="S612">
        <f>HYPERLINK("https://klasma.github.io/Logging_1461/artfynd/A 43531-2025 artfynd.xlsx", "A 43531-2025")</f>
        <v/>
      </c>
      <c r="T612">
        <f>HYPERLINK("https://klasma.github.io/Logging_1461/kartor/A 43531-2025 karta.png", "A 43531-2025")</f>
        <v/>
      </c>
      <c r="V612">
        <f>HYPERLINK("https://klasma.github.io/Logging_1461/klagomål/A 43531-2025 FSC-klagomål.docx", "A 43531-2025")</f>
        <v/>
      </c>
      <c r="W612">
        <f>HYPERLINK("https://klasma.github.io/Logging_1461/klagomålsmail/A 43531-2025 FSC-klagomål mail.docx", "A 43531-2025")</f>
        <v/>
      </c>
      <c r="X612">
        <f>HYPERLINK("https://klasma.github.io/Logging_1461/tillsyn/A 43531-2025 tillsynsbegäran.docx", "A 43531-2025")</f>
        <v/>
      </c>
      <c r="Y612">
        <f>HYPERLINK("https://klasma.github.io/Logging_1461/tillsynsmail/A 43531-2025 tillsynsbegäran mail.docx", "A 43531-2025")</f>
        <v/>
      </c>
      <c r="Z612">
        <f>HYPERLINK("https://klasma.github.io/Logging_1461/fåglar/A 43531-2025 prioriterade fågelarter.docx", "A 43531-2025")</f>
        <v/>
      </c>
    </row>
    <row r="613" ht="15" customHeight="1">
      <c r="A613" t="inlineStr">
        <is>
          <t>A 10014-2025</t>
        </is>
      </c>
      <c r="B613" s="1" t="n">
        <v>45719.46746527778</v>
      </c>
      <c r="C613" s="1" t="n">
        <v>45952</v>
      </c>
      <c r="D613" t="inlineStr">
        <is>
          <t>VÄSTRA GÖTALANDS LÄN</t>
        </is>
      </c>
      <c r="E613" t="inlineStr">
        <is>
          <t>HJO</t>
        </is>
      </c>
      <c r="G613" t="n">
        <v>5.9</v>
      </c>
      <c r="H613" t="n">
        <v>1</v>
      </c>
      <c r="I613" t="n">
        <v>0</v>
      </c>
      <c r="J613" t="n">
        <v>0</v>
      </c>
      <c r="K613" t="n">
        <v>1</v>
      </c>
      <c r="L613" t="n">
        <v>0</v>
      </c>
      <c r="M613" t="n">
        <v>0</v>
      </c>
      <c r="N613" t="n">
        <v>0</v>
      </c>
      <c r="O613" t="n">
        <v>1</v>
      </c>
      <c r="P613" t="n">
        <v>1</v>
      </c>
      <c r="Q613" t="n">
        <v>1</v>
      </c>
      <c r="R613" s="2" t="inlineStr">
        <is>
          <t>Knärot</t>
        </is>
      </c>
      <c r="S613">
        <f>HYPERLINK("https://klasma.github.io/Logging_1497/artfynd/A 10014-2025 artfynd.xlsx", "A 10014-2025")</f>
        <v/>
      </c>
      <c r="T613">
        <f>HYPERLINK("https://klasma.github.io/Logging_1497/kartor/A 10014-2025 karta.png", "A 10014-2025")</f>
        <v/>
      </c>
      <c r="U613">
        <f>HYPERLINK("https://klasma.github.io/Logging_1497/knärot/A 10014-2025 karta knärot.png", "A 10014-2025")</f>
        <v/>
      </c>
      <c r="V613">
        <f>HYPERLINK("https://klasma.github.io/Logging_1497/klagomål/A 10014-2025 FSC-klagomål.docx", "A 10014-2025")</f>
        <v/>
      </c>
      <c r="W613">
        <f>HYPERLINK("https://klasma.github.io/Logging_1497/klagomålsmail/A 10014-2025 FSC-klagomål mail.docx", "A 10014-2025")</f>
        <v/>
      </c>
      <c r="X613">
        <f>HYPERLINK("https://klasma.github.io/Logging_1497/tillsyn/A 10014-2025 tillsynsbegäran.docx", "A 10014-2025")</f>
        <v/>
      </c>
      <c r="Y613">
        <f>HYPERLINK("https://klasma.github.io/Logging_1497/tillsynsmail/A 10014-2025 tillsynsbegäran mail.docx", "A 10014-2025")</f>
        <v/>
      </c>
    </row>
    <row r="614" ht="15" customHeight="1">
      <c r="A614" t="inlineStr">
        <is>
          <t>A 9650-2025</t>
        </is>
      </c>
      <c r="B614" s="1" t="n">
        <v>45716.26487268518</v>
      </c>
      <c r="C614" s="1" t="n">
        <v>45952</v>
      </c>
      <c r="D614" t="inlineStr">
        <is>
          <t>VÄSTRA GÖTALANDS LÄN</t>
        </is>
      </c>
      <c r="E614" t="inlineStr">
        <is>
          <t>MARIESTAD</t>
        </is>
      </c>
      <c r="F614" t="inlineStr">
        <is>
          <t>Sveaskog</t>
        </is>
      </c>
      <c r="G614" t="n">
        <v>2.8</v>
      </c>
      <c r="H614" t="n">
        <v>1</v>
      </c>
      <c r="I614" t="n">
        <v>0</v>
      </c>
      <c r="J614" t="n">
        <v>0</v>
      </c>
      <c r="K614" t="n">
        <v>0</v>
      </c>
      <c r="L614" t="n">
        <v>0</v>
      </c>
      <c r="M614" t="n">
        <v>0</v>
      </c>
      <c r="N614" t="n">
        <v>0</v>
      </c>
      <c r="O614" t="n">
        <v>0</v>
      </c>
      <c r="P614" t="n">
        <v>0</v>
      </c>
      <c r="Q614" t="n">
        <v>1</v>
      </c>
      <c r="R614" s="2" t="inlineStr">
        <is>
          <t>Revlummer</t>
        </is>
      </c>
      <c r="S614">
        <f>HYPERLINK("https://klasma.github.io/Logging_1493/artfynd/A 9650-2025 artfynd.xlsx", "A 9650-2025")</f>
        <v/>
      </c>
      <c r="T614">
        <f>HYPERLINK("https://klasma.github.io/Logging_1493/kartor/A 9650-2025 karta.png", "A 9650-2025")</f>
        <v/>
      </c>
      <c r="V614">
        <f>HYPERLINK("https://klasma.github.io/Logging_1493/klagomål/A 9650-2025 FSC-klagomål.docx", "A 9650-2025")</f>
        <v/>
      </c>
      <c r="W614">
        <f>HYPERLINK("https://klasma.github.io/Logging_1493/klagomålsmail/A 9650-2025 FSC-klagomål mail.docx", "A 9650-2025")</f>
        <v/>
      </c>
      <c r="X614">
        <f>HYPERLINK("https://klasma.github.io/Logging_1493/tillsyn/A 9650-2025 tillsynsbegäran.docx", "A 9650-2025")</f>
        <v/>
      </c>
      <c r="Y614">
        <f>HYPERLINK("https://klasma.github.io/Logging_1493/tillsynsmail/A 9650-2025 tillsynsbegäran mail.docx", "A 9650-2025")</f>
        <v/>
      </c>
    </row>
    <row r="615" ht="15" customHeight="1">
      <c r="A615" t="inlineStr">
        <is>
          <t>A 12168-2025</t>
        </is>
      </c>
      <c r="B615" s="1" t="n">
        <v>45729.4359375</v>
      </c>
      <c r="C615" s="1" t="n">
        <v>45952</v>
      </c>
      <c r="D615" t="inlineStr">
        <is>
          <t>VÄSTRA GÖTALANDS LÄN</t>
        </is>
      </c>
      <c r="E615" t="inlineStr">
        <is>
          <t>TÖREBODA</t>
        </is>
      </c>
      <c r="G615" t="n">
        <v>2.1</v>
      </c>
      <c r="H615" t="n">
        <v>1</v>
      </c>
      <c r="I615" t="n">
        <v>0</v>
      </c>
      <c r="J615" t="n">
        <v>1</v>
      </c>
      <c r="K615" t="n">
        <v>0</v>
      </c>
      <c r="L615" t="n">
        <v>0</v>
      </c>
      <c r="M615" t="n">
        <v>0</v>
      </c>
      <c r="N615" t="n">
        <v>0</v>
      </c>
      <c r="O615" t="n">
        <v>1</v>
      </c>
      <c r="P615" t="n">
        <v>0</v>
      </c>
      <c r="Q615" t="n">
        <v>1</v>
      </c>
      <c r="R615" s="2" t="inlineStr">
        <is>
          <t>Spillkråka</t>
        </is>
      </c>
      <c r="S615">
        <f>HYPERLINK("https://klasma.github.io/Logging_1473/artfynd/A 12168-2025 artfynd.xlsx", "A 12168-2025")</f>
        <v/>
      </c>
      <c r="T615">
        <f>HYPERLINK("https://klasma.github.io/Logging_1473/kartor/A 12168-2025 karta.png", "A 12168-2025")</f>
        <v/>
      </c>
      <c r="V615">
        <f>HYPERLINK("https://klasma.github.io/Logging_1473/klagomål/A 12168-2025 FSC-klagomål.docx", "A 12168-2025")</f>
        <v/>
      </c>
      <c r="W615">
        <f>HYPERLINK("https://klasma.github.io/Logging_1473/klagomålsmail/A 12168-2025 FSC-klagomål mail.docx", "A 12168-2025")</f>
        <v/>
      </c>
      <c r="X615">
        <f>HYPERLINK("https://klasma.github.io/Logging_1473/tillsyn/A 12168-2025 tillsynsbegäran.docx", "A 12168-2025")</f>
        <v/>
      </c>
      <c r="Y615">
        <f>HYPERLINK("https://klasma.github.io/Logging_1473/tillsynsmail/A 12168-2025 tillsynsbegäran mail.docx", "A 12168-2025")</f>
        <v/>
      </c>
      <c r="Z615">
        <f>HYPERLINK("https://klasma.github.io/Logging_1473/fåglar/A 12168-2025 prioriterade fågelarter.docx", "A 12168-2025")</f>
        <v/>
      </c>
    </row>
    <row r="616" ht="15" customHeight="1">
      <c r="A616" t="inlineStr">
        <is>
          <t>A 31071-2024</t>
        </is>
      </c>
      <c r="B616" s="1" t="n">
        <v>45502</v>
      </c>
      <c r="C616" s="1" t="n">
        <v>45952</v>
      </c>
      <c r="D616" t="inlineStr">
        <is>
          <t>VÄSTRA GÖTALANDS LÄN</t>
        </is>
      </c>
      <c r="E616" t="inlineStr">
        <is>
          <t>FALKÖPING</t>
        </is>
      </c>
      <c r="G616" t="n">
        <v>1.6</v>
      </c>
      <c r="H616" t="n">
        <v>0</v>
      </c>
      <c r="I616" t="n">
        <v>0</v>
      </c>
      <c r="J616" t="n">
        <v>0</v>
      </c>
      <c r="K616" t="n">
        <v>0</v>
      </c>
      <c r="L616" t="n">
        <v>1</v>
      </c>
      <c r="M616" t="n">
        <v>0</v>
      </c>
      <c r="N616" t="n">
        <v>0</v>
      </c>
      <c r="O616" t="n">
        <v>1</v>
      </c>
      <c r="P616" t="n">
        <v>1</v>
      </c>
      <c r="Q616" t="n">
        <v>1</v>
      </c>
      <c r="R616" s="2" t="inlineStr">
        <is>
          <t>Ask</t>
        </is>
      </c>
      <c r="S616">
        <f>HYPERLINK("https://klasma.github.io/Logging_1499/artfynd/A 31071-2024 artfynd.xlsx", "A 31071-2024")</f>
        <v/>
      </c>
      <c r="T616">
        <f>HYPERLINK("https://klasma.github.io/Logging_1499/kartor/A 31071-2024 karta.png", "A 31071-2024")</f>
        <v/>
      </c>
      <c r="V616">
        <f>HYPERLINK("https://klasma.github.io/Logging_1499/klagomål/A 31071-2024 FSC-klagomål.docx", "A 31071-2024")</f>
        <v/>
      </c>
      <c r="W616">
        <f>HYPERLINK("https://klasma.github.io/Logging_1499/klagomålsmail/A 31071-2024 FSC-klagomål mail.docx", "A 31071-2024")</f>
        <v/>
      </c>
      <c r="X616">
        <f>HYPERLINK("https://klasma.github.io/Logging_1499/tillsyn/A 31071-2024 tillsynsbegäran.docx", "A 31071-2024")</f>
        <v/>
      </c>
      <c r="Y616">
        <f>HYPERLINK("https://klasma.github.io/Logging_1499/tillsynsmail/A 31071-2024 tillsynsbegäran mail.docx", "A 31071-2024")</f>
        <v/>
      </c>
    </row>
    <row r="617" ht="15" customHeight="1">
      <c r="A617" t="inlineStr">
        <is>
          <t>A 53397-2022</t>
        </is>
      </c>
      <c r="B617" s="1" t="n">
        <v>44879</v>
      </c>
      <c r="C617" s="1" t="n">
        <v>45952</v>
      </c>
      <c r="D617" t="inlineStr">
        <is>
          <t>VÄSTRA GÖTALANDS LÄN</t>
        </is>
      </c>
      <c r="E617" t="inlineStr">
        <is>
          <t>TANUM</t>
        </is>
      </c>
      <c r="G617" t="n">
        <v>7.4</v>
      </c>
      <c r="H617" t="n">
        <v>1</v>
      </c>
      <c r="I617" t="n">
        <v>0</v>
      </c>
      <c r="J617" t="n">
        <v>1</v>
      </c>
      <c r="K617" t="n">
        <v>0</v>
      </c>
      <c r="L617" t="n">
        <v>0</v>
      </c>
      <c r="M617" t="n">
        <v>0</v>
      </c>
      <c r="N617" t="n">
        <v>0</v>
      </c>
      <c r="O617" t="n">
        <v>1</v>
      </c>
      <c r="P617" t="n">
        <v>0</v>
      </c>
      <c r="Q617" t="n">
        <v>1</v>
      </c>
      <c r="R617" s="2" t="inlineStr">
        <is>
          <t>Tretåig hackspett</t>
        </is>
      </c>
      <c r="S617">
        <f>HYPERLINK("https://klasma.github.io/Logging_1435/artfynd/A 53397-2022 artfynd.xlsx", "A 53397-2022")</f>
        <v/>
      </c>
      <c r="T617">
        <f>HYPERLINK("https://klasma.github.io/Logging_1435/kartor/A 53397-2022 karta.png", "A 53397-2022")</f>
        <v/>
      </c>
      <c r="V617">
        <f>HYPERLINK("https://klasma.github.io/Logging_1435/klagomål/A 53397-2022 FSC-klagomål.docx", "A 53397-2022")</f>
        <v/>
      </c>
      <c r="W617">
        <f>HYPERLINK("https://klasma.github.io/Logging_1435/klagomålsmail/A 53397-2022 FSC-klagomål mail.docx", "A 53397-2022")</f>
        <v/>
      </c>
      <c r="X617">
        <f>HYPERLINK("https://klasma.github.io/Logging_1435/tillsyn/A 53397-2022 tillsynsbegäran.docx", "A 53397-2022")</f>
        <v/>
      </c>
      <c r="Y617">
        <f>HYPERLINK("https://klasma.github.io/Logging_1435/tillsynsmail/A 53397-2022 tillsynsbegäran mail.docx", "A 53397-2022")</f>
        <v/>
      </c>
      <c r="Z617">
        <f>HYPERLINK("https://klasma.github.io/Logging_1435/fåglar/A 53397-2022 prioriterade fågelarter.docx", "A 53397-2022")</f>
        <v/>
      </c>
    </row>
    <row r="618" ht="15" customHeight="1">
      <c r="A618" t="inlineStr">
        <is>
          <t>A 43216-2023</t>
        </is>
      </c>
      <c r="B618" s="1" t="n">
        <v>45183</v>
      </c>
      <c r="C618" s="1" t="n">
        <v>45952</v>
      </c>
      <c r="D618" t="inlineStr">
        <is>
          <t>VÄSTRA GÖTALANDS LÄN</t>
        </is>
      </c>
      <c r="E618" t="inlineStr">
        <is>
          <t>DALS-ED</t>
        </is>
      </c>
      <c r="G618" t="n">
        <v>7.3</v>
      </c>
      <c r="H618" t="n">
        <v>1</v>
      </c>
      <c r="I618" t="n">
        <v>0</v>
      </c>
      <c r="J618" t="n">
        <v>1</v>
      </c>
      <c r="K618" t="n">
        <v>0</v>
      </c>
      <c r="L618" t="n">
        <v>0</v>
      </c>
      <c r="M618" t="n">
        <v>0</v>
      </c>
      <c r="N618" t="n">
        <v>0</v>
      </c>
      <c r="O618" t="n">
        <v>1</v>
      </c>
      <c r="P618" t="n">
        <v>0</v>
      </c>
      <c r="Q618" t="n">
        <v>1</v>
      </c>
      <c r="R618" s="2" t="inlineStr">
        <is>
          <t>Spillkråka</t>
        </is>
      </c>
      <c r="S618">
        <f>HYPERLINK("https://klasma.github.io/Logging_1438/artfynd/A 43216-2023 artfynd.xlsx", "A 43216-2023")</f>
        <v/>
      </c>
      <c r="T618">
        <f>HYPERLINK("https://klasma.github.io/Logging_1438/kartor/A 43216-2023 karta.png", "A 43216-2023")</f>
        <v/>
      </c>
      <c r="V618">
        <f>HYPERLINK("https://klasma.github.io/Logging_1438/klagomål/A 43216-2023 FSC-klagomål.docx", "A 43216-2023")</f>
        <v/>
      </c>
      <c r="W618">
        <f>HYPERLINK("https://klasma.github.io/Logging_1438/klagomålsmail/A 43216-2023 FSC-klagomål mail.docx", "A 43216-2023")</f>
        <v/>
      </c>
      <c r="X618">
        <f>HYPERLINK("https://klasma.github.io/Logging_1438/tillsyn/A 43216-2023 tillsynsbegäran.docx", "A 43216-2023")</f>
        <v/>
      </c>
      <c r="Y618">
        <f>HYPERLINK("https://klasma.github.io/Logging_1438/tillsynsmail/A 43216-2023 tillsynsbegäran mail.docx", "A 43216-2023")</f>
        <v/>
      </c>
      <c r="Z618">
        <f>HYPERLINK("https://klasma.github.io/Logging_1438/fåglar/A 43216-2023 prioriterade fågelarter.docx", "A 43216-2023")</f>
        <v/>
      </c>
    </row>
    <row r="619" ht="15" customHeight="1">
      <c r="A619" t="inlineStr">
        <is>
          <t>A 46272-2024</t>
        </is>
      </c>
      <c r="B619" s="1" t="n">
        <v>45581</v>
      </c>
      <c r="C619" s="1" t="n">
        <v>45952</v>
      </c>
      <c r="D619" t="inlineStr">
        <is>
          <t>VÄSTRA GÖTALANDS LÄN</t>
        </is>
      </c>
      <c r="E619" t="inlineStr">
        <is>
          <t>ORUST</t>
        </is>
      </c>
      <c r="G619" t="n">
        <v>2.8</v>
      </c>
      <c r="H619" t="n">
        <v>0</v>
      </c>
      <c r="I619" t="n">
        <v>1</v>
      </c>
      <c r="J619" t="n">
        <v>0</v>
      </c>
      <c r="K619" t="n">
        <v>0</v>
      </c>
      <c r="L619" t="n">
        <v>0</v>
      </c>
      <c r="M619" t="n">
        <v>0</v>
      </c>
      <c r="N619" t="n">
        <v>0</v>
      </c>
      <c r="O619" t="n">
        <v>0</v>
      </c>
      <c r="P619" t="n">
        <v>0</v>
      </c>
      <c r="Q619" t="n">
        <v>1</v>
      </c>
      <c r="R619" s="2" t="inlineStr">
        <is>
          <t>Grovticka</t>
        </is>
      </c>
      <c r="S619">
        <f>HYPERLINK("https://klasma.github.io/Logging_1421/artfynd/A 46272-2024 artfynd.xlsx", "A 46272-2024")</f>
        <v/>
      </c>
      <c r="T619">
        <f>HYPERLINK("https://klasma.github.io/Logging_1421/kartor/A 46272-2024 karta.png", "A 46272-2024")</f>
        <v/>
      </c>
      <c r="V619">
        <f>HYPERLINK("https://klasma.github.io/Logging_1421/klagomål/A 46272-2024 FSC-klagomål.docx", "A 46272-2024")</f>
        <v/>
      </c>
      <c r="W619">
        <f>HYPERLINK("https://klasma.github.io/Logging_1421/klagomålsmail/A 46272-2024 FSC-klagomål mail.docx", "A 46272-2024")</f>
        <v/>
      </c>
      <c r="X619">
        <f>HYPERLINK("https://klasma.github.io/Logging_1421/tillsyn/A 46272-2024 tillsynsbegäran.docx", "A 46272-2024")</f>
        <v/>
      </c>
      <c r="Y619">
        <f>HYPERLINK("https://klasma.github.io/Logging_1421/tillsynsmail/A 46272-2024 tillsynsbegäran mail.docx", "A 46272-2024")</f>
        <v/>
      </c>
    </row>
    <row r="620" ht="15" customHeight="1">
      <c r="A620" t="inlineStr">
        <is>
          <t>A 14063-2025</t>
        </is>
      </c>
      <c r="B620" s="1" t="n">
        <v>45740.41236111111</v>
      </c>
      <c r="C620" s="1" t="n">
        <v>45952</v>
      </c>
      <c r="D620" t="inlineStr">
        <is>
          <t>VÄSTRA GÖTALANDS LÄN</t>
        </is>
      </c>
      <c r="E620" t="inlineStr">
        <is>
          <t>UDDEVALLA</t>
        </is>
      </c>
      <c r="G620" t="n">
        <v>8.800000000000001</v>
      </c>
      <c r="H620" t="n">
        <v>1</v>
      </c>
      <c r="I620" t="n">
        <v>0</v>
      </c>
      <c r="J620" t="n">
        <v>0</v>
      </c>
      <c r="K620" t="n">
        <v>0</v>
      </c>
      <c r="L620" t="n">
        <v>0</v>
      </c>
      <c r="M620" t="n">
        <v>0</v>
      </c>
      <c r="N620" t="n">
        <v>0</v>
      </c>
      <c r="O620" t="n">
        <v>0</v>
      </c>
      <c r="P620" t="n">
        <v>0</v>
      </c>
      <c r="Q620" t="n">
        <v>1</v>
      </c>
      <c r="R620" s="2" t="inlineStr">
        <is>
          <t>Mattlummer</t>
        </is>
      </c>
      <c r="S620">
        <f>HYPERLINK("https://klasma.github.io/Logging_1485/artfynd/A 14063-2025 artfynd.xlsx", "A 14063-2025")</f>
        <v/>
      </c>
      <c r="T620">
        <f>HYPERLINK("https://klasma.github.io/Logging_1485/kartor/A 14063-2025 karta.png", "A 14063-2025")</f>
        <v/>
      </c>
      <c r="V620">
        <f>HYPERLINK("https://klasma.github.io/Logging_1485/klagomål/A 14063-2025 FSC-klagomål.docx", "A 14063-2025")</f>
        <v/>
      </c>
      <c r="W620">
        <f>HYPERLINK("https://klasma.github.io/Logging_1485/klagomålsmail/A 14063-2025 FSC-klagomål mail.docx", "A 14063-2025")</f>
        <v/>
      </c>
      <c r="X620">
        <f>HYPERLINK("https://klasma.github.io/Logging_1485/tillsyn/A 14063-2025 tillsynsbegäran.docx", "A 14063-2025")</f>
        <v/>
      </c>
      <c r="Y620">
        <f>HYPERLINK("https://klasma.github.io/Logging_1485/tillsynsmail/A 14063-2025 tillsynsbegäran mail.docx", "A 14063-2025")</f>
        <v/>
      </c>
    </row>
    <row r="621" ht="15" customHeight="1">
      <c r="A621" t="inlineStr">
        <is>
          <t>A 12709-2025</t>
        </is>
      </c>
      <c r="B621" s="1" t="n">
        <v>45733.47122685185</v>
      </c>
      <c r="C621" s="1" t="n">
        <v>45952</v>
      </c>
      <c r="D621" t="inlineStr">
        <is>
          <t>VÄSTRA GÖTALANDS LÄN</t>
        </is>
      </c>
      <c r="E621" t="inlineStr">
        <is>
          <t>GULLSPÅNG</t>
        </is>
      </c>
      <c r="G621" t="n">
        <v>0.4</v>
      </c>
      <c r="H621" t="n">
        <v>1</v>
      </c>
      <c r="I621" t="n">
        <v>0</v>
      </c>
      <c r="J621" t="n">
        <v>0</v>
      </c>
      <c r="K621" t="n">
        <v>1</v>
      </c>
      <c r="L621" t="n">
        <v>0</v>
      </c>
      <c r="M621" t="n">
        <v>0</v>
      </c>
      <c r="N621" t="n">
        <v>0</v>
      </c>
      <c r="O621" t="n">
        <v>1</v>
      </c>
      <c r="P621" t="n">
        <v>1</v>
      </c>
      <c r="Q621" t="n">
        <v>1</v>
      </c>
      <c r="R621" s="2" t="inlineStr">
        <is>
          <t>Knärot</t>
        </is>
      </c>
      <c r="S621">
        <f>HYPERLINK("https://klasma.github.io/Logging_1447/artfynd/A 12709-2025 artfynd.xlsx", "A 12709-2025")</f>
        <v/>
      </c>
      <c r="T621">
        <f>HYPERLINK("https://klasma.github.io/Logging_1447/kartor/A 12709-2025 karta.png", "A 12709-2025")</f>
        <v/>
      </c>
      <c r="U621">
        <f>HYPERLINK("https://klasma.github.io/Logging_1447/knärot/A 12709-2025 karta knärot.png", "A 12709-2025")</f>
        <v/>
      </c>
      <c r="V621">
        <f>HYPERLINK("https://klasma.github.io/Logging_1447/klagomål/A 12709-2025 FSC-klagomål.docx", "A 12709-2025")</f>
        <v/>
      </c>
      <c r="W621">
        <f>HYPERLINK("https://klasma.github.io/Logging_1447/klagomålsmail/A 12709-2025 FSC-klagomål mail.docx", "A 12709-2025")</f>
        <v/>
      </c>
      <c r="X621">
        <f>HYPERLINK("https://klasma.github.io/Logging_1447/tillsyn/A 12709-2025 tillsynsbegäran.docx", "A 12709-2025")</f>
        <v/>
      </c>
      <c r="Y621">
        <f>HYPERLINK("https://klasma.github.io/Logging_1447/tillsynsmail/A 12709-2025 tillsynsbegäran mail.docx", "A 12709-2025")</f>
        <v/>
      </c>
    </row>
    <row r="622" ht="15" customHeight="1">
      <c r="A622" t="inlineStr">
        <is>
          <t>A 40438-2025</t>
        </is>
      </c>
      <c r="B622" s="1" t="n">
        <v>45895.62070601852</v>
      </c>
      <c r="C622" s="1" t="n">
        <v>45952</v>
      </c>
      <c r="D622" t="inlineStr">
        <is>
          <t>VÄSTRA GÖTALANDS LÄN</t>
        </is>
      </c>
      <c r="E622" t="inlineStr">
        <is>
          <t>MUNKEDAL</t>
        </is>
      </c>
      <c r="G622" t="n">
        <v>9.4</v>
      </c>
      <c r="H622" t="n">
        <v>0</v>
      </c>
      <c r="I622" t="n">
        <v>0</v>
      </c>
      <c r="J622" t="n">
        <v>1</v>
      </c>
      <c r="K622" t="n">
        <v>0</v>
      </c>
      <c r="L622" t="n">
        <v>0</v>
      </c>
      <c r="M622" t="n">
        <v>0</v>
      </c>
      <c r="N622" t="n">
        <v>0</v>
      </c>
      <c r="O622" t="n">
        <v>1</v>
      </c>
      <c r="P622" t="n">
        <v>0</v>
      </c>
      <c r="Q622" t="n">
        <v>1</v>
      </c>
      <c r="R622" s="2" t="inlineStr">
        <is>
          <t>Svinrot</t>
        </is>
      </c>
      <c r="S622">
        <f>HYPERLINK("https://klasma.github.io/Logging_1430/artfynd/A 40438-2025 artfynd.xlsx", "A 40438-2025")</f>
        <v/>
      </c>
      <c r="T622">
        <f>HYPERLINK("https://klasma.github.io/Logging_1430/kartor/A 40438-2025 karta.png", "A 40438-2025")</f>
        <v/>
      </c>
      <c r="V622">
        <f>HYPERLINK("https://klasma.github.io/Logging_1430/klagomål/A 40438-2025 FSC-klagomål.docx", "A 40438-2025")</f>
        <v/>
      </c>
      <c r="W622">
        <f>HYPERLINK("https://klasma.github.io/Logging_1430/klagomålsmail/A 40438-2025 FSC-klagomål mail.docx", "A 40438-2025")</f>
        <v/>
      </c>
      <c r="X622">
        <f>HYPERLINK("https://klasma.github.io/Logging_1430/tillsyn/A 40438-2025 tillsynsbegäran.docx", "A 40438-2025")</f>
        <v/>
      </c>
      <c r="Y622">
        <f>HYPERLINK("https://klasma.github.io/Logging_1430/tillsynsmail/A 40438-2025 tillsynsbegäran mail.docx", "A 40438-2025")</f>
        <v/>
      </c>
    </row>
    <row r="623" ht="15" customHeight="1">
      <c r="A623" t="inlineStr">
        <is>
          <t>A 236-2023</t>
        </is>
      </c>
      <c r="B623" s="1" t="n">
        <v>44928</v>
      </c>
      <c r="C623" s="1" t="n">
        <v>45952</v>
      </c>
      <c r="D623" t="inlineStr">
        <is>
          <t>VÄSTRA GÖTALANDS LÄN</t>
        </is>
      </c>
      <c r="E623" t="inlineStr">
        <is>
          <t>UDDEVALLA</t>
        </is>
      </c>
      <c r="G623" t="n">
        <v>16.7</v>
      </c>
      <c r="H623" t="n">
        <v>0</v>
      </c>
      <c r="I623" t="n">
        <v>1</v>
      </c>
      <c r="J623" t="n">
        <v>0</v>
      </c>
      <c r="K623" t="n">
        <v>0</v>
      </c>
      <c r="L623" t="n">
        <v>0</v>
      </c>
      <c r="M623" t="n">
        <v>0</v>
      </c>
      <c r="N623" t="n">
        <v>0</v>
      </c>
      <c r="O623" t="n">
        <v>0</v>
      </c>
      <c r="P623" t="n">
        <v>0</v>
      </c>
      <c r="Q623" t="n">
        <v>1</v>
      </c>
      <c r="R623" s="2" t="inlineStr">
        <is>
          <t>Rödgul trumpetsvamp</t>
        </is>
      </c>
      <c r="S623">
        <f>HYPERLINK("https://klasma.github.io/Logging_1485/artfynd/A 236-2023 artfynd.xlsx", "A 236-2023")</f>
        <v/>
      </c>
      <c r="T623">
        <f>HYPERLINK("https://klasma.github.io/Logging_1485/kartor/A 236-2023 karta.png", "A 236-2023")</f>
        <v/>
      </c>
      <c r="V623">
        <f>HYPERLINK("https://klasma.github.io/Logging_1485/klagomål/A 236-2023 FSC-klagomål.docx", "A 236-2023")</f>
        <v/>
      </c>
      <c r="W623">
        <f>HYPERLINK("https://klasma.github.io/Logging_1485/klagomålsmail/A 236-2023 FSC-klagomål mail.docx", "A 236-2023")</f>
        <v/>
      </c>
      <c r="X623">
        <f>HYPERLINK("https://klasma.github.io/Logging_1485/tillsyn/A 236-2023 tillsynsbegäran.docx", "A 236-2023")</f>
        <v/>
      </c>
      <c r="Y623">
        <f>HYPERLINK("https://klasma.github.io/Logging_1485/tillsynsmail/A 236-2023 tillsynsbegäran mail.docx", "A 236-2023")</f>
        <v/>
      </c>
    </row>
    <row r="624" ht="15" customHeight="1">
      <c r="A624" t="inlineStr">
        <is>
          <t>A 23756-2025</t>
        </is>
      </c>
      <c r="B624" s="1" t="n">
        <v>45793.45925925926</v>
      </c>
      <c r="C624" s="1" t="n">
        <v>45952</v>
      </c>
      <c r="D624" t="inlineStr">
        <is>
          <t>VÄSTRA GÖTALANDS LÄN</t>
        </is>
      </c>
      <c r="E624" t="inlineStr">
        <is>
          <t>BORÅS</t>
        </is>
      </c>
      <c r="G624" t="n">
        <v>1.9</v>
      </c>
      <c r="H624" t="n">
        <v>1</v>
      </c>
      <c r="I624" t="n">
        <v>0</v>
      </c>
      <c r="J624" t="n">
        <v>1</v>
      </c>
      <c r="K624" t="n">
        <v>0</v>
      </c>
      <c r="L624" t="n">
        <v>0</v>
      </c>
      <c r="M624" t="n">
        <v>0</v>
      </c>
      <c r="N624" t="n">
        <v>0</v>
      </c>
      <c r="O624" t="n">
        <v>1</v>
      </c>
      <c r="P624" t="n">
        <v>0</v>
      </c>
      <c r="Q624" t="n">
        <v>1</v>
      </c>
      <c r="R624" s="2" t="inlineStr">
        <is>
          <t>Gulsparv</t>
        </is>
      </c>
      <c r="S624">
        <f>HYPERLINK("https://klasma.github.io/Logging_1490/artfynd/A 23756-2025 artfynd.xlsx", "A 23756-2025")</f>
        <v/>
      </c>
      <c r="T624">
        <f>HYPERLINK("https://klasma.github.io/Logging_1490/kartor/A 23756-2025 karta.png", "A 23756-2025")</f>
        <v/>
      </c>
      <c r="V624">
        <f>HYPERLINK("https://klasma.github.io/Logging_1490/klagomål/A 23756-2025 FSC-klagomål.docx", "A 23756-2025")</f>
        <v/>
      </c>
      <c r="W624">
        <f>HYPERLINK("https://klasma.github.io/Logging_1490/klagomålsmail/A 23756-2025 FSC-klagomål mail.docx", "A 23756-2025")</f>
        <v/>
      </c>
      <c r="X624">
        <f>HYPERLINK("https://klasma.github.io/Logging_1490/tillsyn/A 23756-2025 tillsynsbegäran.docx", "A 23756-2025")</f>
        <v/>
      </c>
      <c r="Y624">
        <f>HYPERLINK("https://klasma.github.io/Logging_1490/tillsynsmail/A 23756-2025 tillsynsbegäran mail.docx", "A 23756-2025")</f>
        <v/>
      </c>
      <c r="Z624">
        <f>HYPERLINK("https://klasma.github.io/Logging_1490/fåglar/A 23756-2025 prioriterade fågelarter.docx", "A 23756-2025")</f>
        <v/>
      </c>
    </row>
    <row r="625" ht="15" customHeight="1">
      <c r="A625" t="inlineStr">
        <is>
          <t>A 60355-2023</t>
        </is>
      </c>
      <c r="B625" s="1" t="n">
        <v>45259</v>
      </c>
      <c r="C625" s="1" t="n">
        <v>45952</v>
      </c>
      <c r="D625" t="inlineStr">
        <is>
          <t>VÄSTRA GÖTALANDS LÄN</t>
        </is>
      </c>
      <c r="E625" t="inlineStr">
        <is>
          <t>TANUM</t>
        </is>
      </c>
      <c r="G625" t="n">
        <v>8.300000000000001</v>
      </c>
      <c r="H625" t="n">
        <v>1</v>
      </c>
      <c r="I625" t="n">
        <v>0</v>
      </c>
      <c r="J625" t="n">
        <v>0</v>
      </c>
      <c r="K625" t="n">
        <v>0</v>
      </c>
      <c r="L625" t="n">
        <v>0</v>
      </c>
      <c r="M625" t="n">
        <v>0</v>
      </c>
      <c r="N625" t="n">
        <v>0</v>
      </c>
      <c r="O625" t="n">
        <v>0</v>
      </c>
      <c r="P625" t="n">
        <v>0</v>
      </c>
      <c r="Q625" t="n">
        <v>1</v>
      </c>
      <c r="R625" s="2" t="inlineStr">
        <is>
          <t>Blåsippa</t>
        </is>
      </c>
      <c r="S625">
        <f>HYPERLINK("https://klasma.github.io/Logging_1435/artfynd/A 60355-2023 artfynd.xlsx", "A 60355-2023")</f>
        <v/>
      </c>
      <c r="T625">
        <f>HYPERLINK("https://klasma.github.io/Logging_1435/kartor/A 60355-2023 karta.png", "A 60355-2023")</f>
        <v/>
      </c>
      <c r="V625">
        <f>HYPERLINK("https://klasma.github.io/Logging_1435/klagomål/A 60355-2023 FSC-klagomål.docx", "A 60355-2023")</f>
        <v/>
      </c>
      <c r="W625">
        <f>HYPERLINK("https://klasma.github.io/Logging_1435/klagomålsmail/A 60355-2023 FSC-klagomål mail.docx", "A 60355-2023")</f>
        <v/>
      </c>
      <c r="X625">
        <f>HYPERLINK("https://klasma.github.io/Logging_1435/tillsyn/A 60355-2023 tillsynsbegäran.docx", "A 60355-2023")</f>
        <v/>
      </c>
      <c r="Y625">
        <f>HYPERLINK("https://klasma.github.io/Logging_1435/tillsynsmail/A 60355-2023 tillsynsbegäran mail.docx", "A 60355-2023")</f>
        <v/>
      </c>
    </row>
    <row r="626" ht="15" customHeight="1">
      <c r="A626" t="inlineStr">
        <is>
          <t>A 23755-2025</t>
        </is>
      </c>
      <c r="B626" s="1" t="n">
        <v>45793.45805555556</v>
      </c>
      <c r="C626" s="1" t="n">
        <v>45952</v>
      </c>
      <c r="D626" t="inlineStr">
        <is>
          <t>VÄSTRA GÖTALANDS LÄN</t>
        </is>
      </c>
      <c r="E626" t="inlineStr">
        <is>
          <t>BORÅS</t>
        </is>
      </c>
      <c r="G626" t="n">
        <v>3.2</v>
      </c>
      <c r="H626" t="n">
        <v>1</v>
      </c>
      <c r="I626" t="n">
        <v>0</v>
      </c>
      <c r="J626" t="n">
        <v>0</v>
      </c>
      <c r="K626" t="n">
        <v>0</v>
      </c>
      <c r="L626" t="n">
        <v>0</v>
      </c>
      <c r="M626" t="n">
        <v>0</v>
      </c>
      <c r="N626" t="n">
        <v>0</v>
      </c>
      <c r="O626" t="n">
        <v>0</v>
      </c>
      <c r="P626" t="n">
        <v>0</v>
      </c>
      <c r="Q626" t="n">
        <v>1</v>
      </c>
      <c r="R626" s="2" t="inlineStr">
        <is>
          <t>Vanlig groda</t>
        </is>
      </c>
      <c r="S626">
        <f>HYPERLINK("https://klasma.github.io/Logging_1490/artfynd/A 23755-2025 artfynd.xlsx", "A 23755-2025")</f>
        <v/>
      </c>
      <c r="T626">
        <f>HYPERLINK("https://klasma.github.io/Logging_1490/kartor/A 23755-2025 karta.png", "A 23755-2025")</f>
        <v/>
      </c>
      <c r="V626">
        <f>HYPERLINK("https://klasma.github.io/Logging_1490/klagomål/A 23755-2025 FSC-klagomål.docx", "A 23755-2025")</f>
        <v/>
      </c>
      <c r="W626">
        <f>HYPERLINK("https://klasma.github.io/Logging_1490/klagomålsmail/A 23755-2025 FSC-klagomål mail.docx", "A 23755-2025")</f>
        <v/>
      </c>
      <c r="X626">
        <f>HYPERLINK("https://klasma.github.io/Logging_1490/tillsyn/A 23755-2025 tillsynsbegäran.docx", "A 23755-2025")</f>
        <v/>
      </c>
      <c r="Y626">
        <f>HYPERLINK("https://klasma.github.io/Logging_1490/tillsynsmail/A 23755-2025 tillsynsbegäran mail.docx", "A 23755-2025")</f>
        <v/>
      </c>
    </row>
    <row r="627" ht="15" customHeight="1">
      <c r="A627" t="inlineStr">
        <is>
          <t>A 1647-2025</t>
        </is>
      </c>
      <c r="B627" s="1" t="n">
        <v>45670</v>
      </c>
      <c r="C627" s="1" t="n">
        <v>45952</v>
      </c>
      <c r="D627" t="inlineStr">
        <is>
          <t>VÄSTRA GÖTALANDS LÄN</t>
        </is>
      </c>
      <c r="E627" t="inlineStr">
        <is>
          <t>MUNKEDAL</t>
        </is>
      </c>
      <c r="F627" t="inlineStr">
        <is>
          <t>Övriga Aktiebolag</t>
        </is>
      </c>
      <c r="G627" t="n">
        <v>19.8</v>
      </c>
      <c r="H627" t="n">
        <v>1</v>
      </c>
      <c r="I627" t="n">
        <v>0</v>
      </c>
      <c r="J627" t="n">
        <v>0</v>
      </c>
      <c r="K627" t="n">
        <v>0</v>
      </c>
      <c r="L627" t="n">
        <v>0</v>
      </c>
      <c r="M627" t="n">
        <v>0</v>
      </c>
      <c r="N627" t="n">
        <v>0</v>
      </c>
      <c r="O627" t="n">
        <v>0</v>
      </c>
      <c r="P627" t="n">
        <v>0</v>
      </c>
      <c r="Q627" t="n">
        <v>1</v>
      </c>
      <c r="R627" s="2" t="inlineStr">
        <is>
          <t>Mattlummer</t>
        </is>
      </c>
      <c r="S627">
        <f>HYPERLINK("https://klasma.github.io/Logging_1430/artfynd/A 1647-2025 artfynd.xlsx", "A 1647-2025")</f>
        <v/>
      </c>
      <c r="T627">
        <f>HYPERLINK("https://klasma.github.io/Logging_1430/kartor/A 1647-2025 karta.png", "A 1647-2025")</f>
        <v/>
      </c>
      <c r="V627">
        <f>HYPERLINK("https://klasma.github.io/Logging_1430/klagomål/A 1647-2025 FSC-klagomål.docx", "A 1647-2025")</f>
        <v/>
      </c>
      <c r="W627">
        <f>HYPERLINK("https://klasma.github.io/Logging_1430/klagomålsmail/A 1647-2025 FSC-klagomål mail.docx", "A 1647-2025")</f>
        <v/>
      </c>
      <c r="X627">
        <f>HYPERLINK("https://klasma.github.io/Logging_1430/tillsyn/A 1647-2025 tillsynsbegäran.docx", "A 1647-2025")</f>
        <v/>
      </c>
      <c r="Y627">
        <f>HYPERLINK("https://klasma.github.io/Logging_1430/tillsynsmail/A 1647-2025 tillsynsbegäran mail.docx", "A 1647-2025")</f>
        <v/>
      </c>
    </row>
    <row r="628" ht="15" customHeight="1">
      <c r="A628" t="inlineStr">
        <is>
          <t>A 27878-2024</t>
        </is>
      </c>
      <c r="B628" s="1" t="n">
        <v>45475.74412037037</v>
      </c>
      <c r="C628" s="1" t="n">
        <v>45952</v>
      </c>
      <c r="D628" t="inlineStr">
        <is>
          <t>VÄSTRA GÖTALANDS LÄN</t>
        </is>
      </c>
      <c r="E628" t="inlineStr">
        <is>
          <t>DALS-ED</t>
        </is>
      </c>
      <c r="G628" t="n">
        <v>4.2</v>
      </c>
      <c r="H628" t="n">
        <v>0</v>
      </c>
      <c r="I628" t="n">
        <v>1</v>
      </c>
      <c r="J628" t="n">
        <v>0</v>
      </c>
      <c r="K628" t="n">
        <v>0</v>
      </c>
      <c r="L628" t="n">
        <v>0</v>
      </c>
      <c r="M628" t="n">
        <v>0</v>
      </c>
      <c r="N628" t="n">
        <v>0</v>
      </c>
      <c r="O628" t="n">
        <v>0</v>
      </c>
      <c r="P628" t="n">
        <v>0</v>
      </c>
      <c r="Q628" t="n">
        <v>1</v>
      </c>
      <c r="R628" s="2" t="inlineStr">
        <is>
          <t>Dropptaggsvamp</t>
        </is>
      </c>
      <c r="S628">
        <f>HYPERLINK("https://klasma.github.io/Logging_1438/artfynd/A 27878-2024 artfynd.xlsx", "A 27878-2024")</f>
        <v/>
      </c>
      <c r="T628">
        <f>HYPERLINK("https://klasma.github.io/Logging_1438/kartor/A 27878-2024 karta.png", "A 27878-2024")</f>
        <v/>
      </c>
      <c r="V628">
        <f>HYPERLINK("https://klasma.github.io/Logging_1438/klagomål/A 27878-2024 FSC-klagomål.docx", "A 27878-2024")</f>
        <v/>
      </c>
      <c r="W628">
        <f>HYPERLINK("https://klasma.github.io/Logging_1438/klagomålsmail/A 27878-2024 FSC-klagomål mail.docx", "A 27878-2024")</f>
        <v/>
      </c>
      <c r="X628">
        <f>HYPERLINK("https://klasma.github.io/Logging_1438/tillsyn/A 27878-2024 tillsynsbegäran.docx", "A 27878-2024")</f>
        <v/>
      </c>
      <c r="Y628">
        <f>HYPERLINK("https://klasma.github.io/Logging_1438/tillsynsmail/A 27878-2024 tillsynsbegäran mail.docx", "A 27878-2024")</f>
        <v/>
      </c>
    </row>
    <row r="629" ht="15" customHeight="1">
      <c r="A629" t="inlineStr">
        <is>
          <t>A 51629-2024</t>
        </is>
      </c>
      <c r="B629" s="1" t="n">
        <v>45605.45597222223</v>
      </c>
      <c r="C629" s="1" t="n">
        <v>45952</v>
      </c>
      <c r="D629" t="inlineStr">
        <is>
          <t>VÄSTRA GÖTALANDS LÄN</t>
        </is>
      </c>
      <c r="E629" t="inlineStr">
        <is>
          <t>TRANEMO</t>
        </is>
      </c>
      <c r="G629" t="n">
        <v>4.4</v>
      </c>
      <c r="H629" t="n">
        <v>1</v>
      </c>
      <c r="I629" t="n">
        <v>0</v>
      </c>
      <c r="J629" t="n">
        <v>0</v>
      </c>
      <c r="K629" t="n">
        <v>0</v>
      </c>
      <c r="L629" t="n">
        <v>0</v>
      </c>
      <c r="M629" t="n">
        <v>0</v>
      </c>
      <c r="N629" t="n">
        <v>0</v>
      </c>
      <c r="O629" t="n">
        <v>0</v>
      </c>
      <c r="P629" t="n">
        <v>0</v>
      </c>
      <c r="Q629" t="n">
        <v>1</v>
      </c>
      <c r="R629" s="2" t="inlineStr">
        <is>
          <t>Mattlummer</t>
        </is>
      </c>
      <c r="S629">
        <f>HYPERLINK("https://klasma.github.io/Logging_1452/artfynd/A 51629-2024 artfynd.xlsx", "A 51629-2024")</f>
        <v/>
      </c>
      <c r="T629">
        <f>HYPERLINK("https://klasma.github.io/Logging_1452/kartor/A 51629-2024 karta.png", "A 51629-2024")</f>
        <v/>
      </c>
      <c r="V629">
        <f>HYPERLINK("https://klasma.github.io/Logging_1452/klagomål/A 51629-2024 FSC-klagomål.docx", "A 51629-2024")</f>
        <v/>
      </c>
      <c r="W629">
        <f>HYPERLINK("https://klasma.github.io/Logging_1452/klagomålsmail/A 51629-2024 FSC-klagomål mail.docx", "A 51629-2024")</f>
        <v/>
      </c>
      <c r="X629">
        <f>HYPERLINK("https://klasma.github.io/Logging_1452/tillsyn/A 51629-2024 tillsynsbegäran.docx", "A 51629-2024")</f>
        <v/>
      </c>
      <c r="Y629">
        <f>HYPERLINK("https://klasma.github.io/Logging_1452/tillsynsmail/A 51629-2024 tillsynsbegäran mail.docx", "A 51629-2024")</f>
        <v/>
      </c>
    </row>
    <row r="630" ht="15" customHeight="1">
      <c r="A630" t="inlineStr">
        <is>
          <t>A 62048-2024</t>
        </is>
      </c>
      <c r="B630" s="1" t="n">
        <v>45656.36435185185</v>
      </c>
      <c r="C630" s="1" t="n">
        <v>45952</v>
      </c>
      <c r="D630" t="inlineStr">
        <is>
          <t>VÄSTRA GÖTALANDS LÄN</t>
        </is>
      </c>
      <c r="E630" t="inlineStr">
        <is>
          <t>UDDEVALLA</t>
        </is>
      </c>
      <c r="F630" t="inlineStr">
        <is>
          <t>Kommuner</t>
        </is>
      </c>
      <c r="G630" t="n">
        <v>3.8</v>
      </c>
      <c r="H630" t="n">
        <v>1</v>
      </c>
      <c r="I630" t="n">
        <v>0</v>
      </c>
      <c r="J630" t="n">
        <v>0</v>
      </c>
      <c r="K630" t="n">
        <v>0</v>
      </c>
      <c r="L630" t="n">
        <v>0</v>
      </c>
      <c r="M630" t="n">
        <v>0</v>
      </c>
      <c r="N630" t="n">
        <v>0</v>
      </c>
      <c r="O630" t="n">
        <v>0</v>
      </c>
      <c r="P630" t="n">
        <v>0</v>
      </c>
      <c r="Q630" t="n">
        <v>1</v>
      </c>
      <c r="R630" s="2" t="inlineStr">
        <is>
          <t>Revlummer</t>
        </is>
      </c>
      <c r="S630">
        <f>HYPERLINK("https://klasma.github.io/Logging_1485/artfynd/A 62048-2024 artfynd.xlsx", "A 62048-2024")</f>
        <v/>
      </c>
      <c r="T630">
        <f>HYPERLINK("https://klasma.github.io/Logging_1485/kartor/A 62048-2024 karta.png", "A 62048-2024")</f>
        <v/>
      </c>
      <c r="V630">
        <f>HYPERLINK("https://klasma.github.io/Logging_1485/klagomål/A 62048-2024 FSC-klagomål.docx", "A 62048-2024")</f>
        <v/>
      </c>
      <c r="W630">
        <f>HYPERLINK("https://klasma.github.io/Logging_1485/klagomålsmail/A 62048-2024 FSC-klagomål mail.docx", "A 62048-2024")</f>
        <v/>
      </c>
      <c r="X630">
        <f>HYPERLINK("https://klasma.github.io/Logging_1485/tillsyn/A 62048-2024 tillsynsbegäran.docx", "A 62048-2024")</f>
        <v/>
      </c>
      <c r="Y630">
        <f>HYPERLINK("https://klasma.github.io/Logging_1485/tillsynsmail/A 62048-2024 tillsynsbegäran mail.docx", "A 62048-2024")</f>
        <v/>
      </c>
    </row>
    <row r="631" ht="15" customHeight="1">
      <c r="A631" t="inlineStr">
        <is>
          <t>A 49047-2025</t>
        </is>
      </c>
      <c r="B631" s="1" t="n">
        <v>45937.63695601852</v>
      </c>
      <c r="C631" s="1" t="n">
        <v>45952</v>
      </c>
      <c r="D631" t="inlineStr">
        <is>
          <t>VÄSTRA GÖTALANDS LÄN</t>
        </is>
      </c>
      <c r="E631" t="inlineStr">
        <is>
          <t>ORUST</t>
        </is>
      </c>
      <c r="G631" t="n">
        <v>3.2</v>
      </c>
      <c r="H631" t="n">
        <v>0</v>
      </c>
      <c r="I631" t="n">
        <v>0</v>
      </c>
      <c r="J631" t="n">
        <v>1</v>
      </c>
      <c r="K631" t="n">
        <v>0</v>
      </c>
      <c r="L631" t="n">
        <v>0</v>
      </c>
      <c r="M631" t="n">
        <v>0</v>
      </c>
      <c r="N631" t="n">
        <v>0</v>
      </c>
      <c r="O631" t="n">
        <v>1</v>
      </c>
      <c r="P631" t="n">
        <v>0</v>
      </c>
      <c r="Q631" t="n">
        <v>1</v>
      </c>
      <c r="R631" s="2" t="inlineStr">
        <is>
          <t>Granspira</t>
        </is>
      </c>
      <c r="S631">
        <f>HYPERLINK("https://klasma.github.io/Logging_1421/artfynd/A 49047-2025 artfynd.xlsx", "A 49047-2025")</f>
        <v/>
      </c>
      <c r="T631">
        <f>HYPERLINK("https://klasma.github.io/Logging_1421/kartor/A 49047-2025 karta.png", "A 49047-2025")</f>
        <v/>
      </c>
      <c r="V631">
        <f>HYPERLINK("https://klasma.github.io/Logging_1421/klagomål/A 49047-2025 FSC-klagomål.docx", "A 49047-2025")</f>
        <v/>
      </c>
      <c r="W631">
        <f>HYPERLINK("https://klasma.github.io/Logging_1421/klagomålsmail/A 49047-2025 FSC-klagomål mail.docx", "A 49047-2025")</f>
        <v/>
      </c>
      <c r="X631">
        <f>HYPERLINK("https://klasma.github.io/Logging_1421/tillsyn/A 49047-2025 tillsynsbegäran.docx", "A 49047-2025")</f>
        <v/>
      </c>
      <c r="Y631">
        <f>HYPERLINK("https://klasma.github.io/Logging_1421/tillsynsmail/A 49047-2025 tillsynsbegäran mail.docx", "A 49047-2025")</f>
        <v/>
      </c>
    </row>
    <row r="632" ht="15" customHeight="1">
      <c r="A632" t="inlineStr">
        <is>
          <t>A 15351-2024</t>
        </is>
      </c>
      <c r="B632" s="1" t="n">
        <v>45400.8005787037</v>
      </c>
      <c r="C632" s="1" t="n">
        <v>45952</v>
      </c>
      <c r="D632" t="inlineStr">
        <is>
          <t>VÄSTRA GÖTALANDS LÄN</t>
        </is>
      </c>
      <c r="E632" t="inlineStr">
        <is>
          <t>LILLA EDET</t>
        </is>
      </c>
      <c r="F632" t="inlineStr">
        <is>
          <t>Kyrkan</t>
        </is>
      </c>
      <c r="G632" t="n">
        <v>3</v>
      </c>
      <c r="H632" t="n">
        <v>0</v>
      </c>
      <c r="I632" t="n">
        <v>0</v>
      </c>
      <c r="J632" t="n">
        <v>1</v>
      </c>
      <c r="K632" t="n">
        <v>0</v>
      </c>
      <c r="L632" t="n">
        <v>0</v>
      </c>
      <c r="M632" t="n">
        <v>0</v>
      </c>
      <c r="N632" t="n">
        <v>0</v>
      </c>
      <c r="O632" t="n">
        <v>1</v>
      </c>
      <c r="P632" t="n">
        <v>0</v>
      </c>
      <c r="Q632" t="n">
        <v>1</v>
      </c>
      <c r="R632" s="2" t="inlineStr">
        <is>
          <t>Guldsandbi</t>
        </is>
      </c>
      <c r="S632">
        <f>HYPERLINK("https://klasma.github.io/Logging_1462/artfynd/A 15351-2024 artfynd.xlsx", "A 15351-2024")</f>
        <v/>
      </c>
      <c r="T632">
        <f>HYPERLINK("https://klasma.github.io/Logging_1462/kartor/A 15351-2024 karta.png", "A 15351-2024")</f>
        <v/>
      </c>
      <c r="V632">
        <f>HYPERLINK("https://klasma.github.io/Logging_1462/klagomål/A 15351-2024 FSC-klagomål.docx", "A 15351-2024")</f>
        <v/>
      </c>
      <c r="W632">
        <f>HYPERLINK("https://klasma.github.io/Logging_1462/klagomålsmail/A 15351-2024 FSC-klagomål mail.docx", "A 15351-2024")</f>
        <v/>
      </c>
      <c r="X632">
        <f>HYPERLINK("https://klasma.github.io/Logging_1462/tillsyn/A 15351-2024 tillsynsbegäran.docx", "A 15351-2024")</f>
        <v/>
      </c>
      <c r="Y632">
        <f>HYPERLINK("https://klasma.github.io/Logging_1462/tillsynsmail/A 15351-2024 tillsynsbegäran mail.docx", "A 15351-2024")</f>
        <v/>
      </c>
    </row>
    <row r="633" ht="15" customHeight="1">
      <c r="A633" t="inlineStr">
        <is>
          <t>A 3798-2021</t>
        </is>
      </c>
      <c r="B633" s="1" t="n">
        <v>44221</v>
      </c>
      <c r="C633" s="1" t="n">
        <v>45952</v>
      </c>
      <c r="D633" t="inlineStr">
        <is>
          <t>VÄSTRA GÖTALANDS LÄN</t>
        </is>
      </c>
      <c r="E633" t="inlineStr">
        <is>
          <t>VÄNERSBORG</t>
        </is>
      </c>
      <c r="G633" t="n">
        <v>1.2</v>
      </c>
      <c r="H633" t="n">
        <v>1</v>
      </c>
      <c r="I633" t="n">
        <v>0</v>
      </c>
      <c r="J633" t="n">
        <v>1</v>
      </c>
      <c r="K633" t="n">
        <v>0</v>
      </c>
      <c r="L633" t="n">
        <v>0</v>
      </c>
      <c r="M633" t="n">
        <v>0</v>
      </c>
      <c r="N633" t="n">
        <v>0</v>
      </c>
      <c r="O633" t="n">
        <v>1</v>
      </c>
      <c r="P633" t="n">
        <v>0</v>
      </c>
      <c r="Q633" t="n">
        <v>1</v>
      </c>
      <c r="R633" s="2" t="inlineStr">
        <is>
          <t>Spillkråka</t>
        </is>
      </c>
      <c r="S633">
        <f>HYPERLINK("https://klasma.github.io/Logging_1487/artfynd/A 3798-2021 artfynd.xlsx", "A 3798-2021")</f>
        <v/>
      </c>
      <c r="T633">
        <f>HYPERLINK("https://klasma.github.io/Logging_1487/kartor/A 3798-2021 karta.png", "A 3798-2021")</f>
        <v/>
      </c>
      <c r="V633">
        <f>HYPERLINK("https://klasma.github.io/Logging_1487/klagomål/A 3798-2021 FSC-klagomål.docx", "A 3798-2021")</f>
        <v/>
      </c>
      <c r="W633">
        <f>HYPERLINK("https://klasma.github.io/Logging_1487/klagomålsmail/A 3798-2021 FSC-klagomål mail.docx", "A 3798-2021")</f>
        <v/>
      </c>
      <c r="X633">
        <f>HYPERLINK("https://klasma.github.io/Logging_1487/tillsyn/A 3798-2021 tillsynsbegäran.docx", "A 3798-2021")</f>
        <v/>
      </c>
      <c r="Y633">
        <f>HYPERLINK("https://klasma.github.io/Logging_1487/tillsynsmail/A 3798-2021 tillsynsbegäran mail.docx", "A 3798-2021")</f>
        <v/>
      </c>
      <c r="Z633">
        <f>HYPERLINK("https://klasma.github.io/Logging_1487/fåglar/A 3798-2021 prioriterade fågelarter.docx", "A 3798-2021")</f>
        <v/>
      </c>
    </row>
    <row r="634" ht="15" customHeight="1">
      <c r="A634" t="inlineStr">
        <is>
          <t>A 24087-2025</t>
        </is>
      </c>
      <c r="B634" s="1" t="n">
        <v>45795</v>
      </c>
      <c r="C634" s="1" t="n">
        <v>45952</v>
      </c>
      <c r="D634" t="inlineStr">
        <is>
          <t>VÄSTRA GÖTALANDS LÄN</t>
        </is>
      </c>
      <c r="E634" t="inlineStr">
        <is>
          <t>SOTENÄS</t>
        </is>
      </c>
      <c r="G634" t="n">
        <v>30.3</v>
      </c>
      <c r="H634" t="n">
        <v>0</v>
      </c>
      <c r="I634" t="n">
        <v>0</v>
      </c>
      <c r="J634" t="n">
        <v>1</v>
      </c>
      <c r="K634" t="n">
        <v>0</v>
      </c>
      <c r="L634" t="n">
        <v>0</v>
      </c>
      <c r="M634" t="n">
        <v>0</v>
      </c>
      <c r="N634" t="n">
        <v>0</v>
      </c>
      <c r="O634" t="n">
        <v>1</v>
      </c>
      <c r="P634" t="n">
        <v>0</v>
      </c>
      <c r="Q634" t="n">
        <v>1</v>
      </c>
      <c r="R634" s="2" t="inlineStr">
        <is>
          <t>Rödlånke</t>
        </is>
      </c>
      <c r="S634">
        <f>HYPERLINK("https://klasma.github.io/Logging_1427/artfynd/A 24087-2025 artfynd.xlsx", "A 24087-2025")</f>
        <v/>
      </c>
      <c r="T634">
        <f>HYPERLINK("https://klasma.github.io/Logging_1427/kartor/A 24087-2025 karta.png", "A 24087-2025")</f>
        <v/>
      </c>
      <c r="V634">
        <f>HYPERLINK("https://klasma.github.io/Logging_1427/klagomål/A 24087-2025 FSC-klagomål.docx", "A 24087-2025")</f>
        <v/>
      </c>
      <c r="W634">
        <f>HYPERLINK("https://klasma.github.io/Logging_1427/klagomålsmail/A 24087-2025 FSC-klagomål mail.docx", "A 24087-2025")</f>
        <v/>
      </c>
      <c r="X634">
        <f>HYPERLINK("https://klasma.github.io/Logging_1427/tillsyn/A 24087-2025 tillsynsbegäran.docx", "A 24087-2025")</f>
        <v/>
      </c>
      <c r="Y634">
        <f>HYPERLINK("https://klasma.github.io/Logging_1427/tillsynsmail/A 24087-2025 tillsynsbegäran mail.docx", "A 24087-2025")</f>
        <v/>
      </c>
    </row>
    <row r="635" ht="15" customHeight="1">
      <c r="A635" t="inlineStr">
        <is>
          <t>A 24088-2025</t>
        </is>
      </c>
      <c r="B635" s="1" t="n">
        <v>45795</v>
      </c>
      <c r="C635" s="1" t="n">
        <v>45952</v>
      </c>
      <c r="D635" t="inlineStr">
        <is>
          <t>VÄSTRA GÖTALANDS LÄN</t>
        </is>
      </c>
      <c r="E635" t="inlineStr">
        <is>
          <t>SOTENÄS</t>
        </is>
      </c>
      <c r="G635" t="n">
        <v>2.8</v>
      </c>
      <c r="H635" t="n">
        <v>1</v>
      </c>
      <c r="I635" t="n">
        <v>0</v>
      </c>
      <c r="J635" t="n">
        <v>0</v>
      </c>
      <c r="K635" t="n">
        <v>0</v>
      </c>
      <c r="L635" t="n">
        <v>0</v>
      </c>
      <c r="M635" t="n">
        <v>0</v>
      </c>
      <c r="N635" t="n">
        <v>0</v>
      </c>
      <c r="O635" t="n">
        <v>0</v>
      </c>
      <c r="P635" t="n">
        <v>0</v>
      </c>
      <c r="Q635" t="n">
        <v>1</v>
      </c>
      <c r="R635" s="2" t="inlineStr">
        <is>
          <t>Blåsippa</t>
        </is>
      </c>
      <c r="S635">
        <f>HYPERLINK("https://klasma.github.io/Logging_1427/artfynd/A 24088-2025 artfynd.xlsx", "A 24088-2025")</f>
        <v/>
      </c>
      <c r="T635">
        <f>HYPERLINK("https://klasma.github.io/Logging_1427/kartor/A 24088-2025 karta.png", "A 24088-2025")</f>
        <v/>
      </c>
      <c r="V635">
        <f>HYPERLINK("https://klasma.github.io/Logging_1427/klagomål/A 24088-2025 FSC-klagomål.docx", "A 24088-2025")</f>
        <v/>
      </c>
      <c r="W635">
        <f>HYPERLINK("https://klasma.github.io/Logging_1427/klagomålsmail/A 24088-2025 FSC-klagomål mail.docx", "A 24088-2025")</f>
        <v/>
      </c>
      <c r="X635">
        <f>HYPERLINK("https://klasma.github.io/Logging_1427/tillsyn/A 24088-2025 tillsynsbegäran.docx", "A 24088-2025")</f>
        <v/>
      </c>
      <c r="Y635">
        <f>HYPERLINK("https://klasma.github.io/Logging_1427/tillsynsmail/A 24088-2025 tillsynsbegäran mail.docx", "A 24088-2025")</f>
        <v/>
      </c>
    </row>
    <row r="636" ht="15" customHeight="1">
      <c r="A636" t="inlineStr">
        <is>
          <t>A 40642-2025</t>
        </is>
      </c>
      <c r="B636" s="1" t="n">
        <v>45896.6121875</v>
      </c>
      <c r="C636" s="1" t="n">
        <v>45952</v>
      </c>
      <c r="D636" t="inlineStr">
        <is>
          <t>VÄSTRA GÖTALANDS LÄN</t>
        </is>
      </c>
      <c r="E636" t="inlineStr">
        <is>
          <t>MARK</t>
        </is>
      </c>
      <c r="G636" t="n">
        <v>2.4</v>
      </c>
      <c r="H636" t="n">
        <v>0</v>
      </c>
      <c r="I636" t="n">
        <v>1</v>
      </c>
      <c r="J636" t="n">
        <v>0</v>
      </c>
      <c r="K636" t="n">
        <v>0</v>
      </c>
      <c r="L636" t="n">
        <v>0</v>
      </c>
      <c r="M636" t="n">
        <v>0</v>
      </c>
      <c r="N636" t="n">
        <v>0</v>
      </c>
      <c r="O636" t="n">
        <v>0</v>
      </c>
      <c r="P636" t="n">
        <v>0</v>
      </c>
      <c r="Q636" t="n">
        <v>1</v>
      </c>
      <c r="R636" s="2" t="inlineStr">
        <is>
          <t>Fällmossa</t>
        </is>
      </c>
      <c r="S636">
        <f>HYPERLINK("https://klasma.github.io/Logging_1463/artfynd/A 40642-2025 artfynd.xlsx", "A 40642-2025")</f>
        <v/>
      </c>
      <c r="T636">
        <f>HYPERLINK("https://klasma.github.io/Logging_1463/kartor/A 40642-2025 karta.png", "A 40642-2025")</f>
        <v/>
      </c>
      <c r="V636">
        <f>HYPERLINK("https://klasma.github.io/Logging_1463/klagomål/A 40642-2025 FSC-klagomål.docx", "A 40642-2025")</f>
        <v/>
      </c>
      <c r="W636">
        <f>HYPERLINK("https://klasma.github.io/Logging_1463/klagomålsmail/A 40642-2025 FSC-klagomål mail.docx", "A 40642-2025")</f>
        <v/>
      </c>
      <c r="X636">
        <f>HYPERLINK("https://klasma.github.io/Logging_1463/tillsyn/A 40642-2025 tillsynsbegäran.docx", "A 40642-2025")</f>
        <v/>
      </c>
      <c r="Y636">
        <f>HYPERLINK("https://klasma.github.io/Logging_1463/tillsynsmail/A 40642-2025 tillsynsbegäran mail.docx", "A 40642-2025")</f>
        <v/>
      </c>
    </row>
    <row r="637" ht="15" customHeight="1">
      <c r="A637" t="inlineStr">
        <is>
          <t>A 29215-2022</t>
        </is>
      </c>
      <c r="B637" s="1" t="n">
        <v>44750</v>
      </c>
      <c r="C637" s="1" t="n">
        <v>45952</v>
      </c>
      <c r="D637" t="inlineStr">
        <is>
          <t>VÄSTRA GÖTALANDS LÄN</t>
        </is>
      </c>
      <c r="E637" t="inlineStr">
        <is>
          <t>BENGTSFORS</t>
        </is>
      </c>
      <c r="G637" t="n">
        <v>9.9</v>
      </c>
      <c r="H637" t="n">
        <v>0</v>
      </c>
      <c r="I637" t="n">
        <v>1</v>
      </c>
      <c r="J637" t="n">
        <v>0</v>
      </c>
      <c r="K637" t="n">
        <v>0</v>
      </c>
      <c r="L637" t="n">
        <v>0</v>
      </c>
      <c r="M637" t="n">
        <v>0</v>
      </c>
      <c r="N637" t="n">
        <v>0</v>
      </c>
      <c r="O637" t="n">
        <v>0</v>
      </c>
      <c r="P637" t="n">
        <v>0</v>
      </c>
      <c r="Q637" t="n">
        <v>1</v>
      </c>
      <c r="R637" s="2" t="inlineStr">
        <is>
          <t>Västlig hakmossa</t>
        </is>
      </c>
      <c r="S637">
        <f>HYPERLINK("https://klasma.github.io/Logging_1460/artfynd/A 29215-2022 artfynd.xlsx", "A 29215-2022")</f>
        <v/>
      </c>
      <c r="T637">
        <f>HYPERLINK("https://klasma.github.io/Logging_1460/kartor/A 29215-2022 karta.png", "A 29215-2022")</f>
        <v/>
      </c>
      <c r="V637">
        <f>HYPERLINK("https://klasma.github.io/Logging_1460/klagomål/A 29215-2022 FSC-klagomål.docx", "A 29215-2022")</f>
        <v/>
      </c>
      <c r="W637">
        <f>HYPERLINK("https://klasma.github.io/Logging_1460/klagomålsmail/A 29215-2022 FSC-klagomål mail.docx", "A 29215-2022")</f>
        <v/>
      </c>
      <c r="X637">
        <f>HYPERLINK("https://klasma.github.io/Logging_1460/tillsyn/A 29215-2022 tillsynsbegäran.docx", "A 29215-2022")</f>
        <v/>
      </c>
      <c r="Y637">
        <f>HYPERLINK("https://klasma.github.io/Logging_1460/tillsynsmail/A 29215-2022 tillsynsbegäran mail.docx", "A 29215-2022")</f>
        <v/>
      </c>
    </row>
    <row r="638" ht="15" customHeight="1">
      <c r="A638" t="inlineStr">
        <is>
          <t>A 10865-2022</t>
        </is>
      </c>
      <c r="B638" s="1" t="n">
        <v>44627.64710648148</v>
      </c>
      <c r="C638" s="1" t="n">
        <v>45952</v>
      </c>
      <c r="D638" t="inlineStr">
        <is>
          <t>VÄSTRA GÖTALANDS LÄN</t>
        </is>
      </c>
      <c r="E638" t="inlineStr">
        <is>
          <t>UDDEVALLA</t>
        </is>
      </c>
      <c r="G638" t="n">
        <v>3.9</v>
      </c>
      <c r="H638" t="n">
        <v>1</v>
      </c>
      <c r="I638" t="n">
        <v>0</v>
      </c>
      <c r="J638" t="n">
        <v>0</v>
      </c>
      <c r="K638" t="n">
        <v>0</v>
      </c>
      <c r="L638" t="n">
        <v>0</v>
      </c>
      <c r="M638" t="n">
        <v>0</v>
      </c>
      <c r="N638" t="n">
        <v>0</v>
      </c>
      <c r="O638" t="n">
        <v>0</v>
      </c>
      <c r="P638" t="n">
        <v>0</v>
      </c>
      <c r="Q638" t="n">
        <v>1</v>
      </c>
      <c r="R638" s="2" t="inlineStr">
        <is>
          <t>Revlummer</t>
        </is>
      </c>
      <c r="S638">
        <f>HYPERLINK("https://klasma.github.io/Logging_1485/artfynd/A 10865-2022 artfynd.xlsx", "A 10865-2022")</f>
        <v/>
      </c>
      <c r="T638">
        <f>HYPERLINK("https://klasma.github.io/Logging_1485/kartor/A 10865-2022 karta.png", "A 10865-2022")</f>
        <v/>
      </c>
      <c r="V638">
        <f>HYPERLINK("https://klasma.github.io/Logging_1485/klagomål/A 10865-2022 FSC-klagomål.docx", "A 10865-2022")</f>
        <v/>
      </c>
      <c r="W638">
        <f>HYPERLINK("https://klasma.github.io/Logging_1485/klagomålsmail/A 10865-2022 FSC-klagomål mail.docx", "A 10865-2022")</f>
        <v/>
      </c>
      <c r="X638">
        <f>HYPERLINK("https://klasma.github.io/Logging_1485/tillsyn/A 10865-2022 tillsynsbegäran.docx", "A 10865-2022")</f>
        <v/>
      </c>
      <c r="Y638">
        <f>HYPERLINK("https://klasma.github.io/Logging_1485/tillsynsmail/A 10865-2022 tillsynsbegäran mail.docx", "A 10865-2022")</f>
        <v/>
      </c>
    </row>
    <row r="639" ht="15" customHeight="1">
      <c r="A639" t="inlineStr">
        <is>
          <t>A 34166-2023</t>
        </is>
      </c>
      <c r="B639" s="1" t="n">
        <v>45137</v>
      </c>
      <c r="C639" s="1" t="n">
        <v>45952</v>
      </c>
      <c r="D639" t="inlineStr">
        <is>
          <t>VÄSTRA GÖTALANDS LÄN</t>
        </is>
      </c>
      <c r="E639" t="inlineStr">
        <is>
          <t>MARK</t>
        </is>
      </c>
      <c r="G639" t="n">
        <v>5.1</v>
      </c>
      <c r="H639" t="n">
        <v>1</v>
      </c>
      <c r="I639" t="n">
        <v>0</v>
      </c>
      <c r="J639" t="n">
        <v>0</v>
      </c>
      <c r="K639" t="n">
        <v>0</v>
      </c>
      <c r="L639" t="n">
        <v>0</v>
      </c>
      <c r="M639" t="n">
        <v>0</v>
      </c>
      <c r="N639" t="n">
        <v>0</v>
      </c>
      <c r="O639" t="n">
        <v>0</v>
      </c>
      <c r="P639" t="n">
        <v>0</v>
      </c>
      <c r="Q639" t="n">
        <v>1</v>
      </c>
      <c r="R639" s="2" t="inlineStr">
        <is>
          <t>Hasselmus</t>
        </is>
      </c>
      <c r="S639">
        <f>HYPERLINK("https://klasma.github.io/Logging_1463/artfynd/A 34166-2023 artfynd.xlsx", "A 34166-2023")</f>
        <v/>
      </c>
      <c r="T639">
        <f>HYPERLINK("https://klasma.github.io/Logging_1463/kartor/A 34166-2023 karta.png", "A 34166-2023")</f>
        <v/>
      </c>
      <c r="V639">
        <f>HYPERLINK("https://klasma.github.io/Logging_1463/klagomål/A 34166-2023 FSC-klagomål.docx", "A 34166-2023")</f>
        <v/>
      </c>
      <c r="W639">
        <f>HYPERLINK("https://klasma.github.io/Logging_1463/klagomålsmail/A 34166-2023 FSC-klagomål mail.docx", "A 34166-2023")</f>
        <v/>
      </c>
      <c r="X639">
        <f>HYPERLINK("https://klasma.github.io/Logging_1463/tillsyn/A 34166-2023 tillsynsbegäran.docx", "A 34166-2023")</f>
        <v/>
      </c>
      <c r="Y639">
        <f>HYPERLINK("https://klasma.github.io/Logging_1463/tillsynsmail/A 34166-2023 tillsynsbegäran mail.docx", "A 34166-2023")</f>
        <v/>
      </c>
    </row>
    <row r="640" ht="15" customHeight="1">
      <c r="A640" t="inlineStr">
        <is>
          <t>A 24894-2024</t>
        </is>
      </c>
      <c r="B640" s="1" t="n">
        <v>45461.57582175926</v>
      </c>
      <c r="C640" s="1" t="n">
        <v>45952</v>
      </c>
      <c r="D640" t="inlineStr">
        <is>
          <t>VÄSTRA GÖTALANDS LÄN</t>
        </is>
      </c>
      <c r="E640" t="inlineStr">
        <is>
          <t>MELLERUD</t>
        </is>
      </c>
      <c r="G640" t="n">
        <v>2.1</v>
      </c>
      <c r="H640" t="n">
        <v>0</v>
      </c>
      <c r="I640" t="n">
        <v>0</v>
      </c>
      <c r="J640" t="n">
        <v>1</v>
      </c>
      <c r="K640" t="n">
        <v>0</v>
      </c>
      <c r="L640" t="n">
        <v>0</v>
      </c>
      <c r="M640" t="n">
        <v>0</v>
      </c>
      <c r="N640" t="n">
        <v>0</v>
      </c>
      <c r="O640" t="n">
        <v>1</v>
      </c>
      <c r="P640" t="n">
        <v>0</v>
      </c>
      <c r="Q640" t="n">
        <v>1</v>
      </c>
      <c r="R640" s="2" t="inlineStr">
        <is>
          <t>Klasefibbla</t>
        </is>
      </c>
      <c r="S640">
        <f>HYPERLINK("https://klasma.github.io/Logging_1461/artfynd/A 24894-2024 artfynd.xlsx", "A 24894-2024")</f>
        <v/>
      </c>
      <c r="T640">
        <f>HYPERLINK("https://klasma.github.io/Logging_1461/kartor/A 24894-2024 karta.png", "A 24894-2024")</f>
        <v/>
      </c>
      <c r="V640">
        <f>HYPERLINK("https://klasma.github.io/Logging_1461/klagomål/A 24894-2024 FSC-klagomål.docx", "A 24894-2024")</f>
        <v/>
      </c>
      <c r="W640">
        <f>HYPERLINK("https://klasma.github.io/Logging_1461/klagomålsmail/A 24894-2024 FSC-klagomål mail.docx", "A 24894-2024")</f>
        <v/>
      </c>
      <c r="X640">
        <f>HYPERLINK("https://klasma.github.io/Logging_1461/tillsyn/A 24894-2024 tillsynsbegäran.docx", "A 24894-2024")</f>
        <v/>
      </c>
      <c r="Y640">
        <f>HYPERLINK("https://klasma.github.io/Logging_1461/tillsynsmail/A 24894-2024 tillsynsbegäran mail.docx", "A 24894-2024")</f>
        <v/>
      </c>
    </row>
    <row r="641" ht="15" customHeight="1">
      <c r="A641" t="inlineStr">
        <is>
          <t>A 30273-2022</t>
        </is>
      </c>
      <c r="B641" s="1" t="n">
        <v>44759</v>
      </c>
      <c r="C641" s="1" t="n">
        <v>45952</v>
      </c>
      <c r="D641" t="inlineStr">
        <is>
          <t>VÄSTRA GÖTALANDS LÄN</t>
        </is>
      </c>
      <c r="E641" t="inlineStr">
        <is>
          <t>LILLA EDET</t>
        </is>
      </c>
      <c r="G641" t="n">
        <v>12.5</v>
      </c>
      <c r="H641" t="n">
        <v>1</v>
      </c>
      <c r="I641" t="n">
        <v>0</v>
      </c>
      <c r="J641" t="n">
        <v>1</v>
      </c>
      <c r="K641" t="n">
        <v>0</v>
      </c>
      <c r="L641" t="n">
        <v>0</v>
      </c>
      <c r="M641" t="n">
        <v>0</v>
      </c>
      <c r="N641" t="n">
        <v>0</v>
      </c>
      <c r="O641" t="n">
        <v>1</v>
      </c>
      <c r="P641" t="n">
        <v>0</v>
      </c>
      <c r="Q641" t="n">
        <v>1</v>
      </c>
      <c r="R641" s="2" t="inlineStr">
        <is>
          <t>Ärtsångare</t>
        </is>
      </c>
      <c r="S641">
        <f>HYPERLINK("https://klasma.github.io/Logging_1462/artfynd/A 30273-2022 artfynd.xlsx", "A 30273-2022")</f>
        <v/>
      </c>
      <c r="T641">
        <f>HYPERLINK("https://klasma.github.io/Logging_1462/kartor/A 30273-2022 karta.png", "A 30273-2022")</f>
        <v/>
      </c>
      <c r="V641">
        <f>HYPERLINK("https://klasma.github.io/Logging_1462/klagomål/A 30273-2022 FSC-klagomål.docx", "A 30273-2022")</f>
        <v/>
      </c>
      <c r="W641">
        <f>HYPERLINK("https://klasma.github.io/Logging_1462/klagomålsmail/A 30273-2022 FSC-klagomål mail.docx", "A 30273-2022")</f>
        <v/>
      </c>
      <c r="X641">
        <f>HYPERLINK("https://klasma.github.io/Logging_1462/tillsyn/A 30273-2022 tillsynsbegäran.docx", "A 30273-2022")</f>
        <v/>
      </c>
      <c r="Y641">
        <f>HYPERLINK("https://klasma.github.io/Logging_1462/tillsynsmail/A 30273-2022 tillsynsbegäran mail.docx", "A 30273-2022")</f>
        <v/>
      </c>
      <c r="Z641">
        <f>HYPERLINK("https://klasma.github.io/Logging_1462/fåglar/A 30273-2022 prioriterade fågelarter.docx", "A 30273-2022")</f>
        <v/>
      </c>
    </row>
    <row r="642" ht="15" customHeight="1">
      <c r="A642" t="inlineStr">
        <is>
          <t>A 54232-2020</t>
        </is>
      </c>
      <c r="B642" s="1" t="n">
        <v>44126</v>
      </c>
      <c r="C642" s="1" t="n">
        <v>45952</v>
      </c>
      <c r="D642" t="inlineStr">
        <is>
          <t>VÄSTRA GÖTALANDS LÄN</t>
        </is>
      </c>
      <c r="E642" t="inlineStr">
        <is>
          <t>MARK</t>
        </is>
      </c>
      <c r="G642" t="n">
        <v>6.9</v>
      </c>
      <c r="H642" t="n">
        <v>0</v>
      </c>
      <c r="I642" t="n">
        <v>1</v>
      </c>
      <c r="J642" t="n">
        <v>0</v>
      </c>
      <c r="K642" t="n">
        <v>0</v>
      </c>
      <c r="L642" t="n">
        <v>0</v>
      </c>
      <c r="M642" t="n">
        <v>0</v>
      </c>
      <c r="N642" t="n">
        <v>0</v>
      </c>
      <c r="O642" t="n">
        <v>0</v>
      </c>
      <c r="P642" t="n">
        <v>0</v>
      </c>
      <c r="Q642" t="n">
        <v>1</v>
      </c>
      <c r="R642" s="2" t="inlineStr">
        <is>
          <t>Skogsbräsma</t>
        </is>
      </c>
      <c r="S642">
        <f>HYPERLINK("https://klasma.github.io/Logging_1463/artfynd/A 54232-2020 artfynd.xlsx", "A 54232-2020")</f>
        <v/>
      </c>
      <c r="T642">
        <f>HYPERLINK("https://klasma.github.io/Logging_1463/kartor/A 54232-2020 karta.png", "A 54232-2020")</f>
        <v/>
      </c>
      <c r="V642">
        <f>HYPERLINK("https://klasma.github.io/Logging_1463/klagomål/A 54232-2020 FSC-klagomål.docx", "A 54232-2020")</f>
        <v/>
      </c>
      <c r="W642">
        <f>HYPERLINK("https://klasma.github.io/Logging_1463/klagomålsmail/A 54232-2020 FSC-klagomål mail.docx", "A 54232-2020")</f>
        <v/>
      </c>
      <c r="X642">
        <f>HYPERLINK("https://klasma.github.io/Logging_1463/tillsyn/A 54232-2020 tillsynsbegäran.docx", "A 54232-2020")</f>
        <v/>
      </c>
      <c r="Y642">
        <f>HYPERLINK("https://klasma.github.io/Logging_1463/tillsynsmail/A 54232-2020 tillsynsbegäran mail.docx", "A 54232-2020")</f>
        <v/>
      </c>
    </row>
    <row r="643" ht="15" customHeight="1">
      <c r="A643" t="inlineStr">
        <is>
          <t>A 49645-2025</t>
        </is>
      </c>
      <c r="B643" s="1" t="n">
        <v>45939.61609953704</v>
      </c>
      <c r="C643" s="1" t="n">
        <v>45952</v>
      </c>
      <c r="D643" t="inlineStr">
        <is>
          <t>VÄSTRA GÖTALANDS LÄN</t>
        </is>
      </c>
      <c r="E643" t="inlineStr">
        <is>
          <t>HÄRRYDA</t>
        </is>
      </c>
      <c r="G643" t="n">
        <v>2.3</v>
      </c>
      <c r="H643" t="n">
        <v>1</v>
      </c>
      <c r="I643" t="n">
        <v>0</v>
      </c>
      <c r="J643" t="n">
        <v>0</v>
      </c>
      <c r="K643" t="n">
        <v>0</v>
      </c>
      <c r="L643" t="n">
        <v>0</v>
      </c>
      <c r="M643" t="n">
        <v>0</v>
      </c>
      <c r="N643" t="n">
        <v>0</v>
      </c>
      <c r="O643" t="n">
        <v>0</v>
      </c>
      <c r="P643" t="n">
        <v>0</v>
      </c>
      <c r="Q643" t="n">
        <v>1</v>
      </c>
      <c r="R643" s="2" t="inlineStr">
        <is>
          <t>Revlummer</t>
        </is>
      </c>
      <c r="S643">
        <f>HYPERLINK("https://klasma.github.io/Logging_1401/artfynd/A 49645-2025 artfynd.xlsx", "A 49645-2025")</f>
        <v/>
      </c>
      <c r="T643">
        <f>HYPERLINK("https://klasma.github.io/Logging_1401/kartor/A 49645-2025 karta.png", "A 49645-2025")</f>
        <v/>
      </c>
      <c r="V643">
        <f>HYPERLINK("https://klasma.github.io/Logging_1401/klagomål/A 49645-2025 FSC-klagomål.docx", "A 49645-2025")</f>
        <v/>
      </c>
      <c r="W643">
        <f>HYPERLINK("https://klasma.github.io/Logging_1401/klagomålsmail/A 49645-2025 FSC-klagomål mail.docx", "A 49645-2025")</f>
        <v/>
      </c>
      <c r="X643">
        <f>HYPERLINK("https://klasma.github.io/Logging_1401/tillsyn/A 49645-2025 tillsynsbegäran.docx", "A 49645-2025")</f>
        <v/>
      </c>
      <c r="Y643">
        <f>HYPERLINK("https://klasma.github.io/Logging_1401/tillsynsmail/A 49645-2025 tillsynsbegäran mail.docx", "A 49645-2025")</f>
        <v/>
      </c>
    </row>
    <row r="644" ht="15" customHeight="1">
      <c r="A644" t="inlineStr">
        <is>
          <t>A 14102-2025</t>
        </is>
      </c>
      <c r="B644" s="1" t="n">
        <v>45740</v>
      </c>
      <c r="C644" s="1" t="n">
        <v>45952</v>
      </c>
      <c r="D644" t="inlineStr">
        <is>
          <t>VÄSTRA GÖTALANDS LÄN</t>
        </is>
      </c>
      <c r="E644" t="inlineStr">
        <is>
          <t>FALKÖPING</t>
        </is>
      </c>
      <c r="G644" t="n">
        <v>11</v>
      </c>
      <c r="H644" t="n">
        <v>1</v>
      </c>
      <c r="I644" t="n">
        <v>0</v>
      </c>
      <c r="J644" t="n">
        <v>0</v>
      </c>
      <c r="K644" t="n">
        <v>1</v>
      </c>
      <c r="L644" t="n">
        <v>0</v>
      </c>
      <c r="M644" t="n">
        <v>0</v>
      </c>
      <c r="N644" t="n">
        <v>0</v>
      </c>
      <c r="O644" t="n">
        <v>1</v>
      </c>
      <c r="P644" t="n">
        <v>1</v>
      </c>
      <c r="Q644" t="n">
        <v>1</v>
      </c>
      <c r="R644" s="2" t="inlineStr">
        <is>
          <t>Brushane</t>
        </is>
      </c>
      <c r="S644">
        <f>HYPERLINK("https://klasma.github.io/Logging_1499/artfynd/A 14102-2025 artfynd.xlsx", "A 14102-2025")</f>
        <v/>
      </c>
      <c r="T644">
        <f>HYPERLINK("https://klasma.github.io/Logging_1499/kartor/A 14102-2025 karta.png", "A 14102-2025")</f>
        <v/>
      </c>
      <c r="V644">
        <f>HYPERLINK("https://klasma.github.io/Logging_1499/klagomål/A 14102-2025 FSC-klagomål.docx", "A 14102-2025")</f>
        <v/>
      </c>
      <c r="W644">
        <f>HYPERLINK("https://klasma.github.io/Logging_1499/klagomålsmail/A 14102-2025 FSC-klagomål mail.docx", "A 14102-2025")</f>
        <v/>
      </c>
      <c r="X644">
        <f>HYPERLINK("https://klasma.github.io/Logging_1499/tillsyn/A 14102-2025 tillsynsbegäran.docx", "A 14102-2025")</f>
        <v/>
      </c>
      <c r="Y644">
        <f>HYPERLINK("https://klasma.github.io/Logging_1499/tillsynsmail/A 14102-2025 tillsynsbegäran mail.docx", "A 14102-2025")</f>
        <v/>
      </c>
    </row>
    <row r="645" ht="15" customHeight="1">
      <c r="A645" t="inlineStr">
        <is>
          <t>A 24036-2025</t>
        </is>
      </c>
      <c r="B645" s="1" t="n">
        <v>45795</v>
      </c>
      <c r="C645" s="1" t="n">
        <v>45952</v>
      </c>
      <c r="D645" t="inlineStr">
        <is>
          <t>VÄSTRA GÖTALANDS LÄN</t>
        </is>
      </c>
      <c r="E645" t="inlineStr">
        <is>
          <t>SOTENÄS</t>
        </is>
      </c>
      <c r="G645" t="n">
        <v>37.1</v>
      </c>
      <c r="H645" t="n">
        <v>1</v>
      </c>
      <c r="I645" t="n">
        <v>0</v>
      </c>
      <c r="J645" t="n">
        <v>0</v>
      </c>
      <c r="K645" t="n">
        <v>0</v>
      </c>
      <c r="L645" t="n">
        <v>0</v>
      </c>
      <c r="M645" t="n">
        <v>0</v>
      </c>
      <c r="N645" t="n">
        <v>0</v>
      </c>
      <c r="O645" t="n">
        <v>0</v>
      </c>
      <c r="P645" t="n">
        <v>0</v>
      </c>
      <c r="Q645" t="n">
        <v>1</v>
      </c>
      <c r="R645" s="2" t="inlineStr">
        <is>
          <t>Kopparödla</t>
        </is>
      </c>
      <c r="S645">
        <f>HYPERLINK("https://klasma.github.io/Logging_1427/artfynd/A 24036-2025 artfynd.xlsx", "A 24036-2025")</f>
        <v/>
      </c>
      <c r="T645">
        <f>HYPERLINK("https://klasma.github.io/Logging_1427/kartor/A 24036-2025 karta.png", "A 24036-2025")</f>
        <v/>
      </c>
      <c r="V645">
        <f>HYPERLINK("https://klasma.github.io/Logging_1427/klagomål/A 24036-2025 FSC-klagomål.docx", "A 24036-2025")</f>
        <v/>
      </c>
      <c r="W645">
        <f>HYPERLINK("https://klasma.github.io/Logging_1427/klagomålsmail/A 24036-2025 FSC-klagomål mail.docx", "A 24036-2025")</f>
        <v/>
      </c>
      <c r="X645">
        <f>HYPERLINK("https://klasma.github.io/Logging_1427/tillsyn/A 24036-2025 tillsynsbegäran.docx", "A 24036-2025")</f>
        <v/>
      </c>
      <c r="Y645">
        <f>HYPERLINK("https://klasma.github.io/Logging_1427/tillsynsmail/A 24036-2025 tillsynsbegäran mail.docx", "A 24036-2025")</f>
        <v/>
      </c>
    </row>
    <row r="646" ht="15" customHeight="1">
      <c r="A646" t="inlineStr">
        <is>
          <t>A 13739-2024</t>
        </is>
      </c>
      <c r="B646" s="1" t="n">
        <v>45390</v>
      </c>
      <c r="C646" s="1" t="n">
        <v>45952</v>
      </c>
      <c r="D646" t="inlineStr">
        <is>
          <t>VÄSTRA GÖTALANDS LÄN</t>
        </is>
      </c>
      <c r="E646" t="inlineStr">
        <is>
          <t>BOLLEBYGD</t>
        </is>
      </c>
      <c r="F646" t="inlineStr">
        <is>
          <t>Kommuner</t>
        </is>
      </c>
      <c r="G646" t="n">
        <v>2.8</v>
      </c>
      <c r="H646" t="n">
        <v>0</v>
      </c>
      <c r="I646" t="n">
        <v>1</v>
      </c>
      <c r="J646" t="n">
        <v>0</v>
      </c>
      <c r="K646" t="n">
        <v>0</v>
      </c>
      <c r="L646" t="n">
        <v>0</v>
      </c>
      <c r="M646" t="n">
        <v>0</v>
      </c>
      <c r="N646" t="n">
        <v>0</v>
      </c>
      <c r="O646" t="n">
        <v>0</v>
      </c>
      <c r="P646" t="n">
        <v>0</v>
      </c>
      <c r="Q646" t="n">
        <v>1</v>
      </c>
      <c r="R646" s="2" t="inlineStr">
        <is>
          <t>Kattfotslav</t>
        </is>
      </c>
      <c r="S646">
        <f>HYPERLINK("https://klasma.github.io/Logging_1443/artfynd/A 13739-2024 artfynd.xlsx", "A 13739-2024")</f>
        <v/>
      </c>
      <c r="T646">
        <f>HYPERLINK("https://klasma.github.io/Logging_1443/kartor/A 13739-2024 karta.png", "A 13739-2024")</f>
        <v/>
      </c>
      <c r="V646">
        <f>HYPERLINK("https://klasma.github.io/Logging_1443/klagomål/A 13739-2024 FSC-klagomål.docx", "A 13739-2024")</f>
        <v/>
      </c>
      <c r="W646">
        <f>HYPERLINK("https://klasma.github.io/Logging_1443/klagomålsmail/A 13739-2024 FSC-klagomål mail.docx", "A 13739-2024")</f>
        <v/>
      </c>
      <c r="X646">
        <f>HYPERLINK("https://klasma.github.io/Logging_1443/tillsyn/A 13739-2024 tillsynsbegäran.docx", "A 13739-2024")</f>
        <v/>
      </c>
      <c r="Y646">
        <f>HYPERLINK("https://klasma.github.io/Logging_1443/tillsynsmail/A 13739-2024 tillsynsbegäran mail.docx", "A 13739-2024")</f>
        <v/>
      </c>
    </row>
    <row r="647" ht="15" customHeight="1">
      <c r="A647" t="inlineStr">
        <is>
          <t>A 9698-2024</t>
        </is>
      </c>
      <c r="B647" s="1" t="n">
        <v>45362</v>
      </c>
      <c r="C647" s="1" t="n">
        <v>45952</v>
      </c>
      <c r="D647" t="inlineStr">
        <is>
          <t>VÄSTRA GÖTALANDS LÄN</t>
        </is>
      </c>
      <c r="E647" t="inlineStr">
        <is>
          <t>TANUM</t>
        </is>
      </c>
      <c r="F647" t="inlineStr">
        <is>
          <t>Kyrkan</t>
        </is>
      </c>
      <c r="G647" t="n">
        <v>2</v>
      </c>
      <c r="H647" t="n">
        <v>0</v>
      </c>
      <c r="I647" t="n">
        <v>1</v>
      </c>
      <c r="J647" t="n">
        <v>0</v>
      </c>
      <c r="K647" t="n">
        <v>0</v>
      </c>
      <c r="L647" t="n">
        <v>0</v>
      </c>
      <c r="M647" t="n">
        <v>0</v>
      </c>
      <c r="N647" t="n">
        <v>0</v>
      </c>
      <c r="O647" t="n">
        <v>0</v>
      </c>
      <c r="P647" t="n">
        <v>0</v>
      </c>
      <c r="Q647" t="n">
        <v>1</v>
      </c>
      <c r="R647" s="2" t="inlineStr">
        <is>
          <t>Springkorn</t>
        </is>
      </c>
      <c r="S647">
        <f>HYPERLINK("https://klasma.github.io/Logging_1435/artfynd/A 9698-2024 artfynd.xlsx", "A 9698-2024")</f>
        <v/>
      </c>
      <c r="T647">
        <f>HYPERLINK("https://klasma.github.io/Logging_1435/kartor/A 9698-2024 karta.png", "A 9698-2024")</f>
        <v/>
      </c>
      <c r="V647">
        <f>HYPERLINK("https://klasma.github.io/Logging_1435/klagomål/A 9698-2024 FSC-klagomål.docx", "A 9698-2024")</f>
        <v/>
      </c>
      <c r="W647">
        <f>HYPERLINK("https://klasma.github.io/Logging_1435/klagomålsmail/A 9698-2024 FSC-klagomål mail.docx", "A 9698-2024")</f>
        <v/>
      </c>
      <c r="X647">
        <f>HYPERLINK("https://klasma.github.io/Logging_1435/tillsyn/A 9698-2024 tillsynsbegäran.docx", "A 9698-2024")</f>
        <v/>
      </c>
      <c r="Y647">
        <f>HYPERLINK("https://klasma.github.io/Logging_1435/tillsynsmail/A 9698-2024 tillsynsbegäran mail.docx", "A 9698-2024")</f>
        <v/>
      </c>
    </row>
    <row r="648" ht="15" customHeight="1">
      <c r="A648" t="inlineStr">
        <is>
          <t>A 28280-2024</t>
        </is>
      </c>
      <c r="B648" s="1" t="n">
        <v>45477.46034722222</v>
      </c>
      <c r="C648" s="1" t="n">
        <v>45952</v>
      </c>
      <c r="D648" t="inlineStr">
        <is>
          <t>VÄSTRA GÖTALANDS LÄN</t>
        </is>
      </c>
      <c r="E648" t="inlineStr">
        <is>
          <t>BENGTSFORS</t>
        </is>
      </c>
      <c r="G648" t="n">
        <v>6.2</v>
      </c>
      <c r="H648" t="n">
        <v>1</v>
      </c>
      <c r="I648" t="n">
        <v>0</v>
      </c>
      <c r="J648" t="n">
        <v>0</v>
      </c>
      <c r="K648" t="n">
        <v>0</v>
      </c>
      <c r="L648" t="n">
        <v>0</v>
      </c>
      <c r="M648" t="n">
        <v>0</v>
      </c>
      <c r="N648" t="n">
        <v>0</v>
      </c>
      <c r="O648" t="n">
        <v>0</v>
      </c>
      <c r="P648" t="n">
        <v>0</v>
      </c>
      <c r="Q648" t="n">
        <v>1</v>
      </c>
      <c r="R648" s="2" t="inlineStr">
        <is>
          <t>Revlummer</t>
        </is>
      </c>
      <c r="S648">
        <f>HYPERLINK("https://klasma.github.io/Logging_1460/artfynd/A 28280-2024 artfynd.xlsx", "A 28280-2024")</f>
        <v/>
      </c>
      <c r="T648">
        <f>HYPERLINK("https://klasma.github.io/Logging_1460/kartor/A 28280-2024 karta.png", "A 28280-2024")</f>
        <v/>
      </c>
      <c r="V648">
        <f>HYPERLINK("https://klasma.github.io/Logging_1460/klagomål/A 28280-2024 FSC-klagomål.docx", "A 28280-2024")</f>
        <v/>
      </c>
      <c r="W648">
        <f>HYPERLINK("https://klasma.github.io/Logging_1460/klagomålsmail/A 28280-2024 FSC-klagomål mail.docx", "A 28280-2024")</f>
        <v/>
      </c>
      <c r="X648">
        <f>HYPERLINK("https://klasma.github.io/Logging_1460/tillsyn/A 28280-2024 tillsynsbegäran.docx", "A 28280-2024")</f>
        <v/>
      </c>
      <c r="Y648">
        <f>HYPERLINK("https://klasma.github.io/Logging_1460/tillsynsmail/A 28280-2024 tillsynsbegäran mail.docx", "A 28280-2024")</f>
        <v/>
      </c>
    </row>
    <row r="649" ht="15" customHeight="1">
      <c r="A649" t="inlineStr">
        <is>
          <t>A 25033-2025</t>
        </is>
      </c>
      <c r="B649" s="1" t="n">
        <v>45799.65584490741</v>
      </c>
      <c r="C649" s="1" t="n">
        <v>45952</v>
      </c>
      <c r="D649" t="inlineStr">
        <is>
          <t>VÄSTRA GÖTALANDS LÄN</t>
        </is>
      </c>
      <c r="E649" t="inlineStr">
        <is>
          <t>DALS-ED</t>
        </is>
      </c>
      <c r="G649" t="n">
        <v>8.6</v>
      </c>
      <c r="H649" t="n">
        <v>0</v>
      </c>
      <c r="I649" t="n">
        <v>0</v>
      </c>
      <c r="J649" t="n">
        <v>0</v>
      </c>
      <c r="K649" t="n">
        <v>0</v>
      </c>
      <c r="L649" t="n">
        <v>1</v>
      </c>
      <c r="M649" t="n">
        <v>0</v>
      </c>
      <c r="N649" t="n">
        <v>0</v>
      </c>
      <c r="O649" t="n">
        <v>1</v>
      </c>
      <c r="P649" t="n">
        <v>1</v>
      </c>
      <c r="Q649" t="n">
        <v>1</v>
      </c>
      <c r="R649" s="2" t="inlineStr">
        <is>
          <t>Ask</t>
        </is>
      </c>
      <c r="S649">
        <f>HYPERLINK("https://klasma.github.io/Logging_1438/artfynd/A 25033-2025 artfynd.xlsx", "A 25033-2025")</f>
        <v/>
      </c>
      <c r="T649">
        <f>HYPERLINK("https://klasma.github.io/Logging_1438/kartor/A 25033-2025 karta.png", "A 25033-2025")</f>
        <v/>
      </c>
      <c r="V649">
        <f>HYPERLINK("https://klasma.github.io/Logging_1438/klagomål/A 25033-2025 FSC-klagomål.docx", "A 25033-2025")</f>
        <v/>
      </c>
      <c r="W649">
        <f>HYPERLINK("https://klasma.github.io/Logging_1438/klagomålsmail/A 25033-2025 FSC-klagomål mail.docx", "A 25033-2025")</f>
        <v/>
      </c>
      <c r="X649">
        <f>HYPERLINK("https://klasma.github.io/Logging_1438/tillsyn/A 25033-2025 tillsynsbegäran.docx", "A 25033-2025")</f>
        <v/>
      </c>
      <c r="Y649">
        <f>HYPERLINK("https://klasma.github.io/Logging_1438/tillsynsmail/A 25033-2025 tillsynsbegäran mail.docx", "A 25033-2025")</f>
        <v/>
      </c>
    </row>
    <row r="650" ht="15" customHeight="1">
      <c r="A650" t="inlineStr">
        <is>
          <t>A 28682-2024</t>
        </is>
      </c>
      <c r="B650" s="1" t="n">
        <v>45478.48630787037</v>
      </c>
      <c r="C650" s="1" t="n">
        <v>45952</v>
      </c>
      <c r="D650" t="inlineStr">
        <is>
          <t>VÄSTRA GÖTALANDS LÄN</t>
        </is>
      </c>
      <c r="E650" t="inlineStr">
        <is>
          <t>BORÅS</t>
        </is>
      </c>
      <c r="G650" t="n">
        <v>2</v>
      </c>
      <c r="H650" t="n">
        <v>1</v>
      </c>
      <c r="I650" t="n">
        <v>0</v>
      </c>
      <c r="J650" t="n">
        <v>0</v>
      </c>
      <c r="K650" t="n">
        <v>0</v>
      </c>
      <c r="L650" t="n">
        <v>0</v>
      </c>
      <c r="M650" t="n">
        <v>0</v>
      </c>
      <c r="N650" t="n">
        <v>0</v>
      </c>
      <c r="O650" t="n">
        <v>0</v>
      </c>
      <c r="P650" t="n">
        <v>0</v>
      </c>
      <c r="Q650" t="n">
        <v>1</v>
      </c>
      <c r="R650" s="2" t="inlineStr">
        <is>
          <t>Vanlig padda</t>
        </is>
      </c>
      <c r="S650">
        <f>HYPERLINK("https://klasma.github.io/Logging_1490/artfynd/A 28682-2024 artfynd.xlsx", "A 28682-2024")</f>
        <v/>
      </c>
      <c r="T650">
        <f>HYPERLINK("https://klasma.github.io/Logging_1490/kartor/A 28682-2024 karta.png", "A 28682-2024")</f>
        <v/>
      </c>
      <c r="V650">
        <f>HYPERLINK("https://klasma.github.io/Logging_1490/klagomål/A 28682-2024 FSC-klagomål.docx", "A 28682-2024")</f>
        <v/>
      </c>
      <c r="W650">
        <f>HYPERLINK("https://klasma.github.io/Logging_1490/klagomålsmail/A 28682-2024 FSC-klagomål mail.docx", "A 28682-2024")</f>
        <v/>
      </c>
      <c r="X650">
        <f>HYPERLINK("https://klasma.github.io/Logging_1490/tillsyn/A 28682-2024 tillsynsbegäran.docx", "A 28682-2024")</f>
        <v/>
      </c>
      <c r="Y650">
        <f>HYPERLINK("https://klasma.github.io/Logging_1490/tillsynsmail/A 28682-2024 tillsynsbegäran mail.docx", "A 28682-2024")</f>
        <v/>
      </c>
    </row>
    <row r="651" ht="15" customHeight="1">
      <c r="A651" t="inlineStr">
        <is>
          <t>A 24800-2025</t>
        </is>
      </c>
      <c r="B651" s="1" t="n">
        <v>45799.43880787037</v>
      </c>
      <c r="C651" s="1" t="n">
        <v>45952</v>
      </c>
      <c r="D651" t="inlineStr">
        <is>
          <t>VÄSTRA GÖTALANDS LÄN</t>
        </is>
      </c>
      <c r="E651" t="inlineStr">
        <is>
          <t>ULRICEHAMN</t>
        </is>
      </c>
      <c r="G651" t="n">
        <v>3.3</v>
      </c>
      <c r="H651" t="n">
        <v>0</v>
      </c>
      <c r="I651" t="n">
        <v>1</v>
      </c>
      <c r="J651" t="n">
        <v>0</v>
      </c>
      <c r="K651" t="n">
        <v>0</v>
      </c>
      <c r="L651" t="n">
        <v>0</v>
      </c>
      <c r="M651" t="n">
        <v>0</v>
      </c>
      <c r="N651" t="n">
        <v>0</v>
      </c>
      <c r="O651" t="n">
        <v>0</v>
      </c>
      <c r="P651" t="n">
        <v>0</v>
      </c>
      <c r="Q651" t="n">
        <v>1</v>
      </c>
      <c r="R651" s="2" t="inlineStr">
        <is>
          <t>Björksplintborre</t>
        </is>
      </c>
      <c r="S651">
        <f>HYPERLINK("https://klasma.github.io/Logging_1491/artfynd/A 24800-2025 artfynd.xlsx", "A 24800-2025")</f>
        <v/>
      </c>
      <c r="T651">
        <f>HYPERLINK("https://klasma.github.io/Logging_1491/kartor/A 24800-2025 karta.png", "A 24800-2025")</f>
        <v/>
      </c>
      <c r="V651">
        <f>HYPERLINK("https://klasma.github.io/Logging_1491/klagomål/A 24800-2025 FSC-klagomål.docx", "A 24800-2025")</f>
        <v/>
      </c>
      <c r="W651">
        <f>HYPERLINK("https://klasma.github.io/Logging_1491/klagomålsmail/A 24800-2025 FSC-klagomål mail.docx", "A 24800-2025")</f>
        <v/>
      </c>
      <c r="X651">
        <f>HYPERLINK("https://klasma.github.io/Logging_1491/tillsyn/A 24800-2025 tillsynsbegäran.docx", "A 24800-2025")</f>
        <v/>
      </c>
      <c r="Y651">
        <f>HYPERLINK("https://klasma.github.io/Logging_1491/tillsynsmail/A 24800-2025 tillsynsbegäran mail.docx", "A 24800-2025")</f>
        <v/>
      </c>
    </row>
    <row r="652" ht="15" customHeight="1">
      <c r="A652" t="inlineStr">
        <is>
          <t>A 7234-2025</t>
        </is>
      </c>
      <c r="B652" s="1" t="n">
        <v>45702.51854166666</v>
      </c>
      <c r="C652" s="1" t="n">
        <v>45952</v>
      </c>
      <c r="D652" t="inlineStr">
        <is>
          <t>VÄSTRA GÖTALANDS LÄN</t>
        </is>
      </c>
      <c r="E652" t="inlineStr">
        <is>
          <t>BORÅS</t>
        </is>
      </c>
      <c r="G652" t="n">
        <v>6.1</v>
      </c>
      <c r="H652" t="n">
        <v>0</v>
      </c>
      <c r="I652" t="n">
        <v>0</v>
      </c>
      <c r="J652" t="n">
        <v>1</v>
      </c>
      <c r="K652" t="n">
        <v>0</v>
      </c>
      <c r="L652" t="n">
        <v>0</v>
      </c>
      <c r="M652" t="n">
        <v>0</v>
      </c>
      <c r="N652" t="n">
        <v>0</v>
      </c>
      <c r="O652" t="n">
        <v>1</v>
      </c>
      <c r="P652" t="n">
        <v>0</v>
      </c>
      <c r="Q652" t="n">
        <v>1</v>
      </c>
      <c r="R652" s="2" t="inlineStr">
        <is>
          <t>Borsttåg</t>
        </is>
      </c>
      <c r="S652">
        <f>HYPERLINK("https://klasma.github.io/Logging_1490/artfynd/A 7234-2025 artfynd.xlsx", "A 7234-2025")</f>
        <v/>
      </c>
      <c r="T652">
        <f>HYPERLINK("https://klasma.github.io/Logging_1490/kartor/A 7234-2025 karta.png", "A 7234-2025")</f>
        <v/>
      </c>
      <c r="V652">
        <f>HYPERLINK("https://klasma.github.io/Logging_1490/klagomål/A 7234-2025 FSC-klagomål.docx", "A 7234-2025")</f>
        <v/>
      </c>
      <c r="W652">
        <f>HYPERLINK("https://klasma.github.io/Logging_1490/klagomålsmail/A 7234-2025 FSC-klagomål mail.docx", "A 7234-2025")</f>
        <v/>
      </c>
      <c r="X652">
        <f>HYPERLINK("https://klasma.github.io/Logging_1490/tillsyn/A 7234-2025 tillsynsbegäran.docx", "A 7234-2025")</f>
        <v/>
      </c>
      <c r="Y652">
        <f>HYPERLINK("https://klasma.github.io/Logging_1490/tillsynsmail/A 7234-2025 tillsynsbegäran mail.docx", "A 7234-2025")</f>
        <v/>
      </c>
    </row>
    <row r="653" ht="15" customHeight="1">
      <c r="A653" t="inlineStr">
        <is>
          <t>A 47084-2021</t>
        </is>
      </c>
      <c r="B653" s="1" t="n">
        <v>44446.66140046297</v>
      </c>
      <c r="C653" s="1" t="n">
        <v>45952</v>
      </c>
      <c r="D653" t="inlineStr">
        <is>
          <t>VÄSTRA GÖTALANDS LÄN</t>
        </is>
      </c>
      <c r="E653" t="inlineStr">
        <is>
          <t>BENGTSFORS</t>
        </is>
      </c>
      <c r="G653" t="n">
        <v>1.7</v>
      </c>
      <c r="H653" t="n">
        <v>0</v>
      </c>
      <c r="I653" t="n">
        <v>1</v>
      </c>
      <c r="J653" t="n">
        <v>0</v>
      </c>
      <c r="K653" t="n">
        <v>0</v>
      </c>
      <c r="L653" t="n">
        <v>0</v>
      </c>
      <c r="M653" t="n">
        <v>0</v>
      </c>
      <c r="N653" t="n">
        <v>0</v>
      </c>
      <c r="O653" t="n">
        <v>0</v>
      </c>
      <c r="P653" t="n">
        <v>0</v>
      </c>
      <c r="Q653" t="n">
        <v>1</v>
      </c>
      <c r="R653" s="2" t="inlineStr">
        <is>
          <t>Bårdlav</t>
        </is>
      </c>
      <c r="S653">
        <f>HYPERLINK("https://klasma.github.io/Logging_1460/artfynd/A 47084-2021 artfynd.xlsx", "A 47084-2021")</f>
        <v/>
      </c>
      <c r="T653">
        <f>HYPERLINK("https://klasma.github.io/Logging_1460/kartor/A 47084-2021 karta.png", "A 47084-2021")</f>
        <v/>
      </c>
      <c r="V653">
        <f>HYPERLINK("https://klasma.github.io/Logging_1460/klagomål/A 47084-2021 FSC-klagomål.docx", "A 47084-2021")</f>
        <v/>
      </c>
      <c r="W653">
        <f>HYPERLINK("https://klasma.github.io/Logging_1460/klagomålsmail/A 47084-2021 FSC-klagomål mail.docx", "A 47084-2021")</f>
        <v/>
      </c>
      <c r="X653">
        <f>HYPERLINK("https://klasma.github.io/Logging_1460/tillsyn/A 47084-2021 tillsynsbegäran.docx", "A 47084-2021")</f>
        <v/>
      </c>
      <c r="Y653">
        <f>HYPERLINK("https://klasma.github.io/Logging_1460/tillsynsmail/A 47084-2021 tillsynsbegäran mail.docx", "A 47084-2021")</f>
        <v/>
      </c>
    </row>
    <row r="654" ht="15" customHeight="1">
      <c r="A654" t="inlineStr">
        <is>
          <t>A 25638-2025</t>
        </is>
      </c>
      <c r="B654" s="1" t="n">
        <v>45803.59976851852</v>
      </c>
      <c r="C654" s="1" t="n">
        <v>45952</v>
      </c>
      <c r="D654" t="inlineStr">
        <is>
          <t>VÄSTRA GÖTALANDS LÄN</t>
        </is>
      </c>
      <c r="E654" t="inlineStr">
        <is>
          <t>DALS-ED</t>
        </is>
      </c>
      <c r="G654" t="n">
        <v>1.2</v>
      </c>
      <c r="H654" t="n">
        <v>1</v>
      </c>
      <c r="I654" t="n">
        <v>0</v>
      </c>
      <c r="J654" t="n">
        <v>0</v>
      </c>
      <c r="K654" t="n">
        <v>0</v>
      </c>
      <c r="L654" t="n">
        <v>0</v>
      </c>
      <c r="M654" t="n">
        <v>0</v>
      </c>
      <c r="N654" t="n">
        <v>0</v>
      </c>
      <c r="O654" t="n">
        <v>0</v>
      </c>
      <c r="P654" t="n">
        <v>0</v>
      </c>
      <c r="Q654" t="n">
        <v>1</v>
      </c>
      <c r="R654" s="2" t="inlineStr">
        <is>
          <t>Nattskärra</t>
        </is>
      </c>
      <c r="S654">
        <f>HYPERLINK("https://klasma.github.io/Logging_1438/artfynd/A 25638-2025 artfynd.xlsx", "A 25638-2025")</f>
        <v/>
      </c>
      <c r="T654">
        <f>HYPERLINK("https://klasma.github.io/Logging_1438/kartor/A 25638-2025 karta.png", "A 25638-2025")</f>
        <v/>
      </c>
      <c r="V654">
        <f>HYPERLINK("https://klasma.github.io/Logging_1438/klagomål/A 25638-2025 FSC-klagomål.docx", "A 25638-2025")</f>
        <v/>
      </c>
      <c r="W654">
        <f>HYPERLINK("https://klasma.github.io/Logging_1438/klagomålsmail/A 25638-2025 FSC-klagomål mail.docx", "A 25638-2025")</f>
        <v/>
      </c>
      <c r="X654">
        <f>HYPERLINK("https://klasma.github.io/Logging_1438/tillsyn/A 25638-2025 tillsynsbegäran.docx", "A 25638-2025")</f>
        <v/>
      </c>
      <c r="Y654">
        <f>HYPERLINK("https://klasma.github.io/Logging_1438/tillsynsmail/A 25638-2025 tillsynsbegäran mail.docx", "A 25638-2025")</f>
        <v/>
      </c>
      <c r="Z654">
        <f>HYPERLINK("https://klasma.github.io/Logging_1438/fåglar/A 25638-2025 prioriterade fågelarter.docx", "A 25638-2025")</f>
        <v/>
      </c>
    </row>
    <row r="655" ht="15" customHeight="1">
      <c r="A655" t="inlineStr">
        <is>
          <t>A 17272-2023</t>
        </is>
      </c>
      <c r="B655" s="1" t="n">
        <v>45035.43792824074</v>
      </c>
      <c r="C655" s="1" t="n">
        <v>45952</v>
      </c>
      <c r="D655" t="inlineStr">
        <is>
          <t>VÄSTRA GÖTALANDS LÄN</t>
        </is>
      </c>
      <c r="E655" t="inlineStr">
        <is>
          <t>MARIESTAD</t>
        </is>
      </c>
      <c r="G655" t="n">
        <v>3</v>
      </c>
      <c r="H655" t="n">
        <v>0</v>
      </c>
      <c r="I655" t="n">
        <v>0</v>
      </c>
      <c r="J655" t="n">
        <v>1</v>
      </c>
      <c r="K655" t="n">
        <v>0</v>
      </c>
      <c r="L655" t="n">
        <v>0</v>
      </c>
      <c r="M655" t="n">
        <v>0</v>
      </c>
      <c r="N655" t="n">
        <v>0</v>
      </c>
      <c r="O655" t="n">
        <v>1</v>
      </c>
      <c r="P655" t="n">
        <v>0</v>
      </c>
      <c r="Q655" t="n">
        <v>1</v>
      </c>
      <c r="R655" s="2" t="inlineStr">
        <is>
          <t>Gullklöver</t>
        </is>
      </c>
      <c r="S655">
        <f>HYPERLINK("https://klasma.github.io/Logging_1493/artfynd/A 17272-2023 artfynd.xlsx", "A 17272-2023")</f>
        <v/>
      </c>
      <c r="T655">
        <f>HYPERLINK("https://klasma.github.io/Logging_1493/kartor/A 17272-2023 karta.png", "A 17272-2023")</f>
        <v/>
      </c>
      <c r="V655">
        <f>HYPERLINK("https://klasma.github.io/Logging_1493/klagomål/A 17272-2023 FSC-klagomål.docx", "A 17272-2023")</f>
        <v/>
      </c>
      <c r="W655">
        <f>HYPERLINK("https://klasma.github.io/Logging_1493/klagomålsmail/A 17272-2023 FSC-klagomål mail.docx", "A 17272-2023")</f>
        <v/>
      </c>
      <c r="X655">
        <f>HYPERLINK("https://klasma.github.io/Logging_1493/tillsyn/A 17272-2023 tillsynsbegäran.docx", "A 17272-2023")</f>
        <v/>
      </c>
      <c r="Y655">
        <f>HYPERLINK("https://klasma.github.io/Logging_1493/tillsynsmail/A 17272-2023 tillsynsbegäran mail.docx", "A 17272-2023")</f>
        <v/>
      </c>
    </row>
    <row r="656" ht="15" customHeight="1">
      <c r="A656" t="inlineStr">
        <is>
          <t>A 2504-2024</t>
        </is>
      </c>
      <c r="B656" s="1" t="n">
        <v>45313.46119212963</v>
      </c>
      <c r="C656" s="1" t="n">
        <v>45952</v>
      </c>
      <c r="D656" t="inlineStr">
        <is>
          <t>VÄSTRA GÖTALANDS LÄN</t>
        </is>
      </c>
      <c r="E656" t="inlineStr">
        <is>
          <t>BENGTSFORS</t>
        </is>
      </c>
      <c r="G656" t="n">
        <v>1.3</v>
      </c>
      <c r="H656" t="n">
        <v>0</v>
      </c>
      <c r="I656" t="n">
        <v>1</v>
      </c>
      <c r="J656" t="n">
        <v>0</v>
      </c>
      <c r="K656" t="n">
        <v>0</v>
      </c>
      <c r="L656" t="n">
        <v>0</v>
      </c>
      <c r="M656" t="n">
        <v>0</v>
      </c>
      <c r="N656" t="n">
        <v>0</v>
      </c>
      <c r="O656" t="n">
        <v>0</v>
      </c>
      <c r="P656" t="n">
        <v>0</v>
      </c>
      <c r="Q656" t="n">
        <v>1</v>
      </c>
      <c r="R656" s="2" t="inlineStr">
        <is>
          <t>Strutbräken</t>
        </is>
      </c>
      <c r="S656">
        <f>HYPERLINK("https://klasma.github.io/Logging_1460/artfynd/A 2504-2024 artfynd.xlsx", "A 2504-2024")</f>
        <v/>
      </c>
      <c r="T656">
        <f>HYPERLINK("https://klasma.github.io/Logging_1460/kartor/A 2504-2024 karta.png", "A 2504-2024")</f>
        <v/>
      </c>
      <c r="V656">
        <f>HYPERLINK("https://klasma.github.io/Logging_1460/klagomål/A 2504-2024 FSC-klagomål.docx", "A 2504-2024")</f>
        <v/>
      </c>
      <c r="W656">
        <f>HYPERLINK("https://klasma.github.io/Logging_1460/klagomålsmail/A 2504-2024 FSC-klagomål mail.docx", "A 2504-2024")</f>
        <v/>
      </c>
      <c r="X656">
        <f>HYPERLINK("https://klasma.github.io/Logging_1460/tillsyn/A 2504-2024 tillsynsbegäran.docx", "A 2504-2024")</f>
        <v/>
      </c>
      <c r="Y656">
        <f>HYPERLINK("https://klasma.github.io/Logging_1460/tillsynsmail/A 2504-2024 tillsynsbegäran mail.docx", "A 2504-2024")</f>
        <v/>
      </c>
    </row>
    <row r="657" ht="15" customHeight="1">
      <c r="A657" t="inlineStr">
        <is>
          <t>A 1591-2023</t>
        </is>
      </c>
      <c r="B657" s="1" t="n">
        <v>44937</v>
      </c>
      <c r="C657" s="1" t="n">
        <v>45952</v>
      </c>
      <c r="D657" t="inlineStr">
        <is>
          <t>VÄSTRA GÖTALANDS LÄN</t>
        </is>
      </c>
      <c r="E657" t="inlineStr">
        <is>
          <t>TÖREBODA</t>
        </is>
      </c>
      <c r="G657" t="n">
        <v>10.1</v>
      </c>
      <c r="H657" t="n">
        <v>0</v>
      </c>
      <c r="I657" t="n">
        <v>0</v>
      </c>
      <c r="J657" t="n">
        <v>1</v>
      </c>
      <c r="K657" t="n">
        <v>0</v>
      </c>
      <c r="L657" t="n">
        <v>0</v>
      </c>
      <c r="M657" t="n">
        <v>0</v>
      </c>
      <c r="N657" t="n">
        <v>0</v>
      </c>
      <c r="O657" t="n">
        <v>1</v>
      </c>
      <c r="P657" t="n">
        <v>0</v>
      </c>
      <c r="Q657" t="n">
        <v>1</v>
      </c>
      <c r="R657" s="2" t="inlineStr">
        <is>
          <t>Grantaggsvamp</t>
        </is>
      </c>
      <c r="S657">
        <f>HYPERLINK("https://klasma.github.io/Logging_1473/artfynd/A 1591-2023 artfynd.xlsx", "A 1591-2023")</f>
        <v/>
      </c>
      <c r="T657">
        <f>HYPERLINK("https://klasma.github.io/Logging_1473/kartor/A 1591-2023 karta.png", "A 1591-2023")</f>
        <v/>
      </c>
      <c r="V657">
        <f>HYPERLINK("https://klasma.github.io/Logging_1473/klagomål/A 1591-2023 FSC-klagomål.docx", "A 1591-2023")</f>
        <v/>
      </c>
      <c r="W657">
        <f>HYPERLINK("https://klasma.github.io/Logging_1473/klagomålsmail/A 1591-2023 FSC-klagomål mail.docx", "A 1591-2023")</f>
        <v/>
      </c>
      <c r="X657">
        <f>HYPERLINK("https://klasma.github.io/Logging_1473/tillsyn/A 1591-2023 tillsynsbegäran.docx", "A 1591-2023")</f>
        <v/>
      </c>
      <c r="Y657">
        <f>HYPERLINK("https://klasma.github.io/Logging_1473/tillsynsmail/A 1591-2023 tillsynsbegäran mail.docx", "A 1591-2023")</f>
        <v/>
      </c>
    </row>
    <row r="658" ht="15" customHeight="1">
      <c r="A658" t="inlineStr">
        <is>
          <t>A 25249-2025</t>
        </is>
      </c>
      <c r="B658" s="1" t="n">
        <v>45800.49765046296</v>
      </c>
      <c r="C658" s="1" t="n">
        <v>45952</v>
      </c>
      <c r="D658" t="inlineStr">
        <is>
          <t>VÄSTRA GÖTALANDS LÄN</t>
        </is>
      </c>
      <c r="E658" t="inlineStr">
        <is>
          <t>TRANEMO</t>
        </is>
      </c>
      <c r="F658" t="inlineStr">
        <is>
          <t>Sveaskog</t>
        </is>
      </c>
      <c r="G658" t="n">
        <v>4.1</v>
      </c>
      <c r="H658" t="n">
        <v>1</v>
      </c>
      <c r="I658" t="n">
        <v>0</v>
      </c>
      <c r="J658" t="n">
        <v>1</v>
      </c>
      <c r="K658" t="n">
        <v>0</v>
      </c>
      <c r="L658" t="n">
        <v>0</v>
      </c>
      <c r="M658" t="n">
        <v>0</v>
      </c>
      <c r="N658" t="n">
        <v>0</v>
      </c>
      <c r="O658" t="n">
        <v>1</v>
      </c>
      <c r="P658" t="n">
        <v>0</v>
      </c>
      <c r="Q658" t="n">
        <v>1</v>
      </c>
      <c r="R658" s="2" t="inlineStr">
        <is>
          <t>Spillkråka</t>
        </is>
      </c>
      <c r="S658">
        <f>HYPERLINK("https://klasma.github.io/Logging_1452/artfynd/A 25249-2025 artfynd.xlsx", "A 25249-2025")</f>
        <v/>
      </c>
      <c r="T658">
        <f>HYPERLINK("https://klasma.github.io/Logging_1452/kartor/A 25249-2025 karta.png", "A 25249-2025")</f>
        <v/>
      </c>
      <c r="V658">
        <f>HYPERLINK("https://klasma.github.io/Logging_1452/klagomål/A 25249-2025 FSC-klagomål.docx", "A 25249-2025")</f>
        <v/>
      </c>
      <c r="W658">
        <f>HYPERLINK("https://klasma.github.io/Logging_1452/klagomålsmail/A 25249-2025 FSC-klagomål mail.docx", "A 25249-2025")</f>
        <v/>
      </c>
      <c r="X658">
        <f>HYPERLINK("https://klasma.github.io/Logging_1452/tillsyn/A 25249-2025 tillsynsbegäran.docx", "A 25249-2025")</f>
        <v/>
      </c>
      <c r="Y658">
        <f>HYPERLINK("https://klasma.github.io/Logging_1452/tillsynsmail/A 25249-2025 tillsynsbegäran mail.docx", "A 25249-2025")</f>
        <v/>
      </c>
      <c r="Z658">
        <f>HYPERLINK("https://klasma.github.io/Logging_1452/fåglar/A 25249-2025 prioriterade fågelarter.docx", "A 25249-2025")</f>
        <v/>
      </c>
    </row>
    <row r="659" ht="15" customHeight="1">
      <c r="A659" t="inlineStr">
        <is>
          <t>A 50084-2025</t>
        </is>
      </c>
      <c r="B659" s="1" t="n">
        <v>45943.47586805555</v>
      </c>
      <c r="C659" s="1" t="n">
        <v>45952</v>
      </c>
      <c r="D659" t="inlineStr">
        <is>
          <t>VÄSTRA GÖTALANDS LÄN</t>
        </is>
      </c>
      <c r="E659" t="inlineStr">
        <is>
          <t>BOLLEBYGD</t>
        </is>
      </c>
      <c r="G659" t="n">
        <v>12.5</v>
      </c>
      <c r="H659" t="n">
        <v>1</v>
      </c>
      <c r="I659" t="n">
        <v>0</v>
      </c>
      <c r="J659" t="n">
        <v>0</v>
      </c>
      <c r="K659" t="n">
        <v>0</v>
      </c>
      <c r="L659" t="n">
        <v>0</v>
      </c>
      <c r="M659" t="n">
        <v>0</v>
      </c>
      <c r="N659" t="n">
        <v>0</v>
      </c>
      <c r="O659" t="n">
        <v>0</v>
      </c>
      <c r="P659" t="n">
        <v>0</v>
      </c>
      <c r="Q659" t="n">
        <v>1</v>
      </c>
      <c r="R659" s="2" t="inlineStr">
        <is>
          <t>Revlummer</t>
        </is>
      </c>
      <c r="S659">
        <f>HYPERLINK("https://klasma.github.io/Logging_1443/artfynd/A 50084-2025 artfynd.xlsx", "A 50084-2025")</f>
        <v/>
      </c>
      <c r="T659">
        <f>HYPERLINK("https://klasma.github.io/Logging_1443/kartor/A 50084-2025 karta.png", "A 50084-2025")</f>
        <v/>
      </c>
      <c r="V659">
        <f>HYPERLINK("https://klasma.github.io/Logging_1443/klagomål/A 50084-2025 FSC-klagomål.docx", "A 50084-2025")</f>
        <v/>
      </c>
      <c r="W659">
        <f>HYPERLINK("https://klasma.github.io/Logging_1443/klagomålsmail/A 50084-2025 FSC-klagomål mail.docx", "A 50084-2025")</f>
        <v/>
      </c>
      <c r="X659">
        <f>HYPERLINK("https://klasma.github.io/Logging_1443/tillsyn/A 50084-2025 tillsynsbegäran.docx", "A 50084-2025")</f>
        <v/>
      </c>
      <c r="Y659">
        <f>HYPERLINK("https://klasma.github.io/Logging_1443/tillsynsmail/A 50084-2025 tillsynsbegäran mail.docx", "A 50084-2025")</f>
        <v/>
      </c>
    </row>
    <row r="660" ht="15" customHeight="1">
      <c r="A660" t="inlineStr">
        <is>
          <t>A 12084-2025</t>
        </is>
      </c>
      <c r="B660" s="1" t="n">
        <v>45728.95387731482</v>
      </c>
      <c r="C660" s="1" t="n">
        <v>45952</v>
      </c>
      <c r="D660" t="inlineStr">
        <is>
          <t>VÄSTRA GÖTALANDS LÄN</t>
        </is>
      </c>
      <c r="E660" t="inlineStr">
        <is>
          <t>ALE</t>
        </is>
      </c>
      <c r="G660" t="n">
        <v>2.4</v>
      </c>
      <c r="H660" t="n">
        <v>1</v>
      </c>
      <c r="I660" t="n">
        <v>0</v>
      </c>
      <c r="J660" t="n">
        <v>1</v>
      </c>
      <c r="K660" t="n">
        <v>0</v>
      </c>
      <c r="L660" t="n">
        <v>0</v>
      </c>
      <c r="M660" t="n">
        <v>0</v>
      </c>
      <c r="N660" t="n">
        <v>0</v>
      </c>
      <c r="O660" t="n">
        <v>1</v>
      </c>
      <c r="P660" t="n">
        <v>0</v>
      </c>
      <c r="Q660" t="n">
        <v>1</v>
      </c>
      <c r="R660" s="2" t="inlineStr">
        <is>
          <t>Spillkråka</t>
        </is>
      </c>
      <c r="S660">
        <f>HYPERLINK("https://klasma.github.io/Logging_1440/artfynd/A 12084-2025 artfynd.xlsx", "A 12084-2025")</f>
        <v/>
      </c>
      <c r="T660">
        <f>HYPERLINK("https://klasma.github.io/Logging_1440/kartor/A 12084-2025 karta.png", "A 12084-2025")</f>
        <v/>
      </c>
      <c r="V660">
        <f>HYPERLINK("https://klasma.github.io/Logging_1440/klagomål/A 12084-2025 FSC-klagomål.docx", "A 12084-2025")</f>
        <v/>
      </c>
      <c r="W660">
        <f>HYPERLINK("https://klasma.github.io/Logging_1440/klagomålsmail/A 12084-2025 FSC-klagomål mail.docx", "A 12084-2025")</f>
        <v/>
      </c>
      <c r="X660">
        <f>HYPERLINK("https://klasma.github.io/Logging_1440/tillsyn/A 12084-2025 tillsynsbegäran.docx", "A 12084-2025")</f>
        <v/>
      </c>
      <c r="Y660">
        <f>HYPERLINK("https://klasma.github.io/Logging_1440/tillsynsmail/A 12084-2025 tillsynsbegäran mail.docx", "A 12084-2025")</f>
        <v/>
      </c>
      <c r="Z660">
        <f>HYPERLINK("https://klasma.github.io/Logging_1440/fåglar/A 12084-2025 prioriterade fågelarter.docx", "A 12084-2025")</f>
        <v/>
      </c>
    </row>
    <row r="661" ht="15" customHeight="1">
      <c r="A661" t="inlineStr">
        <is>
          <t>A 41346-2025</t>
        </is>
      </c>
      <c r="B661" s="1" t="n">
        <v>45899.48846064815</v>
      </c>
      <c r="C661" s="1" t="n">
        <v>45952</v>
      </c>
      <c r="D661" t="inlineStr">
        <is>
          <t>VÄSTRA GÖTALANDS LÄN</t>
        </is>
      </c>
      <c r="E661" t="inlineStr">
        <is>
          <t>TIDAHOLM</t>
        </is>
      </c>
      <c r="G661" t="n">
        <v>2.7</v>
      </c>
      <c r="H661" t="n">
        <v>0</v>
      </c>
      <c r="I661" t="n">
        <v>1</v>
      </c>
      <c r="J661" t="n">
        <v>0</v>
      </c>
      <c r="K661" t="n">
        <v>0</v>
      </c>
      <c r="L661" t="n">
        <v>0</v>
      </c>
      <c r="M661" t="n">
        <v>0</v>
      </c>
      <c r="N661" t="n">
        <v>0</v>
      </c>
      <c r="O661" t="n">
        <v>0</v>
      </c>
      <c r="P661" t="n">
        <v>0</v>
      </c>
      <c r="Q661" t="n">
        <v>1</v>
      </c>
      <c r="R661" s="2" t="inlineStr">
        <is>
          <t>Guldlockmossa</t>
        </is>
      </c>
      <c r="S661">
        <f>HYPERLINK("https://klasma.github.io/Logging_1498/artfynd/A 41346-2025 artfynd.xlsx", "A 41346-2025")</f>
        <v/>
      </c>
      <c r="T661">
        <f>HYPERLINK("https://klasma.github.io/Logging_1498/kartor/A 41346-2025 karta.png", "A 41346-2025")</f>
        <v/>
      </c>
      <c r="V661">
        <f>HYPERLINK("https://klasma.github.io/Logging_1498/klagomål/A 41346-2025 FSC-klagomål.docx", "A 41346-2025")</f>
        <v/>
      </c>
      <c r="W661">
        <f>HYPERLINK("https://klasma.github.io/Logging_1498/klagomålsmail/A 41346-2025 FSC-klagomål mail.docx", "A 41346-2025")</f>
        <v/>
      </c>
      <c r="X661">
        <f>HYPERLINK("https://klasma.github.io/Logging_1498/tillsyn/A 41346-2025 tillsynsbegäran.docx", "A 41346-2025")</f>
        <v/>
      </c>
      <c r="Y661">
        <f>HYPERLINK("https://klasma.github.io/Logging_1498/tillsynsmail/A 41346-2025 tillsynsbegäran mail.docx", "A 41346-2025")</f>
        <v/>
      </c>
    </row>
    <row r="662" ht="15" customHeight="1">
      <c r="A662" t="inlineStr">
        <is>
          <t>A 41538-2025</t>
        </is>
      </c>
      <c r="B662" s="1" t="n">
        <v>45901.56631944444</v>
      </c>
      <c r="C662" s="1" t="n">
        <v>45952</v>
      </c>
      <c r="D662" t="inlineStr">
        <is>
          <t>VÄSTRA GÖTALANDS LÄN</t>
        </is>
      </c>
      <c r="E662" t="inlineStr">
        <is>
          <t>BENGTSFORS</t>
        </is>
      </c>
      <c r="G662" t="n">
        <v>1.1</v>
      </c>
      <c r="H662" t="n">
        <v>1</v>
      </c>
      <c r="I662" t="n">
        <v>0</v>
      </c>
      <c r="J662" t="n">
        <v>0</v>
      </c>
      <c r="K662" t="n">
        <v>0</v>
      </c>
      <c r="L662" t="n">
        <v>0</v>
      </c>
      <c r="M662" t="n">
        <v>0</v>
      </c>
      <c r="N662" t="n">
        <v>0</v>
      </c>
      <c r="O662" t="n">
        <v>0</v>
      </c>
      <c r="P662" t="n">
        <v>0</v>
      </c>
      <c r="Q662" t="n">
        <v>1</v>
      </c>
      <c r="R662" s="2" t="inlineStr">
        <is>
          <t>Revlummer</t>
        </is>
      </c>
      <c r="S662">
        <f>HYPERLINK("https://klasma.github.io/Logging_1460/artfynd/A 41538-2025 artfynd.xlsx", "A 41538-2025")</f>
        <v/>
      </c>
      <c r="T662">
        <f>HYPERLINK("https://klasma.github.io/Logging_1460/kartor/A 41538-2025 karta.png", "A 41538-2025")</f>
        <v/>
      </c>
      <c r="V662">
        <f>HYPERLINK("https://klasma.github.io/Logging_1460/klagomål/A 41538-2025 FSC-klagomål.docx", "A 41538-2025")</f>
        <v/>
      </c>
      <c r="W662">
        <f>HYPERLINK("https://klasma.github.io/Logging_1460/klagomålsmail/A 41538-2025 FSC-klagomål mail.docx", "A 41538-2025")</f>
        <v/>
      </c>
      <c r="X662">
        <f>HYPERLINK("https://klasma.github.io/Logging_1460/tillsyn/A 41538-2025 tillsynsbegäran.docx", "A 41538-2025")</f>
        <v/>
      </c>
      <c r="Y662">
        <f>HYPERLINK("https://klasma.github.io/Logging_1460/tillsynsmail/A 41538-2025 tillsynsbegäran mail.docx", "A 41538-2025")</f>
        <v/>
      </c>
    </row>
    <row r="663" ht="15" customHeight="1">
      <c r="A663" t="inlineStr">
        <is>
          <t>A 17920-2023</t>
        </is>
      </c>
      <c r="B663" s="1" t="n">
        <v>45040</v>
      </c>
      <c r="C663" s="1" t="n">
        <v>45952</v>
      </c>
      <c r="D663" t="inlineStr">
        <is>
          <t>VÄSTRA GÖTALANDS LÄN</t>
        </is>
      </c>
      <c r="E663" t="inlineStr">
        <is>
          <t>VÄNERSBORG</t>
        </is>
      </c>
      <c r="G663" t="n">
        <v>1.2</v>
      </c>
      <c r="H663" t="n">
        <v>1</v>
      </c>
      <c r="I663" t="n">
        <v>0</v>
      </c>
      <c r="J663" t="n">
        <v>0</v>
      </c>
      <c r="K663" t="n">
        <v>0</v>
      </c>
      <c r="L663" t="n">
        <v>0</v>
      </c>
      <c r="M663" t="n">
        <v>0</v>
      </c>
      <c r="N663" t="n">
        <v>0</v>
      </c>
      <c r="O663" t="n">
        <v>0</v>
      </c>
      <c r="P663" t="n">
        <v>0</v>
      </c>
      <c r="Q663" t="n">
        <v>1</v>
      </c>
      <c r="R663" s="2" t="inlineStr">
        <is>
          <t>Vanlig padda</t>
        </is>
      </c>
      <c r="S663">
        <f>HYPERLINK("https://klasma.github.io/Logging_1487/artfynd/A 17920-2023 artfynd.xlsx", "A 17920-2023")</f>
        <v/>
      </c>
      <c r="T663">
        <f>HYPERLINK("https://klasma.github.io/Logging_1487/kartor/A 17920-2023 karta.png", "A 17920-2023")</f>
        <v/>
      </c>
      <c r="V663">
        <f>HYPERLINK("https://klasma.github.io/Logging_1487/klagomål/A 17920-2023 FSC-klagomål.docx", "A 17920-2023")</f>
        <v/>
      </c>
      <c r="W663">
        <f>HYPERLINK("https://klasma.github.io/Logging_1487/klagomålsmail/A 17920-2023 FSC-klagomål mail.docx", "A 17920-2023")</f>
        <v/>
      </c>
      <c r="X663">
        <f>HYPERLINK("https://klasma.github.io/Logging_1487/tillsyn/A 17920-2023 tillsynsbegäran.docx", "A 17920-2023")</f>
        <v/>
      </c>
      <c r="Y663">
        <f>HYPERLINK("https://klasma.github.io/Logging_1487/tillsynsmail/A 17920-2023 tillsynsbegäran mail.docx", "A 17920-2023")</f>
        <v/>
      </c>
    </row>
    <row r="664" ht="15" customHeight="1">
      <c r="A664" t="inlineStr">
        <is>
          <t>A 47426-2023</t>
        </is>
      </c>
      <c r="B664" s="1" t="n">
        <v>45202</v>
      </c>
      <c r="C664" s="1" t="n">
        <v>45952</v>
      </c>
      <c r="D664" t="inlineStr">
        <is>
          <t>VÄSTRA GÖTALANDS LÄN</t>
        </is>
      </c>
      <c r="E664" t="inlineStr">
        <is>
          <t>FALKÖPING</t>
        </is>
      </c>
      <c r="G664" t="n">
        <v>0.3</v>
      </c>
      <c r="H664" t="n">
        <v>0</v>
      </c>
      <c r="I664" t="n">
        <v>1</v>
      </c>
      <c r="J664" t="n">
        <v>0</v>
      </c>
      <c r="K664" t="n">
        <v>0</v>
      </c>
      <c r="L664" t="n">
        <v>0</v>
      </c>
      <c r="M664" t="n">
        <v>0</v>
      </c>
      <c r="N664" t="n">
        <v>0</v>
      </c>
      <c r="O664" t="n">
        <v>0</v>
      </c>
      <c r="P664" t="n">
        <v>0</v>
      </c>
      <c r="Q664" t="n">
        <v>1</v>
      </c>
      <c r="R664" s="2" t="inlineStr">
        <is>
          <t>Blåmossa</t>
        </is>
      </c>
      <c r="S664">
        <f>HYPERLINK("https://klasma.github.io/Logging_1499/artfynd/A 47426-2023 artfynd.xlsx", "A 47426-2023")</f>
        <v/>
      </c>
      <c r="T664">
        <f>HYPERLINK("https://klasma.github.io/Logging_1499/kartor/A 47426-2023 karta.png", "A 47426-2023")</f>
        <v/>
      </c>
      <c r="V664">
        <f>HYPERLINK("https://klasma.github.io/Logging_1499/klagomål/A 47426-2023 FSC-klagomål.docx", "A 47426-2023")</f>
        <v/>
      </c>
      <c r="W664">
        <f>HYPERLINK("https://klasma.github.io/Logging_1499/klagomålsmail/A 47426-2023 FSC-klagomål mail.docx", "A 47426-2023")</f>
        <v/>
      </c>
      <c r="X664">
        <f>HYPERLINK("https://klasma.github.io/Logging_1499/tillsyn/A 47426-2023 tillsynsbegäran.docx", "A 47426-2023")</f>
        <v/>
      </c>
      <c r="Y664">
        <f>HYPERLINK("https://klasma.github.io/Logging_1499/tillsynsmail/A 47426-2023 tillsynsbegäran mail.docx", "A 47426-2023")</f>
        <v/>
      </c>
    </row>
    <row r="665" ht="15" customHeight="1">
      <c r="A665" t="inlineStr">
        <is>
          <t>A 39240-2025</t>
        </is>
      </c>
      <c r="B665" s="1" t="n">
        <v>45889.33890046296</v>
      </c>
      <c r="C665" s="1" t="n">
        <v>45952</v>
      </c>
      <c r="D665" t="inlineStr">
        <is>
          <t>VÄSTRA GÖTALANDS LÄN</t>
        </is>
      </c>
      <c r="E665" t="inlineStr">
        <is>
          <t>ALINGSÅS</t>
        </is>
      </c>
      <c r="G665" t="n">
        <v>4.8</v>
      </c>
      <c r="H665" t="n">
        <v>1</v>
      </c>
      <c r="I665" t="n">
        <v>0</v>
      </c>
      <c r="J665" t="n">
        <v>0</v>
      </c>
      <c r="K665" t="n">
        <v>1</v>
      </c>
      <c r="L665" t="n">
        <v>0</v>
      </c>
      <c r="M665" t="n">
        <v>0</v>
      </c>
      <c r="N665" t="n">
        <v>0</v>
      </c>
      <c r="O665" t="n">
        <v>1</v>
      </c>
      <c r="P665" t="n">
        <v>1</v>
      </c>
      <c r="Q665" t="n">
        <v>1</v>
      </c>
      <c r="R665" s="2" t="inlineStr">
        <is>
          <t>Knärot</t>
        </is>
      </c>
      <c r="S665">
        <f>HYPERLINK("https://klasma.github.io/Logging_1489/artfynd/A 39240-2025 artfynd.xlsx", "A 39240-2025")</f>
        <v/>
      </c>
      <c r="T665">
        <f>HYPERLINK("https://klasma.github.io/Logging_1489/kartor/A 39240-2025 karta.png", "A 39240-2025")</f>
        <v/>
      </c>
      <c r="U665">
        <f>HYPERLINK("https://klasma.github.io/Logging_1489/knärot/A 39240-2025 karta knärot.png", "A 39240-2025")</f>
        <v/>
      </c>
      <c r="V665">
        <f>HYPERLINK("https://klasma.github.io/Logging_1489/klagomål/A 39240-2025 FSC-klagomål.docx", "A 39240-2025")</f>
        <v/>
      </c>
      <c r="W665">
        <f>HYPERLINK("https://klasma.github.io/Logging_1489/klagomålsmail/A 39240-2025 FSC-klagomål mail.docx", "A 39240-2025")</f>
        <v/>
      </c>
      <c r="X665">
        <f>HYPERLINK("https://klasma.github.io/Logging_1489/tillsyn/A 39240-2025 tillsynsbegäran.docx", "A 39240-2025")</f>
        <v/>
      </c>
      <c r="Y665">
        <f>HYPERLINK("https://klasma.github.io/Logging_1489/tillsynsmail/A 39240-2025 tillsynsbegäran mail.docx", "A 39240-2025")</f>
        <v/>
      </c>
    </row>
    <row r="666" ht="15" customHeight="1">
      <c r="A666" t="inlineStr">
        <is>
          <t>A 37767-2023</t>
        </is>
      </c>
      <c r="B666" s="1" t="n">
        <v>45159</v>
      </c>
      <c r="C666" s="1" t="n">
        <v>45952</v>
      </c>
      <c r="D666" t="inlineStr">
        <is>
          <t>VÄSTRA GÖTALANDS LÄN</t>
        </is>
      </c>
      <c r="E666" t="inlineStr">
        <is>
          <t>GULLSPÅNG</t>
        </is>
      </c>
      <c r="G666" t="n">
        <v>21.1</v>
      </c>
      <c r="H666" t="n">
        <v>0</v>
      </c>
      <c r="I666" t="n">
        <v>1</v>
      </c>
      <c r="J666" t="n">
        <v>0</v>
      </c>
      <c r="K666" t="n">
        <v>0</v>
      </c>
      <c r="L666" t="n">
        <v>0</v>
      </c>
      <c r="M666" t="n">
        <v>0</v>
      </c>
      <c r="N666" t="n">
        <v>0</v>
      </c>
      <c r="O666" t="n">
        <v>0</v>
      </c>
      <c r="P666" t="n">
        <v>0</v>
      </c>
      <c r="Q666" t="n">
        <v>1</v>
      </c>
      <c r="R666" s="2" t="inlineStr">
        <is>
          <t>Sotlav</t>
        </is>
      </c>
      <c r="S666">
        <f>HYPERLINK("https://klasma.github.io/Logging_1447/artfynd/A 37767-2023 artfynd.xlsx", "A 37767-2023")</f>
        <v/>
      </c>
      <c r="T666">
        <f>HYPERLINK("https://klasma.github.io/Logging_1447/kartor/A 37767-2023 karta.png", "A 37767-2023")</f>
        <v/>
      </c>
      <c r="V666">
        <f>HYPERLINK("https://klasma.github.io/Logging_1447/klagomål/A 37767-2023 FSC-klagomål.docx", "A 37767-2023")</f>
        <v/>
      </c>
      <c r="W666">
        <f>HYPERLINK("https://klasma.github.io/Logging_1447/klagomålsmail/A 37767-2023 FSC-klagomål mail.docx", "A 37767-2023")</f>
        <v/>
      </c>
      <c r="X666">
        <f>HYPERLINK("https://klasma.github.io/Logging_1447/tillsyn/A 37767-2023 tillsynsbegäran.docx", "A 37767-2023")</f>
        <v/>
      </c>
      <c r="Y666">
        <f>HYPERLINK("https://klasma.github.io/Logging_1447/tillsynsmail/A 37767-2023 tillsynsbegäran mail.docx", "A 37767-2023")</f>
        <v/>
      </c>
    </row>
    <row r="667" ht="15" customHeight="1">
      <c r="A667" t="inlineStr">
        <is>
          <t>A 10764-2025</t>
        </is>
      </c>
      <c r="B667" s="1" t="n">
        <v>45722</v>
      </c>
      <c r="C667" s="1" t="n">
        <v>45952</v>
      </c>
      <c r="D667" t="inlineStr">
        <is>
          <t>VÄSTRA GÖTALANDS LÄN</t>
        </is>
      </c>
      <c r="E667" t="inlineStr">
        <is>
          <t>TANUM</t>
        </is>
      </c>
      <c r="G667" t="n">
        <v>12.6</v>
      </c>
      <c r="H667" t="n">
        <v>1</v>
      </c>
      <c r="I667" t="n">
        <v>1</v>
      </c>
      <c r="J667" t="n">
        <v>0</v>
      </c>
      <c r="K667" t="n">
        <v>0</v>
      </c>
      <c r="L667" t="n">
        <v>0</v>
      </c>
      <c r="M667" t="n">
        <v>0</v>
      </c>
      <c r="N667" t="n">
        <v>0</v>
      </c>
      <c r="O667" t="n">
        <v>0</v>
      </c>
      <c r="P667" t="n">
        <v>0</v>
      </c>
      <c r="Q667" t="n">
        <v>1</v>
      </c>
      <c r="R667" s="2" t="inlineStr">
        <is>
          <t>Spindelblomster</t>
        </is>
      </c>
      <c r="S667">
        <f>HYPERLINK("https://klasma.github.io/Logging_1435/artfynd/A 10764-2025 artfynd.xlsx", "A 10764-2025")</f>
        <v/>
      </c>
      <c r="T667">
        <f>HYPERLINK("https://klasma.github.io/Logging_1435/kartor/A 10764-2025 karta.png", "A 10764-2025")</f>
        <v/>
      </c>
      <c r="V667">
        <f>HYPERLINK("https://klasma.github.io/Logging_1435/klagomål/A 10764-2025 FSC-klagomål.docx", "A 10764-2025")</f>
        <v/>
      </c>
      <c r="W667">
        <f>HYPERLINK("https://klasma.github.io/Logging_1435/klagomålsmail/A 10764-2025 FSC-klagomål mail.docx", "A 10764-2025")</f>
        <v/>
      </c>
      <c r="X667">
        <f>HYPERLINK("https://klasma.github.io/Logging_1435/tillsyn/A 10764-2025 tillsynsbegäran.docx", "A 10764-2025")</f>
        <v/>
      </c>
      <c r="Y667">
        <f>HYPERLINK("https://klasma.github.io/Logging_1435/tillsynsmail/A 10764-2025 tillsynsbegäran mail.docx", "A 10764-2025")</f>
        <v/>
      </c>
    </row>
    <row r="668" ht="15" customHeight="1">
      <c r="A668" t="inlineStr">
        <is>
          <t>A 50068-2025</t>
        </is>
      </c>
      <c r="B668" s="1" t="n">
        <v>45943</v>
      </c>
      <c r="C668" s="1" t="n">
        <v>45952</v>
      </c>
      <c r="D668" t="inlineStr">
        <is>
          <t>VÄSTRA GÖTALANDS LÄN</t>
        </is>
      </c>
      <c r="E668" t="inlineStr">
        <is>
          <t>BORÅS</t>
        </is>
      </c>
      <c r="F668" t="inlineStr">
        <is>
          <t>Kommuner</t>
        </is>
      </c>
      <c r="G668" t="n">
        <v>1.2</v>
      </c>
      <c r="H668" t="n">
        <v>0</v>
      </c>
      <c r="I668" t="n">
        <v>1</v>
      </c>
      <c r="J668" t="n">
        <v>0</v>
      </c>
      <c r="K668" t="n">
        <v>0</v>
      </c>
      <c r="L668" t="n">
        <v>0</v>
      </c>
      <c r="M668" t="n">
        <v>0</v>
      </c>
      <c r="N668" t="n">
        <v>0</v>
      </c>
      <c r="O668" t="n">
        <v>0</v>
      </c>
      <c r="P668" t="n">
        <v>0</v>
      </c>
      <c r="Q668" t="n">
        <v>1</v>
      </c>
      <c r="R668" s="2" t="inlineStr">
        <is>
          <t>Brandticka</t>
        </is>
      </c>
      <c r="S668">
        <f>HYPERLINK("https://klasma.github.io/Logging_1490/artfynd/A 50068-2025 artfynd.xlsx", "A 50068-2025")</f>
        <v/>
      </c>
      <c r="T668">
        <f>HYPERLINK("https://klasma.github.io/Logging_1490/kartor/A 50068-2025 karta.png", "A 50068-2025")</f>
        <v/>
      </c>
      <c r="V668">
        <f>HYPERLINK("https://klasma.github.io/Logging_1490/klagomål/A 50068-2025 FSC-klagomål.docx", "A 50068-2025")</f>
        <v/>
      </c>
      <c r="W668">
        <f>HYPERLINK("https://klasma.github.io/Logging_1490/klagomålsmail/A 50068-2025 FSC-klagomål mail.docx", "A 50068-2025")</f>
        <v/>
      </c>
      <c r="X668">
        <f>HYPERLINK("https://klasma.github.io/Logging_1490/tillsyn/A 50068-2025 tillsynsbegäran.docx", "A 50068-2025")</f>
        <v/>
      </c>
      <c r="Y668">
        <f>HYPERLINK("https://klasma.github.io/Logging_1490/tillsynsmail/A 50068-2025 tillsynsbegäran mail.docx", "A 50068-2025")</f>
        <v/>
      </c>
    </row>
    <row r="669" ht="15" customHeight="1">
      <c r="A669" t="inlineStr">
        <is>
          <t>A 47656-2024</t>
        </is>
      </c>
      <c r="B669" s="1" t="n">
        <v>45588.3856712963</v>
      </c>
      <c r="C669" s="1" t="n">
        <v>45952</v>
      </c>
      <c r="D669" t="inlineStr">
        <is>
          <t>VÄSTRA GÖTALANDS LÄN</t>
        </is>
      </c>
      <c r="E669" t="inlineStr">
        <is>
          <t>DALS-ED</t>
        </is>
      </c>
      <c r="G669" t="n">
        <v>7.3</v>
      </c>
      <c r="H669" t="n">
        <v>1</v>
      </c>
      <c r="I669" t="n">
        <v>0</v>
      </c>
      <c r="J669" t="n">
        <v>1</v>
      </c>
      <c r="K669" t="n">
        <v>0</v>
      </c>
      <c r="L669" t="n">
        <v>0</v>
      </c>
      <c r="M669" t="n">
        <v>0</v>
      </c>
      <c r="N669" t="n">
        <v>0</v>
      </c>
      <c r="O669" t="n">
        <v>1</v>
      </c>
      <c r="P669" t="n">
        <v>0</v>
      </c>
      <c r="Q669" t="n">
        <v>1</v>
      </c>
      <c r="R669" s="2" t="inlineStr">
        <is>
          <t>Tretåig hackspett</t>
        </is>
      </c>
      <c r="S669">
        <f>HYPERLINK("https://klasma.github.io/Logging_1438/artfynd/A 47656-2024 artfynd.xlsx", "A 47656-2024")</f>
        <v/>
      </c>
      <c r="T669">
        <f>HYPERLINK("https://klasma.github.io/Logging_1438/kartor/A 47656-2024 karta.png", "A 47656-2024")</f>
        <v/>
      </c>
      <c r="V669">
        <f>HYPERLINK("https://klasma.github.io/Logging_1438/klagomål/A 47656-2024 FSC-klagomål.docx", "A 47656-2024")</f>
        <v/>
      </c>
      <c r="W669">
        <f>HYPERLINK("https://klasma.github.io/Logging_1438/klagomålsmail/A 47656-2024 FSC-klagomål mail.docx", "A 47656-2024")</f>
        <v/>
      </c>
      <c r="X669">
        <f>HYPERLINK("https://klasma.github.io/Logging_1438/tillsyn/A 47656-2024 tillsynsbegäran.docx", "A 47656-2024")</f>
        <v/>
      </c>
      <c r="Y669">
        <f>HYPERLINK("https://klasma.github.io/Logging_1438/tillsynsmail/A 47656-2024 tillsynsbegäran mail.docx", "A 47656-2024")</f>
        <v/>
      </c>
      <c r="Z669">
        <f>HYPERLINK("https://klasma.github.io/Logging_1438/fåglar/A 47656-2024 prioriterade fågelarter.docx", "A 47656-2024")</f>
        <v/>
      </c>
    </row>
    <row r="670" ht="15" customHeight="1">
      <c r="A670" t="inlineStr">
        <is>
          <t>A 62072-2024</t>
        </is>
      </c>
      <c r="B670" s="1" t="n">
        <v>45656</v>
      </c>
      <c r="C670" s="1" t="n">
        <v>45952</v>
      </c>
      <c r="D670" t="inlineStr">
        <is>
          <t>VÄSTRA GÖTALANDS LÄN</t>
        </is>
      </c>
      <c r="E670" t="inlineStr">
        <is>
          <t>UDDEVALLA</t>
        </is>
      </c>
      <c r="F670" t="inlineStr">
        <is>
          <t>Kommuner</t>
        </is>
      </c>
      <c r="G670" t="n">
        <v>1.8</v>
      </c>
      <c r="H670" t="n">
        <v>1</v>
      </c>
      <c r="I670" t="n">
        <v>0</v>
      </c>
      <c r="J670" t="n">
        <v>1</v>
      </c>
      <c r="K670" t="n">
        <v>0</v>
      </c>
      <c r="L670" t="n">
        <v>0</v>
      </c>
      <c r="M670" t="n">
        <v>0</v>
      </c>
      <c r="N670" t="n">
        <v>0</v>
      </c>
      <c r="O670" t="n">
        <v>1</v>
      </c>
      <c r="P670" t="n">
        <v>0</v>
      </c>
      <c r="Q670" t="n">
        <v>1</v>
      </c>
      <c r="R670" s="2" t="inlineStr">
        <is>
          <t>Mindre hackspett</t>
        </is>
      </c>
      <c r="S670">
        <f>HYPERLINK("https://klasma.github.io/Logging_1485/artfynd/A 62072-2024 artfynd.xlsx", "A 62072-2024")</f>
        <v/>
      </c>
      <c r="T670">
        <f>HYPERLINK("https://klasma.github.io/Logging_1485/kartor/A 62072-2024 karta.png", "A 62072-2024")</f>
        <v/>
      </c>
      <c r="V670">
        <f>HYPERLINK("https://klasma.github.io/Logging_1485/klagomål/A 62072-2024 FSC-klagomål.docx", "A 62072-2024")</f>
        <v/>
      </c>
      <c r="W670">
        <f>HYPERLINK("https://klasma.github.io/Logging_1485/klagomålsmail/A 62072-2024 FSC-klagomål mail.docx", "A 62072-2024")</f>
        <v/>
      </c>
      <c r="X670">
        <f>HYPERLINK("https://klasma.github.io/Logging_1485/tillsyn/A 62072-2024 tillsynsbegäran.docx", "A 62072-2024")</f>
        <v/>
      </c>
      <c r="Y670">
        <f>HYPERLINK("https://klasma.github.io/Logging_1485/tillsynsmail/A 62072-2024 tillsynsbegäran mail.docx", "A 62072-2024")</f>
        <v/>
      </c>
      <c r="Z670">
        <f>HYPERLINK("https://klasma.github.io/Logging_1485/fåglar/A 62072-2024 prioriterade fågelarter.docx", "A 62072-2024")</f>
        <v/>
      </c>
    </row>
    <row r="671" ht="15" customHeight="1">
      <c r="A671" t="inlineStr">
        <is>
          <t>A 50366-2025</t>
        </is>
      </c>
      <c r="B671" s="1" t="n">
        <v>45944.56960648148</v>
      </c>
      <c r="C671" s="1" t="n">
        <v>45952</v>
      </c>
      <c r="D671" t="inlineStr">
        <is>
          <t>VÄSTRA GÖTALANDS LÄN</t>
        </is>
      </c>
      <c r="E671" t="inlineStr">
        <is>
          <t>GÖTENE</t>
        </is>
      </c>
      <c r="G671" t="n">
        <v>2</v>
      </c>
      <c r="H671" t="n">
        <v>0</v>
      </c>
      <c r="I671" t="n">
        <v>0</v>
      </c>
      <c r="J671" t="n">
        <v>1</v>
      </c>
      <c r="K671" t="n">
        <v>0</v>
      </c>
      <c r="L671" t="n">
        <v>0</v>
      </c>
      <c r="M671" t="n">
        <v>0</v>
      </c>
      <c r="N671" t="n">
        <v>0</v>
      </c>
      <c r="O671" t="n">
        <v>1</v>
      </c>
      <c r="P671" t="n">
        <v>0</v>
      </c>
      <c r="Q671" t="n">
        <v>1</v>
      </c>
      <c r="R671" s="2" t="inlineStr">
        <is>
          <t>Korallticka</t>
        </is>
      </c>
      <c r="S671">
        <f>HYPERLINK("https://klasma.github.io/Logging_1471/artfynd/A 50366-2025 artfynd.xlsx", "A 50366-2025")</f>
        <v/>
      </c>
      <c r="T671">
        <f>HYPERLINK("https://klasma.github.io/Logging_1471/kartor/A 50366-2025 karta.png", "A 50366-2025")</f>
        <v/>
      </c>
      <c r="V671">
        <f>HYPERLINK("https://klasma.github.io/Logging_1471/klagomål/A 50366-2025 FSC-klagomål.docx", "A 50366-2025")</f>
        <v/>
      </c>
      <c r="W671">
        <f>HYPERLINK("https://klasma.github.io/Logging_1471/klagomålsmail/A 50366-2025 FSC-klagomål mail.docx", "A 50366-2025")</f>
        <v/>
      </c>
      <c r="X671">
        <f>HYPERLINK("https://klasma.github.io/Logging_1471/tillsyn/A 50366-2025 tillsynsbegäran.docx", "A 50366-2025")</f>
        <v/>
      </c>
      <c r="Y671">
        <f>HYPERLINK("https://klasma.github.io/Logging_1471/tillsynsmail/A 50366-2025 tillsynsbegäran mail.docx", "A 50366-2025")</f>
        <v/>
      </c>
    </row>
    <row r="672" ht="15" customHeight="1">
      <c r="A672" t="inlineStr">
        <is>
          <t>A 125-2025</t>
        </is>
      </c>
      <c r="B672" s="1" t="n">
        <v>45649</v>
      </c>
      <c r="C672" s="1" t="n">
        <v>45952</v>
      </c>
      <c r="D672" t="inlineStr">
        <is>
          <t>VÄSTRA GÖTALANDS LÄN</t>
        </is>
      </c>
      <c r="E672" t="inlineStr">
        <is>
          <t>TANUM</t>
        </is>
      </c>
      <c r="G672" t="n">
        <v>2.3</v>
      </c>
      <c r="H672" t="n">
        <v>0</v>
      </c>
      <c r="I672" t="n">
        <v>0</v>
      </c>
      <c r="J672" t="n">
        <v>1</v>
      </c>
      <c r="K672" t="n">
        <v>0</v>
      </c>
      <c r="L672" t="n">
        <v>0</v>
      </c>
      <c r="M672" t="n">
        <v>0</v>
      </c>
      <c r="N672" t="n">
        <v>0</v>
      </c>
      <c r="O672" t="n">
        <v>1</v>
      </c>
      <c r="P672" t="n">
        <v>0</v>
      </c>
      <c r="Q672" t="n">
        <v>1</v>
      </c>
      <c r="R672" s="2" t="inlineStr">
        <is>
          <t>Stallört</t>
        </is>
      </c>
      <c r="S672">
        <f>HYPERLINK("https://klasma.github.io/Logging_1435/artfynd/A 125-2025 artfynd.xlsx", "A 125-2025")</f>
        <v/>
      </c>
      <c r="T672">
        <f>HYPERLINK("https://klasma.github.io/Logging_1435/kartor/A 125-2025 karta.png", "A 125-2025")</f>
        <v/>
      </c>
      <c r="V672">
        <f>HYPERLINK("https://klasma.github.io/Logging_1435/klagomål/A 125-2025 FSC-klagomål.docx", "A 125-2025")</f>
        <v/>
      </c>
      <c r="W672">
        <f>HYPERLINK("https://klasma.github.io/Logging_1435/klagomålsmail/A 125-2025 FSC-klagomål mail.docx", "A 125-2025")</f>
        <v/>
      </c>
      <c r="X672">
        <f>HYPERLINK("https://klasma.github.io/Logging_1435/tillsyn/A 125-2025 tillsynsbegäran.docx", "A 125-2025")</f>
        <v/>
      </c>
      <c r="Y672">
        <f>HYPERLINK("https://klasma.github.io/Logging_1435/tillsynsmail/A 125-2025 tillsynsbegäran mail.docx", "A 125-2025")</f>
        <v/>
      </c>
    </row>
    <row r="673" ht="15" customHeight="1">
      <c r="A673" t="inlineStr">
        <is>
          <t>A 26677-2025</t>
        </is>
      </c>
      <c r="B673" s="1" t="n">
        <v>45810.42446759259</v>
      </c>
      <c r="C673" s="1" t="n">
        <v>45952</v>
      </c>
      <c r="D673" t="inlineStr">
        <is>
          <t>VÄSTRA GÖTALANDS LÄN</t>
        </is>
      </c>
      <c r="E673" t="inlineStr">
        <is>
          <t>ALE</t>
        </is>
      </c>
      <c r="G673" t="n">
        <v>1.2</v>
      </c>
      <c r="H673" t="n">
        <v>0</v>
      </c>
      <c r="I673" t="n">
        <v>1</v>
      </c>
      <c r="J673" t="n">
        <v>0</v>
      </c>
      <c r="K673" t="n">
        <v>0</v>
      </c>
      <c r="L673" t="n">
        <v>0</v>
      </c>
      <c r="M673" t="n">
        <v>0</v>
      </c>
      <c r="N673" t="n">
        <v>0</v>
      </c>
      <c r="O673" t="n">
        <v>0</v>
      </c>
      <c r="P673" t="n">
        <v>0</v>
      </c>
      <c r="Q673" t="n">
        <v>1</v>
      </c>
      <c r="R673" s="2" t="inlineStr">
        <is>
          <t>Västlig hakmossa</t>
        </is>
      </c>
      <c r="S673">
        <f>HYPERLINK("https://klasma.github.io/Logging_1440/artfynd/A 26677-2025 artfynd.xlsx", "A 26677-2025")</f>
        <v/>
      </c>
      <c r="T673">
        <f>HYPERLINK("https://klasma.github.io/Logging_1440/kartor/A 26677-2025 karta.png", "A 26677-2025")</f>
        <v/>
      </c>
      <c r="V673">
        <f>HYPERLINK("https://klasma.github.io/Logging_1440/klagomål/A 26677-2025 FSC-klagomål.docx", "A 26677-2025")</f>
        <v/>
      </c>
      <c r="W673">
        <f>HYPERLINK("https://klasma.github.io/Logging_1440/klagomålsmail/A 26677-2025 FSC-klagomål mail.docx", "A 26677-2025")</f>
        <v/>
      </c>
      <c r="X673">
        <f>HYPERLINK("https://klasma.github.io/Logging_1440/tillsyn/A 26677-2025 tillsynsbegäran.docx", "A 26677-2025")</f>
        <v/>
      </c>
      <c r="Y673">
        <f>HYPERLINK("https://klasma.github.io/Logging_1440/tillsynsmail/A 26677-2025 tillsynsbegäran mail.docx", "A 26677-2025")</f>
        <v/>
      </c>
    </row>
    <row r="674" ht="15" customHeight="1">
      <c r="A674" t="inlineStr">
        <is>
          <t>A 10610-2023</t>
        </is>
      </c>
      <c r="B674" s="1" t="n">
        <v>44988</v>
      </c>
      <c r="C674" s="1" t="n">
        <v>45952</v>
      </c>
      <c r="D674" t="inlineStr">
        <is>
          <t>VÄSTRA GÖTALANDS LÄN</t>
        </is>
      </c>
      <c r="E674" t="inlineStr">
        <is>
          <t>SKÖVDE</t>
        </is>
      </c>
      <c r="F674" t="inlineStr">
        <is>
          <t>Kommuner</t>
        </is>
      </c>
      <c r="G674" t="n">
        <v>8</v>
      </c>
      <c r="H674" t="n">
        <v>1</v>
      </c>
      <c r="I674" t="n">
        <v>0</v>
      </c>
      <c r="J674" t="n">
        <v>0</v>
      </c>
      <c r="K674" t="n">
        <v>0</v>
      </c>
      <c r="L674" t="n">
        <v>0</v>
      </c>
      <c r="M674" t="n">
        <v>0</v>
      </c>
      <c r="N674" t="n">
        <v>0</v>
      </c>
      <c r="O674" t="n">
        <v>0</v>
      </c>
      <c r="P674" t="n">
        <v>0</v>
      </c>
      <c r="Q674" t="n">
        <v>1</v>
      </c>
      <c r="R674" s="2" t="inlineStr">
        <is>
          <t>Revlummer</t>
        </is>
      </c>
      <c r="S674">
        <f>HYPERLINK("https://klasma.github.io/Logging_1496/artfynd/A 10610-2023 artfynd.xlsx", "A 10610-2023")</f>
        <v/>
      </c>
      <c r="T674">
        <f>HYPERLINK("https://klasma.github.io/Logging_1496/kartor/A 10610-2023 karta.png", "A 10610-2023")</f>
        <v/>
      </c>
      <c r="V674">
        <f>HYPERLINK("https://klasma.github.io/Logging_1496/klagomål/A 10610-2023 FSC-klagomål.docx", "A 10610-2023")</f>
        <v/>
      </c>
      <c r="W674">
        <f>HYPERLINK("https://klasma.github.io/Logging_1496/klagomålsmail/A 10610-2023 FSC-klagomål mail.docx", "A 10610-2023")</f>
        <v/>
      </c>
      <c r="X674">
        <f>HYPERLINK("https://klasma.github.io/Logging_1496/tillsyn/A 10610-2023 tillsynsbegäran.docx", "A 10610-2023")</f>
        <v/>
      </c>
      <c r="Y674">
        <f>HYPERLINK("https://klasma.github.io/Logging_1496/tillsynsmail/A 10610-2023 tillsynsbegäran mail.docx", "A 10610-2023")</f>
        <v/>
      </c>
    </row>
    <row r="675" ht="15" customHeight="1">
      <c r="A675" t="inlineStr">
        <is>
          <t>A 42017-2025</t>
        </is>
      </c>
      <c r="B675" s="1" t="n">
        <v>45903.58387731481</v>
      </c>
      <c r="C675" s="1" t="n">
        <v>45952</v>
      </c>
      <c r="D675" t="inlineStr">
        <is>
          <t>VÄSTRA GÖTALANDS LÄN</t>
        </is>
      </c>
      <c r="E675" t="inlineStr">
        <is>
          <t>SKÖVDE</t>
        </is>
      </c>
      <c r="F675" t="inlineStr">
        <is>
          <t>Kommuner</t>
        </is>
      </c>
      <c r="G675" t="n">
        <v>1.8</v>
      </c>
      <c r="H675" t="n">
        <v>1</v>
      </c>
      <c r="I675" t="n">
        <v>0</v>
      </c>
      <c r="J675" t="n">
        <v>0</v>
      </c>
      <c r="K675" t="n">
        <v>0</v>
      </c>
      <c r="L675" t="n">
        <v>0</v>
      </c>
      <c r="M675" t="n">
        <v>0</v>
      </c>
      <c r="N675" t="n">
        <v>0</v>
      </c>
      <c r="O675" t="n">
        <v>0</v>
      </c>
      <c r="P675" t="n">
        <v>0</v>
      </c>
      <c r="Q675" t="n">
        <v>1</v>
      </c>
      <c r="R675" s="2" t="inlineStr">
        <is>
          <t>Mattlummer</t>
        </is>
      </c>
      <c r="S675">
        <f>HYPERLINK("https://klasma.github.io/Logging_1496/artfynd/A 42017-2025 artfynd.xlsx", "A 42017-2025")</f>
        <v/>
      </c>
      <c r="T675">
        <f>HYPERLINK("https://klasma.github.io/Logging_1496/kartor/A 42017-2025 karta.png", "A 42017-2025")</f>
        <v/>
      </c>
      <c r="V675">
        <f>HYPERLINK("https://klasma.github.io/Logging_1496/klagomål/A 42017-2025 FSC-klagomål.docx", "A 42017-2025")</f>
        <v/>
      </c>
      <c r="W675">
        <f>HYPERLINK("https://klasma.github.io/Logging_1496/klagomålsmail/A 42017-2025 FSC-klagomål mail.docx", "A 42017-2025")</f>
        <v/>
      </c>
      <c r="X675">
        <f>HYPERLINK("https://klasma.github.io/Logging_1496/tillsyn/A 42017-2025 tillsynsbegäran.docx", "A 42017-2025")</f>
        <v/>
      </c>
      <c r="Y675">
        <f>HYPERLINK("https://klasma.github.io/Logging_1496/tillsynsmail/A 42017-2025 tillsynsbegäran mail.docx", "A 42017-2025")</f>
        <v/>
      </c>
    </row>
    <row r="676" ht="15" customHeight="1">
      <c r="A676" t="inlineStr">
        <is>
          <t>A 13277-2022</t>
        </is>
      </c>
      <c r="B676" s="1" t="n">
        <v>44644</v>
      </c>
      <c r="C676" s="1" t="n">
        <v>45952</v>
      </c>
      <c r="D676" t="inlineStr">
        <is>
          <t>VÄSTRA GÖTALANDS LÄN</t>
        </is>
      </c>
      <c r="E676" t="inlineStr">
        <is>
          <t>TRANEMO</t>
        </is>
      </c>
      <c r="G676" t="n">
        <v>4.1</v>
      </c>
      <c r="H676" t="n">
        <v>0</v>
      </c>
      <c r="I676" t="n">
        <v>1</v>
      </c>
      <c r="J676" t="n">
        <v>0</v>
      </c>
      <c r="K676" t="n">
        <v>0</v>
      </c>
      <c r="L676" t="n">
        <v>0</v>
      </c>
      <c r="M676" t="n">
        <v>0</v>
      </c>
      <c r="N676" t="n">
        <v>0</v>
      </c>
      <c r="O676" t="n">
        <v>0</v>
      </c>
      <c r="P676" t="n">
        <v>0</v>
      </c>
      <c r="Q676" t="n">
        <v>1</v>
      </c>
      <c r="R676" s="2" t="inlineStr">
        <is>
          <t>Kattfotslav</t>
        </is>
      </c>
      <c r="S676">
        <f>HYPERLINK("https://klasma.github.io/Logging_1452/artfynd/A 13277-2022 artfynd.xlsx", "A 13277-2022")</f>
        <v/>
      </c>
      <c r="T676">
        <f>HYPERLINK("https://klasma.github.io/Logging_1452/kartor/A 13277-2022 karta.png", "A 13277-2022")</f>
        <v/>
      </c>
      <c r="V676">
        <f>HYPERLINK("https://klasma.github.io/Logging_1452/klagomål/A 13277-2022 FSC-klagomål.docx", "A 13277-2022")</f>
        <v/>
      </c>
      <c r="W676">
        <f>HYPERLINK("https://klasma.github.io/Logging_1452/klagomålsmail/A 13277-2022 FSC-klagomål mail.docx", "A 13277-2022")</f>
        <v/>
      </c>
      <c r="X676">
        <f>HYPERLINK("https://klasma.github.io/Logging_1452/tillsyn/A 13277-2022 tillsynsbegäran.docx", "A 13277-2022")</f>
        <v/>
      </c>
      <c r="Y676">
        <f>HYPERLINK("https://klasma.github.io/Logging_1452/tillsynsmail/A 13277-2022 tillsynsbegäran mail.docx", "A 13277-2022")</f>
        <v/>
      </c>
    </row>
    <row r="677" ht="15" customHeight="1">
      <c r="A677" t="inlineStr">
        <is>
          <t>A 38064-2023</t>
        </is>
      </c>
      <c r="B677" s="1" t="n">
        <v>45159</v>
      </c>
      <c r="C677" s="1" t="n">
        <v>45952</v>
      </c>
      <c r="D677" t="inlineStr">
        <is>
          <t>VÄSTRA GÖTALANDS LÄN</t>
        </is>
      </c>
      <c r="E677" t="inlineStr">
        <is>
          <t>ÅMÅL</t>
        </is>
      </c>
      <c r="F677" t="inlineStr">
        <is>
          <t>Bergvik skog väst AB</t>
        </is>
      </c>
      <c r="G677" t="n">
        <v>3.5</v>
      </c>
      <c r="H677" t="n">
        <v>0</v>
      </c>
      <c r="I677" t="n">
        <v>1</v>
      </c>
      <c r="J677" t="n">
        <v>0</v>
      </c>
      <c r="K677" t="n">
        <v>0</v>
      </c>
      <c r="L677" t="n">
        <v>0</v>
      </c>
      <c r="M677" t="n">
        <v>0</v>
      </c>
      <c r="N677" t="n">
        <v>0</v>
      </c>
      <c r="O677" t="n">
        <v>0</v>
      </c>
      <c r="P677" t="n">
        <v>0</v>
      </c>
      <c r="Q677" t="n">
        <v>1</v>
      </c>
      <c r="R677" s="2" t="inlineStr">
        <is>
          <t>Vedticka</t>
        </is>
      </c>
      <c r="S677">
        <f>HYPERLINK("https://klasma.github.io/Logging_1492/artfynd/A 38064-2023 artfynd.xlsx", "A 38064-2023")</f>
        <v/>
      </c>
      <c r="T677">
        <f>HYPERLINK("https://klasma.github.io/Logging_1492/kartor/A 38064-2023 karta.png", "A 38064-2023")</f>
        <v/>
      </c>
      <c r="V677">
        <f>HYPERLINK("https://klasma.github.io/Logging_1492/klagomål/A 38064-2023 FSC-klagomål.docx", "A 38064-2023")</f>
        <v/>
      </c>
      <c r="W677">
        <f>HYPERLINK("https://klasma.github.io/Logging_1492/klagomålsmail/A 38064-2023 FSC-klagomål mail.docx", "A 38064-2023")</f>
        <v/>
      </c>
      <c r="X677">
        <f>HYPERLINK("https://klasma.github.io/Logging_1492/tillsyn/A 38064-2023 tillsynsbegäran.docx", "A 38064-2023")</f>
        <v/>
      </c>
      <c r="Y677">
        <f>HYPERLINK("https://klasma.github.io/Logging_1492/tillsynsmail/A 38064-2023 tillsynsbegäran mail.docx", "A 38064-2023")</f>
        <v/>
      </c>
    </row>
    <row r="678" ht="15" customHeight="1">
      <c r="A678" t="inlineStr">
        <is>
          <t>A 39670-2025</t>
        </is>
      </c>
      <c r="B678" s="1" t="n">
        <v>45890.64280092593</v>
      </c>
      <c r="C678" s="1" t="n">
        <v>45952</v>
      </c>
      <c r="D678" t="inlineStr">
        <is>
          <t>VÄSTRA GÖTALANDS LÄN</t>
        </is>
      </c>
      <c r="E678" t="inlineStr">
        <is>
          <t>HÄRRYDA</t>
        </is>
      </c>
      <c r="G678" t="n">
        <v>1.9</v>
      </c>
      <c r="H678" t="n">
        <v>0</v>
      </c>
      <c r="I678" t="n">
        <v>0</v>
      </c>
      <c r="J678" t="n">
        <v>0</v>
      </c>
      <c r="K678" t="n">
        <v>0</v>
      </c>
      <c r="L678" t="n">
        <v>1</v>
      </c>
      <c r="M678" t="n">
        <v>0</v>
      </c>
      <c r="N678" t="n">
        <v>0</v>
      </c>
      <c r="O678" t="n">
        <v>1</v>
      </c>
      <c r="P678" t="n">
        <v>1</v>
      </c>
      <c r="Q678" t="n">
        <v>1</v>
      </c>
      <c r="R678" s="2" t="inlineStr">
        <is>
          <t>Flodpärlmussla</t>
        </is>
      </c>
      <c r="S678">
        <f>HYPERLINK("https://klasma.github.io/Logging_1401/artfynd/A 39670-2025 artfynd.xlsx", "A 39670-2025")</f>
        <v/>
      </c>
      <c r="T678">
        <f>HYPERLINK("https://klasma.github.io/Logging_1401/kartor/A 39670-2025 karta.png", "A 39670-2025")</f>
        <v/>
      </c>
      <c r="V678">
        <f>HYPERLINK("https://klasma.github.io/Logging_1401/klagomål/A 39670-2025 FSC-klagomål.docx", "A 39670-2025")</f>
        <v/>
      </c>
      <c r="W678">
        <f>HYPERLINK("https://klasma.github.io/Logging_1401/klagomålsmail/A 39670-2025 FSC-klagomål mail.docx", "A 39670-2025")</f>
        <v/>
      </c>
      <c r="X678">
        <f>HYPERLINK("https://klasma.github.io/Logging_1401/tillsyn/A 39670-2025 tillsynsbegäran.docx", "A 39670-2025")</f>
        <v/>
      </c>
      <c r="Y678">
        <f>HYPERLINK("https://klasma.github.io/Logging_1401/tillsynsmail/A 39670-2025 tillsynsbegäran mail.docx", "A 39670-2025")</f>
        <v/>
      </c>
    </row>
    <row r="679" ht="15" customHeight="1">
      <c r="A679" t="inlineStr">
        <is>
          <t>A 26493-2024</t>
        </is>
      </c>
      <c r="B679" s="1" t="n">
        <v>45469</v>
      </c>
      <c r="C679" s="1" t="n">
        <v>45952</v>
      </c>
      <c r="D679" t="inlineStr">
        <is>
          <t>VÄSTRA GÖTALANDS LÄN</t>
        </is>
      </c>
      <c r="E679" t="inlineStr">
        <is>
          <t>ALE</t>
        </is>
      </c>
      <c r="G679" t="n">
        <v>1.6</v>
      </c>
      <c r="H679" t="n">
        <v>1</v>
      </c>
      <c r="I679" t="n">
        <v>0</v>
      </c>
      <c r="J679" t="n">
        <v>0</v>
      </c>
      <c r="K679" t="n">
        <v>0</v>
      </c>
      <c r="L679" t="n">
        <v>0</v>
      </c>
      <c r="M679" t="n">
        <v>0</v>
      </c>
      <c r="N679" t="n">
        <v>0</v>
      </c>
      <c r="O679" t="n">
        <v>0</v>
      </c>
      <c r="P679" t="n">
        <v>0</v>
      </c>
      <c r="Q679" t="n">
        <v>1</v>
      </c>
      <c r="R679" s="2" t="inlineStr">
        <is>
          <t>Grönvit nattviol</t>
        </is>
      </c>
      <c r="S679">
        <f>HYPERLINK("https://klasma.github.io/Logging_1440/artfynd/A 26493-2024 artfynd.xlsx", "A 26493-2024")</f>
        <v/>
      </c>
      <c r="T679">
        <f>HYPERLINK("https://klasma.github.io/Logging_1440/kartor/A 26493-2024 karta.png", "A 26493-2024")</f>
        <v/>
      </c>
      <c r="V679">
        <f>HYPERLINK("https://klasma.github.io/Logging_1440/klagomål/A 26493-2024 FSC-klagomål.docx", "A 26493-2024")</f>
        <v/>
      </c>
      <c r="W679">
        <f>HYPERLINK("https://klasma.github.io/Logging_1440/klagomålsmail/A 26493-2024 FSC-klagomål mail.docx", "A 26493-2024")</f>
        <v/>
      </c>
      <c r="X679">
        <f>HYPERLINK("https://klasma.github.io/Logging_1440/tillsyn/A 26493-2024 tillsynsbegäran.docx", "A 26493-2024")</f>
        <v/>
      </c>
      <c r="Y679">
        <f>HYPERLINK("https://klasma.github.io/Logging_1440/tillsynsmail/A 26493-2024 tillsynsbegäran mail.docx", "A 26493-2024")</f>
        <v/>
      </c>
    </row>
    <row r="680" ht="15" customHeight="1">
      <c r="A680" t="inlineStr">
        <is>
          <t>A 55288-2023</t>
        </is>
      </c>
      <c r="B680" s="1" t="n">
        <v>45237.75653935185</v>
      </c>
      <c r="C680" s="1" t="n">
        <v>45952</v>
      </c>
      <c r="D680" t="inlineStr">
        <is>
          <t>VÄSTRA GÖTALANDS LÄN</t>
        </is>
      </c>
      <c r="E680" t="inlineStr">
        <is>
          <t>UDDEVALLA</t>
        </is>
      </c>
      <c r="G680" t="n">
        <v>5.2</v>
      </c>
      <c r="H680" t="n">
        <v>1</v>
      </c>
      <c r="I680" t="n">
        <v>0</v>
      </c>
      <c r="J680" t="n">
        <v>0</v>
      </c>
      <c r="K680" t="n">
        <v>0</v>
      </c>
      <c r="L680" t="n">
        <v>0</v>
      </c>
      <c r="M680" t="n">
        <v>0</v>
      </c>
      <c r="N680" t="n">
        <v>0</v>
      </c>
      <c r="O680" t="n">
        <v>0</v>
      </c>
      <c r="P680" t="n">
        <v>0</v>
      </c>
      <c r="Q680" t="n">
        <v>1</v>
      </c>
      <c r="R680" s="2" t="inlineStr">
        <is>
          <t>Revlummer</t>
        </is>
      </c>
      <c r="S680">
        <f>HYPERLINK("https://klasma.github.io/Logging_1485/artfynd/A 55288-2023 artfynd.xlsx", "A 55288-2023")</f>
        <v/>
      </c>
      <c r="T680">
        <f>HYPERLINK("https://klasma.github.io/Logging_1485/kartor/A 55288-2023 karta.png", "A 55288-2023")</f>
        <v/>
      </c>
      <c r="V680">
        <f>HYPERLINK("https://klasma.github.io/Logging_1485/klagomål/A 55288-2023 FSC-klagomål.docx", "A 55288-2023")</f>
        <v/>
      </c>
      <c r="W680">
        <f>HYPERLINK("https://klasma.github.io/Logging_1485/klagomålsmail/A 55288-2023 FSC-klagomål mail.docx", "A 55288-2023")</f>
        <v/>
      </c>
      <c r="X680">
        <f>HYPERLINK("https://klasma.github.io/Logging_1485/tillsyn/A 55288-2023 tillsynsbegäran.docx", "A 55288-2023")</f>
        <v/>
      </c>
      <c r="Y680">
        <f>HYPERLINK("https://klasma.github.io/Logging_1485/tillsynsmail/A 55288-2023 tillsynsbegäran mail.docx", "A 55288-2023")</f>
        <v/>
      </c>
    </row>
    <row r="681" ht="15" customHeight="1">
      <c r="A681" t="inlineStr">
        <is>
          <t>A 10542-2024</t>
        </is>
      </c>
      <c r="B681" s="1" t="n">
        <v>45366.55957175926</v>
      </c>
      <c r="C681" s="1" t="n">
        <v>45952</v>
      </c>
      <c r="D681" t="inlineStr">
        <is>
          <t>VÄSTRA GÖTALANDS LÄN</t>
        </is>
      </c>
      <c r="E681" t="inlineStr">
        <is>
          <t>ALINGSÅS</t>
        </is>
      </c>
      <c r="G681" t="n">
        <v>2.6</v>
      </c>
      <c r="H681" t="n">
        <v>0</v>
      </c>
      <c r="I681" t="n">
        <v>1</v>
      </c>
      <c r="J681" t="n">
        <v>0</v>
      </c>
      <c r="K681" t="n">
        <v>0</v>
      </c>
      <c r="L681" t="n">
        <v>0</v>
      </c>
      <c r="M681" t="n">
        <v>0</v>
      </c>
      <c r="N681" t="n">
        <v>0</v>
      </c>
      <c r="O681" t="n">
        <v>0</v>
      </c>
      <c r="P681" t="n">
        <v>0</v>
      </c>
      <c r="Q681" t="n">
        <v>1</v>
      </c>
      <c r="R681" s="2" t="inlineStr">
        <is>
          <t>Blodticka</t>
        </is>
      </c>
      <c r="S681">
        <f>HYPERLINK("https://klasma.github.io/Logging_1489/artfynd/A 10542-2024 artfynd.xlsx", "A 10542-2024")</f>
        <v/>
      </c>
      <c r="T681">
        <f>HYPERLINK("https://klasma.github.io/Logging_1489/kartor/A 10542-2024 karta.png", "A 10542-2024")</f>
        <v/>
      </c>
      <c r="V681">
        <f>HYPERLINK("https://klasma.github.io/Logging_1489/klagomål/A 10542-2024 FSC-klagomål.docx", "A 10542-2024")</f>
        <v/>
      </c>
      <c r="W681">
        <f>HYPERLINK("https://klasma.github.io/Logging_1489/klagomålsmail/A 10542-2024 FSC-klagomål mail.docx", "A 10542-2024")</f>
        <v/>
      </c>
      <c r="X681">
        <f>HYPERLINK("https://klasma.github.io/Logging_1489/tillsyn/A 10542-2024 tillsynsbegäran.docx", "A 10542-2024")</f>
        <v/>
      </c>
      <c r="Y681">
        <f>HYPERLINK("https://klasma.github.io/Logging_1489/tillsynsmail/A 10542-2024 tillsynsbegäran mail.docx", "A 10542-2024")</f>
        <v/>
      </c>
    </row>
    <row r="682" ht="15" customHeight="1">
      <c r="A682" t="inlineStr">
        <is>
          <t>A 3563-2024</t>
        </is>
      </c>
      <c r="B682" s="1" t="n">
        <v>45320</v>
      </c>
      <c r="C682" s="1" t="n">
        <v>45952</v>
      </c>
      <c r="D682" t="inlineStr">
        <is>
          <t>VÄSTRA GÖTALANDS LÄN</t>
        </is>
      </c>
      <c r="E682" t="inlineStr">
        <is>
          <t>ESSUNGA</t>
        </is>
      </c>
      <c r="G682" t="n">
        <v>1.4</v>
      </c>
      <c r="H682" t="n">
        <v>1</v>
      </c>
      <c r="I682" t="n">
        <v>0</v>
      </c>
      <c r="J682" t="n">
        <v>0</v>
      </c>
      <c r="K682" t="n">
        <v>0</v>
      </c>
      <c r="L682" t="n">
        <v>0</v>
      </c>
      <c r="M682" t="n">
        <v>0</v>
      </c>
      <c r="N682" t="n">
        <v>0</v>
      </c>
      <c r="O682" t="n">
        <v>0</v>
      </c>
      <c r="P682" t="n">
        <v>0</v>
      </c>
      <c r="Q682" t="n">
        <v>1</v>
      </c>
      <c r="R682" s="2" t="inlineStr">
        <is>
          <t>Revlummer</t>
        </is>
      </c>
      <c r="S682">
        <f>HYPERLINK("https://klasma.github.io/Logging_1445/artfynd/A 3563-2024 artfynd.xlsx", "A 3563-2024")</f>
        <v/>
      </c>
      <c r="T682">
        <f>HYPERLINK("https://klasma.github.io/Logging_1445/kartor/A 3563-2024 karta.png", "A 3563-2024")</f>
        <v/>
      </c>
      <c r="V682">
        <f>HYPERLINK("https://klasma.github.io/Logging_1445/klagomål/A 3563-2024 FSC-klagomål.docx", "A 3563-2024")</f>
        <v/>
      </c>
      <c r="W682">
        <f>HYPERLINK("https://klasma.github.io/Logging_1445/klagomålsmail/A 3563-2024 FSC-klagomål mail.docx", "A 3563-2024")</f>
        <v/>
      </c>
      <c r="X682">
        <f>HYPERLINK("https://klasma.github.io/Logging_1445/tillsyn/A 3563-2024 tillsynsbegäran.docx", "A 3563-2024")</f>
        <v/>
      </c>
      <c r="Y682">
        <f>HYPERLINK("https://klasma.github.io/Logging_1445/tillsynsmail/A 3563-2024 tillsynsbegäran mail.docx", "A 3563-2024")</f>
        <v/>
      </c>
    </row>
    <row r="683" ht="15" customHeight="1">
      <c r="A683" t="inlineStr">
        <is>
          <t>A 9001-2025</t>
        </is>
      </c>
      <c r="B683" s="1" t="n">
        <v>45713</v>
      </c>
      <c r="C683" s="1" t="n">
        <v>45952</v>
      </c>
      <c r="D683" t="inlineStr">
        <is>
          <t>VÄSTRA GÖTALANDS LÄN</t>
        </is>
      </c>
      <c r="E683" t="inlineStr">
        <is>
          <t>STRÖMSTAD</t>
        </is>
      </c>
      <c r="G683" t="n">
        <v>3</v>
      </c>
      <c r="H683" t="n">
        <v>1</v>
      </c>
      <c r="I683" t="n">
        <v>0</v>
      </c>
      <c r="J683" t="n">
        <v>0</v>
      </c>
      <c r="K683" t="n">
        <v>1</v>
      </c>
      <c r="L683" t="n">
        <v>0</v>
      </c>
      <c r="M683" t="n">
        <v>0</v>
      </c>
      <c r="N683" t="n">
        <v>0</v>
      </c>
      <c r="O683" t="n">
        <v>1</v>
      </c>
      <c r="P683" t="n">
        <v>1</v>
      </c>
      <c r="Q683" t="n">
        <v>1</v>
      </c>
      <c r="R683" s="2" t="inlineStr">
        <is>
          <t>Knärot</t>
        </is>
      </c>
      <c r="S683">
        <f>HYPERLINK("https://klasma.github.io/Logging_1486/artfynd/A 9001-2025 artfynd.xlsx", "A 9001-2025")</f>
        <v/>
      </c>
      <c r="T683">
        <f>HYPERLINK("https://klasma.github.io/Logging_1486/kartor/A 9001-2025 karta.png", "A 9001-2025")</f>
        <v/>
      </c>
      <c r="U683">
        <f>HYPERLINK("https://klasma.github.io/Logging_1486/knärot/A 9001-2025 karta knärot.png", "A 9001-2025")</f>
        <v/>
      </c>
      <c r="V683">
        <f>HYPERLINK("https://klasma.github.io/Logging_1486/klagomål/A 9001-2025 FSC-klagomål.docx", "A 9001-2025")</f>
        <v/>
      </c>
      <c r="W683">
        <f>HYPERLINK("https://klasma.github.io/Logging_1486/klagomålsmail/A 9001-2025 FSC-klagomål mail.docx", "A 9001-2025")</f>
        <v/>
      </c>
      <c r="X683">
        <f>HYPERLINK("https://klasma.github.io/Logging_1486/tillsyn/A 9001-2025 tillsynsbegäran.docx", "A 9001-2025")</f>
        <v/>
      </c>
      <c r="Y683">
        <f>HYPERLINK("https://klasma.github.io/Logging_1486/tillsynsmail/A 9001-2025 tillsynsbegäran mail.docx", "A 9001-2025")</f>
        <v/>
      </c>
    </row>
    <row r="684" ht="15" customHeight="1">
      <c r="A684" t="inlineStr">
        <is>
          <t>A 63439-2023</t>
        </is>
      </c>
      <c r="B684" s="1" t="n">
        <v>45274.59327546296</v>
      </c>
      <c r="C684" s="1" t="n">
        <v>45952</v>
      </c>
      <c r="D684" t="inlineStr">
        <is>
          <t>VÄSTRA GÖTALANDS LÄN</t>
        </is>
      </c>
      <c r="E684" t="inlineStr">
        <is>
          <t>TANUM</t>
        </is>
      </c>
      <c r="F684" t="inlineStr">
        <is>
          <t>Sveaskog</t>
        </is>
      </c>
      <c r="G684" t="n">
        <v>5.7</v>
      </c>
      <c r="H684" t="n">
        <v>1</v>
      </c>
      <c r="I684" t="n">
        <v>0</v>
      </c>
      <c r="J684" t="n">
        <v>0</v>
      </c>
      <c r="K684" t="n">
        <v>0</v>
      </c>
      <c r="L684" t="n">
        <v>0</v>
      </c>
      <c r="M684" t="n">
        <v>0</v>
      </c>
      <c r="N684" t="n">
        <v>0</v>
      </c>
      <c r="O684" t="n">
        <v>0</v>
      </c>
      <c r="P684" t="n">
        <v>0</v>
      </c>
      <c r="Q684" t="n">
        <v>1</v>
      </c>
      <c r="R684" s="2" t="inlineStr">
        <is>
          <t>Revlummer</t>
        </is>
      </c>
      <c r="S684">
        <f>HYPERLINK("https://klasma.github.io/Logging_1435/artfynd/A 63439-2023 artfynd.xlsx", "A 63439-2023")</f>
        <v/>
      </c>
      <c r="T684">
        <f>HYPERLINK("https://klasma.github.io/Logging_1435/kartor/A 63439-2023 karta.png", "A 63439-2023")</f>
        <v/>
      </c>
      <c r="V684">
        <f>HYPERLINK("https://klasma.github.io/Logging_1435/klagomål/A 63439-2023 FSC-klagomål.docx", "A 63439-2023")</f>
        <v/>
      </c>
      <c r="W684">
        <f>HYPERLINK("https://klasma.github.io/Logging_1435/klagomålsmail/A 63439-2023 FSC-klagomål mail.docx", "A 63439-2023")</f>
        <v/>
      </c>
      <c r="X684">
        <f>HYPERLINK("https://klasma.github.io/Logging_1435/tillsyn/A 63439-2023 tillsynsbegäran.docx", "A 63439-2023")</f>
        <v/>
      </c>
      <c r="Y684">
        <f>HYPERLINK("https://klasma.github.io/Logging_1435/tillsynsmail/A 63439-2023 tillsynsbegäran mail.docx", "A 63439-2023")</f>
        <v/>
      </c>
    </row>
    <row r="685" ht="15" customHeight="1">
      <c r="A685" t="inlineStr">
        <is>
          <t>A 40255-2023</t>
        </is>
      </c>
      <c r="B685" s="1" t="n">
        <v>45169</v>
      </c>
      <c r="C685" s="1" t="n">
        <v>45952</v>
      </c>
      <c r="D685" t="inlineStr">
        <is>
          <t>VÄSTRA GÖTALANDS LÄN</t>
        </is>
      </c>
      <c r="E685" t="inlineStr">
        <is>
          <t>MARK</t>
        </is>
      </c>
      <c r="G685" t="n">
        <v>1.4</v>
      </c>
      <c r="H685" t="n">
        <v>1</v>
      </c>
      <c r="I685" t="n">
        <v>0</v>
      </c>
      <c r="J685" t="n">
        <v>0</v>
      </c>
      <c r="K685" t="n">
        <v>0</v>
      </c>
      <c r="L685" t="n">
        <v>0</v>
      </c>
      <c r="M685" t="n">
        <v>0</v>
      </c>
      <c r="N685" t="n">
        <v>0</v>
      </c>
      <c r="O685" t="n">
        <v>0</v>
      </c>
      <c r="P685" t="n">
        <v>0</v>
      </c>
      <c r="Q685" t="n">
        <v>1</v>
      </c>
      <c r="R685" s="2" t="inlineStr">
        <is>
          <t>Revlummer</t>
        </is>
      </c>
      <c r="S685">
        <f>HYPERLINK("https://klasma.github.io/Logging_1463/artfynd/A 40255-2023 artfynd.xlsx", "A 40255-2023")</f>
        <v/>
      </c>
      <c r="T685">
        <f>HYPERLINK("https://klasma.github.io/Logging_1463/kartor/A 40255-2023 karta.png", "A 40255-2023")</f>
        <v/>
      </c>
      <c r="V685">
        <f>HYPERLINK("https://klasma.github.io/Logging_1463/klagomål/A 40255-2023 FSC-klagomål.docx", "A 40255-2023")</f>
        <v/>
      </c>
      <c r="W685">
        <f>HYPERLINK("https://klasma.github.io/Logging_1463/klagomålsmail/A 40255-2023 FSC-klagomål mail.docx", "A 40255-2023")</f>
        <v/>
      </c>
      <c r="X685">
        <f>HYPERLINK("https://klasma.github.io/Logging_1463/tillsyn/A 40255-2023 tillsynsbegäran.docx", "A 40255-2023")</f>
        <v/>
      </c>
      <c r="Y685">
        <f>HYPERLINK("https://klasma.github.io/Logging_1463/tillsynsmail/A 40255-2023 tillsynsbegäran mail.docx", "A 40255-2023")</f>
        <v/>
      </c>
    </row>
    <row r="686" ht="15" customHeight="1">
      <c r="A686" t="inlineStr">
        <is>
          <t>A 47506-2023</t>
        </is>
      </c>
      <c r="B686" s="1" t="n">
        <v>45203.28686342593</v>
      </c>
      <c r="C686" s="1" t="n">
        <v>45952</v>
      </c>
      <c r="D686" t="inlineStr">
        <is>
          <t>VÄSTRA GÖTALANDS LÄN</t>
        </is>
      </c>
      <c r="E686" t="inlineStr">
        <is>
          <t>VÅRGÅRDA</t>
        </is>
      </c>
      <c r="G686" t="n">
        <v>1.4</v>
      </c>
      <c r="H686" t="n">
        <v>1</v>
      </c>
      <c r="I686" t="n">
        <v>0</v>
      </c>
      <c r="J686" t="n">
        <v>0</v>
      </c>
      <c r="K686" t="n">
        <v>0</v>
      </c>
      <c r="L686" t="n">
        <v>0</v>
      </c>
      <c r="M686" t="n">
        <v>0</v>
      </c>
      <c r="N686" t="n">
        <v>0</v>
      </c>
      <c r="O686" t="n">
        <v>0</v>
      </c>
      <c r="P686" t="n">
        <v>0</v>
      </c>
      <c r="Q686" t="n">
        <v>1</v>
      </c>
      <c r="R686" s="2" t="inlineStr">
        <is>
          <t>Revlummer</t>
        </is>
      </c>
      <c r="S686">
        <f>HYPERLINK("https://klasma.github.io/Logging_1442/artfynd/A 47506-2023 artfynd.xlsx", "A 47506-2023")</f>
        <v/>
      </c>
      <c r="T686">
        <f>HYPERLINK("https://klasma.github.io/Logging_1442/kartor/A 47506-2023 karta.png", "A 47506-2023")</f>
        <v/>
      </c>
      <c r="V686">
        <f>HYPERLINK("https://klasma.github.io/Logging_1442/klagomål/A 47506-2023 FSC-klagomål.docx", "A 47506-2023")</f>
        <v/>
      </c>
      <c r="W686">
        <f>HYPERLINK("https://klasma.github.io/Logging_1442/klagomålsmail/A 47506-2023 FSC-klagomål mail.docx", "A 47506-2023")</f>
        <v/>
      </c>
      <c r="X686">
        <f>HYPERLINK("https://klasma.github.io/Logging_1442/tillsyn/A 47506-2023 tillsynsbegäran.docx", "A 47506-2023")</f>
        <v/>
      </c>
      <c r="Y686">
        <f>HYPERLINK("https://klasma.github.io/Logging_1442/tillsynsmail/A 47506-2023 tillsynsbegäran mail.docx", "A 47506-2023")</f>
        <v/>
      </c>
    </row>
    <row r="687" ht="15" customHeight="1">
      <c r="A687" t="inlineStr">
        <is>
          <t>A 61199-2023</t>
        </is>
      </c>
      <c r="B687" s="1" t="n">
        <v>45264</v>
      </c>
      <c r="C687" s="1" t="n">
        <v>45952</v>
      </c>
      <c r="D687" t="inlineStr">
        <is>
          <t>VÄSTRA GÖTALANDS LÄN</t>
        </is>
      </c>
      <c r="E687" t="inlineStr">
        <is>
          <t>ULRICEHAMN</t>
        </is>
      </c>
      <c r="G687" t="n">
        <v>2.6</v>
      </c>
      <c r="H687" t="n">
        <v>0</v>
      </c>
      <c r="I687" t="n">
        <v>0</v>
      </c>
      <c r="J687" t="n">
        <v>0</v>
      </c>
      <c r="K687" t="n">
        <v>0</v>
      </c>
      <c r="L687" t="n">
        <v>1</v>
      </c>
      <c r="M687" t="n">
        <v>0</v>
      </c>
      <c r="N687" t="n">
        <v>0</v>
      </c>
      <c r="O687" t="n">
        <v>1</v>
      </c>
      <c r="P687" t="n">
        <v>1</v>
      </c>
      <c r="Q687" t="n">
        <v>1</v>
      </c>
      <c r="R687" s="2" t="inlineStr">
        <is>
          <t>Ask</t>
        </is>
      </c>
      <c r="S687">
        <f>HYPERLINK("https://klasma.github.io/Logging_1491/artfynd/A 61199-2023 artfynd.xlsx", "A 61199-2023")</f>
        <v/>
      </c>
      <c r="T687">
        <f>HYPERLINK("https://klasma.github.io/Logging_1491/kartor/A 61199-2023 karta.png", "A 61199-2023")</f>
        <v/>
      </c>
      <c r="V687">
        <f>HYPERLINK("https://klasma.github.io/Logging_1491/klagomål/A 61199-2023 FSC-klagomål.docx", "A 61199-2023")</f>
        <v/>
      </c>
      <c r="W687">
        <f>HYPERLINK("https://klasma.github.io/Logging_1491/klagomålsmail/A 61199-2023 FSC-klagomål mail.docx", "A 61199-2023")</f>
        <v/>
      </c>
      <c r="X687">
        <f>HYPERLINK("https://klasma.github.io/Logging_1491/tillsyn/A 61199-2023 tillsynsbegäran.docx", "A 61199-2023")</f>
        <v/>
      </c>
      <c r="Y687">
        <f>HYPERLINK("https://klasma.github.io/Logging_1491/tillsynsmail/A 61199-2023 tillsynsbegäran mail.docx", "A 61199-2023")</f>
        <v/>
      </c>
    </row>
    <row r="688" ht="15" customHeight="1">
      <c r="A688" t="inlineStr">
        <is>
          <t>A 51220-2025</t>
        </is>
      </c>
      <c r="B688" s="1" t="n">
        <v>45947.64873842592</v>
      </c>
      <c r="C688" s="1" t="n">
        <v>45952</v>
      </c>
      <c r="D688" t="inlineStr">
        <is>
          <t>VÄSTRA GÖTALANDS LÄN</t>
        </is>
      </c>
      <c r="E688" t="inlineStr">
        <is>
          <t>MARIESTAD</t>
        </is>
      </c>
      <c r="G688" t="n">
        <v>7.3</v>
      </c>
      <c r="H688" t="n">
        <v>0</v>
      </c>
      <c r="I688" t="n">
        <v>1</v>
      </c>
      <c r="J688" t="n">
        <v>0</v>
      </c>
      <c r="K688" t="n">
        <v>0</v>
      </c>
      <c r="L688" t="n">
        <v>0</v>
      </c>
      <c r="M688" t="n">
        <v>0</v>
      </c>
      <c r="N688" t="n">
        <v>0</v>
      </c>
      <c r="O688" t="n">
        <v>0</v>
      </c>
      <c r="P688" t="n">
        <v>0</v>
      </c>
      <c r="Q688" t="n">
        <v>1</v>
      </c>
      <c r="R688" s="2" t="inlineStr">
        <is>
          <t>Blomkålssvamp</t>
        </is>
      </c>
      <c r="S688">
        <f>HYPERLINK("https://klasma.github.io/Logging_1493/artfynd/A 51220-2025 artfynd.xlsx", "A 51220-2025")</f>
        <v/>
      </c>
      <c r="T688">
        <f>HYPERLINK("https://klasma.github.io/Logging_1493/kartor/A 51220-2025 karta.png", "A 51220-2025")</f>
        <v/>
      </c>
      <c r="V688">
        <f>HYPERLINK("https://klasma.github.io/Logging_1493/klagomål/A 51220-2025 FSC-klagomål.docx", "A 51220-2025")</f>
        <v/>
      </c>
      <c r="W688">
        <f>HYPERLINK("https://klasma.github.io/Logging_1493/klagomålsmail/A 51220-2025 FSC-klagomål mail.docx", "A 51220-2025")</f>
        <v/>
      </c>
      <c r="X688">
        <f>HYPERLINK("https://klasma.github.io/Logging_1493/tillsyn/A 51220-2025 tillsynsbegäran.docx", "A 51220-2025")</f>
        <v/>
      </c>
      <c r="Y688">
        <f>HYPERLINK("https://klasma.github.io/Logging_1493/tillsynsmail/A 51220-2025 tillsynsbegäran mail.docx", "A 51220-2025")</f>
        <v/>
      </c>
    </row>
    <row r="689" ht="15" customHeight="1">
      <c r="A689" t="inlineStr">
        <is>
          <t>A 50295-2024</t>
        </is>
      </c>
      <c r="B689" s="1" t="n">
        <v>45600.62445601852</v>
      </c>
      <c r="C689" s="1" t="n">
        <v>45952</v>
      </c>
      <c r="D689" t="inlineStr">
        <is>
          <t>VÄSTRA GÖTALANDS LÄN</t>
        </is>
      </c>
      <c r="E689" t="inlineStr">
        <is>
          <t>STENUNGSUND</t>
        </is>
      </c>
      <c r="G689" t="n">
        <v>2</v>
      </c>
      <c r="H689" t="n">
        <v>1</v>
      </c>
      <c r="I689" t="n">
        <v>0</v>
      </c>
      <c r="J689" t="n">
        <v>0</v>
      </c>
      <c r="K689" t="n">
        <v>0</v>
      </c>
      <c r="L689" t="n">
        <v>0</v>
      </c>
      <c r="M689" t="n">
        <v>0</v>
      </c>
      <c r="N689" t="n">
        <v>0</v>
      </c>
      <c r="O689" t="n">
        <v>0</v>
      </c>
      <c r="P689" t="n">
        <v>0</v>
      </c>
      <c r="Q689" t="n">
        <v>1</v>
      </c>
      <c r="R689" s="2" t="inlineStr">
        <is>
          <t>Revlummer</t>
        </is>
      </c>
      <c r="S689">
        <f>HYPERLINK("https://klasma.github.io/Logging_1415/artfynd/A 50295-2024 artfynd.xlsx", "A 50295-2024")</f>
        <v/>
      </c>
      <c r="T689">
        <f>HYPERLINK("https://klasma.github.io/Logging_1415/kartor/A 50295-2024 karta.png", "A 50295-2024")</f>
        <v/>
      </c>
      <c r="V689">
        <f>HYPERLINK("https://klasma.github.io/Logging_1415/klagomål/A 50295-2024 FSC-klagomål.docx", "A 50295-2024")</f>
        <v/>
      </c>
      <c r="W689">
        <f>HYPERLINK("https://klasma.github.io/Logging_1415/klagomålsmail/A 50295-2024 FSC-klagomål mail.docx", "A 50295-2024")</f>
        <v/>
      </c>
      <c r="X689">
        <f>HYPERLINK("https://klasma.github.io/Logging_1415/tillsyn/A 50295-2024 tillsynsbegäran.docx", "A 50295-2024")</f>
        <v/>
      </c>
      <c r="Y689">
        <f>HYPERLINK("https://klasma.github.io/Logging_1415/tillsynsmail/A 50295-2024 tillsynsbegäran mail.docx", "A 50295-2024")</f>
        <v/>
      </c>
    </row>
    <row r="690" ht="15" customHeight="1">
      <c r="A690" t="inlineStr">
        <is>
          <t>A 27482-2025</t>
        </is>
      </c>
      <c r="B690" s="1" t="n">
        <v>45813.38332175926</v>
      </c>
      <c r="C690" s="1" t="n">
        <v>45952</v>
      </c>
      <c r="D690" t="inlineStr">
        <is>
          <t>VÄSTRA GÖTALANDS LÄN</t>
        </is>
      </c>
      <c r="E690" t="inlineStr">
        <is>
          <t>HÄRRYDA</t>
        </is>
      </c>
      <c r="G690" t="n">
        <v>14.1</v>
      </c>
      <c r="H690" t="n">
        <v>0</v>
      </c>
      <c r="I690" t="n">
        <v>0</v>
      </c>
      <c r="J690" t="n">
        <v>1</v>
      </c>
      <c r="K690" t="n">
        <v>0</v>
      </c>
      <c r="L690" t="n">
        <v>0</v>
      </c>
      <c r="M690" t="n">
        <v>0</v>
      </c>
      <c r="N690" t="n">
        <v>0</v>
      </c>
      <c r="O690" t="n">
        <v>1</v>
      </c>
      <c r="P690" t="n">
        <v>0</v>
      </c>
      <c r="Q690" t="n">
        <v>1</v>
      </c>
      <c r="R690" s="2" t="inlineStr">
        <is>
          <t>Kortskaftad ärgspik</t>
        </is>
      </c>
      <c r="S690">
        <f>HYPERLINK("https://klasma.github.io/Logging_1401/artfynd/A 27482-2025 artfynd.xlsx", "A 27482-2025")</f>
        <v/>
      </c>
      <c r="T690">
        <f>HYPERLINK("https://klasma.github.io/Logging_1401/kartor/A 27482-2025 karta.png", "A 27482-2025")</f>
        <v/>
      </c>
      <c r="V690">
        <f>HYPERLINK("https://klasma.github.io/Logging_1401/klagomål/A 27482-2025 FSC-klagomål.docx", "A 27482-2025")</f>
        <v/>
      </c>
      <c r="W690">
        <f>HYPERLINK("https://klasma.github.io/Logging_1401/klagomålsmail/A 27482-2025 FSC-klagomål mail.docx", "A 27482-2025")</f>
        <v/>
      </c>
      <c r="X690">
        <f>HYPERLINK("https://klasma.github.io/Logging_1401/tillsyn/A 27482-2025 tillsynsbegäran.docx", "A 27482-2025")</f>
        <v/>
      </c>
      <c r="Y690">
        <f>HYPERLINK("https://klasma.github.io/Logging_1401/tillsynsmail/A 27482-2025 tillsynsbegäran mail.docx", "A 27482-2025")</f>
        <v/>
      </c>
    </row>
    <row r="691" ht="15" customHeight="1">
      <c r="A691" t="inlineStr">
        <is>
          <t>A 49988-2023</t>
        </is>
      </c>
      <c r="B691" s="1" t="n">
        <v>45215</v>
      </c>
      <c r="C691" s="1" t="n">
        <v>45952</v>
      </c>
      <c r="D691" t="inlineStr">
        <is>
          <t>VÄSTRA GÖTALANDS LÄN</t>
        </is>
      </c>
      <c r="E691" t="inlineStr">
        <is>
          <t>KUNGÄLV</t>
        </is>
      </c>
      <c r="G691" t="n">
        <v>2.3</v>
      </c>
      <c r="H691" t="n">
        <v>1</v>
      </c>
      <c r="I691" t="n">
        <v>0</v>
      </c>
      <c r="J691" t="n">
        <v>0</v>
      </c>
      <c r="K691" t="n">
        <v>0</v>
      </c>
      <c r="L691" t="n">
        <v>0</v>
      </c>
      <c r="M691" t="n">
        <v>0</v>
      </c>
      <c r="N691" t="n">
        <v>0</v>
      </c>
      <c r="O691" t="n">
        <v>0</v>
      </c>
      <c r="P691" t="n">
        <v>0</v>
      </c>
      <c r="Q691" t="n">
        <v>1</v>
      </c>
      <c r="R691" s="2" t="inlineStr">
        <is>
          <t>Revlummer</t>
        </is>
      </c>
      <c r="S691">
        <f>HYPERLINK("https://klasma.github.io/Logging_1482/artfynd/A 49988-2023 artfynd.xlsx", "A 49988-2023")</f>
        <v/>
      </c>
      <c r="T691">
        <f>HYPERLINK("https://klasma.github.io/Logging_1482/kartor/A 49988-2023 karta.png", "A 49988-2023")</f>
        <v/>
      </c>
      <c r="V691">
        <f>HYPERLINK("https://klasma.github.io/Logging_1482/klagomål/A 49988-2023 FSC-klagomål.docx", "A 49988-2023")</f>
        <v/>
      </c>
      <c r="W691">
        <f>HYPERLINK("https://klasma.github.io/Logging_1482/klagomålsmail/A 49988-2023 FSC-klagomål mail.docx", "A 49988-2023")</f>
        <v/>
      </c>
      <c r="X691">
        <f>HYPERLINK("https://klasma.github.io/Logging_1482/tillsyn/A 49988-2023 tillsynsbegäran.docx", "A 49988-2023")</f>
        <v/>
      </c>
      <c r="Y691">
        <f>HYPERLINK("https://klasma.github.io/Logging_1482/tillsynsmail/A 49988-2023 tillsynsbegäran mail.docx", "A 49988-2023")</f>
        <v/>
      </c>
    </row>
    <row r="692" ht="15" customHeight="1">
      <c r="A692" t="inlineStr">
        <is>
          <t>A 24407-2023</t>
        </is>
      </c>
      <c r="B692" s="1" t="n">
        <v>45082</v>
      </c>
      <c r="C692" s="1" t="n">
        <v>45952</v>
      </c>
      <c r="D692" t="inlineStr">
        <is>
          <t>VÄSTRA GÖTALANDS LÄN</t>
        </is>
      </c>
      <c r="E692" t="inlineStr">
        <is>
          <t>FALKÖPING</t>
        </is>
      </c>
      <c r="G692" t="n">
        <v>3.1</v>
      </c>
      <c r="H692" t="n">
        <v>1</v>
      </c>
      <c r="I692" t="n">
        <v>0</v>
      </c>
      <c r="J692" t="n">
        <v>1</v>
      </c>
      <c r="K692" t="n">
        <v>0</v>
      </c>
      <c r="L692" t="n">
        <v>0</v>
      </c>
      <c r="M692" t="n">
        <v>0</v>
      </c>
      <c r="N692" t="n">
        <v>0</v>
      </c>
      <c r="O692" t="n">
        <v>1</v>
      </c>
      <c r="P692" t="n">
        <v>0</v>
      </c>
      <c r="Q692" t="n">
        <v>1</v>
      </c>
      <c r="R692" s="2" t="inlineStr">
        <is>
          <t>Havsörn</t>
        </is>
      </c>
      <c r="S692">
        <f>HYPERLINK("https://klasma.github.io/Logging_1499/artfynd/A 24407-2023 artfynd.xlsx", "A 24407-2023")</f>
        <v/>
      </c>
      <c r="T692">
        <f>HYPERLINK("https://klasma.github.io/Logging_1499/kartor/A 24407-2023 karta.png", "A 24407-2023")</f>
        <v/>
      </c>
      <c r="V692">
        <f>HYPERLINK("https://klasma.github.io/Logging_1499/klagomål/A 24407-2023 FSC-klagomål.docx", "A 24407-2023")</f>
        <v/>
      </c>
      <c r="W692">
        <f>HYPERLINK("https://klasma.github.io/Logging_1499/klagomålsmail/A 24407-2023 FSC-klagomål mail.docx", "A 24407-2023")</f>
        <v/>
      </c>
      <c r="X692">
        <f>HYPERLINK("https://klasma.github.io/Logging_1499/tillsyn/A 24407-2023 tillsynsbegäran.docx", "A 24407-2023")</f>
        <v/>
      </c>
      <c r="Y692">
        <f>HYPERLINK("https://klasma.github.io/Logging_1499/tillsynsmail/A 24407-2023 tillsynsbegäran mail.docx", "A 24407-2023")</f>
        <v/>
      </c>
      <c r="Z692">
        <f>HYPERLINK("https://klasma.github.io/Logging_1499/fåglar/A 24407-2023 prioriterade fågelarter.docx", "A 24407-2023")</f>
        <v/>
      </c>
    </row>
    <row r="693" ht="15" customHeight="1">
      <c r="A693" t="inlineStr">
        <is>
          <t>A 25432-2021</t>
        </is>
      </c>
      <c r="B693" s="1" t="n">
        <v>44342</v>
      </c>
      <c r="C693" s="1" t="n">
        <v>45952</v>
      </c>
      <c r="D693" t="inlineStr">
        <is>
          <t>VÄSTRA GÖTALANDS LÄN</t>
        </is>
      </c>
      <c r="E693" t="inlineStr">
        <is>
          <t>GULLSPÅNG</t>
        </is>
      </c>
      <c r="G693" t="n">
        <v>7.8</v>
      </c>
      <c r="H693" t="n">
        <v>0</v>
      </c>
      <c r="I693" t="n">
        <v>0</v>
      </c>
      <c r="J693" t="n">
        <v>1</v>
      </c>
      <c r="K693" t="n">
        <v>0</v>
      </c>
      <c r="L693" t="n">
        <v>0</v>
      </c>
      <c r="M693" t="n">
        <v>0</v>
      </c>
      <c r="N693" t="n">
        <v>0</v>
      </c>
      <c r="O693" t="n">
        <v>1</v>
      </c>
      <c r="P693" t="n">
        <v>0</v>
      </c>
      <c r="Q693" t="n">
        <v>1</v>
      </c>
      <c r="R693" s="2" t="inlineStr">
        <is>
          <t>Åkerrödtoppa</t>
        </is>
      </c>
      <c r="S693">
        <f>HYPERLINK("https://klasma.github.io/Logging_1447/artfynd/A 25432-2021 artfynd.xlsx", "A 25432-2021")</f>
        <v/>
      </c>
      <c r="T693">
        <f>HYPERLINK("https://klasma.github.io/Logging_1447/kartor/A 25432-2021 karta.png", "A 25432-2021")</f>
        <v/>
      </c>
      <c r="V693">
        <f>HYPERLINK("https://klasma.github.io/Logging_1447/klagomål/A 25432-2021 FSC-klagomål.docx", "A 25432-2021")</f>
        <v/>
      </c>
      <c r="W693">
        <f>HYPERLINK("https://klasma.github.io/Logging_1447/klagomålsmail/A 25432-2021 FSC-klagomål mail.docx", "A 25432-2021")</f>
        <v/>
      </c>
      <c r="X693">
        <f>HYPERLINK("https://klasma.github.io/Logging_1447/tillsyn/A 25432-2021 tillsynsbegäran.docx", "A 25432-2021")</f>
        <v/>
      </c>
      <c r="Y693">
        <f>HYPERLINK("https://klasma.github.io/Logging_1447/tillsynsmail/A 25432-2021 tillsynsbegäran mail.docx", "A 25432-2021")</f>
        <v/>
      </c>
    </row>
    <row r="694" ht="15" customHeight="1">
      <c r="A694" t="inlineStr">
        <is>
          <t>A 24247-2024</t>
        </is>
      </c>
      <c r="B694" s="1" t="n">
        <v>45457</v>
      </c>
      <c r="C694" s="1" t="n">
        <v>45952</v>
      </c>
      <c r="D694" t="inlineStr">
        <is>
          <t>VÄSTRA GÖTALANDS LÄN</t>
        </is>
      </c>
      <c r="E694" t="inlineStr">
        <is>
          <t>BENGTSFORS</t>
        </is>
      </c>
      <c r="F694" t="inlineStr">
        <is>
          <t>Kyrkan</t>
        </is>
      </c>
      <c r="G694" t="n">
        <v>3</v>
      </c>
      <c r="H694" t="n">
        <v>0</v>
      </c>
      <c r="I694" t="n">
        <v>0</v>
      </c>
      <c r="J694" t="n">
        <v>1</v>
      </c>
      <c r="K694" t="n">
        <v>0</v>
      </c>
      <c r="L694" t="n">
        <v>0</v>
      </c>
      <c r="M694" t="n">
        <v>0</v>
      </c>
      <c r="N694" t="n">
        <v>0</v>
      </c>
      <c r="O694" t="n">
        <v>1</v>
      </c>
      <c r="P694" t="n">
        <v>0</v>
      </c>
      <c r="Q694" t="n">
        <v>1</v>
      </c>
      <c r="R694" s="2" t="inlineStr">
        <is>
          <t>Skogsklocka</t>
        </is>
      </c>
      <c r="S694">
        <f>HYPERLINK("https://klasma.github.io/Logging_1460/artfynd/A 24247-2024 artfynd.xlsx", "A 24247-2024")</f>
        <v/>
      </c>
      <c r="T694">
        <f>HYPERLINK("https://klasma.github.io/Logging_1460/kartor/A 24247-2024 karta.png", "A 24247-2024")</f>
        <v/>
      </c>
      <c r="V694">
        <f>HYPERLINK("https://klasma.github.io/Logging_1460/klagomål/A 24247-2024 FSC-klagomål.docx", "A 24247-2024")</f>
        <v/>
      </c>
      <c r="W694">
        <f>HYPERLINK("https://klasma.github.io/Logging_1460/klagomålsmail/A 24247-2024 FSC-klagomål mail.docx", "A 24247-2024")</f>
        <v/>
      </c>
      <c r="X694">
        <f>HYPERLINK("https://klasma.github.io/Logging_1460/tillsyn/A 24247-2024 tillsynsbegäran.docx", "A 24247-2024")</f>
        <v/>
      </c>
      <c r="Y694">
        <f>HYPERLINK("https://klasma.github.io/Logging_1460/tillsynsmail/A 24247-2024 tillsynsbegäran mail.docx", "A 24247-2024")</f>
        <v/>
      </c>
    </row>
    <row r="695" ht="15" customHeight="1">
      <c r="A695" t="inlineStr">
        <is>
          <t>A 13220-2024</t>
        </is>
      </c>
      <c r="B695" s="1" t="n">
        <v>45386.52466435185</v>
      </c>
      <c r="C695" s="1" t="n">
        <v>45952</v>
      </c>
      <c r="D695" t="inlineStr">
        <is>
          <t>VÄSTRA GÖTALANDS LÄN</t>
        </is>
      </c>
      <c r="E695" t="inlineStr">
        <is>
          <t>ORUST</t>
        </is>
      </c>
      <c r="G695" t="n">
        <v>3.3</v>
      </c>
      <c r="H695" t="n">
        <v>1</v>
      </c>
      <c r="I695" t="n">
        <v>0</v>
      </c>
      <c r="J695" t="n">
        <v>0</v>
      </c>
      <c r="K695" t="n">
        <v>1</v>
      </c>
      <c r="L695" t="n">
        <v>0</v>
      </c>
      <c r="M695" t="n">
        <v>0</v>
      </c>
      <c r="N695" t="n">
        <v>0</v>
      </c>
      <c r="O695" t="n">
        <v>1</v>
      </c>
      <c r="P695" t="n">
        <v>1</v>
      </c>
      <c r="Q695" t="n">
        <v>1</v>
      </c>
      <c r="R695" s="2" t="inlineStr">
        <is>
          <t>Knärot</t>
        </is>
      </c>
      <c r="S695">
        <f>HYPERLINK("https://klasma.github.io/Logging_1421/artfynd/A 13220-2024 artfynd.xlsx", "A 13220-2024")</f>
        <v/>
      </c>
      <c r="T695">
        <f>HYPERLINK("https://klasma.github.io/Logging_1421/kartor/A 13220-2024 karta.png", "A 13220-2024")</f>
        <v/>
      </c>
      <c r="U695">
        <f>HYPERLINK("https://klasma.github.io/Logging_1421/knärot/A 13220-2024 karta knärot.png", "A 13220-2024")</f>
        <v/>
      </c>
      <c r="V695">
        <f>HYPERLINK("https://klasma.github.io/Logging_1421/klagomål/A 13220-2024 FSC-klagomål.docx", "A 13220-2024")</f>
        <v/>
      </c>
      <c r="W695">
        <f>HYPERLINK("https://klasma.github.io/Logging_1421/klagomålsmail/A 13220-2024 FSC-klagomål mail.docx", "A 13220-2024")</f>
        <v/>
      </c>
      <c r="X695">
        <f>HYPERLINK("https://klasma.github.io/Logging_1421/tillsyn/A 13220-2024 tillsynsbegäran.docx", "A 13220-2024")</f>
        <v/>
      </c>
      <c r="Y695">
        <f>HYPERLINK("https://klasma.github.io/Logging_1421/tillsynsmail/A 13220-2024 tillsynsbegäran mail.docx", "A 13220-2024")</f>
        <v/>
      </c>
    </row>
    <row r="696" ht="15" customHeight="1">
      <c r="A696" t="inlineStr">
        <is>
          <t>A 28008-2025</t>
        </is>
      </c>
      <c r="B696" s="1" t="n">
        <v>45817.60202546296</v>
      </c>
      <c r="C696" s="1" t="n">
        <v>45952</v>
      </c>
      <c r="D696" t="inlineStr">
        <is>
          <t>VÄSTRA GÖTALANDS LÄN</t>
        </is>
      </c>
      <c r="E696" t="inlineStr">
        <is>
          <t>DALS-ED</t>
        </is>
      </c>
      <c r="G696" t="n">
        <v>3</v>
      </c>
      <c r="H696" t="n">
        <v>0</v>
      </c>
      <c r="I696" t="n">
        <v>1</v>
      </c>
      <c r="J696" t="n">
        <v>0</v>
      </c>
      <c r="K696" t="n">
        <v>0</v>
      </c>
      <c r="L696" t="n">
        <v>0</v>
      </c>
      <c r="M696" t="n">
        <v>0</v>
      </c>
      <c r="N696" t="n">
        <v>0</v>
      </c>
      <c r="O696" t="n">
        <v>0</v>
      </c>
      <c r="P696" t="n">
        <v>0</v>
      </c>
      <c r="Q696" t="n">
        <v>1</v>
      </c>
      <c r="R696" s="2" t="inlineStr">
        <is>
          <t>Jättesvampmal</t>
        </is>
      </c>
      <c r="S696">
        <f>HYPERLINK("https://klasma.github.io/Logging_1438/artfynd/A 28008-2025 artfynd.xlsx", "A 28008-2025")</f>
        <v/>
      </c>
      <c r="T696">
        <f>HYPERLINK("https://klasma.github.io/Logging_1438/kartor/A 28008-2025 karta.png", "A 28008-2025")</f>
        <v/>
      </c>
      <c r="V696">
        <f>HYPERLINK("https://klasma.github.io/Logging_1438/klagomål/A 28008-2025 FSC-klagomål.docx", "A 28008-2025")</f>
        <v/>
      </c>
      <c r="W696">
        <f>HYPERLINK("https://klasma.github.io/Logging_1438/klagomålsmail/A 28008-2025 FSC-klagomål mail.docx", "A 28008-2025")</f>
        <v/>
      </c>
      <c r="X696">
        <f>HYPERLINK("https://klasma.github.io/Logging_1438/tillsyn/A 28008-2025 tillsynsbegäran.docx", "A 28008-2025")</f>
        <v/>
      </c>
      <c r="Y696">
        <f>HYPERLINK("https://klasma.github.io/Logging_1438/tillsynsmail/A 28008-2025 tillsynsbegäran mail.docx", "A 28008-2025")</f>
        <v/>
      </c>
    </row>
    <row r="697" ht="15" customHeight="1">
      <c r="A697" t="inlineStr">
        <is>
          <t>A 51398-2025</t>
        </is>
      </c>
      <c r="B697" s="1" t="n">
        <v>45947</v>
      </c>
      <c r="C697" s="1" t="n">
        <v>45952</v>
      </c>
      <c r="D697" t="inlineStr">
        <is>
          <t>VÄSTRA GÖTALANDS LÄN</t>
        </is>
      </c>
      <c r="E697" t="inlineStr">
        <is>
          <t>MUNKEDAL</t>
        </is>
      </c>
      <c r="G697" t="n">
        <v>2.1</v>
      </c>
      <c r="H697" t="n">
        <v>1</v>
      </c>
      <c r="I697" t="n">
        <v>0</v>
      </c>
      <c r="J697" t="n">
        <v>0</v>
      </c>
      <c r="K697" t="n">
        <v>0</v>
      </c>
      <c r="L697" t="n">
        <v>0</v>
      </c>
      <c r="M697" t="n">
        <v>0</v>
      </c>
      <c r="N697" t="n">
        <v>0</v>
      </c>
      <c r="O697" t="n">
        <v>0</v>
      </c>
      <c r="P697" t="n">
        <v>0</v>
      </c>
      <c r="Q697" t="n">
        <v>1</v>
      </c>
      <c r="R697" s="2" t="inlineStr">
        <is>
          <t>Revlummer</t>
        </is>
      </c>
      <c r="S697">
        <f>HYPERLINK("https://klasma.github.io/Logging_1430/artfynd/A 51398-2025 artfynd.xlsx", "A 51398-2025")</f>
        <v/>
      </c>
      <c r="T697">
        <f>HYPERLINK("https://klasma.github.io/Logging_1430/kartor/A 51398-2025 karta.png", "A 51398-2025")</f>
        <v/>
      </c>
      <c r="V697">
        <f>HYPERLINK("https://klasma.github.io/Logging_1430/klagomål/A 51398-2025 FSC-klagomål.docx", "A 51398-2025")</f>
        <v/>
      </c>
      <c r="W697">
        <f>HYPERLINK("https://klasma.github.io/Logging_1430/klagomålsmail/A 51398-2025 FSC-klagomål mail.docx", "A 51398-2025")</f>
        <v/>
      </c>
      <c r="X697">
        <f>HYPERLINK("https://klasma.github.io/Logging_1430/tillsyn/A 51398-2025 tillsynsbegäran.docx", "A 51398-2025")</f>
        <v/>
      </c>
      <c r="Y697">
        <f>HYPERLINK("https://klasma.github.io/Logging_1430/tillsynsmail/A 51398-2025 tillsynsbegäran mail.docx", "A 51398-2025")</f>
        <v/>
      </c>
    </row>
    <row r="698" ht="15" customHeight="1">
      <c r="A698" t="inlineStr">
        <is>
          <t>A 17540-2025</t>
        </is>
      </c>
      <c r="B698" s="1" t="n">
        <v>45757</v>
      </c>
      <c r="C698" s="1" t="n">
        <v>45952</v>
      </c>
      <c r="D698" t="inlineStr">
        <is>
          <t>VÄSTRA GÖTALANDS LÄN</t>
        </is>
      </c>
      <c r="E698" t="inlineStr">
        <is>
          <t>TÖREBODA</t>
        </is>
      </c>
      <c r="G698" t="n">
        <v>3.5</v>
      </c>
      <c r="H698" t="n">
        <v>1</v>
      </c>
      <c r="I698" t="n">
        <v>0</v>
      </c>
      <c r="J698" t="n">
        <v>0</v>
      </c>
      <c r="K698" t="n">
        <v>0</v>
      </c>
      <c r="L698" t="n">
        <v>0</v>
      </c>
      <c r="M698" t="n">
        <v>0</v>
      </c>
      <c r="N698" t="n">
        <v>0</v>
      </c>
      <c r="O698" t="n">
        <v>0</v>
      </c>
      <c r="P698" t="n">
        <v>0</v>
      </c>
      <c r="Q698" t="n">
        <v>1</v>
      </c>
      <c r="R698" s="2" t="inlineStr">
        <is>
          <t>Vattenfladdermus</t>
        </is>
      </c>
      <c r="S698">
        <f>HYPERLINK("https://klasma.github.io/Logging_1473/artfynd/A 17540-2025 artfynd.xlsx", "A 17540-2025")</f>
        <v/>
      </c>
      <c r="T698">
        <f>HYPERLINK("https://klasma.github.io/Logging_1473/kartor/A 17540-2025 karta.png", "A 17540-2025")</f>
        <v/>
      </c>
      <c r="V698">
        <f>HYPERLINK("https://klasma.github.io/Logging_1473/klagomål/A 17540-2025 FSC-klagomål.docx", "A 17540-2025")</f>
        <v/>
      </c>
      <c r="W698">
        <f>HYPERLINK("https://klasma.github.io/Logging_1473/klagomålsmail/A 17540-2025 FSC-klagomål mail.docx", "A 17540-2025")</f>
        <v/>
      </c>
      <c r="X698">
        <f>HYPERLINK("https://klasma.github.io/Logging_1473/tillsyn/A 17540-2025 tillsynsbegäran.docx", "A 17540-2025")</f>
        <v/>
      </c>
      <c r="Y698">
        <f>HYPERLINK("https://klasma.github.io/Logging_1473/tillsynsmail/A 17540-2025 tillsynsbegäran mail.docx", "A 17540-2025")</f>
        <v/>
      </c>
    </row>
    <row r="699" ht="15" customHeight="1">
      <c r="A699" t="inlineStr">
        <is>
          <t>A 51277-2025</t>
        </is>
      </c>
      <c r="B699" s="1" t="n">
        <v>45950.23784722222</v>
      </c>
      <c r="C699" s="1" t="n">
        <v>45952</v>
      </c>
      <c r="D699" t="inlineStr">
        <is>
          <t>VÄSTRA GÖTALANDS LÄN</t>
        </is>
      </c>
      <c r="E699" t="inlineStr">
        <is>
          <t>VARA</t>
        </is>
      </c>
      <c r="G699" t="n">
        <v>4.1</v>
      </c>
      <c r="H699" t="n">
        <v>1</v>
      </c>
      <c r="I699" t="n">
        <v>0</v>
      </c>
      <c r="J699" t="n">
        <v>1</v>
      </c>
      <c r="K699" t="n">
        <v>0</v>
      </c>
      <c r="L699" t="n">
        <v>0</v>
      </c>
      <c r="M699" t="n">
        <v>0</v>
      </c>
      <c r="N699" t="n">
        <v>0</v>
      </c>
      <c r="O699" t="n">
        <v>1</v>
      </c>
      <c r="P699" t="n">
        <v>0</v>
      </c>
      <c r="Q699" t="n">
        <v>1</v>
      </c>
      <c r="R699" s="2" t="inlineStr">
        <is>
          <t>Gulsparv</t>
        </is>
      </c>
      <c r="S699">
        <f>HYPERLINK("https://klasma.github.io/Logging_1470/artfynd/A 51277-2025 artfynd.xlsx", "A 51277-2025")</f>
        <v/>
      </c>
      <c r="T699">
        <f>HYPERLINK("https://klasma.github.io/Logging_1470/kartor/A 51277-2025 karta.png", "A 51277-2025")</f>
        <v/>
      </c>
      <c r="V699">
        <f>HYPERLINK("https://klasma.github.io/Logging_1470/klagomål/A 51277-2025 FSC-klagomål.docx", "A 51277-2025")</f>
        <v/>
      </c>
      <c r="W699">
        <f>HYPERLINK("https://klasma.github.io/Logging_1470/klagomålsmail/A 51277-2025 FSC-klagomål mail.docx", "A 51277-2025")</f>
        <v/>
      </c>
      <c r="X699">
        <f>HYPERLINK("https://klasma.github.io/Logging_1470/tillsyn/A 51277-2025 tillsynsbegäran.docx", "A 51277-2025")</f>
        <v/>
      </c>
      <c r="Y699">
        <f>HYPERLINK("https://klasma.github.io/Logging_1470/tillsynsmail/A 51277-2025 tillsynsbegäran mail.docx", "A 51277-2025")</f>
        <v/>
      </c>
      <c r="Z699">
        <f>HYPERLINK("https://klasma.github.io/Logging_1470/fåglar/A 51277-2025 prioriterade fågelarter.docx", "A 51277-2025")</f>
        <v/>
      </c>
    </row>
    <row r="700" ht="15" customHeight="1">
      <c r="A700" t="inlineStr">
        <is>
          <t>A 60624-2022</t>
        </is>
      </c>
      <c r="B700" s="1" t="n">
        <v>44911.65568287037</v>
      </c>
      <c r="C700" s="1" t="n">
        <v>45952</v>
      </c>
      <c r="D700" t="inlineStr">
        <is>
          <t>VÄSTRA GÖTALANDS LÄN</t>
        </is>
      </c>
      <c r="E700" t="inlineStr">
        <is>
          <t>FÄRGELANDA</t>
        </is>
      </c>
      <c r="G700" t="n">
        <v>1.7</v>
      </c>
      <c r="H700" t="n">
        <v>1</v>
      </c>
      <c r="I700" t="n">
        <v>0</v>
      </c>
      <c r="J700" t="n">
        <v>0</v>
      </c>
      <c r="K700" t="n">
        <v>0</v>
      </c>
      <c r="L700" t="n">
        <v>0</v>
      </c>
      <c r="M700" t="n">
        <v>0</v>
      </c>
      <c r="N700" t="n">
        <v>0</v>
      </c>
      <c r="O700" t="n">
        <v>0</v>
      </c>
      <c r="P700" t="n">
        <v>0</v>
      </c>
      <c r="Q700" t="n">
        <v>1</v>
      </c>
      <c r="R700" s="2" t="inlineStr">
        <is>
          <t>Revlummer</t>
        </is>
      </c>
      <c r="S700">
        <f>HYPERLINK("https://klasma.github.io/Logging_1439/artfynd/A 60624-2022 artfynd.xlsx", "A 60624-2022")</f>
        <v/>
      </c>
      <c r="T700">
        <f>HYPERLINK("https://klasma.github.io/Logging_1439/kartor/A 60624-2022 karta.png", "A 60624-2022")</f>
        <v/>
      </c>
      <c r="V700">
        <f>HYPERLINK("https://klasma.github.io/Logging_1439/klagomål/A 60624-2022 FSC-klagomål.docx", "A 60624-2022")</f>
        <v/>
      </c>
      <c r="W700">
        <f>HYPERLINK("https://klasma.github.io/Logging_1439/klagomålsmail/A 60624-2022 FSC-klagomål mail.docx", "A 60624-2022")</f>
        <v/>
      </c>
      <c r="X700">
        <f>HYPERLINK("https://klasma.github.io/Logging_1439/tillsyn/A 60624-2022 tillsynsbegäran.docx", "A 60624-2022")</f>
        <v/>
      </c>
      <c r="Y700">
        <f>HYPERLINK("https://klasma.github.io/Logging_1439/tillsynsmail/A 60624-2022 tillsynsbegäran mail.docx", "A 60624-2022")</f>
        <v/>
      </c>
    </row>
    <row r="701" ht="15" customHeight="1">
      <c r="A701" t="inlineStr">
        <is>
          <t>A 42915-2025</t>
        </is>
      </c>
      <c r="B701" s="1" t="n">
        <v>45908.76802083333</v>
      </c>
      <c r="C701" s="1" t="n">
        <v>45952</v>
      </c>
      <c r="D701" t="inlineStr">
        <is>
          <t>VÄSTRA GÖTALANDS LÄN</t>
        </is>
      </c>
      <c r="E701" t="inlineStr">
        <is>
          <t>HÄRRYDA</t>
        </is>
      </c>
      <c r="G701" t="n">
        <v>8.6</v>
      </c>
      <c r="H701" t="n">
        <v>0</v>
      </c>
      <c r="I701" t="n">
        <v>1</v>
      </c>
      <c r="J701" t="n">
        <v>0</v>
      </c>
      <c r="K701" t="n">
        <v>0</v>
      </c>
      <c r="L701" t="n">
        <v>0</v>
      </c>
      <c r="M701" t="n">
        <v>0</v>
      </c>
      <c r="N701" t="n">
        <v>0</v>
      </c>
      <c r="O701" t="n">
        <v>0</v>
      </c>
      <c r="P701" t="n">
        <v>0</v>
      </c>
      <c r="Q701" t="n">
        <v>1</v>
      </c>
      <c r="R701" s="2" t="inlineStr">
        <is>
          <t>Klippfrullania</t>
        </is>
      </c>
      <c r="S701">
        <f>HYPERLINK("https://klasma.github.io/Logging_1401/artfynd/A 42915-2025 artfynd.xlsx", "A 42915-2025")</f>
        <v/>
      </c>
      <c r="T701">
        <f>HYPERLINK("https://klasma.github.io/Logging_1401/kartor/A 42915-2025 karta.png", "A 42915-2025")</f>
        <v/>
      </c>
      <c r="V701">
        <f>HYPERLINK("https://klasma.github.io/Logging_1401/klagomål/A 42915-2025 FSC-klagomål.docx", "A 42915-2025")</f>
        <v/>
      </c>
      <c r="W701">
        <f>HYPERLINK("https://klasma.github.io/Logging_1401/klagomålsmail/A 42915-2025 FSC-klagomål mail.docx", "A 42915-2025")</f>
        <v/>
      </c>
      <c r="X701">
        <f>HYPERLINK("https://klasma.github.io/Logging_1401/tillsyn/A 42915-2025 tillsynsbegäran.docx", "A 42915-2025")</f>
        <v/>
      </c>
      <c r="Y701">
        <f>HYPERLINK("https://klasma.github.io/Logging_1401/tillsynsmail/A 42915-2025 tillsynsbegäran mail.docx", "A 42915-2025")</f>
        <v/>
      </c>
    </row>
    <row r="702" ht="15" customHeight="1">
      <c r="A702" t="inlineStr">
        <is>
          <t>A 3899-2021</t>
        </is>
      </c>
      <c r="B702" s="1" t="n">
        <v>44217</v>
      </c>
      <c r="C702" s="1" t="n">
        <v>45952</v>
      </c>
      <c r="D702" t="inlineStr">
        <is>
          <t>VÄSTRA GÖTALANDS LÄN</t>
        </is>
      </c>
      <c r="E702" t="inlineStr">
        <is>
          <t>MUNKEDAL</t>
        </is>
      </c>
      <c r="G702" t="n">
        <v>34.1</v>
      </c>
      <c r="H702" t="n">
        <v>1</v>
      </c>
      <c r="I702" t="n">
        <v>0</v>
      </c>
      <c r="J702" t="n">
        <v>0</v>
      </c>
      <c r="K702" t="n">
        <v>0</v>
      </c>
      <c r="L702" t="n">
        <v>0</v>
      </c>
      <c r="M702" t="n">
        <v>0</v>
      </c>
      <c r="N702" t="n">
        <v>0</v>
      </c>
      <c r="O702" t="n">
        <v>0</v>
      </c>
      <c r="P702" t="n">
        <v>0</v>
      </c>
      <c r="Q702" t="n">
        <v>1</v>
      </c>
      <c r="R702" s="2" t="inlineStr">
        <is>
          <t>Vanlig groda</t>
        </is>
      </c>
      <c r="S702">
        <f>HYPERLINK("https://klasma.github.io/Logging_1430/artfynd/A 3899-2021 artfynd.xlsx", "A 3899-2021")</f>
        <v/>
      </c>
      <c r="T702">
        <f>HYPERLINK("https://klasma.github.io/Logging_1430/kartor/A 3899-2021 karta.png", "A 3899-2021")</f>
        <v/>
      </c>
      <c r="V702">
        <f>HYPERLINK("https://klasma.github.io/Logging_1430/klagomål/A 3899-2021 FSC-klagomål.docx", "A 3899-2021")</f>
        <v/>
      </c>
      <c r="W702">
        <f>HYPERLINK("https://klasma.github.io/Logging_1430/klagomålsmail/A 3899-2021 FSC-klagomål mail.docx", "A 3899-2021")</f>
        <v/>
      </c>
      <c r="X702">
        <f>HYPERLINK("https://klasma.github.io/Logging_1430/tillsyn/A 3899-2021 tillsynsbegäran.docx", "A 3899-2021")</f>
        <v/>
      </c>
      <c r="Y702">
        <f>HYPERLINK("https://klasma.github.io/Logging_1430/tillsynsmail/A 3899-2021 tillsynsbegäran mail.docx", "A 3899-2021")</f>
        <v/>
      </c>
    </row>
    <row r="703" ht="15" customHeight="1">
      <c r="A703" t="inlineStr">
        <is>
          <t>A 12658-2025</t>
        </is>
      </c>
      <c r="B703" s="1" t="n">
        <v>45733.42328703704</v>
      </c>
      <c r="C703" s="1" t="n">
        <v>45952</v>
      </c>
      <c r="D703" t="inlineStr">
        <is>
          <t>VÄSTRA GÖTALANDS LÄN</t>
        </is>
      </c>
      <c r="E703" t="inlineStr">
        <is>
          <t>SVENLJUNGA</t>
        </is>
      </c>
      <c r="G703" t="n">
        <v>3.7</v>
      </c>
      <c r="H703" t="n">
        <v>0</v>
      </c>
      <c r="I703" t="n">
        <v>0</v>
      </c>
      <c r="J703" t="n">
        <v>1</v>
      </c>
      <c r="K703" t="n">
        <v>0</v>
      </c>
      <c r="L703" t="n">
        <v>0</v>
      </c>
      <c r="M703" t="n">
        <v>0</v>
      </c>
      <c r="N703" t="n">
        <v>0</v>
      </c>
      <c r="O703" t="n">
        <v>1</v>
      </c>
      <c r="P703" t="n">
        <v>0</v>
      </c>
      <c r="Q703" t="n">
        <v>1</v>
      </c>
      <c r="R703" s="2" t="inlineStr">
        <is>
          <t>Igelkott</t>
        </is>
      </c>
      <c r="S703">
        <f>HYPERLINK("https://klasma.github.io/Logging_1465/artfynd/A 12658-2025 artfynd.xlsx", "A 12658-2025")</f>
        <v/>
      </c>
      <c r="T703">
        <f>HYPERLINK("https://klasma.github.io/Logging_1465/kartor/A 12658-2025 karta.png", "A 12658-2025")</f>
        <v/>
      </c>
      <c r="V703">
        <f>HYPERLINK("https://klasma.github.io/Logging_1465/klagomål/A 12658-2025 FSC-klagomål.docx", "A 12658-2025")</f>
        <v/>
      </c>
      <c r="W703">
        <f>HYPERLINK("https://klasma.github.io/Logging_1465/klagomålsmail/A 12658-2025 FSC-klagomål mail.docx", "A 12658-2025")</f>
        <v/>
      </c>
      <c r="X703">
        <f>HYPERLINK("https://klasma.github.io/Logging_1465/tillsyn/A 12658-2025 tillsynsbegäran.docx", "A 12658-2025")</f>
        <v/>
      </c>
      <c r="Y703">
        <f>HYPERLINK("https://klasma.github.io/Logging_1465/tillsynsmail/A 12658-2025 tillsynsbegäran mail.docx", "A 12658-2025")</f>
        <v/>
      </c>
    </row>
    <row r="704" ht="15" customHeight="1">
      <c r="A704" t="inlineStr">
        <is>
          <t>A 6082-2025</t>
        </is>
      </c>
      <c r="B704" s="1" t="n">
        <v>45697</v>
      </c>
      <c r="C704" s="1" t="n">
        <v>45952</v>
      </c>
      <c r="D704" t="inlineStr">
        <is>
          <t>VÄSTRA GÖTALANDS LÄN</t>
        </is>
      </c>
      <c r="E704" t="inlineStr">
        <is>
          <t>KUNGÄLV</t>
        </is>
      </c>
      <c r="G704" t="n">
        <v>2.8</v>
      </c>
      <c r="H704" t="n">
        <v>1</v>
      </c>
      <c r="I704" t="n">
        <v>0</v>
      </c>
      <c r="J704" t="n">
        <v>1</v>
      </c>
      <c r="K704" t="n">
        <v>0</v>
      </c>
      <c r="L704" t="n">
        <v>0</v>
      </c>
      <c r="M704" t="n">
        <v>0</v>
      </c>
      <c r="N704" t="n">
        <v>0</v>
      </c>
      <c r="O704" t="n">
        <v>1</v>
      </c>
      <c r="P704" t="n">
        <v>0</v>
      </c>
      <c r="Q704" t="n">
        <v>1</v>
      </c>
      <c r="R704" s="2" t="inlineStr">
        <is>
          <t>Spillkråka</t>
        </is>
      </c>
      <c r="S704">
        <f>HYPERLINK("https://klasma.github.io/Logging_1482/artfynd/A 6082-2025 artfynd.xlsx", "A 6082-2025")</f>
        <v/>
      </c>
      <c r="T704">
        <f>HYPERLINK("https://klasma.github.io/Logging_1482/kartor/A 6082-2025 karta.png", "A 6082-2025")</f>
        <v/>
      </c>
      <c r="V704">
        <f>HYPERLINK("https://klasma.github.io/Logging_1482/klagomål/A 6082-2025 FSC-klagomål.docx", "A 6082-2025")</f>
        <v/>
      </c>
      <c r="W704">
        <f>HYPERLINK("https://klasma.github.io/Logging_1482/klagomålsmail/A 6082-2025 FSC-klagomål mail.docx", "A 6082-2025")</f>
        <v/>
      </c>
      <c r="X704">
        <f>HYPERLINK("https://klasma.github.io/Logging_1482/tillsyn/A 6082-2025 tillsynsbegäran.docx", "A 6082-2025")</f>
        <v/>
      </c>
      <c r="Y704">
        <f>HYPERLINK("https://klasma.github.io/Logging_1482/tillsynsmail/A 6082-2025 tillsynsbegäran mail.docx", "A 6082-2025")</f>
        <v/>
      </c>
      <c r="Z704">
        <f>HYPERLINK("https://klasma.github.io/Logging_1482/fåglar/A 6082-2025 prioriterade fågelarter.docx", "A 6082-2025")</f>
        <v/>
      </c>
    </row>
    <row r="705" ht="15" customHeight="1">
      <c r="A705" t="inlineStr">
        <is>
          <t>A 27406-2025</t>
        </is>
      </c>
      <c r="B705" s="1" t="n">
        <v>45812</v>
      </c>
      <c r="C705" s="1" t="n">
        <v>45952</v>
      </c>
      <c r="D705" t="inlineStr">
        <is>
          <t>VÄSTRA GÖTALANDS LÄN</t>
        </is>
      </c>
      <c r="E705" t="inlineStr">
        <is>
          <t>ÅMÅL</t>
        </is>
      </c>
      <c r="F705" t="inlineStr">
        <is>
          <t>Kyrkan</t>
        </is>
      </c>
      <c r="G705" t="n">
        <v>4.8</v>
      </c>
      <c r="H705" t="n">
        <v>0</v>
      </c>
      <c r="I705" t="n">
        <v>1</v>
      </c>
      <c r="J705" t="n">
        <v>0</v>
      </c>
      <c r="K705" t="n">
        <v>0</v>
      </c>
      <c r="L705" t="n">
        <v>0</v>
      </c>
      <c r="M705" t="n">
        <v>0</v>
      </c>
      <c r="N705" t="n">
        <v>0</v>
      </c>
      <c r="O705" t="n">
        <v>0</v>
      </c>
      <c r="P705" t="n">
        <v>0</v>
      </c>
      <c r="Q705" t="n">
        <v>1</v>
      </c>
      <c r="R705" s="2" t="inlineStr">
        <is>
          <t>Kambräken</t>
        </is>
      </c>
      <c r="S705">
        <f>HYPERLINK("https://klasma.github.io/Logging_1492/artfynd/A 27406-2025 artfynd.xlsx", "A 27406-2025")</f>
        <v/>
      </c>
      <c r="T705">
        <f>HYPERLINK("https://klasma.github.io/Logging_1492/kartor/A 27406-2025 karta.png", "A 27406-2025")</f>
        <v/>
      </c>
      <c r="V705">
        <f>HYPERLINK("https://klasma.github.io/Logging_1492/klagomål/A 27406-2025 FSC-klagomål.docx", "A 27406-2025")</f>
        <v/>
      </c>
      <c r="W705">
        <f>HYPERLINK("https://klasma.github.io/Logging_1492/klagomålsmail/A 27406-2025 FSC-klagomål mail.docx", "A 27406-2025")</f>
        <v/>
      </c>
      <c r="X705">
        <f>HYPERLINK("https://klasma.github.io/Logging_1492/tillsyn/A 27406-2025 tillsynsbegäran.docx", "A 27406-2025")</f>
        <v/>
      </c>
      <c r="Y705">
        <f>HYPERLINK("https://klasma.github.io/Logging_1492/tillsynsmail/A 27406-2025 tillsynsbegäran mail.docx", "A 27406-2025")</f>
        <v/>
      </c>
    </row>
    <row r="706" ht="15" customHeight="1">
      <c r="A706" t="inlineStr">
        <is>
          <t>A 51807-2025</t>
        </is>
      </c>
      <c r="B706" s="1" t="n">
        <v>45951.78824074074</v>
      </c>
      <c r="C706" s="1" t="n">
        <v>45952</v>
      </c>
      <c r="D706" t="inlineStr">
        <is>
          <t>VÄSTRA GÖTALANDS LÄN</t>
        </is>
      </c>
      <c r="E706" t="inlineStr">
        <is>
          <t>STENUNGSUND</t>
        </is>
      </c>
      <c r="G706" t="n">
        <v>1.2</v>
      </c>
      <c r="H706" t="n">
        <v>0</v>
      </c>
      <c r="I706" t="n">
        <v>1</v>
      </c>
      <c r="J706" t="n">
        <v>0</v>
      </c>
      <c r="K706" t="n">
        <v>0</v>
      </c>
      <c r="L706" t="n">
        <v>0</v>
      </c>
      <c r="M706" t="n">
        <v>0</v>
      </c>
      <c r="N706" t="n">
        <v>0</v>
      </c>
      <c r="O706" t="n">
        <v>0</v>
      </c>
      <c r="P706" t="n">
        <v>0</v>
      </c>
      <c r="Q706" t="n">
        <v>1</v>
      </c>
      <c r="R706" s="2" t="inlineStr">
        <is>
          <t>Blomkålssvamp</t>
        </is>
      </c>
      <c r="S706">
        <f>HYPERLINK("https://klasma.github.io/Logging_1415/artfynd/A 51807-2025 artfynd.xlsx", "A 51807-2025")</f>
        <v/>
      </c>
      <c r="T706">
        <f>HYPERLINK("https://klasma.github.io/Logging_1415/kartor/A 51807-2025 karta.png", "A 51807-2025")</f>
        <v/>
      </c>
      <c r="V706">
        <f>HYPERLINK("https://klasma.github.io/Logging_1415/klagomål/A 51807-2025 FSC-klagomål.docx", "A 51807-2025")</f>
        <v/>
      </c>
      <c r="W706">
        <f>HYPERLINK("https://klasma.github.io/Logging_1415/klagomålsmail/A 51807-2025 FSC-klagomål mail.docx", "A 51807-2025")</f>
        <v/>
      </c>
      <c r="X706">
        <f>HYPERLINK("https://klasma.github.io/Logging_1415/tillsyn/A 51807-2025 tillsynsbegäran.docx", "A 51807-2025")</f>
        <v/>
      </c>
      <c r="Y706">
        <f>HYPERLINK("https://klasma.github.io/Logging_1415/tillsynsmail/A 51807-2025 tillsynsbegäran mail.docx", "A 51807-2025")</f>
        <v/>
      </c>
    </row>
    <row r="707" ht="15" customHeight="1">
      <c r="A707" t="inlineStr">
        <is>
          <t>A 29151-2025</t>
        </is>
      </c>
      <c r="B707" s="1" t="n">
        <v>45821.63221064815</v>
      </c>
      <c r="C707" s="1" t="n">
        <v>45952</v>
      </c>
      <c r="D707" t="inlineStr">
        <is>
          <t>VÄSTRA GÖTALANDS LÄN</t>
        </is>
      </c>
      <c r="E707" t="inlineStr">
        <is>
          <t>MARIESTAD</t>
        </is>
      </c>
      <c r="F707" t="inlineStr">
        <is>
          <t>Sveaskog</t>
        </is>
      </c>
      <c r="G707" t="n">
        <v>2.5</v>
      </c>
      <c r="H707" t="n">
        <v>0</v>
      </c>
      <c r="I707" t="n">
        <v>1</v>
      </c>
      <c r="J707" t="n">
        <v>0</v>
      </c>
      <c r="K707" t="n">
        <v>0</v>
      </c>
      <c r="L707" t="n">
        <v>0</v>
      </c>
      <c r="M707" t="n">
        <v>0</v>
      </c>
      <c r="N707" t="n">
        <v>0</v>
      </c>
      <c r="O707" t="n">
        <v>0</v>
      </c>
      <c r="P707" t="n">
        <v>0</v>
      </c>
      <c r="Q707" t="n">
        <v>1</v>
      </c>
      <c r="R707" s="2" t="inlineStr">
        <is>
          <t>Fällmossa</t>
        </is>
      </c>
      <c r="S707">
        <f>HYPERLINK("https://klasma.github.io/Logging_1493/artfynd/A 29151-2025 artfynd.xlsx", "A 29151-2025")</f>
        <v/>
      </c>
      <c r="T707">
        <f>HYPERLINK("https://klasma.github.io/Logging_1493/kartor/A 29151-2025 karta.png", "A 29151-2025")</f>
        <v/>
      </c>
      <c r="V707">
        <f>HYPERLINK("https://klasma.github.io/Logging_1493/klagomål/A 29151-2025 FSC-klagomål.docx", "A 29151-2025")</f>
        <v/>
      </c>
      <c r="W707">
        <f>HYPERLINK("https://klasma.github.io/Logging_1493/klagomålsmail/A 29151-2025 FSC-klagomål mail.docx", "A 29151-2025")</f>
        <v/>
      </c>
      <c r="X707">
        <f>HYPERLINK("https://klasma.github.io/Logging_1493/tillsyn/A 29151-2025 tillsynsbegäran.docx", "A 29151-2025")</f>
        <v/>
      </c>
      <c r="Y707">
        <f>HYPERLINK("https://klasma.github.io/Logging_1493/tillsynsmail/A 29151-2025 tillsynsbegäran mail.docx", "A 29151-2025")</f>
        <v/>
      </c>
    </row>
    <row r="708" ht="15" customHeight="1">
      <c r="A708" t="inlineStr">
        <is>
          <t>A 29152-2025</t>
        </is>
      </c>
      <c r="B708" s="1" t="n">
        <v>45821.63375</v>
      </c>
      <c r="C708" s="1" t="n">
        <v>45952</v>
      </c>
      <c r="D708" t="inlineStr">
        <is>
          <t>VÄSTRA GÖTALANDS LÄN</t>
        </is>
      </c>
      <c r="E708" t="inlineStr">
        <is>
          <t>MARIESTAD</t>
        </is>
      </c>
      <c r="F708" t="inlineStr">
        <is>
          <t>Sveaskog</t>
        </is>
      </c>
      <c r="G708" t="n">
        <v>4.6</v>
      </c>
      <c r="H708" t="n">
        <v>0</v>
      </c>
      <c r="I708" t="n">
        <v>1</v>
      </c>
      <c r="J708" t="n">
        <v>0</v>
      </c>
      <c r="K708" t="n">
        <v>0</v>
      </c>
      <c r="L708" t="n">
        <v>0</v>
      </c>
      <c r="M708" t="n">
        <v>0</v>
      </c>
      <c r="N708" t="n">
        <v>0</v>
      </c>
      <c r="O708" t="n">
        <v>0</v>
      </c>
      <c r="P708" t="n">
        <v>0</v>
      </c>
      <c r="Q708" t="n">
        <v>1</v>
      </c>
      <c r="R708" s="2" t="inlineStr">
        <is>
          <t>Blodticka</t>
        </is>
      </c>
      <c r="S708">
        <f>HYPERLINK("https://klasma.github.io/Logging_1493/artfynd/A 29152-2025 artfynd.xlsx", "A 29152-2025")</f>
        <v/>
      </c>
      <c r="T708">
        <f>HYPERLINK("https://klasma.github.io/Logging_1493/kartor/A 29152-2025 karta.png", "A 29152-2025")</f>
        <v/>
      </c>
      <c r="V708">
        <f>HYPERLINK("https://klasma.github.io/Logging_1493/klagomål/A 29152-2025 FSC-klagomål.docx", "A 29152-2025")</f>
        <v/>
      </c>
      <c r="W708">
        <f>HYPERLINK("https://klasma.github.io/Logging_1493/klagomålsmail/A 29152-2025 FSC-klagomål mail.docx", "A 29152-2025")</f>
        <v/>
      </c>
      <c r="X708">
        <f>HYPERLINK("https://klasma.github.io/Logging_1493/tillsyn/A 29152-2025 tillsynsbegäran.docx", "A 29152-2025")</f>
        <v/>
      </c>
      <c r="Y708">
        <f>HYPERLINK("https://klasma.github.io/Logging_1493/tillsynsmail/A 29152-2025 tillsynsbegäran mail.docx", "A 29152-2025")</f>
        <v/>
      </c>
    </row>
    <row r="709" ht="15" customHeight="1">
      <c r="A709" t="inlineStr">
        <is>
          <t>A 41056-2025</t>
        </is>
      </c>
      <c r="B709" s="1" t="n">
        <v>45898</v>
      </c>
      <c r="C709" s="1" t="n">
        <v>45952</v>
      </c>
      <c r="D709" t="inlineStr">
        <is>
          <t>VÄSTRA GÖTALANDS LÄN</t>
        </is>
      </c>
      <c r="E709" t="inlineStr">
        <is>
          <t>ORUST</t>
        </is>
      </c>
      <c r="G709" t="n">
        <v>3.3</v>
      </c>
      <c r="H709" t="n">
        <v>0</v>
      </c>
      <c r="I709" t="n">
        <v>1</v>
      </c>
      <c r="J709" t="n">
        <v>0</v>
      </c>
      <c r="K709" t="n">
        <v>0</v>
      </c>
      <c r="L709" t="n">
        <v>0</v>
      </c>
      <c r="M709" t="n">
        <v>0</v>
      </c>
      <c r="N709" t="n">
        <v>0</v>
      </c>
      <c r="O709" t="n">
        <v>0</v>
      </c>
      <c r="P709" t="n">
        <v>0</v>
      </c>
      <c r="Q709" t="n">
        <v>1</v>
      </c>
      <c r="R709" s="2" t="inlineStr">
        <is>
          <t>Grönpyrola</t>
        </is>
      </c>
      <c r="S709">
        <f>HYPERLINK("https://klasma.github.io/Logging_1421/artfynd/A 41056-2025 artfynd.xlsx", "A 41056-2025")</f>
        <v/>
      </c>
      <c r="T709">
        <f>HYPERLINK("https://klasma.github.io/Logging_1421/kartor/A 41056-2025 karta.png", "A 41056-2025")</f>
        <v/>
      </c>
      <c r="V709">
        <f>HYPERLINK("https://klasma.github.io/Logging_1421/klagomål/A 41056-2025 FSC-klagomål.docx", "A 41056-2025")</f>
        <v/>
      </c>
      <c r="W709">
        <f>HYPERLINK("https://klasma.github.io/Logging_1421/klagomålsmail/A 41056-2025 FSC-klagomål mail.docx", "A 41056-2025")</f>
        <v/>
      </c>
      <c r="X709">
        <f>HYPERLINK("https://klasma.github.io/Logging_1421/tillsyn/A 41056-2025 tillsynsbegäran.docx", "A 41056-2025")</f>
        <v/>
      </c>
      <c r="Y709">
        <f>HYPERLINK("https://klasma.github.io/Logging_1421/tillsynsmail/A 41056-2025 tillsynsbegäran mail.docx", "A 41056-2025")</f>
        <v/>
      </c>
    </row>
    <row r="710" ht="15" customHeight="1">
      <c r="A710" t="inlineStr">
        <is>
          <t>A 28783-2025</t>
        </is>
      </c>
      <c r="B710" s="1" t="n">
        <v>45820.45769675926</v>
      </c>
      <c r="C710" s="1" t="n">
        <v>45952</v>
      </c>
      <c r="D710" t="inlineStr">
        <is>
          <t>VÄSTRA GÖTALANDS LÄN</t>
        </is>
      </c>
      <c r="E710" t="inlineStr">
        <is>
          <t>BENGTSFORS</t>
        </is>
      </c>
      <c r="G710" t="n">
        <v>2.2</v>
      </c>
      <c r="H710" t="n">
        <v>0</v>
      </c>
      <c r="I710" t="n">
        <v>1</v>
      </c>
      <c r="J710" t="n">
        <v>0</v>
      </c>
      <c r="K710" t="n">
        <v>0</v>
      </c>
      <c r="L710" t="n">
        <v>0</v>
      </c>
      <c r="M710" t="n">
        <v>0</v>
      </c>
      <c r="N710" t="n">
        <v>0</v>
      </c>
      <c r="O710" t="n">
        <v>0</v>
      </c>
      <c r="P710" t="n">
        <v>0</v>
      </c>
      <c r="Q710" t="n">
        <v>1</v>
      </c>
      <c r="R710" s="2" t="inlineStr">
        <is>
          <t>Grönpyrola</t>
        </is>
      </c>
      <c r="S710">
        <f>HYPERLINK("https://klasma.github.io/Logging_1460/artfynd/A 28783-2025 artfynd.xlsx", "A 28783-2025")</f>
        <v/>
      </c>
      <c r="T710">
        <f>HYPERLINK("https://klasma.github.io/Logging_1460/kartor/A 28783-2025 karta.png", "A 28783-2025")</f>
        <v/>
      </c>
      <c r="V710">
        <f>HYPERLINK("https://klasma.github.io/Logging_1460/klagomål/A 28783-2025 FSC-klagomål.docx", "A 28783-2025")</f>
        <v/>
      </c>
      <c r="W710">
        <f>HYPERLINK("https://klasma.github.io/Logging_1460/klagomålsmail/A 28783-2025 FSC-klagomål mail.docx", "A 28783-2025")</f>
        <v/>
      </c>
      <c r="X710">
        <f>HYPERLINK("https://klasma.github.io/Logging_1460/tillsyn/A 28783-2025 tillsynsbegäran.docx", "A 28783-2025")</f>
        <v/>
      </c>
      <c r="Y710">
        <f>HYPERLINK("https://klasma.github.io/Logging_1460/tillsynsmail/A 28783-2025 tillsynsbegäran mail.docx", "A 28783-2025")</f>
        <v/>
      </c>
    </row>
    <row r="711" ht="15" customHeight="1">
      <c r="A711" t="inlineStr">
        <is>
          <t>A 29295-2025</t>
        </is>
      </c>
      <c r="B711" s="1" t="n">
        <v>45824.44601851852</v>
      </c>
      <c r="C711" s="1" t="n">
        <v>45952</v>
      </c>
      <c r="D711" t="inlineStr">
        <is>
          <t>VÄSTRA GÖTALANDS LÄN</t>
        </is>
      </c>
      <c r="E711" t="inlineStr">
        <is>
          <t>BORÅS</t>
        </is>
      </c>
      <c r="G711" t="n">
        <v>7.5</v>
      </c>
      <c r="H711" t="n">
        <v>0</v>
      </c>
      <c r="I711" t="n">
        <v>0</v>
      </c>
      <c r="J711" t="n">
        <v>0</v>
      </c>
      <c r="K711" t="n">
        <v>1</v>
      </c>
      <c r="L711" t="n">
        <v>0</v>
      </c>
      <c r="M711" t="n">
        <v>0</v>
      </c>
      <c r="N711" t="n">
        <v>0</v>
      </c>
      <c r="O711" t="n">
        <v>1</v>
      </c>
      <c r="P711" t="n">
        <v>1</v>
      </c>
      <c r="Q711" t="n">
        <v>1</v>
      </c>
      <c r="R711" s="2" t="inlineStr">
        <is>
          <t>Brödtaggsvamp</t>
        </is>
      </c>
      <c r="S711">
        <f>HYPERLINK("https://klasma.github.io/Logging_1490/artfynd/A 29295-2025 artfynd.xlsx", "A 29295-2025")</f>
        <v/>
      </c>
      <c r="T711">
        <f>HYPERLINK("https://klasma.github.io/Logging_1490/kartor/A 29295-2025 karta.png", "A 29295-2025")</f>
        <v/>
      </c>
      <c r="V711">
        <f>HYPERLINK("https://klasma.github.io/Logging_1490/klagomål/A 29295-2025 FSC-klagomål.docx", "A 29295-2025")</f>
        <v/>
      </c>
      <c r="W711">
        <f>HYPERLINK("https://klasma.github.io/Logging_1490/klagomålsmail/A 29295-2025 FSC-klagomål mail.docx", "A 29295-2025")</f>
        <v/>
      </c>
      <c r="X711">
        <f>HYPERLINK("https://klasma.github.io/Logging_1490/tillsyn/A 29295-2025 tillsynsbegäran.docx", "A 29295-2025")</f>
        <v/>
      </c>
      <c r="Y711">
        <f>HYPERLINK("https://klasma.github.io/Logging_1490/tillsynsmail/A 29295-2025 tillsynsbegäran mail.docx", "A 29295-2025")</f>
        <v/>
      </c>
    </row>
    <row r="712" ht="15" customHeight="1">
      <c r="A712" t="inlineStr">
        <is>
          <t>A 29484-2025</t>
        </is>
      </c>
      <c r="B712" s="1" t="n">
        <v>45824.74599537037</v>
      </c>
      <c r="C712" s="1" t="n">
        <v>45952</v>
      </c>
      <c r="D712" t="inlineStr">
        <is>
          <t>VÄSTRA GÖTALANDS LÄN</t>
        </is>
      </c>
      <c r="E712" t="inlineStr">
        <is>
          <t>KARLSBORG</t>
        </is>
      </c>
      <c r="G712" t="n">
        <v>1.4</v>
      </c>
      <c r="H712" t="n">
        <v>1</v>
      </c>
      <c r="I712" t="n">
        <v>0</v>
      </c>
      <c r="J712" t="n">
        <v>0</v>
      </c>
      <c r="K712" t="n">
        <v>0</v>
      </c>
      <c r="L712" t="n">
        <v>0</v>
      </c>
      <c r="M712" t="n">
        <v>0</v>
      </c>
      <c r="N712" t="n">
        <v>0</v>
      </c>
      <c r="O712" t="n">
        <v>0</v>
      </c>
      <c r="P712" t="n">
        <v>0</v>
      </c>
      <c r="Q712" t="n">
        <v>1</v>
      </c>
      <c r="R712" s="2" t="inlineStr">
        <is>
          <t>Blåsippa</t>
        </is>
      </c>
      <c r="S712">
        <f>HYPERLINK("https://klasma.github.io/Logging_1446/artfynd/A 29484-2025 artfynd.xlsx", "A 29484-2025")</f>
        <v/>
      </c>
      <c r="T712">
        <f>HYPERLINK("https://klasma.github.io/Logging_1446/kartor/A 29484-2025 karta.png", "A 29484-2025")</f>
        <v/>
      </c>
      <c r="V712">
        <f>HYPERLINK("https://klasma.github.io/Logging_1446/klagomål/A 29484-2025 FSC-klagomål.docx", "A 29484-2025")</f>
        <v/>
      </c>
      <c r="W712">
        <f>HYPERLINK("https://klasma.github.io/Logging_1446/klagomålsmail/A 29484-2025 FSC-klagomål mail.docx", "A 29484-2025")</f>
        <v/>
      </c>
      <c r="X712">
        <f>HYPERLINK("https://klasma.github.io/Logging_1446/tillsyn/A 29484-2025 tillsynsbegäran.docx", "A 29484-2025")</f>
        <v/>
      </c>
      <c r="Y712">
        <f>HYPERLINK("https://klasma.github.io/Logging_1446/tillsynsmail/A 29484-2025 tillsynsbegäran mail.docx", "A 29484-2025")</f>
        <v/>
      </c>
    </row>
    <row r="713" ht="15" customHeight="1">
      <c r="A713" t="inlineStr">
        <is>
          <t>A 2824-2025</t>
        </is>
      </c>
      <c r="B713" s="1" t="n">
        <v>45677</v>
      </c>
      <c r="C713" s="1" t="n">
        <v>45952</v>
      </c>
      <c r="D713" t="inlineStr">
        <is>
          <t>VÄSTRA GÖTALANDS LÄN</t>
        </is>
      </c>
      <c r="E713" t="inlineStr">
        <is>
          <t>UDDEVALLA</t>
        </is>
      </c>
      <c r="G713" t="n">
        <v>2.4</v>
      </c>
      <c r="H713" t="n">
        <v>0</v>
      </c>
      <c r="I713" t="n">
        <v>0</v>
      </c>
      <c r="J713" t="n">
        <v>1</v>
      </c>
      <c r="K713" t="n">
        <v>0</v>
      </c>
      <c r="L713" t="n">
        <v>0</v>
      </c>
      <c r="M713" t="n">
        <v>0</v>
      </c>
      <c r="N713" t="n">
        <v>0</v>
      </c>
      <c r="O713" t="n">
        <v>1</v>
      </c>
      <c r="P713" t="n">
        <v>0</v>
      </c>
      <c r="Q713" t="n">
        <v>1</v>
      </c>
      <c r="R713" s="2" t="inlineStr">
        <is>
          <t>Garnlav</t>
        </is>
      </c>
      <c r="S713">
        <f>HYPERLINK("https://klasma.github.io/Logging_1485/artfynd/A 2824-2025 artfynd.xlsx", "A 2824-2025")</f>
        <v/>
      </c>
      <c r="T713">
        <f>HYPERLINK("https://klasma.github.io/Logging_1485/kartor/A 2824-2025 karta.png", "A 2824-2025")</f>
        <v/>
      </c>
      <c r="V713">
        <f>HYPERLINK("https://klasma.github.io/Logging_1485/klagomål/A 2824-2025 FSC-klagomål.docx", "A 2824-2025")</f>
        <v/>
      </c>
      <c r="W713">
        <f>HYPERLINK("https://klasma.github.io/Logging_1485/klagomålsmail/A 2824-2025 FSC-klagomål mail.docx", "A 2824-2025")</f>
        <v/>
      </c>
      <c r="X713">
        <f>HYPERLINK("https://klasma.github.io/Logging_1485/tillsyn/A 2824-2025 tillsynsbegäran.docx", "A 2824-2025")</f>
        <v/>
      </c>
      <c r="Y713">
        <f>HYPERLINK("https://klasma.github.io/Logging_1485/tillsynsmail/A 2824-2025 tillsynsbegäran mail.docx", "A 2824-2025")</f>
        <v/>
      </c>
    </row>
    <row r="714" ht="15" customHeight="1">
      <c r="A714" t="inlineStr">
        <is>
          <t>A 29828-2025</t>
        </is>
      </c>
      <c r="B714" s="1" t="n">
        <v>45825.88996527778</v>
      </c>
      <c r="C714" s="1" t="n">
        <v>45952</v>
      </c>
      <c r="D714" t="inlineStr">
        <is>
          <t>VÄSTRA GÖTALANDS LÄN</t>
        </is>
      </c>
      <c r="E714" t="inlineStr">
        <is>
          <t>BENGTSFORS</t>
        </is>
      </c>
      <c r="G714" t="n">
        <v>8.800000000000001</v>
      </c>
      <c r="H714" t="n">
        <v>0</v>
      </c>
      <c r="I714" t="n">
        <v>1</v>
      </c>
      <c r="J714" t="n">
        <v>0</v>
      </c>
      <c r="K714" t="n">
        <v>0</v>
      </c>
      <c r="L714" t="n">
        <v>0</v>
      </c>
      <c r="M714" t="n">
        <v>0</v>
      </c>
      <c r="N714" t="n">
        <v>0</v>
      </c>
      <c r="O714" t="n">
        <v>0</v>
      </c>
      <c r="P714" t="n">
        <v>0</v>
      </c>
      <c r="Q714" t="n">
        <v>1</v>
      </c>
      <c r="R714" s="2" t="inlineStr">
        <is>
          <t>Stor revmossa</t>
        </is>
      </c>
      <c r="S714">
        <f>HYPERLINK("https://klasma.github.io/Logging_1460/artfynd/A 29828-2025 artfynd.xlsx", "A 29828-2025")</f>
        <v/>
      </c>
      <c r="T714">
        <f>HYPERLINK("https://klasma.github.io/Logging_1460/kartor/A 29828-2025 karta.png", "A 29828-2025")</f>
        <v/>
      </c>
      <c r="V714">
        <f>HYPERLINK("https://klasma.github.io/Logging_1460/klagomål/A 29828-2025 FSC-klagomål.docx", "A 29828-2025")</f>
        <v/>
      </c>
      <c r="W714">
        <f>HYPERLINK("https://klasma.github.io/Logging_1460/klagomålsmail/A 29828-2025 FSC-klagomål mail.docx", "A 29828-2025")</f>
        <v/>
      </c>
      <c r="X714">
        <f>HYPERLINK("https://klasma.github.io/Logging_1460/tillsyn/A 29828-2025 tillsynsbegäran.docx", "A 29828-2025")</f>
        <v/>
      </c>
      <c r="Y714">
        <f>HYPERLINK("https://klasma.github.io/Logging_1460/tillsynsmail/A 29828-2025 tillsynsbegäran mail.docx", "A 29828-2025")</f>
        <v/>
      </c>
    </row>
    <row r="715" ht="15" customHeight="1">
      <c r="A715" t="inlineStr">
        <is>
          <t>A 13902-2025</t>
        </is>
      </c>
      <c r="B715" s="1" t="n">
        <v>45737.63446759259</v>
      </c>
      <c r="C715" s="1" t="n">
        <v>45952</v>
      </c>
      <c r="D715" t="inlineStr">
        <is>
          <t>VÄSTRA GÖTALANDS LÄN</t>
        </is>
      </c>
      <c r="E715" t="inlineStr">
        <is>
          <t>ALE</t>
        </is>
      </c>
      <c r="G715" t="n">
        <v>1.4</v>
      </c>
      <c r="H715" t="n">
        <v>1</v>
      </c>
      <c r="I715" t="n">
        <v>0</v>
      </c>
      <c r="J715" t="n">
        <v>1</v>
      </c>
      <c r="K715" t="n">
        <v>0</v>
      </c>
      <c r="L715" t="n">
        <v>0</v>
      </c>
      <c r="M715" t="n">
        <v>0</v>
      </c>
      <c r="N715" t="n">
        <v>0</v>
      </c>
      <c r="O715" t="n">
        <v>1</v>
      </c>
      <c r="P715" t="n">
        <v>0</v>
      </c>
      <c r="Q715" t="n">
        <v>1</v>
      </c>
      <c r="R715" s="2" t="inlineStr">
        <is>
          <t>Svartvit flugsnappare</t>
        </is>
      </c>
      <c r="S715">
        <f>HYPERLINK("https://klasma.github.io/Logging_1440/artfynd/A 13902-2025 artfynd.xlsx", "A 13902-2025")</f>
        <v/>
      </c>
      <c r="T715">
        <f>HYPERLINK("https://klasma.github.io/Logging_1440/kartor/A 13902-2025 karta.png", "A 13902-2025")</f>
        <v/>
      </c>
      <c r="V715">
        <f>HYPERLINK("https://klasma.github.io/Logging_1440/klagomål/A 13902-2025 FSC-klagomål.docx", "A 13902-2025")</f>
        <v/>
      </c>
      <c r="W715">
        <f>HYPERLINK("https://klasma.github.io/Logging_1440/klagomålsmail/A 13902-2025 FSC-klagomål mail.docx", "A 13902-2025")</f>
        <v/>
      </c>
      <c r="X715">
        <f>HYPERLINK("https://klasma.github.io/Logging_1440/tillsyn/A 13902-2025 tillsynsbegäran.docx", "A 13902-2025")</f>
        <v/>
      </c>
      <c r="Y715">
        <f>HYPERLINK("https://klasma.github.io/Logging_1440/tillsynsmail/A 13902-2025 tillsynsbegäran mail.docx", "A 13902-2025")</f>
        <v/>
      </c>
      <c r="Z715">
        <f>HYPERLINK("https://klasma.github.io/Logging_1440/fåglar/A 13902-2025 prioriterade fågelarter.docx", "A 13902-2025")</f>
        <v/>
      </c>
    </row>
    <row r="716" ht="15" customHeight="1">
      <c r="A716" t="inlineStr">
        <is>
          <t>A 24618-2024</t>
        </is>
      </c>
      <c r="B716" s="1" t="n">
        <v>45460</v>
      </c>
      <c r="C716" s="1" t="n">
        <v>45952</v>
      </c>
      <c r="D716" t="inlineStr">
        <is>
          <t>VÄSTRA GÖTALANDS LÄN</t>
        </is>
      </c>
      <c r="E716" t="inlineStr">
        <is>
          <t>ORUST</t>
        </is>
      </c>
      <c r="G716" t="n">
        <v>9.5</v>
      </c>
      <c r="H716" t="n">
        <v>1</v>
      </c>
      <c r="I716" t="n">
        <v>0</v>
      </c>
      <c r="J716" t="n">
        <v>0</v>
      </c>
      <c r="K716" t="n">
        <v>0</v>
      </c>
      <c r="L716" t="n">
        <v>0</v>
      </c>
      <c r="M716" t="n">
        <v>0</v>
      </c>
      <c r="N716" t="n">
        <v>0</v>
      </c>
      <c r="O716" t="n">
        <v>0</v>
      </c>
      <c r="P716" t="n">
        <v>0</v>
      </c>
      <c r="Q716" t="n">
        <v>1</v>
      </c>
      <c r="R716" s="2" t="inlineStr">
        <is>
          <t>Blåsippa</t>
        </is>
      </c>
      <c r="S716">
        <f>HYPERLINK("https://klasma.github.io/Logging_1421/artfynd/A 24618-2024 artfynd.xlsx", "A 24618-2024")</f>
        <v/>
      </c>
      <c r="T716">
        <f>HYPERLINK("https://klasma.github.io/Logging_1421/kartor/A 24618-2024 karta.png", "A 24618-2024")</f>
        <v/>
      </c>
      <c r="V716">
        <f>HYPERLINK("https://klasma.github.io/Logging_1421/klagomål/A 24618-2024 FSC-klagomål.docx", "A 24618-2024")</f>
        <v/>
      </c>
      <c r="W716">
        <f>HYPERLINK("https://klasma.github.io/Logging_1421/klagomålsmail/A 24618-2024 FSC-klagomål mail.docx", "A 24618-2024")</f>
        <v/>
      </c>
      <c r="X716">
        <f>HYPERLINK("https://klasma.github.io/Logging_1421/tillsyn/A 24618-2024 tillsynsbegäran.docx", "A 24618-2024")</f>
        <v/>
      </c>
      <c r="Y716">
        <f>HYPERLINK("https://klasma.github.io/Logging_1421/tillsynsmail/A 24618-2024 tillsynsbegäran mail.docx", "A 24618-2024")</f>
        <v/>
      </c>
    </row>
    <row r="717" ht="15" customHeight="1">
      <c r="A717" t="inlineStr">
        <is>
          <t>A 14259-2025</t>
        </is>
      </c>
      <c r="B717" s="1" t="n">
        <v>45740.62429398148</v>
      </c>
      <c r="C717" s="1" t="n">
        <v>45952</v>
      </c>
      <c r="D717" t="inlineStr">
        <is>
          <t>VÄSTRA GÖTALANDS LÄN</t>
        </is>
      </c>
      <c r="E717" t="inlineStr">
        <is>
          <t>HÄRRYDA</t>
        </is>
      </c>
      <c r="G717" t="n">
        <v>1.9</v>
      </c>
      <c r="H717" t="n">
        <v>0</v>
      </c>
      <c r="I717" t="n">
        <v>0</v>
      </c>
      <c r="J717" t="n">
        <v>0</v>
      </c>
      <c r="K717" t="n">
        <v>0</v>
      </c>
      <c r="L717" t="n">
        <v>1</v>
      </c>
      <c r="M717" t="n">
        <v>0</v>
      </c>
      <c r="N717" t="n">
        <v>0</v>
      </c>
      <c r="O717" t="n">
        <v>1</v>
      </c>
      <c r="P717" t="n">
        <v>1</v>
      </c>
      <c r="Q717" t="n">
        <v>1</v>
      </c>
      <c r="R717" s="2" t="inlineStr">
        <is>
          <t>Ask</t>
        </is>
      </c>
      <c r="S717">
        <f>HYPERLINK("https://klasma.github.io/Logging_1401/artfynd/A 14259-2025 artfynd.xlsx", "A 14259-2025")</f>
        <v/>
      </c>
      <c r="T717">
        <f>HYPERLINK("https://klasma.github.io/Logging_1401/kartor/A 14259-2025 karta.png", "A 14259-2025")</f>
        <v/>
      </c>
      <c r="V717">
        <f>HYPERLINK("https://klasma.github.io/Logging_1401/klagomål/A 14259-2025 FSC-klagomål.docx", "A 14259-2025")</f>
        <v/>
      </c>
      <c r="W717">
        <f>HYPERLINK("https://klasma.github.io/Logging_1401/klagomålsmail/A 14259-2025 FSC-klagomål mail.docx", "A 14259-2025")</f>
        <v/>
      </c>
      <c r="X717">
        <f>HYPERLINK("https://klasma.github.io/Logging_1401/tillsyn/A 14259-2025 tillsynsbegäran.docx", "A 14259-2025")</f>
        <v/>
      </c>
      <c r="Y717">
        <f>HYPERLINK("https://klasma.github.io/Logging_1401/tillsynsmail/A 14259-2025 tillsynsbegäran mail.docx", "A 14259-2025")</f>
        <v/>
      </c>
    </row>
    <row r="718" ht="15" customHeight="1">
      <c r="A718" t="inlineStr">
        <is>
          <t>A 2842-2025</t>
        </is>
      </c>
      <c r="B718" s="1" t="n">
        <v>45677</v>
      </c>
      <c r="C718" s="1" t="n">
        <v>45952</v>
      </c>
      <c r="D718" t="inlineStr">
        <is>
          <t>VÄSTRA GÖTALANDS LÄN</t>
        </is>
      </c>
      <c r="E718" t="inlineStr">
        <is>
          <t>MÖLNDAL</t>
        </is>
      </c>
      <c r="G718" t="n">
        <v>2.7</v>
      </c>
      <c r="H718" t="n">
        <v>1</v>
      </c>
      <c r="I718" t="n">
        <v>0</v>
      </c>
      <c r="J718" t="n">
        <v>0</v>
      </c>
      <c r="K718" t="n">
        <v>0</v>
      </c>
      <c r="L718" t="n">
        <v>0</v>
      </c>
      <c r="M718" t="n">
        <v>0</v>
      </c>
      <c r="N718" t="n">
        <v>0</v>
      </c>
      <c r="O718" t="n">
        <v>0</v>
      </c>
      <c r="P718" t="n">
        <v>0</v>
      </c>
      <c r="Q718" t="n">
        <v>1</v>
      </c>
      <c r="R718" s="2" t="inlineStr">
        <is>
          <t>Tjäder</t>
        </is>
      </c>
      <c r="S718">
        <f>HYPERLINK("https://klasma.github.io/Logging_1481/artfynd/A 2842-2025 artfynd.xlsx", "A 2842-2025")</f>
        <v/>
      </c>
      <c r="T718">
        <f>HYPERLINK("https://klasma.github.io/Logging_1481/kartor/A 2842-2025 karta.png", "A 2842-2025")</f>
        <v/>
      </c>
      <c r="V718">
        <f>HYPERLINK("https://klasma.github.io/Logging_1481/klagomål/A 2842-2025 FSC-klagomål.docx", "A 2842-2025")</f>
        <v/>
      </c>
      <c r="W718">
        <f>HYPERLINK("https://klasma.github.io/Logging_1481/klagomålsmail/A 2842-2025 FSC-klagomål mail.docx", "A 2842-2025")</f>
        <v/>
      </c>
      <c r="X718">
        <f>HYPERLINK("https://klasma.github.io/Logging_1481/tillsyn/A 2842-2025 tillsynsbegäran.docx", "A 2842-2025")</f>
        <v/>
      </c>
      <c r="Y718">
        <f>HYPERLINK("https://klasma.github.io/Logging_1481/tillsynsmail/A 2842-2025 tillsynsbegäran mail.docx", "A 2842-2025")</f>
        <v/>
      </c>
      <c r="Z718">
        <f>HYPERLINK("https://klasma.github.io/Logging_1481/fåglar/A 2842-2025 prioriterade fågelarter.docx", "A 2842-2025")</f>
        <v/>
      </c>
    </row>
    <row r="719" ht="15" customHeight="1">
      <c r="A719" t="inlineStr">
        <is>
          <t>A 33955-2023</t>
        </is>
      </c>
      <c r="B719" s="1" t="n">
        <v>45134.59957175926</v>
      </c>
      <c r="C719" s="1" t="n">
        <v>45952</v>
      </c>
      <c r="D719" t="inlineStr">
        <is>
          <t>VÄSTRA GÖTALANDS LÄN</t>
        </is>
      </c>
      <c r="E719" t="inlineStr">
        <is>
          <t>MARK</t>
        </is>
      </c>
      <c r="G719" t="n">
        <v>10.7</v>
      </c>
      <c r="H719" t="n">
        <v>0</v>
      </c>
      <c r="I719" t="n">
        <v>1</v>
      </c>
      <c r="J719" t="n">
        <v>0</v>
      </c>
      <c r="K719" t="n">
        <v>0</v>
      </c>
      <c r="L719" t="n">
        <v>0</v>
      </c>
      <c r="M719" t="n">
        <v>0</v>
      </c>
      <c r="N719" t="n">
        <v>0</v>
      </c>
      <c r="O719" t="n">
        <v>0</v>
      </c>
      <c r="P719" t="n">
        <v>0</v>
      </c>
      <c r="Q719" t="n">
        <v>1</v>
      </c>
      <c r="R719" s="2" t="inlineStr">
        <is>
          <t>Brandticka</t>
        </is>
      </c>
      <c r="S719">
        <f>HYPERLINK("https://klasma.github.io/Logging_1463/artfynd/A 33955-2023 artfynd.xlsx", "A 33955-2023")</f>
        <v/>
      </c>
      <c r="T719">
        <f>HYPERLINK("https://klasma.github.io/Logging_1463/kartor/A 33955-2023 karta.png", "A 33955-2023")</f>
        <v/>
      </c>
      <c r="V719">
        <f>HYPERLINK("https://klasma.github.io/Logging_1463/klagomål/A 33955-2023 FSC-klagomål.docx", "A 33955-2023")</f>
        <v/>
      </c>
      <c r="W719">
        <f>HYPERLINK("https://klasma.github.io/Logging_1463/klagomålsmail/A 33955-2023 FSC-klagomål mail.docx", "A 33955-2023")</f>
        <v/>
      </c>
      <c r="X719">
        <f>HYPERLINK("https://klasma.github.io/Logging_1463/tillsyn/A 33955-2023 tillsynsbegäran.docx", "A 33955-2023")</f>
        <v/>
      </c>
      <c r="Y719">
        <f>HYPERLINK("https://klasma.github.io/Logging_1463/tillsynsmail/A 33955-2023 tillsynsbegäran mail.docx", "A 33955-2023")</f>
        <v/>
      </c>
    </row>
    <row r="720" ht="15" customHeight="1">
      <c r="A720" t="inlineStr">
        <is>
          <t>A 30829-2025</t>
        </is>
      </c>
      <c r="B720" s="1" t="n">
        <v>45831.68372685185</v>
      </c>
      <c r="C720" s="1" t="n">
        <v>45952</v>
      </c>
      <c r="D720" t="inlineStr">
        <is>
          <t>VÄSTRA GÖTALANDS LÄN</t>
        </is>
      </c>
      <c r="E720" t="inlineStr">
        <is>
          <t>TRANEMO</t>
        </is>
      </c>
      <c r="G720" t="n">
        <v>7.9</v>
      </c>
      <c r="H720" t="n">
        <v>1</v>
      </c>
      <c r="I720" t="n">
        <v>0</v>
      </c>
      <c r="J720" t="n">
        <v>0</v>
      </c>
      <c r="K720" t="n">
        <v>0</v>
      </c>
      <c r="L720" t="n">
        <v>0</v>
      </c>
      <c r="M720" t="n">
        <v>0</v>
      </c>
      <c r="N720" t="n">
        <v>0</v>
      </c>
      <c r="O720" t="n">
        <v>0</v>
      </c>
      <c r="P720" t="n">
        <v>0</v>
      </c>
      <c r="Q720" t="n">
        <v>1</v>
      </c>
      <c r="R720" s="2" t="inlineStr">
        <is>
          <t>Gröngöling</t>
        </is>
      </c>
      <c r="S720">
        <f>HYPERLINK("https://klasma.github.io/Logging_1452/artfynd/A 30829-2025 artfynd.xlsx", "A 30829-2025")</f>
        <v/>
      </c>
      <c r="T720">
        <f>HYPERLINK("https://klasma.github.io/Logging_1452/kartor/A 30829-2025 karta.png", "A 30829-2025")</f>
        <v/>
      </c>
      <c r="V720">
        <f>HYPERLINK("https://klasma.github.io/Logging_1452/klagomål/A 30829-2025 FSC-klagomål.docx", "A 30829-2025")</f>
        <v/>
      </c>
      <c r="W720">
        <f>HYPERLINK("https://klasma.github.io/Logging_1452/klagomålsmail/A 30829-2025 FSC-klagomål mail.docx", "A 30829-2025")</f>
        <v/>
      </c>
      <c r="X720">
        <f>HYPERLINK("https://klasma.github.io/Logging_1452/tillsyn/A 30829-2025 tillsynsbegäran.docx", "A 30829-2025")</f>
        <v/>
      </c>
      <c r="Y720">
        <f>HYPERLINK("https://klasma.github.io/Logging_1452/tillsynsmail/A 30829-2025 tillsynsbegäran mail.docx", "A 30829-2025")</f>
        <v/>
      </c>
      <c r="Z720">
        <f>HYPERLINK("https://klasma.github.io/Logging_1452/fåglar/A 30829-2025 prioriterade fågelarter.docx", "A 30829-2025")</f>
        <v/>
      </c>
    </row>
    <row r="721" ht="15" customHeight="1">
      <c r="A721" t="inlineStr">
        <is>
          <t>A 18176-2025</t>
        </is>
      </c>
      <c r="B721" s="1" t="n">
        <v>45761.65479166667</v>
      </c>
      <c r="C721" s="1" t="n">
        <v>45952</v>
      </c>
      <c r="D721" t="inlineStr">
        <is>
          <t>VÄSTRA GÖTALANDS LÄN</t>
        </is>
      </c>
      <c r="E721" t="inlineStr">
        <is>
          <t>MARIESTAD</t>
        </is>
      </c>
      <c r="G721" t="n">
        <v>6.9</v>
      </c>
      <c r="H721" t="n">
        <v>0</v>
      </c>
      <c r="I721" t="n">
        <v>1</v>
      </c>
      <c r="J721" t="n">
        <v>0</v>
      </c>
      <c r="K721" t="n">
        <v>0</v>
      </c>
      <c r="L721" t="n">
        <v>0</v>
      </c>
      <c r="M721" t="n">
        <v>0</v>
      </c>
      <c r="N721" t="n">
        <v>0</v>
      </c>
      <c r="O721" t="n">
        <v>0</v>
      </c>
      <c r="P721" t="n">
        <v>0</v>
      </c>
      <c r="Q721" t="n">
        <v>1</v>
      </c>
      <c r="R721" s="2" t="inlineStr">
        <is>
          <t>Grovticka</t>
        </is>
      </c>
      <c r="S721">
        <f>HYPERLINK("https://klasma.github.io/Logging_1493/artfynd/A 18176-2025 artfynd.xlsx", "A 18176-2025")</f>
        <v/>
      </c>
      <c r="T721">
        <f>HYPERLINK("https://klasma.github.io/Logging_1493/kartor/A 18176-2025 karta.png", "A 18176-2025")</f>
        <v/>
      </c>
      <c r="V721">
        <f>HYPERLINK("https://klasma.github.io/Logging_1493/klagomål/A 18176-2025 FSC-klagomål.docx", "A 18176-2025")</f>
        <v/>
      </c>
      <c r="W721">
        <f>HYPERLINK("https://klasma.github.io/Logging_1493/klagomålsmail/A 18176-2025 FSC-klagomål mail.docx", "A 18176-2025")</f>
        <v/>
      </c>
      <c r="X721">
        <f>HYPERLINK("https://klasma.github.io/Logging_1493/tillsyn/A 18176-2025 tillsynsbegäran.docx", "A 18176-2025")</f>
        <v/>
      </c>
      <c r="Y721">
        <f>HYPERLINK("https://klasma.github.io/Logging_1493/tillsynsmail/A 18176-2025 tillsynsbegäran mail.docx", "A 18176-2025")</f>
        <v/>
      </c>
    </row>
    <row r="722" ht="15" customHeight="1">
      <c r="A722" t="inlineStr">
        <is>
          <t>A 28586-2022</t>
        </is>
      </c>
      <c r="B722" s="1" t="n">
        <v>44748.4893287037</v>
      </c>
      <c r="C722" s="1" t="n">
        <v>45952</v>
      </c>
      <c r="D722" t="inlineStr">
        <is>
          <t>VÄSTRA GÖTALANDS LÄN</t>
        </is>
      </c>
      <c r="E722" t="inlineStr">
        <is>
          <t>BORÅS</t>
        </is>
      </c>
      <c r="F722" t="inlineStr">
        <is>
          <t>Kommuner</t>
        </is>
      </c>
      <c r="G722" t="n">
        <v>4.9</v>
      </c>
      <c r="H722" t="n">
        <v>1</v>
      </c>
      <c r="I722" t="n">
        <v>0</v>
      </c>
      <c r="J722" t="n">
        <v>1</v>
      </c>
      <c r="K722" t="n">
        <v>0</v>
      </c>
      <c r="L722" t="n">
        <v>0</v>
      </c>
      <c r="M722" t="n">
        <v>0</v>
      </c>
      <c r="N722" t="n">
        <v>0</v>
      </c>
      <c r="O722" t="n">
        <v>1</v>
      </c>
      <c r="P722" t="n">
        <v>0</v>
      </c>
      <c r="Q722" t="n">
        <v>1</v>
      </c>
      <c r="R722" s="2" t="inlineStr">
        <is>
          <t>Talltita</t>
        </is>
      </c>
      <c r="S722">
        <f>HYPERLINK("https://klasma.github.io/Logging_1490/artfynd/A 28586-2022 artfynd.xlsx", "A 28586-2022")</f>
        <v/>
      </c>
      <c r="T722">
        <f>HYPERLINK("https://klasma.github.io/Logging_1490/kartor/A 28586-2022 karta.png", "A 28586-2022")</f>
        <v/>
      </c>
      <c r="V722">
        <f>HYPERLINK("https://klasma.github.io/Logging_1490/klagomål/A 28586-2022 FSC-klagomål.docx", "A 28586-2022")</f>
        <v/>
      </c>
      <c r="W722">
        <f>HYPERLINK("https://klasma.github.io/Logging_1490/klagomålsmail/A 28586-2022 FSC-klagomål mail.docx", "A 28586-2022")</f>
        <v/>
      </c>
      <c r="X722">
        <f>HYPERLINK("https://klasma.github.io/Logging_1490/tillsyn/A 28586-2022 tillsynsbegäran.docx", "A 28586-2022")</f>
        <v/>
      </c>
      <c r="Y722">
        <f>HYPERLINK("https://klasma.github.io/Logging_1490/tillsynsmail/A 28586-2022 tillsynsbegäran mail.docx", "A 28586-2022")</f>
        <v/>
      </c>
      <c r="Z722">
        <f>HYPERLINK("https://klasma.github.io/Logging_1490/fåglar/A 28586-2022 prioriterade fågelarter.docx", "A 28586-2022")</f>
        <v/>
      </c>
    </row>
    <row r="723" ht="15" customHeight="1">
      <c r="A723" t="inlineStr">
        <is>
          <t>A 3247-2023</t>
        </is>
      </c>
      <c r="B723" s="1" t="n">
        <v>44947</v>
      </c>
      <c r="C723" s="1" t="n">
        <v>45952</v>
      </c>
      <c r="D723" t="inlineStr">
        <is>
          <t>VÄSTRA GÖTALANDS LÄN</t>
        </is>
      </c>
      <c r="E723" t="inlineStr">
        <is>
          <t>TRANEMO</t>
        </is>
      </c>
      <c r="G723" t="n">
        <v>7.3</v>
      </c>
      <c r="H723" t="n">
        <v>1</v>
      </c>
      <c r="I723" t="n">
        <v>0</v>
      </c>
      <c r="J723" t="n">
        <v>0</v>
      </c>
      <c r="K723" t="n">
        <v>0</v>
      </c>
      <c r="L723" t="n">
        <v>0</v>
      </c>
      <c r="M723" t="n">
        <v>0</v>
      </c>
      <c r="N723" t="n">
        <v>0</v>
      </c>
      <c r="O723" t="n">
        <v>0</v>
      </c>
      <c r="P723" t="n">
        <v>0</v>
      </c>
      <c r="Q723" t="n">
        <v>1</v>
      </c>
      <c r="R723" s="2" t="inlineStr">
        <is>
          <t>Äkta lopplummer</t>
        </is>
      </c>
      <c r="S723">
        <f>HYPERLINK("https://klasma.github.io/Logging_1452/artfynd/A 3247-2023 artfynd.xlsx", "A 3247-2023")</f>
        <v/>
      </c>
      <c r="T723">
        <f>HYPERLINK("https://klasma.github.io/Logging_1452/kartor/A 3247-2023 karta.png", "A 3247-2023")</f>
        <v/>
      </c>
      <c r="V723">
        <f>HYPERLINK("https://klasma.github.io/Logging_1452/klagomål/A 3247-2023 FSC-klagomål.docx", "A 3247-2023")</f>
        <v/>
      </c>
      <c r="W723">
        <f>HYPERLINK("https://klasma.github.io/Logging_1452/klagomålsmail/A 3247-2023 FSC-klagomål mail.docx", "A 3247-2023")</f>
        <v/>
      </c>
      <c r="X723">
        <f>HYPERLINK("https://klasma.github.io/Logging_1452/tillsyn/A 3247-2023 tillsynsbegäran.docx", "A 3247-2023")</f>
        <v/>
      </c>
      <c r="Y723">
        <f>HYPERLINK("https://klasma.github.io/Logging_1452/tillsynsmail/A 3247-2023 tillsynsbegäran mail.docx", "A 3247-2023")</f>
        <v/>
      </c>
    </row>
    <row r="724" ht="15" customHeight="1">
      <c r="A724" t="inlineStr">
        <is>
          <t>A 8209-2021</t>
        </is>
      </c>
      <c r="B724" s="1" t="n">
        <v>44244</v>
      </c>
      <c r="C724" s="1" t="n">
        <v>45952</v>
      </c>
      <c r="D724" t="inlineStr">
        <is>
          <t>VÄSTRA GÖTALANDS LÄN</t>
        </is>
      </c>
      <c r="E724" t="inlineStr">
        <is>
          <t>ALINGSÅS</t>
        </is>
      </c>
      <c r="G724" t="n">
        <v>3.1</v>
      </c>
      <c r="H724" t="n">
        <v>1</v>
      </c>
      <c r="I724" t="n">
        <v>0</v>
      </c>
      <c r="J724" t="n">
        <v>1</v>
      </c>
      <c r="K724" t="n">
        <v>0</v>
      </c>
      <c r="L724" t="n">
        <v>0</v>
      </c>
      <c r="M724" t="n">
        <v>0</v>
      </c>
      <c r="N724" t="n">
        <v>0</v>
      </c>
      <c r="O724" t="n">
        <v>1</v>
      </c>
      <c r="P724" t="n">
        <v>0</v>
      </c>
      <c r="Q724" t="n">
        <v>1</v>
      </c>
      <c r="R724" s="2" t="inlineStr">
        <is>
          <t>Björktrast</t>
        </is>
      </c>
      <c r="S724">
        <f>HYPERLINK("https://klasma.github.io/Logging_1489/artfynd/A 8209-2021 artfynd.xlsx", "A 8209-2021")</f>
        <v/>
      </c>
      <c r="T724">
        <f>HYPERLINK("https://klasma.github.io/Logging_1489/kartor/A 8209-2021 karta.png", "A 8209-2021")</f>
        <v/>
      </c>
      <c r="V724">
        <f>HYPERLINK("https://klasma.github.io/Logging_1489/klagomål/A 8209-2021 FSC-klagomål.docx", "A 8209-2021")</f>
        <v/>
      </c>
      <c r="W724">
        <f>HYPERLINK("https://klasma.github.io/Logging_1489/klagomålsmail/A 8209-2021 FSC-klagomål mail.docx", "A 8209-2021")</f>
        <v/>
      </c>
      <c r="X724">
        <f>HYPERLINK("https://klasma.github.io/Logging_1489/tillsyn/A 8209-2021 tillsynsbegäran.docx", "A 8209-2021")</f>
        <v/>
      </c>
      <c r="Y724">
        <f>HYPERLINK("https://klasma.github.io/Logging_1489/tillsynsmail/A 8209-2021 tillsynsbegäran mail.docx", "A 8209-2021")</f>
        <v/>
      </c>
      <c r="Z724">
        <f>HYPERLINK("https://klasma.github.io/Logging_1489/fåglar/A 8209-2021 prioriterade fågelarter.docx", "A 8209-2021")</f>
        <v/>
      </c>
    </row>
    <row r="725" ht="15" customHeight="1">
      <c r="A725" t="inlineStr">
        <is>
          <t>A 20709-2023</t>
        </is>
      </c>
      <c r="B725" s="1" t="n">
        <v>45058</v>
      </c>
      <c r="C725" s="1" t="n">
        <v>45952</v>
      </c>
      <c r="D725" t="inlineStr">
        <is>
          <t>VÄSTRA GÖTALANDS LÄN</t>
        </is>
      </c>
      <c r="E725" t="inlineStr">
        <is>
          <t>ORUST</t>
        </is>
      </c>
      <c r="G725" t="n">
        <v>4.3</v>
      </c>
      <c r="H725" t="n">
        <v>1</v>
      </c>
      <c r="I725" t="n">
        <v>0</v>
      </c>
      <c r="J725" t="n">
        <v>0</v>
      </c>
      <c r="K725" t="n">
        <v>1</v>
      </c>
      <c r="L725" t="n">
        <v>0</v>
      </c>
      <c r="M725" t="n">
        <v>0</v>
      </c>
      <c r="N725" t="n">
        <v>0</v>
      </c>
      <c r="O725" t="n">
        <v>1</v>
      </c>
      <c r="P725" t="n">
        <v>1</v>
      </c>
      <c r="Q725" t="n">
        <v>1</v>
      </c>
      <c r="R725" s="2" t="inlineStr">
        <is>
          <t>Knärot</t>
        </is>
      </c>
      <c r="S725">
        <f>HYPERLINK("https://klasma.github.io/Logging_1421/artfynd/A 20709-2023 artfynd.xlsx", "A 20709-2023")</f>
        <v/>
      </c>
      <c r="T725">
        <f>HYPERLINK("https://klasma.github.io/Logging_1421/kartor/A 20709-2023 karta.png", "A 20709-2023")</f>
        <v/>
      </c>
      <c r="U725">
        <f>HYPERLINK("https://klasma.github.io/Logging_1421/knärot/A 20709-2023 karta knärot.png", "A 20709-2023")</f>
        <v/>
      </c>
      <c r="V725">
        <f>HYPERLINK("https://klasma.github.io/Logging_1421/klagomål/A 20709-2023 FSC-klagomål.docx", "A 20709-2023")</f>
        <v/>
      </c>
      <c r="W725">
        <f>HYPERLINK("https://klasma.github.io/Logging_1421/klagomålsmail/A 20709-2023 FSC-klagomål mail.docx", "A 20709-2023")</f>
        <v/>
      </c>
      <c r="X725">
        <f>HYPERLINK("https://klasma.github.io/Logging_1421/tillsyn/A 20709-2023 tillsynsbegäran.docx", "A 20709-2023")</f>
        <v/>
      </c>
      <c r="Y725">
        <f>HYPERLINK("https://klasma.github.io/Logging_1421/tillsynsmail/A 20709-2023 tillsynsbegäran mail.docx", "A 20709-2023")</f>
        <v/>
      </c>
    </row>
    <row r="726" ht="15" customHeight="1">
      <c r="A726" t="inlineStr">
        <is>
          <t>A 32859-2025</t>
        </is>
      </c>
      <c r="B726" s="1" t="n">
        <v>45839.58148148148</v>
      </c>
      <c r="C726" s="1" t="n">
        <v>45952</v>
      </c>
      <c r="D726" t="inlineStr">
        <is>
          <t>VÄSTRA GÖTALANDS LÄN</t>
        </is>
      </c>
      <c r="E726" t="inlineStr">
        <is>
          <t>BOLLEBYGD</t>
        </is>
      </c>
      <c r="G726" t="n">
        <v>3.2</v>
      </c>
      <c r="H726" t="n">
        <v>1</v>
      </c>
      <c r="I726" t="n">
        <v>0</v>
      </c>
      <c r="J726" t="n">
        <v>0</v>
      </c>
      <c r="K726" t="n">
        <v>0</v>
      </c>
      <c r="L726" t="n">
        <v>0</v>
      </c>
      <c r="M726" t="n">
        <v>0</v>
      </c>
      <c r="N726" t="n">
        <v>0</v>
      </c>
      <c r="O726" t="n">
        <v>0</v>
      </c>
      <c r="P726" t="n">
        <v>0</v>
      </c>
      <c r="Q726" t="n">
        <v>1</v>
      </c>
      <c r="R726" s="2" t="inlineStr">
        <is>
          <t>Revlummer</t>
        </is>
      </c>
      <c r="S726">
        <f>HYPERLINK("https://klasma.github.io/Logging_1443/artfynd/A 32859-2025 artfynd.xlsx", "A 32859-2025")</f>
        <v/>
      </c>
      <c r="T726">
        <f>HYPERLINK("https://klasma.github.io/Logging_1443/kartor/A 32859-2025 karta.png", "A 32859-2025")</f>
        <v/>
      </c>
      <c r="V726">
        <f>HYPERLINK("https://klasma.github.io/Logging_1443/klagomål/A 32859-2025 FSC-klagomål.docx", "A 32859-2025")</f>
        <v/>
      </c>
      <c r="W726">
        <f>HYPERLINK("https://klasma.github.io/Logging_1443/klagomålsmail/A 32859-2025 FSC-klagomål mail.docx", "A 32859-2025")</f>
        <v/>
      </c>
      <c r="X726">
        <f>HYPERLINK("https://klasma.github.io/Logging_1443/tillsyn/A 32859-2025 tillsynsbegäran.docx", "A 32859-2025")</f>
        <v/>
      </c>
      <c r="Y726">
        <f>HYPERLINK("https://klasma.github.io/Logging_1443/tillsynsmail/A 32859-2025 tillsynsbegäran mail.docx", "A 32859-2025")</f>
        <v/>
      </c>
    </row>
    <row r="727" ht="15" customHeight="1">
      <c r="A727" t="inlineStr">
        <is>
          <t>A 32503-2025</t>
        </is>
      </c>
      <c r="B727" s="1" t="n">
        <v>45838.46440972222</v>
      </c>
      <c r="C727" s="1" t="n">
        <v>45952</v>
      </c>
      <c r="D727" t="inlineStr">
        <is>
          <t>VÄSTRA GÖTALANDS LÄN</t>
        </is>
      </c>
      <c r="E727" t="inlineStr">
        <is>
          <t>BOLLEBYGD</t>
        </is>
      </c>
      <c r="G727" t="n">
        <v>0.6</v>
      </c>
      <c r="H727" t="n">
        <v>0</v>
      </c>
      <c r="I727" t="n">
        <v>1</v>
      </c>
      <c r="J727" t="n">
        <v>0</v>
      </c>
      <c r="K727" t="n">
        <v>0</v>
      </c>
      <c r="L727" t="n">
        <v>0</v>
      </c>
      <c r="M727" t="n">
        <v>0</v>
      </c>
      <c r="N727" t="n">
        <v>0</v>
      </c>
      <c r="O727" t="n">
        <v>0</v>
      </c>
      <c r="P727" t="n">
        <v>0</v>
      </c>
      <c r="Q727" t="n">
        <v>1</v>
      </c>
      <c r="R727" s="2" t="inlineStr">
        <is>
          <t>Fällmossa</t>
        </is>
      </c>
      <c r="S727">
        <f>HYPERLINK("https://klasma.github.io/Logging_1443/artfynd/A 32503-2025 artfynd.xlsx", "A 32503-2025")</f>
        <v/>
      </c>
      <c r="T727">
        <f>HYPERLINK("https://klasma.github.io/Logging_1443/kartor/A 32503-2025 karta.png", "A 32503-2025")</f>
        <v/>
      </c>
      <c r="V727">
        <f>HYPERLINK("https://klasma.github.io/Logging_1443/klagomål/A 32503-2025 FSC-klagomål.docx", "A 32503-2025")</f>
        <v/>
      </c>
      <c r="W727">
        <f>HYPERLINK("https://klasma.github.io/Logging_1443/klagomålsmail/A 32503-2025 FSC-klagomål mail.docx", "A 32503-2025")</f>
        <v/>
      </c>
      <c r="X727">
        <f>HYPERLINK("https://klasma.github.io/Logging_1443/tillsyn/A 32503-2025 tillsynsbegäran.docx", "A 32503-2025")</f>
        <v/>
      </c>
      <c r="Y727">
        <f>HYPERLINK("https://klasma.github.io/Logging_1443/tillsynsmail/A 32503-2025 tillsynsbegäran mail.docx", "A 32503-2025")</f>
        <v/>
      </c>
    </row>
    <row r="728" ht="15" customHeight="1">
      <c r="A728" t="inlineStr">
        <is>
          <t>A 64082-2023</t>
        </is>
      </c>
      <c r="B728" s="1" t="n">
        <v>45279</v>
      </c>
      <c r="C728" s="1" t="n">
        <v>45952</v>
      </c>
      <c r="D728" t="inlineStr">
        <is>
          <t>VÄSTRA GÖTALANDS LÄN</t>
        </is>
      </c>
      <c r="E728" t="inlineStr">
        <is>
          <t>ALINGSÅS</t>
        </is>
      </c>
      <c r="F728" t="inlineStr">
        <is>
          <t>Kommuner</t>
        </is>
      </c>
      <c r="G728" t="n">
        <v>0.7</v>
      </c>
      <c r="H728" t="n">
        <v>1</v>
      </c>
      <c r="I728" t="n">
        <v>0</v>
      </c>
      <c r="J728" t="n">
        <v>1</v>
      </c>
      <c r="K728" t="n">
        <v>0</v>
      </c>
      <c r="L728" t="n">
        <v>0</v>
      </c>
      <c r="M728" t="n">
        <v>0</v>
      </c>
      <c r="N728" t="n">
        <v>0</v>
      </c>
      <c r="O728" t="n">
        <v>1</v>
      </c>
      <c r="P728" t="n">
        <v>0</v>
      </c>
      <c r="Q728" t="n">
        <v>1</v>
      </c>
      <c r="R728" s="2" t="inlineStr">
        <is>
          <t>Grönsångare</t>
        </is>
      </c>
      <c r="S728">
        <f>HYPERLINK("https://klasma.github.io/Logging_1489/artfynd/A 64082-2023 artfynd.xlsx", "A 64082-2023")</f>
        <v/>
      </c>
      <c r="T728">
        <f>HYPERLINK("https://klasma.github.io/Logging_1489/kartor/A 64082-2023 karta.png", "A 64082-2023")</f>
        <v/>
      </c>
      <c r="V728">
        <f>HYPERLINK("https://klasma.github.io/Logging_1489/klagomål/A 64082-2023 FSC-klagomål.docx", "A 64082-2023")</f>
        <v/>
      </c>
      <c r="W728">
        <f>HYPERLINK("https://klasma.github.io/Logging_1489/klagomålsmail/A 64082-2023 FSC-klagomål mail.docx", "A 64082-2023")</f>
        <v/>
      </c>
      <c r="X728">
        <f>HYPERLINK("https://klasma.github.io/Logging_1489/tillsyn/A 64082-2023 tillsynsbegäran.docx", "A 64082-2023")</f>
        <v/>
      </c>
      <c r="Y728">
        <f>HYPERLINK("https://klasma.github.io/Logging_1489/tillsynsmail/A 64082-2023 tillsynsbegäran mail.docx", "A 64082-2023")</f>
        <v/>
      </c>
      <c r="Z728">
        <f>HYPERLINK("https://klasma.github.io/Logging_1489/fåglar/A 64082-2023 prioriterade fågelarter.docx", "A 64082-2023")</f>
        <v/>
      </c>
    </row>
    <row r="729" ht="15" customHeight="1">
      <c r="A729" t="inlineStr">
        <is>
          <t>A 33610-2025</t>
        </is>
      </c>
      <c r="B729" s="1" t="n">
        <v>45841.61888888889</v>
      </c>
      <c r="C729" s="1" t="n">
        <v>45952</v>
      </c>
      <c r="D729" t="inlineStr">
        <is>
          <t>VÄSTRA GÖTALANDS LÄN</t>
        </is>
      </c>
      <c r="E729" t="inlineStr">
        <is>
          <t>SKARA</t>
        </is>
      </c>
      <c r="G729" t="n">
        <v>11.2</v>
      </c>
      <c r="H729" t="n">
        <v>0</v>
      </c>
      <c r="I729" t="n">
        <v>1</v>
      </c>
      <c r="J729" t="n">
        <v>0</v>
      </c>
      <c r="K729" t="n">
        <v>0</v>
      </c>
      <c r="L729" t="n">
        <v>0</v>
      </c>
      <c r="M729" t="n">
        <v>0</v>
      </c>
      <c r="N729" t="n">
        <v>0</v>
      </c>
      <c r="O729" t="n">
        <v>0</v>
      </c>
      <c r="P729" t="n">
        <v>0</v>
      </c>
      <c r="Q729" t="n">
        <v>1</v>
      </c>
      <c r="R729" s="2" t="inlineStr">
        <is>
          <t>Lundbräsma</t>
        </is>
      </c>
      <c r="S729">
        <f>HYPERLINK("https://klasma.github.io/Logging_1495/artfynd/A 33610-2025 artfynd.xlsx", "A 33610-2025")</f>
        <v/>
      </c>
      <c r="T729">
        <f>HYPERLINK("https://klasma.github.io/Logging_1495/kartor/A 33610-2025 karta.png", "A 33610-2025")</f>
        <v/>
      </c>
      <c r="V729">
        <f>HYPERLINK("https://klasma.github.io/Logging_1495/klagomål/A 33610-2025 FSC-klagomål.docx", "A 33610-2025")</f>
        <v/>
      </c>
      <c r="W729">
        <f>HYPERLINK("https://klasma.github.io/Logging_1495/klagomålsmail/A 33610-2025 FSC-klagomål mail.docx", "A 33610-2025")</f>
        <v/>
      </c>
      <c r="X729">
        <f>HYPERLINK("https://klasma.github.io/Logging_1495/tillsyn/A 33610-2025 tillsynsbegäran.docx", "A 33610-2025")</f>
        <v/>
      </c>
      <c r="Y729">
        <f>HYPERLINK("https://klasma.github.io/Logging_1495/tillsynsmail/A 33610-2025 tillsynsbegäran mail.docx", "A 33610-2025")</f>
        <v/>
      </c>
    </row>
    <row r="730" ht="15" customHeight="1">
      <c r="A730" t="inlineStr">
        <is>
          <t>A 33426-2021</t>
        </is>
      </c>
      <c r="B730" s="1" t="n">
        <v>44377</v>
      </c>
      <c r="C730" s="1" t="n">
        <v>45952</v>
      </c>
      <c r="D730" t="inlineStr">
        <is>
          <t>VÄSTRA GÖTALANDS LÄN</t>
        </is>
      </c>
      <c r="E730" t="inlineStr">
        <is>
          <t>KUNGÄLV</t>
        </is>
      </c>
      <c r="G730" t="n">
        <v>1</v>
      </c>
      <c r="H730" t="n">
        <v>1</v>
      </c>
      <c r="I730" t="n">
        <v>0</v>
      </c>
      <c r="J730" t="n">
        <v>0</v>
      </c>
      <c r="K730" t="n">
        <v>0</v>
      </c>
      <c r="L730" t="n">
        <v>0</v>
      </c>
      <c r="M730" t="n">
        <v>0</v>
      </c>
      <c r="N730" t="n">
        <v>0</v>
      </c>
      <c r="O730" t="n">
        <v>0</v>
      </c>
      <c r="P730" t="n">
        <v>0</v>
      </c>
      <c r="Q730" t="n">
        <v>1</v>
      </c>
      <c r="R730" s="2" t="inlineStr">
        <is>
          <t>Mattlummer</t>
        </is>
      </c>
      <c r="S730">
        <f>HYPERLINK("https://klasma.github.io/Logging_1482/artfynd/A 33426-2021 artfynd.xlsx", "A 33426-2021")</f>
        <v/>
      </c>
      <c r="T730">
        <f>HYPERLINK("https://klasma.github.io/Logging_1482/kartor/A 33426-2021 karta.png", "A 33426-2021")</f>
        <v/>
      </c>
      <c r="V730">
        <f>HYPERLINK("https://klasma.github.io/Logging_1482/klagomål/A 33426-2021 FSC-klagomål.docx", "A 33426-2021")</f>
        <v/>
      </c>
      <c r="W730">
        <f>HYPERLINK("https://klasma.github.io/Logging_1482/klagomålsmail/A 33426-2021 FSC-klagomål mail.docx", "A 33426-2021")</f>
        <v/>
      </c>
      <c r="X730">
        <f>HYPERLINK("https://klasma.github.io/Logging_1482/tillsyn/A 33426-2021 tillsynsbegäran.docx", "A 33426-2021")</f>
        <v/>
      </c>
      <c r="Y730">
        <f>HYPERLINK("https://klasma.github.io/Logging_1482/tillsynsmail/A 33426-2021 tillsynsbegäran mail.docx", "A 33426-2021")</f>
        <v/>
      </c>
    </row>
    <row r="731" ht="15" customHeight="1">
      <c r="A731" t="inlineStr">
        <is>
          <t>A 33930-2025</t>
        </is>
      </c>
      <c r="B731" s="1" t="n">
        <v>45842.63076388889</v>
      </c>
      <c r="C731" s="1" t="n">
        <v>45952</v>
      </c>
      <c r="D731" t="inlineStr">
        <is>
          <t>VÄSTRA GÖTALANDS LÄN</t>
        </is>
      </c>
      <c r="E731" t="inlineStr">
        <is>
          <t>BENGTSFORS</t>
        </is>
      </c>
      <c r="G731" t="n">
        <v>6.1</v>
      </c>
      <c r="H731" t="n">
        <v>1</v>
      </c>
      <c r="I731" t="n">
        <v>0</v>
      </c>
      <c r="J731" t="n">
        <v>0</v>
      </c>
      <c r="K731" t="n">
        <v>0</v>
      </c>
      <c r="L731" t="n">
        <v>0</v>
      </c>
      <c r="M731" t="n">
        <v>0</v>
      </c>
      <c r="N731" t="n">
        <v>0</v>
      </c>
      <c r="O731" t="n">
        <v>0</v>
      </c>
      <c r="P731" t="n">
        <v>0</v>
      </c>
      <c r="Q731" t="n">
        <v>1</v>
      </c>
      <c r="R731" s="2" t="inlineStr">
        <is>
          <t>Revlummer</t>
        </is>
      </c>
      <c r="S731">
        <f>HYPERLINK("https://klasma.github.io/Logging_1460/artfynd/A 33930-2025 artfynd.xlsx", "A 33930-2025")</f>
        <v/>
      </c>
      <c r="T731">
        <f>HYPERLINK("https://klasma.github.io/Logging_1460/kartor/A 33930-2025 karta.png", "A 33930-2025")</f>
        <v/>
      </c>
      <c r="V731">
        <f>HYPERLINK("https://klasma.github.io/Logging_1460/klagomål/A 33930-2025 FSC-klagomål.docx", "A 33930-2025")</f>
        <v/>
      </c>
      <c r="W731">
        <f>HYPERLINK("https://klasma.github.io/Logging_1460/klagomålsmail/A 33930-2025 FSC-klagomål mail.docx", "A 33930-2025")</f>
        <v/>
      </c>
      <c r="X731">
        <f>HYPERLINK("https://klasma.github.io/Logging_1460/tillsyn/A 33930-2025 tillsynsbegäran.docx", "A 33930-2025")</f>
        <v/>
      </c>
      <c r="Y731">
        <f>HYPERLINK("https://klasma.github.io/Logging_1460/tillsynsmail/A 33930-2025 tillsynsbegäran mail.docx", "A 33930-2025")</f>
        <v/>
      </c>
    </row>
    <row r="732" ht="15" customHeight="1">
      <c r="A732" t="inlineStr">
        <is>
          <t>A 22225-2025</t>
        </is>
      </c>
      <c r="B732" s="1" t="n">
        <v>45785.66121527777</v>
      </c>
      <c r="C732" s="1" t="n">
        <v>45952</v>
      </c>
      <c r="D732" t="inlineStr">
        <is>
          <t>VÄSTRA GÖTALANDS LÄN</t>
        </is>
      </c>
      <c r="E732" t="inlineStr">
        <is>
          <t>ULRICEHAMN</t>
        </is>
      </c>
      <c r="G732" t="n">
        <v>1</v>
      </c>
      <c r="H732" t="n">
        <v>1</v>
      </c>
      <c r="I732" t="n">
        <v>0</v>
      </c>
      <c r="J732" t="n">
        <v>0</v>
      </c>
      <c r="K732" t="n">
        <v>0</v>
      </c>
      <c r="L732" t="n">
        <v>0</v>
      </c>
      <c r="M732" t="n">
        <v>0</v>
      </c>
      <c r="N732" t="n">
        <v>0</v>
      </c>
      <c r="O732" t="n">
        <v>0</v>
      </c>
      <c r="P732" t="n">
        <v>0</v>
      </c>
      <c r="Q732" t="n">
        <v>1</v>
      </c>
      <c r="R732" s="2" t="inlineStr">
        <is>
          <t>Revlummer</t>
        </is>
      </c>
      <c r="S732">
        <f>HYPERLINK("https://klasma.github.io/Logging_1491/artfynd/A 22225-2025 artfynd.xlsx", "A 22225-2025")</f>
        <v/>
      </c>
      <c r="T732">
        <f>HYPERLINK("https://klasma.github.io/Logging_1491/kartor/A 22225-2025 karta.png", "A 22225-2025")</f>
        <v/>
      </c>
      <c r="V732">
        <f>HYPERLINK("https://klasma.github.io/Logging_1491/klagomål/A 22225-2025 FSC-klagomål.docx", "A 22225-2025")</f>
        <v/>
      </c>
      <c r="W732">
        <f>HYPERLINK("https://klasma.github.io/Logging_1491/klagomålsmail/A 22225-2025 FSC-klagomål mail.docx", "A 22225-2025")</f>
        <v/>
      </c>
      <c r="X732">
        <f>HYPERLINK("https://klasma.github.io/Logging_1491/tillsyn/A 22225-2025 tillsynsbegäran.docx", "A 22225-2025")</f>
        <v/>
      </c>
      <c r="Y732">
        <f>HYPERLINK("https://klasma.github.io/Logging_1491/tillsynsmail/A 22225-2025 tillsynsbegäran mail.docx", "A 22225-2025")</f>
        <v/>
      </c>
    </row>
    <row r="733" ht="15" customHeight="1">
      <c r="A733" t="inlineStr">
        <is>
          <t>A 27182-2023</t>
        </is>
      </c>
      <c r="B733" s="1" t="n">
        <v>45096</v>
      </c>
      <c r="C733" s="1" t="n">
        <v>45952</v>
      </c>
      <c r="D733" t="inlineStr">
        <is>
          <t>VÄSTRA GÖTALANDS LÄN</t>
        </is>
      </c>
      <c r="E733" t="inlineStr">
        <is>
          <t>TRANEMO</t>
        </is>
      </c>
      <c r="F733" t="inlineStr">
        <is>
          <t>Kommuner</t>
        </is>
      </c>
      <c r="G733" t="n">
        <v>5.2</v>
      </c>
      <c r="H733" t="n">
        <v>0</v>
      </c>
      <c r="I733" t="n">
        <v>0</v>
      </c>
      <c r="J733" t="n">
        <v>1</v>
      </c>
      <c r="K733" t="n">
        <v>0</v>
      </c>
      <c r="L733" t="n">
        <v>0</v>
      </c>
      <c r="M733" t="n">
        <v>0</v>
      </c>
      <c r="N733" t="n">
        <v>0</v>
      </c>
      <c r="O733" t="n">
        <v>1</v>
      </c>
      <c r="P733" t="n">
        <v>0</v>
      </c>
      <c r="Q733" t="n">
        <v>1</v>
      </c>
      <c r="R733" s="2" t="inlineStr">
        <is>
          <t>Brunpudrad nållav</t>
        </is>
      </c>
      <c r="S733">
        <f>HYPERLINK("https://klasma.github.io/Logging_1452/artfynd/A 27182-2023 artfynd.xlsx", "A 27182-2023")</f>
        <v/>
      </c>
      <c r="T733">
        <f>HYPERLINK("https://klasma.github.io/Logging_1452/kartor/A 27182-2023 karta.png", "A 27182-2023")</f>
        <v/>
      </c>
      <c r="V733">
        <f>HYPERLINK("https://klasma.github.io/Logging_1452/klagomål/A 27182-2023 FSC-klagomål.docx", "A 27182-2023")</f>
        <v/>
      </c>
      <c r="W733">
        <f>HYPERLINK("https://klasma.github.io/Logging_1452/klagomålsmail/A 27182-2023 FSC-klagomål mail.docx", "A 27182-2023")</f>
        <v/>
      </c>
      <c r="X733">
        <f>HYPERLINK("https://klasma.github.io/Logging_1452/tillsyn/A 27182-2023 tillsynsbegäran.docx", "A 27182-2023")</f>
        <v/>
      </c>
      <c r="Y733">
        <f>HYPERLINK("https://klasma.github.io/Logging_1452/tillsynsmail/A 27182-2023 tillsynsbegäran mail.docx", "A 27182-2023")</f>
        <v/>
      </c>
    </row>
    <row r="734" ht="15" customHeight="1">
      <c r="A734" t="inlineStr">
        <is>
          <t>A 57965-2023</t>
        </is>
      </c>
      <c r="B734" s="1" t="n">
        <v>45247</v>
      </c>
      <c r="C734" s="1" t="n">
        <v>45952</v>
      </c>
      <c r="D734" t="inlineStr">
        <is>
          <t>VÄSTRA GÖTALANDS LÄN</t>
        </is>
      </c>
      <c r="E734" t="inlineStr">
        <is>
          <t>TANUM</t>
        </is>
      </c>
      <c r="G734" t="n">
        <v>10</v>
      </c>
      <c r="H734" t="n">
        <v>0</v>
      </c>
      <c r="I734" t="n">
        <v>0</v>
      </c>
      <c r="J734" t="n">
        <v>0</v>
      </c>
      <c r="K734" t="n">
        <v>1</v>
      </c>
      <c r="L734" t="n">
        <v>0</v>
      </c>
      <c r="M734" t="n">
        <v>0</v>
      </c>
      <c r="N734" t="n">
        <v>0</v>
      </c>
      <c r="O734" t="n">
        <v>1</v>
      </c>
      <c r="P734" t="n">
        <v>1</v>
      </c>
      <c r="Q734" t="n">
        <v>1</v>
      </c>
      <c r="R734" s="2" t="inlineStr">
        <is>
          <t>Slåttergubbe</t>
        </is>
      </c>
      <c r="S734">
        <f>HYPERLINK("https://klasma.github.io/Logging_1435/artfynd/A 57965-2023 artfynd.xlsx", "A 57965-2023")</f>
        <v/>
      </c>
      <c r="T734">
        <f>HYPERLINK("https://klasma.github.io/Logging_1435/kartor/A 57965-2023 karta.png", "A 57965-2023")</f>
        <v/>
      </c>
      <c r="V734">
        <f>HYPERLINK("https://klasma.github.io/Logging_1435/klagomål/A 57965-2023 FSC-klagomål.docx", "A 57965-2023")</f>
        <v/>
      </c>
      <c r="W734">
        <f>HYPERLINK("https://klasma.github.io/Logging_1435/klagomålsmail/A 57965-2023 FSC-klagomål mail.docx", "A 57965-2023")</f>
        <v/>
      </c>
      <c r="X734">
        <f>HYPERLINK("https://klasma.github.io/Logging_1435/tillsyn/A 57965-2023 tillsynsbegäran.docx", "A 57965-2023")</f>
        <v/>
      </c>
      <c r="Y734">
        <f>HYPERLINK("https://klasma.github.io/Logging_1435/tillsynsmail/A 57965-2023 tillsynsbegäran mail.docx", "A 57965-2023")</f>
        <v/>
      </c>
    </row>
    <row r="735" ht="15" customHeight="1">
      <c r="A735" t="inlineStr">
        <is>
          <t>A 21662-2024</t>
        </is>
      </c>
      <c r="B735" s="1" t="n">
        <v>45442.38009259259</v>
      </c>
      <c r="C735" s="1" t="n">
        <v>45952</v>
      </c>
      <c r="D735" t="inlineStr">
        <is>
          <t>VÄSTRA GÖTALANDS LÄN</t>
        </is>
      </c>
      <c r="E735" t="inlineStr">
        <is>
          <t>ALINGSÅS</t>
        </is>
      </c>
      <c r="G735" t="n">
        <v>6.2</v>
      </c>
      <c r="H735" t="n">
        <v>1</v>
      </c>
      <c r="I735" t="n">
        <v>0</v>
      </c>
      <c r="J735" t="n">
        <v>1</v>
      </c>
      <c r="K735" t="n">
        <v>0</v>
      </c>
      <c r="L735" t="n">
        <v>0</v>
      </c>
      <c r="M735" t="n">
        <v>0</v>
      </c>
      <c r="N735" t="n">
        <v>0</v>
      </c>
      <c r="O735" t="n">
        <v>1</v>
      </c>
      <c r="P735" t="n">
        <v>0</v>
      </c>
      <c r="Q735" t="n">
        <v>1</v>
      </c>
      <c r="R735" s="2" t="inlineStr">
        <is>
          <t>Ärtsångare</t>
        </is>
      </c>
      <c r="S735">
        <f>HYPERLINK("https://klasma.github.io/Logging_1489/artfynd/A 21662-2024 artfynd.xlsx", "A 21662-2024")</f>
        <v/>
      </c>
      <c r="T735">
        <f>HYPERLINK("https://klasma.github.io/Logging_1489/kartor/A 21662-2024 karta.png", "A 21662-2024")</f>
        <v/>
      </c>
      <c r="V735">
        <f>HYPERLINK("https://klasma.github.io/Logging_1489/klagomål/A 21662-2024 FSC-klagomål.docx", "A 21662-2024")</f>
        <v/>
      </c>
      <c r="W735">
        <f>HYPERLINK("https://klasma.github.io/Logging_1489/klagomålsmail/A 21662-2024 FSC-klagomål mail.docx", "A 21662-2024")</f>
        <v/>
      </c>
      <c r="X735">
        <f>HYPERLINK("https://klasma.github.io/Logging_1489/tillsyn/A 21662-2024 tillsynsbegäran.docx", "A 21662-2024")</f>
        <v/>
      </c>
      <c r="Y735">
        <f>HYPERLINK("https://klasma.github.io/Logging_1489/tillsynsmail/A 21662-2024 tillsynsbegäran mail.docx", "A 21662-2024")</f>
        <v/>
      </c>
      <c r="Z735">
        <f>HYPERLINK("https://klasma.github.io/Logging_1489/fåglar/A 21662-2024 prioriterade fågelarter.docx", "A 21662-2024")</f>
        <v/>
      </c>
    </row>
    <row r="736" ht="15" customHeight="1">
      <c r="A736" t="inlineStr">
        <is>
          <t>A 34341-2025</t>
        </is>
      </c>
      <c r="B736" s="1" t="n">
        <v>45846.45840277777</v>
      </c>
      <c r="C736" s="1" t="n">
        <v>45952</v>
      </c>
      <c r="D736" t="inlineStr">
        <is>
          <t>VÄSTRA GÖTALANDS LÄN</t>
        </is>
      </c>
      <c r="E736" t="inlineStr">
        <is>
          <t>BORÅS</t>
        </is>
      </c>
      <c r="G736" t="n">
        <v>2.7</v>
      </c>
      <c r="H736" t="n">
        <v>0</v>
      </c>
      <c r="I736" t="n">
        <v>1</v>
      </c>
      <c r="J736" t="n">
        <v>0</v>
      </c>
      <c r="K736" t="n">
        <v>0</v>
      </c>
      <c r="L736" t="n">
        <v>0</v>
      </c>
      <c r="M736" t="n">
        <v>0</v>
      </c>
      <c r="N736" t="n">
        <v>0</v>
      </c>
      <c r="O736" t="n">
        <v>0</v>
      </c>
      <c r="P736" t="n">
        <v>0</v>
      </c>
      <c r="Q736" t="n">
        <v>1</v>
      </c>
      <c r="R736" s="2" t="inlineStr">
        <is>
          <t>Svavelriska</t>
        </is>
      </c>
      <c r="S736">
        <f>HYPERLINK("https://klasma.github.io/Logging_1490/artfynd/A 34341-2025 artfynd.xlsx", "A 34341-2025")</f>
        <v/>
      </c>
      <c r="T736">
        <f>HYPERLINK("https://klasma.github.io/Logging_1490/kartor/A 34341-2025 karta.png", "A 34341-2025")</f>
        <v/>
      </c>
      <c r="V736">
        <f>HYPERLINK("https://klasma.github.io/Logging_1490/klagomål/A 34341-2025 FSC-klagomål.docx", "A 34341-2025")</f>
        <v/>
      </c>
      <c r="W736">
        <f>HYPERLINK("https://klasma.github.io/Logging_1490/klagomålsmail/A 34341-2025 FSC-klagomål mail.docx", "A 34341-2025")</f>
        <v/>
      </c>
      <c r="X736">
        <f>HYPERLINK("https://klasma.github.io/Logging_1490/tillsyn/A 34341-2025 tillsynsbegäran.docx", "A 34341-2025")</f>
        <v/>
      </c>
      <c r="Y736">
        <f>HYPERLINK("https://klasma.github.io/Logging_1490/tillsynsmail/A 34341-2025 tillsynsbegäran mail.docx", "A 34341-2025")</f>
        <v/>
      </c>
    </row>
    <row r="737" ht="15" customHeight="1">
      <c r="A737" t="inlineStr">
        <is>
          <t>A 34574-2025</t>
        </is>
      </c>
      <c r="B737" s="1" t="n">
        <v>45847.59914351852</v>
      </c>
      <c r="C737" s="1" t="n">
        <v>45952</v>
      </c>
      <c r="D737" t="inlineStr">
        <is>
          <t>VÄSTRA GÖTALANDS LÄN</t>
        </is>
      </c>
      <c r="E737" t="inlineStr">
        <is>
          <t>MÖLNDAL</t>
        </is>
      </c>
      <c r="G737" t="n">
        <v>7.4</v>
      </c>
      <c r="H737" t="n">
        <v>1</v>
      </c>
      <c r="I737" t="n">
        <v>0</v>
      </c>
      <c r="J737" t="n">
        <v>0</v>
      </c>
      <c r="K737" t="n">
        <v>0</v>
      </c>
      <c r="L737" t="n">
        <v>0</v>
      </c>
      <c r="M737" t="n">
        <v>0</v>
      </c>
      <c r="N737" t="n">
        <v>0</v>
      </c>
      <c r="O737" t="n">
        <v>0</v>
      </c>
      <c r="P737" t="n">
        <v>0</v>
      </c>
      <c r="Q737" t="n">
        <v>1</v>
      </c>
      <c r="R737" s="2" t="inlineStr">
        <is>
          <t>Mattlummer</t>
        </is>
      </c>
      <c r="S737">
        <f>HYPERLINK("https://klasma.github.io/Logging_1481/artfynd/A 34574-2025 artfynd.xlsx", "A 34574-2025")</f>
        <v/>
      </c>
      <c r="T737">
        <f>HYPERLINK("https://klasma.github.io/Logging_1481/kartor/A 34574-2025 karta.png", "A 34574-2025")</f>
        <v/>
      </c>
      <c r="V737">
        <f>HYPERLINK("https://klasma.github.io/Logging_1481/klagomål/A 34574-2025 FSC-klagomål.docx", "A 34574-2025")</f>
        <v/>
      </c>
      <c r="W737">
        <f>HYPERLINK("https://klasma.github.io/Logging_1481/klagomålsmail/A 34574-2025 FSC-klagomål mail.docx", "A 34574-2025")</f>
        <v/>
      </c>
      <c r="X737">
        <f>HYPERLINK("https://klasma.github.io/Logging_1481/tillsyn/A 34574-2025 tillsynsbegäran.docx", "A 34574-2025")</f>
        <v/>
      </c>
      <c r="Y737">
        <f>HYPERLINK("https://klasma.github.io/Logging_1481/tillsynsmail/A 34574-2025 tillsynsbegäran mail.docx", "A 34574-2025")</f>
        <v/>
      </c>
    </row>
    <row r="738" ht="15" customHeight="1">
      <c r="A738" t="inlineStr">
        <is>
          <t>A 45428-2024</t>
        </is>
      </c>
      <c r="B738" s="1" t="n">
        <v>45576.60858796296</v>
      </c>
      <c r="C738" s="1" t="n">
        <v>45952</v>
      </c>
      <c r="D738" t="inlineStr">
        <is>
          <t>VÄSTRA GÖTALANDS LÄN</t>
        </is>
      </c>
      <c r="E738" t="inlineStr">
        <is>
          <t>FALKÖPING</t>
        </is>
      </c>
      <c r="F738" t="inlineStr">
        <is>
          <t>Kommuner</t>
        </is>
      </c>
      <c r="G738" t="n">
        <v>4.8</v>
      </c>
      <c r="H738" t="n">
        <v>0</v>
      </c>
      <c r="I738" t="n">
        <v>1</v>
      </c>
      <c r="J738" t="n">
        <v>0</v>
      </c>
      <c r="K738" t="n">
        <v>0</v>
      </c>
      <c r="L738" t="n">
        <v>0</v>
      </c>
      <c r="M738" t="n">
        <v>0</v>
      </c>
      <c r="N738" t="n">
        <v>0</v>
      </c>
      <c r="O738" t="n">
        <v>0</v>
      </c>
      <c r="P738" t="n">
        <v>0</v>
      </c>
      <c r="Q738" t="n">
        <v>1</v>
      </c>
      <c r="R738" s="2" t="inlineStr">
        <is>
          <t>Blåmossa</t>
        </is>
      </c>
      <c r="S738">
        <f>HYPERLINK("https://klasma.github.io/Logging_1499/artfynd/A 45428-2024 artfynd.xlsx", "A 45428-2024")</f>
        <v/>
      </c>
      <c r="T738">
        <f>HYPERLINK("https://klasma.github.io/Logging_1499/kartor/A 45428-2024 karta.png", "A 45428-2024")</f>
        <v/>
      </c>
      <c r="V738">
        <f>HYPERLINK("https://klasma.github.io/Logging_1499/klagomål/A 45428-2024 FSC-klagomål.docx", "A 45428-2024")</f>
        <v/>
      </c>
      <c r="W738">
        <f>HYPERLINK("https://klasma.github.io/Logging_1499/klagomålsmail/A 45428-2024 FSC-klagomål mail.docx", "A 45428-2024")</f>
        <v/>
      </c>
      <c r="X738">
        <f>HYPERLINK("https://klasma.github.io/Logging_1499/tillsyn/A 45428-2024 tillsynsbegäran.docx", "A 45428-2024")</f>
        <v/>
      </c>
      <c r="Y738">
        <f>HYPERLINK("https://klasma.github.io/Logging_1499/tillsynsmail/A 45428-2024 tillsynsbegäran mail.docx", "A 45428-2024")</f>
        <v/>
      </c>
    </row>
    <row r="739" ht="15" customHeight="1">
      <c r="A739" t="inlineStr">
        <is>
          <t>A 34899-2025</t>
        </is>
      </c>
      <c r="B739" s="1" t="n">
        <v>45849.49899305555</v>
      </c>
      <c r="C739" s="1" t="n">
        <v>45952</v>
      </c>
      <c r="D739" t="inlineStr">
        <is>
          <t>VÄSTRA GÖTALANDS LÄN</t>
        </is>
      </c>
      <c r="E739" t="inlineStr">
        <is>
          <t>MARK</t>
        </is>
      </c>
      <c r="G739" t="n">
        <v>3.1</v>
      </c>
      <c r="H739" t="n">
        <v>1</v>
      </c>
      <c r="I739" t="n">
        <v>0</v>
      </c>
      <c r="J739" t="n">
        <v>1</v>
      </c>
      <c r="K739" t="n">
        <v>0</v>
      </c>
      <c r="L739" t="n">
        <v>0</v>
      </c>
      <c r="M739" t="n">
        <v>0</v>
      </c>
      <c r="N739" t="n">
        <v>0</v>
      </c>
      <c r="O739" t="n">
        <v>1</v>
      </c>
      <c r="P739" t="n">
        <v>0</v>
      </c>
      <c r="Q739" t="n">
        <v>1</v>
      </c>
      <c r="R739" s="2" t="inlineStr">
        <is>
          <t>Spillkråka</t>
        </is>
      </c>
      <c r="S739">
        <f>HYPERLINK("https://klasma.github.io/Logging_1463/artfynd/A 34899-2025 artfynd.xlsx", "A 34899-2025")</f>
        <v/>
      </c>
      <c r="T739">
        <f>HYPERLINK("https://klasma.github.io/Logging_1463/kartor/A 34899-2025 karta.png", "A 34899-2025")</f>
        <v/>
      </c>
      <c r="V739">
        <f>HYPERLINK("https://klasma.github.io/Logging_1463/klagomål/A 34899-2025 FSC-klagomål.docx", "A 34899-2025")</f>
        <v/>
      </c>
      <c r="W739">
        <f>HYPERLINK("https://klasma.github.io/Logging_1463/klagomålsmail/A 34899-2025 FSC-klagomål mail.docx", "A 34899-2025")</f>
        <v/>
      </c>
      <c r="X739">
        <f>HYPERLINK("https://klasma.github.io/Logging_1463/tillsyn/A 34899-2025 tillsynsbegäran.docx", "A 34899-2025")</f>
        <v/>
      </c>
      <c r="Y739">
        <f>HYPERLINK("https://klasma.github.io/Logging_1463/tillsynsmail/A 34899-2025 tillsynsbegäran mail.docx", "A 34899-2025")</f>
        <v/>
      </c>
      <c r="Z739">
        <f>HYPERLINK("https://klasma.github.io/Logging_1463/fåglar/A 34899-2025 prioriterade fågelarter.docx", "A 34899-2025")</f>
        <v/>
      </c>
    </row>
    <row r="740" ht="15" customHeight="1">
      <c r="A740" t="inlineStr">
        <is>
          <t>A 29204-2022</t>
        </is>
      </c>
      <c r="B740" s="1" t="n">
        <v>44750.56575231482</v>
      </c>
      <c r="C740" s="1" t="n">
        <v>45952</v>
      </c>
      <c r="D740" t="inlineStr">
        <is>
          <t>VÄSTRA GÖTALANDS LÄN</t>
        </is>
      </c>
      <c r="E740" t="inlineStr">
        <is>
          <t>BENGTSFORS</t>
        </is>
      </c>
      <c r="G740" t="n">
        <v>3.7</v>
      </c>
      <c r="H740" t="n">
        <v>1</v>
      </c>
      <c r="I740" t="n">
        <v>0</v>
      </c>
      <c r="J740" t="n">
        <v>1</v>
      </c>
      <c r="K740" t="n">
        <v>0</v>
      </c>
      <c r="L740" t="n">
        <v>0</v>
      </c>
      <c r="M740" t="n">
        <v>0</v>
      </c>
      <c r="N740" t="n">
        <v>0</v>
      </c>
      <c r="O740" t="n">
        <v>1</v>
      </c>
      <c r="P740" t="n">
        <v>0</v>
      </c>
      <c r="Q740" t="n">
        <v>1</v>
      </c>
      <c r="R740" s="2" t="inlineStr">
        <is>
          <t>Spillkråka</t>
        </is>
      </c>
      <c r="S740">
        <f>HYPERLINK("https://klasma.github.io/Logging_1460/artfynd/A 29204-2022 artfynd.xlsx", "A 29204-2022")</f>
        <v/>
      </c>
      <c r="T740">
        <f>HYPERLINK("https://klasma.github.io/Logging_1460/kartor/A 29204-2022 karta.png", "A 29204-2022")</f>
        <v/>
      </c>
      <c r="V740">
        <f>HYPERLINK("https://klasma.github.io/Logging_1460/klagomål/A 29204-2022 FSC-klagomål.docx", "A 29204-2022")</f>
        <v/>
      </c>
      <c r="W740">
        <f>HYPERLINK("https://klasma.github.io/Logging_1460/klagomålsmail/A 29204-2022 FSC-klagomål mail.docx", "A 29204-2022")</f>
        <v/>
      </c>
      <c r="X740">
        <f>HYPERLINK("https://klasma.github.io/Logging_1460/tillsyn/A 29204-2022 tillsynsbegäran.docx", "A 29204-2022")</f>
        <v/>
      </c>
      <c r="Y740">
        <f>HYPERLINK("https://klasma.github.io/Logging_1460/tillsynsmail/A 29204-2022 tillsynsbegäran mail.docx", "A 29204-2022")</f>
        <v/>
      </c>
      <c r="Z740">
        <f>HYPERLINK("https://klasma.github.io/Logging_1460/fåglar/A 29204-2022 prioriterade fågelarter.docx", "A 29204-2022")</f>
        <v/>
      </c>
    </row>
    <row r="741" ht="15" customHeight="1">
      <c r="A741" t="inlineStr">
        <is>
          <t>A 14755-2025</t>
        </is>
      </c>
      <c r="B741" s="1" t="n">
        <v>45742.66724537037</v>
      </c>
      <c r="C741" s="1" t="n">
        <v>45952</v>
      </c>
      <c r="D741" t="inlineStr">
        <is>
          <t>VÄSTRA GÖTALANDS LÄN</t>
        </is>
      </c>
      <c r="E741" t="inlineStr">
        <is>
          <t>TÖREBODA</t>
        </is>
      </c>
      <c r="G741" t="n">
        <v>3</v>
      </c>
      <c r="H741" t="n">
        <v>1</v>
      </c>
      <c r="I741" t="n">
        <v>0</v>
      </c>
      <c r="J741" t="n">
        <v>0</v>
      </c>
      <c r="K741" t="n">
        <v>0</v>
      </c>
      <c r="L741" t="n">
        <v>0</v>
      </c>
      <c r="M741" t="n">
        <v>0</v>
      </c>
      <c r="N741" t="n">
        <v>0</v>
      </c>
      <c r="O741" t="n">
        <v>0</v>
      </c>
      <c r="P741" t="n">
        <v>0</v>
      </c>
      <c r="Q741" t="n">
        <v>1</v>
      </c>
      <c r="R741" s="2" t="inlineStr">
        <is>
          <t>Mattlummer</t>
        </is>
      </c>
      <c r="S741">
        <f>HYPERLINK("https://klasma.github.io/Logging_1473/artfynd/A 14755-2025 artfynd.xlsx", "A 14755-2025")</f>
        <v/>
      </c>
      <c r="T741">
        <f>HYPERLINK("https://klasma.github.io/Logging_1473/kartor/A 14755-2025 karta.png", "A 14755-2025")</f>
        <v/>
      </c>
      <c r="V741">
        <f>HYPERLINK("https://klasma.github.io/Logging_1473/klagomål/A 14755-2025 FSC-klagomål.docx", "A 14755-2025")</f>
        <v/>
      </c>
      <c r="W741">
        <f>HYPERLINK("https://klasma.github.io/Logging_1473/klagomålsmail/A 14755-2025 FSC-klagomål mail.docx", "A 14755-2025")</f>
        <v/>
      </c>
      <c r="X741">
        <f>HYPERLINK("https://klasma.github.io/Logging_1473/tillsyn/A 14755-2025 tillsynsbegäran.docx", "A 14755-2025")</f>
        <v/>
      </c>
      <c r="Y741">
        <f>HYPERLINK("https://klasma.github.io/Logging_1473/tillsynsmail/A 14755-2025 tillsynsbegäran mail.docx", "A 14755-2025")</f>
        <v/>
      </c>
    </row>
    <row r="742" ht="15" customHeight="1">
      <c r="A742" t="inlineStr">
        <is>
          <t>A 30662-2023</t>
        </is>
      </c>
      <c r="B742" s="1" t="n">
        <v>45112</v>
      </c>
      <c r="C742" s="1" t="n">
        <v>45952</v>
      </c>
      <c r="D742" t="inlineStr">
        <is>
          <t>VÄSTRA GÖTALANDS LÄN</t>
        </is>
      </c>
      <c r="E742" t="inlineStr">
        <is>
          <t>BOLLEBYGD</t>
        </is>
      </c>
      <c r="G742" t="n">
        <v>2.7</v>
      </c>
      <c r="H742" t="n">
        <v>1</v>
      </c>
      <c r="I742" t="n">
        <v>0</v>
      </c>
      <c r="J742" t="n">
        <v>1</v>
      </c>
      <c r="K742" t="n">
        <v>0</v>
      </c>
      <c r="L742" t="n">
        <v>0</v>
      </c>
      <c r="M742" t="n">
        <v>0</v>
      </c>
      <c r="N742" t="n">
        <v>0</v>
      </c>
      <c r="O742" t="n">
        <v>1</v>
      </c>
      <c r="P742" t="n">
        <v>0</v>
      </c>
      <c r="Q742" t="n">
        <v>1</v>
      </c>
      <c r="R742" s="2" t="inlineStr">
        <is>
          <t>Svartvit flugsnappare</t>
        </is>
      </c>
      <c r="S742">
        <f>HYPERLINK("https://klasma.github.io/Logging_1443/artfynd/A 30662-2023 artfynd.xlsx", "A 30662-2023")</f>
        <v/>
      </c>
      <c r="T742">
        <f>HYPERLINK("https://klasma.github.io/Logging_1443/kartor/A 30662-2023 karta.png", "A 30662-2023")</f>
        <v/>
      </c>
      <c r="V742">
        <f>HYPERLINK("https://klasma.github.io/Logging_1443/klagomål/A 30662-2023 FSC-klagomål.docx", "A 30662-2023")</f>
        <v/>
      </c>
      <c r="W742">
        <f>HYPERLINK("https://klasma.github.io/Logging_1443/klagomålsmail/A 30662-2023 FSC-klagomål mail.docx", "A 30662-2023")</f>
        <v/>
      </c>
      <c r="X742">
        <f>HYPERLINK("https://klasma.github.io/Logging_1443/tillsyn/A 30662-2023 tillsynsbegäran.docx", "A 30662-2023")</f>
        <v/>
      </c>
      <c r="Y742">
        <f>HYPERLINK("https://klasma.github.io/Logging_1443/tillsynsmail/A 30662-2023 tillsynsbegäran mail.docx", "A 30662-2023")</f>
        <v/>
      </c>
      <c r="Z742">
        <f>HYPERLINK("https://klasma.github.io/Logging_1443/fåglar/A 30662-2023 prioriterade fågelarter.docx", "A 30662-2023")</f>
        <v/>
      </c>
    </row>
    <row r="743" ht="15" customHeight="1">
      <c r="A743" t="inlineStr">
        <is>
          <t>A 61818-2024</t>
        </is>
      </c>
      <c r="B743" s="1" t="n">
        <v>45649.61065972222</v>
      </c>
      <c r="C743" s="1" t="n">
        <v>45952</v>
      </c>
      <c r="D743" t="inlineStr">
        <is>
          <t>VÄSTRA GÖTALANDS LÄN</t>
        </is>
      </c>
      <c r="E743" t="inlineStr">
        <is>
          <t>LIDKÖPING</t>
        </is>
      </c>
      <c r="G743" t="n">
        <v>6.2</v>
      </c>
      <c r="H743" t="n">
        <v>1</v>
      </c>
      <c r="I743" t="n">
        <v>0</v>
      </c>
      <c r="J743" t="n">
        <v>1</v>
      </c>
      <c r="K743" t="n">
        <v>0</v>
      </c>
      <c r="L743" t="n">
        <v>0</v>
      </c>
      <c r="M743" t="n">
        <v>0</v>
      </c>
      <c r="N743" t="n">
        <v>0</v>
      </c>
      <c r="O743" t="n">
        <v>1</v>
      </c>
      <c r="P743" t="n">
        <v>0</v>
      </c>
      <c r="Q743" t="n">
        <v>1</v>
      </c>
      <c r="R743" s="2" t="inlineStr">
        <is>
          <t>Rödvingetrast</t>
        </is>
      </c>
      <c r="S743">
        <f>HYPERLINK("https://klasma.github.io/Logging_1494/artfynd/A 61818-2024 artfynd.xlsx", "A 61818-2024")</f>
        <v/>
      </c>
      <c r="T743">
        <f>HYPERLINK("https://klasma.github.io/Logging_1494/kartor/A 61818-2024 karta.png", "A 61818-2024")</f>
        <v/>
      </c>
      <c r="V743">
        <f>HYPERLINK("https://klasma.github.io/Logging_1494/klagomål/A 61818-2024 FSC-klagomål.docx", "A 61818-2024")</f>
        <v/>
      </c>
      <c r="W743">
        <f>HYPERLINK("https://klasma.github.io/Logging_1494/klagomålsmail/A 61818-2024 FSC-klagomål mail.docx", "A 61818-2024")</f>
        <v/>
      </c>
      <c r="X743">
        <f>HYPERLINK("https://klasma.github.io/Logging_1494/tillsyn/A 61818-2024 tillsynsbegäran.docx", "A 61818-2024")</f>
        <v/>
      </c>
      <c r="Y743">
        <f>HYPERLINK("https://klasma.github.io/Logging_1494/tillsynsmail/A 61818-2024 tillsynsbegäran mail.docx", "A 61818-2024")</f>
        <v/>
      </c>
      <c r="Z743">
        <f>HYPERLINK("https://klasma.github.io/Logging_1494/fåglar/A 61818-2024 prioriterade fågelarter.docx", "A 61818-2024")</f>
        <v/>
      </c>
    </row>
    <row r="744" ht="15" customHeight="1">
      <c r="A744" t="inlineStr">
        <is>
          <t>A 23226-2021</t>
        </is>
      </c>
      <c r="B744" s="1" t="n">
        <v>44333</v>
      </c>
      <c r="C744" s="1" t="n">
        <v>45952</v>
      </c>
      <c r="D744" t="inlineStr">
        <is>
          <t>VÄSTRA GÖTALANDS LÄN</t>
        </is>
      </c>
      <c r="E744" t="inlineStr">
        <is>
          <t>BENGTSFORS</t>
        </is>
      </c>
      <c r="G744" t="n">
        <v>5.4</v>
      </c>
      <c r="H744" t="n">
        <v>0</v>
      </c>
      <c r="I744" t="n">
        <v>0</v>
      </c>
      <c r="J744" t="n">
        <v>1</v>
      </c>
      <c r="K744" t="n">
        <v>0</v>
      </c>
      <c r="L744" t="n">
        <v>0</v>
      </c>
      <c r="M744" t="n">
        <v>0</v>
      </c>
      <c r="N744" t="n">
        <v>0</v>
      </c>
      <c r="O744" t="n">
        <v>1</v>
      </c>
      <c r="P744" t="n">
        <v>0</v>
      </c>
      <c r="Q744" t="n">
        <v>1</v>
      </c>
      <c r="R744" s="2" t="inlineStr">
        <is>
          <t>Tallticka</t>
        </is>
      </c>
      <c r="S744">
        <f>HYPERLINK("https://klasma.github.io/Logging_1460/artfynd/A 23226-2021 artfynd.xlsx", "A 23226-2021")</f>
        <v/>
      </c>
      <c r="T744">
        <f>HYPERLINK("https://klasma.github.io/Logging_1460/kartor/A 23226-2021 karta.png", "A 23226-2021")</f>
        <v/>
      </c>
      <c r="V744">
        <f>HYPERLINK("https://klasma.github.io/Logging_1460/klagomål/A 23226-2021 FSC-klagomål.docx", "A 23226-2021")</f>
        <v/>
      </c>
      <c r="W744">
        <f>HYPERLINK("https://klasma.github.io/Logging_1460/klagomålsmail/A 23226-2021 FSC-klagomål mail.docx", "A 23226-2021")</f>
        <v/>
      </c>
      <c r="X744">
        <f>HYPERLINK("https://klasma.github.io/Logging_1460/tillsyn/A 23226-2021 tillsynsbegäran.docx", "A 23226-2021")</f>
        <v/>
      </c>
      <c r="Y744">
        <f>HYPERLINK("https://klasma.github.io/Logging_1460/tillsynsmail/A 23226-2021 tillsynsbegäran mail.docx", "A 23226-2021")</f>
        <v/>
      </c>
    </row>
    <row r="745" ht="15" customHeight="1">
      <c r="A745" t="inlineStr">
        <is>
          <t>A 42509-2021</t>
        </is>
      </c>
      <c r="B745" s="1" t="n">
        <v>44427</v>
      </c>
      <c r="C745" s="1" t="n">
        <v>45952</v>
      </c>
      <c r="D745" t="inlineStr">
        <is>
          <t>VÄSTRA GÖTALANDS LÄN</t>
        </is>
      </c>
      <c r="E745" t="inlineStr">
        <is>
          <t>FALKÖPING</t>
        </is>
      </c>
      <c r="G745" t="n">
        <v>2.8</v>
      </c>
      <c r="H745" t="n">
        <v>0</v>
      </c>
      <c r="I745" t="n">
        <v>0</v>
      </c>
      <c r="J745" t="n">
        <v>0</v>
      </c>
      <c r="K745" t="n">
        <v>0</v>
      </c>
      <c r="L745" t="n">
        <v>1</v>
      </c>
      <c r="M745" t="n">
        <v>0</v>
      </c>
      <c r="N745" t="n">
        <v>0</v>
      </c>
      <c r="O745" t="n">
        <v>1</v>
      </c>
      <c r="P745" t="n">
        <v>1</v>
      </c>
      <c r="Q745" t="n">
        <v>1</v>
      </c>
      <c r="R745" s="2" t="inlineStr">
        <is>
          <t>Ask</t>
        </is>
      </c>
      <c r="S745">
        <f>HYPERLINK("https://klasma.github.io/Logging_1499/artfynd/A 42509-2021 artfynd.xlsx", "A 42509-2021")</f>
        <v/>
      </c>
      <c r="T745">
        <f>HYPERLINK("https://klasma.github.io/Logging_1499/kartor/A 42509-2021 karta.png", "A 42509-2021")</f>
        <v/>
      </c>
      <c r="V745">
        <f>HYPERLINK("https://klasma.github.io/Logging_1499/klagomål/A 42509-2021 FSC-klagomål.docx", "A 42509-2021")</f>
        <v/>
      </c>
      <c r="W745">
        <f>HYPERLINK("https://klasma.github.io/Logging_1499/klagomålsmail/A 42509-2021 FSC-klagomål mail.docx", "A 42509-2021")</f>
        <v/>
      </c>
      <c r="X745">
        <f>HYPERLINK("https://klasma.github.io/Logging_1499/tillsyn/A 42509-2021 tillsynsbegäran.docx", "A 42509-2021")</f>
        <v/>
      </c>
      <c r="Y745">
        <f>HYPERLINK("https://klasma.github.io/Logging_1499/tillsynsmail/A 42509-2021 tillsynsbegäran mail.docx", "A 42509-2021")</f>
        <v/>
      </c>
    </row>
    <row r="746" ht="15" customHeight="1">
      <c r="A746" t="inlineStr">
        <is>
          <t>A 56535-2024</t>
        </is>
      </c>
      <c r="B746" s="1" t="n">
        <v>45625</v>
      </c>
      <c r="C746" s="1" t="n">
        <v>45952</v>
      </c>
      <c r="D746" t="inlineStr">
        <is>
          <t>VÄSTRA GÖTALANDS LÄN</t>
        </is>
      </c>
      <c r="E746" t="inlineStr">
        <is>
          <t>GULLSPÅNG</t>
        </is>
      </c>
      <c r="G746" t="n">
        <v>2.1</v>
      </c>
      <c r="H746" t="n">
        <v>0</v>
      </c>
      <c r="I746" t="n">
        <v>0</v>
      </c>
      <c r="J746" t="n">
        <v>0</v>
      </c>
      <c r="K746" t="n">
        <v>1</v>
      </c>
      <c r="L746" t="n">
        <v>0</v>
      </c>
      <c r="M746" t="n">
        <v>0</v>
      </c>
      <c r="N746" t="n">
        <v>0</v>
      </c>
      <c r="O746" t="n">
        <v>1</v>
      </c>
      <c r="P746" t="n">
        <v>1</v>
      </c>
      <c r="Q746" t="n">
        <v>1</v>
      </c>
      <c r="R746" s="2" t="inlineStr">
        <is>
          <t>Koppartaggsvamp</t>
        </is>
      </c>
      <c r="S746">
        <f>HYPERLINK("https://klasma.github.io/Logging_1447/artfynd/A 56535-2024 artfynd.xlsx", "A 56535-2024")</f>
        <v/>
      </c>
      <c r="T746">
        <f>HYPERLINK("https://klasma.github.io/Logging_1447/kartor/A 56535-2024 karta.png", "A 56535-2024")</f>
        <v/>
      </c>
      <c r="V746">
        <f>HYPERLINK("https://klasma.github.io/Logging_1447/klagomål/A 56535-2024 FSC-klagomål.docx", "A 56535-2024")</f>
        <v/>
      </c>
      <c r="W746">
        <f>HYPERLINK("https://klasma.github.io/Logging_1447/klagomålsmail/A 56535-2024 FSC-klagomål mail.docx", "A 56535-2024")</f>
        <v/>
      </c>
      <c r="X746">
        <f>HYPERLINK("https://klasma.github.io/Logging_1447/tillsyn/A 56535-2024 tillsynsbegäran.docx", "A 56535-2024")</f>
        <v/>
      </c>
      <c r="Y746">
        <f>HYPERLINK("https://klasma.github.io/Logging_1447/tillsynsmail/A 56535-2024 tillsynsbegäran mail.docx", "A 56535-2024")</f>
        <v/>
      </c>
    </row>
    <row r="747" ht="15" customHeight="1">
      <c r="A747" t="inlineStr">
        <is>
          <t>A 54675-2024</t>
        </is>
      </c>
      <c r="B747" s="1" t="n">
        <v>45618.34292824074</v>
      </c>
      <c r="C747" s="1" t="n">
        <v>45952</v>
      </c>
      <c r="D747" t="inlineStr">
        <is>
          <t>VÄSTRA GÖTALANDS LÄN</t>
        </is>
      </c>
      <c r="E747" t="inlineStr">
        <is>
          <t>MARK</t>
        </is>
      </c>
      <c r="G747" t="n">
        <v>2.5</v>
      </c>
      <c r="H747" t="n">
        <v>1</v>
      </c>
      <c r="I747" t="n">
        <v>0</v>
      </c>
      <c r="J747" t="n">
        <v>0</v>
      </c>
      <c r="K747" t="n">
        <v>0</v>
      </c>
      <c r="L747" t="n">
        <v>0</v>
      </c>
      <c r="M747" t="n">
        <v>0</v>
      </c>
      <c r="N747" t="n">
        <v>0</v>
      </c>
      <c r="O747" t="n">
        <v>0</v>
      </c>
      <c r="P747" t="n">
        <v>0</v>
      </c>
      <c r="Q747" t="n">
        <v>1</v>
      </c>
      <c r="R747" s="2" t="inlineStr">
        <is>
          <t>Huggorm</t>
        </is>
      </c>
      <c r="S747">
        <f>HYPERLINK("https://klasma.github.io/Logging_1463/artfynd/A 54675-2024 artfynd.xlsx", "A 54675-2024")</f>
        <v/>
      </c>
      <c r="T747">
        <f>HYPERLINK("https://klasma.github.io/Logging_1463/kartor/A 54675-2024 karta.png", "A 54675-2024")</f>
        <v/>
      </c>
      <c r="V747">
        <f>HYPERLINK("https://klasma.github.io/Logging_1463/klagomål/A 54675-2024 FSC-klagomål.docx", "A 54675-2024")</f>
        <v/>
      </c>
      <c r="W747">
        <f>HYPERLINK("https://klasma.github.io/Logging_1463/klagomålsmail/A 54675-2024 FSC-klagomål mail.docx", "A 54675-2024")</f>
        <v/>
      </c>
      <c r="X747">
        <f>HYPERLINK("https://klasma.github.io/Logging_1463/tillsyn/A 54675-2024 tillsynsbegäran.docx", "A 54675-2024")</f>
        <v/>
      </c>
      <c r="Y747">
        <f>HYPERLINK("https://klasma.github.io/Logging_1463/tillsynsmail/A 54675-2024 tillsynsbegäran mail.docx", "A 54675-2024")</f>
        <v/>
      </c>
    </row>
    <row r="748" ht="15" customHeight="1">
      <c r="A748" t="inlineStr">
        <is>
          <t>A 36121-2025</t>
        </is>
      </c>
      <c r="B748" s="1" t="n">
        <v>45866.60317129629</v>
      </c>
      <c r="C748" s="1" t="n">
        <v>45952</v>
      </c>
      <c r="D748" t="inlineStr">
        <is>
          <t>VÄSTRA GÖTALANDS LÄN</t>
        </is>
      </c>
      <c r="E748" t="inlineStr">
        <is>
          <t>TANUM</t>
        </is>
      </c>
      <c r="G748" t="n">
        <v>3.3</v>
      </c>
      <c r="H748" t="n">
        <v>1</v>
      </c>
      <c r="I748" t="n">
        <v>0</v>
      </c>
      <c r="J748" t="n">
        <v>0</v>
      </c>
      <c r="K748" t="n">
        <v>0</v>
      </c>
      <c r="L748" t="n">
        <v>0</v>
      </c>
      <c r="M748" t="n">
        <v>0</v>
      </c>
      <c r="N748" t="n">
        <v>0</v>
      </c>
      <c r="O748" t="n">
        <v>0</v>
      </c>
      <c r="P748" t="n">
        <v>0</v>
      </c>
      <c r="Q748" t="n">
        <v>1</v>
      </c>
      <c r="R748" s="2" t="inlineStr">
        <is>
          <t>Blåsippa</t>
        </is>
      </c>
      <c r="S748">
        <f>HYPERLINK("https://klasma.github.io/Logging_1435/artfynd/A 36121-2025 artfynd.xlsx", "A 36121-2025")</f>
        <v/>
      </c>
      <c r="T748">
        <f>HYPERLINK("https://klasma.github.io/Logging_1435/kartor/A 36121-2025 karta.png", "A 36121-2025")</f>
        <v/>
      </c>
      <c r="V748">
        <f>HYPERLINK("https://klasma.github.io/Logging_1435/klagomål/A 36121-2025 FSC-klagomål.docx", "A 36121-2025")</f>
        <v/>
      </c>
      <c r="W748">
        <f>HYPERLINK("https://klasma.github.io/Logging_1435/klagomålsmail/A 36121-2025 FSC-klagomål mail.docx", "A 36121-2025")</f>
        <v/>
      </c>
      <c r="X748">
        <f>HYPERLINK("https://klasma.github.io/Logging_1435/tillsyn/A 36121-2025 tillsynsbegäran.docx", "A 36121-2025")</f>
        <v/>
      </c>
      <c r="Y748">
        <f>HYPERLINK("https://klasma.github.io/Logging_1435/tillsynsmail/A 36121-2025 tillsynsbegäran mail.docx", "A 36121-2025")</f>
        <v/>
      </c>
    </row>
    <row r="749" ht="15" customHeight="1">
      <c r="A749" t="inlineStr">
        <is>
          <t>A 58906-2022</t>
        </is>
      </c>
      <c r="B749" s="1" t="n">
        <v>44896</v>
      </c>
      <c r="C749" s="1" t="n">
        <v>45952</v>
      </c>
      <c r="D749" t="inlineStr">
        <is>
          <t>VÄSTRA GÖTALANDS LÄN</t>
        </is>
      </c>
      <c r="E749" t="inlineStr">
        <is>
          <t>MELLERUD</t>
        </is>
      </c>
      <c r="G749" t="n">
        <v>22</v>
      </c>
      <c r="H749" t="n">
        <v>1</v>
      </c>
      <c r="I749" t="n">
        <v>1</v>
      </c>
      <c r="J749" t="n">
        <v>0</v>
      </c>
      <c r="K749" t="n">
        <v>0</v>
      </c>
      <c r="L749" t="n">
        <v>0</v>
      </c>
      <c r="M749" t="n">
        <v>0</v>
      </c>
      <c r="N749" t="n">
        <v>0</v>
      </c>
      <c r="O749" t="n">
        <v>0</v>
      </c>
      <c r="P749" t="n">
        <v>0</v>
      </c>
      <c r="Q749" t="n">
        <v>1</v>
      </c>
      <c r="R749" s="2" t="inlineStr">
        <is>
          <t>Skogsknipprot</t>
        </is>
      </c>
      <c r="S749">
        <f>HYPERLINK("https://klasma.github.io/Logging_1461/artfynd/A 58906-2022 artfynd.xlsx", "A 58906-2022")</f>
        <v/>
      </c>
      <c r="T749">
        <f>HYPERLINK("https://klasma.github.io/Logging_1461/kartor/A 58906-2022 karta.png", "A 58906-2022")</f>
        <v/>
      </c>
      <c r="V749">
        <f>HYPERLINK("https://klasma.github.io/Logging_1461/klagomål/A 58906-2022 FSC-klagomål.docx", "A 58906-2022")</f>
        <v/>
      </c>
      <c r="W749">
        <f>HYPERLINK("https://klasma.github.io/Logging_1461/klagomålsmail/A 58906-2022 FSC-klagomål mail.docx", "A 58906-2022")</f>
        <v/>
      </c>
      <c r="X749">
        <f>HYPERLINK("https://klasma.github.io/Logging_1461/tillsyn/A 58906-2022 tillsynsbegäran.docx", "A 58906-2022")</f>
        <v/>
      </c>
      <c r="Y749">
        <f>HYPERLINK("https://klasma.github.io/Logging_1461/tillsynsmail/A 58906-2022 tillsynsbegäran mail.docx", "A 58906-2022")</f>
        <v/>
      </c>
    </row>
    <row r="750" ht="15" customHeight="1">
      <c r="A750" t="inlineStr">
        <is>
          <t>A 61037-2024</t>
        </is>
      </c>
      <c r="B750" s="1" t="n">
        <v>45645</v>
      </c>
      <c r="C750" s="1" t="n">
        <v>45952</v>
      </c>
      <c r="D750" t="inlineStr">
        <is>
          <t>VÄSTRA GÖTALANDS LÄN</t>
        </is>
      </c>
      <c r="E750" t="inlineStr">
        <is>
          <t>FALKÖPING</t>
        </is>
      </c>
      <c r="G750" t="n">
        <v>1.6</v>
      </c>
      <c r="H750" t="n">
        <v>1</v>
      </c>
      <c r="I750" t="n">
        <v>0</v>
      </c>
      <c r="J750" t="n">
        <v>0</v>
      </c>
      <c r="K750" t="n">
        <v>0</v>
      </c>
      <c r="L750" t="n">
        <v>1</v>
      </c>
      <c r="M750" t="n">
        <v>0</v>
      </c>
      <c r="N750" t="n">
        <v>0</v>
      </c>
      <c r="O750" t="n">
        <v>1</v>
      </c>
      <c r="P750" t="n">
        <v>1</v>
      </c>
      <c r="Q750" t="n">
        <v>1</v>
      </c>
      <c r="R750" s="2" t="inlineStr">
        <is>
          <t>Läkeögontröst</t>
        </is>
      </c>
      <c r="S750">
        <f>HYPERLINK("https://klasma.github.io/Logging_1499/artfynd/A 61037-2024 artfynd.xlsx", "A 61037-2024")</f>
        <v/>
      </c>
      <c r="T750">
        <f>HYPERLINK("https://klasma.github.io/Logging_1499/kartor/A 61037-2024 karta.png", "A 61037-2024")</f>
        <v/>
      </c>
      <c r="V750">
        <f>HYPERLINK("https://klasma.github.io/Logging_1499/klagomål/A 61037-2024 FSC-klagomål.docx", "A 61037-2024")</f>
        <v/>
      </c>
      <c r="W750">
        <f>HYPERLINK("https://klasma.github.io/Logging_1499/klagomålsmail/A 61037-2024 FSC-klagomål mail.docx", "A 61037-2024")</f>
        <v/>
      </c>
      <c r="X750">
        <f>HYPERLINK("https://klasma.github.io/Logging_1499/tillsyn/A 61037-2024 tillsynsbegäran.docx", "A 61037-2024")</f>
        <v/>
      </c>
      <c r="Y750">
        <f>HYPERLINK("https://klasma.github.io/Logging_1499/tillsynsmail/A 61037-2024 tillsynsbegäran mail.docx", "A 61037-2024")</f>
        <v/>
      </c>
    </row>
    <row r="751" ht="15" customHeight="1">
      <c r="A751" t="inlineStr">
        <is>
          <t>A 43580-2025</t>
        </is>
      </c>
      <c r="B751" s="1" t="n">
        <v>45911.6475462963</v>
      </c>
      <c r="C751" s="1" t="n">
        <v>45952</v>
      </c>
      <c r="D751" t="inlineStr">
        <is>
          <t>VÄSTRA GÖTALANDS LÄN</t>
        </is>
      </c>
      <c r="E751" t="inlineStr">
        <is>
          <t>MARIESTAD</t>
        </is>
      </c>
      <c r="G751" t="n">
        <v>2.2</v>
      </c>
      <c r="H751" t="n">
        <v>1</v>
      </c>
      <c r="I751" t="n">
        <v>0</v>
      </c>
      <c r="J751" t="n">
        <v>0</v>
      </c>
      <c r="K751" t="n">
        <v>0</v>
      </c>
      <c r="L751" t="n">
        <v>0</v>
      </c>
      <c r="M751" t="n">
        <v>0</v>
      </c>
      <c r="N751" t="n">
        <v>0</v>
      </c>
      <c r="O751" t="n">
        <v>0</v>
      </c>
      <c r="P751" t="n">
        <v>0</v>
      </c>
      <c r="Q751" t="n">
        <v>1</v>
      </c>
      <c r="R751" s="2" t="inlineStr">
        <is>
          <t>Gullviva</t>
        </is>
      </c>
      <c r="S751">
        <f>HYPERLINK("https://klasma.github.io/Logging_1493/artfynd/A 43580-2025 artfynd.xlsx", "A 43580-2025")</f>
        <v/>
      </c>
      <c r="T751">
        <f>HYPERLINK("https://klasma.github.io/Logging_1493/kartor/A 43580-2025 karta.png", "A 43580-2025")</f>
        <v/>
      </c>
      <c r="V751">
        <f>HYPERLINK("https://klasma.github.io/Logging_1493/klagomål/A 43580-2025 FSC-klagomål.docx", "A 43580-2025")</f>
        <v/>
      </c>
      <c r="W751">
        <f>HYPERLINK("https://klasma.github.io/Logging_1493/klagomålsmail/A 43580-2025 FSC-klagomål mail.docx", "A 43580-2025")</f>
        <v/>
      </c>
      <c r="X751">
        <f>HYPERLINK("https://klasma.github.io/Logging_1493/tillsyn/A 43580-2025 tillsynsbegäran.docx", "A 43580-2025")</f>
        <v/>
      </c>
      <c r="Y751">
        <f>HYPERLINK("https://klasma.github.io/Logging_1493/tillsynsmail/A 43580-2025 tillsynsbegäran mail.docx", "A 43580-2025")</f>
        <v/>
      </c>
    </row>
    <row r="752" ht="15" customHeight="1">
      <c r="A752" t="inlineStr">
        <is>
          <t>A 13991-2023</t>
        </is>
      </c>
      <c r="B752" s="1" t="n">
        <v>45008</v>
      </c>
      <c r="C752" s="1" t="n">
        <v>45952</v>
      </c>
      <c r="D752" t="inlineStr">
        <is>
          <t>VÄSTRA GÖTALANDS LÄN</t>
        </is>
      </c>
      <c r="E752" t="inlineStr">
        <is>
          <t>VÅRGÅRDA</t>
        </is>
      </c>
      <c r="G752" t="n">
        <v>0.2</v>
      </c>
      <c r="H752" t="n">
        <v>0</v>
      </c>
      <c r="I752" t="n">
        <v>0</v>
      </c>
      <c r="J752" t="n">
        <v>1</v>
      </c>
      <c r="K752" t="n">
        <v>0</v>
      </c>
      <c r="L752" t="n">
        <v>0</v>
      </c>
      <c r="M752" t="n">
        <v>0</v>
      </c>
      <c r="N752" t="n">
        <v>0</v>
      </c>
      <c r="O752" t="n">
        <v>1</v>
      </c>
      <c r="P752" t="n">
        <v>0</v>
      </c>
      <c r="Q752" t="n">
        <v>1</v>
      </c>
      <c r="R752" s="2" t="inlineStr">
        <is>
          <t>Borsttåg</t>
        </is>
      </c>
      <c r="S752">
        <f>HYPERLINK("https://klasma.github.io/Logging_1442/artfynd/A 13991-2023 artfynd.xlsx", "A 13991-2023")</f>
        <v/>
      </c>
      <c r="T752">
        <f>HYPERLINK("https://klasma.github.io/Logging_1442/kartor/A 13991-2023 karta.png", "A 13991-2023")</f>
        <v/>
      </c>
      <c r="V752">
        <f>HYPERLINK("https://klasma.github.io/Logging_1442/klagomål/A 13991-2023 FSC-klagomål.docx", "A 13991-2023")</f>
        <v/>
      </c>
      <c r="W752">
        <f>HYPERLINK("https://klasma.github.io/Logging_1442/klagomålsmail/A 13991-2023 FSC-klagomål mail.docx", "A 13991-2023")</f>
        <v/>
      </c>
      <c r="X752">
        <f>HYPERLINK("https://klasma.github.io/Logging_1442/tillsyn/A 13991-2023 tillsynsbegäran.docx", "A 13991-2023")</f>
        <v/>
      </c>
      <c r="Y752">
        <f>HYPERLINK("https://klasma.github.io/Logging_1442/tillsynsmail/A 13991-2023 tillsynsbegäran mail.docx", "A 13991-2023")</f>
        <v/>
      </c>
    </row>
    <row r="753" ht="15" customHeight="1">
      <c r="A753" t="inlineStr">
        <is>
          <t>A 3772-2024</t>
        </is>
      </c>
      <c r="B753" s="1" t="n">
        <v>45321</v>
      </c>
      <c r="C753" s="1" t="n">
        <v>45952</v>
      </c>
      <c r="D753" t="inlineStr">
        <is>
          <t>VÄSTRA GÖTALANDS LÄN</t>
        </is>
      </c>
      <c r="E753" t="inlineStr">
        <is>
          <t>BORÅS</t>
        </is>
      </c>
      <c r="F753" t="inlineStr">
        <is>
          <t>Kommuner</t>
        </is>
      </c>
      <c r="G753" t="n">
        <v>4.1</v>
      </c>
      <c r="H753" t="n">
        <v>0</v>
      </c>
      <c r="I753" t="n">
        <v>1</v>
      </c>
      <c r="J753" t="n">
        <v>0</v>
      </c>
      <c r="K753" t="n">
        <v>0</v>
      </c>
      <c r="L753" t="n">
        <v>0</v>
      </c>
      <c r="M753" t="n">
        <v>0</v>
      </c>
      <c r="N753" t="n">
        <v>0</v>
      </c>
      <c r="O753" t="n">
        <v>0</v>
      </c>
      <c r="P753" t="n">
        <v>0</v>
      </c>
      <c r="Q753" t="n">
        <v>1</v>
      </c>
      <c r="R753" s="2" t="inlineStr">
        <is>
          <t>Vågbandad barkbock</t>
        </is>
      </c>
      <c r="S753">
        <f>HYPERLINK("https://klasma.github.io/Logging_1490/artfynd/A 3772-2024 artfynd.xlsx", "A 3772-2024")</f>
        <v/>
      </c>
      <c r="T753">
        <f>HYPERLINK("https://klasma.github.io/Logging_1490/kartor/A 3772-2024 karta.png", "A 3772-2024")</f>
        <v/>
      </c>
      <c r="V753">
        <f>HYPERLINK("https://klasma.github.io/Logging_1490/klagomål/A 3772-2024 FSC-klagomål.docx", "A 3772-2024")</f>
        <v/>
      </c>
      <c r="W753">
        <f>HYPERLINK("https://klasma.github.io/Logging_1490/klagomålsmail/A 3772-2024 FSC-klagomål mail.docx", "A 3772-2024")</f>
        <v/>
      </c>
      <c r="X753">
        <f>HYPERLINK("https://klasma.github.io/Logging_1490/tillsyn/A 3772-2024 tillsynsbegäran.docx", "A 3772-2024")</f>
        <v/>
      </c>
      <c r="Y753">
        <f>HYPERLINK("https://klasma.github.io/Logging_1490/tillsynsmail/A 3772-2024 tillsynsbegäran mail.docx", "A 3772-2024")</f>
        <v/>
      </c>
    </row>
    <row r="754" ht="15" customHeight="1">
      <c r="A754" t="inlineStr">
        <is>
          <t>A 45243-2025</t>
        </is>
      </c>
      <c r="B754" s="1" t="n">
        <v>45919.60089120371</v>
      </c>
      <c r="C754" s="1" t="n">
        <v>45952</v>
      </c>
      <c r="D754" t="inlineStr">
        <is>
          <t>VÄSTRA GÖTALANDS LÄN</t>
        </is>
      </c>
      <c r="E754" t="inlineStr">
        <is>
          <t>KUNGÄLV</t>
        </is>
      </c>
      <c r="G754" t="n">
        <v>8.1</v>
      </c>
      <c r="H754" t="n">
        <v>1</v>
      </c>
      <c r="I754" t="n">
        <v>0</v>
      </c>
      <c r="J754" t="n">
        <v>0</v>
      </c>
      <c r="K754" t="n">
        <v>0</v>
      </c>
      <c r="L754" t="n">
        <v>0</v>
      </c>
      <c r="M754" t="n">
        <v>0</v>
      </c>
      <c r="N754" t="n">
        <v>0</v>
      </c>
      <c r="O754" t="n">
        <v>0</v>
      </c>
      <c r="P754" t="n">
        <v>0</v>
      </c>
      <c r="Q754" t="n">
        <v>1</v>
      </c>
      <c r="R754" s="2" t="inlineStr">
        <is>
          <t>Revlummer</t>
        </is>
      </c>
      <c r="S754">
        <f>HYPERLINK("https://klasma.github.io/Logging_1482/artfynd/A 45243-2025 artfynd.xlsx", "A 45243-2025")</f>
        <v/>
      </c>
      <c r="T754">
        <f>HYPERLINK("https://klasma.github.io/Logging_1482/kartor/A 45243-2025 karta.png", "A 45243-2025")</f>
        <v/>
      </c>
      <c r="V754">
        <f>HYPERLINK("https://klasma.github.io/Logging_1482/klagomål/A 45243-2025 FSC-klagomål.docx", "A 45243-2025")</f>
        <v/>
      </c>
      <c r="W754">
        <f>HYPERLINK("https://klasma.github.io/Logging_1482/klagomålsmail/A 45243-2025 FSC-klagomål mail.docx", "A 45243-2025")</f>
        <v/>
      </c>
      <c r="X754">
        <f>HYPERLINK("https://klasma.github.io/Logging_1482/tillsyn/A 45243-2025 tillsynsbegäran.docx", "A 45243-2025")</f>
        <v/>
      </c>
      <c r="Y754">
        <f>HYPERLINK("https://klasma.github.io/Logging_1482/tillsynsmail/A 45243-2025 tillsynsbegäran mail.docx", "A 45243-2025")</f>
        <v/>
      </c>
    </row>
    <row r="755" ht="15" customHeight="1">
      <c r="A755" t="inlineStr">
        <is>
          <t>A 37238-2025</t>
        </is>
      </c>
      <c r="B755" s="1" t="n">
        <v>45876.36284722222</v>
      </c>
      <c r="C755" s="1" t="n">
        <v>45952</v>
      </c>
      <c r="D755" t="inlineStr">
        <is>
          <t>VÄSTRA GÖTALANDS LÄN</t>
        </is>
      </c>
      <c r="E755" t="inlineStr">
        <is>
          <t>ULRICEHAMN</t>
        </is>
      </c>
      <c r="G755" t="n">
        <v>7.6</v>
      </c>
      <c r="H755" t="n">
        <v>1</v>
      </c>
      <c r="I755" t="n">
        <v>0</v>
      </c>
      <c r="J755" t="n">
        <v>0</v>
      </c>
      <c r="K755" t="n">
        <v>0</v>
      </c>
      <c r="L755" t="n">
        <v>0</v>
      </c>
      <c r="M755" t="n">
        <v>0</v>
      </c>
      <c r="N755" t="n">
        <v>0</v>
      </c>
      <c r="O755" t="n">
        <v>0</v>
      </c>
      <c r="P755" t="n">
        <v>0</v>
      </c>
      <c r="Q755" t="n">
        <v>1</v>
      </c>
      <c r="R755" s="2" t="inlineStr">
        <is>
          <t>Hasselmus</t>
        </is>
      </c>
      <c r="S755">
        <f>HYPERLINK("https://klasma.github.io/Logging_1491/artfynd/A 37238-2025 artfynd.xlsx", "A 37238-2025")</f>
        <v/>
      </c>
      <c r="T755">
        <f>HYPERLINK("https://klasma.github.io/Logging_1491/kartor/A 37238-2025 karta.png", "A 37238-2025")</f>
        <v/>
      </c>
      <c r="V755">
        <f>HYPERLINK("https://klasma.github.io/Logging_1491/klagomål/A 37238-2025 FSC-klagomål.docx", "A 37238-2025")</f>
        <v/>
      </c>
      <c r="W755">
        <f>HYPERLINK("https://klasma.github.io/Logging_1491/klagomålsmail/A 37238-2025 FSC-klagomål mail.docx", "A 37238-2025")</f>
        <v/>
      </c>
      <c r="X755">
        <f>HYPERLINK("https://klasma.github.io/Logging_1491/tillsyn/A 37238-2025 tillsynsbegäran.docx", "A 37238-2025")</f>
        <v/>
      </c>
      <c r="Y755">
        <f>HYPERLINK("https://klasma.github.io/Logging_1491/tillsynsmail/A 37238-2025 tillsynsbegäran mail.docx", "A 37238-2025")</f>
        <v/>
      </c>
    </row>
    <row r="756" ht="15" customHeight="1">
      <c r="A756" t="inlineStr">
        <is>
          <t>A 45864-2025</t>
        </is>
      </c>
      <c r="B756" s="1" t="n">
        <v>45923.64543981481</v>
      </c>
      <c r="C756" s="1" t="n">
        <v>45952</v>
      </c>
      <c r="D756" t="inlineStr">
        <is>
          <t>VÄSTRA GÖTALANDS LÄN</t>
        </is>
      </c>
      <c r="E756" t="inlineStr">
        <is>
          <t>MARK</t>
        </is>
      </c>
      <c r="G756" t="n">
        <v>1.5</v>
      </c>
      <c r="H756" t="n">
        <v>1</v>
      </c>
      <c r="I756" t="n">
        <v>0</v>
      </c>
      <c r="J756" t="n">
        <v>0</v>
      </c>
      <c r="K756" t="n">
        <v>0</v>
      </c>
      <c r="L756" t="n">
        <v>1</v>
      </c>
      <c r="M756" t="n">
        <v>0</v>
      </c>
      <c r="N756" t="n">
        <v>0</v>
      </c>
      <c r="O756" t="n">
        <v>1</v>
      </c>
      <c r="P756" t="n">
        <v>1</v>
      </c>
      <c r="Q756" t="n">
        <v>1</v>
      </c>
      <c r="R756" s="2" t="inlineStr">
        <is>
          <t>Grönfink</t>
        </is>
      </c>
      <c r="S756">
        <f>HYPERLINK("https://klasma.github.io/Logging_1463/artfynd/A 45864-2025 artfynd.xlsx", "A 45864-2025")</f>
        <v/>
      </c>
      <c r="T756">
        <f>HYPERLINK("https://klasma.github.io/Logging_1463/kartor/A 45864-2025 karta.png", "A 45864-2025")</f>
        <v/>
      </c>
      <c r="V756">
        <f>HYPERLINK("https://klasma.github.io/Logging_1463/klagomål/A 45864-2025 FSC-klagomål.docx", "A 45864-2025")</f>
        <v/>
      </c>
      <c r="W756">
        <f>HYPERLINK("https://klasma.github.io/Logging_1463/klagomålsmail/A 45864-2025 FSC-klagomål mail.docx", "A 45864-2025")</f>
        <v/>
      </c>
      <c r="X756">
        <f>HYPERLINK("https://klasma.github.io/Logging_1463/tillsyn/A 45864-2025 tillsynsbegäran.docx", "A 45864-2025")</f>
        <v/>
      </c>
      <c r="Y756">
        <f>HYPERLINK("https://klasma.github.io/Logging_1463/tillsynsmail/A 45864-2025 tillsynsbegäran mail.docx", "A 45864-2025")</f>
        <v/>
      </c>
      <c r="Z756">
        <f>HYPERLINK("https://klasma.github.io/Logging_1463/fåglar/A 45864-2025 prioriterade fågelarter.docx", "A 45864-2025")</f>
        <v/>
      </c>
    </row>
    <row r="757" ht="15" customHeight="1">
      <c r="A757" t="inlineStr">
        <is>
          <t>A 37539-2025</t>
        </is>
      </c>
      <c r="B757" s="1" t="n">
        <v>45879.45538194444</v>
      </c>
      <c r="C757" s="1" t="n">
        <v>45952</v>
      </c>
      <c r="D757" t="inlineStr">
        <is>
          <t>VÄSTRA GÖTALANDS LÄN</t>
        </is>
      </c>
      <c r="E757" t="inlineStr">
        <is>
          <t>STENUNGSUND</t>
        </is>
      </c>
      <c r="G757" t="n">
        <v>1.9</v>
      </c>
      <c r="H757" t="n">
        <v>0</v>
      </c>
      <c r="I757" t="n">
        <v>1</v>
      </c>
      <c r="J757" t="n">
        <v>0</v>
      </c>
      <c r="K757" t="n">
        <v>0</v>
      </c>
      <c r="L757" t="n">
        <v>0</v>
      </c>
      <c r="M757" t="n">
        <v>0</v>
      </c>
      <c r="N757" t="n">
        <v>0</v>
      </c>
      <c r="O757" t="n">
        <v>0</v>
      </c>
      <c r="P757" t="n">
        <v>0</v>
      </c>
      <c r="Q757" t="n">
        <v>1</v>
      </c>
      <c r="R757" s="2" t="inlineStr">
        <is>
          <t>Murgröna</t>
        </is>
      </c>
      <c r="S757">
        <f>HYPERLINK("https://klasma.github.io/Logging_1415/artfynd/A 37539-2025 artfynd.xlsx", "A 37539-2025")</f>
        <v/>
      </c>
      <c r="T757">
        <f>HYPERLINK("https://klasma.github.io/Logging_1415/kartor/A 37539-2025 karta.png", "A 37539-2025")</f>
        <v/>
      </c>
      <c r="V757">
        <f>HYPERLINK("https://klasma.github.io/Logging_1415/klagomål/A 37539-2025 FSC-klagomål.docx", "A 37539-2025")</f>
        <v/>
      </c>
      <c r="W757">
        <f>HYPERLINK("https://klasma.github.io/Logging_1415/klagomålsmail/A 37539-2025 FSC-klagomål mail.docx", "A 37539-2025")</f>
        <v/>
      </c>
      <c r="X757">
        <f>HYPERLINK("https://klasma.github.io/Logging_1415/tillsyn/A 37539-2025 tillsynsbegäran.docx", "A 37539-2025")</f>
        <v/>
      </c>
      <c r="Y757">
        <f>HYPERLINK("https://klasma.github.io/Logging_1415/tillsynsmail/A 37539-2025 tillsynsbegäran mail.docx", "A 37539-2025")</f>
        <v/>
      </c>
    </row>
    <row r="758" ht="15" customHeight="1">
      <c r="A758" t="inlineStr">
        <is>
          <t>A 35559-2025</t>
        </is>
      </c>
      <c r="B758" s="1" t="n">
        <v>45856</v>
      </c>
      <c r="C758" s="1" t="n">
        <v>45952</v>
      </c>
      <c r="D758" t="inlineStr">
        <is>
          <t>VÄSTRA GÖTALANDS LÄN</t>
        </is>
      </c>
      <c r="E758" t="inlineStr">
        <is>
          <t>FALKÖPING</t>
        </is>
      </c>
      <c r="G758" t="n">
        <v>10.4</v>
      </c>
      <c r="H758" t="n">
        <v>1</v>
      </c>
      <c r="I758" t="n">
        <v>0</v>
      </c>
      <c r="J758" t="n">
        <v>1</v>
      </c>
      <c r="K758" t="n">
        <v>0</v>
      </c>
      <c r="L758" t="n">
        <v>0</v>
      </c>
      <c r="M758" t="n">
        <v>0</v>
      </c>
      <c r="N758" t="n">
        <v>0</v>
      </c>
      <c r="O758" t="n">
        <v>1</v>
      </c>
      <c r="P758" t="n">
        <v>0</v>
      </c>
      <c r="Q758" t="n">
        <v>1</v>
      </c>
      <c r="R758" s="2" t="inlineStr">
        <is>
          <t>Talltita</t>
        </is>
      </c>
      <c r="S758">
        <f>HYPERLINK("https://klasma.github.io/Logging_1499/artfynd/A 35559-2025 artfynd.xlsx", "A 35559-2025")</f>
        <v/>
      </c>
      <c r="T758">
        <f>HYPERLINK("https://klasma.github.io/Logging_1499/kartor/A 35559-2025 karta.png", "A 35559-2025")</f>
        <v/>
      </c>
      <c r="V758">
        <f>HYPERLINK("https://klasma.github.io/Logging_1499/klagomål/A 35559-2025 FSC-klagomål.docx", "A 35559-2025")</f>
        <v/>
      </c>
      <c r="W758">
        <f>HYPERLINK("https://klasma.github.io/Logging_1499/klagomålsmail/A 35559-2025 FSC-klagomål mail.docx", "A 35559-2025")</f>
        <v/>
      </c>
      <c r="X758">
        <f>HYPERLINK("https://klasma.github.io/Logging_1499/tillsyn/A 35559-2025 tillsynsbegäran.docx", "A 35559-2025")</f>
        <v/>
      </c>
      <c r="Y758">
        <f>HYPERLINK("https://klasma.github.io/Logging_1499/tillsynsmail/A 35559-2025 tillsynsbegäran mail.docx", "A 35559-2025")</f>
        <v/>
      </c>
      <c r="Z758">
        <f>HYPERLINK("https://klasma.github.io/Logging_1499/fåglar/A 35559-2025 prioriterade fågelarter.docx", "A 35559-2025")</f>
        <v/>
      </c>
    </row>
    <row r="759" ht="15" customHeight="1">
      <c r="A759" t="inlineStr">
        <is>
          <t>A 9087-2025</t>
        </is>
      </c>
      <c r="B759" s="1" t="n">
        <v>45713</v>
      </c>
      <c r="C759" s="1" t="n">
        <v>45952</v>
      </c>
      <c r="D759" t="inlineStr">
        <is>
          <t>VÄSTRA GÖTALANDS LÄN</t>
        </is>
      </c>
      <c r="E759" t="inlineStr">
        <is>
          <t>TANUM</t>
        </is>
      </c>
      <c r="G759" t="n">
        <v>11.4</v>
      </c>
      <c r="H759" t="n">
        <v>0</v>
      </c>
      <c r="I759" t="n">
        <v>0</v>
      </c>
      <c r="J759" t="n">
        <v>1</v>
      </c>
      <c r="K759" t="n">
        <v>0</v>
      </c>
      <c r="L759" t="n">
        <v>0</v>
      </c>
      <c r="M759" t="n">
        <v>0</v>
      </c>
      <c r="N759" t="n">
        <v>0</v>
      </c>
      <c r="O759" t="n">
        <v>1</v>
      </c>
      <c r="P759" t="n">
        <v>0</v>
      </c>
      <c r="Q759" t="n">
        <v>1</v>
      </c>
      <c r="R759" s="2" t="inlineStr">
        <is>
          <t>Slåtterfibbla</t>
        </is>
      </c>
      <c r="S759">
        <f>HYPERLINK("https://klasma.github.io/Logging_1435/artfynd/A 9087-2025 artfynd.xlsx", "A 9087-2025")</f>
        <v/>
      </c>
      <c r="T759">
        <f>HYPERLINK("https://klasma.github.io/Logging_1435/kartor/A 9087-2025 karta.png", "A 9087-2025")</f>
        <v/>
      </c>
      <c r="V759">
        <f>HYPERLINK("https://klasma.github.io/Logging_1435/klagomål/A 9087-2025 FSC-klagomål.docx", "A 9087-2025")</f>
        <v/>
      </c>
      <c r="W759">
        <f>HYPERLINK("https://klasma.github.io/Logging_1435/klagomålsmail/A 9087-2025 FSC-klagomål mail.docx", "A 9087-2025")</f>
        <v/>
      </c>
      <c r="X759">
        <f>HYPERLINK("https://klasma.github.io/Logging_1435/tillsyn/A 9087-2025 tillsynsbegäran.docx", "A 9087-2025")</f>
        <v/>
      </c>
      <c r="Y759">
        <f>HYPERLINK("https://klasma.github.io/Logging_1435/tillsynsmail/A 9087-2025 tillsynsbegäran mail.docx", "A 9087-2025")</f>
        <v/>
      </c>
    </row>
    <row r="760" ht="15" customHeight="1">
      <c r="A760" t="inlineStr">
        <is>
          <t>A 45943-2025</t>
        </is>
      </c>
      <c r="B760" s="1" t="n">
        <v>45924.32104166667</v>
      </c>
      <c r="C760" s="1" t="n">
        <v>45952</v>
      </c>
      <c r="D760" t="inlineStr">
        <is>
          <t>VÄSTRA GÖTALANDS LÄN</t>
        </is>
      </c>
      <c r="E760" t="inlineStr">
        <is>
          <t>BENGTSFORS</t>
        </is>
      </c>
      <c r="G760" t="n">
        <v>1.4</v>
      </c>
      <c r="H760" t="n">
        <v>0</v>
      </c>
      <c r="I760" t="n">
        <v>0</v>
      </c>
      <c r="J760" t="n">
        <v>1</v>
      </c>
      <c r="K760" t="n">
        <v>0</v>
      </c>
      <c r="L760" t="n">
        <v>0</v>
      </c>
      <c r="M760" t="n">
        <v>0</v>
      </c>
      <c r="N760" t="n">
        <v>0</v>
      </c>
      <c r="O760" t="n">
        <v>1</v>
      </c>
      <c r="P760" t="n">
        <v>0</v>
      </c>
      <c r="Q760" t="n">
        <v>1</v>
      </c>
      <c r="R760" s="2" t="inlineStr">
        <is>
          <t>Motaggsvamp</t>
        </is>
      </c>
      <c r="S760">
        <f>HYPERLINK("https://klasma.github.io/Logging_1460/artfynd/A 45943-2025 artfynd.xlsx", "A 45943-2025")</f>
        <v/>
      </c>
      <c r="T760">
        <f>HYPERLINK("https://klasma.github.io/Logging_1460/kartor/A 45943-2025 karta.png", "A 45943-2025")</f>
        <v/>
      </c>
      <c r="V760">
        <f>HYPERLINK("https://klasma.github.io/Logging_1460/klagomål/A 45943-2025 FSC-klagomål.docx", "A 45943-2025")</f>
        <v/>
      </c>
      <c r="W760">
        <f>HYPERLINK("https://klasma.github.io/Logging_1460/klagomålsmail/A 45943-2025 FSC-klagomål mail.docx", "A 45943-2025")</f>
        <v/>
      </c>
      <c r="X760">
        <f>HYPERLINK("https://klasma.github.io/Logging_1460/tillsyn/A 45943-2025 tillsynsbegäran.docx", "A 45943-2025")</f>
        <v/>
      </c>
      <c r="Y760">
        <f>HYPERLINK("https://klasma.github.io/Logging_1460/tillsynsmail/A 45943-2025 tillsynsbegäran mail.docx", "A 45943-2025")</f>
        <v/>
      </c>
    </row>
    <row r="761" ht="15" customHeight="1">
      <c r="A761" t="inlineStr">
        <is>
          <t>A 172-2024</t>
        </is>
      </c>
      <c r="B761" s="1" t="n">
        <v>45294</v>
      </c>
      <c r="C761" s="1" t="n">
        <v>45952</v>
      </c>
      <c r="D761" t="inlineStr">
        <is>
          <t>VÄSTRA GÖTALANDS LÄN</t>
        </is>
      </c>
      <c r="E761" t="inlineStr">
        <is>
          <t>DALS-ED</t>
        </is>
      </c>
      <c r="G761" t="n">
        <v>6.9</v>
      </c>
      <c r="H761" t="n">
        <v>0</v>
      </c>
      <c r="I761" t="n">
        <v>1</v>
      </c>
      <c r="J761" t="n">
        <v>0</v>
      </c>
      <c r="K761" t="n">
        <v>0</v>
      </c>
      <c r="L761" t="n">
        <v>0</v>
      </c>
      <c r="M761" t="n">
        <v>0</v>
      </c>
      <c r="N761" t="n">
        <v>0</v>
      </c>
      <c r="O761" t="n">
        <v>0</v>
      </c>
      <c r="P761" t="n">
        <v>0</v>
      </c>
      <c r="Q761" t="n">
        <v>1</v>
      </c>
      <c r="R761" s="2" t="inlineStr">
        <is>
          <t>Bronshjon</t>
        </is>
      </c>
      <c r="S761">
        <f>HYPERLINK("https://klasma.github.io/Logging_1438/artfynd/A 172-2024 artfynd.xlsx", "A 172-2024")</f>
        <v/>
      </c>
      <c r="T761">
        <f>HYPERLINK("https://klasma.github.io/Logging_1438/kartor/A 172-2024 karta.png", "A 172-2024")</f>
        <v/>
      </c>
      <c r="V761">
        <f>HYPERLINK("https://klasma.github.io/Logging_1438/klagomål/A 172-2024 FSC-klagomål.docx", "A 172-2024")</f>
        <v/>
      </c>
      <c r="W761">
        <f>HYPERLINK("https://klasma.github.io/Logging_1438/klagomålsmail/A 172-2024 FSC-klagomål mail.docx", "A 172-2024")</f>
        <v/>
      </c>
      <c r="X761">
        <f>HYPERLINK("https://klasma.github.io/Logging_1438/tillsyn/A 172-2024 tillsynsbegäran.docx", "A 172-2024")</f>
        <v/>
      </c>
      <c r="Y761">
        <f>HYPERLINK("https://klasma.github.io/Logging_1438/tillsynsmail/A 172-2024 tillsynsbegäran mail.docx", "A 172-2024")</f>
        <v/>
      </c>
    </row>
    <row r="762" ht="15" customHeight="1">
      <c r="A762" t="inlineStr">
        <is>
          <t>A 44736-2021</t>
        </is>
      </c>
      <c r="B762" s="1" t="n">
        <v>44438</v>
      </c>
      <c r="C762" s="1" t="n">
        <v>45952</v>
      </c>
      <c r="D762" t="inlineStr">
        <is>
          <t>VÄSTRA GÖTALANDS LÄN</t>
        </is>
      </c>
      <c r="E762" t="inlineStr">
        <is>
          <t>VÄNERSBORG</t>
        </is>
      </c>
      <c r="G762" t="n">
        <v>6.1</v>
      </c>
      <c r="H762" t="n">
        <v>0</v>
      </c>
      <c r="I762" t="n">
        <v>1</v>
      </c>
      <c r="J762" t="n">
        <v>0</v>
      </c>
      <c r="K762" t="n">
        <v>0</v>
      </c>
      <c r="L762" t="n">
        <v>0</v>
      </c>
      <c r="M762" t="n">
        <v>0</v>
      </c>
      <c r="N762" t="n">
        <v>0</v>
      </c>
      <c r="O762" t="n">
        <v>0</v>
      </c>
      <c r="P762" t="n">
        <v>0</v>
      </c>
      <c r="Q762" t="n">
        <v>1</v>
      </c>
      <c r="R762" s="2" t="inlineStr">
        <is>
          <t>Barkticka</t>
        </is>
      </c>
      <c r="S762">
        <f>HYPERLINK("https://klasma.github.io/Logging_1487/artfynd/A 44736-2021 artfynd.xlsx", "A 44736-2021")</f>
        <v/>
      </c>
      <c r="T762">
        <f>HYPERLINK("https://klasma.github.io/Logging_1487/kartor/A 44736-2021 karta.png", "A 44736-2021")</f>
        <v/>
      </c>
      <c r="V762">
        <f>HYPERLINK("https://klasma.github.io/Logging_1487/klagomål/A 44736-2021 FSC-klagomål.docx", "A 44736-2021")</f>
        <v/>
      </c>
      <c r="W762">
        <f>HYPERLINK("https://klasma.github.io/Logging_1487/klagomålsmail/A 44736-2021 FSC-klagomål mail.docx", "A 44736-2021")</f>
        <v/>
      </c>
      <c r="X762">
        <f>HYPERLINK("https://klasma.github.io/Logging_1487/tillsyn/A 44736-2021 tillsynsbegäran.docx", "A 44736-2021")</f>
        <v/>
      </c>
      <c r="Y762">
        <f>HYPERLINK("https://klasma.github.io/Logging_1487/tillsynsmail/A 44736-2021 tillsynsbegäran mail.docx", "A 44736-2021")</f>
        <v/>
      </c>
    </row>
    <row r="763" ht="15" customHeight="1">
      <c r="A763" t="inlineStr">
        <is>
          <t>A 38103-2025</t>
        </is>
      </c>
      <c r="B763" s="1" t="n">
        <v>45882.49244212963</v>
      </c>
      <c r="C763" s="1" t="n">
        <v>45952</v>
      </c>
      <c r="D763" t="inlineStr">
        <is>
          <t>VÄSTRA GÖTALANDS LÄN</t>
        </is>
      </c>
      <c r="E763" t="inlineStr">
        <is>
          <t>KUNGÄLV</t>
        </is>
      </c>
      <c r="G763" t="n">
        <v>1.8</v>
      </c>
      <c r="H763" t="n">
        <v>1</v>
      </c>
      <c r="I763" t="n">
        <v>0</v>
      </c>
      <c r="J763" t="n">
        <v>1</v>
      </c>
      <c r="K763" t="n">
        <v>0</v>
      </c>
      <c r="L763" t="n">
        <v>0</v>
      </c>
      <c r="M763" t="n">
        <v>0</v>
      </c>
      <c r="N763" t="n">
        <v>0</v>
      </c>
      <c r="O763" t="n">
        <v>1</v>
      </c>
      <c r="P763" t="n">
        <v>0</v>
      </c>
      <c r="Q763" t="n">
        <v>1</v>
      </c>
      <c r="R763" s="2" t="inlineStr">
        <is>
          <t>Spillkråka</t>
        </is>
      </c>
      <c r="S763">
        <f>HYPERLINK("https://klasma.github.io/Logging_1482/artfynd/A 38103-2025 artfynd.xlsx", "A 38103-2025")</f>
        <v/>
      </c>
      <c r="T763">
        <f>HYPERLINK("https://klasma.github.io/Logging_1482/kartor/A 38103-2025 karta.png", "A 38103-2025")</f>
        <v/>
      </c>
      <c r="V763">
        <f>HYPERLINK("https://klasma.github.io/Logging_1482/klagomål/A 38103-2025 FSC-klagomål.docx", "A 38103-2025")</f>
        <v/>
      </c>
      <c r="W763">
        <f>HYPERLINK("https://klasma.github.io/Logging_1482/klagomålsmail/A 38103-2025 FSC-klagomål mail.docx", "A 38103-2025")</f>
        <v/>
      </c>
      <c r="X763">
        <f>HYPERLINK("https://klasma.github.io/Logging_1482/tillsyn/A 38103-2025 tillsynsbegäran.docx", "A 38103-2025")</f>
        <v/>
      </c>
      <c r="Y763">
        <f>HYPERLINK("https://klasma.github.io/Logging_1482/tillsynsmail/A 38103-2025 tillsynsbegäran mail.docx", "A 38103-2025")</f>
        <v/>
      </c>
      <c r="Z763">
        <f>HYPERLINK("https://klasma.github.io/Logging_1482/fåglar/A 38103-2025 prioriterade fågelarter.docx", "A 38103-2025")</f>
        <v/>
      </c>
    </row>
    <row r="764" ht="15" customHeight="1">
      <c r="A764" t="inlineStr">
        <is>
          <t>A 49233-2023</t>
        </is>
      </c>
      <c r="B764" s="1" t="n">
        <v>45210</v>
      </c>
      <c r="C764" s="1" t="n">
        <v>45952</v>
      </c>
      <c r="D764" t="inlineStr">
        <is>
          <t>VÄSTRA GÖTALANDS LÄN</t>
        </is>
      </c>
      <c r="E764" t="inlineStr">
        <is>
          <t>MARIESTAD</t>
        </is>
      </c>
      <c r="G764" t="n">
        <v>6.1</v>
      </c>
      <c r="H764" t="n">
        <v>0</v>
      </c>
      <c r="I764" t="n">
        <v>1</v>
      </c>
      <c r="J764" t="n">
        <v>0</v>
      </c>
      <c r="K764" t="n">
        <v>0</v>
      </c>
      <c r="L764" t="n">
        <v>0</v>
      </c>
      <c r="M764" t="n">
        <v>0</v>
      </c>
      <c r="N764" t="n">
        <v>0</v>
      </c>
      <c r="O764" t="n">
        <v>0</v>
      </c>
      <c r="P764" t="n">
        <v>0</v>
      </c>
      <c r="Q764" t="n">
        <v>1</v>
      </c>
      <c r="R764" s="2" t="inlineStr">
        <is>
          <t>Lönnlav</t>
        </is>
      </c>
      <c r="S764">
        <f>HYPERLINK("https://klasma.github.io/Logging_1493/artfynd/A 49233-2023 artfynd.xlsx", "A 49233-2023")</f>
        <v/>
      </c>
      <c r="T764">
        <f>HYPERLINK("https://klasma.github.io/Logging_1493/kartor/A 49233-2023 karta.png", "A 49233-2023")</f>
        <v/>
      </c>
      <c r="V764">
        <f>HYPERLINK("https://klasma.github.io/Logging_1493/klagomål/A 49233-2023 FSC-klagomål.docx", "A 49233-2023")</f>
        <v/>
      </c>
      <c r="W764">
        <f>HYPERLINK("https://klasma.github.io/Logging_1493/klagomålsmail/A 49233-2023 FSC-klagomål mail.docx", "A 49233-2023")</f>
        <v/>
      </c>
      <c r="X764">
        <f>HYPERLINK("https://klasma.github.io/Logging_1493/tillsyn/A 49233-2023 tillsynsbegäran.docx", "A 49233-2023")</f>
        <v/>
      </c>
      <c r="Y764">
        <f>HYPERLINK("https://klasma.github.io/Logging_1493/tillsynsmail/A 49233-2023 tillsynsbegäran mail.docx", "A 49233-2023")</f>
        <v/>
      </c>
    </row>
    <row r="765" ht="15" customHeight="1">
      <c r="A765" t="inlineStr">
        <is>
          <t>A 27055-2025</t>
        </is>
      </c>
      <c r="B765" s="1" t="n">
        <v>45811.62898148148</v>
      </c>
      <c r="C765" s="1" t="n">
        <v>45952</v>
      </c>
      <c r="D765" t="inlineStr">
        <is>
          <t>VÄSTRA GÖTALANDS LÄN</t>
        </is>
      </c>
      <c r="E765" t="inlineStr">
        <is>
          <t>VÄNERSBORG</t>
        </is>
      </c>
      <c r="G765" t="n">
        <v>6.1</v>
      </c>
      <c r="H765" t="n">
        <v>0</v>
      </c>
      <c r="I765" t="n">
        <v>1</v>
      </c>
      <c r="J765" t="n">
        <v>0</v>
      </c>
      <c r="K765" t="n">
        <v>0</v>
      </c>
      <c r="L765" t="n">
        <v>0</v>
      </c>
      <c r="M765" t="n">
        <v>0</v>
      </c>
      <c r="N765" t="n">
        <v>0</v>
      </c>
      <c r="O765" t="n">
        <v>0</v>
      </c>
      <c r="P765" t="n">
        <v>0</v>
      </c>
      <c r="Q765" t="n">
        <v>1</v>
      </c>
      <c r="R765" s="2" t="inlineStr">
        <is>
          <t>Barkticka</t>
        </is>
      </c>
      <c r="S765">
        <f>HYPERLINK("https://klasma.github.io/Logging_1487/artfynd/A 27055-2025 artfynd.xlsx", "A 27055-2025")</f>
        <v/>
      </c>
      <c r="T765">
        <f>HYPERLINK("https://klasma.github.io/Logging_1487/kartor/A 27055-2025 karta.png", "A 27055-2025")</f>
        <v/>
      </c>
      <c r="V765">
        <f>HYPERLINK("https://klasma.github.io/Logging_1487/klagomål/A 27055-2025 FSC-klagomål.docx", "A 27055-2025")</f>
        <v/>
      </c>
      <c r="W765">
        <f>HYPERLINK("https://klasma.github.io/Logging_1487/klagomålsmail/A 27055-2025 FSC-klagomål mail.docx", "A 27055-2025")</f>
        <v/>
      </c>
      <c r="X765">
        <f>HYPERLINK("https://klasma.github.io/Logging_1487/tillsyn/A 27055-2025 tillsynsbegäran.docx", "A 27055-2025")</f>
        <v/>
      </c>
      <c r="Y765">
        <f>HYPERLINK("https://klasma.github.io/Logging_1487/tillsynsmail/A 27055-2025 tillsynsbegäran mail.docx", "A 27055-2025")</f>
        <v/>
      </c>
    </row>
    <row r="766" ht="15" customHeight="1">
      <c r="A766" t="inlineStr">
        <is>
          <t>A 45941-2025</t>
        </is>
      </c>
      <c r="B766" s="1" t="n">
        <v>45924.31385416666</v>
      </c>
      <c r="C766" s="1" t="n">
        <v>45952</v>
      </c>
      <c r="D766" t="inlineStr">
        <is>
          <t>VÄSTRA GÖTALANDS LÄN</t>
        </is>
      </c>
      <c r="E766" t="inlineStr">
        <is>
          <t>LILLA EDET</t>
        </is>
      </c>
      <c r="G766" t="n">
        <v>1.2</v>
      </c>
      <c r="H766" t="n">
        <v>0</v>
      </c>
      <c r="I766" t="n">
        <v>0</v>
      </c>
      <c r="J766" t="n">
        <v>1</v>
      </c>
      <c r="K766" t="n">
        <v>0</v>
      </c>
      <c r="L766" t="n">
        <v>0</v>
      </c>
      <c r="M766" t="n">
        <v>0</v>
      </c>
      <c r="N766" t="n">
        <v>0</v>
      </c>
      <c r="O766" t="n">
        <v>1</v>
      </c>
      <c r="P766" t="n">
        <v>0</v>
      </c>
      <c r="Q766" t="n">
        <v>1</v>
      </c>
      <c r="R766" s="2" t="inlineStr">
        <is>
          <t>Dofttaggsvamp</t>
        </is>
      </c>
      <c r="S766">
        <f>HYPERLINK("https://klasma.github.io/Logging_1462/artfynd/A 45941-2025 artfynd.xlsx", "A 45941-2025")</f>
        <v/>
      </c>
      <c r="T766">
        <f>HYPERLINK("https://klasma.github.io/Logging_1462/kartor/A 45941-2025 karta.png", "A 45941-2025")</f>
        <v/>
      </c>
      <c r="V766">
        <f>HYPERLINK("https://klasma.github.io/Logging_1462/klagomål/A 45941-2025 FSC-klagomål.docx", "A 45941-2025")</f>
        <v/>
      </c>
      <c r="W766">
        <f>HYPERLINK("https://klasma.github.io/Logging_1462/klagomålsmail/A 45941-2025 FSC-klagomål mail.docx", "A 45941-2025")</f>
        <v/>
      </c>
      <c r="X766">
        <f>HYPERLINK("https://klasma.github.io/Logging_1462/tillsyn/A 45941-2025 tillsynsbegäran.docx", "A 45941-2025")</f>
        <v/>
      </c>
      <c r="Y766">
        <f>HYPERLINK("https://klasma.github.io/Logging_1462/tillsynsmail/A 45941-2025 tillsynsbegäran mail.docx", "A 45941-2025")</f>
        <v/>
      </c>
    </row>
    <row r="767" ht="15" customHeight="1">
      <c r="A767" t="inlineStr">
        <is>
          <t>A 5687-2022</t>
        </is>
      </c>
      <c r="B767" s="1" t="n">
        <v>44596</v>
      </c>
      <c r="C767" s="1" t="n">
        <v>45952</v>
      </c>
      <c r="D767" t="inlineStr">
        <is>
          <t>VÄSTRA GÖTALANDS LÄN</t>
        </is>
      </c>
      <c r="E767" t="inlineStr">
        <is>
          <t>BENGTSFORS</t>
        </is>
      </c>
      <c r="G767" t="n">
        <v>4.5</v>
      </c>
      <c r="H767" t="n">
        <v>1</v>
      </c>
      <c r="I767" t="n">
        <v>0</v>
      </c>
      <c r="J767" t="n">
        <v>1</v>
      </c>
      <c r="K767" t="n">
        <v>0</v>
      </c>
      <c r="L767" t="n">
        <v>0</v>
      </c>
      <c r="M767" t="n">
        <v>0</v>
      </c>
      <c r="N767" t="n">
        <v>0</v>
      </c>
      <c r="O767" t="n">
        <v>1</v>
      </c>
      <c r="P767" t="n">
        <v>0</v>
      </c>
      <c r="Q767" t="n">
        <v>1</v>
      </c>
      <c r="R767" s="2" t="inlineStr">
        <is>
          <t>Spillkråka</t>
        </is>
      </c>
      <c r="S767">
        <f>HYPERLINK("https://klasma.github.io/Logging_1460/artfynd/A 5687-2022 artfynd.xlsx", "A 5687-2022")</f>
        <v/>
      </c>
      <c r="T767">
        <f>HYPERLINK("https://klasma.github.io/Logging_1460/kartor/A 5687-2022 karta.png", "A 5687-2022")</f>
        <v/>
      </c>
      <c r="V767">
        <f>HYPERLINK("https://klasma.github.io/Logging_1460/klagomål/A 5687-2022 FSC-klagomål.docx", "A 5687-2022")</f>
        <v/>
      </c>
      <c r="W767">
        <f>HYPERLINK("https://klasma.github.io/Logging_1460/klagomålsmail/A 5687-2022 FSC-klagomål mail.docx", "A 5687-2022")</f>
        <v/>
      </c>
      <c r="X767">
        <f>HYPERLINK("https://klasma.github.io/Logging_1460/tillsyn/A 5687-2022 tillsynsbegäran.docx", "A 5687-2022")</f>
        <v/>
      </c>
      <c r="Y767">
        <f>HYPERLINK("https://klasma.github.io/Logging_1460/tillsynsmail/A 5687-2022 tillsynsbegäran mail.docx", "A 5687-2022")</f>
        <v/>
      </c>
      <c r="Z767">
        <f>HYPERLINK("https://klasma.github.io/Logging_1460/fåglar/A 5687-2022 prioriterade fågelarter.docx", "A 5687-2022")</f>
        <v/>
      </c>
    </row>
    <row r="768" ht="15" customHeight="1">
      <c r="A768" t="inlineStr">
        <is>
          <t>A 9947-2021</t>
        </is>
      </c>
      <c r="B768" s="1" t="n">
        <v>44252</v>
      </c>
      <c r="C768" s="1" t="n">
        <v>45952</v>
      </c>
      <c r="D768" t="inlineStr">
        <is>
          <t>VÄSTRA GÖTALANDS LÄN</t>
        </is>
      </c>
      <c r="E768" t="inlineStr">
        <is>
          <t>STRÖMSTAD</t>
        </is>
      </c>
      <c r="G768" t="n">
        <v>3.1</v>
      </c>
      <c r="H768" t="n">
        <v>1</v>
      </c>
      <c r="I768" t="n">
        <v>0</v>
      </c>
      <c r="J768" t="n">
        <v>0</v>
      </c>
      <c r="K768" t="n">
        <v>1</v>
      </c>
      <c r="L768" t="n">
        <v>0</v>
      </c>
      <c r="M768" t="n">
        <v>0</v>
      </c>
      <c r="N768" t="n">
        <v>0</v>
      </c>
      <c r="O768" t="n">
        <v>1</v>
      </c>
      <c r="P768" t="n">
        <v>1</v>
      </c>
      <c r="Q768" t="n">
        <v>1</v>
      </c>
      <c r="R768" s="2" t="inlineStr">
        <is>
          <t>Knärot</t>
        </is>
      </c>
      <c r="S768">
        <f>HYPERLINK("https://klasma.github.io/Logging_1486/artfynd/A 9947-2021 artfynd.xlsx", "A 9947-2021")</f>
        <v/>
      </c>
      <c r="T768">
        <f>HYPERLINK("https://klasma.github.io/Logging_1486/kartor/A 9947-2021 karta.png", "A 9947-2021")</f>
        <v/>
      </c>
      <c r="U768">
        <f>HYPERLINK("https://klasma.github.io/Logging_1486/knärot/A 9947-2021 karta knärot.png", "A 9947-2021")</f>
        <v/>
      </c>
      <c r="V768">
        <f>HYPERLINK("https://klasma.github.io/Logging_1486/klagomål/A 9947-2021 FSC-klagomål.docx", "A 9947-2021")</f>
        <v/>
      </c>
      <c r="W768">
        <f>HYPERLINK("https://klasma.github.io/Logging_1486/klagomålsmail/A 9947-2021 FSC-klagomål mail.docx", "A 9947-2021")</f>
        <v/>
      </c>
      <c r="X768">
        <f>HYPERLINK("https://klasma.github.io/Logging_1486/tillsyn/A 9947-2021 tillsynsbegäran.docx", "A 9947-2021")</f>
        <v/>
      </c>
      <c r="Y768">
        <f>HYPERLINK("https://klasma.github.io/Logging_1486/tillsynsmail/A 9947-2021 tillsynsbegäran mail.docx", "A 9947-2021")</f>
        <v/>
      </c>
    </row>
    <row r="769" ht="15" customHeight="1">
      <c r="A769" t="inlineStr">
        <is>
          <t>A 54839-2023</t>
        </is>
      </c>
      <c r="B769" s="1" t="n">
        <v>45236</v>
      </c>
      <c r="C769" s="1" t="n">
        <v>45952</v>
      </c>
      <c r="D769" t="inlineStr">
        <is>
          <t>VÄSTRA GÖTALANDS LÄN</t>
        </is>
      </c>
      <c r="E769" t="inlineStr">
        <is>
          <t>BENGTSFORS</t>
        </is>
      </c>
      <c r="G769" t="n">
        <v>1.8</v>
      </c>
      <c r="H769" t="n">
        <v>0</v>
      </c>
      <c r="I769" t="n">
        <v>1</v>
      </c>
      <c r="J769" t="n">
        <v>0</v>
      </c>
      <c r="K769" t="n">
        <v>0</v>
      </c>
      <c r="L769" t="n">
        <v>0</v>
      </c>
      <c r="M769" t="n">
        <v>0</v>
      </c>
      <c r="N769" t="n">
        <v>0</v>
      </c>
      <c r="O769" t="n">
        <v>0</v>
      </c>
      <c r="P769" t="n">
        <v>0</v>
      </c>
      <c r="Q769" t="n">
        <v>1</v>
      </c>
      <c r="R769" s="2" t="inlineStr">
        <is>
          <t>Klippfrullania</t>
        </is>
      </c>
      <c r="S769">
        <f>HYPERLINK("https://klasma.github.io/Logging_1460/artfynd/A 54839-2023 artfynd.xlsx", "A 54839-2023")</f>
        <v/>
      </c>
      <c r="T769">
        <f>HYPERLINK("https://klasma.github.io/Logging_1460/kartor/A 54839-2023 karta.png", "A 54839-2023")</f>
        <v/>
      </c>
      <c r="V769">
        <f>HYPERLINK("https://klasma.github.io/Logging_1460/klagomål/A 54839-2023 FSC-klagomål.docx", "A 54839-2023")</f>
        <v/>
      </c>
      <c r="W769">
        <f>HYPERLINK("https://klasma.github.io/Logging_1460/klagomålsmail/A 54839-2023 FSC-klagomål mail.docx", "A 54839-2023")</f>
        <v/>
      </c>
      <c r="X769">
        <f>HYPERLINK("https://klasma.github.io/Logging_1460/tillsyn/A 54839-2023 tillsynsbegäran.docx", "A 54839-2023")</f>
        <v/>
      </c>
      <c r="Y769">
        <f>HYPERLINK("https://klasma.github.io/Logging_1460/tillsynsmail/A 54839-2023 tillsynsbegäran mail.docx", "A 54839-2023")</f>
        <v/>
      </c>
    </row>
    <row r="770" ht="15" customHeight="1">
      <c r="A770" t="inlineStr">
        <is>
          <t>A 12982-2024</t>
        </is>
      </c>
      <c r="B770" s="1" t="n">
        <v>45385.53569444444</v>
      </c>
      <c r="C770" s="1" t="n">
        <v>45952</v>
      </c>
      <c r="D770" t="inlineStr">
        <is>
          <t>VÄSTRA GÖTALANDS LÄN</t>
        </is>
      </c>
      <c r="E770" t="inlineStr">
        <is>
          <t>ALE</t>
        </is>
      </c>
      <c r="G770" t="n">
        <v>3.3</v>
      </c>
      <c r="H770" t="n">
        <v>1</v>
      </c>
      <c r="I770" t="n">
        <v>0</v>
      </c>
      <c r="J770" t="n">
        <v>0</v>
      </c>
      <c r="K770" t="n">
        <v>0</v>
      </c>
      <c r="L770" t="n">
        <v>0</v>
      </c>
      <c r="M770" t="n">
        <v>0</v>
      </c>
      <c r="N770" t="n">
        <v>0</v>
      </c>
      <c r="O770" t="n">
        <v>0</v>
      </c>
      <c r="P770" t="n">
        <v>0</v>
      </c>
      <c r="Q770" t="n">
        <v>1</v>
      </c>
      <c r="R770" s="2" t="inlineStr">
        <is>
          <t>Revlummer</t>
        </is>
      </c>
      <c r="S770">
        <f>HYPERLINK("https://klasma.github.io/Logging_1440/artfynd/A 12982-2024 artfynd.xlsx", "A 12982-2024")</f>
        <v/>
      </c>
      <c r="T770">
        <f>HYPERLINK("https://klasma.github.io/Logging_1440/kartor/A 12982-2024 karta.png", "A 12982-2024")</f>
        <v/>
      </c>
      <c r="V770">
        <f>HYPERLINK("https://klasma.github.io/Logging_1440/klagomål/A 12982-2024 FSC-klagomål.docx", "A 12982-2024")</f>
        <v/>
      </c>
      <c r="W770">
        <f>HYPERLINK("https://klasma.github.io/Logging_1440/klagomålsmail/A 12982-2024 FSC-klagomål mail.docx", "A 12982-2024")</f>
        <v/>
      </c>
      <c r="X770">
        <f>HYPERLINK("https://klasma.github.io/Logging_1440/tillsyn/A 12982-2024 tillsynsbegäran.docx", "A 12982-2024")</f>
        <v/>
      </c>
      <c r="Y770">
        <f>HYPERLINK("https://klasma.github.io/Logging_1440/tillsynsmail/A 12982-2024 tillsynsbegäran mail.docx", "A 12982-2024")</f>
        <v/>
      </c>
    </row>
    <row r="771" ht="15" customHeight="1">
      <c r="A771" t="inlineStr">
        <is>
          <t>A 62126-2020</t>
        </is>
      </c>
      <c r="B771" s="1" t="n">
        <v>44159</v>
      </c>
      <c r="C771" s="1" t="n">
        <v>45952</v>
      </c>
      <c r="D771" t="inlineStr">
        <is>
          <t>VÄSTRA GÖTALANDS LÄN</t>
        </is>
      </c>
      <c r="E771" t="inlineStr">
        <is>
          <t>SVENLJUNGA</t>
        </is>
      </c>
      <c r="G771" t="n">
        <v>2.2</v>
      </c>
      <c r="H771" t="n">
        <v>1</v>
      </c>
      <c r="I771" t="n">
        <v>0</v>
      </c>
      <c r="J771" t="n">
        <v>0</v>
      </c>
      <c r="K771" t="n">
        <v>0</v>
      </c>
      <c r="L771" t="n">
        <v>0</v>
      </c>
      <c r="M771" t="n">
        <v>0</v>
      </c>
      <c r="N771" t="n">
        <v>0</v>
      </c>
      <c r="O771" t="n">
        <v>0</v>
      </c>
      <c r="P771" t="n">
        <v>0</v>
      </c>
      <c r="Q771" t="n">
        <v>1</v>
      </c>
      <c r="R771" s="2" t="inlineStr">
        <is>
          <t>Tjäder</t>
        </is>
      </c>
      <c r="S771">
        <f>HYPERLINK("https://klasma.github.io/Logging_1465/artfynd/A 62126-2020 artfynd.xlsx", "A 62126-2020")</f>
        <v/>
      </c>
      <c r="T771">
        <f>HYPERLINK("https://klasma.github.io/Logging_1465/kartor/A 62126-2020 karta.png", "A 62126-2020")</f>
        <v/>
      </c>
      <c r="V771">
        <f>HYPERLINK("https://klasma.github.io/Logging_1465/klagomål/A 62126-2020 FSC-klagomål.docx", "A 62126-2020")</f>
        <v/>
      </c>
      <c r="W771">
        <f>HYPERLINK("https://klasma.github.io/Logging_1465/klagomålsmail/A 62126-2020 FSC-klagomål mail.docx", "A 62126-2020")</f>
        <v/>
      </c>
      <c r="X771">
        <f>HYPERLINK("https://klasma.github.io/Logging_1465/tillsyn/A 62126-2020 tillsynsbegäran.docx", "A 62126-2020")</f>
        <v/>
      </c>
      <c r="Y771">
        <f>HYPERLINK("https://klasma.github.io/Logging_1465/tillsynsmail/A 62126-2020 tillsynsbegäran mail.docx", "A 62126-2020")</f>
        <v/>
      </c>
      <c r="Z771">
        <f>HYPERLINK("https://klasma.github.io/Logging_1465/fåglar/A 62126-2020 prioriterade fågelarter.docx", "A 62126-2020")</f>
        <v/>
      </c>
    </row>
    <row r="772" ht="15" customHeight="1">
      <c r="A772" t="inlineStr">
        <is>
          <t>A 57683-2023</t>
        </is>
      </c>
      <c r="B772" s="1" t="n">
        <v>45246</v>
      </c>
      <c r="C772" s="1" t="n">
        <v>45952</v>
      </c>
      <c r="D772" t="inlineStr">
        <is>
          <t>VÄSTRA GÖTALANDS LÄN</t>
        </is>
      </c>
      <c r="E772" t="inlineStr">
        <is>
          <t>FÄRGELANDA</t>
        </is>
      </c>
      <c r="G772" t="n">
        <v>4.1</v>
      </c>
      <c r="H772" t="n">
        <v>0</v>
      </c>
      <c r="I772" t="n">
        <v>0</v>
      </c>
      <c r="J772" t="n">
        <v>0</v>
      </c>
      <c r="K772" t="n">
        <v>1</v>
      </c>
      <c r="L772" t="n">
        <v>0</v>
      </c>
      <c r="M772" t="n">
        <v>0</v>
      </c>
      <c r="N772" t="n">
        <v>0</v>
      </c>
      <c r="O772" t="n">
        <v>1</v>
      </c>
      <c r="P772" t="n">
        <v>1</v>
      </c>
      <c r="Q772" t="n">
        <v>1</v>
      </c>
      <c r="R772" s="2" t="inlineStr">
        <is>
          <t>Källfräne</t>
        </is>
      </c>
      <c r="S772">
        <f>HYPERLINK("https://klasma.github.io/Logging_1439/artfynd/A 57683-2023 artfynd.xlsx", "A 57683-2023")</f>
        <v/>
      </c>
      <c r="T772">
        <f>HYPERLINK("https://klasma.github.io/Logging_1439/kartor/A 57683-2023 karta.png", "A 57683-2023")</f>
        <v/>
      </c>
      <c r="V772">
        <f>HYPERLINK("https://klasma.github.io/Logging_1439/klagomål/A 57683-2023 FSC-klagomål.docx", "A 57683-2023")</f>
        <v/>
      </c>
      <c r="W772">
        <f>HYPERLINK("https://klasma.github.io/Logging_1439/klagomålsmail/A 57683-2023 FSC-klagomål mail.docx", "A 57683-2023")</f>
        <v/>
      </c>
      <c r="X772">
        <f>HYPERLINK("https://klasma.github.io/Logging_1439/tillsyn/A 57683-2023 tillsynsbegäran.docx", "A 57683-2023")</f>
        <v/>
      </c>
      <c r="Y772">
        <f>HYPERLINK("https://klasma.github.io/Logging_1439/tillsynsmail/A 57683-2023 tillsynsbegäran mail.docx", "A 57683-2023")</f>
        <v/>
      </c>
    </row>
    <row r="773" ht="15" customHeight="1">
      <c r="A773" t="inlineStr">
        <is>
          <t>A 30763-2023</t>
        </is>
      </c>
      <c r="B773" s="1" t="n">
        <v>45112</v>
      </c>
      <c r="C773" s="1" t="n">
        <v>45952</v>
      </c>
      <c r="D773" t="inlineStr">
        <is>
          <t>VÄSTRA GÖTALANDS LÄN</t>
        </is>
      </c>
      <c r="E773" t="inlineStr">
        <is>
          <t>BOLLEBYGD</t>
        </is>
      </c>
      <c r="G773" t="n">
        <v>4.9</v>
      </c>
      <c r="H773" t="n">
        <v>1</v>
      </c>
      <c r="I773" t="n">
        <v>0</v>
      </c>
      <c r="J773" t="n">
        <v>1</v>
      </c>
      <c r="K773" t="n">
        <v>0</v>
      </c>
      <c r="L773" t="n">
        <v>0</v>
      </c>
      <c r="M773" t="n">
        <v>0</v>
      </c>
      <c r="N773" t="n">
        <v>0</v>
      </c>
      <c r="O773" t="n">
        <v>1</v>
      </c>
      <c r="P773" t="n">
        <v>0</v>
      </c>
      <c r="Q773" t="n">
        <v>1</v>
      </c>
      <c r="R773" s="2" t="inlineStr">
        <is>
          <t>Spillkråka</t>
        </is>
      </c>
      <c r="S773">
        <f>HYPERLINK("https://klasma.github.io/Logging_1443/artfynd/A 30763-2023 artfynd.xlsx", "A 30763-2023")</f>
        <v/>
      </c>
      <c r="T773">
        <f>HYPERLINK("https://klasma.github.io/Logging_1443/kartor/A 30763-2023 karta.png", "A 30763-2023")</f>
        <v/>
      </c>
      <c r="V773">
        <f>HYPERLINK("https://klasma.github.io/Logging_1443/klagomål/A 30763-2023 FSC-klagomål.docx", "A 30763-2023")</f>
        <v/>
      </c>
      <c r="W773">
        <f>HYPERLINK("https://klasma.github.io/Logging_1443/klagomålsmail/A 30763-2023 FSC-klagomål mail.docx", "A 30763-2023")</f>
        <v/>
      </c>
      <c r="X773">
        <f>HYPERLINK("https://klasma.github.io/Logging_1443/tillsyn/A 30763-2023 tillsynsbegäran.docx", "A 30763-2023")</f>
        <v/>
      </c>
      <c r="Y773">
        <f>HYPERLINK("https://klasma.github.io/Logging_1443/tillsynsmail/A 30763-2023 tillsynsbegäran mail.docx", "A 30763-2023")</f>
        <v/>
      </c>
      <c r="Z773">
        <f>HYPERLINK("https://klasma.github.io/Logging_1443/fåglar/A 30763-2023 prioriterade fågelarter.docx", "A 30763-2023")</f>
        <v/>
      </c>
    </row>
    <row r="774" ht="15" customHeight="1">
      <c r="A774" t="inlineStr">
        <is>
          <t>A 3760-2024</t>
        </is>
      </c>
      <c r="B774" s="1" t="n">
        <v>45321</v>
      </c>
      <c r="C774" s="1" t="n">
        <v>45952</v>
      </c>
      <c r="D774" t="inlineStr">
        <is>
          <t>VÄSTRA GÖTALANDS LÄN</t>
        </is>
      </c>
      <c r="E774" t="inlineStr">
        <is>
          <t>BORÅS</t>
        </is>
      </c>
      <c r="F774" t="inlineStr">
        <is>
          <t>Kommuner</t>
        </is>
      </c>
      <c r="G774" t="n">
        <v>6.8</v>
      </c>
      <c r="H774" t="n">
        <v>1</v>
      </c>
      <c r="I774" t="n">
        <v>0</v>
      </c>
      <c r="J774" t="n">
        <v>1</v>
      </c>
      <c r="K774" t="n">
        <v>0</v>
      </c>
      <c r="L774" t="n">
        <v>0</v>
      </c>
      <c r="M774" t="n">
        <v>0</v>
      </c>
      <c r="N774" t="n">
        <v>0</v>
      </c>
      <c r="O774" t="n">
        <v>1</v>
      </c>
      <c r="P774" t="n">
        <v>0</v>
      </c>
      <c r="Q774" t="n">
        <v>1</v>
      </c>
      <c r="R774" s="2" t="inlineStr">
        <is>
          <t>Kråka</t>
        </is>
      </c>
      <c r="S774">
        <f>HYPERLINK("https://klasma.github.io/Logging_1490/artfynd/A 3760-2024 artfynd.xlsx", "A 3760-2024")</f>
        <v/>
      </c>
      <c r="T774">
        <f>HYPERLINK("https://klasma.github.io/Logging_1490/kartor/A 3760-2024 karta.png", "A 3760-2024")</f>
        <v/>
      </c>
      <c r="V774">
        <f>HYPERLINK("https://klasma.github.io/Logging_1490/klagomål/A 3760-2024 FSC-klagomål.docx", "A 3760-2024")</f>
        <v/>
      </c>
      <c r="W774">
        <f>HYPERLINK("https://klasma.github.io/Logging_1490/klagomålsmail/A 3760-2024 FSC-klagomål mail.docx", "A 3760-2024")</f>
        <v/>
      </c>
      <c r="X774">
        <f>HYPERLINK("https://klasma.github.io/Logging_1490/tillsyn/A 3760-2024 tillsynsbegäran.docx", "A 3760-2024")</f>
        <v/>
      </c>
      <c r="Y774">
        <f>HYPERLINK("https://klasma.github.io/Logging_1490/tillsynsmail/A 3760-2024 tillsynsbegäran mail.docx", "A 3760-2024")</f>
        <v/>
      </c>
      <c r="Z774">
        <f>HYPERLINK("https://klasma.github.io/Logging_1490/fåglar/A 3760-2024 prioriterade fågelarter.docx", "A 3760-2024")</f>
        <v/>
      </c>
    </row>
    <row r="775" ht="15" customHeight="1">
      <c r="A775" t="inlineStr">
        <is>
          <t>A 31742-2023</t>
        </is>
      </c>
      <c r="B775" s="1" t="n">
        <v>45117</v>
      </c>
      <c r="C775" s="1" t="n">
        <v>45952</v>
      </c>
      <c r="D775" t="inlineStr">
        <is>
          <t>VÄSTRA GÖTALANDS LÄN</t>
        </is>
      </c>
      <c r="E775" t="inlineStr">
        <is>
          <t>BOLLEBYGD</t>
        </is>
      </c>
      <c r="G775" t="n">
        <v>2.9</v>
      </c>
      <c r="H775" t="n">
        <v>1</v>
      </c>
      <c r="I775" t="n">
        <v>0</v>
      </c>
      <c r="J775" t="n">
        <v>1</v>
      </c>
      <c r="K775" t="n">
        <v>0</v>
      </c>
      <c r="L775" t="n">
        <v>0</v>
      </c>
      <c r="M775" t="n">
        <v>0</v>
      </c>
      <c r="N775" t="n">
        <v>0</v>
      </c>
      <c r="O775" t="n">
        <v>1</v>
      </c>
      <c r="P775" t="n">
        <v>0</v>
      </c>
      <c r="Q775" t="n">
        <v>1</v>
      </c>
      <c r="R775" s="2" t="inlineStr">
        <is>
          <t>Spillkråka</t>
        </is>
      </c>
      <c r="S775">
        <f>HYPERLINK("https://klasma.github.io/Logging_1443/artfynd/A 31742-2023 artfynd.xlsx", "A 31742-2023")</f>
        <v/>
      </c>
      <c r="T775">
        <f>HYPERLINK("https://klasma.github.io/Logging_1443/kartor/A 31742-2023 karta.png", "A 31742-2023")</f>
        <v/>
      </c>
      <c r="V775">
        <f>HYPERLINK("https://klasma.github.io/Logging_1443/klagomål/A 31742-2023 FSC-klagomål.docx", "A 31742-2023")</f>
        <v/>
      </c>
      <c r="W775">
        <f>HYPERLINK("https://klasma.github.io/Logging_1443/klagomålsmail/A 31742-2023 FSC-klagomål mail.docx", "A 31742-2023")</f>
        <v/>
      </c>
      <c r="X775">
        <f>HYPERLINK("https://klasma.github.io/Logging_1443/tillsyn/A 31742-2023 tillsynsbegäran.docx", "A 31742-2023")</f>
        <v/>
      </c>
      <c r="Y775">
        <f>HYPERLINK("https://klasma.github.io/Logging_1443/tillsynsmail/A 31742-2023 tillsynsbegäran mail.docx", "A 31742-2023")</f>
        <v/>
      </c>
      <c r="Z775">
        <f>HYPERLINK("https://klasma.github.io/Logging_1443/fåglar/A 31742-2023 prioriterade fågelarter.docx", "A 31742-2023")</f>
        <v/>
      </c>
    </row>
    <row r="776" ht="15" customHeight="1">
      <c r="A776" t="inlineStr">
        <is>
          <t>A 60172-2021</t>
        </is>
      </c>
      <c r="B776" s="1" t="n">
        <v>44495</v>
      </c>
      <c r="C776" s="1" t="n">
        <v>45952</v>
      </c>
      <c r="D776" t="inlineStr">
        <is>
          <t>VÄSTRA GÖTALANDS LÄN</t>
        </is>
      </c>
      <c r="E776" t="inlineStr">
        <is>
          <t>SKÖVDE</t>
        </is>
      </c>
      <c r="G776" t="n">
        <v>1.4</v>
      </c>
      <c r="H776" t="n">
        <v>1</v>
      </c>
      <c r="I776" t="n">
        <v>0</v>
      </c>
      <c r="J776" t="n">
        <v>0</v>
      </c>
      <c r="K776" t="n">
        <v>0</v>
      </c>
      <c r="L776" t="n">
        <v>0</v>
      </c>
      <c r="M776" t="n">
        <v>0</v>
      </c>
      <c r="N776" t="n">
        <v>0</v>
      </c>
      <c r="O776" t="n">
        <v>0</v>
      </c>
      <c r="P776" t="n">
        <v>0</v>
      </c>
      <c r="Q776" t="n">
        <v>1</v>
      </c>
      <c r="R776" s="2" t="inlineStr">
        <is>
          <t>Fläcknycklar</t>
        </is>
      </c>
      <c r="S776">
        <f>HYPERLINK("https://klasma.github.io/Logging_1496/artfynd/A 60172-2021 artfynd.xlsx", "A 60172-2021")</f>
        <v/>
      </c>
      <c r="T776">
        <f>HYPERLINK("https://klasma.github.io/Logging_1496/kartor/A 60172-2021 karta.png", "A 60172-2021")</f>
        <v/>
      </c>
      <c r="V776">
        <f>HYPERLINK("https://klasma.github.io/Logging_1496/klagomål/A 60172-2021 FSC-klagomål.docx", "A 60172-2021")</f>
        <v/>
      </c>
      <c r="W776">
        <f>HYPERLINK("https://klasma.github.io/Logging_1496/klagomålsmail/A 60172-2021 FSC-klagomål mail.docx", "A 60172-2021")</f>
        <v/>
      </c>
      <c r="X776">
        <f>HYPERLINK("https://klasma.github.io/Logging_1496/tillsyn/A 60172-2021 tillsynsbegäran.docx", "A 60172-2021")</f>
        <v/>
      </c>
      <c r="Y776">
        <f>HYPERLINK("https://klasma.github.io/Logging_1496/tillsynsmail/A 60172-2021 tillsynsbegäran mail.docx", "A 60172-2021")</f>
        <v/>
      </c>
    </row>
    <row r="777" ht="15" customHeight="1">
      <c r="A777" t="inlineStr">
        <is>
          <t>A 16277-2025</t>
        </is>
      </c>
      <c r="B777" s="1" t="n">
        <v>45751</v>
      </c>
      <c r="C777" s="1" t="n">
        <v>45952</v>
      </c>
      <c r="D777" t="inlineStr">
        <is>
          <t>VÄSTRA GÖTALANDS LÄN</t>
        </is>
      </c>
      <c r="E777" t="inlineStr">
        <is>
          <t>MARK</t>
        </is>
      </c>
      <c r="F777" t="inlineStr">
        <is>
          <t>Sveaskog</t>
        </is>
      </c>
      <c r="G777" t="n">
        <v>4.6</v>
      </c>
      <c r="H777" t="n">
        <v>0</v>
      </c>
      <c r="I777" t="n">
        <v>1</v>
      </c>
      <c r="J777" t="n">
        <v>0</v>
      </c>
      <c r="K777" t="n">
        <v>0</v>
      </c>
      <c r="L777" t="n">
        <v>0</v>
      </c>
      <c r="M777" t="n">
        <v>0</v>
      </c>
      <c r="N777" t="n">
        <v>0</v>
      </c>
      <c r="O777" t="n">
        <v>0</v>
      </c>
      <c r="P777" t="n">
        <v>0</v>
      </c>
      <c r="Q777" t="n">
        <v>1</v>
      </c>
      <c r="R777" s="2" t="inlineStr">
        <is>
          <t>Stor revmossa</t>
        </is>
      </c>
      <c r="S777">
        <f>HYPERLINK("https://klasma.github.io/Logging_1463/artfynd/A 16277-2025 artfynd.xlsx", "A 16277-2025")</f>
        <v/>
      </c>
      <c r="T777">
        <f>HYPERLINK("https://klasma.github.io/Logging_1463/kartor/A 16277-2025 karta.png", "A 16277-2025")</f>
        <v/>
      </c>
      <c r="V777">
        <f>HYPERLINK("https://klasma.github.io/Logging_1463/klagomål/A 16277-2025 FSC-klagomål.docx", "A 16277-2025")</f>
        <v/>
      </c>
      <c r="W777">
        <f>HYPERLINK("https://klasma.github.io/Logging_1463/klagomålsmail/A 16277-2025 FSC-klagomål mail.docx", "A 16277-2025")</f>
        <v/>
      </c>
      <c r="X777">
        <f>HYPERLINK("https://klasma.github.io/Logging_1463/tillsyn/A 16277-2025 tillsynsbegäran.docx", "A 16277-2025")</f>
        <v/>
      </c>
      <c r="Y777">
        <f>HYPERLINK("https://klasma.github.io/Logging_1463/tillsynsmail/A 16277-2025 tillsynsbegäran mail.docx", "A 16277-2025")</f>
        <v/>
      </c>
    </row>
    <row r="778" ht="15" customHeight="1">
      <c r="A778" t="inlineStr">
        <is>
          <t>A 3662-2021</t>
        </is>
      </c>
      <c r="B778" s="1" t="n">
        <v>44221</v>
      </c>
      <c r="C778" s="1" t="n">
        <v>45952</v>
      </c>
      <c r="D778" t="inlineStr">
        <is>
          <t>VÄSTRA GÖTALANDS LÄN</t>
        </is>
      </c>
      <c r="E778" t="inlineStr">
        <is>
          <t>HÄRRYDA</t>
        </is>
      </c>
      <c r="G778" t="n">
        <v>2.3</v>
      </c>
      <c r="H778" t="n">
        <v>0</v>
      </c>
      <c r="I778" t="n">
        <v>0</v>
      </c>
      <c r="J778" t="n">
        <v>0</v>
      </c>
      <c r="K778" t="n">
        <v>0</v>
      </c>
      <c r="L778" t="n">
        <v>0</v>
      </c>
      <c r="M778" t="n">
        <v>0</v>
      </c>
      <c r="N778" t="n">
        <v>0</v>
      </c>
      <c r="O778" t="n">
        <v>0</v>
      </c>
      <c r="P778" t="n">
        <v>0</v>
      </c>
      <c r="Q778" t="n">
        <v>0</v>
      </c>
      <c r="R778" s="2" t="inlineStr"/>
    </row>
    <row r="779" ht="15" customHeight="1">
      <c r="A779" t="inlineStr">
        <is>
          <t>A 19981-2021</t>
        </is>
      </c>
      <c r="B779" s="1" t="n">
        <v>44313.68344907407</v>
      </c>
      <c r="C779" s="1" t="n">
        <v>45952</v>
      </c>
      <c r="D779" t="inlineStr">
        <is>
          <t>VÄSTRA GÖTALANDS LÄN</t>
        </is>
      </c>
      <c r="E779" t="inlineStr">
        <is>
          <t>MARK</t>
        </is>
      </c>
      <c r="G779" t="n">
        <v>5.4</v>
      </c>
      <c r="H779" t="n">
        <v>0</v>
      </c>
      <c r="I779" t="n">
        <v>0</v>
      </c>
      <c r="J779" t="n">
        <v>0</v>
      </c>
      <c r="K779" t="n">
        <v>0</v>
      </c>
      <c r="L779" t="n">
        <v>0</v>
      </c>
      <c r="M779" t="n">
        <v>0</v>
      </c>
      <c r="N779" t="n">
        <v>0</v>
      </c>
      <c r="O779" t="n">
        <v>0</v>
      </c>
      <c r="P779" t="n">
        <v>0</v>
      </c>
      <c r="Q779" t="n">
        <v>0</v>
      </c>
      <c r="R779" s="2" t="inlineStr"/>
    </row>
    <row r="780" ht="15" customHeight="1">
      <c r="A780" t="inlineStr">
        <is>
          <t>A 21061-2021</t>
        </is>
      </c>
      <c r="B780" s="1" t="n">
        <v>44319.66627314815</v>
      </c>
      <c r="C780" s="1" t="n">
        <v>45952</v>
      </c>
      <c r="D780" t="inlineStr">
        <is>
          <t>VÄSTRA GÖTALANDS LÄN</t>
        </is>
      </c>
      <c r="E780" t="inlineStr">
        <is>
          <t>SKARA</t>
        </is>
      </c>
      <c r="G780" t="n">
        <v>7.8</v>
      </c>
      <c r="H780" t="n">
        <v>0</v>
      </c>
      <c r="I780" t="n">
        <v>0</v>
      </c>
      <c r="J780" t="n">
        <v>0</v>
      </c>
      <c r="K780" t="n">
        <v>0</v>
      </c>
      <c r="L780" t="n">
        <v>0</v>
      </c>
      <c r="M780" t="n">
        <v>0</v>
      </c>
      <c r="N780" t="n">
        <v>0</v>
      </c>
      <c r="O780" t="n">
        <v>0</v>
      </c>
      <c r="P780" t="n">
        <v>0</v>
      </c>
      <c r="Q780" t="n">
        <v>0</v>
      </c>
      <c r="R780" s="2" t="inlineStr"/>
    </row>
    <row r="781" ht="15" customHeight="1">
      <c r="A781" t="inlineStr">
        <is>
          <t>A 61357-2020</t>
        </is>
      </c>
      <c r="B781" s="1" t="n">
        <v>44155</v>
      </c>
      <c r="C781" s="1" t="n">
        <v>45952</v>
      </c>
      <c r="D781" t="inlineStr">
        <is>
          <t>VÄSTRA GÖTALANDS LÄN</t>
        </is>
      </c>
      <c r="E781" t="inlineStr">
        <is>
          <t>TÖREBODA</t>
        </is>
      </c>
      <c r="G781" t="n">
        <v>3.7</v>
      </c>
      <c r="H781" t="n">
        <v>0</v>
      </c>
      <c r="I781" t="n">
        <v>0</v>
      </c>
      <c r="J781" t="n">
        <v>0</v>
      </c>
      <c r="K781" t="n">
        <v>0</v>
      </c>
      <c r="L781" t="n">
        <v>0</v>
      </c>
      <c r="M781" t="n">
        <v>0</v>
      </c>
      <c r="N781" t="n">
        <v>0</v>
      </c>
      <c r="O781" t="n">
        <v>0</v>
      </c>
      <c r="P781" t="n">
        <v>0</v>
      </c>
      <c r="Q781" t="n">
        <v>0</v>
      </c>
      <c r="R781" s="2" t="inlineStr"/>
    </row>
    <row r="782" ht="15" customHeight="1">
      <c r="A782" t="inlineStr">
        <is>
          <t>A 38384-2022</t>
        </is>
      </c>
      <c r="B782" s="1" t="n">
        <v>44812</v>
      </c>
      <c r="C782" s="1" t="n">
        <v>45952</v>
      </c>
      <c r="D782" t="inlineStr">
        <is>
          <t>VÄSTRA GÖTALANDS LÄN</t>
        </is>
      </c>
      <c r="E782" t="inlineStr">
        <is>
          <t>LILLA EDET</t>
        </is>
      </c>
      <c r="G782" t="n">
        <v>0.3</v>
      </c>
      <c r="H782" t="n">
        <v>0</v>
      </c>
      <c r="I782" t="n">
        <v>0</v>
      </c>
      <c r="J782" t="n">
        <v>0</v>
      </c>
      <c r="K782" t="n">
        <v>0</v>
      </c>
      <c r="L782" t="n">
        <v>0</v>
      </c>
      <c r="M782" t="n">
        <v>0</v>
      </c>
      <c r="N782" t="n">
        <v>0</v>
      </c>
      <c r="O782" t="n">
        <v>0</v>
      </c>
      <c r="P782" t="n">
        <v>0</v>
      </c>
      <c r="Q782" t="n">
        <v>0</v>
      </c>
      <c r="R782" s="2" t="inlineStr"/>
    </row>
    <row r="783" ht="15" customHeight="1">
      <c r="A783" t="inlineStr">
        <is>
          <t>A 59943-2020</t>
        </is>
      </c>
      <c r="B783" s="1" t="n">
        <v>44151</v>
      </c>
      <c r="C783" s="1" t="n">
        <v>45952</v>
      </c>
      <c r="D783" t="inlineStr">
        <is>
          <t>VÄSTRA GÖTALANDS LÄN</t>
        </is>
      </c>
      <c r="E783" t="inlineStr">
        <is>
          <t>DALS-ED</t>
        </is>
      </c>
      <c r="G783" t="n">
        <v>3.4</v>
      </c>
      <c r="H783" t="n">
        <v>0</v>
      </c>
      <c r="I783" t="n">
        <v>0</v>
      </c>
      <c r="J783" t="n">
        <v>0</v>
      </c>
      <c r="K783" t="n">
        <v>0</v>
      </c>
      <c r="L783" t="n">
        <v>0</v>
      </c>
      <c r="M783" t="n">
        <v>0</v>
      </c>
      <c r="N783" t="n">
        <v>0</v>
      </c>
      <c r="O783" t="n">
        <v>0</v>
      </c>
      <c r="P783" t="n">
        <v>0</v>
      </c>
      <c r="Q783" t="n">
        <v>0</v>
      </c>
      <c r="R783" s="2" t="inlineStr"/>
    </row>
    <row r="784" ht="15" customHeight="1">
      <c r="A784" t="inlineStr">
        <is>
          <t>A 59974-2020</t>
        </is>
      </c>
      <c r="B784" s="1" t="n">
        <v>44151</v>
      </c>
      <c r="C784" s="1" t="n">
        <v>45952</v>
      </c>
      <c r="D784" t="inlineStr">
        <is>
          <t>VÄSTRA GÖTALANDS LÄN</t>
        </is>
      </c>
      <c r="E784" t="inlineStr">
        <is>
          <t>STRÖMSTAD</t>
        </is>
      </c>
      <c r="F784" t="inlineStr">
        <is>
          <t>Kommuner</t>
        </is>
      </c>
      <c r="G784" t="n">
        <v>3.5</v>
      </c>
      <c r="H784" t="n">
        <v>0</v>
      </c>
      <c r="I784" t="n">
        <v>0</v>
      </c>
      <c r="J784" t="n">
        <v>0</v>
      </c>
      <c r="K784" t="n">
        <v>0</v>
      </c>
      <c r="L784" t="n">
        <v>0</v>
      </c>
      <c r="M784" t="n">
        <v>0</v>
      </c>
      <c r="N784" t="n">
        <v>0</v>
      </c>
      <c r="O784" t="n">
        <v>0</v>
      </c>
      <c r="P784" t="n">
        <v>0</v>
      </c>
      <c r="Q784" t="n">
        <v>0</v>
      </c>
      <c r="R784" s="2" t="inlineStr"/>
    </row>
    <row r="785" ht="15" customHeight="1">
      <c r="A785" t="inlineStr">
        <is>
          <t>A 42437-2022</t>
        </is>
      </c>
      <c r="B785" s="1" t="n">
        <v>44831</v>
      </c>
      <c r="C785" s="1" t="n">
        <v>45952</v>
      </c>
      <c r="D785" t="inlineStr">
        <is>
          <t>VÄSTRA GÖTALANDS LÄN</t>
        </is>
      </c>
      <c r="E785" t="inlineStr">
        <is>
          <t>ÅMÅL</t>
        </is>
      </c>
      <c r="G785" t="n">
        <v>2.7</v>
      </c>
      <c r="H785" t="n">
        <v>0</v>
      </c>
      <c r="I785" t="n">
        <v>0</v>
      </c>
      <c r="J785" t="n">
        <v>0</v>
      </c>
      <c r="K785" t="n">
        <v>0</v>
      </c>
      <c r="L785" t="n">
        <v>0</v>
      </c>
      <c r="M785" t="n">
        <v>0</v>
      </c>
      <c r="N785" t="n">
        <v>0</v>
      </c>
      <c r="O785" t="n">
        <v>0</v>
      </c>
      <c r="P785" t="n">
        <v>0</v>
      </c>
      <c r="Q785" t="n">
        <v>0</v>
      </c>
      <c r="R785" s="2" t="inlineStr"/>
    </row>
    <row r="786" ht="15" customHeight="1">
      <c r="A786" t="inlineStr">
        <is>
          <t>A 53261-2022</t>
        </is>
      </c>
      <c r="B786" s="1" t="n">
        <v>44876.75724537037</v>
      </c>
      <c r="C786" s="1" t="n">
        <v>45952</v>
      </c>
      <c r="D786" t="inlineStr">
        <is>
          <t>VÄSTRA GÖTALANDS LÄN</t>
        </is>
      </c>
      <c r="E786" t="inlineStr">
        <is>
          <t>HERRLJUNGA</t>
        </is>
      </c>
      <c r="G786" t="n">
        <v>2.3</v>
      </c>
      <c r="H786" t="n">
        <v>0</v>
      </c>
      <c r="I786" t="n">
        <v>0</v>
      </c>
      <c r="J786" t="n">
        <v>0</v>
      </c>
      <c r="K786" t="n">
        <v>0</v>
      </c>
      <c r="L786" t="n">
        <v>0</v>
      </c>
      <c r="M786" t="n">
        <v>0</v>
      </c>
      <c r="N786" t="n">
        <v>0</v>
      </c>
      <c r="O786" t="n">
        <v>0</v>
      </c>
      <c r="P786" t="n">
        <v>0</v>
      </c>
      <c r="Q786" t="n">
        <v>0</v>
      </c>
      <c r="R786" s="2" t="inlineStr"/>
    </row>
    <row r="787" ht="15" customHeight="1">
      <c r="A787" t="inlineStr">
        <is>
          <t>A 3581-2021</t>
        </is>
      </c>
      <c r="B787" s="1" t="n">
        <v>44220</v>
      </c>
      <c r="C787" s="1" t="n">
        <v>45952</v>
      </c>
      <c r="D787" t="inlineStr">
        <is>
          <t>VÄSTRA GÖTALANDS LÄN</t>
        </is>
      </c>
      <c r="E787" t="inlineStr">
        <is>
          <t>TIDAHOLM</t>
        </is>
      </c>
      <c r="G787" t="n">
        <v>1.3</v>
      </c>
      <c r="H787" t="n">
        <v>0</v>
      </c>
      <c r="I787" t="n">
        <v>0</v>
      </c>
      <c r="J787" t="n">
        <v>0</v>
      </c>
      <c r="K787" t="n">
        <v>0</v>
      </c>
      <c r="L787" t="n">
        <v>0</v>
      </c>
      <c r="M787" t="n">
        <v>0</v>
      </c>
      <c r="N787" t="n">
        <v>0</v>
      </c>
      <c r="O787" t="n">
        <v>0</v>
      </c>
      <c r="P787" t="n">
        <v>0</v>
      </c>
      <c r="Q787" t="n">
        <v>0</v>
      </c>
      <c r="R787" s="2" t="inlineStr"/>
    </row>
    <row r="788" ht="15" customHeight="1">
      <c r="A788" t="inlineStr">
        <is>
          <t>A 4572-2021</t>
        </is>
      </c>
      <c r="B788" s="1" t="n">
        <v>44224</v>
      </c>
      <c r="C788" s="1" t="n">
        <v>45952</v>
      </c>
      <c r="D788" t="inlineStr">
        <is>
          <t>VÄSTRA GÖTALANDS LÄN</t>
        </is>
      </c>
      <c r="E788" t="inlineStr">
        <is>
          <t>BORÅS</t>
        </is>
      </c>
      <c r="G788" t="n">
        <v>0.2</v>
      </c>
      <c r="H788" t="n">
        <v>0</v>
      </c>
      <c r="I788" t="n">
        <v>0</v>
      </c>
      <c r="J788" t="n">
        <v>0</v>
      </c>
      <c r="K788" t="n">
        <v>0</v>
      </c>
      <c r="L788" t="n">
        <v>0</v>
      </c>
      <c r="M788" t="n">
        <v>0</v>
      </c>
      <c r="N788" t="n">
        <v>0</v>
      </c>
      <c r="O788" t="n">
        <v>0</v>
      </c>
      <c r="P788" t="n">
        <v>0</v>
      </c>
      <c r="Q788" t="n">
        <v>0</v>
      </c>
      <c r="R788" s="2" t="inlineStr"/>
    </row>
    <row r="789" ht="15" customHeight="1">
      <c r="A789" t="inlineStr">
        <is>
          <t>A 19473-2022</t>
        </is>
      </c>
      <c r="B789" s="1" t="n">
        <v>44693</v>
      </c>
      <c r="C789" s="1" t="n">
        <v>45952</v>
      </c>
      <c r="D789" t="inlineStr">
        <is>
          <t>VÄSTRA GÖTALANDS LÄN</t>
        </is>
      </c>
      <c r="E789" t="inlineStr">
        <is>
          <t>VÅRGÅRDA</t>
        </is>
      </c>
      <c r="G789" t="n">
        <v>2.1</v>
      </c>
      <c r="H789" t="n">
        <v>0</v>
      </c>
      <c r="I789" t="n">
        <v>0</v>
      </c>
      <c r="J789" t="n">
        <v>0</v>
      </c>
      <c r="K789" t="n">
        <v>0</v>
      </c>
      <c r="L789" t="n">
        <v>0</v>
      </c>
      <c r="M789" t="n">
        <v>0</v>
      </c>
      <c r="N789" t="n">
        <v>0</v>
      </c>
      <c r="O789" t="n">
        <v>0</v>
      </c>
      <c r="P789" t="n">
        <v>0</v>
      </c>
      <c r="Q789" t="n">
        <v>0</v>
      </c>
      <c r="R789" s="2" t="inlineStr"/>
    </row>
    <row r="790" ht="15" customHeight="1">
      <c r="A790" t="inlineStr">
        <is>
          <t>A 7398-2021</t>
        </is>
      </c>
      <c r="B790" s="1" t="n">
        <v>44239</v>
      </c>
      <c r="C790" s="1" t="n">
        <v>45952</v>
      </c>
      <c r="D790" t="inlineStr">
        <is>
          <t>VÄSTRA GÖTALANDS LÄN</t>
        </is>
      </c>
      <c r="E790" t="inlineStr">
        <is>
          <t>BORÅS</t>
        </is>
      </c>
      <c r="G790" t="n">
        <v>1.8</v>
      </c>
      <c r="H790" t="n">
        <v>0</v>
      </c>
      <c r="I790" t="n">
        <v>0</v>
      </c>
      <c r="J790" t="n">
        <v>0</v>
      </c>
      <c r="K790" t="n">
        <v>0</v>
      </c>
      <c r="L790" t="n">
        <v>0</v>
      </c>
      <c r="M790" t="n">
        <v>0</v>
      </c>
      <c r="N790" t="n">
        <v>0</v>
      </c>
      <c r="O790" t="n">
        <v>0</v>
      </c>
      <c r="P790" t="n">
        <v>0</v>
      </c>
      <c r="Q790" t="n">
        <v>0</v>
      </c>
      <c r="R790" s="2" t="inlineStr"/>
    </row>
    <row r="791" ht="15" customHeight="1">
      <c r="A791" t="inlineStr">
        <is>
          <t>A 54218-2022</t>
        </is>
      </c>
      <c r="B791" s="1" t="n">
        <v>44881.79954861111</v>
      </c>
      <c r="C791" s="1" t="n">
        <v>45952</v>
      </c>
      <c r="D791" t="inlineStr">
        <is>
          <t>VÄSTRA GÖTALANDS LÄN</t>
        </is>
      </c>
      <c r="E791" t="inlineStr">
        <is>
          <t>MARK</t>
        </is>
      </c>
      <c r="G791" t="n">
        <v>0.5</v>
      </c>
      <c r="H791" t="n">
        <v>0</v>
      </c>
      <c r="I791" t="n">
        <v>0</v>
      </c>
      <c r="J791" t="n">
        <v>0</v>
      </c>
      <c r="K791" t="n">
        <v>0</v>
      </c>
      <c r="L791" t="n">
        <v>0</v>
      </c>
      <c r="M791" t="n">
        <v>0</v>
      </c>
      <c r="N791" t="n">
        <v>0</v>
      </c>
      <c r="O791" t="n">
        <v>0</v>
      </c>
      <c r="P791" t="n">
        <v>0</v>
      </c>
      <c r="Q791" t="n">
        <v>0</v>
      </c>
      <c r="R791" s="2" t="inlineStr"/>
    </row>
    <row r="792" ht="15" customHeight="1">
      <c r="A792" t="inlineStr">
        <is>
          <t>A 9361-2021</t>
        </is>
      </c>
      <c r="B792" s="1" t="n">
        <v>44250</v>
      </c>
      <c r="C792" s="1" t="n">
        <v>45952</v>
      </c>
      <c r="D792" t="inlineStr">
        <is>
          <t>VÄSTRA GÖTALANDS LÄN</t>
        </is>
      </c>
      <c r="E792" t="inlineStr">
        <is>
          <t>TANUM</t>
        </is>
      </c>
      <c r="G792" t="n">
        <v>1.4</v>
      </c>
      <c r="H792" t="n">
        <v>0</v>
      </c>
      <c r="I792" t="n">
        <v>0</v>
      </c>
      <c r="J792" t="n">
        <v>0</v>
      </c>
      <c r="K792" t="n">
        <v>0</v>
      </c>
      <c r="L792" t="n">
        <v>0</v>
      </c>
      <c r="M792" t="n">
        <v>0</v>
      </c>
      <c r="N792" t="n">
        <v>0</v>
      </c>
      <c r="O792" t="n">
        <v>0</v>
      </c>
      <c r="P792" t="n">
        <v>0</v>
      </c>
      <c r="Q792" t="n">
        <v>0</v>
      </c>
      <c r="R792" s="2" t="inlineStr"/>
    </row>
    <row r="793" ht="15" customHeight="1">
      <c r="A793" t="inlineStr">
        <is>
          <t>A 2817-2021</t>
        </is>
      </c>
      <c r="B793" s="1" t="n">
        <v>44215.86671296296</v>
      </c>
      <c r="C793" s="1" t="n">
        <v>45952</v>
      </c>
      <c r="D793" t="inlineStr">
        <is>
          <t>VÄSTRA GÖTALANDS LÄN</t>
        </is>
      </c>
      <c r="E793" t="inlineStr">
        <is>
          <t>SKÖVDE</t>
        </is>
      </c>
      <c r="G793" t="n">
        <v>2.3</v>
      </c>
      <c r="H793" t="n">
        <v>0</v>
      </c>
      <c r="I793" t="n">
        <v>0</v>
      </c>
      <c r="J793" t="n">
        <v>0</v>
      </c>
      <c r="K793" t="n">
        <v>0</v>
      </c>
      <c r="L793" t="n">
        <v>0</v>
      </c>
      <c r="M793" t="n">
        <v>0</v>
      </c>
      <c r="N793" t="n">
        <v>0</v>
      </c>
      <c r="O793" t="n">
        <v>0</v>
      </c>
      <c r="P793" t="n">
        <v>0</v>
      </c>
      <c r="Q793" t="n">
        <v>0</v>
      </c>
      <c r="R793" s="2" t="inlineStr"/>
    </row>
    <row r="794" ht="15" customHeight="1">
      <c r="A794" t="inlineStr">
        <is>
          <t>A 3481-2021</t>
        </is>
      </c>
      <c r="B794" s="1" t="n">
        <v>44218</v>
      </c>
      <c r="C794" s="1" t="n">
        <v>45952</v>
      </c>
      <c r="D794" t="inlineStr">
        <is>
          <t>VÄSTRA GÖTALANDS LÄN</t>
        </is>
      </c>
      <c r="E794" t="inlineStr">
        <is>
          <t>SKARA</t>
        </is>
      </c>
      <c r="G794" t="n">
        <v>2.2</v>
      </c>
      <c r="H794" t="n">
        <v>0</v>
      </c>
      <c r="I794" t="n">
        <v>0</v>
      </c>
      <c r="J794" t="n">
        <v>0</v>
      </c>
      <c r="K794" t="n">
        <v>0</v>
      </c>
      <c r="L794" t="n">
        <v>0</v>
      </c>
      <c r="M794" t="n">
        <v>0</v>
      </c>
      <c r="N794" t="n">
        <v>0</v>
      </c>
      <c r="O794" t="n">
        <v>0</v>
      </c>
      <c r="P794" t="n">
        <v>0</v>
      </c>
      <c r="Q794" t="n">
        <v>0</v>
      </c>
      <c r="R794" s="2" t="inlineStr"/>
    </row>
    <row r="795" ht="15" customHeight="1">
      <c r="A795" t="inlineStr">
        <is>
          <t>A 1574-2021</t>
        </is>
      </c>
      <c r="B795" s="1" t="n">
        <v>44209</v>
      </c>
      <c r="C795" s="1" t="n">
        <v>45952</v>
      </c>
      <c r="D795" t="inlineStr">
        <is>
          <t>VÄSTRA GÖTALANDS LÄN</t>
        </is>
      </c>
      <c r="E795" t="inlineStr">
        <is>
          <t>LILLA EDET</t>
        </is>
      </c>
      <c r="G795" t="n">
        <v>4.3</v>
      </c>
      <c r="H795" t="n">
        <v>0</v>
      </c>
      <c r="I795" t="n">
        <v>0</v>
      </c>
      <c r="J795" t="n">
        <v>0</v>
      </c>
      <c r="K795" t="n">
        <v>0</v>
      </c>
      <c r="L795" t="n">
        <v>0</v>
      </c>
      <c r="M795" t="n">
        <v>0</v>
      </c>
      <c r="N795" t="n">
        <v>0</v>
      </c>
      <c r="O795" t="n">
        <v>0</v>
      </c>
      <c r="P795" t="n">
        <v>0</v>
      </c>
      <c r="Q795" t="n">
        <v>0</v>
      </c>
      <c r="R795" s="2" t="inlineStr"/>
    </row>
    <row r="796" ht="15" customHeight="1">
      <c r="A796" t="inlineStr">
        <is>
          <t>A 5281-2021</t>
        </is>
      </c>
      <c r="B796" s="1" t="n">
        <v>44229</v>
      </c>
      <c r="C796" s="1" t="n">
        <v>45952</v>
      </c>
      <c r="D796" t="inlineStr">
        <is>
          <t>VÄSTRA GÖTALANDS LÄN</t>
        </is>
      </c>
      <c r="E796" t="inlineStr">
        <is>
          <t>SVENLJUNGA</t>
        </is>
      </c>
      <c r="G796" t="n">
        <v>1.3</v>
      </c>
      <c r="H796" t="n">
        <v>0</v>
      </c>
      <c r="I796" t="n">
        <v>0</v>
      </c>
      <c r="J796" t="n">
        <v>0</v>
      </c>
      <c r="K796" t="n">
        <v>0</v>
      </c>
      <c r="L796" t="n">
        <v>0</v>
      </c>
      <c r="M796" t="n">
        <v>0</v>
      </c>
      <c r="N796" t="n">
        <v>0</v>
      </c>
      <c r="O796" t="n">
        <v>0</v>
      </c>
      <c r="P796" t="n">
        <v>0</v>
      </c>
      <c r="Q796" t="n">
        <v>0</v>
      </c>
      <c r="R796" s="2" t="inlineStr"/>
    </row>
    <row r="797" ht="15" customHeight="1">
      <c r="A797" t="inlineStr">
        <is>
          <t>A 54234-2022</t>
        </is>
      </c>
      <c r="B797" s="1" t="n">
        <v>44881</v>
      </c>
      <c r="C797" s="1" t="n">
        <v>45952</v>
      </c>
      <c r="D797" t="inlineStr">
        <is>
          <t>VÄSTRA GÖTALANDS LÄN</t>
        </is>
      </c>
      <c r="E797" t="inlineStr">
        <is>
          <t>GULLSPÅNG</t>
        </is>
      </c>
      <c r="G797" t="n">
        <v>1.4</v>
      </c>
      <c r="H797" t="n">
        <v>0</v>
      </c>
      <c r="I797" t="n">
        <v>0</v>
      </c>
      <c r="J797" t="n">
        <v>0</v>
      </c>
      <c r="K797" t="n">
        <v>0</v>
      </c>
      <c r="L797" t="n">
        <v>0</v>
      </c>
      <c r="M797" t="n">
        <v>0</v>
      </c>
      <c r="N797" t="n">
        <v>0</v>
      </c>
      <c r="O797" t="n">
        <v>0</v>
      </c>
      <c r="P797" t="n">
        <v>0</v>
      </c>
      <c r="Q797" t="n">
        <v>0</v>
      </c>
      <c r="R797" s="2" t="inlineStr"/>
    </row>
    <row r="798" ht="15" customHeight="1">
      <c r="A798" t="inlineStr">
        <is>
          <t>A 8001-2021</t>
        </is>
      </c>
      <c r="B798" s="1" t="n">
        <v>44243</v>
      </c>
      <c r="C798" s="1" t="n">
        <v>45952</v>
      </c>
      <c r="D798" t="inlineStr">
        <is>
          <t>VÄSTRA GÖTALANDS LÄN</t>
        </is>
      </c>
      <c r="E798" t="inlineStr">
        <is>
          <t>HÄRRYDA</t>
        </is>
      </c>
      <c r="G798" t="n">
        <v>4.3</v>
      </c>
      <c r="H798" t="n">
        <v>0</v>
      </c>
      <c r="I798" t="n">
        <v>0</v>
      </c>
      <c r="J798" t="n">
        <v>0</v>
      </c>
      <c r="K798" t="n">
        <v>0</v>
      </c>
      <c r="L798" t="n">
        <v>0</v>
      </c>
      <c r="M798" t="n">
        <v>0</v>
      </c>
      <c r="N798" t="n">
        <v>0</v>
      </c>
      <c r="O798" t="n">
        <v>0</v>
      </c>
      <c r="P798" t="n">
        <v>0</v>
      </c>
      <c r="Q798" t="n">
        <v>0</v>
      </c>
      <c r="R798" s="2" t="inlineStr"/>
    </row>
    <row r="799" ht="15" customHeight="1">
      <c r="A799" t="inlineStr">
        <is>
          <t>A 5532-2021</t>
        </is>
      </c>
      <c r="B799" s="1" t="n">
        <v>44230</v>
      </c>
      <c r="C799" s="1" t="n">
        <v>45952</v>
      </c>
      <c r="D799" t="inlineStr">
        <is>
          <t>VÄSTRA GÖTALANDS LÄN</t>
        </is>
      </c>
      <c r="E799" t="inlineStr">
        <is>
          <t>DALS-ED</t>
        </is>
      </c>
      <c r="G799" t="n">
        <v>9</v>
      </c>
      <c r="H799" t="n">
        <v>0</v>
      </c>
      <c r="I799" t="n">
        <v>0</v>
      </c>
      <c r="J799" t="n">
        <v>0</v>
      </c>
      <c r="K799" t="n">
        <v>0</v>
      </c>
      <c r="L799" t="n">
        <v>0</v>
      </c>
      <c r="M799" t="n">
        <v>0</v>
      </c>
      <c r="N799" t="n">
        <v>0</v>
      </c>
      <c r="O799" t="n">
        <v>0</v>
      </c>
      <c r="P799" t="n">
        <v>0</v>
      </c>
      <c r="Q799" t="n">
        <v>0</v>
      </c>
      <c r="R799" s="2" t="inlineStr"/>
    </row>
    <row r="800" ht="15" customHeight="1">
      <c r="A800" t="inlineStr">
        <is>
          <t>A 52982-2022</t>
        </is>
      </c>
      <c r="B800" s="1" t="n">
        <v>44875</v>
      </c>
      <c r="C800" s="1" t="n">
        <v>45952</v>
      </c>
      <c r="D800" t="inlineStr">
        <is>
          <t>VÄSTRA GÖTALANDS LÄN</t>
        </is>
      </c>
      <c r="E800" t="inlineStr">
        <is>
          <t>VARA</t>
        </is>
      </c>
      <c r="G800" t="n">
        <v>3.6</v>
      </c>
      <c r="H800" t="n">
        <v>0</v>
      </c>
      <c r="I800" t="n">
        <v>0</v>
      </c>
      <c r="J800" t="n">
        <v>0</v>
      </c>
      <c r="K800" t="n">
        <v>0</v>
      </c>
      <c r="L800" t="n">
        <v>0</v>
      </c>
      <c r="M800" t="n">
        <v>0</v>
      </c>
      <c r="N800" t="n">
        <v>0</v>
      </c>
      <c r="O800" t="n">
        <v>0</v>
      </c>
      <c r="P800" t="n">
        <v>0</v>
      </c>
      <c r="Q800" t="n">
        <v>0</v>
      </c>
      <c r="R800" s="2" t="inlineStr"/>
    </row>
    <row r="801" ht="15" customHeight="1">
      <c r="A801" t="inlineStr">
        <is>
          <t>A 9756-2021</t>
        </is>
      </c>
      <c r="B801" s="1" t="n">
        <v>44252</v>
      </c>
      <c r="C801" s="1" t="n">
        <v>45952</v>
      </c>
      <c r="D801" t="inlineStr">
        <is>
          <t>VÄSTRA GÖTALANDS LÄN</t>
        </is>
      </c>
      <c r="E801" t="inlineStr">
        <is>
          <t>BENGTSFORS</t>
        </is>
      </c>
      <c r="G801" t="n">
        <v>7</v>
      </c>
      <c r="H801" t="n">
        <v>0</v>
      </c>
      <c r="I801" t="n">
        <v>0</v>
      </c>
      <c r="J801" t="n">
        <v>0</v>
      </c>
      <c r="K801" t="n">
        <v>0</v>
      </c>
      <c r="L801" t="n">
        <v>0</v>
      </c>
      <c r="M801" t="n">
        <v>0</v>
      </c>
      <c r="N801" t="n">
        <v>0</v>
      </c>
      <c r="O801" t="n">
        <v>0</v>
      </c>
      <c r="P801" t="n">
        <v>0</v>
      </c>
      <c r="Q801" t="n">
        <v>0</v>
      </c>
      <c r="R801" s="2" t="inlineStr"/>
    </row>
    <row r="802" ht="15" customHeight="1">
      <c r="A802" t="inlineStr">
        <is>
          <t>A 53134-2022</t>
        </is>
      </c>
      <c r="B802" s="1" t="n">
        <v>44876.47261574074</v>
      </c>
      <c r="C802" s="1" t="n">
        <v>45952</v>
      </c>
      <c r="D802" t="inlineStr">
        <is>
          <t>VÄSTRA GÖTALANDS LÄN</t>
        </is>
      </c>
      <c r="E802" t="inlineStr">
        <is>
          <t>TROLLHÄTTAN</t>
        </is>
      </c>
      <c r="G802" t="n">
        <v>0.6</v>
      </c>
      <c r="H802" t="n">
        <v>0</v>
      </c>
      <c r="I802" t="n">
        <v>0</v>
      </c>
      <c r="J802" t="n">
        <v>0</v>
      </c>
      <c r="K802" t="n">
        <v>0</v>
      </c>
      <c r="L802" t="n">
        <v>0</v>
      </c>
      <c r="M802" t="n">
        <v>0</v>
      </c>
      <c r="N802" t="n">
        <v>0</v>
      </c>
      <c r="O802" t="n">
        <v>0</v>
      </c>
      <c r="P802" t="n">
        <v>0</v>
      </c>
      <c r="Q802" t="n">
        <v>0</v>
      </c>
      <c r="R802" s="2" t="inlineStr"/>
    </row>
    <row r="803" ht="15" customHeight="1">
      <c r="A803" t="inlineStr">
        <is>
          <t>A 58361-2020</t>
        </is>
      </c>
      <c r="B803" s="1" t="n">
        <v>44144</v>
      </c>
      <c r="C803" s="1" t="n">
        <v>45952</v>
      </c>
      <c r="D803" t="inlineStr">
        <is>
          <t>VÄSTRA GÖTALANDS LÄN</t>
        </is>
      </c>
      <c r="E803" t="inlineStr">
        <is>
          <t>LIDKÖPING</t>
        </is>
      </c>
      <c r="G803" t="n">
        <v>0.8</v>
      </c>
      <c r="H803" t="n">
        <v>0</v>
      </c>
      <c r="I803" t="n">
        <v>0</v>
      </c>
      <c r="J803" t="n">
        <v>0</v>
      </c>
      <c r="K803" t="n">
        <v>0</v>
      </c>
      <c r="L803" t="n">
        <v>0</v>
      </c>
      <c r="M803" t="n">
        <v>0</v>
      </c>
      <c r="N803" t="n">
        <v>0</v>
      </c>
      <c r="O803" t="n">
        <v>0</v>
      </c>
      <c r="P803" t="n">
        <v>0</v>
      </c>
      <c r="Q803" t="n">
        <v>0</v>
      </c>
      <c r="R803" s="2" t="inlineStr"/>
    </row>
    <row r="804" ht="15" customHeight="1">
      <c r="A804" t="inlineStr">
        <is>
          <t>A 5720-2021</t>
        </is>
      </c>
      <c r="B804" s="1" t="n">
        <v>44229</v>
      </c>
      <c r="C804" s="1" t="n">
        <v>45952</v>
      </c>
      <c r="D804" t="inlineStr">
        <is>
          <t>VÄSTRA GÖTALANDS LÄN</t>
        </is>
      </c>
      <c r="E804" t="inlineStr">
        <is>
          <t>VÄNERSBORG</t>
        </is>
      </c>
      <c r="G804" t="n">
        <v>1.8</v>
      </c>
      <c r="H804" t="n">
        <v>0</v>
      </c>
      <c r="I804" t="n">
        <v>0</v>
      </c>
      <c r="J804" t="n">
        <v>0</v>
      </c>
      <c r="K804" t="n">
        <v>0</v>
      </c>
      <c r="L804" t="n">
        <v>0</v>
      </c>
      <c r="M804" t="n">
        <v>0</v>
      </c>
      <c r="N804" t="n">
        <v>0</v>
      </c>
      <c r="O804" t="n">
        <v>0</v>
      </c>
      <c r="P804" t="n">
        <v>0</v>
      </c>
      <c r="Q804" t="n">
        <v>0</v>
      </c>
      <c r="R804" s="2" t="inlineStr"/>
    </row>
    <row r="805" ht="15" customHeight="1">
      <c r="A805" t="inlineStr">
        <is>
          <t>A 43664-2022</t>
        </is>
      </c>
      <c r="B805" s="1" t="n">
        <v>44837.59271990741</v>
      </c>
      <c r="C805" s="1" t="n">
        <v>45952</v>
      </c>
      <c r="D805" t="inlineStr">
        <is>
          <t>VÄSTRA GÖTALANDS LÄN</t>
        </is>
      </c>
      <c r="E805" t="inlineStr">
        <is>
          <t>FÄRGELANDA</t>
        </is>
      </c>
      <c r="F805" t="inlineStr">
        <is>
          <t>Kommuner</t>
        </is>
      </c>
      <c r="G805" t="n">
        <v>0.8</v>
      </c>
      <c r="H805" t="n">
        <v>0</v>
      </c>
      <c r="I805" t="n">
        <v>0</v>
      </c>
      <c r="J805" t="n">
        <v>0</v>
      </c>
      <c r="K805" t="n">
        <v>0</v>
      </c>
      <c r="L805" t="n">
        <v>0</v>
      </c>
      <c r="M805" t="n">
        <v>0</v>
      </c>
      <c r="N805" t="n">
        <v>0</v>
      </c>
      <c r="O805" t="n">
        <v>0</v>
      </c>
      <c r="P805" t="n">
        <v>0</v>
      </c>
      <c r="Q805" t="n">
        <v>0</v>
      </c>
      <c r="R805" s="2" t="inlineStr"/>
    </row>
    <row r="806" ht="15" customHeight="1">
      <c r="A806" t="inlineStr">
        <is>
          <t>A 42774-2022</t>
        </is>
      </c>
      <c r="B806" s="1" t="n">
        <v>44832.50142361111</v>
      </c>
      <c r="C806" s="1" t="n">
        <v>45952</v>
      </c>
      <c r="D806" t="inlineStr">
        <is>
          <t>VÄSTRA GÖTALANDS LÄN</t>
        </is>
      </c>
      <c r="E806" t="inlineStr">
        <is>
          <t>ÅMÅL</t>
        </is>
      </c>
      <c r="G806" t="n">
        <v>5.6</v>
      </c>
      <c r="H806" t="n">
        <v>0</v>
      </c>
      <c r="I806" t="n">
        <v>0</v>
      </c>
      <c r="J806" t="n">
        <v>0</v>
      </c>
      <c r="K806" t="n">
        <v>0</v>
      </c>
      <c r="L806" t="n">
        <v>0</v>
      </c>
      <c r="M806" t="n">
        <v>0</v>
      </c>
      <c r="N806" t="n">
        <v>0</v>
      </c>
      <c r="O806" t="n">
        <v>0</v>
      </c>
      <c r="P806" t="n">
        <v>0</v>
      </c>
      <c r="Q806" t="n">
        <v>0</v>
      </c>
      <c r="R806" s="2" t="inlineStr"/>
    </row>
    <row r="807" ht="15" customHeight="1">
      <c r="A807" t="inlineStr">
        <is>
          <t>A 54467-2020</t>
        </is>
      </c>
      <c r="B807" s="1" t="n">
        <v>44126</v>
      </c>
      <c r="C807" s="1" t="n">
        <v>45952</v>
      </c>
      <c r="D807" t="inlineStr">
        <is>
          <t>VÄSTRA GÖTALANDS LÄN</t>
        </is>
      </c>
      <c r="E807" t="inlineStr">
        <is>
          <t>SKÖVDE</t>
        </is>
      </c>
      <c r="G807" t="n">
        <v>1.4</v>
      </c>
      <c r="H807" t="n">
        <v>0</v>
      </c>
      <c r="I807" t="n">
        <v>0</v>
      </c>
      <c r="J807" t="n">
        <v>0</v>
      </c>
      <c r="K807" t="n">
        <v>0</v>
      </c>
      <c r="L807" t="n">
        <v>0</v>
      </c>
      <c r="M807" t="n">
        <v>0</v>
      </c>
      <c r="N807" t="n">
        <v>0</v>
      </c>
      <c r="O807" t="n">
        <v>0</v>
      </c>
      <c r="P807" t="n">
        <v>0</v>
      </c>
      <c r="Q807" t="n">
        <v>0</v>
      </c>
      <c r="R807" s="2" t="inlineStr"/>
    </row>
    <row r="808" ht="15" customHeight="1">
      <c r="A808" t="inlineStr">
        <is>
          <t>A 44356-2022</t>
        </is>
      </c>
      <c r="B808" s="1" t="n">
        <v>44839</v>
      </c>
      <c r="C808" s="1" t="n">
        <v>45952</v>
      </c>
      <c r="D808" t="inlineStr">
        <is>
          <t>VÄSTRA GÖTALANDS LÄN</t>
        </is>
      </c>
      <c r="E808" t="inlineStr">
        <is>
          <t>BENGTSFORS</t>
        </is>
      </c>
      <c r="F808" t="inlineStr">
        <is>
          <t>Kommuner</t>
        </is>
      </c>
      <c r="G808" t="n">
        <v>2.2</v>
      </c>
      <c r="H808" t="n">
        <v>0</v>
      </c>
      <c r="I808" t="n">
        <v>0</v>
      </c>
      <c r="J808" t="n">
        <v>0</v>
      </c>
      <c r="K808" t="n">
        <v>0</v>
      </c>
      <c r="L808" t="n">
        <v>0</v>
      </c>
      <c r="M808" t="n">
        <v>0</v>
      </c>
      <c r="N808" t="n">
        <v>0</v>
      </c>
      <c r="O808" t="n">
        <v>0</v>
      </c>
      <c r="P808" t="n">
        <v>0</v>
      </c>
      <c r="Q808" t="n">
        <v>0</v>
      </c>
      <c r="R808" s="2" t="inlineStr"/>
    </row>
    <row r="809" ht="15" customHeight="1">
      <c r="A809" t="inlineStr">
        <is>
          <t>A 17992-2021</t>
        </is>
      </c>
      <c r="B809" s="1" t="n">
        <v>44301.77314814815</v>
      </c>
      <c r="C809" s="1" t="n">
        <v>45952</v>
      </c>
      <c r="D809" t="inlineStr">
        <is>
          <t>VÄSTRA GÖTALANDS LÄN</t>
        </is>
      </c>
      <c r="E809" t="inlineStr">
        <is>
          <t>HÄRRYDA</t>
        </is>
      </c>
      <c r="G809" t="n">
        <v>0.6</v>
      </c>
      <c r="H809" t="n">
        <v>0</v>
      </c>
      <c r="I809" t="n">
        <v>0</v>
      </c>
      <c r="J809" t="n">
        <v>0</v>
      </c>
      <c r="K809" t="n">
        <v>0</v>
      </c>
      <c r="L809" t="n">
        <v>0</v>
      </c>
      <c r="M809" t="n">
        <v>0</v>
      </c>
      <c r="N809" t="n">
        <v>0</v>
      </c>
      <c r="O809" t="n">
        <v>0</v>
      </c>
      <c r="P809" t="n">
        <v>0</v>
      </c>
      <c r="Q809" t="n">
        <v>0</v>
      </c>
      <c r="R809" s="2" t="inlineStr"/>
    </row>
    <row r="810" ht="15" customHeight="1">
      <c r="A810" t="inlineStr">
        <is>
          <t>A 64009-2020</t>
        </is>
      </c>
      <c r="B810" s="1" t="n">
        <v>44167.50259259259</v>
      </c>
      <c r="C810" s="1" t="n">
        <v>45952</v>
      </c>
      <c r="D810" t="inlineStr">
        <is>
          <t>VÄSTRA GÖTALANDS LÄN</t>
        </is>
      </c>
      <c r="E810" t="inlineStr">
        <is>
          <t>FALKÖPING</t>
        </is>
      </c>
      <c r="G810" t="n">
        <v>0.8</v>
      </c>
      <c r="H810" t="n">
        <v>0</v>
      </c>
      <c r="I810" t="n">
        <v>0</v>
      </c>
      <c r="J810" t="n">
        <v>0</v>
      </c>
      <c r="K810" t="n">
        <v>0</v>
      </c>
      <c r="L810" t="n">
        <v>0</v>
      </c>
      <c r="M810" t="n">
        <v>0</v>
      </c>
      <c r="N810" t="n">
        <v>0</v>
      </c>
      <c r="O810" t="n">
        <v>0</v>
      </c>
      <c r="P810" t="n">
        <v>0</v>
      </c>
      <c r="Q810" t="n">
        <v>0</v>
      </c>
      <c r="R810" s="2" t="inlineStr"/>
    </row>
    <row r="811" ht="15" customHeight="1">
      <c r="A811" t="inlineStr">
        <is>
          <t>A 64774-2020</t>
        </is>
      </c>
      <c r="B811" s="1" t="n">
        <v>44169</v>
      </c>
      <c r="C811" s="1" t="n">
        <v>45952</v>
      </c>
      <c r="D811" t="inlineStr">
        <is>
          <t>VÄSTRA GÖTALANDS LÄN</t>
        </is>
      </c>
      <c r="E811" t="inlineStr">
        <is>
          <t>FÄRGELANDA</t>
        </is>
      </c>
      <c r="G811" t="n">
        <v>1.5</v>
      </c>
      <c r="H811" t="n">
        <v>0</v>
      </c>
      <c r="I811" t="n">
        <v>0</v>
      </c>
      <c r="J811" t="n">
        <v>0</v>
      </c>
      <c r="K811" t="n">
        <v>0</v>
      </c>
      <c r="L811" t="n">
        <v>0</v>
      </c>
      <c r="M811" t="n">
        <v>0</v>
      </c>
      <c r="N811" t="n">
        <v>0</v>
      </c>
      <c r="O811" t="n">
        <v>0</v>
      </c>
      <c r="P811" t="n">
        <v>0</v>
      </c>
      <c r="Q811" t="n">
        <v>0</v>
      </c>
      <c r="R811" s="2" t="inlineStr"/>
    </row>
    <row r="812" ht="15" customHeight="1">
      <c r="A812" t="inlineStr">
        <is>
          <t>A 20362-2021</t>
        </is>
      </c>
      <c r="B812" s="1" t="n">
        <v>44315</v>
      </c>
      <c r="C812" s="1" t="n">
        <v>45952</v>
      </c>
      <c r="D812" t="inlineStr">
        <is>
          <t>VÄSTRA GÖTALANDS LÄN</t>
        </is>
      </c>
      <c r="E812" t="inlineStr">
        <is>
          <t>GÖTENE</t>
        </is>
      </c>
      <c r="G812" t="n">
        <v>4.3</v>
      </c>
      <c r="H812" t="n">
        <v>0</v>
      </c>
      <c r="I812" t="n">
        <v>0</v>
      </c>
      <c r="J812" t="n">
        <v>0</v>
      </c>
      <c r="K812" t="n">
        <v>0</v>
      </c>
      <c r="L812" t="n">
        <v>0</v>
      </c>
      <c r="M812" t="n">
        <v>0</v>
      </c>
      <c r="N812" t="n">
        <v>0</v>
      </c>
      <c r="O812" t="n">
        <v>0</v>
      </c>
      <c r="P812" t="n">
        <v>0</v>
      </c>
      <c r="Q812" t="n">
        <v>0</v>
      </c>
      <c r="R812" s="2" t="inlineStr"/>
    </row>
    <row r="813" ht="15" customHeight="1">
      <c r="A813" t="inlineStr">
        <is>
          <t>A 57131-2020</t>
        </is>
      </c>
      <c r="B813" s="1" t="n">
        <v>44139</v>
      </c>
      <c r="C813" s="1" t="n">
        <v>45952</v>
      </c>
      <c r="D813" t="inlineStr">
        <is>
          <t>VÄSTRA GÖTALANDS LÄN</t>
        </is>
      </c>
      <c r="E813" t="inlineStr">
        <is>
          <t>LILLA EDET</t>
        </is>
      </c>
      <c r="G813" t="n">
        <v>1.8</v>
      </c>
      <c r="H813" t="n">
        <v>0</v>
      </c>
      <c r="I813" t="n">
        <v>0</v>
      </c>
      <c r="J813" t="n">
        <v>0</v>
      </c>
      <c r="K813" t="n">
        <v>0</v>
      </c>
      <c r="L813" t="n">
        <v>0</v>
      </c>
      <c r="M813" t="n">
        <v>0</v>
      </c>
      <c r="N813" t="n">
        <v>0</v>
      </c>
      <c r="O813" t="n">
        <v>0</v>
      </c>
      <c r="P813" t="n">
        <v>0</v>
      </c>
      <c r="Q813" t="n">
        <v>0</v>
      </c>
      <c r="R813" s="2" t="inlineStr"/>
    </row>
    <row r="814" ht="15" customHeight="1">
      <c r="A814" t="inlineStr">
        <is>
          <t>A 56928-2020</t>
        </is>
      </c>
      <c r="B814" s="1" t="n">
        <v>44137</v>
      </c>
      <c r="C814" s="1" t="n">
        <v>45952</v>
      </c>
      <c r="D814" t="inlineStr">
        <is>
          <t>VÄSTRA GÖTALANDS LÄN</t>
        </is>
      </c>
      <c r="E814" t="inlineStr">
        <is>
          <t>TÖREBODA</t>
        </is>
      </c>
      <c r="G814" t="n">
        <v>1.8</v>
      </c>
      <c r="H814" t="n">
        <v>0</v>
      </c>
      <c r="I814" t="n">
        <v>0</v>
      </c>
      <c r="J814" t="n">
        <v>0</v>
      </c>
      <c r="K814" t="n">
        <v>0</v>
      </c>
      <c r="L814" t="n">
        <v>0</v>
      </c>
      <c r="M814" t="n">
        <v>0</v>
      </c>
      <c r="N814" t="n">
        <v>0</v>
      </c>
      <c r="O814" t="n">
        <v>0</v>
      </c>
      <c r="P814" t="n">
        <v>0</v>
      </c>
      <c r="Q814" t="n">
        <v>0</v>
      </c>
      <c r="R814" s="2" t="inlineStr"/>
    </row>
    <row r="815" ht="15" customHeight="1">
      <c r="A815" t="inlineStr">
        <is>
          <t>A 20943-2021</t>
        </is>
      </c>
      <c r="B815" s="1" t="n">
        <v>44319.51872685185</v>
      </c>
      <c r="C815" s="1" t="n">
        <v>45952</v>
      </c>
      <c r="D815" t="inlineStr">
        <is>
          <t>VÄSTRA GÖTALANDS LÄN</t>
        </is>
      </c>
      <c r="E815" t="inlineStr">
        <is>
          <t>TÖREBODA</t>
        </is>
      </c>
      <c r="G815" t="n">
        <v>1.1</v>
      </c>
      <c r="H815" t="n">
        <v>0</v>
      </c>
      <c r="I815" t="n">
        <v>0</v>
      </c>
      <c r="J815" t="n">
        <v>0</v>
      </c>
      <c r="K815" t="n">
        <v>0</v>
      </c>
      <c r="L815" t="n">
        <v>0</v>
      </c>
      <c r="M815" t="n">
        <v>0</v>
      </c>
      <c r="N815" t="n">
        <v>0</v>
      </c>
      <c r="O815" t="n">
        <v>0</v>
      </c>
      <c r="P815" t="n">
        <v>0</v>
      </c>
      <c r="Q815" t="n">
        <v>0</v>
      </c>
      <c r="R815" s="2" t="inlineStr"/>
    </row>
    <row r="816" ht="15" customHeight="1">
      <c r="A816" t="inlineStr">
        <is>
          <t>A 18620-2021</t>
        </is>
      </c>
      <c r="B816" s="1" t="n">
        <v>44306</v>
      </c>
      <c r="C816" s="1" t="n">
        <v>45952</v>
      </c>
      <c r="D816" t="inlineStr">
        <is>
          <t>VÄSTRA GÖTALANDS LÄN</t>
        </is>
      </c>
      <c r="E816" t="inlineStr">
        <is>
          <t>BENGTSFORS</t>
        </is>
      </c>
      <c r="G816" t="n">
        <v>4</v>
      </c>
      <c r="H816" t="n">
        <v>0</v>
      </c>
      <c r="I816" t="n">
        <v>0</v>
      </c>
      <c r="J816" t="n">
        <v>0</v>
      </c>
      <c r="K816" t="n">
        <v>0</v>
      </c>
      <c r="L816" t="n">
        <v>0</v>
      </c>
      <c r="M816" t="n">
        <v>0</v>
      </c>
      <c r="N816" t="n">
        <v>0</v>
      </c>
      <c r="O816" t="n">
        <v>0</v>
      </c>
      <c r="P816" t="n">
        <v>0</v>
      </c>
      <c r="Q816" t="n">
        <v>0</v>
      </c>
      <c r="R816" s="2" t="inlineStr"/>
    </row>
    <row r="817" ht="15" customHeight="1">
      <c r="A817" t="inlineStr">
        <is>
          <t>A 21281-2021</t>
        </is>
      </c>
      <c r="B817" s="1" t="n">
        <v>44320.61850694445</v>
      </c>
      <c r="C817" s="1" t="n">
        <v>45952</v>
      </c>
      <c r="D817" t="inlineStr">
        <is>
          <t>VÄSTRA GÖTALANDS LÄN</t>
        </is>
      </c>
      <c r="E817" t="inlineStr">
        <is>
          <t>ALE</t>
        </is>
      </c>
      <c r="G817" t="n">
        <v>1.4</v>
      </c>
      <c r="H817" t="n">
        <v>0</v>
      </c>
      <c r="I817" t="n">
        <v>0</v>
      </c>
      <c r="J817" t="n">
        <v>0</v>
      </c>
      <c r="K817" t="n">
        <v>0</v>
      </c>
      <c r="L817" t="n">
        <v>0</v>
      </c>
      <c r="M817" t="n">
        <v>0</v>
      </c>
      <c r="N817" t="n">
        <v>0</v>
      </c>
      <c r="O817" t="n">
        <v>0</v>
      </c>
      <c r="P817" t="n">
        <v>0</v>
      </c>
      <c r="Q817" t="n">
        <v>0</v>
      </c>
      <c r="R817" s="2" t="inlineStr"/>
    </row>
    <row r="818" ht="15" customHeight="1">
      <c r="A818" t="inlineStr">
        <is>
          <t>A 19235-2021</t>
        </is>
      </c>
      <c r="B818" s="1" t="n">
        <v>44309.35467592593</v>
      </c>
      <c r="C818" s="1" t="n">
        <v>45952</v>
      </c>
      <c r="D818" t="inlineStr">
        <is>
          <t>VÄSTRA GÖTALANDS LÄN</t>
        </is>
      </c>
      <c r="E818" t="inlineStr">
        <is>
          <t>LILLA EDET</t>
        </is>
      </c>
      <c r="G818" t="n">
        <v>5.9</v>
      </c>
      <c r="H818" t="n">
        <v>0</v>
      </c>
      <c r="I818" t="n">
        <v>0</v>
      </c>
      <c r="J818" t="n">
        <v>0</v>
      </c>
      <c r="K818" t="n">
        <v>0</v>
      </c>
      <c r="L818" t="n">
        <v>0</v>
      </c>
      <c r="M818" t="n">
        <v>0</v>
      </c>
      <c r="N818" t="n">
        <v>0</v>
      </c>
      <c r="O818" t="n">
        <v>0</v>
      </c>
      <c r="P818" t="n">
        <v>0</v>
      </c>
      <c r="Q818" t="n">
        <v>0</v>
      </c>
      <c r="R818" s="2" t="inlineStr"/>
    </row>
    <row r="819" ht="15" customHeight="1">
      <c r="A819" t="inlineStr">
        <is>
          <t>A 21321-2021</t>
        </is>
      </c>
      <c r="B819" s="1" t="n">
        <v>44320</v>
      </c>
      <c r="C819" s="1" t="n">
        <v>45952</v>
      </c>
      <c r="D819" t="inlineStr">
        <is>
          <t>VÄSTRA GÖTALANDS LÄN</t>
        </is>
      </c>
      <c r="E819" t="inlineStr">
        <is>
          <t>TIBRO</t>
        </is>
      </c>
      <c r="G819" t="n">
        <v>3.9</v>
      </c>
      <c r="H819" t="n">
        <v>0</v>
      </c>
      <c r="I819" t="n">
        <v>0</v>
      </c>
      <c r="J819" t="n">
        <v>0</v>
      </c>
      <c r="K819" t="n">
        <v>0</v>
      </c>
      <c r="L819" t="n">
        <v>0</v>
      </c>
      <c r="M819" t="n">
        <v>0</v>
      </c>
      <c r="N819" t="n">
        <v>0</v>
      </c>
      <c r="O819" t="n">
        <v>0</v>
      </c>
      <c r="P819" t="n">
        <v>0</v>
      </c>
      <c r="Q819" t="n">
        <v>0</v>
      </c>
      <c r="R819" s="2" t="inlineStr"/>
    </row>
    <row r="820" ht="15" customHeight="1">
      <c r="A820" t="inlineStr">
        <is>
          <t>A 56037-2022</t>
        </is>
      </c>
      <c r="B820" s="1" t="n">
        <v>44889.55938657407</v>
      </c>
      <c r="C820" s="1" t="n">
        <v>45952</v>
      </c>
      <c r="D820" t="inlineStr">
        <is>
          <t>VÄSTRA GÖTALANDS LÄN</t>
        </is>
      </c>
      <c r="E820" t="inlineStr">
        <is>
          <t>MUNKEDAL</t>
        </is>
      </c>
      <c r="G820" t="n">
        <v>5</v>
      </c>
      <c r="H820" t="n">
        <v>0</v>
      </c>
      <c r="I820" t="n">
        <v>0</v>
      </c>
      <c r="J820" t="n">
        <v>0</v>
      </c>
      <c r="K820" t="n">
        <v>0</v>
      </c>
      <c r="L820" t="n">
        <v>0</v>
      </c>
      <c r="M820" t="n">
        <v>0</v>
      </c>
      <c r="N820" t="n">
        <v>0</v>
      </c>
      <c r="O820" t="n">
        <v>0</v>
      </c>
      <c r="P820" t="n">
        <v>0</v>
      </c>
      <c r="Q820" t="n">
        <v>0</v>
      </c>
      <c r="R820" s="2" t="inlineStr"/>
    </row>
    <row r="821" ht="15" customHeight="1">
      <c r="A821" t="inlineStr">
        <is>
          <t>A 18601-2021</t>
        </is>
      </c>
      <c r="B821" s="1" t="n">
        <v>44306.61693287037</v>
      </c>
      <c r="C821" s="1" t="n">
        <v>45952</v>
      </c>
      <c r="D821" t="inlineStr">
        <is>
          <t>VÄSTRA GÖTALANDS LÄN</t>
        </is>
      </c>
      <c r="E821" t="inlineStr">
        <is>
          <t>ULRICEHAMN</t>
        </is>
      </c>
      <c r="G821" t="n">
        <v>1.5</v>
      </c>
      <c r="H821" t="n">
        <v>0</v>
      </c>
      <c r="I821" t="n">
        <v>0</v>
      </c>
      <c r="J821" t="n">
        <v>0</v>
      </c>
      <c r="K821" t="n">
        <v>0</v>
      </c>
      <c r="L821" t="n">
        <v>0</v>
      </c>
      <c r="M821" t="n">
        <v>0</v>
      </c>
      <c r="N821" t="n">
        <v>0</v>
      </c>
      <c r="O821" t="n">
        <v>0</v>
      </c>
      <c r="P821" t="n">
        <v>0</v>
      </c>
      <c r="Q821" t="n">
        <v>0</v>
      </c>
      <c r="R821" s="2" t="inlineStr"/>
    </row>
    <row r="822" ht="15" customHeight="1">
      <c r="A822" t="inlineStr">
        <is>
          <t>A 9362-2021</t>
        </is>
      </c>
      <c r="B822" s="1" t="n">
        <v>44250</v>
      </c>
      <c r="C822" s="1" t="n">
        <v>45952</v>
      </c>
      <c r="D822" t="inlineStr">
        <is>
          <t>VÄSTRA GÖTALANDS LÄN</t>
        </is>
      </c>
      <c r="E822" t="inlineStr">
        <is>
          <t>TANUM</t>
        </is>
      </c>
      <c r="G822" t="n">
        <v>1</v>
      </c>
      <c r="H822" t="n">
        <v>0</v>
      </c>
      <c r="I822" t="n">
        <v>0</v>
      </c>
      <c r="J822" t="n">
        <v>0</v>
      </c>
      <c r="K822" t="n">
        <v>0</v>
      </c>
      <c r="L822" t="n">
        <v>0</v>
      </c>
      <c r="M822" t="n">
        <v>0</v>
      </c>
      <c r="N822" t="n">
        <v>0</v>
      </c>
      <c r="O822" t="n">
        <v>0</v>
      </c>
      <c r="P822" t="n">
        <v>0</v>
      </c>
      <c r="Q822" t="n">
        <v>0</v>
      </c>
      <c r="R822" s="2" t="inlineStr"/>
    </row>
    <row r="823" ht="15" customHeight="1">
      <c r="A823" t="inlineStr">
        <is>
          <t>A 21650-2021</t>
        </is>
      </c>
      <c r="B823" s="1" t="n">
        <v>44322.32700231481</v>
      </c>
      <c r="C823" s="1" t="n">
        <v>45952</v>
      </c>
      <c r="D823" t="inlineStr">
        <is>
          <t>VÄSTRA GÖTALANDS LÄN</t>
        </is>
      </c>
      <c r="E823" t="inlineStr">
        <is>
          <t>TROLLHÄTTAN</t>
        </is>
      </c>
      <c r="G823" t="n">
        <v>3.7</v>
      </c>
      <c r="H823" t="n">
        <v>0</v>
      </c>
      <c r="I823" t="n">
        <v>0</v>
      </c>
      <c r="J823" t="n">
        <v>0</v>
      </c>
      <c r="K823" t="n">
        <v>0</v>
      </c>
      <c r="L823" t="n">
        <v>0</v>
      </c>
      <c r="M823" t="n">
        <v>0</v>
      </c>
      <c r="N823" t="n">
        <v>0</v>
      </c>
      <c r="O823" t="n">
        <v>0</v>
      </c>
      <c r="P823" t="n">
        <v>0</v>
      </c>
      <c r="Q823" t="n">
        <v>0</v>
      </c>
      <c r="R823" s="2" t="inlineStr"/>
    </row>
    <row r="824" ht="15" customHeight="1">
      <c r="A824" t="inlineStr">
        <is>
          <t>A 7819-2021</t>
        </is>
      </c>
      <c r="B824" s="1" t="n">
        <v>44242</v>
      </c>
      <c r="C824" s="1" t="n">
        <v>45952</v>
      </c>
      <c r="D824" t="inlineStr">
        <is>
          <t>VÄSTRA GÖTALANDS LÄN</t>
        </is>
      </c>
      <c r="E824" t="inlineStr">
        <is>
          <t>FÄRGELANDA</t>
        </is>
      </c>
      <c r="G824" t="n">
        <v>13.4</v>
      </c>
      <c r="H824" t="n">
        <v>0</v>
      </c>
      <c r="I824" t="n">
        <v>0</v>
      </c>
      <c r="J824" t="n">
        <v>0</v>
      </c>
      <c r="K824" t="n">
        <v>0</v>
      </c>
      <c r="L824" t="n">
        <v>0</v>
      </c>
      <c r="M824" t="n">
        <v>0</v>
      </c>
      <c r="N824" t="n">
        <v>0</v>
      </c>
      <c r="O824" t="n">
        <v>0</v>
      </c>
      <c r="P824" t="n">
        <v>0</v>
      </c>
      <c r="Q824" t="n">
        <v>0</v>
      </c>
      <c r="R824" s="2" t="inlineStr"/>
    </row>
    <row r="825" ht="15" customHeight="1">
      <c r="A825" t="inlineStr">
        <is>
          <t>A 11987-2021</t>
        </is>
      </c>
      <c r="B825" s="1" t="n">
        <v>44266</v>
      </c>
      <c r="C825" s="1" t="n">
        <v>45952</v>
      </c>
      <c r="D825" t="inlineStr">
        <is>
          <t>VÄSTRA GÖTALANDS LÄN</t>
        </is>
      </c>
      <c r="E825" t="inlineStr">
        <is>
          <t>ALINGSÅS</t>
        </is>
      </c>
      <c r="G825" t="n">
        <v>5.5</v>
      </c>
      <c r="H825" t="n">
        <v>0</v>
      </c>
      <c r="I825" t="n">
        <v>0</v>
      </c>
      <c r="J825" t="n">
        <v>0</v>
      </c>
      <c r="K825" t="n">
        <v>0</v>
      </c>
      <c r="L825" t="n">
        <v>0</v>
      </c>
      <c r="M825" t="n">
        <v>0</v>
      </c>
      <c r="N825" t="n">
        <v>0</v>
      </c>
      <c r="O825" t="n">
        <v>0</v>
      </c>
      <c r="P825" t="n">
        <v>0</v>
      </c>
      <c r="Q825" t="n">
        <v>0</v>
      </c>
      <c r="R825" s="2" t="inlineStr"/>
    </row>
    <row r="826" ht="15" customHeight="1">
      <c r="A826" t="inlineStr">
        <is>
          <t>A 62315-2020</t>
        </is>
      </c>
      <c r="B826" s="1" t="n">
        <v>44160</v>
      </c>
      <c r="C826" s="1" t="n">
        <v>45952</v>
      </c>
      <c r="D826" t="inlineStr">
        <is>
          <t>VÄSTRA GÖTALANDS LÄN</t>
        </is>
      </c>
      <c r="E826" t="inlineStr">
        <is>
          <t>ULRICEHAMN</t>
        </is>
      </c>
      <c r="G826" t="n">
        <v>1.9</v>
      </c>
      <c r="H826" t="n">
        <v>0</v>
      </c>
      <c r="I826" t="n">
        <v>0</v>
      </c>
      <c r="J826" t="n">
        <v>0</v>
      </c>
      <c r="K826" t="n">
        <v>0</v>
      </c>
      <c r="L826" t="n">
        <v>0</v>
      </c>
      <c r="M826" t="n">
        <v>0</v>
      </c>
      <c r="N826" t="n">
        <v>0</v>
      </c>
      <c r="O826" t="n">
        <v>0</v>
      </c>
      <c r="P826" t="n">
        <v>0</v>
      </c>
      <c r="Q826" t="n">
        <v>0</v>
      </c>
      <c r="R826" s="2" t="inlineStr"/>
    </row>
    <row r="827" ht="15" customHeight="1">
      <c r="A827" t="inlineStr">
        <is>
          <t>A 60560-2020</t>
        </is>
      </c>
      <c r="B827" s="1" t="n">
        <v>44153</v>
      </c>
      <c r="C827" s="1" t="n">
        <v>45952</v>
      </c>
      <c r="D827" t="inlineStr">
        <is>
          <t>VÄSTRA GÖTALANDS LÄN</t>
        </is>
      </c>
      <c r="E827" t="inlineStr">
        <is>
          <t>FALKÖPING</t>
        </is>
      </c>
      <c r="G827" t="n">
        <v>1.6</v>
      </c>
      <c r="H827" t="n">
        <v>0</v>
      </c>
      <c r="I827" t="n">
        <v>0</v>
      </c>
      <c r="J827" t="n">
        <v>0</v>
      </c>
      <c r="K827" t="n">
        <v>0</v>
      </c>
      <c r="L827" t="n">
        <v>0</v>
      </c>
      <c r="M827" t="n">
        <v>0</v>
      </c>
      <c r="N827" t="n">
        <v>0</v>
      </c>
      <c r="O827" t="n">
        <v>0</v>
      </c>
      <c r="P827" t="n">
        <v>0</v>
      </c>
      <c r="Q827" t="n">
        <v>0</v>
      </c>
      <c r="R827" s="2" t="inlineStr"/>
    </row>
    <row r="828" ht="15" customHeight="1">
      <c r="A828" t="inlineStr">
        <is>
          <t>A 4336-2021</t>
        </is>
      </c>
      <c r="B828" s="1" t="n">
        <v>44223</v>
      </c>
      <c r="C828" s="1" t="n">
        <v>45952</v>
      </c>
      <c r="D828" t="inlineStr">
        <is>
          <t>VÄSTRA GÖTALANDS LÄN</t>
        </is>
      </c>
      <c r="E828" t="inlineStr">
        <is>
          <t>MÖLNDAL</t>
        </is>
      </c>
      <c r="G828" t="n">
        <v>1.1</v>
      </c>
      <c r="H828" t="n">
        <v>0</v>
      </c>
      <c r="I828" t="n">
        <v>0</v>
      </c>
      <c r="J828" t="n">
        <v>0</v>
      </c>
      <c r="K828" t="n">
        <v>0</v>
      </c>
      <c r="L828" t="n">
        <v>0</v>
      </c>
      <c r="M828" t="n">
        <v>0</v>
      </c>
      <c r="N828" t="n">
        <v>0</v>
      </c>
      <c r="O828" t="n">
        <v>0</v>
      </c>
      <c r="P828" t="n">
        <v>0</v>
      </c>
      <c r="Q828" t="n">
        <v>0</v>
      </c>
      <c r="R828" s="2" t="inlineStr"/>
    </row>
    <row r="829" ht="15" customHeight="1">
      <c r="A829" t="inlineStr">
        <is>
          <t>A 66009-2020</t>
        </is>
      </c>
      <c r="B829" s="1" t="n">
        <v>44175</v>
      </c>
      <c r="C829" s="1" t="n">
        <v>45952</v>
      </c>
      <c r="D829" t="inlineStr">
        <is>
          <t>VÄSTRA GÖTALANDS LÄN</t>
        </is>
      </c>
      <c r="E829" t="inlineStr">
        <is>
          <t>ULRICEHAMN</t>
        </is>
      </c>
      <c r="G829" t="n">
        <v>1.2</v>
      </c>
      <c r="H829" t="n">
        <v>0</v>
      </c>
      <c r="I829" t="n">
        <v>0</v>
      </c>
      <c r="J829" t="n">
        <v>0</v>
      </c>
      <c r="K829" t="n">
        <v>0</v>
      </c>
      <c r="L829" t="n">
        <v>0</v>
      </c>
      <c r="M829" t="n">
        <v>0</v>
      </c>
      <c r="N829" t="n">
        <v>0</v>
      </c>
      <c r="O829" t="n">
        <v>0</v>
      </c>
      <c r="P829" t="n">
        <v>0</v>
      </c>
      <c r="Q829" t="n">
        <v>0</v>
      </c>
      <c r="R829" s="2" t="inlineStr"/>
    </row>
    <row r="830" ht="15" customHeight="1">
      <c r="A830" t="inlineStr">
        <is>
          <t>A 64242-2020</t>
        </is>
      </c>
      <c r="B830" s="1" t="n">
        <v>44168.36809027778</v>
      </c>
      <c r="C830" s="1" t="n">
        <v>45952</v>
      </c>
      <c r="D830" t="inlineStr">
        <is>
          <t>VÄSTRA GÖTALANDS LÄN</t>
        </is>
      </c>
      <c r="E830" t="inlineStr">
        <is>
          <t>TÖREBODA</t>
        </is>
      </c>
      <c r="G830" t="n">
        <v>2.5</v>
      </c>
      <c r="H830" t="n">
        <v>0</v>
      </c>
      <c r="I830" t="n">
        <v>0</v>
      </c>
      <c r="J830" t="n">
        <v>0</v>
      </c>
      <c r="K830" t="n">
        <v>0</v>
      </c>
      <c r="L830" t="n">
        <v>0</v>
      </c>
      <c r="M830" t="n">
        <v>0</v>
      </c>
      <c r="N830" t="n">
        <v>0</v>
      </c>
      <c r="O830" t="n">
        <v>0</v>
      </c>
      <c r="P830" t="n">
        <v>0</v>
      </c>
      <c r="Q830" t="n">
        <v>0</v>
      </c>
      <c r="R830" s="2" t="inlineStr"/>
    </row>
    <row r="831" ht="15" customHeight="1">
      <c r="A831" t="inlineStr">
        <is>
          <t>A 67140-2020</t>
        </is>
      </c>
      <c r="B831" s="1" t="n">
        <v>44180</v>
      </c>
      <c r="C831" s="1" t="n">
        <v>45952</v>
      </c>
      <c r="D831" t="inlineStr">
        <is>
          <t>VÄSTRA GÖTALANDS LÄN</t>
        </is>
      </c>
      <c r="E831" t="inlineStr">
        <is>
          <t>ULRICEHAMN</t>
        </is>
      </c>
      <c r="F831" t="inlineStr">
        <is>
          <t>Kyrkan</t>
        </is>
      </c>
      <c r="G831" t="n">
        <v>1.7</v>
      </c>
      <c r="H831" t="n">
        <v>0</v>
      </c>
      <c r="I831" t="n">
        <v>0</v>
      </c>
      <c r="J831" t="n">
        <v>0</v>
      </c>
      <c r="K831" t="n">
        <v>0</v>
      </c>
      <c r="L831" t="n">
        <v>0</v>
      </c>
      <c r="M831" t="n">
        <v>0</v>
      </c>
      <c r="N831" t="n">
        <v>0</v>
      </c>
      <c r="O831" t="n">
        <v>0</v>
      </c>
      <c r="P831" t="n">
        <v>0</v>
      </c>
      <c r="Q831" t="n">
        <v>0</v>
      </c>
      <c r="R831" s="2" t="inlineStr"/>
    </row>
    <row r="832" ht="15" customHeight="1">
      <c r="A832" t="inlineStr">
        <is>
          <t>A 68883-2020</t>
        </is>
      </c>
      <c r="B832" s="1" t="n">
        <v>44187</v>
      </c>
      <c r="C832" s="1" t="n">
        <v>45952</v>
      </c>
      <c r="D832" t="inlineStr">
        <is>
          <t>VÄSTRA GÖTALANDS LÄN</t>
        </is>
      </c>
      <c r="E832" t="inlineStr">
        <is>
          <t>SVENLJUNGA</t>
        </is>
      </c>
      <c r="G832" t="n">
        <v>1.2</v>
      </c>
      <c r="H832" t="n">
        <v>0</v>
      </c>
      <c r="I832" t="n">
        <v>0</v>
      </c>
      <c r="J832" t="n">
        <v>0</v>
      </c>
      <c r="K832" t="n">
        <v>0</v>
      </c>
      <c r="L832" t="n">
        <v>0</v>
      </c>
      <c r="M832" t="n">
        <v>0</v>
      </c>
      <c r="N832" t="n">
        <v>0</v>
      </c>
      <c r="O832" t="n">
        <v>0</v>
      </c>
      <c r="P832" t="n">
        <v>0</v>
      </c>
      <c r="Q832" t="n">
        <v>0</v>
      </c>
      <c r="R832" s="2" t="inlineStr"/>
    </row>
    <row r="833" ht="15" customHeight="1">
      <c r="A833" t="inlineStr">
        <is>
          <t>A 55919-2020</t>
        </is>
      </c>
      <c r="B833" s="1" t="n">
        <v>44132</v>
      </c>
      <c r="C833" s="1" t="n">
        <v>45952</v>
      </c>
      <c r="D833" t="inlineStr">
        <is>
          <t>VÄSTRA GÖTALANDS LÄN</t>
        </is>
      </c>
      <c r="E833" t="inlineStr">
        <is>
          <t>ULRICEHAMN</t>
        </is>
      </c>
      <c r="G833" t="n">
        <v>1.7</v>
      </c>
      <c r="H833" t="n">
        <v>0</v>
      </c>
      <c r="I833" t="n">
        <v>0</v>
      </c>
      <c r="J833" t="n">
        <v>0</v>
      </c>
      <c r="K833" t="n">
        <v>0</v>
      </c>
      <c r="L833" t="n">
        <v>0</v>
      </c>
      <c r="M833" t="n">
        <v>0</v>
      </c>
      <c r="N833" t="n">
        <v>0</v>
      </c>
      <c r="O833" t="n">
        <v>0</v>
      </c>
      <c r="P833" t="n">
        <v>0</v>
      </c>
      <c r="Q833" t="n">
        <v>0</v>
      </c>
      <c r="R833" s="2" t="inlineStr"/>
    </row>
    <row r="834" ht="15" customHeight="1">
      <c r="A834" t="inlineStr">
        <is>
          <t>A 67752-2020</t>
        </is>
      </c>
      <c r="B834" s="1" t="n">
        <v>44182</v>
      </c>
      <c r="C834" s="1" t="n">
        <v>45952</v>
      </c>
      <c r="D834" t="inlineStr">
        <is>
          <t>VÄSTRA GÖTALANDS LÄN</t>
        </is>
      </c>
      <c r="E834" t="inlineStr">
        <is>
          <t>ORUST</t>
        </is>
      </c>
      <c r="G834" t="n">
        <v>1.2</v>
      </c>
      <c r="H834" t="n">
        <v>0</v>
      </c>
      <c r="I834" t="n">
        <v>0</v>
      </c>
      <c r="J834" t="n">
        <v>0</v>
      </c>
      <c r="K834" t="n">
        <v>0</v>
      </c>
      <c r="L834" t="n">
        <v>0</v>
      </c>
      <c r="M834" t="n">
        <v>0</v>
      </c>
      <c r="N834" t="n">
        <v>0</v>
      </c>
      <c r="O834" t="n">
        <v>0</v>
      </c>
      <c r="P834" t="n">
        <v>0</v>
      </c>
      <c r="Q834" t="n">
        <v>0</v>
      </c>
      <c r="R834" s="2" t="inlineStr"/>
    </row>
    <row r="835" ht="15" customHeight="1">
      <c r="A835" t="inlineStr">
        <is>
          <t>A 67775-2020</t>
        </is>
      </c>
      <c r="B835" s="1" t="n">
        <v>44181</v>
      </c>
      <c r="C835" s="1" t="n">
        <v>45952</v>
      </c>
      <c r="D835" t="inlineStr">
        <is>
          <t>VÄSTRA GÖTALANDS LÄN</t>
        </is>
      </c>
      <c r="E835" t="inlineStr">
        <is>
          <t>LIDKÖPING</t>
        </is>
      </c>
      <c r="G835" t="n">
        <v>0.6</v>
      </c>
      <c r="H835" t="n">
        <v>0</v>
      </c>
      <c r="I835" t="n">
        <v>0</v>
      </c>
      <c r="J835" t="n">
        <v>0</v>
      </c>
      <c r="K835" t="n">
        <v>0</v>
      </c>
      <c r="L835" t="n">
        <v>0</v>
      </c>
      <c r="M835" t="n">
        <v>0</v>
      </c>
      <c r="N835" t="n">
        <v>0</v>
      </c>
      <c r="O835" t="n">
        <v>0</v>
      </c>
      <c r="P835" t="n">
        <v>0</v>
      </c>
      <c r="Q835" t="n">
        <v>0</v>
      </c>
      <c r="R835" s="2" t="inlineStr"/>
    </row>
    <row r="836" ht="15" customHeight="1">
      <c r="A836" t="inlineStr">
        <is>
          <t>A 65083-2020</t>
        </is>
      </c>
      <c r="B836" s="1" t="n">
        <v>44172</v>
      </c>
      <c r="C836" s="1" t="n">
        <v>45952</v>
      </c>
      <c r="D836" t="inlineStr">
        <is>
          <t>VÄSTRA GÖTALANDS LÄN</t>
        </is>
      </c>
      <c r="E836" t="inlineStr">
        <is>
          <t>HERRLJUNGA</t>
        </is>
      </c>
      <c r="G836" t="n">
        <v>2.1</v>
      </c>
      <c r="H836" t="n">
        <v>0</v>
      </c>
      <c r="I836" t="n">
        <v>0</v>
      </c>
      <c r="J836" t="n">
        <v>0</v>
      </c>
      <c r="K836" t="n">
        <v>0</v>
      </c>
      <c r="L836" t="n">
        <v>0</v>
      </c>
      <c r="M836" t="n">
        <v>0</v>
      </c>
      <c r="N836" t="n">
        <v>0</v>
      </c>
      <c r="O836" t="n">
        <v>0</v>
      </c>
      <c r="P836" t="n">
        <v>0</v>
      </c>
      <c r="Q836" t="n">
        <v>0</v>
      </c>
      <c r="R836" s="2" t="inlineStr"/>
    </row>
    <row r="837" ht="15" customHeight="1">
      <c r="A837" t="inlineStr">
        <is>
          <t>A 56693-2020</t>
        </is>
      </c>
      <c r="B837" s="1" t="n">
        <v>44137</v>
      </c>
      <c r="C837" s="1" t="n">
        <v>45952</v>
      </c>
      <c r="D837" t="inlineStr">
        <is>
          <t>VÄSTRA GÖTALANDS LÄN</t>
        </is>
      </c>
      <c r="E837" t="inlineStr">
        <is>
          <t>GULLSPÅNG</t>
        </is>
      </c>
      <c r="F837" t="inlineStr">
        <is>
          <t>Kyrkan</t>
        </is>
      </c>
      <c r="G837" t="n">
        <v>1.2</v>
      </c>
      <c r="H837" t="n">
        <v>0</v>
      </c>
      <c r="I837" t="n">
        <v>0</v>
      </c>
      <c r="J837" t="n">
        <v>0</v>
      </c>
      <c r="K837" t="n">
        <v>0</v>
      </c>
      <c r="L837" t="n">
        <v>0</v>
      </c>
      <c r="M837" t="n">
        <v>0</v>
      </c>
      <c r="N837" t="n">
        <v>0</v>
      </c>
      <c r="O837" t="n">
        <v>0</v>
      </c>
      <c r="P837" t="n">
        <v>0</v>
      </c>
      <c r="Q837" t="n">
        <v>0</v>
      </c>
      <c r="R837" s="2" t="inlineStr"/>
    </row>
    <row r="838" ht="15" customHeight="1">
      <c r="A838" t="inlineStr">
        <is>
          <t>A 65511-2020</t>
        </is>
      </c>
      <c r="B838" s="1" t="n">
        <v>44172</v>
      </c>
      <c r="C838" s="1" t="n">
        <v>45952</v>
      </c>
      <c r="D838" t="inlineStr">
        <is>
          <t>VÄSTRA GÖTALANDS LÄN</t>
        </is>
      </c>
      <c r="E838" t="inlineStr">
        <is>
          <t>FÄRGELANDA</t>
        </is>
      </c>
      <c r="G838" t="n">
        <v>11</v>
      </c>
      <c r="H838" t="n">
        <v>0</v>
      </c>
      <c r="I838" t="n">
        <v>0</v>
      </c>
      <c r="J838" t="n">
        <v>0</v>
      </c>
      <c r="K838" t="n">
        <v>0</v>
      </c>
      <c r="L838" t="n">
        <v>0</v>
      </c>
      <c r="M838" t="n">
        <v>0</v>
      </c>
      <c r="N838" t="n">
        <v>0</v>
      </c>
      <c r="O838" t="n">
        <v>0</v>
      </c>
      <c r="P838" t="n">
        <v>0</v>
      </c>
      <c r="Q838" t="n">
        <v>0</v>
      </c>
      <c r="R838" s="2" t="inlineStr"/>
    </row>
    <row r="839" ht="15" customHeight="1">
      <c r="A839" t="inlineStr">
        <is>
          <t>A 68451-2020</t>
        </is>
      </c>
      <c r="B839" s="1" t="n">
        <v>44186</v>
      </c>
      <c r="C839" s="1" t="n">
        <v>45952</v>
      </c>
      <c r="D839" t="inlineStr">
        <is>
          <t>VÄSTRA GÖTALANDS LÄN</t>
        </is>
      </c>
      <c r="E839" t="inlineStr">
        <is>
          <t>TIDAHOLM</t>
        </is>
      </c>
      <c r="G839" t="n">
        <v>1.1</v>
      </c>
      <c r="H839" t="n">
        <v>0</v>
      </c>
      <c r="I839" t="n">
        <v>0</v>
      </c>
      <c r="J839" t="n">
        <v>0</v>
      </c>
      <c r="K839" t="n">
        <v>0</v>
      </c>
      <c r="L839" t="n">
        <v>0</v>
      </c>
      <c r="M839" t="n">
        <v>0</v>
      </c>
      <c r="N839" t="n">
        <v>0</v>
      </c>
      <c r="O839" t="n">
        <v>0</v>
      </c>
      <c r="P839" t="n">
        <v>0</v>
      </c>
      <c r="Q839" t="n">
        <v>0</v>
      </c>
      <c r="R839" s="2" t="inlineStr"/>
    </row>
    <row r="840" ht="15" customHeight="1">
      <c r="A840" t="inlineStr">
        <is>
          <t>A 46395-2021</t>
        </is>
      </c>
      <c r="B840" s="1" t="n">
        <v>44443</v>
      </c>
      <c r="C840" s="1" t="n">
        <v>45952</v>
      </c>
      <c r="D840" t="inlineStr">
        <is>
          <t>VÄSTRA GÖTALANDS LÄN</t>
        </is>
      </c>
      <c r="E840" t="inlineStr">
        <is>
          <t>ULRICEHAMN</t>
        </is>
      </c>
      <c r="G840" t="n">
        <v>0.5</v>
      </c>
      <c r="H840" t="n">
        <v>0</v>
      </c>
      <c r="I840" t="n">
        <v>0</v>
      </c>
      <c r="J840" t="n">
        <v>0</v>
      </c>
      <c r="K840" t="n">
        <v>0</v>
      </c>
      <c r="L840" t="n">
        <v>0</v>
      </c>
      <c r="M840" t="n">
        <v>0</v>
      </c>
      <c r="N840" t="n">
        <v>0</v>
      </c>
      <c r="O840" t="n">
        <v>0</v>
      </c>
      <c r="P840" t="n">
        <v>0</v>
      </c>
      <c r="Q840" t="n">
        <v>0</v>
      </c>
      <c r="R840" s="2" t="inlineStr"/>
    </row>
    <row r="841" ht="15" customHeight="1">
      <c r="A841" t="inlineStr">
        <is>
          <t>A 1009-2021</t>
        </is>
      </c>
      <c r="B841" s="1" t="n">
        <v>44204</v>
      </c>
      <c r="C841" s="1" t="n">
        <v>45952</v>
      </c>
      <c r="D841" t="inlineStr">
        <is>
          <t>VÄSTRA GÖTALANDS LÄN</t>
        </is>
      </c>
      <c r="E841" t="inlineStr">
        <is>
          <t>MARK</t>
        </is>
      </c>
      <c r="G841" t="n">
        <v>3.6</v>
      </c>
      <c r="H841" t="n">
        <v>0</v>
      </c>
      <c r="I841" t="n">
        <v>0</v>
      </c>
      <c r="J841" t="n">
        <v>0</v>
      </c>
      <c r="K841" t="n">
        <v>0</v>
      </c>
      <c r="L841" t="n">
        <v>0</v>
      </c>
      <c r="M841" t="n">
        <v>0</v>
      </c>
      <c r="N841" t="n">
        <v>0</v>
      </c>
      <c r="O841" t="n">
        <v>0</v>
      </c>
      <c r="P841" t="n">
        <v>0</v>
      </c>
      <c r="Q841" t="n">
        <v>0</v>
      </c>
      <c r="R841" s="2" t="inlineStr"/>
    </row>
    <row r="842" ht="15" customHeight="1">
      <c r="A842" t="inlineStr">
        <is>
          <t>A 22826-2021</t>
        </is>
      </c>
      <c r="B842" s="1" t="n">
        <v>44323</v>
      </c>
      <c r="C842" s="1" t="n">
        <v>45952</v>
      </c>
      <c r="D842" t="inlineStr">
        <is>
          <t>VÄSTRA GÖTALANDS LÄN</t>
        </is>
      </c>
      <c r="E842" t="inlineStr">
        <is>
          <t>TRANEMO</t>
        </is>
      </c>
      <c r="G842" t="n">
        <v>12.4</v>
      </c>
      <c r="H842" t="n">
        <v>0</v>
      </c>
      <c r="I842" t="n">
        <v>0</v>
      </c>
      <c r="J842" t="n">
        <v>0</v>
      </c>
      <c r="K842" t="n">
        <v>0</v>
      </c>
      <c r="L842" t="n">
        <v>0</v>
      </c>
      <c r="M842" t="n">
        <v>0</v>
      </c>
      <c r="N842" t="n">
        <v>0</v>
      </c>
      <c r="O842" t="n">
        <v>0</v>
      </c>
      <c r="P842" t="n">
        <v>0</v>
      </c>
      <c r="Q842" t="n">
        <v>0</v>
      </c>
      <c r="R842" s="2" t="inlineStr"/>
    </row>
    <row r="843" ht="15" customHeight="1">
      <c r="A843" t="inlineStr">
        <is>
          <t>A 29386-2021</t>
        </is>
      </c>
      <c r="B843" s="1" t="n">
        <v>44361.48423611111</v>
      </c>
      <c r="C843" s="1" t="n">
        <v>45952</v>
      </c>
      <c r="D843" t="inlineStr">
        <is>
          <t>VÄSTRA GÖTALANDS LÄN</t>
        </is>
      </c>
      <c r="E843" t="inlineStr">
        <is>
          <t>KARLSBORG</t>
        </is>
      </c>
      <c r="G843" t="n">
        <v>2.1</v>
      </c>
      <c r="H843" t="n">
        <v>0</v>
      </c>
      <c r="I843" t="n">
        <v>0</v>
      </c>
      <c r="J843" t="n">
        <v>0</v>
      </c>
      <c r="K843" t="n">
        <v>0</v>
      </c>
      <c r="L843" t="n">
        <v>0</v>
      </c>
      <c r="M843" t="n">
        <v>0</v>
      </c>
      <c r="N843" t="n">
        <v>0</v>
      </c>
      <c r="O843" t="n">
        <v>0</v>
      </c>
      <c r="P843" t="n">
        <v>0</v>
      </c>
      <c r="Q843" t="n">
        <v>0</v>
      </c>
      <c r="R843" s="2" t="inlineStr"/>
    </row>
    <row r="844" ht="15" customHeight="1">
      <c r="A844" t="inlineStr">
        <is>
          <t>A 14517-2021</t>
        </is>
      </c>
      <c r="B844" s="1" t="n">
        <v>44279.64517361111</v>
      </c>
      <c r="C844" s="1" t="n">
        <v>45952</v>
      </c>
      <c r="D844" t="inlineStr">
        <is>
          <t>VÄSTRA GÖTALANDS LÄN</t>
        </is>
      </c>
      <c r="E844" t="inlineStr">
        <is>
          <t>ALE</t>
        </is>
      </c>
      <c r="G844" t="n">
        <v>1.1</v>
      </c>
      <c r="H844" t="n">
        <v>0</v>
      </c>
      <c r="I844" t="n">
        <v>0</v>
      </c>
      <c r="J844" t="n">
        <v>0</v>
      </c>
      <c r="K844" t="n">
        <v>0</v>
      </c>
      <c r="L844" t="n">
        <v>0</v>
      </c>
      <c r="M844" t="n">
        <v>0</v>
      </c>
      <c r="N844" t="n">
        <v>0</v>
      </c>
      <c r="O844" t="n">
        <v>0</v>
      </c>
      <c r="P844" t="n">
        <v>0</v>
      </c>
      <c r="Q844" t="n">
        <v>0</v>
      </c>
      <c r="R844" s="2" t="inlineStr"/>
    </row>
    <row r="845" ht="15" customHeight="1">
      <c r="A845" t="inlineStr">
        <is>
          <t>A 3753-2021</t>
        </is>
      </c>
      <c r="B845" s="1" t="n">
        <v>44221</v>
      </c>
      <c r="C845" s="1" t="n">
        <v>45952</v>
      </c>
      <c r="D845" t="inlineStr">
        <is>
          <t>VÄSTRA GÖTALANDS LÄN</t>
        </is>
      </c>
      <c r="E845" t="inlineStr">
        <is>
          <t>BOLLEBYGD</t>
        </is>
      </c>
      <c r="G845" t="n">
        <v>1.1</v>
      </c>
      <c r="H845" t="n">
        <v>0</v>
      </c>
      <c r="I845" t="n">
        <v>0</v>
      </c>
      <c r="J845" t="n">
        <v>0</v>
      </c>
      <c r="K845" t="n">
        <v>0</v>
      </c>
      <c r="L845" t="n">
        <v>0</v>
      </c>
      <c r="M845" t="n">
        <v>0</v>
      </c>
      <c r="N845" t="n">
        <v>0</v>
      </c>
      <c r="O845" t="n">
        <v>0</v>
      </c>
      <c r="P845" t="n">
        <v>0</v>
      </c>
      <c r="Q845" t="n">
        <v>0</v>
      </c>
      <c r="R845" s="2" t="inlineStr"/>
    </row>
    <row r="846" ht="15" customHeight="1">
      <c r="A846" t="inlineStr">
        <is>
          <t>A 56778-2021</t>
        </is>
      </c>
      <c r="B846" s="1" t="n">
        <v>44481</v>
      </c>
      <c r="C846" s="1" t="n">
        <v>45952</v>
      </c>
      <c r="D846" t="inlineStr">
        <is>
          <t>VÄSTRA GÖTALANDS LÄN</t>
        </is>
      </c>
      <c r="E846" t="inlineStr">
        <is>
          <t>TANUM</t>
        </is>
      </c>
      <c r="G846" t="n">
        <v>0.9</v>
      </c>
      <c r="H846" t="n">
        <v>0</v>
      </c>
      <c r="I846" t="n">
        <v>0</v>
      </c>
      <c r="J846" t="n">
        <v>0</v>
      </c>
      <c r="K846" t="n">
        <v>0</v>
      </c>
      <c r="L846" t="n">
        <v>0</v>
      </c>
      <c r="M846" t="n">
        <v>0</v>
      </c>
      <c r="N846" t="n">
        <v>0</v>
      </c>
      <c r="O846" t="n">
        <v>0</v>
      </c>
      <c r="P846" t="n">
        <v>0</v>
      </c>
      <c r="Q846" t="n">
        <v>0</v>
      </c>
      <c r="R846" s="2" t="inlineStr"/>
    </row>
    <row r="847" ht="15" customHeight="1">
      <c r="A847" t="inlineStr">
        <is>
          <t>A 46086-2021</t>
        </is>
      </c>
      <c r="B847" s="1" t="n">
        <v>44442.34412037037</v>
      </c>
      <c r="C847" s="1" t="n">
        <v>45952</v>
      </c>
      <c r="D847" t="inlineStr">
        <is>
          <t>VÄSTRA GÖTALANDS LÄN</t>
        </is>
      </c>
      <c r="E847" t="inlineStr">
        <is>
          <t>SKÖVDE</t>
        </is>
      </c>
      <c r="G847" t="n">
        <v>0.7</v>
      </c>
      <c r="H847" t="n">
        <v>0</v>
      </c>
      <c r="I847" t="n">
        <v>0</v>
      </c>
      <c r="J847" t="n">
        <v>0</v>
      </c>
      <c r="K847" t="n">
        <v>0</v>
      </c>
      <c r="L847" t="n">
        <v>0</v>
      </c>
      <c r="M847" t="n">
        <v>0</v>
      </c>
      <c r="N847" t="n">
        <v>0</v>
      </c>
      <c r="O847" t="n">
        <v>0</v>
      </c>
      <c r="P847" t="n">
        <v>0</v>
      </c>
      <c r="Q847" t="n">
        <v>0</v>
      </c>
      <c r="R847" s="2" t="inlineStr"/>
    </row>
    <row r="848" ht="15" customHeight="1">
      <c r="A848" t="inlineStr">
        <is>
          <t>A 22316-2021</t>
        </is>
      </c>
      <c r="B848" s="1" t="n">
        <v>44326.47512731481</v>
      </c>
      <c r="C848" s="1" t="n">
        <v>45952</v>
      </c>
      <c r="D848" t="inlineStr">
        <is>
          <t>VÄSTRA GÖTALANDS LÄN</t>
        </is>
      </c>
      <c r="E848" t="inlineStr">
        <is>
          <t>TRANEMO</t>
        </is>
      </c>
      <c r="G848" t="n">
        <v>2.7</v>
      </c>
      <c r="H848" t="n">
        <v>0</v>
      </c>
      <c r="I848" t="n">
        <v>0</v>
      </c>
      <c r="J848" t="n">
        <v>0</v>
      </c>
      <c r="K848" t="n">
        <v>0</v>
      </c>
      <c r="L848" t="n">
        <v>0</v>
      </c>
      <c r="M848" t="n">
        <v>0</v>
      </c>
      <c r="N848" t="n">
        <v>0</v>
      </c>
      <c r="O848" t="n">
        <v>0</v>
      </c>
      <c r="P848" t="n">
        <v>0</v>
      </c>
      <c r="Q848" t="n">
        <v>0</v>
      </c>
      <c r="R848" s="2" t="inlineStr"/>
    </row>
    <row r="849" ht="15" customHeight="1">
      <c r="A849" t="inlineStr">
        <is>
          <t>A 53806-2021</t>
        </is>
      </c>
      <c r="B849" s="1" t="n">
        <v>44469.59694444444</v>
      </c>
      <c r="C849" s="1" t="n">
        <v>45952</v>
      </c>
      <c r="D849" t="inlineStr">
        <is>
          <t>VÄSTRA GÖTALANDS LÄN</t>
        </is>
      </c>
      <c r="E849" t="inlineStr">
        <is>
          <t>MARK</t>
        </is>
      </c>
      <c r="G849" t="n">
        <v>1.9</v>
      </c>
      <c r="H849" t="n">
        <v>0</v>
      </c>
      <c r="I849" t="n">
        <v>0</v>
      </c>
      <c r="J849" t="n">
        <v>0</v>
      </c>
      <c r="K849" t="n">
        <v>0</v>
      </c>
      <c r="L849" t="n">
        <v>0</v>
      </c>
      <c r="M849" t="n">
        <v>0</v>
      </c>
      <c r="N849" t="n">
        <v>0</v>
      </c>
      <c r="O849" t="n">
        <v>0</v>
      </c>
      <c r="P849" t="n">
        <v>0</v>
      </c>
      <c r="Q849" t="n">
        <v>0</v>
      </c>
      <c r="R849" s="2" t="inlineStr"/>
    </row>
    <row r="850" ht="15" customHeight="1">
      <c r="A850" t="inlineStr">
        <is>
          <t>A 55292-2020</t>
        </is>
      </c>
      <c r="B850" s="1" t="n">
        <v>44130</v>
      </c>
      <c r="C850" s="1" t="n">
        <v>45952</v>
      </c>
      <c r="D850" t="inlineStr">
        <is>
          <t>VÄSTRA GÖTALANDS LÄN</t>
        </is>
      </c>
      <c r="E850" t="inlineStr">
        <is>
          <t>ULRICEHAMN</t>
        </is>
      </c>
      <c r="G850" t="n">
        <v>1</v>
      </c>
      <c r="H850" t="n">
        <v>0</v>
      </c>
      <c r="I850" t="n">
        <v>0</v>
      </c>
      <c r="J850" t="n">
        <v>0</v>
      </c>
      <c r="K850" t="n">
        <v>0</v>
      </c>
      <c r="L850" t="n">
        <v>0</v>
      </c>
      <c r="M850" t="n">
        <v>0</v>
      </c>
      <c r="N850" t="n">
        <v>0</v>
      </c>
      <c r="O850" t="n">
        <v>0</v>
      </c>
      <c r="P850" t="n">
        <v>0</v>
      </c>
      <c r="Q850" t="n">
        <v>0</v>
      </c>
      <c r="R850" s="2" t="inlineStr"/>
    </row>
    <row r="851" ht="15" customHeight="1">
      <c r="A851" t="inlineStr">
        <is>
          <t>A 55295-2020</t>
        </is>
      </c>
      <c r="B851" s="1" t="n">
        <v>44130</v>
      </c>
      <c r="C851" s="1" t="n">
        <v>45952</v>
      </c>
      <c r="D851" t="inlineStr">
        <is>
          <t>VÄSTRA GÖTALANDS LÄN</t>
        </is>
      </c>
      <c r="E851" t="inlineStr">
        <is>
          <t>SVENLJUNGA</t>
        </is>
      </c>
      <c r="G851" t="n">
        <v>1.4</v>
      </c>
      <c r="H851" t="n">
        <v>0</v>
      </c>
      <c r="I851" t="n">
        <v>0</v>
      </c>
      <c r="J851" t="n">
        <v>0</v>
      </c>
      <c r="K851" t="n">
        <v>0</v>
      </c>
      <c r="L851" t="n">
        <v>0</v>
      </c>
      <c r="M851" t="n">
        <v>0</v>
      </c>
      <c r="N851" t="n">
        <v>0</v>
      </c>
      <c r="O851" t="n">
        <v>0</v>
      </c>
      <c r="P851" t="n">
        <v>0</v>
      </c>
      <c r="Q851" t="n">
        <v>0</v>
      </c>
      <c r="R851" s="2" t="inlineStr"/>
    </row>
    <row r="852" ht="15" customHeight="1">
      <c r="A852" t="inlineStr">
        <is>
          <t>A 12695-2021</t>
        </is>
      </c>
      <c r="B852" s="1" t="n">
        <v>44270</v>
      </c>
      <c r="C852" s="1" t="n">
        <v>45952</v>
      </c>
      <c r="D852" t="inlineStr">
        <is>
          <t>VÄSTRA GÖTALANDS LÄN</t>
        </is>
      </c>
      <c r="E852" t="inlineStr">
        <is>
          <t>MELLERUD</t>
        </is>
      </c>
      <c r="G852" t="n">
        <v>1.6</v>
      </c>
      <c r="H852" t="n">
        <v>0</v>
      </c>
      <c r="I852" t="n">
        <v>0</v>
      </c>
      <c r="J852" t="n">
        <v>0</v>
      </c>
      <c r="K852" t="n">
        <v>0</v>
      </c>
      <c r="L852" t="n">
        <v>0</v>
      </c>
      <c r="M852" t="n">
        <v>0</v>
      </c>
      <c r="N852" t="n">
        <v>0</v>
      </c>
      <c r="O852" t="n">
        <v>0</v>
      </c>
      <c r="P852" t="n">
        <v>0</v>
      </c>
      <c r="Q852" t="n">
        <v>0</v>
      </c>
      <c r="R852" s="2" t="inlineStr"/>
    </row>
    <row r="853" ht="15" customHeight="1">
      <c r="A853" t="inlineStr">
        <is>
          <t>A 56004-2020</t>
        </is>
      </c>
      <c r="B853" s="1" t="n">
        <v>44131</v>
      </c>
      <c r="C853" s="1" t="n">
        <v>45952</v>
      </c>
      <c r="D853" t="inlineStr">
        <is>
          <t>VÄSTRA GÖTALANDS LÄN</t>
        </is>
      </c>
      <c r="E853" t="inlineStr">
        <is>
          <t>TANUM</t>
        </is>
      </c>
      <c r="G853" t="n">
        <v>2.9</v>
      </c>
      <c r="H853" t="n">
        <v>0</v>
      </c>
      <c r="I853" t="n">
        <v>0</v>
      </c>
      <c r="J853" t="n">
        <v>0</v>
      </c>
      <c r="K853" t="n">
        <v>0</v>
      </c>
      <c r="L853" t="n">
        <v>0</v>
      </c>
      <c r="M853" t="n">
        <v>0</v>
      </c>
      <c r="N853" t="n">
        <v>0</v>
      </c>
      <c r="O853" t="n">
        <v>0</v>
      </c>
      <c r="P853" t="n">
        <v>0</v>
      </c>
      <c r="Q853" t="n">
        <v>0</v>
      </c>
      <c r="R853" s="2" t="inlineStr"/>
    </row>
    <row r="854" ht="15" customHeight="1">
      <c r="A854" t="inlineStr">
        <is>
          <t>A 56006-2020</t>
        </is>
      </c>
      <c r="B854" s="1" t="n">
        <v>44131</v>
      </c>
      <c r="C854" s="1" t="n">
        <v>45952</v>
      </c>
      <c r="D854" t="inlineStr">
        <is>
          <t>VÄSTRA GÖTALANDS LÄN</t>
        </is>
      </c>
      <c r="E854" t="inlineStr">
        <is>
          <t>TANUM</t>
        </is>
      </c>
      <c r="G854" t="n">
        <v>0.5</v>
      </c>
      <c r="H854" t="n">
        <v>0</v>
      </c>
      <c r="I854" t="n">
        <v>0</v>
      </c>
      <c r="J854" t="n">
        <v>0</v>
      </c>
      <c r="K854" t="n">
        <v>0</v>
      </c>
      <c r="L854" t="n">
        <v>0</v>
      </c>
      <c r="M854" t="n">
        <v>0</v>
      </c>
      <c r="N854" t="n">
        <v>0</v>
      </c>
      <c r="O854" t="n">
        <v>0</v>
      </c>
      <c r="P854" t="n">
        <v>0</v>
      </c>
      <c r="Q854" t="n">
        <v>0</v>
      </c>
      <c r="R854" s="2" t="inlineStr"/>
    </row>
    <row r="855" ht="15" customHeight="1">
      <c r="A855" t="inlineStr">
        <is>
          <t>A 11557-2021</t>
        </is>
      </c>
      <c r="B855" s="1" t="n">
        <v>44264</v>
      </c>
      <c r="C855" s="1" t="n">
        <v>45952</v>
      </c>
      <c r="D855" t="inlineStr">
        <is>
          <t>VÄSTRA GÖTALANDS LÄN</t>
        </is>
      </c>
      <c r="E855" t="inlineStr">
        <is>
          <t>VARA</t>
        </is>
      </c>
      <c r="G855" t="n">
        <v>1.9</v>
      </c>
      <c r="H855" t="n">
        <v>0</v>
      </c>
      <c r="I855" t="n">
        <v>0</v>
      </c>
      <c r="J855" t="n">
        <v>0</v>
      </c>
      <c r="K855" t="n">
        <v>0</v>
      </c>
      <c r="L855" t="n">
        <v>0</v>
      </c>
      <c r="M855" t="n">
        <v>0</v>
      </c>
      <c r="N855" t="n">
        <v>0</v>
      </c>
      <c r="O855" t="n">
        <v>0</v>
      </c>
      <c r="P855" t="n">
        <v>0</v>
      </c>
      <c r="Q855" t="n">
        <v>0</v>
      </c>
      <c r="R855" s="2" t="inlineStr"/>
    </row>
    <row r="856" ht="15" customHeight="1">
      <c r="A856" t="inlineStr">
        <is>
          <t>A 5103-2021</t>
        </is>
      </c>
      <c r="B856" s="1" t="n">
        <v>44228</v>
      </c>
      <c r="C856" s="1" t="n">
        <v>45952</v>
      </c>
      <c r="D856" t="inlineStr">
        <is>
          <t>VÄSTRA GÖTALANDS LÄN</t>
        </is>
      </c>
      <c r="E856" t="inlineStr">
        <is>
          <t>HJO</t>
        </is>
      </c>
      <c r="G856" t="n">
        <v>5</v>
      </c>
      <c r="H856" t="n">
        <v>0</v>
      </c>
      <c r="I856" t="n">
        <v>0</v>
      </c>
      <c r="J856" t="n">
        <v>0</v>
      </c>
      <c r="K856" t="n">
        <v>0</v>
      </c>
      <c r="L856" t="n">
        <v>0</v>
      </c>
      <c r="M856" t="n">
        <v>0</v>
      </c>
      <c r="N856" t="n">
        <v>0</v>
      </c>
      <c r="O856" t="n">
        <v>0</v>
      </c>
      <c r="P856" t="n">
        <v>0</v>
      </c>
      <c r="Q856" t="n">
        <v>0</v>
      </c>
      <c r="R856" s="2" t="inlineStr"/>
    </row>
    <row r="857" ht="15" customHeight="1">
      <c r="A857" t="inlineStr">
        <is>
          <t>A 5127-2021</t>
        </is>
      </c>
      <c r="B857" s="1" t="n">
        <v>44228.59686342593</v>
      </c>
      <c r="C857" s="1" t="n">
        <v>45952</v>
      </c>
      <c r="D857" t="inlineStr">
        <is>
          <t>VÄSTRA GÖTALANDS LÄN</t>
        </is>
      </c>
      <c r="E857" t="inlineStr">
        <is>
          <t>BORÅS</t>
        </is>
      </c>
      <c r="F857" t="inlineStr">
        <is>
          <t>Kommuner</t>
        </is>
      </c>
      <c r="G857" t="n">
        <v>1.7</v>
      </c>
      <c r="H857" t="n">
        <v>0</v>
      </c>
      <c r="I857" t="n">
        <v>0</v>
      </c>
      <c r="J857" t="n">
        <v>0</v>
      </c>
      <c r="K857" t="n">
        <v>0</v>
      </c>
      <c r="L857" t="n">
        <v>0</v>
      </c>
      <c r="M857" t="n">
        <v>0</v>
      </c>
      <c r="N857" t="n">
        <v>0</v>
      </c>
      <c r="O857" t="n">
        <v>0</v>
      </c>
      <c r="P857" t="n">
        <v>0</v>
      </c>
      <c r="Q857" t="n">
        <v>0</v>
      </c>
      <c r="R857" s="2" t="inlineStr"/>
    </row>
    <row r="858" ht="15" customHeight="1">
      <c r="A858" t="inlineStr">
        <is>
          <t>A 61629-2021</t>
        </is>
      </c>
      <c r="B858" s="1" t="n">
        <v>44501.50063657408</v>
      </c>
      <c r="C858" s="1" t="n">
        <v>45952</v>
      </c>
      <c r="D858" t="inlineStr">
        <is>
          <t>VÄSTRA GÖTALANDS LÄN</t>
        </is>
      </c>
      <c r="E858" t="inlineStr">
        <is>
          <t>SVENLJUNGA</t>
        </is>
      </c>
      <c r="G858" t="n">
        <v>2.6</v>
      </c>
      <c r="H858" t="n">
        <v>0</v>
      </c>
      <c r="I858" t="n">
        <v>0</v>
      </c>
      <c r="J858" t="n">
        <v>0</v>
      </c>
      <c r="K858" t="n">
        <v>0</v>
      </c>
      <c r="L858" t="n">
        <v>0</v>
      </c>
      <c r="M858" t="n">
        <v>0</v>
      </c>
      <c r="N858" t="n">
        <v>0</v>
      </c>
      <c r="O858" t="n">
        <v>0</v>
      </c>
      <c r="P858" t="n">
        <v>0</v>
      </c>
      <c r="Q858" t="n">
        <v>0</v>
      </c>
      <c r="R858" s="2" t="inlineStr"/>
    </row>
    <row r="859" ht="15" customHeight="1">
      <c r="A859" t="inlineStr">
        <is>
          <t>A 20874-2021</t>
        </is>
      </c>
      <c r="B859" s="1" t="n">
        <v>44319.37167824074</v>
      </c>
      <c r="C859" s="1" t="n">
        <v>45952</v>
      </c>
      <c r="D859" t="inlineStr">
        <is>
          <t>VÄSTRA GÖTALANDS LÄN</t>
        </is>
      </c>
      <c r="E859" t="inlineStr">
        <is>
          <t>ULRICEHAMN</t>
        </is>
      </c>
      <c r="G859" t="n">
        <v>0.1</v>
      </c>
      <c r="H859" t="n">
        <v>0</v>
      </c>
      <c r="I859" t="n">
        <v>0</v>
      </c>
      <c r="J859" t="n">
        <v>0</v>
      </c>
      <c r="K859" t="n">
        <v>0</v>
      </c>
      <c r="L859" t="n">
        <v>0</v>
      </c>
      <c r="M859" t="n">
        <v>0</v>
      </c>
      <c r="N859" t="n">
        <v>0</v>
      </c>
      <c r="O859" t="n">
        <v>0</v>
      </c>
      <c r="P859" t="n">
        <v>0</v>
      </c>
      <c r="Q859" t="n">
        <v>0</v>
      </c>
      <c r="R859" s="2" t="inlineStr"/>
    </row>
    <row r="860" ht="15" customHeight="1">
      <c r="A860" t="inlineStr">
        <is>
          <t>A 68899-2021</t>
        </is>
      </c>
      <c r="B860" s="1" t="n">
        <v>44530.45506944445</v>
      </c>
      <c r="C860" s="1" t="n">
        <v>45952</v>
      </c>
      <c r="D860" t="inlineStr">
        <is>
          <t>VÄSTRA GÖTALANDS LÄN</t>
        </is>
      </c>
      <c r="E860" t="inlineStr">
        <is>
          <t>ALINGSÅS</t>
        </is>
      </c>
      <c r="G860" t="n">
        <v>2.9</v>
      </c>
      <c r="H860" t="n">
        <v>0</v>
      </c>
      <c r="I860" t="n">
        <v>0</v>
      </c>
      <c r="J860" t="n">
        <v>0</v>
      </c>
      <c r="K860" t="n">
        <v>0</v>
      </c>
      <c r="L860" t="n">
        <v>0</v>
      </c>
      <c r="M860" t="n">
        <v>0</v>
      </c>
      <c r="N860" t="n">
        <v>0</v>
      </c>
      <c r="O860" t="n">
        <v>0</v>
      </c>
      <c r="P860" t="n">
        <v>0</v>
      </c>
      <c r="Q860" t="n">
        <v>0</v>
      </c>
      <c r="R860" s="2" t="inlineStr"/>
    </row>
    <row r="861" ht="15" customHeight="1">
      <c r="A861" t="inlineStr">
        <is>
          <t>A 66583-2021</t>
        </is>
      </c>
      <c r="B861" s="1" t="n">
        <v>44519</v>
      </c>
      <c r="C861" s="1" t="n">
        <v>45952</v>
      </c>
      <c r="D861" t="inlineStr">
        <is>
          <t>VÄSTRA GÖTALANDS LÄN</t>
        </is>
      </c>
      <c r="E861" t="inlineStr">
        <is>
          <t>TIDAHOLM</t>
        </is>
      </c>
      <c r="G861" t="n">
        <v>2.1</v>
      </c>
      <c r="H861" t="n">
        <v>0</v>
      </c>
      <c r="I861" t="n">
        <v>0</v>
      </c>
      <c r="J861" t="n">
        <v>0</v>
      </c>
      <c r="K861" t="n">
        <v>0</v>
      </c>
      <c r="L861" t="n">
        <v>0</v>
      </c>
      <c r="M861" t="n">
        <v>0</v>
      </c>
      <c r="N861" t="n">
        <v>0</v>
      </c>
      <c r="O861" t="n">
        <v>0</v>
      </c>
      <c r="P861" t="n">
        <v>0</v>
      </c>
      <c r="Q861" t="n">
        <v>0</v>
      </c>
      <c r="R861" s="2" t="inlineStr"/>
    </row>
    <row r="862" ht="15" customHeight="1">
      <c r="A862" t="inlineStr">
        <is>
          <t>A 39682-2021</t>
        </is>
      </c>
      <c r="B862" s="1" t="n">
        <v>44417.44490740741</v>
      </c>
      <c r="C862" s="1" t="n">
        <v>45952</v>
      </c>
      <c r="D862" t="inlineStr">
        <is>
          <t>VÄSTRA GÖTALANDS LÄN</t>
        </is>
      </c>
      <c r="E862" t="inlineStr">
        <is>
          <t>FALKÖPING</t>
        </is>
      </c>
      <c r="G862" t="n">
        <v>0.7</v>
      </c>
      <c r="H862" t="n">
        <v>0</v>
      </c>
      <c r="I862" t="n">
        <v>0</v>
      </c>
      <c r="J862" t="n">
        <v>0</v>
      </c>
      <c r="K862" t="n">
        <v>0</v>
      </c>
      <c r="L862" t="n">
        <v>0</v>
      </c>
      <c r="M862" t="n">
        <v>0</v>
      </c>
      <c r="N862" t="n">
        <v>0</v>
      </c>
      <c r="O862" t="n">
        <v>0</v>
      </c>
      <c r="P862" t="n">
        <v>0</v>
      </c>
      <c r="Q862" t="n">
        <v>0</v>
      </c>
      <c r="R862" s="2" t="inlineStr"/>
    </row>
    <row r="863" ht="15" customHeight="1">
      <c r="A863" t="inlineStr">
        <is>
          <t>A 47636-2021</t>
        </is>
      </c>
      <c r="B863" s="1" t="n">
        <v>44448.39219907407</v>
      </c>
      <c r="C863" s="1" t="n">
        <v>45952</v>
      </c>
      <c r="D863" t="inlineStr">
        <is>
          <t>VÄSTRA GÖTALANDS LÄN</t>
        </is>
      </c>
      <c r="E863" t="inlineStr">
        <is>
          <t>BORÅS</t>
        </is>
      </c>
      <c r="G863" t="n">
        <v>2.1</v>
      </c>
      <c r="H863" t="n">
        <v>0</v>
      </c>
      <c r="I863" t="n">
        <v>0</v>
      </c>
      <c r="J863" t="n">
        <v>0</v>
      </c>
      <c r="K863" t="n">
        <v>0</v>
      </c>
      <c r="L863" t="n">
        <v>0</v>
      </c>
      <c r="M863" t="n">
        <v>0</v>
      </c>
      <c r="N863" t="n">
        <v>0</v>
      </c>
      <c r="O863" t="n">
        <v>0</v>
      </c>
      <c r="P863" t="n">
        <v>0</v>
      </c>
      <c r="Q863" t="n">
        <v>0</v>
      </c>
      <c r="R863" s="2" t="inlineStr"/>
    </row>
    <row r="864" ht="15" customHeight="1">
      <c r="A864" t="inlineStr">
        <is>
          <t>A 39754-2021</t>
        </is>
      </c>
      <c r="B864" s="1" t="n">
        <v>44417</v>
      </c>
      <c r="C864" s="1" t="n">
        <v>45952</v>
      </c>
      <c r="D864" t="inlineStr">
        <is>
          <t>VÄSTRA GÖTALANDS LÄN</t>
        </is>
      </c>
      <c r="E864" t="inlineStr">
        <is>
          <t>SVENLJUNGA</t>
        </is>
      </c>
      <c r="G864" t="n">
        <v>1.9</v>
      </c>
      <c r="H864" t="n">
        <v>0</v>
      </c>
      <c r="I864" t="n">
        <v>0</v>
      </c>
      <c r="J864" t="n">
        <v>0</v>
      </c>
      <c r="K864" t="n">
        <v>0</v>
      </c>
      <c r="L864" t="n">
        <v>0</v>
      </c>
      <c r="M864" t="n">
        <v>0</v>
      </c>
      <c r="N864" t="n">
        <v>0</v>
      </c>
      <c r="O864" t="n">
        <v>0</v>
      </c>
      <c r="P864" t="n">
        <v>0</v>
      </c>
      <c r="Q864" t="n">
        <v>0</v>
      </c>
      <c r="R864" s="2" t="inlineStr"/>
    </row>
    <row r="865" ht="15" customHeight="1">
      <c r="A865" t="inlineStr">
        <is>
          <t>A 9146-2021</t>
        </is>
      </c>
      <c r="B865" s="1" t="n">
        <v>44249.74386574074</v>
      </c>
      <c r="C865" s="1" t="n">
        <v>45952</v>
      </c>
      <c r="D865" t="inlineStr">
        <is>
          <t>VÄSTRA GÖTALANDS LÄN</t>
        </is>
      </c>
      <c r="E865" t="inlineStr">
        <is>
          <t>VÅRGÅRDA</t>
        </is>
      </c>
      <c r="G865" t="n">
        <v>0.7</v>
      </c>
      <c r="H865" t="n">
        <v>0</v>
      </c>
      <c r="I865" t="n">
        <v>0</v>
      </c>
      <c r="J865" t="n">
        <v>0</v>
      </c>
      <c r="K865" t="n">
        <v>0</v>
      </c>
      <c r="L865" t="n">
        <v>0</v>
      </c>
      <c r="M865" t="n">
        <v>0</v>
      </c>
      <c r="N865" t="n">
        <v>0</v>
      </c>
      <c r="O865" t="n">
        <v>0</v>
      </c>
      <c r="P865" t="n">
        <v>0</v>
      </c>
      <c r="Q865" t="n">
        <v>0</v>
      </c>
      <c r="R865" s="2" t="inlineStr"/>
    </row>
    <row r="866" ht="15" customHeight="1">
      <c r="A866" t="inlineStr">
        <is>
          <t>A 49535-2021</t>
        </is>
      </c>
      <c r="B866" s="1" t="n">
        <v>44454</v>
      </c>
      <c r="C866" s="1" t="n">
        <v>45952</v>
      </c>
      <c r="D866" t="inlineStr">
        <is>
          <t>VÄSTRA GÖTALANDS LÄN</t>
        </is>
      </c>
      <c r="E866" t="inlineStr">
        <is>
          <t>TÖREBODA</t>
        </is>
      </c>
      <c r="G866" t="n">
        <v>1</v>
      </c>
      <c r="H866" t="n">
        <v>0</v>
      </c>
      <c r="I866" t="n">
        <v>0</v>
      </c>
      <c r="J866" t="n">
        <v>0</v>
      </c>
      <c r="K866" t="n">
        <v>0</v>
      </c>
      <c r="L866" t="n">
        <v>0</v>
      </c>
      <c r="M866" t="n">
        <v>0</v>
      </c>
      <c r="N866" t="n">
        <v>0</v>
      </c>
      <c r="O866" t="n">
        <v>0</v>
      </c>
      <c r="P866" t="n">
        <v>0</v>
      </c>
      <c r="Q866" t="n">
        <v>0</v>
      </c>
      <c r="R866" s="2" t="inlineStr"/>
    </row>
    <row r="867" ht="15" customHeight="1">
      <c r="A867" t="inlineStr">
        <is>
          <t>A 21232-2021</t>
        </is>
      </c>
      <c r="B867" s="1" t="n">
        <v>44320.53959490741</v>
      </c>
      <c r="C867" s="1" t="n">
        <v>45952</v>
      </c>
      <c r="D867" t="inlineStr">
        <is>
          <t>VÄSTRA GÖTALANDS LÄN</t>
        </is>
      </c>
      <c r="E867" t="inlineStr">
        <is>
          <t>ULRICEHAMN</t>
        </is>
      </c>
      <c r="G867" t="n">
        <v>1.2</v>
      </c>
      <c r="H867" t="n">
        <v>0</v>
      </c>
      <c r="I867" t="n">
        <v>0</v>
      </c>
      <c r="J867" t="n">
        <v>0</v>
      </c>
      <c r="K867" t="n">
        <v>0</v>
      </c>
      <c r="L867" t="n">
        <v>0</v>
      </c>
      <c r="M867" t="n">
        <v>0</v>
      </c>
      <c r="N867" t="n">
        <v>0</v>
      </c>
      <c r="O867" t="n">
        <v>0</v>
      </c>
      <c r="P867" t="n">
        <v>0</v>
      </c>
      <c r="Q867" t="n">
        <v>0</v>
      </c>
      <c r="R867" s="2" t="inlineStr"/>
    </row>
    <row r="868" ht="15" customHeight="1">
      <c r="A868" t="inlineStr">
        <is>
          <t>A 33784-2021</t>
        </is>
      </c>
      <c r="B868" s="1" t="n">
        <v>44378.55261574074</v>
      </c>
      <c r="C868" s="1" t="n">
        <v>45952</v>
      </c>
      <c r="D868" t="inlineStr">
        <is>
          <t>VÄSTRA GÖTALANDS LÄN</t>
        </is>
      </c>
      <c r="E868" t="inlineStr">
        <is>
          <t>HERRLJUNGA</t>
        </is>
      </c>
      <c r="G868" t="n">
        <v>1.2</v>
      </c>
      <c r="H868" t="n">
        <v>0</v>
      </c>
      <c r="I868" t="n">
        <v>0</v>
      </c>
      <c r="J868" t="n">
        <v>0</v>
      </c>
      <c r="K868" t="n">
        <v>0</v>
      </c>
      <c r="L868" t="n">
        <v>0</v>
      </c>
      <c r="M868" t="n">
        <v>0</v>
      </c>
      <c r="N868" t="n">
        <v>0</v>
      </c>
      <c r="O868" t="n">
        <v>0</v>
      </c>
      <c r="P868" t="n">
        <v>0</v>
      </c>
      <c r="Q868" t="n">
        <v>0</v>
      </c>
      <c r="R868" s="2" t="inlineStr"/>
    </row>
    <row r="869" ht="15" customHeight="1">
      <c r="A869" t="inlineStr">
        <is>
          <t>A 17799-2021</t>
        </is>
      </c>
      <c r="B869" s="1" t="n">
        <v>44300</v>
      </c>
      <c r="C869" s="1" t="n">
        <v>45952</v>
      </c>
      <c r="D869" t="inlineStr">
        <is>
          <t>VÄSTRA GÖTALANDS LÄN</t>
        </is>
      </c>
      <c r="E869" t="inlineStr">
        <is>
          <t>GULLSPÅNG</t>
        </is>
      </c>
      <c r="G869" t="n">
        <v>1</v>
      </c>
      <c r="H869" t="n">
        <v>0</v>
      </c>
      <c r="I869" t="n">
        <v>0</v>
      </c>
      <c r="J869" t="n">
        <v>0</v>
      </c>
      <c r="K869" t="n">
        <v>0</v>
      </c>
      <c r="L869" t="n">
        <v>0</v>
      </c>
      <c r="M869" t="n">
        <v>0</v>
      </c>
      <c r="N869" t="n">
        <v>0</v>
      </c>
      <c r="O869" t="n">
        <v>0</v>
      </c>
      <c r="P869" t="n">
        <v>0</v>
      </c>
      <c r="Q869" t="n">
        <v>0</v>
      </c>
      <c r="R869" s="2" t="inlineStr"/>
    </row>
    <row r="870" ht="15" customHeight="1">
      <c r="A870" t="inlineStr">
        <is>
          <t>A 41087-2021</t>
        </is>
      </c>
      <c r="B870" s="1" t="n">
        <v>44422.5627662037</v>
      </c>
      <c r="C870" s="1" t="n">
        <v>45952</v>
      </c>
      <c r="D870" t="inlineStr">
        <is>
          <t>VÄSTRA GÖTALANDS LÄN</t>
        </is>
      </c>
      <c r="E870" t="inlineStr">
        <is>
          <t>HERRLJUNGA</t>
        </is>
      </c>
      <c r="G870" t="n">
        <v>3.8</v>
      </c>
      <c r="H870" t="n">
        <v>0</v>
      </c>
      <c r="I870" t="n">
        <v>0</v>
      </c>
      <c r="J870" t="n">
        <v>0</v>
      </c>
      <c r="K870" t="n">
        <v>0</v>
      </c>
      <c r="L870" t="n">
        <v>0</v>
      </c>
      <c r="M870" t="n">
        <v>0</v>
      </c>
      <c r="N870" t="n">
        <v>0</v>
      </c>
      <c r="O870" t="n">
        <v>0</v>
      </c>
      <c r="P870" t="n">
        <v>0</v>
      </c>
      <c r="Q870" t="n">
        <v>0</v>
      </c>
      <c r="R870" s="2" t="inlineStr"/>
    </row>
    <row r="871" ht="15" customHeight="1">
      <c r="A871" t="inlineStr">
        <is>
          <t>A 14112-2021</t>
        </is>
      </c>
      <c r="B871" s="1" t="n">
        <v>44278</v>
      </c>
      <c r="C871" s="1" t="n">
        <v>45952</v>
      </c>
      <c r="D871" t="inlineStr">
        <is>
          <t>VÄSTRA GÖTALANDS LÄN</t>
        </is>
      </c>
      <c r="E871" t="inlineStr">
        <is>
          <t>GULLSPÅNG</t>
        </is>
      </c>
      <c r="G871" t="n">
        <v>0.5</v>
      </c>
      <c r="H871" t="n">
        <v>0</v>
      </c>
      <c r="I871" t="n">
        <v>0</v>
      </c>
      <c r="J871" t="n">
        <v>0</v>
      </c>
      <c r="K871" t="n">
        <v>0</v>
      </c>
      <c r="L871" t="n">
        <v>0</v>
      </c>
      <c r="M871" t="n">
        <v>0</v>
      </c>
      <c r="N871" t="n">
        <v>0</v>
      </c>
      <c r="O871" t="n">
        <v>0</v>
      </c>
      <c r="P871" t="n">
        <v>0</v>
      </c>
      <c r="Q871" t="n">
        <v>0</v>
      </c>
      <c r="R871" s="2" t="inlineStr"/>
    </row>
    <row r="872" ht="15" customHeight="1">
      <c r="A872" t="inlineStr">
        <is>
          <t>A 41155-2021</t>
        </is>
      </c>
      <c r="B872" s="1" t="n">
        <v>44421</v>
      </c>
      <c r="C872" s="1" t="n">
        <v>45952</v>
      </c>
      <c r="D872" t="inlineStr">
        <is>
          <t>VÄSTRA GÖTALANDS LÄN</t>
        </is>
      </c>
      <c r="E872" t="inlineStr">
        <is>
          <t>SKÖVDE</t>
        </is>
      </c>
      <c r="G872" t="n">
        <v>17</v>
      </c>
      <c r="H872" t="n">
        <v>0</v>
      </c>
      <c r="I872" t="n">
        <v>0</v>
      </c>
      <c r="J872" t="n">
        <v>0</v>
      </c>
      <c r="K872" t="n">
        <v>0</v>
      </c>
      <c r="L872" t="n">
        <v>0</v>
      </c>
      <c r="M872" t="n">
        <v>0</v>
      </c>
      <c r="N872" t="n">
        <v>0</v>
      </c>
      <c r="O872" t="n">
        <v>0</v>
      </c>
      <c r="P872" t="n">
        <v>0</v>
      </c>
      <c r="Q872" t="n">
        <v>0</v>
      </c>
      <c r="R872" s="2" t="inlineStr"/>
    </row>
    <row r="873" ht="15" customHeight="1">
      <c r="A873" t="inlineStr">
        <is>
          <t>A 40115-2021</t>
        </is>
      </c>
      <c r="B873" s="1" t="n">
        <v>44418</v>
      </c>
      <c r="C873" s="1" t="n">
        <v>45952</v>
      </c>
      <c r="D873" t="inlineStr">
        <is>
          <t>VÄSTRA GÖTALANDS LÄN</t>
        </is>
      </c>
      <c r="E873" t="inlineStr">
        <is>
          <t>ULRICEHAMN</t>
        </is>
      </c>
      <c r="G873" t="n">
        <v>7.8</v>
      </c>
      <c r="H873" t="n">
        <v>0</v>
      </c>
      <c r="I873" t="n">
        <v>0</v>
      </c>
      <c r="J873" t="n">
        <v>0</v>
      </c>
      <c r="K873" t="n">
        <v>0</v>
      </c>
      <c r="L873" t="n">
        <v>0</v>
      </c>
      <c r="M873" t="n">
        <v>0</v>
      </c>
      <c r="N873" t="n">
        <v>0</v>
      </c>
      <c r="O873" t="n">
        <v>0</v>
      </c>
      <c r="P873" t="n">
        <v>0</v>
      </c>
      <c r="Q873" t="n">
        <v>0</v>
      </c>
      <c r="R873" s="2" t="inlineStr"/>
    </row>
    <row r="874" ht="15" customHeight="1">
      <c r="A874" t="inlineStr">
        <is>
          <t>A 1566-2022</t>
        </is>
      </c>
      <c r="B874" s="1" t="n">
        <v>44573</v>
      </c>
      <c r="C874" s="1" t="n">
        <v>45952</v>
      </c>
      <c r="D874" t="inlineStr">
        <is>
          <t>VÄSTRA GÖTALANDS LÄN</t>
        </is>
      </c>
      <c r="E874" t="inlineStr">
        <is>
          <t>ALE</t>
        </is>
      </c>
      <c r="G874" t="n">
        <v>3</v>
      </c>
      <c r="H874" t="n">
        <v>0</v>
      </c>
      <c r="I874" t="n">
        <v>0</v>
      </c>
      <c r="J874" t="n">
        <v>0</v>
      </c>
      <c r="K874" t="n">
        <v>0</v>
      </c>
      <c r="L874" t="n">
        <v>0</v>
      </c>
      <c r="M874" t="n">
        <v>0</v>
      </c>
      <c r="N874" t="n">
        <v>0</v>
      </c>
      <c r="O874" t="n">
        <v>0</v>
      </c>
      <c r="P874" t="n">
        <v>0</v>
      </c>
      <c r="Q874" t="n">
        <v>0</v>
      </c>
      <c r="R874" s="2" t="inlineStr"/>
    </row>
    <row r="875" ht="15" customHeight="1">
      <c r="A875" t="inlineStr">
        <is>
          <t>A 56854-2021</t>
        </is>
      </c>
      <c r="B875" s="1" t="n">
        <v>44481.68056712963</v>
      </c>
      <c r="C875" s="1" t="n">
        <v>45952</v>
      </c>
      <c r="D875" t="inlineStr">
        <is>
          <t>VÄSTRA GÖTALANDS LÄN</t>
        </is>
      </c>
      <c r="E875" t="inlineStr">
        <is>
          <t>TIDAHOLM</t>
        </is>
      </c>
      <c r="G875" t="n">
        <v>4.3</v>
      </c>
      <c r="H875" t="n">
        <v>0</v>
      </c>
      <c r="I875" t="n">
        <v>0</v>
      </c>
      <c r="J875" t="n">
        <v>0</v>
      </c>
      <c r="K875" t="n">
        <v>0</v>
      </c>
      <c r="L875" t="n">
        <v>0</v>
      </c>
      <c r="M875" t="n">
        <v>0</v>
      </c>
      <c r="N875" t="n">
        <v>0</v>
      </c>
      <c r="O875" t="n">
        <v>0</v>
      </c>
      <c r="P875" t="n">
        <v>0</v>
      </c>
      <c r="Q875" t="n">
        <v>0</v>
      </c>
      <c r="R875" s="2" t="inlineStr"/>
    </row>
    <row r="876" ht="15" customHeight="1">
      <c r="A876" t="inlineStr">
        <is>
          <t>A 63749-2021</t>
        </is>
      </c>
      <c r="B876" s="1" t="n">
        <v>44509</v>
      </c>
      <c r="C876" s="1" t="n">
        <v>45952</v>
      </c>
      <c r="D876" t="inlineStr">
        <is>
          <t>VÄSTRA GÖTALANDS LÄN</t>
        </is>
      </c>
      <c r="E876" t="inlineStr">
        <is>
          <t>TÖREBODA</t>
        </is>
      </c>
      <c r="G876" t="n">
        <v>2.8</v>
      </c>
      <c r="H876" t="n">
        <v>0</v>
      </c>
      <c r="I876" t="n">
        <v>0</v>
      </c>
      <c r="J876" t="n">
        <v>0</v>
      </c>
      <c r="K876" t="n">
        <v>0</v>
      </c>
      <c r="L876" t="n">
        <v>0</v>
      </c>
      <c r="M876" t="n">
        <v>0</v>
      </c>
      <c r="N876" t="n">
        <v>0</v>
      </c>
      <c r="O876" t="n">
        <v>0</v>
      </c>
      <c r="P876" t="n">
        <v>0</v>
      </c>
      <c r="Q876" t="n">
        <v>0</v>
      </c>
      <c r="R876" s="2" t="inlineStr"/>
    </row>
    <row r="877" ht="15" customHeight="1">
      <c r="A877" t="inlineStr">
        <is>
          <t>A 24538-2021</t>
        </is>
      </c>
      <c r="B877" s="1" t="n">
        <v>44339</v>
      </c>
      <c r="C877" s="1" t="n">
        <v>45952</v>
      </c>
      <c r="D877" t="inlineStr">
        <is>
          <t>VÄSTRA GÖTALANDS LÄN</t>
        </is>
      </c>
      <c r="E877" t="inlineStr">
        <is>
          <t>MUNKEDAL</t>
        </is>
      </c>
      <c r="G877" t="n">
        <v>3.4</v>
      </c>
      <c r="H877" t="n">
        <v>0</v>
      </c>
      <c r="I877" t="n">
        <v>0</v>
      </c>
      <c r="J877" t="n">
        <v>0</v>
      </c>
      <c r="K877" t="n">
        <v>0</v>
      </c>
      <c r="L877" t="n">
        <v>0</v>
      </c>
      <c r="M877" t="n">
        <v>0</v>
      </c>
      <c r="N877" t="n">
        <v>0</v>
      </c>
      <c r="O877" t="n">
        <v>0</v>
      </c>
      <c r="P877" t="n">
        <v>0</v>
      </c>
      <c r="Q877" t="n">
        <v>0</v>
      </c>
      <c r="R877" s="2" t="inlineStr"/>
    </row>
    <row r="878" ht="15" customHeight="1">
      <c r="A878" t="inlineStr">
        <is>
          <t>A 66556-2021</t>
        </is>
      </c>
      <c r="B878" s="1" t="n">
        <v>44519.41203703704</v>
      </c>
      <c r="C878" s="1" t="n">
        <v>45952</v>
      </c>
      <c r="D878" t="inlineStr">
        <is>
          <t>VÄSTRA GÖTALANDS LÄN</t>
        </is>
      </c>
      <c r="E878" t="inlineStr">
        <is>
          <t>KARLSBORG</t>
        </is>
      </c>
      <c r="G878" t="n">
        <v>3.5</v>
      </c>
      <c r="H878" t="n">
        <v>0</v>
      </c>
      <c r="I878" t="n">
        <v>0</v>
      </c>
      <c r="J878" t="n">
        <v>0</v>
      </c>
      <c r="K878" t="n">
        <v>0</v>
      </c>
      <c r="L878" t="n">
        <v>0</v>
      </c>
      <c r="M878" t="n">
        <v>0</v>
      </c>
      <c r="N878" t="n">
        <v>0</v>
      </c>
      <c r="O878" t="n">
        <v>0</v>
      </c>
      <c r="P878" t="n">
        <v>0</v>
      </c>
      <c r="Q878" t="n">
        <v>0</v>
      </c>
      <c r="R878" s="2" t="inlineStr"/>
    </row>
    <row r="879" ht="15" customHeight="1">
      <c r="A879" t="inlineStr">
        <is>
          <t>A 35390-2021</t>
        </is>
      </c>
      <c r="B879" s="1" t="n">
        <v>44385.35335648148</v>
      </c>
      <c r="C879" s="1" t="n">
        <v>45952</v>
      </c>
      <c r="D879" t="inlineStr">
        <is>
          <t>VÄSTRA GÖTALANDS LÄN</t>
        </is>
      </c>
      <c r="E879" t="inlineStr">
        <is>
          <t>ESSUNGA</t>
        </is>
      </c>
      <c r="G879" t="n">
        <v>0.6</v>
      </c>
      <c r="H879" t="n">
        <v>0</v>
      </c>
      <c r="I879" t="n">
        <v>0</v>
      </c>
      <c r="J879" t="n">
        <v>0</v>
      </c>
      <c r="K879" t="n">
        <v>0</v>
      </c>
      <c r="L879" t="n">
        <v>0</v>
      </c>
      <c r="M879" t="n">
        <v>0</v>
      </c>
      <c r="N879" t="n">
        <v>0</v>
      </c>
      <c r="O879" t="n">
        <v>0</v>
      </c>
      <c r="P879" t="n">
        <v>0</v>
      </c>
      <c r="Q879" t="n">
        <v>0</v>
      </c>
      <c r="R879" s="2" t="inlineStr"/>
    </row>
    <row r="880" ht="15" customHeight="1">
      <c r="A880" t="inlineStr">
        <is>
          <t>A 74438-2021</t>
        </is>
      </c>
      <c r="B880" s="1" t="n">
        <v>44560</v>
      </c>
      <c r="C880" s="1" t="n">
        <v>45952</v>
      </c>
      <c r="D880" t="inlineStr">
        <is>
          <t>VÄSTRA GÖTALANDS LÄN</t>
        </is>
      </c>
      <c r="E880" t="inlineStr">
        <is>
          <t>SKARA</t>
        </is>
      </c>
      <c r="G880" t="n">
        <v>3</v>
      </c>
      <c r="H880" t="n">
        <v>0</v>
      </c>
      <c r="I880" t="n">
        <v>0</v>
      </c>
      <c r="J880" t="n">
        <v>0</v>
      </c>
      <c r="K880" t="n">
        <v>0</v>
      </c>
      <c r="L880" t="n">
        <v>0</v>
      </c>
      <c r="M880" t="n">
        <v>0</v>
      </c>
      <c r="N880" t="n">
        <v>0</v>
      </c>
      <c r="O880" t="n">
        <v>0</v>
      </c>
      <c r="P880" t="n">
        <v>0</v>
      </c>
      <c r="Q880" t="n">
        <v>0</v>
      </c>
      <c r="R880" s="2" t="inlineStr"/>
    </row>
    <row r="881" ht="15" customHeight="1">
      <c r="A881" t="inlineStr">
        <is>
          <t>A 64771-2020</t>
        </is>
      </c>
      <c r="B881" s="1" t="n">
        <v>44169</v>
      </c>
      <c r="C881" s="1" t="n">
        <v>45952</v>
      </c>
      <c r="D881" t="inlineStr">
        <is>
          <t>VÄSTRA GÖTALANDS LÄN</t>
        </is>
      </c>
      <c r="E881" t="inlineStr">
        <is>
          <t>FÄRGELANDA</t>
        </is>
      </c>
      <c r="G881" t="n">
        <v>3.2</v>
      </c>
      <c r="H881" t="n">
        <v>0</v>
      </c>
      <c r="I881" t="n">
        <v>0</v>
      </c>
      <c r="J881" t="n">
        <v>0</v>
      </c>
      <c r="K881" t="n">
        <v>0</v>
      </c>
      <c r="L881" t="n">
        <v>0</v>
      </c>
      <c r="M881" t="n">
        <v>0</v>
      </c>
      <c r="N881" t="n">
        <v>0</v>
      </c>
      <c r="O881" t="n">
        <v>0</v>
      </c>
      <c r="P881" t="n">
        <v>0</v>
      </c>
      <c r="Q881" t="n">
        <v>0</v>
      </c>
      <c r="R881" s="2" t="inlineStr"/>
    </row>
    <row r="882" ht="15" customHeight="1">
      <c r="A882" t="inlineStr">
        <is>
          <t>A 2981-2021</t>
        </is>
      </c>
      <c r="B882" s="1" t="n">
        <v>44216</v>
      </c>
      <c r="C882" s="1" t="n">
        <v>45952</v>
      </c>
      <c r="D882" t="inlineStr">
        <is>
          <t>VÄSTRA GÖTALANDS LÄN</t>
        </is>
      </c>
      <c r="E882" t="inlineStr">
        <is>
          <t>MARK</t>
        </is>
      </c>
      <c r="G882" t="n">
        <v>6.8</v>
      </c>
      <c r="H882" t="n">
        <v>0</v>
      </c>
      <c r="I882" t="n">
        <v>0</v>
      </c>
      <c r="J882" t="n">
        <v>0</v>
      </c>
      <c r="K882" t="n">
        <v>0</v>
      </c>
      <c r="L882" t="n">
        <v>0</v>
      </c>
      <c r="M882" t="n">
        <v>0</v>
      </c>
      <c r="N882" t="n">
        <v>0</v>
      </c>
      <c r="O882" t="n">
        <v>0</v>
      </c>
      <c r="P882" t="n">
        <v>0</v>
      </c>
      <c r="Q882" t="n">
        <v>0</v>
      </c>
      <c r="R882" s="2" t="inlineStr"/>
    </row>
    <row r="883" ht="15" customHeight="1">
      <c r="A883" t="inlineStr">
        <is>
          <t>A 36413-2021</t>
        </is>
      </c>
      <c r="B883" s="1" t="n">
        <v>44390.66479166667</v>
      </c>
      <c r="C883" s="1" t="n">
        <v>45952</v>
      </c>
      <c r="D883" t="inlineStr">
        <is>
          <t>VÄSTRA GÖTALANDS LÄN</t>
        </is>
      </c>
      <c r="E883" t="inlineStr">
        <is>
          <t>SVENLJUNGA</t>
        </is>
      </c>
      <c r="G883" t="n">
        <v>8.699999999999999</v>
      </c>
      <c r="H883" t="n">
        <v>0</v>
      </c>
      <c r="I883" t="n">
        <v>0</v>
      </c>
      <c r="J883" t="n">
        <v>0</v>
      </c>
      <c r="K883" t="n">
        <v>0</v>
      </c>
      <c r="L883" t="n">
        <v>0</v>
      </c>
      <c r="M883" t="n">
        <v>0</v>
      </c>
      <c r="N883" t="n">
        <v>0</v>
      </c>
      <c r="O883" t="n">
        <v>0</v>
      </c>
      <c r="P883" t="n">
        <v>0</v>
      </c>
      <c r="Q883" t="n">
        <v>0</v>
      </c>
      <c r="R883" s="2" t="inlineStr"/>
    </row>
    <row r="884" ht="15" customHeight="1">
      <c r="A884" t="inlineStr">
        <is>
          <t>A 50102-2021</t>
        </is>
      </c>
      <c r="B884" s="1" t="n">
        <v>44456.62418981481</v>
      </c>
      <c r="C884" s="1" t="n">
        <v>45952</v>
      </c>
      <c r="D884" t="inlineStr">
        <is>
          <t>VÄSTRA GÖTALANDS LÄN</t>
        </is>
      </c>
      <c r="E884" t="inlineStr">
        <is>
          <t>MARK</t>
        </is>
      </c>
      <c r="G884" t="n">
        <v>0.6</v>
      </c>
      <c r="H884" t="n">
        <v>0</v>
      </c>
      <c r="I884" t="n">
        <v>0</v>
      </c>
      <c r="J884" t="n">
        <v>0</v>
      </c>
      <c r="K884" t="n">
        <v>0</v>
      </c>
      <c r="L884" t="n">
        <v>0</v>
      </c>
      <c r="M884" t="n">
        <v>0</v>
      </c>
      <c r="N884" t="n">
        <v>0</v>
      </c>
      <c r="O884" t="n">
        <v>0</v>
      </c>
      <c r="P884" t="n">
        <v>0</v>
      </c>
      <c r="Q884" t="n">
        <v>0</v>
      </c>
      <c r="R884" s="2" t="inlineStr"/>
    </row>
    <row r="885" ht="15" customHeight="1">
      <c r="A885" t="inlineStr">
        <is>
          <t>A 47168-2021</t>
        </is>
      </c>
      <c r="B885" s="1" t="n">
        <v>44446</v>
      </c>
      <c r="C885" s="1" t="n">
        <v>45952</v>
      </c>
      <c r="D885" t="inlineStr">
        <is>
          <t>VÄSTRA GÖTALANDS LÄN</t>
        </is>
      </c>
      <c r="E885" t="inlineStr">
        <is>
          <t>TANUM</t>
        </is>
      </c>
      <c r="G885" t="n">
        <v>0.2</v>
      </c>
      <c r="H885" t="n">
        <v>0</v>
      </c>
      <c r="I885" t="n">
        <v>0</v>
      </c>
      <c r="J885" t="n">
        <v>0</v>
      </c>
      <c r="K885" t="n">
        <v>0</v>
      </c>
      <c r="L885" t="n">
        <v>0</v>
      </c>
      <c r="M885" t="n">
        <v>0</v>
      </c>
      <c r="N885" t="n">
        <v>0</v>
      </c>
      <c r="O885" t="n">
        <v>0</v>
      </c>
      <c r="P885" t="n">
        <v>0</v>
      </c>
      <c r="Q885" t="n">
        <v>0</v>
      </c>
      <c r="R885" s="2" t="inlineStr"/>
    </row>
    <row r="886" ht="15" customHeight="1">
      <c r="A886" t="inlineStr">
        <is>
          <t>A 16546-2021</t>
        </is>
      </c>
      <c r="B886" s="1" t="n">
        <v>44293</v>
      </c>
      <c r="C886" s="1" t="n">
        <v>45952</v>
      </c>
      <c r="D886" t="inlineStr">
        <is>
          <t>VÄSTRA GÖTALANDS LÄN</t>
        </is>
      </c>
      <c r="E886" t="inlineStr">
        <is>
          <t>FÄRGELANDA</t>
        </is>
      </c>
      <c r="G886" t="n">
        <v>5.7</v>
      </c>
      <c r="H886" t="n">
        <v>0</v>
      </c>
      <c r="I886" t="n">
        <v>0</v>
      </c>
      <c r="J886" t="n">
        <v>0</v>
      </c>
      <c r="K886" t="n">
        <v>0</v>
      </c>
      <c r="L886" t="n">
        <v>0</v>
      </c>
      <c r="M886" t="n">
        <v>0</v>
      </c>
      <c r="N886" t="n">
        <v>0</v>
      </c>
      <c r="O886" t="n">
        <v>0</v>
      </c>
      <c r="P886" t="n">
        <v>0</v>
      </c>
      <c r="Q886" t="n">
        <v>0</v>
      </c>
      <c r="R886" s="2" t="inlineStr"/>
    </row>
    <row r="887" ht="15" customHeight="1">
      <c r="A887" t="inlineStr">
        <is>
          <t>A 3380-2021</t>
        </is>
      </c>
      <c r="B887" s="1" t="n">
        <v>44218</v>
      </c>
      <c r="C887" s="1" t="n">
        <v>45952</v>
      </c>
      <c r="D887" t="inlineStr">
        <is>
          <t>VÄSTRA GÖTALANDS LÄN</t>
        </is>
      </c>
      <c r="E887" t="inlineStr">
        <is>
          <t>ULRICEHAMN</t>
        </is>
      </c>
      <c r="G887" t="n">
        <v>0.6</v>
      </c>
      <c r="H887" t="n">
        <v>0</v>
      </c>
      <c r="I887" t="n">
        <v>0</v>
      </c>
      <c r="J887" t="n">
        <v>0</v>
      </c>
      <c r="K887" t="n">
        <v>0</v>
      </c>
      <c r="L887" t="n">
        <v>0</v>
      </c>
      <c r="M887" t="n">
        <v>0</v>
      </c>
      <c r="N887" t="n">
        <v>0</v>
      </c>
      <c r="O887" t="n">
        <v>0</v>
      </c>
      <c r="P887" t="n">
        <v>0</v>
      </c>
      <c r="Q887" t="n">
        <v>0</v>
      </c>
      <c r="R887" s="2" t="inlineStr"/>
    </row>
    <row r="888" ht="15" customHeight="1">
      <c r="A888" t="inlineStr">
        <is>
          <t>A 1917-2021</t>
        </is>
      </c>
      <c r="B888" s="1" t="n">
        <v>44210</v>
      </c>
      <c r="C888" s="1" t="n">
        <v>45952</v>
      </c>
      <c r="D888" t="inlineStr">
        <is>
          <t>VÄSTRA GÖTALANDS LÄN</t>
        </is>
      </c>
      <c r="E888" t="inlineStr">
        <is>
          <t>TRANEMO</t>
        </is>
      </c>
      <c r="G888" t="n">
        <v>2</v>
      </c>
      <c r="H888" t="n">
        <v>0</v>
      </c>
      <c r="I888" t="n">
        <v>0</v>
      </c>
      <c r="J888" t="n">
        <v>0</v>
      </c>
      <c r="K888" t="n">
        <v>0</v>
      </c>
      <c r="L888" t="n">
        <v>0</v>
      </c>
      <c r="M888" t="n">
        <v>0</v>
      </c>
      <c r="N888" t="n">
        <v>0</v>
      </c>
      <c r="O888" t="n">
        <v>0</v>
      </c>
      <c r="P888" t="n">
        <v>0</v>
      </c>
      <c r="Q888" t="n">
        <v>0</v>
      </c>
      <c r="R888" s="2" t="inlineStr"/>
    </row>
    <row r="889" ht="15" customHeight="1">
      <c r="A889" t="inlineStr">
        <is>
          <t>A 3290-2022</t>
        </is>
      </c>
      <c r="B889" s="1" t="n">
        <v>44584.74694444444</v>
      </c>
      <c r="C889" s="1" t="n">
        <v>45952</v>
      </c>
      <c r="D889" t="inlineStr">
        <is>
          <t>VÄSTRA GÖTALANDS LÄN</t>
        </is>
      </c>
      <c r="E889" t="inlineStr">
        <is>
          <t>KARLSBORG</t>
        </is>
      </c>
      <c r="G889" t="n">
        <v>1.7</v>
      </c>
      <c r="H889" t="n">
        <v>0</v>
      </c>
      <c r="I889" t="n">
        <v>0</v>
      </c>
      <c r="J889" t="n">
        <v>0</v>
      </c>
      <c r="K889" t="n">
        <v>0</v>
      </c>
      <c r="L889" t="n">
        <v>0</v>
      </c>
      <c r="M889" t="n">
        <v>0</v>
      </c>
      <c r="N889" t="n">
        <v>0</v>
      </c>
      <c r="O889" t="n">
        <v>0</v>
      </c>
      <c r="P889" t="n">
        <v>0</v>
      </c>
      <c r="Q889" t="n">
        <v>0</v>
      </c>
      <c r="R889" s="2" t="inlineStr"/>
    </row>
    <row r="890" ht="15" customHeight="1">
      <c r="A890" t="inlineStr">
        <is>
          <t>A 8486-2022</t>
        </is>
      </c>
      <c r="B890" s="1" t="n">
        <v>44613.37336805555</v>
      </c>
      <c r="C890" s="1" t="n">
        <v>45952</v>
      </c>
      <c r="D890" t="inlineStr">
        <is>
          <t>VÄSTRA GÖTALANDS LÄN</t>
        </is>
      </c>
      <c r="E890" t="inlineStr">
        <is>
          <t>ULRICEHAMN</t>
        </is>
      </c>
      <c r="G890" t="n">
        <v>1</v>
      </c>
      <c r="H890" t="n">
        <v>0</v>
      </c>
      <c r="I890" t="n">
        <v>0</v>
      </c>
      <c r="J890" t="n">
        <v>0</v>
      </c>
      <c r="K890" t="n">
        <v>0</v>
      </c>
      <c r="L890" t="n">
        <v>0</v>
      </c>
      <c r="M890" t="n">
        <v>0</v>
      </c>
      <c r="N890" t="n">
        <v>0</v>
      </c>
      <c r="O890" t="n">
        <v>0</v>
      </c>
      <c r="P890" t="n">
        <v>0</v>
      </c>
      <c r="Q890" t="n">
        <v>0</v>
      </c>
      <c r="R890" s="2" t="inlineStr"/>
    </row>
    <row r="891" ht="15" customHeight="1">
      <c r="A891" t="inlineStr">
        <is>
          <t>A 6870-2022</t>
        </is>
      </c>
      <c r="B891" s="1" t="n">
        <v>44602</v>
      </c>
      <c r="C891" s="1" t="n">
        <v>45952</v>
      </c>
      <c r="D891" t="inlineStr">
        <is>
          <t>VÄSTRA GÖTALANDS LÄN</t>
        </is>
      </c>
      <c r="E891" t="inlineStr">
        <is>
          <t>TIBRO</t>
        </is>
      </c>
      <c r="G891" t="n">
        <v>1.8</v>
      </c>
      <c r="H891" t="n">
        <v>0</v>
      </c>
      <c r="I891" t="n">
        <v>0</v>
      </c>
      <c r="J891" t="n">
        <v>0</v>
      </c>
      <c r="K891" t="n">
        <v>0</v>
      </c>
      <c r="L891" t="n">
        <v>0</v>
      </c>
      <c r="M891" t="n">
        <v>0</v>
      </c>
      <c r="N891" t="n">
        <v>0</v>
      </c>
      <c r="O891" t="n">
        <v>0</v>
      </c>
      <c r="P891" t="n">
        <v>0</v>
      </c>
      <c r="Q891" t="n">
        <v>0</v>
      </c>
      <c r="R891" s="2" t="inlineStr"/>
    </row>
    <row r="892" ht="15" customHeight="1">
      <c r="A892" t="inlineStr">
        <is>
          <t>A 59053-2021</t>
        </is>
      </c>
      <c r="B892" s="1" t="n">
        <v>44490.36791666667</v>
      </c>
      <c r="C892" s="1" t="n">
        <v>45952</v>
      </c>
      <c r="D892" t="inlineStr">
        <is>
          <t>VÄSTRA GÖTALANDS LÄN</t>
        </is>
      </c>
      <c r="E892" t="inlineStr">
        <is>
          <t>FÄRGELANDA</t>
        </is>
      </c>
      <c r="G892" t="n">
        <v>1.5</v>
      </c>
      <c r="H892" t="n">
        <v>0</v>
      </c>
      <c r="I892" t="n">
        <v>0</v>
      </c>
      <c r="J892" t="n">
        <v>0</v>
      </c>
      <c r="K892" t="n">
        <v>0</v>
      </c>
      <c r="L892" t="n">
        <v>0</v>
      </c>
      <c r="M892" t="n">
        <v>0</v>
      </c>
      <c r="N892" t="n">
        <v>0</v>
      </c>
      <c r="O892" t="n">
        <v>0</v>
      </c>
      <c r="P892" t="n">
        <v>0</v>
      </c>
      <c r="Q892" t="n">
        <v>0</v>
      </c>
      <c r="R892" s="2" t="inlineStr"/>
    </row>
    <row r="893" ht="15" customHeight="1">
      <c r="A893" t="inlineStr">
        <is>
          <t>A 34611-2021</t>
        </is>
      </c>
      <c r="B893" s="1" t="n">
        <v>44382</v>
      </c>
      <c r="C893" s="1" t="n">
        <v>45952</v>
      </c>
      <c r="D893" t="inlineStr">
        <is>
          <t>VÄSTRA GÖTALANDS LÄN</t>
        </is>
      </c>
      <c r="E893" t="inlineStr">
        <is>
          <t>VÄNERSBORG</t>
        </is>
      </c>
      <c r="F893" t="inlineStr">
        <is>
          <t>Sveaskog</t>
        </is>
      </c>
      <c r="G893" t="n">
        <v>1.4</v>
      </c>
      <c r="H893" t="n">
        <v>0</v>
      </c>
      <c r="I893" t="n">
        <v>0</v>
      </c>
      <c r="J893" t="n">
        <v>0</v>
      </c>
      <c r="K893" t="n">
        <v>0</v>
      </c>
      <c r="L893" t="n">
        <v>0</v>
      </c>
      <c r="M893" t="n">
        <v>0</v>
      </c>
      <c r="N893" t="n">
        <v>0</v>
      </c>
      <c r="O893" t="n">
        <v>0</v>
      </c>
      <c r="P893" t="n">
        <v>0</v>
      </c>
      <c r="Q893" t="n">
        <v>0</v>
      </c>
      <c r="R893" s="2" t="inlineStr"/>
    </row>
    <row r="894" ht="15" customHeight="1">
      <c r="A894" t="inlineStr">
        <is>
          <t>A 33373-2022</t>
        </is>
      </c>
      <c r="B894" s="1" t="n">
        <v>44788</v>
      </c>
      <c r="C894" s="1" t="n">
        <v>45952</v>
      </c>
      <c r="D894" t="inlineStr">
        <is>
          <t>VÄSTRA GÖTALANDS LÄN</t>
        </is>
      </c>
      <c r="E894" t="inlineStr">
        <is>
          <t>LIDKÖPING</t>
        </is>
      </c>
      <c r="G894" t="n">
        <v>2.3</v>
      </c>
      <c r="H894" t="n">
        <v>0</v>
      </c>
      <c r="I894" t="n">
        <v>0</v>
      </c>
      <c r="J894" t="n">
        <v>0</v>
      </c>
      <c r="K894" t="n">
        <v>0</v>
      </c>
      <c r="L894" t="n">
        <v>0</v>
      </c>
      <c r="M894" t="n">
        <v>0</v>
      </c>
      <c r="N894" t="n">
        <v>0</v>
      </c>
      <c r="O894" t="n">
        <v>0</v>
      </c>
      <c r="P894" t="n">
        <v>0</v>
      </c>
      <c r="Q894" t="n">
        <v>0</v>
      </c>
      <c r="R894" s="2" t="inlineStr"/>
    </row>
    <row r="895" ht="15" customHeight="1">
      <c r="A895" t="inlineStr">
        <is>
          <t>A 28560-2021</t>
        </is>
      </c>
      <c r="B895" s="1" t="n">
        <v>44356.69309027777</v>
      </c>
      <c r="C895" s="1" t="n">
        <v>45952</v>
      </c>
      <c r="D895" t="inlineStr">
        <is>
          <t>VÄSTRA GÖTALANDS LÄN</t>
        </is>
      </c>
      <c r="E895" t="inlineStr">
        <is>
          <t>MARK</t>
        </is>
      </c>
      <c r="G895" t="n">
        <v>1.2</v>
      </c>
      <c r="H895" t="n">
        <v>0</v>
      </c>
      <c r="I895" t="n">
        <v>0</v>
      </c>
      <c r="J895" t="n">
        <v>0</v>
      </c>
      <c r="K895" t="n">
        <v>0</v>
      </c>
      <c r="L895" t="n">
        <v>0</v>
      </c>
      <c r="M895" t="n">
        <v>0</v>
      </c>
      <c r="N895" t="n">
        <v>0</v>
      </c>
      <c r="O895" t="n">
        <v>0</v>
      </c>
      <c r="P895" t="n">
        <v>0</v>
      </c>
      <c r="Q895" t="n">
        <v>0</v>
      </c>
      <c r="R895" s="2" t="inlineStr"/>
    </row>
    <row r="896" ht="15" customHeight="1">
      <c r="A896" t="inlineStr">
        <is>
          <t>A 35602-2022</t>
        </is>
      </c>
      <c r="B896" s="1" t="n">
        <v>44799.45684027778</v>
      </c>
      <c r="C896" s="1" t="n">
        <v>45952</v>
      </c>
      <c r="D896" t="inlineStr">
        <is>
          <t>VÄSTRA GÖTALANDS LÄN</t>
        </is>
      </c>
      <c r="E896" t="inlineStr">
        <is>
          <t>HJO</t>
        </is>
      </c>
      <c r="G896" t="n">
        <v>0.9</v>
      </c>
      <c r="H896" t="n">
        <v>0</v>
      </c>
      <c r="I896" t="n">
        <v>0</v>
      </c>
      <c r="J896" t="n">
        <v>0</v>
      </c>
      <c r="K896" t="n">
        <v>0</v>
      </c>
      <c r="L896" t="n">
        <v>0</v>
      </c>
      <c r="M896" t="n">
        <v>0</v>
      </c>
      <c r="N896" t="n">
        <v>0</v>
      </c>
      <c r="O896" t="n">
        <v>0</v>
      </c>
      <c r="P896" t="n">
        <v>0</v>
      </c>
      <c r="Q896" t="n">
        <v>0</v>
      </c>
      <c r="R896" s="2" t="inlineStr"/>
    </row>
    <row r="897" ht="15" customHeight="1">
      <c r="A897" t="inlineStr">
        <is>
          <t>A 35607-2022</t>
        </is>
      </c>
      <c r="B897" s="1" t="n">
        <v>44799</v>
      </c>
      <c r="C897" s="1" t="n">
        <v>45952</v>
      </c>
      <c r="D897" t="inlineStr">
        <is>
          <t>VÄSTRA GÖTALANDS LÄN</t>
        </is>
      </c>
      <c r="E897" t="inlineStr">
        <is>
          <t>SKARA</t>
        </is>
      </c>
      <c r="G897" t="n">
        <v>1.9</v>
      </c>
      <c r="H897" t="n">
        <v>0</v>
      </c>
      <c r="I897" t="n">
        <v>0</v>
      </c>
      <c r="J897" t="n">
        <v>0</v>
      </c>
      <c r="K897" t="n">
        <v>0</v>
      </c>
      <c r="L897" t="n">
        <v>0</v>
      </c>
      <c r="M897" t="n">
        <v>0</v>
      </c>
      <c r="N897" t="n">
        <v>0</v>
      </c>
      <c r="O897" t="n">
        <v>0</v>
      </c>
      <c r="P897" t="n">
        <v>0</v>
      </c>
      <c r="Q897" t="n">
        <v>0</v>
      </c>
      <c r="R897" s="2" t="inlineStr"/>
    </row>
    <row r="898" ht="15" customHeight="1">
      <c r="A898" t="inlineStr">
        <is>
          <t>A 24049-2022</t>
        </is>
      </c>
      <c r="B898" s="1" t="n">
        <v>44724</v>
      </c>
      <c r="C898" s="1" t="n">
        <v>45952</v>
      </c>
      <c r="D898" t="inlineStr">
        <is>
          <t>VÄSTRA GÖTALANDS LÄN</t>
        </is>
      </c>
      <c r="E898" t="inlineStr">
        <is>
          <t>GRÄSTORP</t>
        </is>
      </c>
      <c r="G898" t="n">
        <v>2.9</v>
      </c>
      <c r="H898" t="n">
        <v>0</v>
      </c>
      <c r="I898" t="n">
        <v>0</v>
      </c>
      <c r="J898" t="n">
        <v>0</v>
      </c>
      <c r="K898" t="n">
        <v>0</v>
      </c>
      <c r="L898" t="n">
        <v>0</v>
      </c>
      <c r="M898" t="n">
        <v>0</v>
      </c>
      <c r="N898" t="n">
        <v>0</v>
      </c>
      <c r="O898" t="n">
        <v>0</v>
      </c>
      <c r="P898" t="n">
        <v>0</v>
      </c>
      <c r="Q898" t="n">
        <v>0</v>
      </c>
      <c r="R898" s="2" t="inlineStr"/>
    </row>
    <row r="899" ht="15" customHeight="1">
      <c r="A899" t="inlineStr">
        <is>
          <t>A 29569-2022</t>
        </is>
      </c>
      <c r="B899" s="1" t="n">
        <v>44754</v>
      </c>
      <c r="C899" s="1" t="n">
        <v>45952</v>
      </c>
      <c r="D899" t="inlineStr">
        <is>
          <t>VÄSTRA GÖTALANDS LÄN</t>
        </is>
      </c>
      <c r="E899" t="inlineStr">
        <is>
          <t>MELLERUD</t>
        </is>
      </c>
      <c r="G899" t="n">
        <v>0.6</v>
      </c>
      <c r="H899" t="n">
        <v>0</v>
      </c>
      <c r="I899" t="n">
        <v>0</v>
      </c>
      <c r="J899" t="n">
        <v>0</v>
      </c>
      <c r="K899" t="n">
        <v>0</v>
      </c>
      <c r="L899" t="n">
        <v>0</v>
      </c>
      <c r="M899" t="n">
        <v>0</v>
      </c>
      <c r="N899" t="n">
        <v>0</v>
      </c>
      <c r="O899" t="n">
        <v>0</v>
      </c>
      <c r="P899" t="n">
        <v>0</v>
      </c>
      <c r="Q899" t="n">
        <v>0</v>
      </c>
      <c r="R899" s="2" t="inlineStr"/>
    </row>
    <row r="900" ht="15" customHeight="1">
      <c r="A900" t="inlineStr">
        <is>
          <t>A 44110-2021</t>
        </is>
      </c>
      <c r="B900" s="1" t="n">
        <v>44434.60643518518</v>
      </c>
      <c r="C900" s="1" t="n">
        <v>45952</v>
      </c>
      <c r="D900" t="inlineStr">
        <is>
          <t>VÄSTRA GÖTALANDS LÄN</t>
        </is>
      </c>
      <c r="E900" t="inlineStr">
        <is>
          <t>TRANEMO</t>
        </is>
      </c>
      <c r="G900" t="n">
        <v>0.5</v>
      </c>
      <c r="H900" t="n">
        <v>0</v>
      </c>
      <c r="I900" t="n">
        <v>0</v>
      </c>
      <c r="J900" t="n">
        <v>0</v>
      </c>
      <c r="K900" t="n">
        <v>0</v>
      </c>
      <c r="L900" t="n">
        <v>0</v>
      </c>
      <c r="M900" t="n">
        <v>0</v>
      </c>
      <c r="N900" t="n">
        <v>0</v>
      </c>
      <c r="O900" t="n">
        <v>0</v>
      </c>
      <c r="P900" t="n">
        <v>0</v>
      </c>
      <c r="Q900" t="n">
        <v>0</v>
      </c>
      <c r="R900" s="2" t="inlineStr"/>
    </row>
    <row r="901" ht="15" customHeight="1">
      <c r="A901" t="inlineStr">
        <is>
          <t>A 47621-2021</t>
        </is>
      </c>
      <c r="B901" s="1" t="n">
        <v>44448.37072916667</v>
      </c>
      <c r="C901" s="1" t="n">
        <v>45952</v>
      </c>
      <c r="D901" t="inlineStr">
        <is>
          <t>VÄSTRA GÖTALANDS LÄN</t>
        </is>
      </c>
      <c r="E901" t="inlineStr">
        <is>
          <t>BORÅS</t>
        </is>
      </c>
      <c r="G901" t="n">
        <v>0.4</v>
      </c>
      <c r="H901" t="n">
        <v>0</v>
      </c>
      <c r="I901" t="n">
        <v>0</v>
      </c>
      <c r="J901" t="n">
        <v>0</v>
      </c>
      <c r="K901" t="n">
        <v>0</v>
      </c>
      <c r="L901" t="n">
        <v>0</v>
      </c>
      <c r="M901" t="n">
        <v>0</v>
      </c>
      <c r="N901" t="n">
        <v>0</v>
      </c>
      <c r="O901" t="n">
        <v>0</v>
      </c>
      <c r="P901" t="n">
        <v>0</v>
      </c>
      <c r="Q901" t="n">
        <v>0</v>
      </c>
      <c r="R901" s="2" t="inlineStr"/>
    </row>
    <row r="902" ht="15" customHeight="1">
      <c r="A902" t="inlineStr">
        <is>
          <t>A 65079-2020</t>
        </is>
      </c>
      <c r="B902" s="1" t="n">
        <v>44172</v>
      </c>
      <c r="C902" s="1" t="n">
        <v>45952</v>
      </c>
      <c r="D902" t="inlineStr">
        <is>
          <t>VÄSTRA GÖTALANDS LÄN</t>
        </is>
      </c>
      <c r="E902" t="inlineStr">
        <is>
          <t>ORUST</t>
        </is>
      </c>
      <c r="G902" t="n">
        <v>0.7</v>
      </c>
      <c r="H902" t="n">
        <v>0</v>
      </c>
      <c r="I902" t="n">
        <v>0</v>
      </c>
      <c r="J902" t="n">
        <v>0</v>
      </c>
      <c r="K902" t="n">
        <v>0</v>
      </c>
      <c r="L902" t="n">
        <v>0</v>
      </c>
      <c r="M902" t="n">
        <v>0</v>
      </c>
      <c r="N902" t="n">
        <v>0</v>
      </c>
      <c r="O902" t="n">
        <v>0</v>
      </c>
      <c r="P902" t="n">
        <v>0</v>
      </c>
      <c r="Q902" t="n">
        <v>0</v>
      </c>
      <c r="R902" s="2" t="inlineStr"/>
    </row>
    <row r="903" ht="15" customHeight="1">
      <c r="A903" t="inlineStr">
        <is>
          <t>A 39732-2021</t>
        </is>
      </c>
      <c r="B903" s="1" t="n">
        <v>44417.48436342592</v>
      </c>
      <c r="C903" s="1" t="n">
        <v>45952</v>
      </c>
      <c r="D903" t="inlineStr">
        <is>
          <t>VÄSTRA GÖTALANDS LÄN</t>
        </is>
      </c>
      <c r="E903" t="inlineStr">
        <is>
          <t>HERRLJUNGA</t>
        </is>
      </c>
      <c r="G903" t="n">
        <v>0.5</v>
      </c>
      <c r="H903" t="n">
        <v>0</v>
      </c>
      <c r="I903" t="n">
        <v>0</v>
      </c>
      <c r="J903" t="n">
        <v>0</v>
      </c>
      <c r="K903" t="n">
        <v>0</v>
      </c>
      <c r="L903" t="n">
        <v>0</v>
      </c>
      <c r="M903" t="n">
        <v>0</v>
      </c>
      <c r="N903" t="n">
        <v>0</v>
      </c>
      <c r="O903" t="n">
        <v>0</v>
      </c>
      <c r="P903" t="n">
        <v>0</v>
      </c>
      <c r="Q903" t="n">
        <v>0</v>
      </c>
      <c r="R903" s="2" t="inlineStr"/>
    </row>
    <row r="904" ht="15" customHeight="1">
      <c r="A904" t="inlineStr">
        <is>
          <t>A 9774-2022</t>
        </is>
      </c>
      <c r="B904" s="1" t="n">
        <v>44619.80266203704</v>
      </c>
      <c r="C904" s="1" t="n">
        <v>45952</v>
      </c>
      <c r="D904" t="inlineStr">
        <is>
          <t>VÄSTRA GÖTALANDS LÄN</t>
        </is>
      </c>
      <c r="E904" t="inlineStr">
        <is>
          <t>MARIESTAD</t>
        </is>
      </c>
      <c r="G904" t="n">
        <v>0.5</v>
      </c>
      <c r="H904" t="n">
        <v>0</v>
      </c>
      <c r="I904" t="n">
        <v>0</v>
      </c>
      <c r="J904" t="n">
        <v>0</v>
      </c>
      <c r="K904" t="n">
        <v>0</v>
      </c>
      <c r="L904" t="n">
        <v>0</v>
      </c>
      <c r="M904" t="n">
        <v>0</v>
      </c>
      <c r="N904" t="n">
        <v>0</v>
      </c>
      <c r="O904" t="n">
        <v>0</v>
      </c>
      <c r="P904" t="n">
        <v>0</v>
      </c>
      <c r="Q904" t="n">
        <v>0</v>
      </c>
      <c r="R904" s="2" t="inlineStr"/>
    </row>
    <row r="905" ht="15" customHeight="1">
      <c r="A905" t="inlineStr">
        <is>
          <t>A 68549-2021</t>
        </is>
      </c>
      <c r="B905" s="1" t="n">
        <v>44529.49225694445</v>
      </c>
      <c r="C905" s="1" t="n">
        <v>45952</v>
      </c>
      <c r="D905" t="inlineStr">
        <is>
          <t>VÄSTRA GÖTALANDS LÄN</t>
        </is>
      </c>
      <c r="E905" t="inlineStr">
        <is>
          <t>HERRLJUNGA</t>
        </is>
      </c>
      <c r="G905" t="n">
        <v>1.9</v>
      </c>
      <c r="H905" t="n">
        <v>0</v>
      </c>
      <c r="I905" t="n">
        <v>0</v>
      </c>
      <c r="J905" t="n">
        <v>0</v>
      </c>
      <c r="K905" t="n">
        <v>0</v>
      </c>
      <c r="L905" t="n">
        <v>0</v>
      </c>
      <c r="M905" t="n">
        <v>0</v>
      </c>
      <c r="N905" t="n">
        <v>0</v>
      </c>
      <c r="O905" t="n">
        <v>0</v>
      </c>
      <c r="P905" t="n">
        <v>0</v>
      </c>
      <c r="Q905" t="n">
        <v>0</v>
      </c>
      <c r="R905" s="2" t="inlineStr"/>
    </row>
    <row r="906" ht="15" customHeight="1">
      <c r="A906" t="inlineStr">
        <is>
          <t>A 562-2022</t>
        </is>
      </c>
      <c r="B906" s="1" t="n">
        <v>44566</v>
      </c>
      <c r="C906" s="1" t="n">
        <v>45952</v>
      </c>
      <c r="D906" t="inlineStr">
        <is>
          <t>VÄSTRA GÖTALANDS LÄN</t>
        </is>
      </c>
      <c r="E906" t="inlineStr">
        <is>
          <t>GÖTENE</t>
        </is>
      </c>
      <c r="G906" t="n">
        <v>1.2</v>
      </c>
      <c r="H906" t="n">
        <v>0</v>
      </c>
      <c r="I906" t="n">
        <v>0</v>
      </c>
      <c r="J906" t="n">
        <v>0</v>
      </c>
      <c r="K906" t="n">
        <v>0</v>
      </c>
      <c r="L906" t="n">
        <v>0</v>
      </c>
      <c r="M906" t="n">
        <v>0</v>
      </c>
      <c r="N906" t="n">
        <v>0</v>
      </c>
      <c r="O906" t="n">
        <v>0</v>
      </c>
      <c r="P906" t="n">
        <v>0</v>
      </c>
      <c r="Q906" t="n">
        <v>0</v>
      </c>
      <c r="R906" s="2" t="inlineStr"/>
    </row>
    <row r="907" ht="15" customHeight="1">
      <c r="A907" t="inlineStr">
        <is>
          <t>A 31208-2021</t>
        </is>
      </c>
      <c r="B907" s="1" t="n">
        <v>44368</v>
      </c>
      <c r="C907" s="1" t="n">
        <v>45952</v>
      </c>
      <c r="D907" t="inlineStr">
        <is>
          <t>VÄSTRA GÖTALANDS LÄN</t>
        </is>
      </c>
      <c r="E907" t="inlineStr">
        <is>
          <t>ÅMÅL</t>
        </is>
      </c>
      <c r="G907" t="n">
        <v>2.3</v>
      </c>
      <c r="H907" t="n">
        <v>0</v>
      </c>
      <c r="I907" t="n">
        <v>0</v>
      </c>
      <c r="J907" t="n">
        <v>0</v>
      </c>
      <c r="K907" t="n">
        <v>0</v>
      </c>
      <c r="L907" t="n">
        <v>0</v>
      </c>
      <c r="M907" t="n">
        <v>0</v>
      </c>
      <c r="N907" t="n">
        <v>0</v>
      </c>
      <c r="O907" t="n">
        <v>0</v>
      </c>
      <c r="P907" t="n">
        <v>0</v>
      </c>
      <c r="Q907" t="n">
        <v>0</v>
      </c>
      <c r="R907" s="2" t="inlineStr"/>
    </row>
    <row r="908" ht="15" customHeight="1">
      <c r="A908" t="inlineStr">
        <is>
          <t>A 43997-2021</t>
        </is>
      </c>
      <c r="B908" s="1" t="n">
        <v>44434</v>
      </c>
      <c r="C908" s="1" t="n">
        <v>45952</v>
      </c>
      <c r="D908" t="inlineStr">
        <is>
          <t>VÄSTRA GÖTALANDS LÄN</t>
        </is>
      </c>
      <c r="E908" t="inlineStr">
        <is>
          <t>FALKÖPING</t>
        </is>
      </c>
      <c r="G908" t="n">
        <v>2.1</v>
      </c>
      <c r="H908" t="n">
        <v>0</v>
      </c>
      <c r="I908" t="n">
        <v>0</v>
      </c>
      <c r="J908" t="n">
        <v>0</v>
      </c>
      <c r="K908" t="n">
        <v>0</v>
      </c>
      <c r="L908" t="n">
        <v>0</v>
      </c>
      <c r="M908" t="n">
        <v>0</v>
      </c>
      <c r="N908" t="n">
        <v>0</v>
      </c>
      <c r="O908" t="n">
        <v>0</v>
      </c>
      <c r="P908" t="n">
        <v>0</v>
      </c>
      <c r="Q908" t="n">
        <v>0</v>
      </c>
      <c r="R908" s="2" t="inlineStr"/>
    </row>
    <row r="909" ht="15" customHeight="1">
      <c r="A909" t="inlineStr">
        <is>
          <t>A 70450-2021</t>
        </is>
      </c>
      <c r="B909" s="1" t="n">
        <v>44536.64174768519</v>
      </c>
      <c r="C909" s="1" t="n">
        <v>45952</v>
      </c>
      <c r="D909" t="inlineStr">
        <is>
          <t>VÄSTRA GÖTALANDS LÄN</t>
        </is>
      </c>
      <c r="E909" t="inlineStr">
        <is>
          <t>KARLSBORG</t>
        </is>
      </c>
      <c r="F909" t="inlineStr">
        <is>
          <t>Övriga Aktiebolag</t>
        </is>
      </c>
      <c r="G909" t="n">
        <v>3.5</v>
      </c>
      <c r="H909" t="n">
        <v>0</v>
      </c>
      <c r="I909" t="n">
        <v>0</v>
      </c>
      <c r="J909" t="n">
        <v>0</v>
      </c>
      <c r="K909" t="n">
        <v>0</v>
      </c>
      <c r="L909" t="n">
        <v>0</v>
      </c>
      <c r="M909" t="n">
        <v>0</v>
      </c>
      <c r="N909" t="n">
        <v>0</v>
      </c>
      <c r="O909" t="n">
        <v>0</v>
      </c>
      <c r="P909" t="n">
        <v>0</v>
      </c>
      <c r="Q909" t="n">
        <v>0</v>
      </c>
      <c r="R909" s="2" t="inlineStr"/>
    </row>
    <row r="910" ht="15" customHeight="1">
      <c r="A910" t="inlineStr">
        <is>
          <t>A 25504-2022</t>
        </is>
      </c>
      <c r="B910" s="1" t="n">
        <v>44732</v>
      </c>
      <c r="C910" s="1" t="n">
        <v>45952</v>
      </c>
      <c r="D910" t="inlineStr">
        <is>
          <t>VÄSTRA GÖTALANDS LÄN</t>
        </is>
      </c>
      <c r="E910" t="inlineStr">
        <is>
          <t>HÄRRYDA</t>
        </is>
      </c>
      <c r="G910" t="n">
        <v>0.6</v>
      </c>
      <c r="H910" t="n">
        <v>0</v>
      </c>
      <c r="I910" t="n">
        <v>0</v>
      </c>
      <c r="J910" t="n">
        <v>0</v>
      </c>
      <c r="K910" t="n">
        <v>0</v>
      </c>
      <c r="L910" t="n">
        <v>0</v>
      </c>
      <c r="M910" t="n">
        <v>0</v>
      </c>
      <c r="N910" t="n">
        <v>0</v>
      </c>
      <c r="O910" t="n">
        <v>0</v>
      </c>
      <c r="P910" t="n">
        <v>0</v>
      </c>
      <c r="Q910" t="n">
        <v>0</v>
      </c>
      <c r="R910" s="2" t="inlineStr"/>
    </row>
    <row r="911" ht="15" customHeight="1">
      <c r="A911" t="inlineStr">
        <is>
          <t>A 3607-2022</t>
        </is>
      </c>
      <c r="B911" s="1" t="n">
        <v>44586.38584490741</v>
      </c>
      <c r="C911" s="1" t="n">
        <v>45952</v>
      </c>
      <c r="D911" t="inlineStr">
        <is>
          <t>VÄSTRA GÖTALANDS LÄN</t>
        </is>
      </c>
      <c r="E911" t="inlineStr">
        <is>
          <t>UDDEVALLA</t>
        </is>
      </c>
      <c r="G911" t="n">
        <v>5.5</v>
      </c>
      <c r="H911" t="n">
        <v>0</v>
      </c>
      <c r="I911" t="n">
        <v>0</v>
      </c>
      <c r="J911" t="n">
        <v>0</v>
      </c>
      <c r="K911" t="n">
        <v>0</v>
      </c>
      <c r="L911" t="n">
        <v>0</v>
      </c>
      <c r="M911" t="n">
        <v>0</v>
      </c>
      <c r="N911" t="n">
        <v>0</v>
      </c>
      <c r="O911" t="n">
        <v>0</v>
      </c>
      <c r="P911" t="n">
        <v>0</v>
      </c>
      <c r="Q911" t="n">
        <v>0</v>
      </c>
      <c r="R911" s="2" t="inlineStr"/>
    </row>
    <row r="912" ht="15" customHeight="1">
      <c r="A912" t="inlineStr">
        <is>
          <t>A 3610-2022</t>
        </is>
      </c>
      <c r="B912" s="1" t="n">
        <v>44586</v>
      </c>
      <c r="C912" s="1" t="n">
        <v>45952</v>
      </c>
      <c r="D912" t="inlineStr">
        <is>
          <t>VÄSTRA GÖTALANDS LÄN</t>
        </is>
      </c>
      <c r="E912" t="inlineStr">
        <is>
          <t>BORÅS</t>
        </is>
      </c>
      <c r="G912" t="n">
        <v>0.8</v>
      </c>
      <c r="H912" t="n">
        <v>0</v>
      </c>
      <c r="I912" t="n">
        <v>0</v>
      </c>
      <c r="J912" t="n">
        <v>0</v>
      </c>
      <c r="K912" t="n">
        <v>0</v>
      </c>
      <c r="L912" t="n">
        <v>0</v>
      </c>
      <c r="M912" t="n">
        <v>0</v>
      </c>
      <c r="N912" t="n">
        <v>0</v>
      </c>
      <c r="O912" t="n">
        <v>0</v>
      </c>
      <c r="P912" t="n">
        <v>0</v>
      </c>
      <c r="Q912" t="n">
        <v>0</v>
      </c>
      <c r="R912" s="2" t="inlineStr"/>
    </row>
    <row r="913" ht="15" customHeight="1">
      <c r="A913" t="inlineStr">
        <is>
          <t>A 51154-2021</t>
        </is>
      </c>
      <c r="B913" s="1" t="n">
        <v>44461</v>
      </c>
      <c r="C913" s="1" t="n">
        <v>45952</v>
      </c>
      <c r="D913" t="inlineStr">
        <is>
          <t>VÄSTRA GÖTALANDS LÄN</t>
        </is>
      </c>
      <c r="E913" t="inlineStr">
        <is>
          <t>MARIESTAD</t>
        </is>
      </c>
      <c r="G913" t="n">
        <v>2.5</v>
      </c>
      <c r="H913" t="n">
        <v>0</v>
      </c>
      <c r="I913" t="n">
        <v>0</v>
      </c>
      <c r="J913" t="n">
        <v>0</v>
      </c>
      <c r="K913" t="n">
        <v>0</v>
      </c>
      <c r="L913" t="n">
        <v>0</v>
      </c>
      <c r="M913" t="n">
        <v>0</v>
      </c>
      <c r="N913" t="n">
        <v>0</v>
      </c>
      <c r="O913" t="n">
        <v>0</v>
      </c>
      <c r="P913" t="n">
        <v>0</v>
      </c>
      <c r="Q913" t="n">
        <v>0</v>
      </c>
      <c r="R913" s="2" t="inlineStr"/>
    </row>
    <row r="914" ht="15" customHeight="1">
      <c r="A914" t="inlineStr">
        <is>
          <t>A 31088-2021</t>
        </is>
      </c>
      <c r="B914" s="1" t="n">
        <v>44368</v>
      </c>
      <c r="C914" s="1" t="n">
        <v>45952</v>
      </c>
      <c r="D914" t="inlineStr">
        <is>
          <t>VÄSTRA GÖTALANDS LÄN</t>
        </is>
      </c>
      <c r="E914" t="inlineStr">
        <is>
          <t>TROLLHÄTTAN</t>
        </is>
      </c>
      <c r="G914" t="n">
        <v>0.5</v>
      </c>
      <c r="H914" t="n">
        <v>0</v>
      </c>
      <c r="I914" t="n">
        <v>0</v>
      </c>
      <c r="J914" t="n">
        <v>0</v>
      </c>
      <c r="K914" t="n">
        <v>0</v>
      </c>
      <c r="L914" t="n">
        <v>0</v>
      </c>
      <c r="M914" t="n">
        <v>0</v>
      </c>
      <c r="N914" t="n">
        <v>0</v>
      </c>
      <c r="O914" t="n">
        <v>0</v>
      </c>
      <c r="P914" t="n">
        <v>0</v>
      </c>
      <c r="Q914" t="n">
        <v>0</v>
      </c>
      <c r="R914" s="2" t="inlineStr"/>
    </row>
    <row r="915" ht="15" customHeight="1">
      <c r="A915" t="inlineStr">
        <is>
          <t>A 73977-2021</t>
        </is>
      </c>
      <c r="B915" s="1" t="n">
        <v>44554.44054398148</v>
      </c>
      <c r="C915" s="1" t="n">
        <v>45952</v>
      </c>
      <c r="D915" t="inlineStr">
        <is>
          <t>VÄSTRA GÖTALANDS LÄN</t>
        </is>
      </c>
      <c r="E915" t="inlineStr">
        <is>
          <t>MUNKEDAL</t>
        </is>
      </c>
      <c r="G915" t="n">
        <v>0.9</v>
      </c>
      <c r="H915" t="n">
        <v>0</v>
      </c>
      <c r="I915" t="n">
        <v>0</v>
      </c>
      <c r="J915" t="n">
        <v>0</v>
      </c>
      <c r="K915" t="n">
        <v>0</v>
      </c>
      <c r="L915" t="n">
        <v>0</v>
      </c>
      <c r="M915" t="n">
        <v>0</v>
      </c>
      <c r="N915" t="n">
        <v>0</v>
      </c>
      <c r="O915" t="n">
        <v>0</v>
      </c>
      <c r="P915" t="n">
        <v>0</v>
      </c>
      <c r="Q915" t="n">
        <v>0</v>
      </c>
      <c r="R915" s="2" t="inlineStr"/>
    </row>
    <row r="916" ht="15" customHeight="1">
      <c r="A916" t="inlineStr">
        <is>
          <t>A 54954-2021</t>
        </is>
      </c>
      <c r="B916" s="1" t="n">
        <v>44474.47417824074</v>
      </c>
      <c r="C916" s="1" t="n">
        <v>45952</v>
      </c>
      <c r="D916" t="inlineStr">
        <is>
          <t>VÄSTRA GÖTALANDS LÄN</t>
        </is>
      </c>
      <c r="E916" t="inlineStr">
        <is>
          <t>MARK</t>
        </is>
      </c>
      <c r="G916" t="n">
        <v>1.7</v>
      </c>
      <c r="H916" t="n">
        <v>0</v>
      </c>
      <c r="I916" t="n">
        <v>0</v>
      </c>
      <c r="J916" t="n">
        <v>0</v>
      </c>
      <c r="K916" t="n">
        <v>0</v>
      </c>
      <c r="L916" t="n">
        <v>0</v>
      </c>
      <c r="M916" t="n">
        <v>0</v>
      </c>
      <c r="N916" t="n">
        <v>0</v>
      </c>
      <c r="O916" t="n">
        <v>0</v>
      </c>
      <c r="P916" t="n">
        <v>0</v>
      </c>
      <c r="Q916" t="n">
        <v>0</v>
      </c>
      <c r="R916" s="2" t="inlineStr"/>
    </row>
    <row r="917" ht="15" customHeight="1">
      <c r="A917" t="inlineStr">
        <is>
          <t>A 38058-2022</t>
        </is>
      </c>
      <c r="B917" s="1" t="n">
        <v>44811.66237268518</v>
      </c>
      <c r="C917" s="1" t="n">
        <v>45952</v>
      </c>
      <c r="D917" t="inlineStr">
        <is>
          <t>VÄSTRA GÖTALANDS LÄN</t>
        </is>
      </c>
      <c r="E917" t="inlineStr">
        <is>
          <t>GRÄSTORP</t>
        </is>
      </c>
      <c r="G917" t="n">
        <v>2</v>
      </c>
      <c r="H917" t="n">
        <v>0</v>
      </c>
      <c r="I917" t="n">
        <v>0</v>
      </c>
      <c r="J917" t="n">
        <v>0</v>
      </c>
      <c r="K917" t="n">
        <v>0</v>
      </c>
      <c r="L917" t="n">
        <v>0</v>
      </c>
      <c r="M917" t="n">
        <v>0</v>
      </c>
      <c r="N917" t="n">
        <v>0</v>
      </c>
      <c r="O917" t="n">
        <v>0</v>
      </c>
      <c r="P917" t="n">
        <v>0</v>
      </c>
      <c r="Q917" t="n">
        <v>0</v>
      </c>
      <c r="R917" s="2" t="inlineStr"/>
    </row>
    <row r="918" ht="15" customHeight="1">
      <c r="A918" t="inlineStr">
        <is>
          <t>A 67350-2020</t>
        </is>
      </c>
      <c r="B918" s="1" t="n">
        <v>44181</v>
      </c>
      <c r="C918" s="1" t="n">
        <v>45952</v>
      </c>
      <c r="D918" t="inlineStr">
        <is>
          <t>VÄSTRA GÖTALANDS LÄN</t>
        </is>
      </c>
      <c r="E918" t="inlineStr">
        <is>
          <t>HÄRRYDA</t>
        </is>
      </c>
      <c r="G918" t="n">
        <v>0.7</v>
      </c>
      <c r="H918" t="n">
        <v>0</v>
      </c>
      <c r="I918" t="n">
        <v>0</v>
      </c>
      <c r="J918" t="n">
        <v>0</v>
      </c>
      <c r="K918" t="n">
        <v>0</v>
      </c>
      <c r="L918" t="n">
        <v>0</v>
      </c>
      <c r="M918" t="n">
        <v>0</v>
      </c>
      <c r="N918" t="n">
        <v>0</v>
      </c>
      <c r="O918" t="n">
        <v>0</v>
      </c>
      <c r="P918" t="n">
        <v>0</v>
      </c>
      <c r="Q918" t="n">
        <v>0</v>
      </c>
      <c r="R918" s="2" t="inlineStr"/>
    </row>
    <row r="919" ht="15" customHeight="1">
      <c r="A919" t="inlineStr">
        <is>
          <t>A 63192-2021</t>
        </is>
      </c>
      <c r="B919" s="1" t="n">
        <v>44507.63101851852</v>
      </c>
      <c r="C919" s="1" t="n">
        <v>45952</v>
      </c>
      <c r="D919" t="inlineStr">
        <is>
          <t>VÄSTRA GÖTALANDS LÄN</t>
        </is>
      </c>
      <c r="E919" t="inlineStr">
        <is>
          <t>DALS-ED</t>
        </is>
      </c>
      <c r="G919" t="n">
        <v>4.9</v>
      </c>
      <c r="H919" t="n">
        <v>0</v>
      </c>
      <c r="I919" t="n">
        <v>0</v>
      </c>
      <c r="J919" t="n">
        <v>0</v>
      </c>
      <c r="K919" t="n">
        <v>0</v>
      </c>
      <c r="L919" t="n">
        <v>0</v>
      </c>
      <c r="M919" t="n">
        <v>0</v>
      </c>
      <c r="N919" t="n">
        <v>0</v>
      </c>
      <c r="O919" t="n">
        <v>0</v>
      </c>
      <c r="P919" t="n">
        <v>0</v>
      </c>
      <c r="Q919" t="n">
        <v>0</v>
      </c>
      <c r="R919" s="2" t="inlineStr"/>
    </row>
    <row r="920" ht="15" customHeight="1">
      <c r="A920" t="inlineStr">
        <is>
          <t>A 68950-2021</t>
        </is>
      </c>
      <c r="B920" s="1" t="n">
        <v>44530</v>
      </c>
      <c r="C920" s="1" t="n">
        <v>45952</v>
      </c>
      <c r="D920" t="inlineStr">
        <is>
          <t>VÄSTRA GÖTALANDS LÄN</t>
        </is>
      </c>
      <c r="E920" t="inlineStr">
        <is>
          <t>UDDEVALLA</t>
        </is>
      </c>
      <c r="G920" t="n">
        <v>11.8</v>
      </c>
      <c r="H920" t="n">
        <v>0</v>
      </c>
      <c r="I920" t="n">
        <v>0</v>
      </c>
      <c r="J920" t="n">
        <v>0</v>
      </c>
      <c r="K920" t="n">
        <v>0</v>
      </c>
      <c r="L920" t="n">
        <v>0</v>
      </c>
      <c r="M920" t="n">
        <v>0</v>
      </c>
      <c r="N920" t="n">
        <v>0</v>
      </c>
      <c r="O920" t="n">
        <v>0</v>
      </c>
      <c r="P920" t="n">
        <v>0</v>
      </c>
      <c r="Q920" t="n">
        <v>0</v>
      </c>
      <c r="R920" s="2" t="inlineStr"/>
    </row>
    <row r="921" ht="15" customHeight="1">
      <c r="A921" t="inlineStr">
        <is>
          <t>A 41964-2022</t>
        </is>
      </c>
      <c r="B921" s="1" t="n">
        <v>44830</v>
      </c>
      <c r="C921" s="1" t="n">
        <v>45952</v>
      </c>
      <c r="D921" t="inlineStr">
        <is>
          <t>VÄSTRA GÖTALANDS LÄN</t>
        </is>
      </c>
      <c r="E921" t="inlineStr">
        <is>
          <t>UDDEVALLA</t>
        </is>
      </c>
      <c r="G921" t="n">
        <v>0.6</v>
      </c>
      <c r="H921" t="n">
        <v>0</v>
      </c>
      <c r="I921" t="n">
        <v>0</v>
      </c>
      <c r="J921" t="n">
        <v>0</v>
      </c>
      <c r="K921" t="n">
        <v>0</v>
      </c>
      <c r="L921" t="n">
        <v>0</v>
      </c>
      <c r="M921" t="n">
        <v>0</v>
      </c>
      <c r="N921" t="n">
        <v>0</v>
      </c>
      <c r="O921" t="n">
        <v>0</v>
      </c>
      <c r="P921" t="n">
        <v>0</v>
      </c>
      <c r="Q921" t="n">
        <v>0</v>
      </c>
      <c r="R921" s="2" t="inlineStr"/>
    </row>
    <row r="922" ht="15" customHeight="1">
      <c r="A922" t="inlineStr">
        <is>
          <t>A 25205-2022</t>
        </is>
      </c>
      <c r="B922" s="1" t="n">
        <v>44729</v>
      </c>
      <c r="C922" s="1" t="n">
        <v>45952</v>
      </c>
      <c r="D922" t="inlineStr">
        <is>
          <t>VÄSTRA GÖTALANDS LÄN</t>
        </is>
      </c>
      <c r="E922" t="inlineStr">
        <is>
          <t>HJO</t>
        </is>
      </c>
      <c r="F922" t="inlineStr">
        <is>
          <t>Kommuner</t>
        </is>
      </c>
      <c r="G922" t="n">
        <v>0.1</v>
      </c>
      <c r="H922" t="n">
        <v>0</v>
      </c>
      <c r="I922" t="n">
        <v>0</v>
      </c>
      <c r="J922" t="n">
        <v>0</v>
      </c>
      <c r="K922" t="n">
        <v>0</v>
      </c>
      <c r="L922" t="n">
        <v>0</v>
      </c>
      <c r="M922" t="n">
        <v>0</v>
      </c>
      <c r="N922" t="n">
        <v>0</v>
      </c>
      <c r="O922" t="n">
        <v>0</v>
      </c>
      <c r="P922" t="n">
        <v>0</v>
      </c>
      <c r="Q922" t="n">
        <v>0</v>
      </c>
      <c r="R922" s="2" t="inlineStr"/>
    </row>
    <row r="923" ht="15" customHeight="1">
      <c r="A923" t="inlineStr">
        <is>
          <t>A 64665-2021</t>
        </is>
      </c>
      <c r="B923" s="1" t="n">
        <v>44512</v>
      </c>
      <c r="C923" s="1" t="n">
        <v>45952</v>
      </c>
      <c r="D923" t="inlineStr">
        <is>
          <t>VÄSTRA GÖTALANDS LÄN</t>
        </is>
      </c>
      <c r="E923" t="inlineStr">
        <is>
          <t>BORÅS</t>
        </is>
      </c>
      <c r="G923" t="n">
        <v>2.1</v>
      </c>
      <c r="H923" t="n">
        <v>0</v>
      </c>
      <c r="I923" t="n">
        <v>0</v>
      </c>
      <c r="J923" t="n">
        <v>0</v>
      </c>
      <c r="K923" t="n">
        <v>0</v>
      </c>
      <c r="L923" t="n">
        <v>0</v>
      </c>
      <c r="M923" t="n">
        <v>0</v>
      </c>
      <c r="N923" t="n">
        <v>0</v>
      </c>
      <c r="O923" t="n">
        <v>0</v>
      </c>
      <c r="P923" t="n">
        <v>0</v>
      </c>
      <c r="Q923" t="n">
        <v>0</v>
      </c>
      <c r="R923" s="2" t="inlineStr"/>
    </row>
    <row r="924" ht="15" customHeight="1">
      <c r="A924" t="inlineStr">
        <is>
          <t>A 11853-2021</t>
        </is>
      </c>
      <c r="B924" s="1" t="n">
        <v>44265</v>
      </c>
      <c r="C924" s="1" t="n">
        <v>45952</v>
      </c>
      <c r="D924" t="inlineStr">
        <is>
          <t>VÄSTRA GÖTALANDS LÄN</t>
        </is>
      </c>
      <c r="E924" t="inlineStr">
        <is>
          <t>TIDAHOLM</t>
        </is>
      </c>
      <c r="G924" t="n">
        <v>2.7</v>
      </c>
      <c r="H924" t="n">
        <v>0</v>
      </c>
      <c r="I924" t="n">
        <v>0</v>
      </c>
      <c r="J924" t="n">
        <v>0</v>
      </c>
      <c r="K924" t="n">
        <v>0</v>
      </c>
      <c r="L924" t="n">
        <v>0</v>
      </c>
      <c r="M924" t="n">
        <v>0</v>
      </c>
      <c r="N924" t="n">
        <v>0</v>
      </c>
      <c r="O924" t="n">
        <v>0</v>
      </c>
      <c r="P924" t="n">
        <v>0</v>
      </c>
      <c r="Q924" t="n">
        <v>0</v>
      </c>
      <c r="R924" s="2" t="inlineStr"/>
    </row>
    <row r="925" ht="15" customHeight="1">
      <c r="A925" t="inlineStr">
        <is>
          <t>A 10999-2022</t>
        </is>
      </c>
      <c r="B925" s="1" t="n">
        <v>44628</v>
      </c>
      <c r="C925" s="1" t="n">
        <v>45952</v>
      </c>
      <c r="D925" t="inlineStr">
        <is>
          <t>VÄSTRA GÖTALANDS LÄN</t>
        </is>
      </c>
      <c r="E925" t="inlineStr">
        <is>
          <t>ALINGSÅS</t>
        </is>
      </c>
      <c r="G925" t="n">
        <v>6</v>
      </c>
      <c r="H925" t="n">
        <v>0</v>
      </c>
      <c r="I925" t="n">
        <v>0</v>
      </c>
      <c r="J925" t="n">
        <v>0</v>
      </c>
      <c r="K925" t="n">
        <v>0</v>
      </c>
      <c r="L925" t="n">
        <v>0</v>
      </c>
      <c r="M925" t="n">
        <v>0</v>
      </c>
      <c r="N925" t="n">
        <v>0</v>
      </c>
      <c r="O925" t="n">
        <v>0</v>
      </c>
      <c r="P925" t="n">
        <v>0</v>
      </c>
      <c r="Q925" t="n">
        <v>0</v>
      </c>
      <c r="R925" s="2" t="inlineStr"/>
    </row>
    <row r="926" ht="15" customHeight="1">
      <c r="A926" t="inlineStr">
        <is>
          <t>A 67926-2021</t>
        </is>
      </c>
      <c r="B926" s="1" t="n">
        <v>44525.61166666666</v>
      </c>
      <c r="C926" s="1" t="n">
        <v>45952</v>
      </c>
      <c r="D926" t="inlineStr">
        <is>
          <t>VÄSTRA GÖTALANDS LÄN</t>
        </is>
      </c>
      <c r="E926" t="inlineStr">
        <is>
          <t>HERRLJUNGA</t>
        </is>
      </c>
      <c r="G926" t="n">
        <v>1.4</v>
      </c>
      <c r="H926" t="n">
        <v>0</v>
      </c>
      <c r="I926" t="n">
        <v>0</v>
      </c>
      <c r="J926" t="n">
        <v>0</v>
      </c>
      <c r="K926" t="n">
        <v>0</v>
      </c>
      <c r="L926" t="n">
        <v>0</v>
      </c>
      <c r="M926" t="n">
        <v>0</v>
      </c>
      <c r="N926" t="n">
        <v>0</v>
      </c>
      <c r="O926" t="n">
        <v>0</v>
      </c>
      <c r="P926" t="n">
        <v>0</v>
      </c>
      <c r="Q926" t="n">
        <v>0</v>
      </c>
      <c r="R926" s="2" t="inlineStr"/>
    </row>
    <row r="927" ht="15" customHeight="1">
      <c r="A927" t="inlineStr">
        <is>
          <t>A 64430-2020</t>
        </is>
      </c>
      <c r="B927" s="1" t="n">
        <v>44168</v>
      </c>
      <c r="C927" s="1" t="n">
        <v>45952</v>
      </c>
      <c r="D927" t="inlineStr">
        <is>
          <t>VÄSTRA GÖTALANDS LÄN</t>
        </is>
      </c>
      <c r="E927" t="inlineStr">
        <is>
          <t>STRÖMSTAD</t>
        </is>
      </c>
      <c r="G927" t="n">
        <v>1.3</v>
      </c>
      <c r="H927" t="n">
        <v>0</v>
      </c>
      <c r="I927" t="n">
        <v>0</v>
      </c>
      <c r="J927" t="n">
        <v>0</v>
      </c>
      <c r="K927" t="n">
        <v>0</v>
      </c>
      <c r="L927" t="n">
        <v>0</v>
      </c>
      <c r="M927" t="n">
        <v>0</v>
      </c>
      <c r="N927" t="n">
        <v>0</v>
      </c>
      <c r="O927" t="n">
        <v>0</v>
      </c>
      <c r="P927" t="n">
        <v>0</v>
      </c>
      <c r="Q927" t="n">
        <v>0</v>
      </c>
      <c r="R927" s="2" t="inlineStr"/>
    </row>
    <row r="928" ht="15" customHeight="1">
      <c r="A928" t="inlineStr">
        <is>
          <t>A 52954-2021</t>
        </is>
      </c>
      <c r="B928" s="1" t="n">
        <v>44466</v>
      </c>
      <c r="C928" s="1" t="n">
        <v>45952</v>
      </c>
      <c r="D928" t="inlineStr">
        <is>
          <t>VÄSTRA GÖTALANDS LÄN</t>
        </is>
      </c>
      <c r="E928" t="inlineStr">
        <is>
          <t>LIDKÖPING</t>
        </is>
      </c>
      <c r="G928" t="n">
        <v>2.5</v>
      </c>
      <c r="H928" t="n">
        <v>0</v>
      </c>
      <c r="I928" t="n">
        <v>0</v>
      </c>
      <c r="J928" t="n">
        <v>0</v>
      </c>
      <c r="K928" t="n">
        <v>0</v>
      </c>
      <c r="L928" t="n">
        <v>0</v>
      </c>
      <c r="M928" t="n">
        <v>0</v>
      </c>
      <c r="N928" t="n">
        <v>0</v>
      </c>
      <c r="O928" t="n">
        <v>0</v>
      </c>
      <c r="P928" t="n">
        <v>0</v>
      </c>
      <c r="Q928" t="n">
        <v>0</v>
      </c>
      <c r="R928" s="2" t="inlineStr"/>
    </row>
    <row r="929" ht="15" customHeight="1">
      <c r="A929" t="inlineStr">
        <is>
          <t>A 55975-2021</t>
        </is>
      </c>
      <c r="B929" s="1" t="n">
        <v>44477</v>
      </c>
      <c r="C929" s="1" t="n">
        <v>45952</v>
      </c>
      <c r="D929" t="inlineStr">
        <is>
          <t>VÄSTRA GÖTALANDS LÄN</t>
        </is>
      </c>
      <c r="E929" t="inlineStr">
        <is>
          <t>BENGTSFORS</t>
        </is>
      </c>
      <c r="G929" t="n">
        <v>0.9</v>
      </c>
      <c r="H929" t="n">
        <v>0</v>
      </c>
      <c r="I929" t="n">
        <v>0</v>
      </c>
      <c r="J929" t="n">
        <v>0</v>
      </c>
      <c r="K929" t="n">
        <v>0</v>
      </c>
      <c r="L929" t="n">
        <v>0</v>
      </c>
      <c r="M929" t="n">
        <v>0</v>
      </c>
      <c r="N929" t="n">
        <v>0</v>
      </c>
      <c r="O929" t="n">
        <v>0</v>
      </c>
      <c r="P929" t="n">
        <v>0</v>
      </c>
      <c r="Q929" t="n">
        <v>0</v>
      </c>
      <c r="R929" s="2" t="inlineStr"/>
    </row>
    <row r="930" ht="15" customHeight="1">
      <c r="A930" t="inlineStr">
        <is>
          <t>A 45855-2021</t>
        </is>
      </c>
      <c r="B930" s="1" t="n">
        <v>44441</v>
      </c>
      <c r="C930" s="1" t="n">
        <v>45952</v>
      </c>
      <c r="D930" t="inlineStr">
        <is>
          <t>VÄSTRA GÖTALANDS LÄN</t>
        </is>
      </c>
      <c r="E930" t="inlineStr">
        <is>
          <t>ÅMÅL</t>
        </is>
      </c>
      <c r="G930" t="n">
        <v>3.6</v>
      </c>
      <c r="H930" t="n">
        <v>0</v>
      </c>
      <c r="I930" t="n">
        <v>0</v>
      </c>
      <c r="J930" t="n">
        <v>0</v>
      </c>
      <c r="K930" t="n">
        <v>0</v>
      </c>
      <c r="L930" t="n">
        <v>0</v>
      </c>
      <c r="M930" t="n">
        <v>0</v>
      </c>
      <c r="N930" t="n">
        <v>0</v>
      </c>
      <c r="O930" t="n">
        <v>0</v>
      </c>
      <c r="P930" t="n">
        <v>0</v>
      </c>
      <c r="Q930" t="n">
        <v>0</v>
      </c>
      <c r="R930" s="2" t="inlineStr"/>
    </row>
    <row r="931" ht="15" customHeight="1">
      <c r="A931" t="inlineStr">
        <is>
          <t>A 34864-2021</t>
        </is>
      </c>
      <c r="B931" s="1" t="n">
        <v>44383</v>
      </c>
      <c r="C931" s="1" t="n">
        <v>45952</v>
      </c>
      <c r="D931" t="inlineStr">
        <is>
          <t>VÄSTRA GÖTALANDS LÄN</t>
        </is>
      </c>
      <c r="E931" t="inlineStr">
        <is>
          <t>MARIESTAD</t>
        </is>
      </c>
      <c r="G931" t="n">
        <v>1.3</v>
      </c>
      <c r="H931" t="n">
        <v>0</v>
      </c>
      <c r="I931" t="n">
        <v>0</v>
      </c>
      <c r="J931" t="n">
        <v>0</v>
      </c>
      <c r="K931" t="n">
        <v>0</v>
      </c>
      <c r="L931" t="n">
        <v>0</v>
      </c>
      <c r="M931" t="n">
        <v>0</v>
      </c>
      <c r="N931" t="n">
        <v>0</v>
      </c>
      <c r="O931" t="n">
        <v>0</v>
      </c>
      <c r="P931" t="n">
        <v>0</v>
      </c>
      <c r="Q931" t="n">
        <v>0</v>
      </c>
      <c r="R931" s="2" t="inlineStr"/>
    </row>
    <row r="932" ht="15" customHeight="1">
      <c r="A932" t="inlineStr">
        <is>
          <t>A 49432-2022</t>
        </is>
      </c>
      <c r="B932" s="1" t="n">
        <v>44861.65420138889</v>
      </c>
      <c r="C932" s="1" t="n">
        <v>45952</v>
      </c>
      <c r="D932" t="inlineStr">
        <is>
          <t>VÄSTRA GÖTALANDS LÄN</t>
        </is>
      </c>
      <c r="E932" t="inlineStr">
        <is>
          <t>ULRICEHAMN</t>
        </is>
      </c>
      <c r="G932" t="n">
        <v>1.9</v>
      </c>
      <c r="H932" t="n">
        <v>0</v>
      </c>
      <c r="I932" t="n">
        <v>0</v>
      </c>
      <c r="J932" t="n">
        <v>0</v>
      </c>
      <c r="K932" t="n">
        <v>0</v>
      </c>
      <c r="L932" t="n">
        <v>0</v>
      </c>
      <c r="M932" t="n">
        <v>0</v>
      </c>
      <c r="N932" t="n">
        <v>0</v>
      </c>
      <c r="O932" t="n">
        <v>0</v>
      </c>
      <c r="P932" t="n">
        <v>0</v>
      </c>
      <c r="Q932" t="n">
        <v>0</v>
      </c>
      <c r="R932" s="2" t="inlineStr"/>
    </row>
    <row r="933" ht="15" customHeight="1">
      <c r="A933" t="inlineStr">
        <is>
          <t>A 58883-2021</t>
        </is>
      </c>
      <c r="B933" s="1" t="n">
        <v>44489.65511574074</v>
      </c>
      <c r="C933" s="1" t="n">
        <v>45952</v>
      </c>
      <c r="D933" t="inlineStr">
        <is>
          <t>VÄSTRA GÖTALANDS LÄN</t>
        </is>
      </c>
      <c r="E933" t="inlineStr">
        <is>
          <t>ÅMÅL</t>
        </is>
      </c>
      <c r="G933" t="n">
        <v>3.6</v>
      </c>
      <c r="H933" t="n">
        <v>0</v>
      </c>
      <c r="I933" t="n">
        <v>0</v>
      </c>
      <c r="J933" t="n">
        <v>0</v>
      </c>
      <c r="K933" t="n">
        <v>0</v>
      </c>
      <c r="L933" t="n">
        <v>0</v>
      </c>
      <c r="M933" t="n">
        <v>0</v>
      </c>
      <c r="N933" t="n">
        <v>0</v>
      </c>
      <c r="O933" t="n">
        <v>0</v>
      </c>
      <c r="P933" t="n">
        <v>0</v>
      </c>
      <c r="Q933" t="n">
        <v>0</v>
      </c>
      <c r="R933" s="2" t="inlineStr"/>
    </row>
    <row r="934" ht="15" customHeight="1">
      <c r="A934" t="inlineStr">
        <is>
          <t>A 2669-2021</t>
        </is>
      </c>
      <c r="B934" s="1" t="n">
        <v>44215</v>
      </c>
      <c r="C934" s="1" t="n">
        <v>45952</v>
      </c>
      <c r="D934" t="inlineStr">
        <is>
          <t>VÄSTRA GÖTALANDS LÄN</t>
        </is>
      </c>
      <c r="E934" t="inlineStr">
        <is>
          <t>FALKÖPING</t>
        </is>
      </c>
      <c r="G934" t="n">
        <v>1</v>
      </c>
      <c r="H934" t="n">
        <v>0</v>
      </c>
      <c r="I934" t="n">
        <v>0</v>
      </c>
      <c r="J934" t="n">
        <v>0</v>
      </c>
      <c r="K934" t="n">
        <v>0</v>
      </c>
      <c r="L934" t="n">
        <v>0</v>
      </c>
      <c r="M934" t="n">
        <v>0</v>
      </c>
      <c r="N934" t="n">
        <v>0</v>
      </c>
      <c r="O934" t="n">
        <v>0</v>
      </c>
      <c r="P934" t="n">
        <v>0</v>
      </c>
      <c r="Q934" t="n">
        <v>0</v>
      </c>
      <c r="R934" s="2" t="inlineStr"/>
    </row>
    <row r="935" ht="15" customHeight="1">
      <c r="A935" t="inlineStr">
        <is>
          <t>A 33922-2022</t>
        </is>
      </c>
      <c r="B935" s="1" t="n">
        <v>44790</v>
      </c>
      <c r="C935" s="1" t="n">
        <v>45952</v>
      </c>
      <c r="D935" t="inlineStr">
        <is>
          <t>VÄSTRA GÖTALANDS LÄN</t>
        </is>
      </c>
      <c r="E935" t="inlineStr">
        <is>
          <t>LERUM</t>
        </is>
      </c>
      <c r="G935" t="n">
        <v>6.1</v>
      </c>
      <c r="H935" t="n">
        <v>0</v>
      </c>
      <c r="I935" t="n">
        <v>0</v>
      </c>
      <c r="J935" t="n">
        <v>0</v>
      </c>
      <c r="K935" t="n">
        <v>0</v>
      </c>
      <c r="L935" t="n">
        <v>0</v>
      </c>
      <c r="M935" t="n">
        <v>0</v>
      </c>
      <c r="N935" t="n">
        <v>0</v>
      </c>
      <c r="O935" t="n">
        <v>0</v>
      </c>
      <c r="P935" t="n">
        <v>0</v>
      </c>
      <c r="Q935" t="n">
        <v>0</v>
      </c>
      <c r="R935" s="2" t="inlineStr"/>
    </row>
    <row r="936" ht="15" customHeight="1">
      <c r="A936" t="inlineStr">
        <is>
          <t>A 33954-2022</t>
        </is>
      </c>
      <c r="B936" s="1" t="n">
        <v>44790</v>
      </c>
      <c r="C936" s="1" t="n">
        <v>45952</v>
      </c>
      <c r="D936" t="inlineStr">
        <is>
          <t>VÄSTRA GÖTALANDS LÄN</t>
        </is>
      </c>
      <c r="E936" t="inlineStr">
        <is>
          <t>ORUST</t>
        </is>
      </c>
      <c r="G936" t="n">
        <v>3.9</v>
      </c>
      <c r="H936" t="n">
        <v>0</v>
      </c>
      <c r="I936" t="n">
        <v>0</v>
      </c>
      <c r="J936" t="n">
        <v>0</v>
      </c>
      <c r="K936" t="n">
        <v>0</v>
      </c>
      <c r="L936" t="n">
        <v>0</v>
      </c>
      <c r="M936" t="n">
        <v>0</v>
      </c>
      <c r="N936" t="n">
        <v>0</v>
      </c>
      <c r="O936" t="n">
        <v>0</v>
      </c>
      <c r="P936" t="n">
        <v>0</v>
      </c>
      <c r="Q936" t="n">
        <v>0</v>
      </c>
      <c r="R936" s="2" t="inlineStr"/>
    </row>
    <row r="937" ht="15" customHeight="1">
      <c r="A937" t="inlineStr">
        <is>
          <t>A 1476-2022</t>
        </is>
      </c>
      <c r="B937" s="1" t="n">
        <v>44573</v>
      </c>
      <c r="C937" s="1" t="n">
        <v>45952</v>
      </c>
      <c r="D937" t="inlineStr">
        <is>
          <t>VÄSTRA GÖTALANDS LÄN</t>
        </is>
      </c>
      <c r="E937" t="inlineStr">
        <is>
          <t>TIDAHOLM</t>
        </is>
      </c>
      <c r="G937" t="n">
        <v>1.5</v>
      </c>
      <c r="H937" t="n">
        <v>0</v>
      </c>
      <c r="I937" t="n">
        <v>0</v>
      </c>
      <c r="J937" t="n">
        <v>0</v>
      </c>
      <c r="K937" t="n">
        <v>0</v>
      </c>
      <c r="L937" t="n">
        <v>0</v>
      </c>
      <c r="M937" t="n">
        <v>0</v>
      </c>
      <c r="N937" t="n">
        <v>0</v>
      </c>
      <c r="O937" t="n">
        <v>0</v>
      </c>
      <c r="P937" t="n">
        <v>0</v>
      </c>
      <c r="Q937" t="n">
        <v>0</v>
      </c>
      <c r="R937" s="2" t="inlineStr"/>
    </row>
    <row r="938" ht="15" customHeight="1">
      <c r="A938" t="inlineStr">
        <is>
          <t>A 1640-2022</t>
        </is>
      </c>
      <c r="B938" s="1" t="n">
        <v>44574</v>
      </c>
      <c r="C938" s="1" t="n">
        <v>45952</v>
      </c>
      <c r="D938" t="inlineStr">
        <is>
          <t>VÄSTRA GÖTALANDS LÄN</t>
        </is>
      </c>
      <c r="E938" t="inlineStr">
        <is>
          <t>MARIESTAD</t>
        </is>
      </c>
      <c r="G938" t="n">
        <v>6</v>
      </c>
      <c r="H938" t="n">
        <v>0</v>
      </c>
      <c r="I938" t="n">
        <v>0</v>
      </c>
      <c r="J938" t="n">
        <v>0</v>
      </c>
      <c r="K938" t="n">
        <v>0</v>
      </c>
      <c r="L938" t="n">
        <v>0</v>
      </c>
      <c r="M938" t="n">
        <v>0</v>
      </c>
      <c r="N938" t="n">
        <v>0</v>
      </c>
      <c r="O938" t="n">
        <v>0</v>
      </c>
      <c r="P938" t="n">
        <v>0</v>
      </c>
      <c r="Q938" t="n">
        <v>0</v>
      </c>
      <c r="R938" s="2" t="inlineStr"/>
    </row>
    <row r="939" ht="15" customHeight="1">
      <c r="A939" t="inlineStr">
        <is>
          <t>A 64832-2021</t>
        </is>
      </c>
      <c r="B939" s="1" t="n">
        <v>44512</v>
      </c>
      <c r="C939" s="1" t="n">
        <v>45952</v>
      </c>
      <c r="D939" t="inlineStr">
        <is>
          <t>VÄSTRA GÖTALANDS LÄN</t>
        </is>
      </c>
      <c r="E939" t="inlineStr">
        <is>
          <t>ULRICEHAMN</t>
        </is>
      </c>
      <c r="G939" t="n">
        <v>19.4</v>
      </c>
      <c r="H939" t="n">
        <v>0</v>
      </c>
      <c r="I939" t="n">
        <v>0</v>
      </c>
      <c r="J939" t="n">
        <v>0</v>
      </c>
      <c r="K939" t="n">
        <v>0</v>
      </c>
      <c r="L939" t="n">
        <v>0</v>
      </c>
      <c r="M939" t="n">
        <v>0</v>
      </c>
      <c r="N939" t="n">
        <v>0</v>
      </c>
      <c r="O939" t="n">
        <v>0</v>
      </c>
      <c r="P939" t="n">
        <v>0</v>
      </c>
      <c r="Q939" t="n">
        <v>0</v>
      </c>
      <c r="R939" s="2" t="inlineStr"/>
    </row>
    <row r="940" ht="15" customHeight="1">
      <c r="A940" t="inlineStr">
        <is>
          <t>A 59810-2020</t>
        </is>
      </c>
      <c r="B940" s="1" t="n">
        <v>44151</v>
      </c>
      <c r="C940" s="1" t="n">
        <v>45952</v>
      </c>
      <c r="D940" t="inlineStr">
        <is>
          <t>VÄSTRA GÖTALANDS LÄN</t>
        </is>
      </c>
      <c r="E940" t="inlineStr">
        <is>
          <t>STRÖMSTAD</t>
        </is>
      </c>
      <c r="G940" t="n">
        <v>1.1</v>
      </c>
      <c r="H940" t="n">
        <v>0</v>
      </c>
      <c r="I940" t="n">
        <v>0</v>
      </c>
      <c r="J940" t="n">
        <v>0</v>
      </c>
      <c r="K940" t="n">
        <v>0</v>
      </c>
      <c r="L940" t="n">
        <v>0</v>
      </c>
      <c r="M940" t="n">
        <v>0</v>
      </c>
      <c r="N940" t="n">
        <v>0</v>
      </c>
      <c r="O940" t="n">
        <v>0</v>
      </c>
      <c r="P940" t="n">
        <v>0</v>
      </c>
      <c r="Q940" t="n">
        <v>0</v>
      </c>
      <c r="R940" s="2" t="inlineStr"/>
    </row>
    <row r="941" ht="15" customHeight="1">
      <c r="A941" t="inlineStr">
        <is>
          <t>A 43338-2021</t>
        </is>
      </c>
      <c r="B941" s="1" t="n">
        <v>44431</v>
      </c>
      <c r="C941" s="1" t="n">
        <v>45952</v>
      </c>
      <c r="D941" t="inlineStr">
        <is>
          <t>VÄSTRA GÖTALANDS LÄN</t>
        </is>
      </c>
      <c r="E941" t="inlineStr">
        <is>
          <t>TIDAHOLM</t>
        </is>
      </c>
      <c r="G941" t="n">
        <v>1.4</v>
      </c>
      <c r="H941" t="n">
        <v>0</v>
      </c>
      <c r="I941" t="n">
        <v>0</v>
      </c>
      <c r="J941" t="n">
        <v>0</v>
      </c>
      <c r="K941" t="n">
        <v>0</v>
      </c>
      <c r="L941" t="n">
        <v>0</v>
      </c>
      <c r="M941" t="n">
        <v>0</v>
      </c>
      <c r="N941" t="n">
        <v>0</v>
      </c>
      <c r="O941" t="n">
        <v>0</v>
      </c>
      <c r="P941" t="n">
        <v>0</v>
      </c>
      <c r="Q941" t="n">
        <v>0</v>
      </c>
      <c r="R941" s="2" t="inlineStr"/>
    </row>
    <row r="942" ht="15" customHeight="1">
      <c r="A942" t="inlineStr">
        <is>
          <t>A 43345-2021</t>
        </is>
      </c>
      <c r="B942" s="1" t="n">
        <v>44432.49570601852</v>
      </c>
      <c r="C942" s="1" t="n">
        <v>45952</v>
      </c>
      <c r="D942" t="inlineStr">
        <is>
          <t>VÄSTRA GÖTALANDS LÄN</t>
        </is>
      </c>
      <c r="E942" t="inlineStr">
        <is>
          <t>GÖTENE</t>
        </is>
      </c>
      <c r="G942" t="n">
        <v>0.7</v>
      </c>
      <c r="H942" t="n">
        <v>0</v>
      </c>
      <c r="I942" t="n">
        <v>0</v>
      </c>
      <c r="J942" t="n">
        <v>0</v>
      </c>
      <c r="K942" t="n">
        <v>0</v>
      </c>
      <c r="L942" t="n">
        <v>0</v>
      </c>
      <c r="M942" t="n">
        <v>0</v>
      </c>
      <c r="N942" t="n">
        <v>0</v>
      </c>
      <c r="O942" t="n">
        <v>0</v>
      </c>
      <c r="P942" t="n">
        <v>0</v>
      </c>
      <c r="Q942" t="n">
        <v>0</v>
      </c>
      <c r="R942" s="2" t="inlineStr"/>
    </row>
    <row r="943" ht="15" customHeight="1">
      <c r="A943" t="inlineStr">
        <is>
          <t>A 2003-2021</t>
        </is>
      </c>
      <c r="B943" s="1" t="n">
        <v>44210</v>
      </c>
      <c r="C943" s="1" t="n">
        <v>45952</v>
      </c>
      <c r="D943" t="inlineStr">
        <is>
          <t>VÄSTRA GÖTALANDS LÄN</t>
        </is>
      </c>
      <c r="E943" t="inlineStr">
        <is>
          <t>ALE</t>
        </is>
      </c>
      <c r="F943" t="inlineStr">
        <is>
          <t>Kommuner</t>
        </is>
      </c>
      <c r="G943" t="n">
        <v>0.6</v>
      </c>
      <c r="H943" t="n">
        <v>0</v>
      </c>
      <c r="I943" t="n">
        <v>0</v>
      </c>
      <c r="J943" t="n">
        <v>0</v>
      </c>
      <c r="K943" t="n">
        <v>0</v>
      </c>
      <c r="L943" t="n">
        <v>0</v>
      </c>
      <c r="M943" t="n">
        <v>0</v>
      </c>
      <c r="N943" t="n">
        <v>0</v>
      </c>
      <c r="O943" t="n">
        <v>0</v>
      </c>
      <c r="P943" t="n">
        <v>0</v>
      </c>
      <c r="Q943" t="n">
        <v>0</v>
      </c>
      <c r="R943" s="2" t="inlineStr"/>
    </row>
    <row r="944" ht="15" customHeight="1">
      <c r="A944" t="inlineStr">
        <is>
          <t>A 14715-2022</t>
        </is>
      </c>
      <c r="B944" s="1" t="n">
        <v>44656.34143518518</v>
      </c>
      <c r="C944" s="1" t="n">
        <v>45952</v>
      </c>
      <c r="D944" t="inlineStr">
        <is>
          <t>VÄSTRA GÖTALANDS LÄN</t>
        </is>
      </c>
      <c r="E944" t="inlineStr">
        <is>
          <t>BORÅS</t>
        </is>
      </c>
      <c r="G944" t="n">
        <v>1.8</v>
      </c>
      <c r="H944" t="n">
        <v>0</v>
      </c>
      <c r="I944" t="n">
        <v>0</v>
      </c>
      <c r="J944" t="n">
        <v>0</v>
      </c>
      <c r="K944" t="n">
        <v>0</v>
      </c>
      <c r="L944" t="n">
        <v>0</v>
      </c>
      <c r="M944" t="n">
        <v>0</v>
      </c>
      <c r="N944" t="n">
        <v>0</v>
      </c>
      <c r="O944" t="n">
        <v>0</v>
      </c>
      <c r="P944" t="n">
        <v>0</v>
      </c>
      <c r="Q944" t="n">
        <v>0</v>
      </c>
      <c r="R944" s="2" t="inlineStr"/>
    </row>
    <row r="945" ht="15" customHeight="1">
      <c r="A945" t="inlineStr">
        <is>
          <t>A 40946-2021</t>
        </is>
      </c>
      <c r="B945" s="1" t="n">
        <v>44421.5517824074</v>
      </c>
      <c r="C945" s="1" t="n">
        <v>45952</v>
      </c>
      <c r="D945" t="inlineStr">
        <is>
          <t>VÄSTRA GÖTALANDS LÄN</t>
        </is>
      </c>
      <c r="E945" t="inlineStr">
        <is>
          <t>SKARA</t>
        </is>
      </c>
      <c r="G945" t="n">
        <v>1.6</v>
      </c>
      <c r="H945" t="n">
        <v>0</v>
      </c>
      <c r="I945" t="n">
        <v>0</v>
      </c>
      <c r="J945" t="n">
        <v>0</v>
      </c>
      <c r="K945" t="n">
        <v>0</v>
      </c>
      <c r="L945" t="n">
        <v>0</v>
      </c>
      <c r="M945" t="n">
        <v>0</v>
      </c>
      <c r="N945" t="n">
        <v>0</v>
      </c>
      <c r="O945" t="n">
        <v>0</v>
      </c>
      <c r="P945" t="n">
        <v>0</v>
      </c>
      <c r="Q945" t="n">
        <v>0</v>
      </c>
      <c r="R945" s="2" t="inlineStr"/>
    </row>
    <row r="946" ht="15" customHeight="1">
      <c r="A946" t="inlineStr">
        <is>
          <t>A 40950-2021</t>
        </is>
      </c>
      <c r="B946" s="1" t="n">
        <v>44421.56398148148</v>
      </c>
      <c r="C946" s="1" t="n">
        <v>45952</v>
      </c>
      <c r="D946" t="inlineStr">
        <is>
          <t>VÄSTRA GÖTALANDS LÄN</t>
        </is>
      </c>
      <c r="E946" t="inlineStr">
        <is>
          <t>MUNKEDAL</t>
        </is>
      </c>
      <c r="G946" t="n">
        <v>3.8</v>
      </c>
      <c r="H946" t="n">
        <v>0</v>
      </c>
      <c r="I946" t="n">
        <v>0</v>
      </c>
      <c r="J946" t="n">
        <v>0</v>
      </c>
      <c r="K946" t="n">
        <v>0</v>
      </c>
      <c r="L946" t="n">
        <v>0</v>
      </c>
      <c r="M946" t="n">
        <v>0</v>
      </c>
      <c r="N946" t="n">
        <v>0</v>
      </c>
      <c r="O946" t="n">
        <v>0</v>
      </c>
      <c r="P946" t="n">
        <v>0</v>
      </c>
      <c r="Q946" t="n">
        <v>0</v>
      </c>
      <c r="R946" s="2" t="inlineStr"/>
    </row>
    <row r="947" ht="15" customHeight="1">
      <c r="A947" t="inlineStr">
        <is>
          <t>A 32317-2022</t>
        </is>
      </c>
      <c r="B947" s="1" t="n">
        <v>44781.66103009259</v>
      </c>
      <c r="C947" s="1" t="n">
        <v>45952</v>
      </c>
      <c r="D947" t="inlineStr">
        <is>
          <t>VÄSTRA GÖTALANDS LÄN</t>
        </is>
      </c>
      <c r="E947" t="inlineStr">
        <is>
          <t>DALS-ED</t>
        </is>
      </c>
      <c r="G947" t="n">
        <v>0.5</v>
      </c>
      <c r="H947" t="n">
        <v>0</v>
      </c>
      <c r="I947" t="n">
        <v>0</v>
      </c>
      <c r="J947" t="n">
        <v>0</v>
      </c>
      <c r="K947" t="n">
        <v>0</v>
      </c>
      <c r="L947" t="n">
        <v>0</v>
      </c>
      <c r="M947" t="n">
        <v>0</v>
      </c>
      <c r="N947" t="n">
        <v>0</v>
      </c>
      <c r="O947" t="n">
        <v>0</v>
      </c>
      <c r="P947" t="n">
        <v>0</v>
      </c>
      <c r="Q947" t="n">
        <v>0</v>
      </c>
      <c r="R947" s="2" t="inlineStr"/>
    </row>
    <row r="948" ht="15" customHeight="1">
      <c r="A948" t="inlineStr">
        <is>
          <t>A 14105-2022</t>
        </is>
      </c>
      <c r="B948" s="1" t="n">
        <v>44651</v>
      </c>
      <c r="C948" s="1" t="n">
        <v>45952</v>
      </c>
      <c r="D948" t="inlineStr">
        <is>
          <t>VÄSTRA GÖTALANDS LÄN</t>
        </is>
      </c>
      <c r="E948" t="inlineStr">
        <is>
          <t>STRÖMSTAD</t>
        </is>
      </c>
      <c r="G948" t="n">
        <v>9.5</v>
      </c>
      <c r="H948" t="n">
        <v>0</v>
      </c>
      <c r="I948" t="n">
        <v>0</v>
      </c>
      <c r="J948" t="n">
        <v>0</v>
      </c>
      <c r="K948" t="n">
        <v>0</v>
      </c>
      <c r="L948" t="n">
        <v>0</v>
      </c>
      <c r="M948" t="n">
        <v>0</v>
      </c>
      <c r="N948" t="n">
        <v>0</v>
      </c>
      <c r="O948" t="n">
        <v>0</v>
      </c>
      <c r="P948" t="n">
        <v>0</v>
      </c>
      <c r="Q948" t="n">
        <v>0</v>
      </c>
      <c r="R948" s="2" t="inlineStr"/>
    </row>
    <row r="949" ht="15" customHeight="1">
      <c r="A949" t="inlineStr">
        <is>
          <t>A 55830-2022</t>
        </is>
      </c>
      <c r="B949" s="1" t="n">
        <v>44886</v>
      </c>
      <c r="C949" s="1" t="n">
        <v>45952</v>
      </c>
      <c r="D949" t="inlineStr">
        <is>
          <t>VÄSTRA GÖTALANDS LÄN</t>
        </is>
      </c>
      <c r="E949" t="inlineStr">
        <is>
          <t>TRANEMO</t>
        </is>
      </c>
      <c r="F949" t="inlineStr">
        <is>
          <t>Kommuner</t>
        </is>
      </c>
      <c r="G949" t="n">
        <v>4</v>
      </c>
      <c r="H949" t="n">
        <v>0</v>
      </c>
      <c r="I949" t="n">
        <v>0</v>
      </c>
      <c r="J949" t="n">
        <v>0</v>
      </c>
      <c r="K949" t="n">
        <v>0</v>
      </c>
      <c r="L949" t="n">
        <v>0</v>
      </c>
      <c r="M949" t="n">
        <v>0</v>
      </c>
      <c r="N949" t="n">
        <v>0</v>
      </c>
      <c r="O949" t="n">
        <v>0</v>
      </c>
      <c r="P949" t="n">
        <v>0</v>
      </c>
      <c r="Q949" t="n">
        <v>0</v>
      </c>
      <c r="R949" s="2" t="inlineStr"/>
    </row>
    <row r="950" ht="15" customHeight="1">
      <c r="A950" t="inlineStr">
        <is>
          <t>A 29162-2022</t>
        </is>
      </c>
      <c r="B950" s="1" t="n">
        <v>44750</v>
      </c>
      <c r="C950" s="1" t="n">
        <v>45952</v>
      </c>
      <c r="D950" t="inlineStr">
        <is>
          <t>VÄSTRA GÖTALANDS LÄN</t>
        </is>
      </c>
      <c r="E950" t="inlineStr">
        <is>
          <t>BENGTSFORS</t>
        </is>
      </c>
      <c r="G950" t="n">
        <v>5.9</v>
      </c>
      <c r="H950" t="n">
        <v>0</v>
      </c>
      <c r="I950" t="n">
        <v>0</v>
      </c>
      <c r="J950" t="n">
        <v>0</v>
      </c>
      <c r="K950" t="n">
        <v>0</v>
      </c>
      <c r="L950" t="n">
        <v>0</v>
      </c>
      <c r="M950" t="n">
        <v>0</v>
      </c>
      <c r="N950" t="n">
        <v>0</v>
      </c>
      <c r="O950" t="n">
        <v>0</v>
      </c>
      <c r="P950" t="n">
        <v>0</v>
      </c>
      <c r="Q950" t="n">
        <v>0</v>
      </c>
      <c r="R950" s="2" t="inlineStr"/>
    </row>
    <row r="951" ht="15" customHeight="1">
      <c r="A951" t="inlineStr">
        <is>
          <t>A 45101-2022</t>
        </is>
      </c>
      <c r="B951" s="1" t="n">
        <v>44843.43189814815</v>
      </c>
      <c r="C951" s="1" t="n">
        <v>45952</v>
      </c>
      <c r="D951" t="inlineStr">
        <is>
          <t>VÄSTRA GÖTALANDS LÄN</t>
        </is>
      </c>
      <c r="E951" t="inlineStr">
        <is>
          <t>MARK</t>
        </is>
      </c>
      <c r="G951" t="n">
        <v>0.6</v>
      </c>
      <c r="H951" t="n">
        <v>0</v>
      </c>
      <c r="I951" t="n">
        <v>0</v>
      </c>
      <c r="J951" t="n">
        <v>0</v>
      </c>
      <c r="K951" t="n">
        <v>0</v>
      </c>
      <c r="L951" t="n">
        <v>0</v>
      </c>
      <c r="M951" t="n">
        <v>0</v>
      </c>
      <c r="N951" t="n">
        <v>0</v>
      </c>
      <c r="O951" t="n">
        <v>0</v>
      </c>
      <c r="P951" t="n">
        <v>0</v>
      </c>
      <c r="Q951" t="n">
        <v>0</v>
      </c>
      <c r="R951" s="2" t="inlineStr"/>
    </row>
    <row r="952" ht="15" customHeight="1">
      <c r="A952" t="inlineStr">
        <is>
          <t>A 6287-2022</t>
        </is>
      </c>
      <c r="B952" s="1" t="n">
        <v>44600.48700231482</v>
      </c>
      <c r="C952" s="1" t="n">
        <v>45952</v>
      </c>
      <c r="D952" t="inlineStr">
        <is>
          <t>VÄSTRA GÖTALANDS LÄN</t>
        </is>
      </c>
      <c r="E952" t="inlineStr">
        <is>
          <t>VARA</t>
        </is>
      </c>
      <c r="F952" t="inlineStr">
        <is>
          <t>Sveaskog</t>
        </is>
      </c>
      <c r="G952" t="n">
        <v>0.5</v>
      </c>
      <c r="H952" t="n">
        <v>0</v>
      </c>
      <c r="I952" t="n">
        <v>0</v>
      </c>
      <c r="J952" t="n">
        <v>0</v>
      </c>
      <c r="K952" t="n">
        <v>0</v>
      </c>
      <c r="L952" t="n">
        <v>0</v>
      </c>
      <c r="M952" t="n">
        <v>0</v>
      </c>
      <c r="N952" t="n">
        <v>0</v>
      </c>
      <c r="O952" t="n">
        <v>0</v>
      </c>
      <c r="P952" t="n">
        <v>0</v>
      </c>
      <c r="Q952" t="n">
        <v>0</v>
      </c>
      <c r="R952" s="2" t="inlineStr"/>
    </row>
    <row r="953" ht="15" customHeight="1">
      <c r="A953" t="inlineStr">
        <is>
          <t>A 24185-2022</t>
        </is>
      </c>
      <c r="B953" s="1" t="n">
        <v>44725.54923611111</v>
      </c>
      <c r="C953" s="1" t="n">
        <v>45952</v>
      </c>
      <c r="D953" t="inlineStr">
        <is>
          <t>VÄSTRA GÖTALANDS LÄN</t>
        </is>
      </c>
      <c r="E953" t="inlineStr">
        <is>
          <t>BENGTSFORS</t>
        </is>
      </c>
      <c r="G953" t="n">
        <v>0.5</v>
      </c>
      <c r="H953" t="n">
        <v>0</v>
      </c>
      <c r="I953" t="n">
        <v>0</v>
      </c>
      <c r="J953" t="n">
        <v>0</v>
      </c>
      <c r="K953" t="n">
        <v>0</v>
      </c>
      <c r="L953" t="n">
        <v>0</v>
      </c>
      <c r="M953" t="n">
        <v>0</v>
      </c>
      <c r="N953" t="n">
        <v>0</v>
      </c>
      <c r="O953" t="n">
        <v>0</v>
      </c>
      <c r="P953" t="n">
        <v>0</v>
      </c>
      <c r="Q953" t="n">
        <v>0</v>
      </c>
      <c r="R953" s="2" t="inlineStr"/>
    </row>
    <row r="954" ht="15" customHeight="1">
      <c r="A954" t="inlineStr">
        <is>
          <t>A 17430-2022</t>
        </is>
      </c>
      <c r="B954" s="1" t="n">
        <v>44679</v>
      </c>
      <c r="C954" s="1" t="n">
        <v>45952</v>
      </c>
      <c r="D954" t="inlineStr">
        <is>
          <t>VÄSTRA GÖTALANDS LÄN</t>
        </is>
      </c>
      <c r="E954" t="inlineStr">
        <is>
          <t>ULRICEHAMN</t>
        </is>
      </c>
      <c r="G954" t="n">
        <v>0.4</v>
      </c>
      <c r="H954" t="n">
        <v>0</v>
      </c>
      <c r="I954" t="n">
        <v>0</v>
      </c>
      <c r="J954" t="n">
        <v>0</v>
      </c>
      <c r="K954" t="n">
        <v>0</v>
      </c>
      <c r="L954" t="n">
        <v>0</v>
      </c>
      <c r="M954" t="n">
        <v>0</v>
      </c>
      <c r="N954" t="n">
        <v>0</v>
      </c>
      <c r="O954" t="n">
        <v>0</v>
      </c>
      <c r="P954" t="n">
        <v>0</v>
      </c>
      <c r="Q954" t="n">
        <v>0</v>
      </c>
      <c r="R954" s="2" t="inlineStr"/>
    </row>
    <row r="955" ht="15" customHeight="1">
      <c r="A955" t="inlineStr">
        <is>
          <t>A 28099-2022</t>
        </is>
      </c>
      <c r="B955" s="1" t="n">
        <v>44746.47386574074</v>
      </c>
      <c r="C955" s="1" t="n">
        <v>45952</v>
      </c>
      <c r="D955" t="inlineStr">
        <is>
          <t>VÄSTRA GÖTALANDS LÄN</t>
        </is>
      </c>
      <c r="E955" t="inlineStr">
        <is>
          <t>MARIESTAD</t>
        </is>
      </c>
      <c r="G955" t="n">
        <v>0.4</v>
      </c>
      <c r="H955" t="n">
        <v>0</v>
      </c>
      <c r="I955" t="n">
        <v>0</v>
      </c>
      <c r="J955" t="n">
        <v>0</v>
      </c>
      <c r="K955" t="n">
        <v>0</v>
      </c>
      <c r="L955" t="n">
        <v>0</v>
      </c>
      <c r="M955" t="n">
        <v>0</v>
      </c>
      <c r="N955" t="n">
        <v>0</v>
      </c>
      <c r="O955" t="n">
        <v>0</v>
      </c>
      <c r="P955" t="n">
        <v>0</v>
      </c>
      <c r="Q955" t="n">
        <v>0</v>
      </c>
      <c r="R955" s="2" t="inlineStr"/>
    </row>
    <row r="956" ht="15" customHeight="1">
      <c r="A956" t="inlineStr">
        <is>
          <t>A 42620-2022</t>
        </is>
      </c>
      <c r="B956" s="1" t="n">
        <v>44831</v>
      </c>
      <c r="C956" s="1" t="n">
        <v>45952</v>
      </c>
      <c r="D956" t="inlineStr">
        <is>
          <t>VÄSTRA GÖTALANDS LÄN</t>
        </is>
      </c>
      <c r="E956" t="inlineStr">
        <is>
          <t>ALINGSÅS</t>
        </is>
      </c>
      <c r="G956" t="n">
        <v>1.5</v>
      </c>
      <c r="H956" t="n">
        <v>0</v>
      </c>
      <c r="I956" t="n">
        <v>0</v>
      </c>
      <c r="J956" t="n">
        <v>0</v>
      </c>
      <c r="K956" t="n">
        <v>0</v>
      </c>
      <c r="L956" t="n">
        <v>0</v>
      </c>
      <c r="M956" t="n">
        <v>0</v>
      </c>
      <c r="N956" t="n">
        <v>0</v>
      </c>
      <c r="O956" t="n">
        <v>0</v>
      </c>
      <c r="P956" t="n">
        <v>0</v>
      </c>
      <c r="Q956" t="n">
        <v>0</v>
      </c>
      <c r="R956" s="2" t="inlineStr"/>
    </row>
    <row r="957" ht="15" customHeight="1">
      <c r="A957" t="inlineStr">
        <is>
          <t>A 44464-2022</t>
        </is>
      </c>
      <c r="B957" s="1" t="n">
        <v>44840.30342592593</v>
      </c>
      <c r="C957" s="1" t="n">
        <v>45952</v>
      </c>
      <c r="D957" t="inlineStr">
        <is>
          <t>VÄSTRA GÖTALANDS LÄN</t>
        </is>
      </c>
      <c r="E957" t="inlineStr">
        <is>
          <t>MARIESTAD</t>
        </is>
      </c>
      <c r="G957" t="n">
        <v>3.7</v>
      </c>
      <c r="H957" t="n">
        <v>0</v>
      </c>
      <c r="I957" t="n">
        <v>0</v>
      </c>
      <c r="J957" t="n">
        <v>0</v>
      </c>
      <c r="K957" t="n">
        <v>0</v>
      </c>
      <c r="L957" t="n">
        <v>0</v>
      </c>
      <c r="M957" t="n">
        <v>0</v>
      </c>
      <c r="N957" t="n">
        <v>0</v>
      </c>
      <c r="O957" t="n">
        <v>0</v>
      </c>
      <c r="P957" t="n">
        <v>0</v>
      </c>
      <c r="Q957" t="n">
        <v>0</v>
      </c>
      <c r="R957" s="2" t="inlineStr"/>
    </row>
    <row r="958" ht="15" customHeight="1">
      <c r="A958" t="inlineStr">
        <is>
          <t>A 55136-2021</t>
        </is>
      </c>
      <c r="B958" s="1" t="n">
        <v>44474</v>
      </c>
      <c r="C958" s="1" t="n">
        <v>45952</v>
      </c>
      <c r="D958" t="inlineStr">
        <is>
          <t>VÄSTRA GÖTALANDS LÄN</t>
        </is>
      </c>
      <c r="E958" t="inlineStr">
        <is>
          <t>ULRICEHAMN</t>
        </is>
      </c>
      <c r="G958" t="n">
        <v>1.2</v>
      </c>
      <c r="H958" t="n">
        <v>0</v>
      </c>
      <c r="I958" t="n">
        <v>0</v>
      </c>
      <c r="J958" t="n">
        <v>0</v>
      </c>
      <c r="K958" t="n">
        <v>0</v>
      </c>
      <c r="L958" t="n">
        <v>0</v>
      </c>
      <c r="M958" t="n">
        <v>0</v>
      </c>
      <c r="N958" t="n">
        <v>0</v>
      </c>
      <c r="O958" t="n">
        <v>0</v>
      </c>
      <c r="P958" t="n">
        <v>0</v>
      </c>
      <c r="Q958" t="n">
        <v>0</v>
      </c>
      <c r="R958" s="2" t="inlineStr"/>
    </row>
    <row r="959" ht="15" customHeight="1">
      <c r="A959" t="inlineStr">
        <is>
          <t>A 47034-2022</t>
        </is>
      </c>
      <c r="B959" s="1" t="n">
        <v>44852</v>
      </c>
      <c r="C959" s="1" t="n">
        <v>45952</v>
      </c>
      <c r="D959" t="inlineStr">
        <is>
          <t>VÄSTRA GÖTALANDS LÄN</t>
        </is>
      </c>
      <c r="E959" t="inlineStr">
        <is>
          <t>MARIESTAD</t>
        </is>
      </c>
      <c r="G959" t="n">
        <v>10.5</v>
      </c>
      <c r="H959" t="n">
        <v>0</v>
      </c>
      <c r="I959" t="n">
        <v>0</v>
      </c>
      <c r="J959" t="n">
        <v>0</v>
      </c>
      <c r="K959" t="n">
        <v>0</v>
      </c>
      <c r="L959" t="n">
        <v>0</v>
      </c>
      <c r="M959" t="n">
        <v>0</v>
      </c>
      <c r="N959" t="n">
        <v>0</v>
      </c>
      <c r="O959" t="n">
        <v>0</v>
      </c>
      <c r="P959" t="n">
        <v>0</v>
      </c>
      <c r="Q959" t="n">
        <v>0</v>
      </c>
      <c r="R959" s="2" t="inlineStr"/>
    </row>
    <row r="960" ht="15" customHeight="1">
      <c r="A960" t="inlineStr">
        <is>
          <t>A 32481-2022</t>
        </is>
      </c>
      <c r="B960" s="1" t="n">
        <v>44782.61696759259</v>
      </c>
      <c r="C960" s="1" t="n">
        <v>45952</v>
      </c>
      <c r="D960" t="inlineStr">
        <is>
          <t>VÄSTRA GÖTALANDS LÄN</t>
        </is>
      </c>
      <c r="E960" t="inlineStr">
        <is>
          <t>VARA</t>
        </is>
      </c>
      <c r="G960" t="n">
        <v>6</v>
      </c>
      <c r="H960" t="n">
        <v>0</v>
      </c>
      <c r="I960" t="n">
        <v>0</v>
      </c>
      <c r="J960" t="n">
        <v>0</v>
      </c>
      <c r="K960" t="n">
        <v>0</v>
      </c>
      <c r="L960" t="n">
        <v>0</v>
      </c>
      <c r="M960" t="n">
        <v>0</v>
      </c>
      <c r="N960" t="n">
        <v>0</v>
      </c>
      <c r="O960" t="n">
        <v>0</v>
      </c>
      <c r="P960" t="n">
        <v>0</v>
      </c>
      <c r="Q960" t="n">
        <v>0</v>
      </c>
      <c r="R960" s="2" t="inlineStr"/>
    </row>
    <row r="961" ht="15" customHeight="1">
      <c r="A961" t="inlineStr">
        <is>
          <t>A 35769-2022</t>
        </is>
      </c>
      <c r="B961" s="1" t="n">
        <v>44800.77262731481</v>
      </c>
      <c r="C961" s="1" t="n">
        <v>45952</v>
      </c>
      <c r="D961" t="inlineStr">
        <is>
          <t>VÄSTRA GÖTALANDS LÄN</t>
        </is>
      </c>
      <c r="E961" t="inlineStr">
        <is>
          <t>TRANEMO</t>
        </is>
      </c>
      <c r="G961" t="n">
        <v>1.7</v>
      </c>
      <c r="H961" t="n">
        <v>0</v>
      </c>
      <c r="I961" t="n">
        <v>0</v>
      </c>
      <c r="J961" t="n">
        <v>0</v>
      </c>
      <c r="K961" t="n">
        <v>0</v>
      </c>
      <c r="L961" t="n">
        <v>0</v>
      </c>
      <c r="M961" t="n">
        <v>0</v>
      </c>
      <c r="N961" t="n">
        <v>0</v>
      </c>
      <c r="O961" t="n">
        <v>0</v>
      </c>
      <c r="P961" t="n">
        <v>0</v>
      </c>
      <c r="Q961" t="n">
        <v>0</v>
      </c>
      <c r="R961" s="2" t="inlineStr"/>
    </row>
    <row r="962" ht="15" customHeight="1">
      <c r="A962" t="inlineStr">
        <is>
          <t>A 72415-2021</t>
        </is>
      </c>
      <c r="B962" s="1" t="n">
        <v>44545</v>
      </c>
      <c r="C962" s="1" t="n">
        <v>45952</v>
      </c>
      <c r="D962" t="inlineStr">
        <is>
          <t>VÄSTRA GÖTALANDS LÄN</t>
        </is>
      </c>
      <c r="E962" t="inlineStr">
        <is>
          <t>LERUM</t>
        </is>
      </c>
      <c r="G962" t="n">
        <v>0.2</v>
      </c>
      <c r="H962" t="n">
        <v>0</v>
      </c>
      <c r="I962" t="n">
        <v>0</v>
      </c>
      <c r="J962" t="n">
        <v>0</v>
      </c>
      <c r="K962" t="n">
        <v>0</v>
      </c>
      <c r="L962" t="n">
        <v>0</v>
      </c>
      <c r="M962" t="n">
        <v>0</v>
      </c>
      <c r="N962" t="n">
        <v>0</v>
      </c>
      <c r="O962" t="n">
        <v>0</v>
      </c>
      <c r="P962" t="n">
        <v>0</v>
      </c>
      <c r="Q962" t="n">
        <v>0</v>
      </c>
      <c r="R962" s="2" t="inlineStr"/>
    </row>
    <row r="963" ht="15" customHeight="1">
      <c r="A963" t="inlineStr">
        <is>
          <t>A 50837-2021</t>
        </is>
      </c>
      <c r="B963" s="1" t="n">
        <v>44460</v>
      </c>
      <c r="C963" s="1" t="n">
        <v>45952</v>
      </c>
      <c r="D963" t="inlineStr">
        <is>
          <t>VÄSTRA GÖTALANDS LÄN</t>
        </is>
      </c>
      <c r="E963" t="inlineStr">
        <is>
          <t>BENGTSFORS</t>
        </is>
      </c>
      <c r="G963" t="n">
        <v>2.2</v>
      </c>
      <c r="H963" t="n">
        <v>0</v>
      </c>
      <c r="I963" t="n">
        <v>0</v>
      </c>
      <c r="J963" t="n">
        <v>0</v>
      </c>
      <c r="K963" t="n">
        <v>0</v>
      </c>
      <c r="L963" t="n">
        <v>0</v>
      </c>
      <c r="M963" t="n">
        <v>0</v>
      </c>
      <c r="N963" t="n">
        <v>0</v>
      </c>
      <c r="O963" t="n">
        <v>0</v>
      </c>
      <c r="P963" t="n">
        <v>0</v>
      </c>
      <c r="Q963" t="n">
        <v>0</v>
      </c>
      <c r="R963" s="2" t="inlineStr"/>
    </row>
    <row r="964" ht="15" customHeight="1">
      <c r="A964" t="inlineStr">
        <is>
          <t>A 53007-2021</t>
        </is>
      </c>
      <c r="B964" s="1" t="n">
        <v>44467</v>
      </c>
      <c r="C964" s="1" t="n">
        <v>45952</v>
      </c>
      <c r="D964" t="inlineStr">
        <is>
          <t>VÄSTRA GÖTALANDS LÄN</t>
        </is>
      </c>
      <c r="E964" t="inlineStr">
        <is>
          <t>VÄNERSBORG</t>
        </is>
      </c>
      <c r="G964" t="n">
        <v>0.9</v>
      </c>
      <c r="H964" t="n">
        <v>0</v>
      </c>
      <c r="I964" t="n">
        <v>0</v>
      </c>
      <c r="J964" t="n">
        <v>0</v>
      </c>
      <c r="K964" t="n">
        <v>0</v>
      </c>
      <c r="L964" t="n">
        <v>0</v>
      </c>
      <c r="M964" t="n">
        <v>0</v>
      </c>
      <c r="N964" t="n">
        <v>0</v>
      </c>
      <c r="O964" t="n">
        <v>0</v>
      </c>
      <c r="P964" t="n">
        <v>0</v>
      </c>
      <c r="Q964" t="n">
        <v>0</v>
      </c>
      <c r="R964" s="2" t="inlineStr"/>
    </row>
    <row r="965" ht="15" customHeight="1">
      <c r="A965" t="inlineStr">
        <is>
          <t>A 32618-2022</t>
        </is>
      </c>
      <c r="B965" s="1" t="n">
        <v>44783.45521990741</v>
      </c>
      <c r="C965" s="1" t="n">
        <v>45952</v>
      </c>
      <c r="D965" t="inlineStr">
        <is>
          <t>VÄSTRA GÖTALANDS LÄN</t>
        </is>
      </c>
      <c r="E965" t="inlineStr">
        <is>
          <t>TIDAHOLM</t>
        </is>
      </c>
      <c r="F965" t="inlineStr">
        <is>
          <t>Sveaskog</t>
        </is>
      </c>
      <c r="G965" t="n">
        <v>0.8</v>
      </c>
      <c r="H965" t="n">
        <v>0</v>
      </c>
      <c r="I965" t="n">
        <v>0</v>
      </c>
      <c r="J965" t="n">
        <v>0</v>
      </c>
      <c r="K965" t="n">
        <v>0</v>
      </c>
      <c r="L965" t="n">
        <v>0</v>
      </c>
      <c r="M965" t="n">
        <v>0</v>
      </c>
      <c r="N965" t="n">
        <v>0</v>
      </c>
      <c r="O965" t="n">
        <v>0</v>
      </c>
      <c r="P965" t="n">
        <v>0</v>
      </c>
      <c r="Q965" t="n">
        <v>0</v>
      </c>
      <c r="R965" s="2" t="inlineStr"/>
    </row>
    <row r="966" ht="15" customHeight="1">
      <c r="A966" t="inlineStr">
        <is>
          <t>A 40429-2021</t>
        </is>
      </c>
      <c r="B966" s="1" t="n">
        <v>44419.6758449074</v>
      </c>
      <c r="C966" s="1" t="n">
        <v>45952</v>
      </c>
      <c r="D966" t="inlineStr">
        <is>
          <t>VÄSTRA GÖTALANDS LÄN</t>
        </is>
      </c>
      <c r="E966" t="inlineStr">
        <is>
          <t>BENGTSFORS</t>
        </is>
      </c>
      <c r="F966" t="inlineStr">
        <is>
          <t>Övriga Aktiebolag</t>
        </is>
      </c>
      <c r="G966" t="n">
        <v>1.5</v>
      </c>
      <c r="H966" t="n">
        <v>0</v>
      </c>
      <c r="I966" t="n">
        <v>0</v>
      </c>
      <c r="J966" t="n">
        <v>0</v>
      </c>
      <c r="K966" t="n">
        <v>0</v>
      </c>
      <c r="L966" t="n">
        <v>0</v>
      </c>
      <c r="M966" t="n">
        <v>0</v>
      </c>
      <c r="N966" t="n">
        <v>0</v>
      </c>
      <c r="O966" t="n">
        <v>0</v>
      </c>
      <c r="P966" t="n">
        <v>0</v>
      </c>
      <c r="Q966" t="n">
        <v>0</v>
      </c>
      <c r="R966" s="2" t="inlineStr"/>
    </row>
    <row r="967" ht="15" customHeight="1">
      <c r="A967" t="inlineStr">
        <is>
          <t>A 40536-2021</t>
        </is>
      </c>
      <c r="B967" s="1" t="n">
        <v>44420.38428240741</v>
      </c>
      <c r="C967" s="1" t="n">
        <v>45952</v>
      </c>
      <c r="D967" t="inlineStr">
        <is>
          <t>VÄSTRA GÖTALANDS LÄN</t>
        </is>
      </c>
      <c r="E967" t="inlineStr">
        <is>
          <t>VARA</t>
        </is>
      </c>
      <c r="G967" t="n">
        <v>2.1</v>
      </c>
      <c r="H967" t="n">
        <v>0</v>
      </c>
      <c r="I967" t="n">
        <v>0</v>
      </c>
      <c r="J967" t="n">
        <v>0</v>
      </c>
      <c r="K967" t="n">
        <v>0</v>
      </c>
      <c r="L967" t="n">
        <v>0</v>
      </c>
      <c r="M967" t="n">
        <v>0</v>
      </c>
      <c r="N967" t="n">
        <v>0</v>
      </c>
      <c r="O967" t="n">
        <v>0</v>
      </c>
      <c r="P967" t="n">
        <v>0</v>
      </c>
      <c r="Q967" t="n">
        <v>0</v>
      </c>
      <c r="R967" s="2" t="inlineStr"/>
    </row>
    <row r="968" ht="15" customHeight="1">
      <c r="A968" t="inlineStr">
        <is>
          <t>A 51797-2021</t>
        </is>
      </c>
      <c r="B968" s="1" t="n">
        <v>44462.63516203704</v>
      </c>
      <c r="C968" s="1" t="n">
        <v>45952</v>
      </c>
      <c r="D968" t="inlineStr">
        <is>
          <t>VÄSTRA GÖTALANDS LÄN</t>
        </is>
      </c>
      <c r="E968" t="inlineStr">
        <is>
          <t>MARK</t>
        </is>
      </c>
      <c r="G968" t="n">
        <v>1.6</v>
      </c>
      <c r="H968" t="n">
        <v>0</v>
      </c>
      <c r="I968" t="n">
        <v>0</v>
      </c>
      <c r="J968" t="n">
        <v>0</v>
      </c>
      <c r="K968" t="n">
        <v>0</v>
      </c>
      <c r="L968" t="n">
        <v>0</v>
      </c>
      <c r="M968" t="n">
        <v>0</v>
      </c>
      <c r="N968" t="n">
        <v>0</v>
      </c>
      <c r="O968" t="n">
        <v>0</v>
      </c>
      <c r="P968" t="n">
        <v>0</v>
      </c>
      <c r="Q968" t="n">
        <v>0</v>
      </c>
      <c r="R968" s="2" t="inlineStr"/>
    </row>
    <row r="969" ht="15" customHeight="1">
      <c r="A969" t="inlineStr">
        <is>
          <t>A 8777-2022</t>
        </is>
      </c>
      <c r="B969" s="1" t="n">
        <v>44614</v>
      </c>
      <c r="C969" s="1" t="n">
        <v>45952</v>
      </c>
      <c r="D969" t="inlineStr">
        <is>
          <t>VÄSTRA GÖTALANDS LÄN</t>
        </is>
      </c>
      <c r="E969" t="inlineStr">
        <is>
          <t>ALINGSÅS</t>
        </is>
      </c>
      <c r="G969" t="n">
        <v>4.8</v>
      </c>
      <c r="H969" t="n">
        <v>0</v>
      </c>
      <c r="I969" t="n">
        <v>0</v>
      </c>
      <c r="J969" t="n">
        <v>0</v>
      </c>
      <c r="K969" t="n">
        <v>0</v>
      </c>
      <c r="L969" t="n">
        <v>0</v>
      </c>
      <c r="M969" t="n">
        <v>0</v>
      </c>
      <c r="N969" t="n">
        <v>0</v>
      </c>
      <c r="O969" t="n">
        <v>0</v>
      </c>
      <c r="P969" t="n">
        <v>0</v>
      </c>
      <c r="Q969" t="n">
        <v>0</v>
      </c>
      <c r="R969" s="2" t="inlineStr"/>
    </row>
    <row r="970" ht="15" customHeight="1">
      <c r="A970" t="inlineStr">
        <is>
          <t>A 66421-2021</t>
        </is>
      </c>
      <c r="B970" s="1" t="n">
        <v>44518.67818287037</v>
      </c>
      <c r="C970" s="1" t="n">
        <v>45952</v>
      </c>
      <c r="D970" t="inlineStr">
        <is>
          <t>VÄSTRA GÖTALANDS LÄN</t>
        </is>
      </c>
      <c r="E970" t="inlineStr">
        <is>
          <t>ULRICEHAMN</t>
        </is>
      </c>
      <c r="G970" t="n">
        <v>2.8</v>
      </c>
      <c r="H970" t="n">
        <v>0</v>
      </c>
      <c r="I970" t="n">
        <v>0</v>
      </c>
      <c r="J970" t="n">
        <v>0</v>
      </c>
      <c r="K970" t="n">
        <v>0</v>
      </c>
      <c r="L970" t="n">
        <v>0</v>
      </c>
      <c r="M970" t="n">
        <v>0</v>
      </c>
      <c r="N970" t="n">
        <v>0</v>
      </c>
      <c r="O970" t="n">
        <v>0</v>
      </c>
      <c r="P970" t="n">
        <v>0</v>
      </c>
      <c r="Q970" t="n">
        <v>0</v>
      </c>
      <c r="R970" s="2" t="inlineStr"/>
    </row>
    <row r="971" ht="15" customHeight="1">
      <c r="A971" t="inlineStr">
        <is>
          <t>A 34717-2022</t>
        </is>
      </c>
      <c r="B971" s="1" t="n">
        <v>44795</v>
      </c>
      <c r="C971" s="1" t="n">
        <v>45952</v>
      </c>
      <c r="D971" t="inlineStr">
        <is>
          <t>VÄSTRA GÖTALANDS LÄN</t>
        </is>
      </c>
      <c r="E971" t="inlineStr">
        <is>
          <t>VÄNERSBORG</t>
        </is>
      </c>
      <c r="G971" t="n">
        <v>0.5</v>
      </c>
      <c r="H971" t="n">
        <v>0</v>
      </c>
      <c r="I971" t="n">
        <v>0</v>
      </c>
      <c r="J971" t="n">
        <v>0</v>
      </c>
      <c r="K971" t="n">
        <v>0</v>
      </c>
      <c r="L971" t="n">
        <v>0</v>
      </c>
      <c r="M971" t="n">
        <v>0</v>
      </c>
      <c r="N971" t="n">
        <v>0</v>
      </c>
      <c r="O971" t="n">
        <v>0</v>
      </c>
      <c r="P971" t="n">
        <v>0</v>
      </c>
      <c r="Q971" t="n">
        <v>0</v>
      </c>
      <c r="R971" s="2" t="inlineStr"/>
    </row>
    <row r="972" ht="15" customHeight="1">
      <c r="A972" t="inlineStr">
        <is>
          <t>A 45847-2021</t>
        </is>
      </c>
      <c r="B972" s="1" t="n">
        <v>44441.54953703703</v>
      </c>
      <c r="C972" s="1" t="n">
        <v>45952</v>
      </c>
      <c r="D972" t="inlineStr">
        <is>
          <t>VÄSTRA GÖTALANDS LÄN</t>
        </is>
      </c>
      <c r="E972" t="inlineStr">
        <is>
          <t>BENGTSFORS</t>
        </is>
      </c>
      <c r="F972" t="inlineStr">
        <is>
          <t>Övriga Aktiebolag</t>
        </is>
      </c>
      <c r="G972" t="n">
        <v>1.7</v>
      </c>
      <c r="H972" t="n">
        <v>0</v>
      </c>
      <c r="I972" t="n">
        <v>0</v>
      </c>
      <c r="J972" t="n">
        <v>0</v>
      </c>
      <c r="K972" t="n">
        <v>0</v>
      </c>
      <c r="L972" t="n">
        <v>0</v>
      </c>
      <c r="M972" t="n">
        <v>0</v>
      </c>
      <c r="N972" t="n">
        <v>0</v>
      </c>
      <c r="O972" t="n">
        <v>0</v>
      </c>
      <c r="P972" t="n">
        <v>0</v>
      </c>
      <c r="Q972" t="n">
        <v>0</v>
      </c>
      <c r="R972" s="2" t="inlineStr"/>
    </row>
    <row r="973" ht="15" customHeight="1">
      <c r="A973" t="inlineStr">
        <is>
          <t>A 50227-2022</t>
        </is>
      </c>
      <c r="B973" s="1" t="n">
        <v>44865.65704861111</v>
      </c>
      <c r="C973" s="1" t="n">
        <v>45952</v>
      </c>
      <c r="D973" t="inlineStr">
        <is>
          <t>VÄSTRA GÖTALANDS LÄN</t>
        </is>
      </c>
      <c r="E973" t="inlineStr">
        <is>
          <t>STRÖMSTAD</t>
        </is>
      </c>
      <c r="G973" t="n">
        <v>0.6</v>
      </c>
      <c r="H973" t="n">
        <v>0</v>
      </c>
      <c r="I973" t="n">
        <v>0</v>
      </c>
      <c r="J973" t="n">
        <v>0</v>
      </c>
      <c r="K973" t="n">
        <v>0</v>
      </c>
      <c r="L973" t="n">
        <v>0</v>
      </c>
      <c r="M973" t="n">
        <v>0</v>
      </c>
      <c r="N973" t="n">
        <v>0</v>
      </c>
      <c r="O973" t="n">
        <v>0</v>
      </c>
      <c r="P973" t="n">
        <v>0</v>
      </c>
      <c r="Q973" t="n">
        <v>0</v>
      </c>
      <c r="R973" s="2" t="inlineStr"/>
    </row>
    <row r="974" ht="15" customHeight="1">
      <c r="A974" t="inlineStr">
        <is>
          <t>A 10390-2022</t>
        </is>
      </c>
      <c r="B974" s="1" t="n">
        <v>44623</v>
      </c>
      <c r="C974" s="1" t="n">
        <v>45952</v>
      </c>
      <c r="D974" t="inlineStr">
        <is>
          <t>VÄSTRA GÖTALANDS LÄN</t>
        </is>
      </c>
      <c r="E974" t="inlineStr">
        <is>
          <t>GÖTEBORG</t>
        </is>
      </c>
      <c r="G974" t="n">
        <v>0.7</v>
      </c>
      <c r="H974" t="n">
        <v>0</v>
      </c>
      <c r="I974" t="n">
        <v>0</v>
      </c>
      <c r="J974" t="n">
        <v>0</v>
      </c>
      <c r="K974" t="n">
        <v>0</v>
      </c>
      <c r="L974" t="n">
        <v>0</v>
      </c>
      <c r="M974" t="n">
        <v>0</v>
      </c>
      <c r="N974" t="n">
        <v>0</v>
      </c>
      <c r="O974" t="n">
        <v>0</v>
      </c>
      <c r="P974" t="n">
        <v>0</v>
      </c>
      <c r="Q974" t="n">
        <v>0</v>
      </c>
      <c r="R974" s="2" t="inlineStr"/>
    </row>
    <row r="975" ht="15" customHeight="1">
      <c r="A975" t="inlineStr">
        <is>
          <t>A 67995-2021</t>
        </is>
      </c>
      <c r="B975" s="1" t="n">
        <v>44525.73625</v>
      </c>
      <c r="C975" s="1" t="n">
        <v>45952</v>
      </c>
      <c r="D975" t="inlineStr">
        <is>
          <t>VÄSTRA GÖTALANDS LÄN</t>
        </is>
      </c>
      <c r="E975" t="inlineStr">
        <is>
          <t>HJO</t>
        </is>
      </c>
      <c r="G975" t="n">
        <v>0.8</v>
      </c>
      <c r="H975" t="n">
        <v>0</v>
      </c>
      <c r="I975" t="n">
        <v>0</v>
      </c>
      <c r="J975" t="n">
        <v>0</v>
      </c>
      <c r="K975" t="n">
        <v>0</v>
      </c>
      <c r="L975" t="n">
        <v>0</v>
      </c>
      <c r="M975" t="n">
        <v>0</v>
      </c>
      <c r="N975" t="n">
        <v>0</v>
      </c>
      <c r="O975" t="n">
        <v>0</v>
      </c>
      <c r="P975" t="n">
        <v>0</v>
      </c>
      <c r="Q975" t="n">
        <v>0</v>
      </c>
      <c r="R975" s="2" t="inlineStr"/>
    </row>
    <row r="976" ht="15" customHeight="1">
      <c r="A976" t="inlineStr">
        <is>
          <t>A 4092-2021</t>
        </is>
      </c>
      <c r="B976" s="1" t="n">
        <v>44222</v>
      </c>
      <c r="C976" s="1" t="n">
        <v>45952</v>
      </c>
      <c r="D976" t="inlineStr">
        <is>
          <t>VÄSTRA GÖTALANDS LÄN</t>
        </is>
      </c>
      <c r="E976" t="inlineStr">
        <is>
          <t>KARLSBORG</t>
        </is>
      </c>
      <c r="G976" t="n">
        <v>1.1</v>
      </c>
      <c r="H976" t="n">
        <v>0</v>
      </c>
      <c r="I976" t="n">
        <v>0</v>
      </c>
      <c r="J976" t="n">
        <v>0</v>
      </c>
      <c r="K976" t="n">
        <v>0</v>
      </c>
      <c r="L976" t="n">
        <v>0</v>
      </c>
      <c r="M976" t="n">
        <v>0</v>
      </c>
      <c r="N976" t="n">
        <v>0</v>
      </c>
      <c r="O976" t="n">
        <v>0</v>
      </c>
      <c r="P976" t="n">
        <v>0</v>
      </c>
      <c r="Q976" t="n">
        <v>0</v>
      </c>
      <c r="R976" s="2" t="inlineStr"/>
    </row>
    <row r="977" ht="15" customHeight="1">
      <c r="A977" t="inlineStr">
        <is>
          <t>A 22482-2022</t>
        </is>
      </c>
      <c r="B977" s="1" t="n">
        <v>44713.61376157407</v>
      </c>
      <c r="C977" s="1" t="n">
        <v>45952</v>
      </c>
      <c r="D977" t="inlineStr">
        <is>
          <t>VÄSTRA GÖTALANDS LÄN</t>
        </is>
      </c>
      <c r="E977" t="inlineStr">
        <is>
          <t>LYSEKIL</t>
        </is>
      </c>
      <c r="G977" t="n">
        <v>0.9</v>
      </c>
      <c r="H977" t="n">
        <v>0</v>
      </c>
      <c r="I977" t="n">
        <v>0</v>
      </c>
      <c r="J977" t="n">
        <v>0</v>
      </c>
      <c r="K977" t="n">
        <v>0</v>
      </c>
      <c r="L977" t="n">
        <v>0</v>
      </c>
      <c r="M977" t="n">
        <v>0</v>
      </c>
      <c r="N977" t="n">
        <v>0</v>
      </c>
      <c r="O977" t="n">
        <v>0</v>
      </c>
      <c r="P977" t="n">
        <v>0</v>
      </c>
      <c r="Q977" t="n">
        <v>0</v>
      </c>
      <c r="R977" s="2" t="inlineStr"/>
    </row>
    <row r="978" ht="15" customHeight="1">
      <c r="A978" t="inlineStr">
        <is>
          <t>A 29559-2022</t>
        </is>
      </c>
      <c r="B978" s="1" t="n">
        <v>44754.35361111111</v>
      </c>
      <c r="C978" s="1" t="n">
        <v>45952</v>
      </c>
      <c r="D978" t="inlineStr">
        <is>
          <t>VÄSTRA GÖTALANDS LÄN</t>
        </is>
      </c>
      <c r="E978" t="inlineStr">
        <is>
          <t>ALINGSÅS</t>
        </is>
      </c>
      <c r="G978" t="n">
        <v>1.5</v>
      </c>
      <c r="H978" t="n">
        <v>0</v>
      </c>
      <c r="I978" t="n">
        <v>0</v>
      </c>
      <c r="J978" t="n">
        <v>0</v>
      </c>
      <c r="K978" t="n">
        <v>0</v>
      </c>
      <c r="L978" t="n">
        <v>0</v>
      </c>
      <c r="M978" t="n">
        <v>0</v>
      </c>
      <c r="N978" t="n">
        <v>0</v>
      </c>
      <c r="O978" t="n">
        <v>0</v>
      </c>
      <c r="P978" t="n">
        <v>0</v>
      </c>
      <c r="Q978" t="n">
        <v>0</v>
      </c>
      <c r="R978" s="2" t="inlineStr"/>
    </row>
    <row r="979" ht="15" customHeight="1">
      <c r="A979" t="inlineStr">
        <is>
          <t>A 39724-2021</t>
        </is>
      </c>
      <c r="B979" s="1" t="n">
        <v>44417</v>
      </c>
      <c r="C979" s="1" t="n">
        <v>45952</v>
      </c>
      <c r="D979" t="inlineStr">
        <is>
          <t>VÄSTRA GÖTALANDS LÄN</t>
        </is>
      </c>
      <c r="E979" t="inlineStr">
        <is>
          <t>HERRLJUNGA</t>
        </is>
      </c>
      <c r="G979" t="n">
        <v>1.1</v>
      </c>
      <c r="H979" t="n">
        <v>0</v>
      </c>
      <c r="I979" t="n">
        <v>0</v>
      </c>
      <c r="J979" t="n">
        <v>0</v>
      </c>
      <c r="K979" t="n">
        <v>0</v>
      </c>
      <c r="L979" t="n">
        <v>0</v>
      </c>
      <c r="M979" t="n">
        <v>0</v>
      </c>
      <c r="N979" t="n">
        <v>0</v>
      </c>
      <c r="O979" t="n">
        <v>0</v>
      </c>
      <c r="P979" t="n">
        <v>0</v>
      </c>
      <c r="Q979" t="n">
        <v>0</v>
      </c>
      <c r="R979" s="2" t="inlineStr"/>
    </row>
    <row r="980" ht="15" customHeight="1">
      <c r="A980" t="inlineStr">
        <is>
          <t>A 53410-2021</t>
        </is>
      </c>
      <c r="B980" s="1" t="n">
        <v>44468</v>
      </c>
      <c r="C980" s="1" t="n">
        <v>45952</v>
      </c>
      <c r="D980" t="inlineStr">
        <is>
          <t>VÄSTRA GÖTALANDS LÄN</t>
        </is>
      </c>
      <c r="E980" t="inlineStr">
        <is>
          <t>BORÅS</t>
        </is>
      </c>
      <c r="G980" t="n">
        <v>1</v>
      </c>
      <c r="H980" t="n">
        <v>0</v>
      </c>
      <c r="I980" t="n">
        <v>0</v>
      </c>
      <c r="J980" t="n">
        <v>0</v>
      </c>
      <c r="K980" t="n">
        <v>0</v>
      </c>
      <c r="L980" t="n">
        <v>0</v>
      </c>
      <c r="M980" t="n">
        <v>0</v>
      </c>
      <c r="N980" t="n">
        <v>0</v>
      </c>
      <c r="O980" t="n">
        <v>0</v>
      </c>
      <c r="P980" t="n">
        <v>0</v>
      </c>
      <c r="Q980" t="n">
        <v>0</v>
      </c>
      <c r="R980" s="2" t="inlineStr"/>
    </row>
    <row r="981" ht="15" customHeight="1">
      <c r="A981" t="inlineStr">
        <is>
          <t>A 40321-2021</t>
        </is>
      </c>
      <c r="B981" s="1" t="n">
        <v>44419.53385416666</v>
      </c>
      <c r="C981" s="1" t="n">
        <v>45952</v>
      </c>
      <c r="D981" t="inlineStr">
        <is>
          <t>VÄSTRA GÖTALANDS LÄN</t>
        </is>
      </c>
      <c r="E981" t="inlineStr">
        <is>
          <t>TÖREBODA</t>
        </is>
      </c>
      <c r="G981" t="n">
        <v>1.2</v>
      </c>
      <c r="H981" t="n">
        <v>0</v>
      </c>
      <c r="I981" t="n">
        <v>0</v>
      </c>
      <c r="J981" t="n">
        <v>0</v>
      </c>
      <c r="K981" t="n">
        <v>0</v>
      </c>
      <c r="L981" t="n">
        <v>0</v>
      </c>
      <c r="M981" t="n">
        <v>0</v>
      </c>
      <c r="N981" t="n">
        <v>0</v>
      </c>
      <c r="O981" t="n">
        <v>0</v>
      </c>
      <c r="P981" t="n">
        <v>0</v>
      </c>
      <c r="Q981" t="n">
        <v>0</v>
      </c>
      <c r="R981" s="2" t="inlineStr"/>
    </row>
    <row r="982" ht="15" customHeight="1">
      <c r="A982" t="inlineStr">
        <is>
          <t>A 51995-2021</t>
        </is>
      </c>
      <c r="B982" s="1" t="n">
        <v>44462</v>
      </c>
      <c r="C982" s="1" t="n">
        <v>45952</v>
      </c>
      <c r="D982" t="inlineStr">
        <is>
          <t>VÄSTRA GÖTALANDS LÄN</t>
        </is>
      </c>
      <c r="E982" t="inlineStr">
        <is>
          <t>TANUM</t>
        </is>
      </c>
      <c r="G982" t="n">
        <v>2.5</v>
      </c>
      <c r="H982" t="n">
        <v>0</v>
      </c>
      <c r="I982" t="n">
        <v>0</v>
      </c>
      <c r="J982" t="n">
        <v>0</v>
      </c>
      <c r="K982" t="n">
        <v>0</v>
      </c>
      <c r="L982" t="n">
        <v>0</v>
      </c>
      <c r="M982" t="n">
        <v>0</v>
      </c>
      <c r="N982" t="n">
        <v>0</v>
      </c>
      <c r="O982" t="n">
        <v>0</v>
      </c>
      <c r="P982" t="n">
        <v>0</v>
      </c>
      <c r="Q982" t="n">
        <v>0</v>
      </c>
      <c r="R982" s="2" t="inlineStr"/>
    </row>
    <row r="983" ht="15" customHeight="1">
      <c r="A983" t="inlineStr">
        <is>
          <t>A 29346-2022</t>
        </is>
      </c>
      <c r="B983" s="1" t="n">
        <v>44753.32848379629</v>
      </c>
      <c r="C983" s="1" t="n">
        <v>45952</v>
      </c>
      <c r="D983" t="inlineStr">
        <is>
          <t>VÄSTRA GÖTALANDS LÄN</t>
        </is>
      </c>
      <c r="E983" t="inlineStr">
        <is>
          <t>VÄNERSBORG</t>
        </is>
      </c>
      <c r="G983" t="n">
        <v>0.8</v>
      </c>
      <c r="H983" t="n">
        <v>0</v>
      </c>
      <c r="I983" t="n">
        <v>0</v>
      </c>
      <c r="J983" t="n">
        <v>0</v>
      </c>
      <c r="K983" t="n">
        <v>0</v>
      </c>
      <c r="L983" t="n">
        <v>0</v>
      </c>
      <c r="M983" t="n">
        <v>0</v>
      </c>
      <c r="N983" t="n">
        <v>0</v>
      </c>
      <c r="O983" t="n">
        <v>0</v>
      </c>
      <c r="P983" t="n">
        <v>0</v>
      </c>
      <c r="Q983" t="n">
        <v>0</v>
      </c>
      <c r="R983" s="2" t="inlineStr"/>
    </row>
    <row r="984" ht="15" customHeight="1">
      <c r="A984" t="inlineStr">
        <is>
          <t>A 59086-2021</t>
        </is>
      </c>
      <c r="B984" s="1" t="n">
        <v>44490</v>
      </c>
      <c r="C984" s="1" t="n">
        <v>45952</v>
      </c>
      <c r="D984" t="inlineStr">
        <is>
          <t>VÄSTRA GÖTALANDS LÄN</t>
        </is>
      </c>
      <c r="E984" t="inlineStr">
        <is>
          <t>GÖTENE</t>
        </is>
      </c>
      <c r="G984" t="n">
        <v>0.7</v>
      </c>
      <c r="H984" t="n">
        <v>0</v>
      </c>
      <c r="I984" t="n">
        <v>0</v>
      </c>
      <c r="J984" t="n">
        <v>0</v>
      </c>
      <c r="K984" t="n">
        <v>0</v>
      </c>
      <c r="L984" t="n">
        <v>0</v>
      </c>
      <c r="M984" t="n">
        <v>0</v>
      </c>
      <c r="N984" t="n">
        <v>0</v>
      </c>
      <c r="O984" t="n">
        <v>0</v>
      </c>
      <c r="P984" t="n">
        <v>0</v>
      </c>
      <c r="Q984" t="n">
        <v>0</v>
      </c>
      <c r="R984" s="2" t="inlineStr"/>
    </row>
    <row r="985" ht="15" customHeight="1">
      <c r="A985" t="inlineStr">
        <is>
          <t>A 48215-2022</t>
        </is>
      </c>
      <c r="B985" s="1" t="n">
        <v>44858</v>
      </c>
      <c r="C985" s="1" t="n">
        <v>45952</v>
      </c>
      <c r="D985" t="inlineStr">
        <is>
          <t>VÄSTRA GÖTALANDS LÄN</t>
        </is>
      </c>
      <c r="E985" t="inlineStr">
        <is>
          <t>STENUNGSUND</t>
        </is>
      </c>
      <c r="G985" t="n">
        <v>1.5</v>
      </c>
      <c r="H985" t="n">
        <v>0</v>
      </c>
      <c r="I985" t="n">
        <v>0</v>
      </c>
      <c r="J985" t="n">
        <v>0</v>
      </c>
      <c r="K985" t="n">
        <v>0</v>
      </c>
      <c r="L985" t="n">
        <v>0</v>
      </c>
      <c r="M985" t="n">
        <v>0</v>
      </c>
      <c r="N985" t="n">
        <v>0</v>
      </c>
      <c r="O985" t="n">
        <v>0</v>
      </c>
      <c r="P985" t="n">
        <v>0</v>
      </c>
      <c r="Q985" t="n">
        <v>0</v>
      </c>
      <c r="R985" s="2" t="inlineStr"/>
    </row>
    <row r="986" ht="15" customHeight="1">
      <c r="A986" t="inlineStr">
        <is>
          <t>A 5455-2022</t>
        </is>
      </c>
      <c r="B986" s="1" t="n">
        <v>44595.45362268519</v>
      </c>
      <c r="C986" s="1" t="n">
        <v>45952</v>
      </c>
      <c r="D986" t="inlineStr">
        <is>
          <t>VÄSTRA GÖTALANDS LÄN</t>
        </is>
      </c>
      <c r="E986" t="inlineStr">
        <is>
          <t>FÄRGELANDA</t>
        </is>
      </c>
      <c r="G986" t="n">
        <v>4.8</v>
      </c>
      <c r="H986" t="n">
        <v>0</v>
      </c>
      <c r="I986" t="n">
        <v>0</v>
      </c>
      <c r="J986" t="n">
        <v>0</v>
      </c>
      <c r="K986" t="n">
        <v>0</v>
      </c>
      <c r="L986" t="n">
        <v>0</v>
      </c>
      <c r="M986" t="n">
        <v>0</v>
      </c>
      <c r="N986" t="n">
        <v>0</v>
      </c>
      <c r="O986" t="n">
        <v>0</v>
      </c>
      <c r="P986" t="n">
        <v>0</v>
      </c>
      <c r="Q986" t="n">
        <v>0</v>
      </c>
      <c r="R986" s="2" t="inlineStr"/>
    </row>
    <row r="987" ht="15" customHeight="1">
      <c r="A987" t="inlineStr">
        <is>
          <t>A 54484-2021</t>
        </is>
      </c>
      <c r="B987" s="1" t="n">
        <v>44473.49318287037</v>
      </c>
      <c r="C987" s="1" t="n">
        <v>45952</v>
      </c>
      <c r="D987" t="inlineStr">
        <is>
          <t>VÄSTRA GÖTALANDS LÄN</t>
        </is>
      </c>
      <c r="E987" t="inlineStr">
        <is>
          <t>MARIESTAD</t>
        </is>
      </c>
      <c r="G987" t="n">
        <v>4.7</v>
      </c>
      <c r="H987" t="n">
        <v>0</v>
      </c>
      <c r="I987" t="n">
        <v>0</v>
      </c>
      <c r="J987" t="n">
        <v>0</v>
      </c>
      <c r="K987" t="n">
        <v>0</v>
      </c>
      <c r="L987" t="n">
        <v>0</v>
      </c>
      <c r="M987" t="n">
        <v>0</v>
      </c>
      <c r="N987" t="n">
        <v>0</v>
      </c>
      <c r="O987" t="n">
        <v>0</v>
      </c>
      <c r="P987" t="n">
        <v>0</v>
      </c>
      <c r="Q987" t="n">
        <v>0</v>
      </c>
      <c r="R987" s="2" t="inlineStr"/>
    </row>
    <row r="988" ht="15" customHeight="1">
      <c r="A988" t="inlineStr">
        <is>
          <t>A 32570-2022</t>
        </is>
      </c>
      <c r="B988" s="1" t="n">
        <v>44783.3771875</v>
      </c>
      <c r="C988" s="1" t="n">
        <v>45952</v>
      </c>
      <c r="D988" t="inlineStr">
        <is>
          <t>VÄSTRA GÖTALANDS LÄN</t>
        </is>
      </c>
      <c r="E988" t="inlineStr">
        <is>
          <t>TIDAHOLM</t>
        </is>
      </c>
      <c r="F988" t="inlineStr">
        <is>
          <t>Sveaskog</t>
        </is>
      </c>
      <c r="G988" t="n">
        <v>0.4</v>
      </c>
      <c r="H988" t="n">
        <v>0</v>
      </c>
      <c r="I988" t="n">
        <v>0</v>
      </c>
      <c r="J988" t="n">
        <v>0</v>
      </c>
      <c r="K988" t="n">
        <v>0</v>
      </c>
      <c r="L988" t="n">
        <v>0</v>
      </c>
      <c r="M988" t="n">
        <v>0</v>
      </c>
      <c r="N988" t="n">
        <v>0</v>
      </c>
      <c r="O988" t="n">
        <v>0</v>
      </c>
      <c r="P988" t="n">
        <v>0</v>
      </c>
      <c r="Q988" t="n">
        <v>0</v>
      </c>
      <c r="R988" s="2" t="inlineStr"/>
    </row>
    <row r="989" ht="15" customHeight="1">
      <c r="A989" t="inlineStr">
        <is>
          <t>A 53548-2021</t>
        </is>
      </c>
      <c r="B989" s="1" t="n">
        <v>44469</v>
      </c>
      <c r="C989" s="1" t="n">
        <v>45952</v>
      </c>
      <c r="D989" t="inlineStr">
        <is>
          <t>VÄSTRA GÖTALANDS LÄN</t>
        </is>
      </c>
      <c r="E989" t="inlineStr">
        <is>
          <t>FALKÖPING</t>
        </is>
      </c>
      <c r="G989" t="n">
        <v>5.1</v>
      </c>
      <c r="H989" t="n">
        <v>0</v>
      </c>
      <c r="I989" t="n">
        <v>0</v>
      </c>
      <c r="J989" t="n">
        <v>0</v>
      </c>
      <c r="K989" t="n">
        <v>0</v>
      </c>
      <c r="L989" t="n">
        <v>0</v>
      </c>
      <c r="M989" t="n">
        <v>0</v>
      </c>
      <c r="N989" t="n">
        <v>0</v>
      </c>
      <c r="O989" t="n">
        <v>0</v>
      </c>
      <c r="P989" t="n">
        <v>0</v>
      </c>
      <c r="Q989" t="n">
        <v>0</v>
      </c>
      <c r="R989" s="2" t="inlineStr"/>
    </row>
    <row r="990" ht="15" customHeight="1">
      <c r="A990" t="inlineStr">
        <is>
          <t>A 4892-2021</t>
        </is>
      </c>
      <c r="B990" s="1" t="n">
        <v>44224</v>
      </c>
      <c r="C990" s="1" t="n">
        <v>45952</v>
      </c>
      <c r="D990" t="inlineStr">
        <is>
          <t>VÄSTRA GÖTALANDS LÄN</t>
        </is>
      </c>
      <c r="E990" t="inlineStr">
        <is>
          <t>KUNGÄLV</t>
        </is>
      </c>
      <c r="G990" t="n">
        <v>6</v>
      </c>
      <c r="H990" t="n">
        <v>0</v>
      </c>
      <c r="I990" t="n">
        <v>0</v>
      </c>
      <c r="J990" t="n">
        <v>0</v>
      </c>
      <c r="K990" t="n">
        <v>0</v>
      </c>
      <c r="L990" t="n">
        <v>0</v>
      </c>
      <c r="M990" t="n">
        <v>0</v>
      </c>
      <c r="N990" t="n">
        <v>0</v>
      </c>
      <c r="O990" t="n">
        <v>0</v>
      </c>
      <c r="P990" t="n">
        <v>0</v>
      </c>
      <c r="Q990" t="n">
        <v>0</v>
      </c>
      <c r="R990" s="2" t="inlineStr"/>
    </row>
    <row r="991" ht="15" customHeight="1">
      <c r="A991" t="inlineStr">
        <is>
          <t>A 11629-2022</t>
        </is>
      </c>
      <c r="B991" s="1" t="n">
        <v>44631.6496875</v>
      </c>
      <c r="C991" s="1" t="n">
        <v>45952</v>
      </c>
      <c r="D991" t="inlineStr">
        <is>
          <t>VÄSTRA GÖTALANDS LÄN</t>
        </is>
      </c>
      <c r="E991" t="inlineStr">
        <is>
          <t>BORÅS</t>
        </is>
      </c>
      <c r="G991" t="n">
        <v>3.2</v>
      </c>
      <c r="H991" t="n">
        <v>0</v>
      </c>
      <c r="I991" t="n">
        <v>0</v>
      </c>
      <c r="J991" t="n">
        <v>0</v>
      </c>
      <c r="K991" t="n">
        <v>0</v>
      </c>
      <c r="L991" t="n">
        <v>0</v>
      </c>
      <c r="M991" t="n">
        <v>0</v>
      </c>
      <c r="N991" t="n">
        <v>0</v>
      </c>
      <c r="O991" t="n">
        <v>0</v>
      </c>
      <c r="P991" t="n">
        <v>0</v>
      </c>
      <c r="Q991" t="n">
        <v>0</v>
      </c>
      <c r="R991" s="2" t="inlineStr"/>
    </row>
    <row r="992" ht="15" customHeight="1">
      <c r="A992" t="inlineStr">
        <is>
          <t>A 7802-2021</t>
        </is>
      </c>
      <c r="B992" s="1" t="n">
        <v>44242</v>
      </c>
      <c r="C992" s="1" t="n">
        <v>45952</v>
      </c>
      <c r="D992" t="inlineStr">
        <is>
          <t>VÄSTRA GÖTALANDS LÄN</t>
        </is>
      </c>
      <c r="E992" t="inlineStr">
        <is>
          <t>FÄRGELANDA</t>
        </is>
      </c>
      <c r="G992" t="n">
        <v>11.9</v>
      </c>
      <c r="H992" t="n">
        <v>0</v>
      </c>
      <c r="I992" t="n">
        <v>0</v>
      </c>
      <c r="J992" t="n">
        <v>0</v>
      </c>
      <c r="K992" t="n">
        <v>0</v>
      </c>
      <c r="L992" t="n">
        <v>0</v>
      </c>
      <c r="M992" t="n">
        <v>0</v>
      </c>
      <c r="N992" t="n">
        <v>0</v>
      </c>
      <c r="O992" t="n">
        <v>0</v>
      </c>
      <c r="P992" t="n">
        <v>0</v>
      </c>
      <c r="Q992" t="n">
        <v>0</v>
      </c>
      <c r="R992" s="2" t="inlineStr"/>
    </row>
    <row r="993" ht="15" customHeight="1">
      <c r="A993" t="inlineStr">
        <is>
          <t>A 2764-2021</t>
        </is>
      </c>
      <c r="B993" s="1" t="n">
        <v>44215</v>
      </c>
      <c r="C993" s="1" t="n">
        <v>45952</v>
      </c>
      <c r="D993" t="inlineStr">
        <is>
          <t>VÄSTRA GÖTALANDS LÄN</t>
        </is>
      </c>
      <c r="E993" t="inlineStr">
        <is>
          <t>FÄRGELANDA</t>
        </is>
      </c>
      <c r="G993" t="n">
        <v>4.7</v>
      </c>
      <c r="H993" t="n">
        <v>0</v>
      </c>
      <c r="I993" t="n">
        <v>0</v>
      </c>
      <c r="J993" t="n">
        <v>0</v>
      </c>
      <c r="K993" t="n">
        <v>0</v>
      </c>
      <c r="L993" t="n">
        <v>0</v>
      </c>
      <c r="M993" t="n">
        <v>0</v>
      </c>
      <c r="N993" t="n">
        <v>0</v>
      </c>
      <c r="O993" t="n">
        <v>0</v>
      </c>
      <c r="P993" t="n">
        <v>0</v>
      </c>
      <c r="Q993" t="n">
        <v>0</v>
      </c>
      <c r="R993" s="2" t="inlineStr"/>
    </row>
    <row r="994" ht="15" customHeight="1">
      <c r="A994" t="inlineStr">
        <is>
          <t>A 54899-2022</t>
        </is>
      </c>
      <c r="B994" s="1" t="n">
        <v>44886</v>
      </c>
      <c r="C994" s="1" t="n">
        <v>45952</v>
      </c>
      <c r="D994" t="inlineStr">
        <is>
          <t>VÄSTRA GÖTALANDS LÄN</t>
        </is>
      </c>
      <c r="E994" t="inlineStr">
        <is>
          <t>VÄNERSBORG</t>
        </is>
      </c>
      <c r="G994" t="n">
        <v>1.2</v>
      </c>
      <c r="H994" t="n">
        <v>0</v>
      </c>
      <c r="I994" t="n">
        <v>0</v>
      </c>
      <c r="J994" t="n">
        <v>0</v>
      </c>
      <c r="K994" t="n">
        <v>0</v>
      </c>
      <c r="L994" t="n">
        <v>0</v>
      </c>
      <c r="M994" t="n">
        <v>0</v>
      </c>
      <c r="N994" t="n">
        <v>0</v>
      </c>
      <c r="O994" t="n">
        <v>0</v>
      </c>
      <c r="P994" t="n">
        <v>0</v>
      </c>
      <c r="Q994" t="n">
        <v>0</v>
      </c>
      <c r="R994" s="2" t="inlineStr"/>
    </row>
    <row r="995" ht="15" customHeight="1">
      <c r="A995" t="inlineStr">
        <is>
          <t>A 48904-2021</t>
        </is>
      </c>
      <c r="B995" s="1" t="n">
        <v>44453</v>
      </c>
      <c r="C995" s="1" t="n">
        <v>45952</v>
      </c>
      <c r="D995" t="inlineStr">
        <is>
          <t>VÄSTRA GÖTALANDS LÄN</t>
        </is>
      </c>
      <c r="E995" t="inlineStr">
        <is>
          <t>TIBRO</t>
        </is>
      </c>
      <c r="G995" t="n">
        <v>0.4</v>
      </c>
      <c r="H995" t="n">
        <v>0</v>
      </c>
      <c r="I995" t="n">
        <v>0</v>
      </c>
      <c r="J995" t="n">
        <v>0</v>
      </c>
      <c r="K995" t="n">
        <v>0</v>
      </c>
      <c r="L995" t="n">
        <v>0</v>
      </c>
      <c r="M995" t="n">
        <v>0</v>
      </c>
      <c r="N995" t="n">
        <v>0</v>
      </c>
      <c r="O995" t="n">
        <v>0</v>
      </c>
      <c r="P995" t="n">
        <v>0</v>
      </c>
      <c r="Q995" t="n">
        <v>0</v>
      </c>
      <c r="R995" s="2" t="inlineStr"/>
    </row>
    <row r="996" ht="15" customHeight="1">
      <c r="A996" t="inlineStr">
        <is>
          <t>A 48927-2021</t>
        </is>
      </c>
      <c r="B996" s="1" t="n">
        <v>44453.330625</v>
      </c>
      <c r="C996" s="1" t="n">
        <v>45952</v>
      </c>
      <c r="D996" t="inlineStr">
        <is>
          <t>VÄSTRA GÖTALANDS LÄN</t>
        </is>
      </c>
      <c r="E996" t="inlineStr">
        <is>
          <t>SVENLJUNGA</t>
        </is>
      </c>
      <c r="G996" t="n">
        <v>0.7</v>
      </c>
      <c r="H996" t="n">
        <v>0</v>
      </c>
      <c r="I996" t="n">
        <v>0</v>
      </c>
      <c r="J996" t="n">
        <v>0</v>
      </c>
      <c r="K996" t="n">
        <v>0</v>
      </c>
      <c r="L996" t="n">
        <v>0</v>
      </c>
      <c r="M996" t="n">
        <v>0</v>
      </c>
      <c r="N996" t="n">
        <v>0</v>
      </c>
      <c r="O996" t="n">
        <v>0</v>
      </c>
      <c r="P996" t="n">
        <v>0</v>
      </c>
      <c r="Q996" t="n">
        <v>0</v>
      </c>
      <c r="R996" s="2" t="inlineStr"/>
    </row>
    <row r="997" ht="15" customHeight="1">
      <c r="A997" t="inlineStr">
        <is>
          <t>A 49367-2021</t>
        </is>
      </c>
      <c r="B997" s="1" t="n">
        <v>44454.60244212963</v>
      </c>
      <c r="C997" s="1" t="n">
        <v>45952</v>
      </c>
      <c r="D997" t="inlineStr">
        <is>
          <t>VÄSTRA GÖTALANDS LÄN</t>
        </is>
      </c>
      <c r="E997" t="inlineStr">
        <is>
          <t>TIDAHOLM</t>
        </is>
      </c>
      <c r="F997" t="inlineStr">
        <is>
          <t>Sveaskog</t>
        </is>
      </c>
      <c r="G997" t="n">
        <v>2.2</v>
      </c>
      <c r="H997" t="n">
        <v>0</v>
      </c>
      <c r="I997" t="n">
        <v>0</v>
      </c>
      <c r="J997" t="n">
        <v>0</v>
      </c>
      <c r="K997" t="n">
        <v>0</v>
      </c>
      <c r="L997" t="n">
        <v>0</v>
      </c>
      <c r="M997" t="n">
        <v>0</v>
      </c>
      <c r="N997" t="n">
        <v>0</v>
      </c>
      <c r="O997" t="n">
        <v>0</v>
      </c>
      <c r="P997" t="n">
        <v>0</v>
      </c>
      <c r="Q997" t="n">
        <v>0</v>
      </c>
      <c r="R997" s="2" t="inlineStr"/>
    </row>
    <row r="998" ht="15" customHeight="1">
      <c r="A998" t="inlineStr">
        <is>
          <t>A 12912-2021</t>
        </is>
      </c>
      <c r="B998" s="1" t="n">
        <v>44271</v>
      </c>
      <c r="C998" s="1" t="n">
        <v>45952</v>
      </c>
      <c r="D998" t="inlineStr">
        <is>
          <t>VÄSTRA GÖTALANDS LÄN</t>
        </is>
      </c>
      <c r="E998" t="inlineStr">
        <is>
          <t>MARK</t>
        </is>
      </c>
      <c r="G998" t="n">
        <v>3.7</v>
      </c>
      <c r="H998" t="n">
        <v>0</v>
      </c>
      <c r="I998" t="n">
        <v>0</v>
      </c>
      <c r="J998" t="n">
        <v>0</v>
      </c>
      <c r="K998" t="n">
        <v>0</v>
      </c>
      <c r="L998" t="n">
        <v>0</v>
      </c>
      <c r="M998" t="n">
        <v>0</v>
      </c>
      <c r="N998" t="n">
        <v>0</v>
      </c>
      <c r="O998" t="n">
        <v>0</v>
      </c>
      <c r="P998" t="n">
        <v>0</v>
      </c>
      <c r="Q998" t="n">
        <v>0</v>
      </c>
      <c r="R998" s="2" t="inlineStr"/>
    </row>
    <row r="999" ht="15" customHeight="1">
      <c r="A999" t="inlineStr">
        <is>
          <t>A 12967-2021</t>
        </is>
      </c>
      <c r="B999" s="1" t="n">
        <v>44271.61297453703</v>
      </c>
      <c r="C999" s="1" t="n">
        <v>45952</v>
      </c>
      <c r="D999" t="inlineStr">
        <is>
          <t>VÄSTRA GÖTALANDS LÄN</t>
        </is>
      </c>
      <c r="E999" t="inlineStr">
        <is>
          <t>VÅRGÅRDA</t>
        </is>
      </c>
      <c r="G999" t="n">
        <v>0.2</v>
      </c>
      <c r="H999" t="n">
        <v>0</v>
      </c>
      <c r="I999" t="n">
        <v>0</v>
      </c>
      <c r="J999" t="n">
        <v>0</v>
      </c>
      <c r="K999" t="n">
        <v>0</v>
      </c>
      <c r="L999" t="n">
        <v>0</v>
      </c>
      <c r="M999" t="n">
        <v>0</v>
      </c>
      <c r="N999" t="n">
        <v>0</v>
      </c>
      <c r="O999" t="n">
        <v>0</v>
      </c>
      <c r="P999" t="n">
        <v>0</v>
      </c>
      <c r="Q999" t="n">
        <v>0</v>
      </c>
      <c r="R999" s="2" t="inlineStr"/>
    </row>
    <row r="1000" ht="15" customHeight="1">
      <c r="A1000" t="inlineStr">
        <is>
          <t>A 48088-2021</t>
        </is>
      </c>
      <c r="B1000" s="1" t="n">
        <v>44449</v>
      </c>
      <c r="C1000" s="1" t="n">
        <v>45952</v>
      </c>
      <c r="D1000" t="inlineStr">
        <is>
          <t>VÄSTRA GÖTALANDS LÄN</t>
        </is>
      </c>
      <c r="E1000" t="inlineStr">
        <is>
          <t>UDDEVALLA</t>
        </is>
      </c>
      <c r="F1000" t="inlineStr">
        <is>
          <t>Kyrkan</t>
        </is>
      </c>
      <c r="G1000" t="n">
        <v>1.6</v>
      </c>
      <c r="H1000" t="n">
        <v>0</v>
      </c>
      <c r="I1000" t="n">
        <v>0</v>
      </c>
      <c r="J1000" t="n">
        <v>0</v>
      </c>
      <c r="K1000" t="n">
        <v>0</v>
      </c>
      <c r="L1000" t="n">
        <v>0</v>
      </c>
      <c r="M1000" t="n">
        <v>0</v>
      </c>
      <c r="N1000" t="n">
        <v>0</v>
      </c>
      <c r="O1000" t="n">
        <v>0</v>
      </c>
      <c r="P1000" t="n">
        <v>0</v>
      </c>
      <c r="Q1000" t="n">
        <v>0</v>
      </c>
      <c r="R1000" s="2" t="inlineStr"/>
    </row>
    <row r="1001" ht="15" customHeight="1">
      <c r="A1001" t="inlineStr">
        <is>
          <t>A 57794-2021</t>
        </is>
      </c>
      <c r="B1001" s="1" t="n">
        <v>44484</v>
      </c>
      <c r="C1001" s="1" t="n">
        <v>45952</v>
      </c>
      <c r="D1001" t="inlineStr">
        <is>
          <t>VÄSTRA GÖTALANDS LÄN</t>
        </is>
      </c>
      <c r="E1001" t="inlineStr">
        <is>
          <t>MARIESTAD</t>
        </is>
      </c>
      <c r="G1001" t="n">
        <v>2.8</v>
      </c>
      <c r="H1001" t="n">
        <v>0</v>
      </c>
      <c r="I1001" t="n">
        <v>0</v>
      </c>
      <c r="J1001" t="n">
        <v>0</v>
      </c>
      <c r="K1001" t="n">
        <v>0</v>
      </c>
      <c r="L1001" t="n">
        <v>0</v>
      </c>
      <c r="M1001" t="n">
        <v>0</v>
      </c>
      <c r="N1001" t="n">
        <v>0</v>
      </c>
      <c r="O1001" t="n">
        <v>0</v>
      </c>
      <c r="P1001" t="n">
        <v>0</v>
      </c>
      <c r="Q1001" t="n">
        <v>0</v>
      </c>
      <c r="R1001" s="2" t="inlineStr"/>
    </row>
    <row r="1002" ht="15" customHeight="1">
      <c r="A1002" t="inlineStr">
        <is>
          <t>A 13530-2021</t>
        </is>
      </c>
      <c r="B1002" s="1" t="n">
        <v>44273.69288194444</v>
      </c>
      <c r="C1002" s="1" t="n">
        <v>45952</v>
      </c>
      <c r="D1002" t="inlineStr">
        <is>
          <t>VÄSTRA GÖTALANDS LÄN</t>
        </is>
      </c>
      <c r="E1002" t="inlineStr">
        <is>
          <t>TROLLHÄTTAN</t>
        </is>
      </c>
      <c r="G1002" t="n">
        <v>2.2</v>
      </c>
      <c r="H1002" t="n">
        <v>0</v>
      </c>
      <c r="I1002" t="n">
        <v>0</v>
      </c>
      <c r="J1002" t="n">
        <v>0</v>
      </c>
      <c r="K1002" t="n">
        <v>0</v>
      </c>
      <c r="L1002" t="n">
        <v>0</v>
      </c>
      <c r="M1002" t="n">
        <v>0</v>
      </c>
      <c r="N1002" t="n">
        <v>0</v>
      </c>
      <c r="O1002" t="n">
        <v>0</v>
      </c>
      <c r="P1002" t="n">
        <v>0</v>
      </c>
      <c r="Q1002" t="n">
        <v>0</v>
      </c>
      <c r="R1002" s="2" t="inlineStr"/>
    </row>
    <row r="1003" ht="15" customHeight="1">
      <c r="A1003" t="inlineStr">
        <is>
          <t>A 63363-2021</t>
        </is>
      </c>
      <c r="B1003" s="1" t="n">
        <v>44506</v>
      </c>
      <c r="C1003" s="1" t="n">
        <v>45952</v>
      </c>
      <c r="D1003" t="inlineStr">
        <is>
          <t>VÄSTRA GÖTALANDS LÄN</t>
        </is>
      </c>
      <c r="E1003" t="inlineStr">
        <is>
          <t>TANUM</t>
        </is>
      </c>
      <c r="G1003" t="n">
        <v>1.2</v>
      </c>
      <c r="H1003" t="n">
        <v>0</v>
      </c>
      <c r="I1003" t="n">
        <v>0</v>
      </c>
      <c r="J1003" t="n">
        <v>0</v>
      </c>
      <c r="K1003" t="n">
        <v>0</v>
      </c>
      <c r="L1003" t="n">
        <v>0</v>
      </c>
      <c r="M1003" t="n">
        <v>0</v>
      </c>
      <c r="N1003" t="n">
        <v>0</v>
      </c>
      <c r="O1003" t="n">
        <v>0</v>
      </c>
      <c r="P1003" t="n">
        <v>0</v>
      </c>
      <c r="Q1003" t="n">
        <v>0</v>
      </c>
      <c r="R1003" s="2" t="inlineStr"/>
    </row>
    <row r="1004" ht="15" customHeight="1">
      <c r="A1004" t="inlineStr">
        <is>
          <t>A 63383-2021</t>
        </is>
      </c>
      <c r="B1004" s="1" t="n">
        <v>44508</v>
      </c>
      <c r="C1004" s="1" t="n">
        <v>45952</v>
      </c>
      <c r="D1004" t="inlineStr">
        <is>
          <t>VÄSTRA GÖTALANDS LÄN</t>
        </is>
      </c>
      <c r="E1004" t="inlineStr">
        <is>
          <t>TIDAHOLM</t>
        </is>
      </c>
      <c r="G1004" t="n">
        <v>5</v>
      </c>
      <c r="H1004" t="n">
        <v>0</v>
      </c>
      <c r="I1004" t="n">
        <v>0</v>
      </c>
      <c r="J1004" t="n">
        <v>0</v>
      </c>
      <c r="K1004" t="n">
        <v>0</v>
      </c>
      <c r="L1004" t="n">
        <v>0</v>
      </c>
      <c r="M1004" t="n">
        <v>0</v>
      </c>
      <c r="N1004" t="n">
        <v>0</v>
      </c>
      <c r="O1004" t="n">
        <v>0</v>
      </c>
      <c r="P1004" t="n">
        <v>0</v>
      </c>
      <c r="Q1004" t="n">
        <v>0</v>
      </c>
      <c r="R1004" s="2" t="inlineStr"/>
    </row>
    <row r="1005" ht="15" customHeight="1">
      <c r="A1005" t="inlineStr">
        <is>
          <t>A 64773-2021</t>
        </is>
      </c>
      <c r="B1005" s="1" t="n">
        <v>44512</v>
      </c>
      <c r="C1005" s="1" t="n">
        <v>45952</v>
      </c>
      <c r="D1005" t="inlineStr">
        <is>
          <t>VÄSTRA GÖTALANDS LÄN</t>
        </is>
      </c>
      <c r="E1005" t="inlineStr">
        <is>
          <t>FALKÖPING</t>
        </is>
      </c>
      <c r="G1005" t="n">
        <v>1.5</v>
      </c>
      <c r="H1005" t="n">
        <v>0</v>
      </c>
      <c r="I1005" t="n">
        <v>0</v>
      </c>
      <c r="J1005" t="n">
        <v>0</v>
      </c>
      <c r="K1005" t="n">
        <v>0</v>
      </c>
      <c r="L1005" t="n">
        <v>0</v>
      </c>
      <c r="M1005" t="n">
        <v>0</v>
      </c>
      <c r="N1005" t="n">
        <v>0</v>
      </c>
      <c r="O1005" t="n">
        <v>0</v>
      </c>
      <c r="P1005" t="n">
        <v>0</v>
      </c>
      <c r="Q1005" t="n">
        <v>0</v>
      </c>
      <c r="R1005" s="2" t="inlineStr"/>
    </row>
    <row r="1006" ht="15" customHeight="1">
      <c r="A1006" t="inlineStr">
        <is>
          <t>A 64794-2021</t>
        </is>
      </c>
      <c r="B1006" s="1" t="n">
        <v>44512</v>
      </c>
      <c r="C1006" s="1" t="n">
        <v>45952</v>
      </c>
      <c r="D1006" t="inlineStr">
        <is>
          <t>VÄSTRA GÖTALANDS LÄN</t>
        </is>
      </c>
      <c r="E1006" t="inlineStr">
        <is>
          <t>ULRICEHAMN</t>
        </is>
      </c>
      <c r="F1006" t="inlineStr">
        <is>
          <t>Sveaskog</t>
        </is>
      </c>
      <c r="G1006" t="n">
        <v>0.4</v>
      </c>
      <c r="H1006" t="n">
        <v>0</v>
      </c>
      <c r="I1006" t="n">
        <v>0</v>
      </c>
      <c r="J1006" t="n">
        <v>0</v>
      </c>
      <c r="K1006" t="n">
        <v>0</v>
      </c>
      <c r="L1006" t="n">
        <v>0</v>
      </c>
      <c r="M1006" t="n">
        <v>0</v>
      </c>
      <c r="N1006" t="n">
        <v>0</v>
      </c>
      <c r="O1006" t="n">
        <v>0</v>
      </c>
      <c r="P1006" t="n">
        <v>0</v>
      </c>
      <c r="Q1006" t="n">
        <v>0</v>
      </c>
      <c r="R1006" s="2" t="inlineStr"/>
    </row>
    <row r="1007" ht="15" customHeight="1">
      <c r="A1007" t="inlineStr">
        <is>
          <t>A 18791-2021</t>
        </is>
      </c>
      <c r="B1007" s="1" t="n">
        <v>44307.58013888889</v>
      </c>
      <c r="C1007" s="1" t="n">
        <v>45952</v>
      </c>
      <c r="D1007" t="inlineStr">
        <is>
          <t>VÄSTRA GÖTALANDS LÄN</t>
        </is>
      </c>
      <c r="E1007" t="inlineStr">
        <is>
          <t>SOTENÄS</t>
        </is>
      </c>
      <c r="G1007" t="n">
        <v>1</v>
      </c>
      <c r="H1007" t="n">
        <v>0</v>
      </c>
      <c r="I1007" t="n">
        <v>0</v>
      </c>
      <c r="J1007" t="n">
        <v>0</v>
      </c>
      <c r="K1007" t="n">
        <v>0</v>
      </c>
      <c r="L1007" t="n">
        <v>0</v>
      </c>
      <c r="M1007" t="n">
        <v>0</v>
      </c>
      <c r="N1007" t="n">
        <v>0</v>
      </c>
      <c r="O1007" t="n">
        <v>0</v>
      </c>
      <c r="P1007" t="n">
        <v>0</v>
      </c>
      <c r="Q1007" t="n">
        <v>0</v>
      </c>
      <c r="R1007" s="2" t="inlineStr"/>
    </row>
    <row r="1008" ht="15" customHeight="1">
      <c r="A1008" t="inlineStr">
        <is>
          <t>A 54510-2021</t>
        </is>
      </c>
      <c r="B1008" s="1" t="n">
        <v>44473.51674768519</v>
      </c>
      <c r="C1008" s="1" t="n">
        <v>45952</v>
      </c>
      <c r="D1008" t="inlineStr">
        <is>
          <t>VÄSTRA GÖTALANDS LÄN</t>
        </is>
      </c>
      <c r="E1008" t="inlineStr">
        <is>
          <t>HERRLJUNGA</t>
        </is>
      </c>
      <c r="G1008" t="n">
        <v>0.7</v>
      </c>
      <c r="H1008" t="n">
        <v>0</v>
      </c>
      <c r="I1008" t="n">
        <v>0</v>
      </c>
      <c r="J1008" t="n">
        <v>0</v>
      </c>
      <c r="K1008" t="n">
        <v>0</v>
      </c>
      <c r="L1008" t="n">
        <v>0</v>
      </c>
      <c r="M1008" t="n">
        <v>0</v>
      </c>
      <c r="N1008" t="n">
        <v>0</v>
      </c>
      <c r="O1008" t="n">
        <v>0</v>
      </c>
      <c r="P1008" t="n">
        <v>0</v>
      </c>
      <c r="Q1008" t="n">
        <v>0</v>
      </c>
      <c r="R1008" s="2" t="inlineStr"/>
    </row>
    <row r="1009" ht="15" customHeight="1">
      <c r="A1009" t="inlineStr">
        <is>
          <t>A 15450-2021</t>
        </is>
      </c>
      <c r="B1009" s="1" t="n">
        <v>44285</v>
      </c>
      <c r="C1009" s="1" t="n">
        <v>45952</v>
      </c>
      <c r="D1009" t="inlineStr">
        <is>
          <t>VÄSTRA GÖTALANDS LÄN</t>
        </is>
      </c>
      <c r="E1009" t="inlineStr">
        <is>
          <t>TANUM</t>
        </is>
      </c>
      <c r="G1009" t="n">
        <v>4.6</v>
      </c>
      <c r="H1009" t="n">
        <v>0</v>
      </c>
      <c r="I1009" t="n">
        <v>0</v>
      </c>
      <c r="J1009" t="n">
        <v>0</v>
      </c>
      <c r="K1009" t="n">
        <v>0</v>
      </c>
      <c r="L1009" t="n">
        <v>0</v>
      </c>
      <c r="M1009" t="n">
        <v>0</v>
      </c>
      <c r="N1009" t="n">
        <v>0</v>
      </c>
      <c r="O1009" t="n">
        <v>0</v>
      </c>
      <c r="P1009" t="n">
        <v>0</v>
      </c>
      <c r="Q1009" t="n">
        <v>0</v>
      </c>
      <c r="R1009" s="2" t="inlineStr"/>
    </row>
    <row r="1010" ht="15" customHeight="1">
      <c r="A1010" t="inlineStr">
        <is>
          <t>A 9577-2021</t>
        </is>
      </c>
      <c r="B1010" s="1" t="n">
        <v>44251</v>
      </c>
      <c r="C1010" s="1" t="n">
        <v>45952</v>
      </c>
      <c r="D1010" t="inlineStr">
        <is>
          <t>VÄSTRA GÖTALANDS LÄN</t>
        </is>
      </c>
      <c r="E1010" t="inlineStr">
        <is>
          <t>MUNKEDAL</t>
        </is>
      </c>
      <c r="G1010" t="n">
        <v>10</v>
      </c>
      <c r="H1010" t="n">
        <v>0</v>
      </c>
      <c r="I1010" t="n">
        <v>0</v>
      </c>
      <c r="J1010" t="n">
        <v>0</v>
      </c>
      <c r="K1010" t="n">
        <v>0</v>
      </c>
      <c r="L1010" t="n">
        <v>0</v>
      </c>
      <c r="M1010" t="n">
        <v>0</v>
      </c>
      <c r="N1010" t="n">
        <v>0</v>
      </c>
      <c r="O1010" t="n">
        <v>0</v>
      </c>
      <c r="P1010" t="n">
        <v>0</v>
      </c>
      <c r="Q1010" t="n">
        <v>0</v>
      </c>
      <c r="R1010" s="2" t="inlineStr"/>
    </row>
    <row r="1011" ht="15" customHeight="1">
      <c r="A1011" t="inlineStr">
        <is>
          <t>A 60851-2021</t>
        </is>
      </c>
      <c r="B1011" s="1" t="n">
        <v>44497.37104166667</v>
      </c>
      <c r="C1011" s="1" t="n">
        <v>45952</v>
      </c>
      <c r="D1011" t="inlineStr">
        <is>
          <t>VÄSTRA GÖTALANDS LÄN</t>
        </is>
      </c>
      <c r="E1011" t="inlineStr">
        <is>
          <t>HERRLJUNGA</t>
        </is>
      </c>
      <c r="G1011" t="n">
        <v>1.9</v>
      </c>
      <c r="H1011" t="n">
        <v>0</v>
      </c>
      <c r="I1011" t="n">
        <v>0</v>
      </c>
      <c r="J1011" t="n">
        <v>0</v>
      </c>
      <c r="K1011" t="n">
        <v>0</v>
      </c>
      <c r="L1011" t="n">
        <v>0</v>
      </c>
      <c r="M1011" t="n">
        <v>0</v>
      </c>
      <c r="N1011" t="n">
        <v>0</v>
      </c>
      <c r="O1011" t="n">
        <v>0</v>
      </c>
      <c r="P1011" t="n">
        <v>0</v>
      </c>
      <c r="Q1011" t="n">
        <v>0</v>
      </c>
      <c r="R1011" s="2" t="inlineStr"/>
    </row>
    <row r="1012" ht="15" customHeight="1">
      <c r="A1012" t="inlineStr">
        <is>
          <t>A 60880-2021</t>
        </is>
      </c>
      <c r="B1012" s="1" t="n">
        <v>44496</v>
      </c>
      <c r="C1012" s="1" t="n">
        <v>45952</v>
      </c>
      <c r="D1012" t="inlineStr">
        <is>
          <t>VÄSTRA GÖTALANDS LÄN</t>
        </is>
      </c>
      <c r="E1012" t="inlineStr">
        <is>
          <t>VÅRGÅRDA</t>
        </is>
      </c>
      <c r="G1012" t="n">
        <v>1.3</v>
      </c>
      <c r="H1012" t="n">
        <v>0</v>
      </c>
      <c r="I1012" t="n">
        <v>0</v>
      </c>
      <c r="J1012" t="n">
        <v>0</v>
      </c>
      <c r="K1012" t="n">
        <v>0</v>
      </c>
      <c r="L1012" t="n">
        <v>0</v>
      </c>
      <c r="M1012" t="n">
        <v>0</v>
      </c>
      <c r="N1012" t="n">
        <v>0</v>
      </c>
      <c r="O1012" t="n">
        <v>0</v>
      </c>
      <c r="P1012" t="n">
        <v>0</v>
      </c>
      <c r="Q1012" t="n">
        <v>0</v>
      </c>
      <c r="R1012" s="2" t="inlineStr"/>
    </row>
    <row r="1013" ht="15" customHeight="1">
      <c r="A1013" t="inlineStr">
        <is>
          <t>A 55732-2021</t>
        </is>
      </c>
      <c r="B1013" s="1" t="n">
        <v>44476.48311342593</v>
      </c>
      <c r="C1013" s="1" t="n">
        <v>45952</v>
      </c>
      <c r="D1013" t="inlineStr">
        <is>
          <t>VÄSTRA GÖTALANDS LÄN</t>
        </is>
      </c>
      <c r="E1013" t="inlineStr">
        <is>
          <t>BENGTSFORS</t>
        </is>
      </c>
      <c r="G1013" t="n">
        <v>1.7</v>
      </c>
      <c r="H1013" t="n">
        <v>0</v>
      </c>
      <c r="I1013" t="n">
        <v>0</v>
      </c>
      <c r="J1013" t="n">
        <v>0</v>
      </c>
      <c r="K1013" t="n">
        <v>0</v>
      </c>
      <c r="L1013" t="n">
        <v>0</v>
      </c>
      <c r="M1013" t="n">
        <v>0</v>
      </c>
      <c r="N1013" t="n">
        <v>0</v>
      </c>
      <c r="O1013" t="n">
        <v>0</v>
      </c>
      <c r="P1013" t="n">
        <v>0</v>
      </c>
      <c r="Q1013" t="n">
        <v>0</v>
      </c>
      <c r="R1013" s="2" t="inlineStr"/>
    </row>
    <row r="1014" ht="15" customHeight="1">
      <c r="A1014" t="inlineStr">
        <is>
          <t>A 2370-2021</t>
        </is>
      </c>
      <c r="B1014" s="1" t="n">
        <v>44211</v>
      </c>
      <c r="C1014" s="1" t="n">
        <v>45952</v>
      </c>
      <c r="D1014" t="inlineStr">
        <is>
          <t>VÄSTRA GÖTALANDS LÄN</t>
        </is>
      </c>
      <c r="E1014" t="inlineStr">
        <is>
          <t>UDDEVALLA</t>
        </is>
      </c>
      <c r="F1014" t="inlineStr">
        <is>
          <t>Kyrkan</t>
        </is>
      </c>
      <c r="G1014" t="n">
        <v>1.4</v>
      </c>
      <c r="H1014" t="n">
        <v>0</v>
      </c>
      <c r="I1014" t="n">
        <v>0</v>
      </c>
      <c r="J1014" t="n">
        <v>0</v>
      </c>
      <c r="K1014" t="n">
        <v>0</v>
      </c>
      <c r="L1014" t="n">
        <v>0</v>
      </c>
      <c r="M1014" t="n">
        <v>0</v>
      </c>
      <c r="N1014" t="n">
        <v>0</v>
      </c>
      <c r="O1014" t="n">
        <v>0</v>
      </c>
      <c r="P1014" t="n">
        <v>0</v>
      </c>
      <c r="Q1014" t="n">
        <v>0</v>
      </c>
      <c r="R1014" s="2" t="inlineStr"/>
    </row>
    <row r="1015" ht="15" customHeight="1">
      <c r="A1015" t="inlineStr">
        <is>
          <t>A 14766-2021</t>
        </is>
      </c>
      <c r="B1015" s="1" t="n">
        <v>44280</v>
      </c>
      <c r="C1015" s="1" t="n">
        <v>45952</v>
      </c>
      <c r="D1015" t="inlineStr">
        <is>
          <t>VÄSTRA GÖTALANDS LÄN</t>
        </is>
      </c>
      <c r="E1015" t="inlineStr">
        <is>
          <t>BOLLEBYGD</t>
        </is>
      </c>
      <c r="G1015" t="n">
        <v>1.9</v>
      </c>
      <c r="H1015" t="n">
        <v>0</v>
      </c>
      <c r="I1015" t="n">
        <v>0</v>
      </c>
      <c r="J1015" t="n">
        <v>0</v>
      </c>
      <c r="K1015" t="n">
        <v>0</v>
      </c>
      <c r="L1015" t="n">
        <v>0</v>
      </c>
      <c r="M1015" t="n">
        <v>0</v>
      </c>
      <c r="N1015" t="n">
        <v>0</v>
      </c>
      <c r="O1015" t="n">
        <v>0</v>
      </c>
      <c r="P1015" t="n">
        <v>0</v>
      </c>
      <c r="Q1015" t="n">
        <v>0</v>
      </c>
      <c r="R1015" s="2" t="inlineStr"/>
    </row>
    <row r="1016" ht="15" customHeight="1">
      <c r="A1016" t="inlineStr">
        <is>
          <t>A 49378-2021</t>
        </is>
      </c>
      <c r="B1016" s="1" t="n">
        <v>44454</v>
      </c>
      <c r="C1016" s="1" t="n">
        <v>45952</v>
      </c>
      <c r="D1016" t="inlineStr">
        <is>
          <t>VÄSTRA GÖTALANDS LÄN</t>
        </is>
      </c>
      <c r="E1016" t="inlineStr">
        <is>
          <t>GULLSPÅNG</t>
        </is>
      </c>
      <c r="G1016" t="n">
        <v>0.5</v>
      </c>
      <c r="H1016" t="n">
        <v>0</v>
      </c>
      <c r="I1016" t="n">
        <v>0</v>
      </c>
      <c r="J1016" t="n">
        <v>0</v>
      </c>
      <c r="K1016" t="n">
        <v>0</v>
      </c>
      <c r="L1016" t="n">
        <v>0</v>
      </c>
      <c r="M1016" t="n">
        <v>0</v>
      </c>
      <c r="N1016" t="n">
        <v>0</v>
      </c>
      <c r="O1016" t="n">
        <v>0</v>
      </c>
      <c r="P1016" t="n">
        <v>0</v>
      </c>
      <c r="Q1016" t="n">
        <v>0</v>
      </c>
      <c r="R1016" s="2" t="inlineStr"/>
    </row>
    <row r="1017" ht="15" customHeight="1">
      <c r="A1017" t="inlineStr">
        <is>
          <t>A 12270-2021</t>
        </is>
      </c>
      <c r="B1017" s="1" t="n">
        <v>44266.91554398148</v>
      </c>
      <c r="C1017" s="1" t="n">
        <v>45952</v>
      </c>
      <c r="D1017" t="inlineStr">
        <is>
          <t>VÄSTRA GÖTALANDS LÄN</t>
        </is>
      </c>
      <c r="E1017" t="inlineStr">
        <is>
          <t>STENUNGSUND</t>
        </is>
      </c>
      <c r="G1017" t="n">
        <v>0.7</v>
      </c>
      <c r="H1017" t="n">
        <v>0</v>
      </c>
      <c r="I1017" t="n">
        <v>0</v>
      </c>
      <c r="J1017" t="n">
        <v>0</v>
      </c>
      <c r="K1017" t="n">
        <v>0</v>
      </c>
      <c r="L1017" t="n">
        <v>0</v>
      </c>
      <c r="M1017" t="n">
        <v>0</v>
      </c>
      <c r="N1017" t="n">
        <v>0</v>
      </c>
      <c r="O1017" t="n">
        <v>0</v>
      </c>
      <c r="P1017" t="n">
        <v>0</v>
      </c>
      <c r="Q1017" t="n">
        <v>0</v>
      </c>
      <c r="R1017" s="2" t="inlineStr"/>
    </row>
    <row r="1018" ht="15" customHeight="1">
      <c r="A1018" t="inlineStr">
        <is>
          <t>A 3773-2021</t>
        </is>
      </c>
      <c r="B1018" s="1" t="n">
        <v>44217</v>
      </c>
      <c r="C1018" s="1" t="n">
        <v>45952</v>
      </c>
      <c r="D1018" t="inlineStr">
        <is>
          <t>VÄSTRA GÖTALANDS LÄN</t>
        </is>
      </c>
      <c r="E1018" t="inlineStr">
        <is>
          <t>DALS-ED</t>
        </is>
      </c>
      <c r="G1018" t="n">
        <v>0.8</v>
      </c>
      <c r="H1018" t="n">
        <v>0</v>
      </c>
      <c r="I1018" t="n">
        <v>0</v>
      </c>
      <c r="J1018" t="n">
        <v>0</v>
      </c>
      <c r="K1018" t="n">
        <v>0</v>
      </c>
      <c r="L1018" t="n">
        <v>0</v>
      </c>
      <c r="M1018" t="n">
        <v>0</v>
      </c>
      <c r="N1018" t="n">
        <v>0</v>
      </c>
      <c r="O1018" t="n">
        <v>0</v>
      </c>
      <c r="P1018" t="n">
        <v>0</v>
      </c>
      <c r="Q1018" t="n">
        <v>0</v>
      </c>
      <c r="R1018" s="2" t="inlineStr"/>
    </row>
    <row r="1019" ht="15" customHeight="1">
      <c r="A1019" t="inlineStr">
        <is>
          <t>A 49431-2021</t>
        </is>
      </c>
      <c r="B1019" s="1" t="n">
        <v>44454</v>
      </c>
      <c r="C1019" s="1" t="n">
        <v>45952</v>
      </c>
      <c r="D1019" t="inlineStr">
        <is>
          <t>VÄSTRA GÖTALANDS LÄN</t>
        </is>
      </c>
      <c r="E1019" t="inlineStr">
        <is>
          <t>SKARA</t>
        </is>
      </c>
      <c r="G1019" t="n">
        <v>7.1</v>
      </c>
      <c r="H1019" t="n">
        <v>0</v>
      </c>
      <c r="I1019" t="n">
        <v>0</v>
      </c>
      <c r="J1019" t="n">
        <v>0</v>
      </c>
      <c r="K1019" t="n">
        <v>0</v>
      </c>
      <c r="L1019" t="n">
        <v>0</v>
      </c>
      <c r="M1019" t="n">
        <v>0</v>
      </c>
      <c r="N1019" t="n">
        <v>0</v>
      </c>
      <c r="O1019" t="n">
        <v>0</v>
      </c>
      <c r="P1019" t="n">
        <v>0</v>
      </c>
      <c r="Q1019" t="n">
        <v>0</v>
      </c>
      <c r="R1019" s="2" t="inlineStr"/>
    </row>
    <row r="1020" ht="15" customHeight="1">
      <c r="A1020" t="inlineStr">
        <is>
          <t>A 25481-2021</t>
        </is>
      </c>
      <c r="B1020" s="1" t="n">
        <v>44342.86346064815</v>
      </c>
      <c r="C1020" s="1" t="n">
        <v>45952</v>
      </c>
      <c r="D1020" t="inlineStr">
        <is>
          <t>VÄSTRA GÖTALANDS LÄN</t>
        </is>
      </c>
      <c r="E1020" t="inlineStr">
        <is>
          <t>MARK</t>
        </is>
      </c>
      <c r="G1020" t="n">
        <v>6.8</v>
      </c>
      <c r="H1020" t="n">
        <v>0</v>
      </c>
      <c r="I1020" t="n">
        <v>0</v>
      </c>
      <c r="J1020" t="n">
        <v>0</v>
      </c>
      <c r="K1020" t="n">
        <v>0</v>
      </c>
      <c r="L1020" t="n">
        <v>0</v>
      </c>
      <c r="M1020" t="n">
        <v>0</v>
      </c>
      <c r="N1020" t="n">
        <v>0</v>
      </c>
      <c r="O1020" t="n">
        <v>0</v>
      </c>
      <c r="P1020" t="n">
        <v>0</v>
      </c>
      <c r="Q1020" t="n">
        <v>0</v>
      </c>
      <c r="R1020" s="2" t="inlineStr"/>
    </row>
    <row r="1021" ht="15" customHeight="1">
      <c r="A1021" t="inlineStr">
        <is>
          <t>A 14754-2021</t>
        </is>
      </c>
      <c r="B1021" s="1" t="n">
        <v>44280.59298611111</v>
      </c>
      <c r="C1021" s="1" t="n">
        <v>45952</v>
      </c>
      <c r="D1021" t="inlineStr">
        <is>
          <t>VÄSTRA GÖTALANDS LÄN</t>
        </is>
      </c>
      <c r="E1021" t="inlineStr">
        <is>
          <t>BORÅS</t>
        </is>
      </c>
      <c r="G1021" t="n">
        <v>1.8</v>
      </c>
      <c r="H1021" t="n">
        <v>0</v>
      </c>
      <c r="I1021" t="n">
        <v>0</v>
      </c>
      <c r="J1021" t="n">
        <v>0</v>
      </c>
      <c r="K1021" t="n">
        <v>0</v>
      </c>
      <c r="L1021" t="n">
        <v>0</v>
      </c>
      <c r="M1021" t="n">
        <v>0</v>
      </c>
      <c r="N1021" t="n">
        <v>0</v>
      </c>
      <c r="O1021" t="n">
        <v>0</v>
      </c>
      <c r="P1021" t="n">
        <v>0</v>
      </c>
      <c r="Q1021" t="n">
        <v>0</v>
      </c>
      <c r="R1021" s="2" t="inlineStr"/>
    </row>
    <row r="1022" ht="15" customHeight="1">
      <c r="A1022" t="inlineStr">
        <is>
          <t>A 59217-2020</t>
        </is>
      </c>
      <c r="B1022" s="1" t="n">
        <v>44147</v>
      </c>
      <c r="C1022" s="1" t="n">
        <v>45952</v>
      </c>
      <c r="D1022" t="inlineStr">
        <is>
          <t>VÄSTRA GÖTALANDS LÄN</t>
        </is>
      </c>
      <c r="E1022" t="inlineStr">
        <is>
          <t>TRANEMO</t>
        </is>
      </c>
      <c r="G1022" t="n">
        <v>1</v>
      </c>
      <c r="H1022" t="n">
        <v>0</v>
      </c>
      <c r="I1022" t="n">
        <v>0</v>
      </c>
      <c r="J1022" t="n">
        <v>0</v>
      </c>
      <c r="K1022" t="n">
        <v>0</v>
      </c>
      <c r="L1022" t="n">
        <v>0</v>
      </c>
      <c r="M1022" t="n">
        <v>0</v>
      </c>
      <c r="N1022" t="n">
        <v>0</v>
      </c>
      <c r="O1022" t="n">
        <v>0</v>
      </c>
      <c r="P1022" t="n">
        <v>0</v>
      </c>
      <c r="Q1022" t="n">
        <v>0</v>
      </c>
      <c r="R1022" s="2" t="inlineStr"/>
    </row>
    <row r="1023" ht="15" customHeight="1">
      <c r="A1023" t="inlineStr">
        <is>
          <t>A 13260-2021</t>
        </is>
      </c>
      <c r="B1023" s="1" t="n">
        <v>44272.65820601852</v>
      </c>
      <c r="C1023" s="1" t="n">
        <v>45952</v>
      </c>
      <c r="D1023" t="inlineStr">
        <is>
          <t>VÄSTRA GÖTALANDS LÄN</t>
        </is>
      </c>
      <c r="E1023" t="inlineStr">
        <is>
          <t>TRANEMO</t>
        </is>
      </c>
      <c r="G1023" t="n">
        <v>1.1</v>
      </c>
      <c r="H1023" t="n">
        <v>0</v>
      </c>
      <c r="I1023" t="n">
        <v>0</v>
      </c>
      <c r="J1023" t="n">
        <v>0</v>
      </c>
      <c r="K1023" t="n">
        <v>0</v>
      </c>
      <c r="L1023" t="n">
        <v>0</v>
      </c>
      <c r="M1023" t="n">
        <v>0</v>
      </c>
      <c r="N1023" t="n">
        <v>0</v>
      </c>
      <c r="O1023" t="n">
        <v>0</v>
      </c>
      <c r="P1023" t="n">
        <v>0</v>
      </c>
      <c r="Q1023" t="n">
        <v>0</v>
      </c>
      <c r="R1023" s="2" t="inlineStr"/>
    </row>
    <row r="1024" ht="15" customHeight="1">
      <c r="A1024" t="inlineStr">
        <is>
          <t>A 42877-2021</t>
        </is>
      </c>
      <c r="B1024" s="1" t="n">
        <v>44431</v>
      </c>
      <c r="C1024" s="1" t="n">
        <v>45952</v>
      </c>
      <c r="D1024" t="inlineStr">
        <is>
          <t>VÄSTRA GÖTALANDS LÄN</t>
        </is>
      </c>
      <c r="E1024" t="inlineStr">
        <is>
          <t>BOLLEBYGD</t>
        </is>
      </c>
      <c r="G1024" t="n">
        <v>1.1</v>
      </c>
      <c r="H1024" t="n">
        <v>0</v>
      </c>
      <c r="I1024" t="n">
        <v>0</v>
      </c>
      <c r="J1024" t="n">
        <v>0</v>
      </c>
      <c r="K1024" t="n">
        <v>0</v>
      </c>
      <c r="L1024" t="n">
        <v>0</v>
      </c>
      <c r="M1024" t="n">
        <v>0</v>
      </c>
      <c r="N1024" t="n">
        <v>0</v>
      </c>
      <c r="O1024" t="n">
        <v>0</v>
      </c>
      <c r="P1024" t="n">
        <v>0</v>
      </c>
      <c r="Q1024" t="n">
        <v>0</v>
      </c>
      <c r="R1024" s="2" t="inlineStr"/>
    </row>
    <row r="1025" ht="15" customHeight="1">
      <c r="A1025" t="inlineStr">
        <is>
          <t>A 9557-2021</t>
        </is>
      </c>
      <c r="B1025" s="1" t="n">
        <v>44251</v>
      </c>
      <c r="C1025" s="1" t="n">
        <v>45952</v>
      </c>
      <c r="D1025" t="inlineStr">
        <is>
          <t>VÄSTRA GÖTALANDS LÄN</t>
        </is>
      </c>
      <c r="E1025" t="inlineStr">
        <is>
          <t>TRANEMO</t>
        </is>
      </c>
      <c r="G1025" t="n">
        <v>0.5</v>
      </c>
      <c r="H1025" t="n">
        <v>0</v>
      </c>
      <c r="I1025" t="n">
        <v>0</v>
      </c>
      <c r="J1025" t="n">
        <v>0</v>
      </c>
      <c r="K1025" t="n">
        <v>0</v>
      </c>
      <c r="L1025" t="n">
        <v>0</v>
      </c>
      <c r="M1025" t="n">
        <v>0</v>
      </c>
      <c r="N1025" t="n">
        <v>0</v>
      </c>
      <c r="O1025" t="n">
        <v>0</v>
      </c>
      <c r="P1025" t="n">
        <v>0</v>
      </c>
      <c r="Q1025" t="n">
        <v>0</v>
      </c>
      <c r="R1025" s="2" t="inlineStr"/>
    </row>
    <row r="1026" ht="15" customHeight="1">
      <c r="A1026" t="inlineStr">
        <is>
          <t>A 68511-2021</t>
        </is>
      </c>
      <c r="B1026" s="1" t="n">
        <v>44529</v>
      </c>
      <c r="C1026" s="1" t="n">
        <v>45952</v>
      </c>
      <c r="D1026" t="inlineStr">
        <is>
          <t>VÄSTRA GÖTALANDS LÄN</t>
        </is>
      </c>
      <c r="E1026" t="inlineStr">
        <is>
          <t>TIDAHOLM</t>
        </is>
      </c>
      <c r="G1026" t="n">
        <v>1.1</v>
      </c>
      <c r="H1026" t="n">
        <v>0</v>
      </c>
      <c r="I1026" t="n">
        <v>0</v>
      </c>
      <c r="J1026" t="n">
        <v>0</v>
      </c>
      <c r="K1026" t="n">
        <v>0</v>
      </c>
      <c r="L1026" t="n">
        <v>0</v>
      </c>
      <c r="M1026" t="n">
        <v>0</v>
      </c>
      <c r="N1026" t="n">
        <v>0</v>
      </c>
      <c r="O1026" t="n">
        <v>0</v>
      </c>
      <c r="P1026" t="n">
        <v>0</v>
      </c>
      <c r="Q1026" t="n">
        <v>0</v>
      </c>
      <c r="R1026" s="2" t="inlineStr"/>
    </row>
    <row r="1027" ht="15" customHeight="1">
      <c r="A1027" t="inlineStr">
        <is>
          <t>A 16380-2021</t>
        </is>
      </c>
      <c r="B1027" s="1" t="n">
        <v>44293.36452546297</v>
      </c>
      <c r="C1027" s="1" t="n">
        <v>45952</v>
      </c>
      <c r="D1027" t="inlineStr">
        <is>
          <t>VÄSTRA GÖTALANDS LÄN</t>
        </is>
      </c>
      <c r="E1027" t="inlineStr">
        <is>
          <t>BORÅS</t>
        </is>
      </c>
      <c r="G1027" t="n">
        <v>1.7</v>
      </c>
      <c r="H1027" t="n">
        <v>0</v>
      </c>
      <c r="I1027" t="n">
        <v>0</v>
      </c>
      <c r="J1027" t="n">
        <v>0</v>
      </c>
      <c r="K1027" t="n">
        <v>0</v>
      </c>
      <c r="L1027" t="n">
        <v>0</v>
      </c>
      <c r="M1027" t="n">
        <v>0</v>
      </c>
      <c r="N1027" t="n">
        <v>0</v>
      </c>
      <c r="O1027" t="n">
        <v>0</v>
      </c>
      <c r="P1027" t="n">
        <v>0</v>
      </c>
      <c r="Q1027" t="n">
        <v>0</v>
      </c>
      <c r="R1027" s="2" t="inlineStr"/>
    </row>
    <row r="1028" ht="15" customHeight="1">
      <c r="A1028" t="inlineStr">
        <is>
          <t>A 55296-2020</t>
        </is>
      </c>
      <c r="B1028" s="1" t="n">
        <v>44130</v>
      </c>
      <c r="C1028" s="1" t="n">
        <v>45952</v>
      </c>
      <c r="D1028" t="inlineStr">
        <is>
          <t>VÄSTRA GÖTALANDS LÄN</t>
        </is>
      </c>
      <c r="E1028" t="inlineStr">
        <is>
          <t>SVENLJUNGA</t>
        </is>
      </c>
      <c r="G1028" t="n">
        <v>0.9</v>
      </c>
      <c r="H1028" t="n">
        <v>0</v>
      </c>
      <c r="I1028" t="n">
        <v>0</v>
      </c>
      <c r="J1028" t="n">
        <v>0</v>
      </c>
      <c r="K1028" t="n">
        <v>0</v>
      </c>
      <c r="L1028" t="n">
        <v>0</v>
      </c>
      <c r="M1028" t="n">
        <v>0</v>
      </c>
      <c r="N1028" t="n">
        <v>0</v>
      </c>
      <c r="O1028" t="n">
        <v>0</v>
      </c>
      <c r="P1028" t="n">
        <v>0</v>
      </c>
      <c r="Q1028" t="n">
        <v>0</v>
      </c>
      <c r="R1028" s="2" t="inlineStr"/>
    </row>
    <row r="1029" ht="15" customHeight="1">
      <c r="A1029" t="inlineStr">
        <is>
          <t>A 59650-2020</t>
        </is>
      </c>
      <c r="B1029" s="1" t="n">
        <v>44151</v>
      </c>
      <c r="C1029" s="1" t="n">
        <v>45952</v>
      </c>
      <c r="D1029" t="inlineStr">
        <is>
          <t>VÄSTRA GÖTALANDS LÄN</t>
        </is>
      </c>
      <c r="E1029" t="inlineStr">
        <is>
          <t>GÖTENE</t>
        </is>
      </c>
      <c r="G1029" t="n">
        <v>2.4</v>
      </c>
      <c r="H1029" t="n">
        <v>0</v>
      </c>
      <c r="I1029" t="n">
        <v>0</v>
      </c>
      <c r="J1029" t="n">
        <v>0</v>
      </c>
      <c r="K1029" t="n">
        <v>0</v>
      </c>
      <c r="L1029" t="n">
        <v>0</v>
      </c>
      <c r="M1029" t="n">
        <v>0</v>
      </c>
      <c r="N1029" t="n">
        <v>0</v>
      </c>
      <c r="O1029" t="n">
        <v>0</v>
      </c>
      <c r="P1029" t="n">
        <v>0</v>
      </c>
      <c r="Q1029" t="n">
        <v>0</v>
      </c>
      <c r="R1029" s="2" t="inlineStr"/>
    </row>
    <row r="1030" ht="15" customHeight="1">
      <c r="A1030" t="inlineStr">
        <is>
          <t>A 4182-2021</t>
        </is>
      </c>
      <c r="B1030" s="1" t="n">
        <v>44223</v>
      </c>
      <c r="C1030" s="1" t="n">
        <v>45952</v>
      </c>
      <c r="D1030" t="inlineStr">
        <is>
          <t>VÄSTRA GÖTALANDS LÄN</t>
        </is>
      </c>
      <c r="E1030" t="inlineStr">
        <is>
          <t>HJO</t>
        </is>
      </c>
      <c r="G1030" t="n">
        <v>1.3</v>
      </c>
      <c r="H1030" t="n">
        <v>0</v>
      </c>
      <c r="I1030" t="n">
        <v>0</v>
      </c>
      <c r="J1030" t="n">
        <v>0</v>
      </c>
      <c r="K1030" t="n">
        <v>0</v>
      </c>
      <c r="L1030" t="n">
        <v>0</v>
      </c>
      <c r="M1030" t="n">
        <v>0</v>
      </c>
      <c r="N1030" t="n">
        <v>0</v>
      </c>
      <c r="O1030" t="n">
        <v>0</v>
      </c>
      <c r="P1030" t="n">
        <v>0</v>
      </c>
      <c r="Q1030" t="n">
        <v>0</v>
      </c>
      <c r="R1030" s="2" t="inlineStr"/>
    </row>
    <row r="1031" ht="15" customHeight="1">
      <c r="A1031" t="inlineStr">
        <is>
          <t>A 14495-2021</t>
        </is>
      </c>
      <c r="B1031" s="1" t="n">
        <v>44279</v>
      </c>
      <c r="C1031" s="1" t="n">
        <v>45952</v>
      </c>
      <c r="D1031" t="inlineStr">
        <is>
          <t>VÄSTRA GÖTALANDS LÄN</t>
        </is>
      </c>
      <c r="E1031" t="inlineStr">
        <is>
          <t>MARIESTAD</t>
        </is>
      </c>
      <c r="F1031" t="inlineStr">
        <is>
          <t>Kyrkan</t>
        </is>
      </c>
      <c r="G1031" t="n">
        <v>1.3</v>
      </c>
      <c r="H1031" t="n">
        <v>0</v>
      </c>
      <c r="I1031" t="n">
        <v>0</v>
      </c>
      <c r="J1031" t="n">
        <v>0</v>
      </c>
      <c r="K1031" t="n">
        <v>0</v>
      </c>
      <c r="L1031" t="n">
        <v>0</v>
      </c>
      <c r="M1031" t="n">
        <v>0</v>
      </c>
      <c r="N1031" t="n">
        <v>0</v>
      </c>
      <c r="O1031" t="n">
        <v>0</v>
      </c>
      <c r="P1031" t="n">
        <v>0</v>
      </c>
      <c r="Q1031" t="n">
        <v>0</v>
      </c>
      <c r="R1031" s="2" t="inlineStr"/>
    </row>
    <row r="1032" ht="15" customHeight="1">
      <c r="A1032" t="inlineStr">
        <is>
          <t>A 74066-2021</t>
        </is>
      </c>
      <c r="B1032" s="1" t="n">
        <v>44557</v>
      </c>
      <c r="C1032" s="1" t="n">
        <v>45952</v>
      </c>
      <c r="D1032" t="inlineStr">
        <is>
          <t>VÄSTRA GÖTALANDS LÄN</t>
        </is>
      </c>
      <c r="E1032" t="inlineStr">
        <is>
          <t>FÄRGELANDA</t>
        </is>
      </c>
      <c r="G1032" t="n">
        <v>1</v>
      </c>
      <c r="H1032" t="n">
        <v>0</v>
      </c>
      <c r="I1032" t="n">
        <v>0</v>
      </c>
      <c r="J1032" t="n">
        <v>0</v>
      </c>
      <c r="K1032" t="n">
        <v>0</v>
      </c>
      <c r="L1032" t="n">
        <v>0</v>
      </c>
      <c r="M1032" t="n">
        <v>0</v>
      </c>
      <c r="N1032" t="n">
        <v>0</v>
      </c>
      <c r="O1032" t="n">
        <v>0</v>
      </c>
      <c r="P1032" t="n">
        <v>0</v>
      </c>
      <c r="Q1032" t="n">
        <v>0</v>
      </c>
      <c r="R1032" s="2" t="inlineStr"/>
    </row>
    <row r="1033" ht="15" customHeight="1">
      <c r="A1033" t="inlineStr">
        <is>
          <t>A 64052-2021</t>
        </is>
      </c>
      <c r="B1033" s="1" t="n">
        <v>44508</v>
      </c>
      <c r="C1033" s="1" t="n">
        <v>45952</v>
      </c>
      <c r="D1033" t="inlineStr">
        <is>
          <t>VÄSTRA GÖTALANDS LÄN</t>
        </is>
      </c>
      <c r="E1033" t="inlineStr">
        <is>
          <t>TÖREBODA</t>
        </is>
      </c>
      <c r="G1033" t="n">
        <v>2.2</v>
      </c>
      <c r="H1033" t="n">
        <v>0</v>
      </c>
      <c r="I1033" t="n">
        <v>0</v>
      </c>
      <c r="J1033" t="n">
        <v>0</v>
      </c>
      <c r="K1033" t="n">
        <v>0</v>
      </c>
      <c r="L1033" t="n">
        <v>0</v>
      </c>
      <c r="M1033" t="n">
        <v>0</v>
      </c>
      <c r="N1033" t="n">
        <v>0</v>
      </c>
      <c r="O1033" t="n">
        <v>0</v>
      </c>
      <c r="P1033" t="n">
        <v>0</v>
      </c>
      <c r="Q1033" t="n">
        <v>0</v>
      </c>
      <c r="R1033" s="2" t="inlineStr"/>
    </row>
    <row r="1034" ht="15" customHeight="1">
      <c r="A1034" t="inlineStr">
        <is>
          <t>A 64067-2021</t>
        </is>
      </c>
      <c r="B1034" s="1" t="n">
        <v>44509</v>
      </c>
      <c r="C1034" s="1" t="n">
        <v>45952</v>
      </c>
      <c r="D1034" t="inlineStr">
        <is>
          <t>VÄSTRA GÖTALANDS LÄN</t>
        </is>
      </c>
      <c r="E1034" t="inlineStr">
        <is>
          <t>ÅMÅL</t>
        </is>
      </c>
      <c r="F1034" t="inlineStr">
        <is>
          <t>Bergvik skog väst AB</t>
        </is>
      </c>
      <c r="G1034" t="n">
        <v>1.6</v>
      </c>
      <c r="H1034" t="n">
        <v>0</v>
      </c>
      <c r="I1034" t="n">
        <v>0</v>
      </c>
      <c r="J1034" t="n">
        <v>0</v>
      </c>
      <c r="K1034" t="n">
        <v>0</v>
      </c>
      <c r="L1034" t="n">
        <v>0</v>
      </c>
      <c r="M1034" t="n">
        <v>0</v>
      </c>
      <c r="N1034" t="n">
        <v>0</v>
      </c>
      <c r="O1034" t="n">
        <v>0</v>
      </c>
      <c r="P1034" t="n">
        <v>0</v>
      </c>
      <c r="Q1034" t="n">
        <v>0</v>
      </c>
      <c r="R1034" s="2" t="inlineStr"/>
    </row>
    <row r="1035" ht="15" customHeight="1">
      <c r="A1035" t="inlineStr">
        <is>
          <t>A 56698-2020</t>
        </is>
      </c>
      <c r="B1035" s="1" t="n">
        <v>44137</v>
      </c>
      <c r="C1035" s="1" t="n">
        <v>45952</v>
      </c>
      <c r="D1035" t="inlineStr">
        <is>
          <t>VÄSTRA GÖTALANDS LÄN</t>
        </is>
      </c>
      <c r="E1035" t="inlineStr">
        <is>
          <t>SKÖVDE</t>
        </is>
      </c>
      <c r="G1035" t="n">
        <v>1.6</v>
      </c>
      <c r="H1035" t="n">
        <v>0</v>
      </c>
      <c r="I1035" t="n">
        <v>0</v>
      </c>
      <c r="J1035" t="n">
        <v>0</v>
      </c>
      <c r="K1035" t="n">
        <v>0</v>
      </c>
      <c r="L1035" t="n">
        <v>0</v>
      </c>
      <c r="M1035" t="n">
        <v>0</v>
      </c>
      <c r="N1035" t="n">
        <v>0</v>
      </c>
      <c r="O1035" t="n">
        <v>0</v>
      </c>
      <c r="P1035" t="n">
        <v>0</v>
      </c>
      <c r="Q1035" t="n">
        <v>0</v>
      </c>
      <c r="R1035" s="2" t="inlineStr"/>
    </row>
    <row r="1036" ht="15" customHeight="1">
      <c r="A1036" t="inlineStr">
        <is>
          <t>A 63061-2020</t>
        </is>
      </c>
      <c r="B1036" s="1" t="n">
        <v>44162</v>
      </c>
      <c r="C1036" s="1" t="n">
        <v>45952</v>
      </c>
      <c r="D1036" t="inlineStr">
        <is>
          <t>VÄSTRA GÖTALANDS LÄN</t>
        </is>
      </c>
      <c r="E1036" t="inlineStr">
        <is>
          <t>VARA</t>
        </is>
      </c>
      <c r="G1036" t="n">
        <v>1.4</v>
      </c>
      <c r="H1036" t="n">
        <v>0</v>
      </c>
      <c r="I1036" t="n">
        <v>0</v>
      </c>
      <c r="J1036" t="n">
        <v>0</v>
      </c>
      <c r="K1036" t="n">
        <v>0</v>
      </c>
      <c r="L1036" t="n">
        <v>0</v>
      </c>
      <c r="M1036" t="n">
        <v>0</v>
      </c>
      <c r="N1036" t="n">
        <v>0</v>
      </c>
      <c r="O1036" t="n">
        <v>0</v>
      </c>
      <c r="P1036" t="n">
        <v>0</v>
      </c>
      <c r="Q1036" t="n">
        <v>0</v>
      </c>
      <c r="R1036" s="2" t="inlineStr"/>
    </row>
    <row r="1037" ht="15" customHeight="1">
      <c r="A1037" t="inlineStr">
        <is>
          <t>A 20455-2021</t>
        </is>
      </c>
      <c r="B1037" s="1" t="n">
        <v>44315.61004629629</v>
      </c>
      <c r="C1037" s="1" t="n">
        <v>45952</v>
      </c>
      <c r="D1037" t="inlineStr">
        <is>
          <t>VÄSTRA GÖTALANDS LÄN</t>
        </is>
      </c>
      <c r="E1037" t="inlineStr">
        <is>
          <t>KARLSBORG</t>
        </is>
      </c>
      <c r="F1037" t="inlineStr">
        <is>
          <t>Övriga Aktiebolag</t>
        </is>
      </c>
      <c r="G1037" t="n">
        <v>7.6</v>
      </c>
      <c r="H1037" t="n">
        <v>0</v>
      </c>
      <c r="I1037" t="n">
        <v>0</v>
      </c>
      <c r="J1037" t="n">
        <v>0</v>
      </c>
      <c r="K1037" t="n">
        <v>0</v>
      </c>
      <c r="L1037" t="n">
        <v>0</v>
      </c>
      <c r="M1037" t="n">
        <v>0</v>
      </c>
      <c r="N1037" t="n">
        <v>0</v>
      </c>
      <c r="O1037" t="n">
        <v>0</v>
      </c>
      <c r="P1037" t="n">
        <v>0</v>
      </c>
      <c r="Q1037" t="n">
        <v>0</v>
      </c>
      <c r="R1037" s="2" t="inlineStr"/>
    </row>
    <row r="1038" ht="15" customHeight="1">
      <c r="A1038" t="inlineStr">
        <is>
          <t>A 18309-2021</t>
        </is>
      </c>
      <c r="B1038" s="1" t="n">
        <v>44305.46362268519</v>
      </c>
      <c r="C1038" s="1" t="n">
        <v>45952</v>
      </c>
      <c r="D1038" t="inlineStr">
        <is>
          <t>VÄSTRA GÖTALANDS LÄN</t>
        </is>
      </c>
      <c r="E1038" t="inlineStr">
        <is>
          <t>BENGTSFORS</t>
        </is>
      </c>
      <c r="G1038" t="n">
        <v>1.7</v>
      </c>
      <c r="H1038" t="n">
        <v>0</v>
      </c>
      <c r="I1038" t="n">
        <v>0</v>
      </c>
      <c r="J1038" t="n">
        <v>0</v>
      </c>
      <c r="K1038" t="n">
        <v>0</v>
      </c>
      <c r="L1038" t="n">
        <v>0</v>
      </c>
      <c r="M1038" t="n">
        <v>0</v>
      </c>
      <c r="N1038" t="n">
        <v>0</v>
      </c>
      <c r="O1038" t="n">
        <v>0</v>
      </c>
      <c r="P1038" t="n">
        <v>0</v>
      </c>
      <c r="Q1038" t="n">
        <v>0</v>
      </c>
      <c r="R1038" s="2" t="inlineStr"/>
    </row>
    <row r="1039" ht="15" customHeight="1">
      <c r="A1039" t="inlineStr">
        <is>
          <t>A 28360-2021</t>
        </is>
      </c>
      <c r="B1039" s="1" t="n">
        <v>44356.42327546296</v>
      </c>
      <c r="C1039" s="1" t="n">
        <v>45952</v>
      </c>
      <c r="D1039" t="inlineStr">
        <is>
          <t>VÄSTRA GÖTALANDS LÄN</t>
        </is>
      </c>
      <c r="E1039" t="inlineStr">
        <is>
          <t>VARA</t>
        </is>
      </c>
      <c r="G1039" t="n">
        <v>1</v>
      </c>
      <c r="H1039" t="n">
        <v>0</v>
      </c>
      <c r="I1039" t="n">
        <v>0</v>
      </c>
      <c r="J1039" t="n">
        <v>0</v>
      </c>
      <c r="K1039" t="n">
        <v>0</v>
      </c>
      <c r="L1039" t="n">
        <v>0</v>
      </c>
      <c r="M1039" t="n">
        <v>0</v>
      </c>
      <c r="N1039" t="n">
        <v>0</v>
      </c>
      <c r="O1039" t="n">
        <v>0</v>
      </c>
      <c r="P1039" t="n">
        <v>0</v>
      </c>
      <c r="Q1039" t="n">
        <v>0</v>
      </c>
      <c r="R1039" s="2" t="inlineStr"/>
    </row>
    <row r="1040" ht="15" customHeight="1">
      <c r="A1040" t="inlineStr">
        <is>
          <t>A 70494-2021</t>
        </is>
      </c>
      <c r="B1040" s="1" t="n">
        <v>44536</v>
      </c>
      <c r="C1040" s="1" t="n">
        <v>45952</v>
      </c>
      <c r="D1040" t="inlineStr">
        <is>
          <t>VÄSTRA GÖTALANDS LÄN</t>
        </is>
      </c>
      <c r="E1040" t="inlineStr">
        <is>
          <t>UDDEVALLA</t>
        </is>
      </c>
      <c r="G1040" t="n">
        <v>0.9</v>
      </c>
      <c r="H1040" t="n">
        <v>0</v>
      </c>
      <c r="I1040" t="n">
        <v>0</v>
      </c>
      <c r="J1040" t="n">
        <v>0</v>
      </c>
      <c r="K1040" t="n">
        <v>0</v>
      </c>
      <c r="L1040" t="n">
        <v>0</v>
      </c>
      <c r="M1040" t="n">
        <v>0</v>
      </c>
      <c r="N1040" t="n">
        <v>0</v>
      </c>
      <c r="O1040" t="n">
        <v>0</v>
      </c>
      <c r="P1040" t="n">
        <v>0</v>
      </c>
      <c r="Q1040" t="n">
        <v>0</v>
      </c>
      <c r="R1040" s="2" t="inlineStr"/>
    </row>
    <row r="1041" ht="15" customHeight="1">
      <c r="A1041" t="inlineStr">
        <is>
          <t>A 61212-2021</t>
        </is>
      </c>
      <c r="B1041" s="1" t="n">
        <v>44498</v>
      </c>
      <c r="C1041" s="1" t="n">
        <v>45952</v>
      </c>
      <c r="D1041" t="inlineStr">
        <is>
          <t>VÄSTRA GÖTALANDS LÄN</t>
        </is>
      </c>
      <c r="E1041" t="inlineStr">
        <is>
          <t>LYSEKIL</t>
        </is>
      </c>
      <c r="G1041" t="n">
        <v>2.1</v>
      </c>
      <c r="H1041" t="n">
        <v>0</v>
      </c>
      <c r="I1041" t="n">
        <v>0</v>
      </c>
      <c r="J1041" t="n">
        <v>0</v>
      </c>
      <c r="K1041" t="n">
        <v>0</v>
      </c>
      <c r="L1041" t="n">
        <v>0</v>
      </c>
      <c r="M1041" t="n">
        <v>0</v>
      </c>
      <c r="N1041" t="n">
        <v>0</v>
      </c>
      <c r="O1041" t="n">
        <v>0</v>
      </c>
      <c r="P1041" t="n">
        <v>0</v>
      </c>
      <c r="Q1041" t="n">
        <v>0</v>
      </c>
      <c r="R1041" s="2" t="inlineStr"/>
    </row>
    <row r="1042" ht="15" customHeight="1">
      <c r="A1042" t="inlineStr">
        <is>
          <t>A 18380-2021</t>
        </is>
      </c>
      <c r="B1042" s="1" t="n">
        <v>44305.59869212963</v>
      </c>
      <c r="C1042" s="1" t="n">
        <v>45952</v>
      </c>
      <c r="D1042" t="inlineStr">
        <is>
          <t>VÄSTRA GÖTALANDS LÄN</t>
        </is>
      </c>
      <c r="E1042" t="inlineStr">
        <is>
          <t>VARA</t>
        </is>
      </c>
      <c r="G1042" t="n">
        <v>2.1</v>
      </c>
      <c r="H1042" t="n">
        <v>0</v>
      </c>
      <c r="I1042" t="n">
        <v>0</v>
      </c>
      <c r="J1042" t="n">
        <v>0</v>
      </c>
      <c r="K1042" t="n">
        <v>0</v>
      </c>
      <c r="L1042" t="n">
        <v>0</v>
      </c>
      <c r="M1042" t="n">
        <v>0</v>
      </c>
      <c r="N1042" t="n">
        <v>0</v>
      </c>
      <c r="O1042" t="n">
        <v>0</v>
      </c>
      <c r="P1042" t="n">
        <v>0</v>
      </c>
      <c r="Q1042" t="n">
        <v>0</v>
      </c>
      <c r="R1042" s="2" t="inlineStr"/>
    </row>
    <row r="1043" ht="15" customHeight="1">
      <c r="A1043" t="inlineStr">
        <is>
          <t>A 64396-2021</t>
        </is>
      </c>
      <c r="B1043" s="1" t="n">
        <v>44511</v>
      </c>
      <c r="C1043" s="1" t="n">
        <v>45952</v>
      </c>
      <c r="D1043" t="inlineStr">
        <is>
          <t>VÄSTRA GÖTALANDS LÄN</t>
        </is>
      </c>
      <c r="E1043" t="inlineStr">
        <is>
          <t>VÅRGÅRDA</t>
        </is>
      </c>
      <c r="G1043" t="n">
        <v>11</v>
      </c>
      <c r="H1043" t="n">
        <v>0</v>
      </c>
      <c r="I1043" t="n">
        <v>0</v>
      </c>
      <c r="J1043" t="n">
        <v>0</v>
      </c>
      <c r="K1043" t="n">
        <v>0</v>
      </c>
      <c r="L1043" t="n">
        <v>0</v>
      </c>
      <c r="M1043" t="n">
        <v>0</v>
      </c>
      <c r="N1043" t="n">
        <v>0</v>
      </c>
      <c r="O1043" t="n">
        <v>0</v>
      </c>
      <c r="P1043" t="n">
        <v>0</v>
      </c>
      <c r="Q1043" t="n">
        <v>0</v>
      </c>
      <c r="R1043" s="2" t="inlineStr"/>
    </row>
    <row r="1044" ht="15" customHeight="1">
      <c r="A1044" t="inlineStr">
        <is>
          <t>A 13053-2021</t>
        </is>
      </c>
      <c r="B1044" s="1" t="n">
        <v>44272.31196759259</v>
      </c>
      <c r="C1044" s="1" t="n">
        <v>45952</v>
      </c>
      <c r="D1044" t="inlineStr">
        <is>
          <t>VÄSTRA GÖTALANDS LÄN</t>
        </is>
      </c>
      <c r="E1044" t="inlineStr">
        <is>
          <t>TIBRO</t>
        </is>
      </c>
      <c r="G1044" t="n">
        <v>2</v>
      </c>
      <c r="H1044" t="n">
        <v>0</v>
      </c>
      <c r="I1044" t="n">
        <v>0</v>
      </c>
      <c r="J1044" t="n">
        <v>0</v>
      </c>
      <c r="K1044" t="n">
        <v>0</v>
      </c>
      <c r="L1044" t="n">
        <v>0</v>
      </c>
      <c r="M1044" t="n">
        <v>0</v>
      </c>
      <c r="N1044" t="n">
        <v>0</v>
      </c>
      <c r="O1044" t="n">
        <v>0</v>
      </c>
      <c r="P1044" t="n">
        <v>0</v>
      </c>
      <c r="Q1044" t="n">
        <v>0</v>
      </c>
      <c r="R1044" s="2" t="inlineStr"/>
    </row>
    <row r="1045" ht="15" customHeight="1">
      <c r="A1045" t="inlineStr">
        <is>
          <t>A 3383-2021</t>
        </is>
      </c>
      <c r="B1045" s="1" t="n">
        <v>44218.37846064815</v>
      </c>
      <c r="C1045" s="1" t="n">
        <v>45952</v>
      </c>
      <c r="D1045" t="inlineStr">
        <is>
          <t>VÄSTRA GÖTALANDS LÄN</t>
        </is>
      </c>
      <c r="E1045" t="inlineStr">
        <is>
          <t>ULRICEHAMN</t>
        </is>
      </c>
      <c r="G1045" t="n">
        <v>0.7</v>
      </c>
      <c r="H1045" t="n">
        <v>0</v>
      </c>
      <c r="I1045" t="n">
        <v>0</v>
      </c>
      <c r="J1045" t="n">
        <v>0</v>
      </c>
      <c r="K1045" t="n">
        <v>0</v>
      </c>
      <c r="L1045" t="n">
        <v>0</v>
      </c>
      <c r="M1045" t="n">
        <v>0</v>
      </c>
      <c r="N1045" t="n">
        <v>0</v>
      </c>
      <c r="O1045" t="n">
        <v>0</v>
      </c>
      <c r="P1045" t="n">
        <v>0</v>
      </c>
      <c r="Q1045" t="n">
        <v>0</v>
      </c>
      <c r="R1045" s="2" t="inlineStr"/>
    </row>
    <row r="1046" ht="15" customHeight="1">
      <c r="A1046" t="inlineStr">
        <is>
          <t>A 72228-2021</t>
        </is>
      </c>
      <c r="B1046" s="1" t="n">
        <v>44544.86368055556</v>
      </c>
      <c r="C1046" s="1" t="n">
        <v>45952</v>
      </c>
      <c r="D1046" t="inlineStr">
        <is>
          <t>VÄSTRA GÖTALANDS LÄN</t>
        </is>
      </c>
      <c r="E1046" t="inlineStr">
        <is>
          <t>TANUM</t>
        </is>
      </c>
      <c r="G1046" t="n">
        <v>2.2</v>
      </c>
      <c r="H1046" t="n">
        <v>0</v>
      </c>
      <c r="I1046" t="n">
        <v>0</v>
      </c>
      <c r="J1046" t="n">
        <v>0</v>
      </c>
      <c r="K1046" t="n">
        <v>0</v>
      </c>
      <c r="L1046" t="n">
        <v>0</v>
      </c>
      <c r="M1046" t="n">
        <v>0</v>
      </c>
      <c r="N1046" t="n">
        <v>0</v>
      </c>
      <c r="O1046" t="n">
        <v>0</v>
      </c>
      <c r="P1046" t="n">
        <v>0</v>
      </c>
      <c r="Q1046" t="n">
        <v>0</v>
      </c>
      <c r="R1046" s="2" t="inlineStr"/>
    </row>
    <row r="1047" ht="15" customHeight="1">
      <c r="A1047" t="inlineStr">
        <is>
          <t>A 73816-2021</t>
        </is>
      </c>
      <c r="B1047" s="1" t="n">
        <v>44552</v>
      </c>
      <c r="C1047" s="1" t="n">
        <v>45952</v>
      </c>
      <c r="D1047" t="inlineStr">
        <is>
          <t>VÄSTRA GÖTALANDS LÄN</t>
        </is>
      </c>
      <c r="E1047" t="inlineStr">
        <is>
          <t>TANUM</t>
        </is>
      </c>
      <c r="G1047" t="n">
        <v>2.1</v>
      </c>
      <c r="H1047" t="n">
        <v>0</v>
      </c>
      <c r="I1047" t="n">
        <v>0</v>
      </c>
      <c r="J1047" t="n">
        <v>0</v>
      </c>
      <c r="K1047" t="n">
        <v>0</v>
      </c>
      <c r="L1047" t="n">
        <v>0</v>
      </c>
      <c r="M1047" t="n">
        <v>0</v>
      </c>
      <c r="N1047" t="n">
        <v>0</v>
      </c>
      <c r="O1047" t="n">
        <v>0</v>
      </c>
      <c r="P1047" t="n">
        <v>0</v>
      </c>
      <c r="Q1047" t="n">
        <v>0</v>
      </c>
      <c r="R1047" s="2" t="inlineStr"/>
    </row>
    <row r="1048" ht="15" customHeight="1">
      <c r="A1048" t="inlineStr">
        <is>
          <t>A 57618-2020</t>
        </is>
      </c>
      <c r="B1048" s="1" t="n">
        <v>44139</v>
      </c>
      <c r="C1048" s="1" t="n">
        <v>45952</v>
      </c>
      <c r="D1048" t="inlineStr">
        <is>
          <t>VÄSTRA GÖTALANDS LÄN</t>
        </is>
      </c>
      <c r="E1048" t="inlineStr">
        <is>
          <t>MARIESTAD</t>
        </is>
      </c>
      <c r="G1048" t="n">
        <v>1.4</v>
      </c>
      <c r="H1048" t="n">
        <v>0</v>
      </c>
      <c r="I1048" t="n">
        <v>0</v>
      </c>
      <c r="J1048" t="n">
        <v>0</v>
      </c>
      <c r="K1048" t="n">
        <v>0</v>
      </c>
      <c r="L1048" t="n">
        <v>0</v>
      </c>
      <c r="M1048" t="n">
        <v>0</v>
      </c>
      <c r="N1048" t="n">
        <v>0</v>
      </c>
      <c r="O1048" t="n">
        <v>0</v>
      </c>
      <c r="P1048" t="n">
        <v>0</v>
      </c>
      <c r="Q1048" t="n">
        <v>0</v>
      </c>
      <c r="R1048" s="2" t="inlineStr"/>
    </row>
    <row r="1049" ht="15" customHeight="1">
      <c r="A1049" t="inlineStr">
        <is>
          <t>A 30046-2021</t>
        </is>
      </c>
      <c r="B1049" s="1" t="n">
        <v>44363</v>
      </c>
      <c r="C1049" s="1" t="n">
        <v>45952</v>
      </c>
      <c r="D1049" t="inlineStr">
        <is>
          <t>VÄSTRA GÖTALANDS LÄN</t>
        </is>
      </c>
      <c r="E1049" t="inlineStr">
        <is>
          <t>LILLA EDET</t>
        </is>
      </c>
      <c r="G1049" t="n">
        <v>2.2</v>
      </c>
      <c r="H1049" t="n">
        <v>0</v>
      </c>
      <c r="I1049" t="n">
        <v>0</v>
      </c>
      <c r="J1049" t="n">
        <v>0</v>
      </c>
      <c r="K1049" t="n">
        <v>0</v>
      </c>
      <c r="L1049" t="n">
        <v>0</v>
      </c>
      <c r="M1049" t="n">
        <v>0</v>
      </c>
      <c r="N1049" t="n">
        <v>0</v>
      </c>
      <c r="O1049" t="n">
        <v>0</v>
      </c>
      <c r="P1049" t="n">
        <v>0</v>
      </c>
      <c r="Q1049" t="n">
        <v>0</v>
      </c>
      <c r="R1049" s="2" t="inlineStr"/>
    </row>
    <row r="1050" ht="15" customHeight="1">
      <c r="A1050" t="inlineStr">
        <is>
          <t>A 68218-2021</t>
        </is>
      </c>
      <c r="B1050" s="1" t="n">
        <v>44525</v>
      </c>
      <c r="C1050" s="1" t="n">
        <v>45952</v>
      </c>
      <c r="D1050" t="inlineStr">
        <is>
          <t>VÄSTRA GÖTALANDS LÄN</t>
        </is>
      </c>
      <c r="E1050" t="inlineStr">
        <is>
          <t>MUNKEDAL</t>
        </is>
      </c>
      <c r="F1050" t="inlineStr">
        <is>
          <t>Övriga Aktiebolag</t>
        </is>
      </c>
      <c r="G1050" t="n">
        <v>1.2</v>
      </c>
      <c r="H1050" t="n">
        <v>0</v>
      </c>
      <c r="I1050" t="n">
        <v>0</v>
      </c>
      <c r="J1050" t="n">
        <v>0</v>
      </c>
      <c r="K1050" t="n">
        <v>0</v>
      </c>
      <c r="L1050" t="n">
        <v>0</v>
      </c>
      <c r="M1050" t="n">
        <v>0</v>
      </c>
      <c r="N1050" t="n">
        <v>0</v>
      </c>
      <c r="O1050" t="n">
        <v>0</v>
      </c>
      <c r="P1050" t="n">
        <v>0</v>
      </c>
      <c r="Q1050" t="n">
        <v>0</v>
      </c>
      <c r="R1050" s="2" t="inlineStr"/>
    </row>
    <row r="1051" ht="15" customHeight="1">
      <c r="A1051" t="inlineStr">
        <is>
          <t>A 5833-2021</t>
        </is>
      </c>
      <c r="B1051" s="1" t="n">
        <v>44231</v>
      </c>
      <c r="C1051" s="1" t="n">
        <v>45952</v>
      </c>
      <c r="D1051" t="inlineStr">
        <is>
          <t>VÄSTRA GÖTALANDS LÄN</t>
        </is>
      </c>
      <c r="E1051" t="inlineStr">
        <is>
          <t>GÖTENE</t>
        </is>
      </c>
      <c r="G1051" t="n">
        <v>0.5</v>
      </c>
      <c r="H1051" t="n">
        <v>0</v>
      </c>
      <c r="I1051" t="n">
        <v>0</v>
      </c>
      <c r="J1051" t="n">
        <v>0</v>
      </c>
      <c r="K1051" t="n">
        <v>0</v>
      </c>
      <c r="L1051" t="n">
        <v>0</v>
      </c>
      <c r="M1051" t="n">
        <v>0</v>
      </c>
      <c r="N1051" t="n">
        <v>0</v>
      </c>
      <c r="O1051" t="n">
        <v>0</v>
      </c>
      <c r="P1051" t="n">
        <v>0</v>
      </c>
      <c r="Q1051" t="n">
        <v>0</v>
      </c>
      <c r="R1051" s="2" t="inlineStr"/>
    </row>
    <row r="1052" ht="15" customHeight="1">
      <c r="A1052" t="inlineStr">
        <is>
          <t>A 2779-2021</t>
        </is>
      </c>
      <c r="B1052" s="1" t="n">
        <v>44215</v>
      </c>
      <c r="C1052" s="1" t="n">
        <v>45952</v>
      </c>
      <c r="D1052" t="inlineStr">
        <is>
          <t>VÄSTRA GÖTALANDS LÄN</t>
        </is>
      </c>
      <c r="E1052" t="inlineStr">
        <is>
          <t>HJO</t>
        </is>
      </c>
      <c r="G1052" t="n">
        <v>1.7</v>
      </c>
      <c r="H1052" t="n">
        <v>0</v>
      </c>
      <c r="I1052" t="n">
        <v>0</v>
      </c>
      <c r="J1052" t="n">
        <v>0</v>
      </c>
      <c r="K1052" t="n">
        <v>0</v>
      </c>
      <c r="L1052" t="n">
        <v>0</v>
      </c>
      <c r="M1052" t="n">
        <v>0</v>
      </c>
      <c r="N1052" t="n">
        <v>0</v>
      </c>
      <c r="O1052" t="n">
        <v>0</v>
      </c>
      <c r="P1052" t="n">
        <v>0</v>
      </c>
      <c r="Q1052" t="n">
        <v>0</v>
      </c>
      <c r="R1052" s="2" t="inlineStr"/>
    </row>
    <row r="1053" ht="15" customHeight="1">
      <c r="A1053" t="inlineStr">
        <is>
          <t>A 3451-2021</t>
        </is>
      </c>
      <c r="B1053" s="1" t="n">
        <v>44218</v>
      </c>
      <c r="C1053" s="1" t="n">
        <v>45952</v>
      </c>
      <c r="D1053" t="inlineStr">
        <is>
          <t>VÄSTRA GÖTALANDS LÄN</t>
        </is>
      </c>
      <c r="E1053" t="inlineStr">
        <is>
          <t>ALINGSÅS</t>
        </is>
      </c>
      <c r="G1053" t="n">
        <v>1.1</v>
      </c>
      <c r="H1053" t="n">
        <v>0</v>
      </c>
      <c r="I1053" t="n">
        <v>0</v>
      </c>
      <c r="J1053" t="n">
        <v>0</v>
      </c>
      <c r="K1053" t="n">
        <v>0</v>
      </c>
      <c r="L1053" t="n">
        <v>0</v>
      </c>
      <c r="M1053" t="n">
        <v>0</v>
      </c>
      <c r="N1053" t="n">
        <v>0</v>
      </c>
      <c r="O1053" t="n">
        <v>0</v>
      </c>
      <c r="P1053" t="n">
        <v>0</v>
      </c>
      <c r="Q1053" t="n">
        <v>0</v>
      </c>
      <c r="R1053" s="2" t="inlineStr"/>
    </row>
    <row r="1054" ht="15" customHeight="1">
      <c r="A1054" t="inlineStr">
        <is>
          <t>A 3390-2021</t>
        </is>
      </c>
      <c r="B1054" s="1" t="n">
        <v>44218.40491898148</v>
      </c>
      <c r="C1054" s="1" t="n">
        <v>45952</v>
      </c>
      <c r="D1054" t="inlineStr">
        <is>
          <t>VÄSTRA GÖTALANDS LÄN</t>
        </is>
      </c>
      <c r="E1054" t="inlineStr">
        <is>
          <t>DALS-ED</t>
        </is>
      </c>
      <c r="G1054" t="n">
        <v>2.3</v>
      </c>
      <c r="H1054" t="n">
        <v>0</v>
      </c>
      <c r="I1054" t="n">
        <v>0</v>
      </c>
      <c r="J1054" t="n">
        <v>0</v>
      </c>
      <c r="K1054" t="n">
        <v>0</v>
      </c>
      <c r="L1054" t="n">
        <v>0</v>
      </c>
      <c r="M1054" t="n">
        <v>0</v>
      </c>
      <c r="N1054" t="n">
        <v>0</v>
      </c>
      <c r="O1054" t="n">
        <v>0</v>
      </c>
      <c r="P1054" t="n">
        <v>0</v>
      </c>
      <c r="Q1054" t="n">
        <v>0</v>
      </c>
      <c r="R1054" s="2" t="inlineStr"/>
    </row>
    <row r="1055" ht="15" customHeight="1">
      <c r="A1055" t="inlineStr">
        <is>
          <t>A 3422-2021</t>
        </is>
      </c>
      <c r="B1055" s="1" t="n">
        <v>44218</v>
      </c>
      <c r="C1055" s="1" t="n">
        <v>45952</v>
      </c>
      <c r="D1055" t="inlineStr">
        <is>
          <t>VÄSTRA GÖTALANDS LÄN</t>
        </is>
      </c>
      <c r="E1055" t="inlineStr">
        <is>
          <t>VARA</t>
        </is>
      </c>
      <c r="G1055" t="n">
        <v>2.5</v>
      </c>
      <c r="H1055" t="n">
        <v>0</v>
      </c>
      <c r="I1055" t="n">
        <v>0</v>
      </c>
      <c r="J1055" t="n">
        <v>0</v>
      </c>
      <c r="K1055" t="n">
        <v>0</v>
      </c>
      <c r="L1055" t="n">
        <v>0</v>
      </c>
      <c r="M1055" t="n">
        <v>0</v>
      </c>
      <c r="N1055" t="n">
        <v>0</v>
      </c>
      <c r="O1055" t="n">
        <v>0</v>
      </c>
      <c r="P1055" t="n">
        <v>0</v>
      </c>
      <c r="Q1055" t="n">
        <v>0</v>
      </c>
      <c r="R1055" s="2" t="inlineStr"/>
    </row>
    <row r="1056" ht="15" customHeight="1">
      <c r="A1056" t="inlineStr">
        <is>
          <t>A 69513-2021</t>
        </is>
      </c>
      <c r="B1056" s="1" t="n">
        <v>44531</v>
      </c>
      <c r="C1056" s="1" t="n">
        <v>45952</v>
      </c>
      <c r="D1056" t="inlineStr">
        <is>
          <t>VÄSTRA GÖTALANDS LÄN</t>
        </is>
      </c>
      <c r="E1056" t="inlineStr">
        <is>
          <t>MARK</t>
        </is>
      </c>
      <c r="G1056" t="n">
        <v>1.7</v>
      </c>
      <c r="H1056" t="n">
        <v>0</v>
      </c>
      <c r="I1056" t="n">
        <v>0</v>
      </c>
      <c r="J1056" t="n">
        <v>0</v>
      </c>
      <c r="K1056" t="n">
        <v>0</v>
      </c>
      <c r="L1056" t="n">
        <v>0</v>
      </c>
      <c r="M1056" t="n">
        <v>0</v>
      </c>
      <c r="N1056" t="n">
        <v>0</v>
      </c>
      <c r="O1056" t="n">
        <v>0</v>
      </c>
      <c r="P1056" t="n">
        <v>0</v>
      </c>
      <c r="Q1056" t="n">
        <v>0</v>
      </c>
      <c r="R1056" s="2" t="inlineStr"/>
    </row>
    <row r="1057" ht="15" customHeight="1">
      <c r="A1057" t="inlineStr">
        <is>
          <t>A 70027-2021</t>
        </is>
      </c>
      <c r="B1057" s="1" t="n">
        <v>44533</v>
      </c>
      <c r="C1057" s="1" t="n">
        <v>45952</v>
      </c>
      <c r="D1057" t="inlineStr">
        <is>
          <t>VÄSTRA GÖTALANDS LÄN</t>
        </is>
      </c>
      <c r="E1057" t="inlineStr">
        <is>
          <t>DALS-ED</t>
        </is>
      </c>
      <c r="G1057" t="n">
        <v>7.6</v>
      </c>
      <c r="H1057" t="n">
        <v>0</v>
      </c>
      <c r="I1057" t="n">
        <v>0</v>
      </c>
      <c r="J1057" t="n">
        <v>0</v>
      </c>
      <c r="K1057" t="n">
        <v>0</v>
      </c>
      <c r="L1057" t="n">
        <v>0</v>
      </c>
      <c r="M1057" t="n">
        <v>0</v>
      </c>
      <c r="N1057" t="n">
        <v>0</v>
      </c>
      <c r="O1057" t="n">
        <v>0</v>
      </c>
      <c r="P1057" t="n">
        <v>0</v>
      </c>
      <c r="Q1057" t="n">
        <v>0</v>
      </c>
      <c r="R1057" s="2" t="inlineStr"/>
    </row>
    <row r="1058" ht="15" customHeight="1">
      <c r="A1058" t="inlineStr">
        <is>
          <t>A 4105-2021</t>
        </is>
      </c>
      <c r="B1058" s="1" t="n">
        <v>44222</v>
      </c>
      <c r="C1058" s="1" t="n">
        <v>45952</v>
      </c>
      <c r="D1058" t="inlineStr">
        <is>
          <t>VÄSTRA GÖTALANDS LÄN</t>
        </is>
      </c>
      <c r="E1058" t="inlineStr">
        <is>
          <t>BENGTSFORS</t>
        </is>
      </c>
      <c r="G1058" t="n">
        <v>2.2</v>
      </c>
      <c r="H1058" t="n">
        <v>0</v>
      </c>
      <c r="I1058" t="n">
        <v>0</v>
      </c>
      <c r="J1058" t="n">
        <v>0</v>
      </c>
      <c r="K1058" t="n">
        <v>0</v>
      </c>
      <c r="L1058" t="n">
        <v>0</v>
      </c>
      <c r="M1058" t="n">
        <v>0</v>
      </c>
      <c r="N1058" t="n">
        <v>0</v>
      </c>
      <c r="O1058" t="n">
        <v>0</v>
      </c>
      <c r="P1058" t="n">
        <v>0</v>
      </c>
      <c r="Q1058" t="n">
        <v>0</v>
      </c>
      <c r="R1058" s="2" t="inlineStr"/>
    </row>
    <row r="1059" ht="15" customHeight="1">
      <c r="A1059" t="inlineStr">
        <is>
          <t>A 70103-2021</t>
        </is>
      </c>
      <c r="B1059" s="1" t="n">
        <v>44533</v>
      </c>
      <c r="C1059" s="1" t="n">
        <v>45952</v>
      </c>
      <c r="D1059" t="inlineStr">
        <is>
          <t>VÄSTRA GÖTALANDS LÄN</t>
        </is>
      </c>
      <c r="E1059" t="inlineStr">
        <is>
          <t>HERRLJUNGA</t>
        </is>
      </c>
      <c r="G1059" t="n">
        <v>2.2</v>
      </c>
      <c r="H1059" t="n">
        <v>0</v>
      </c>
      <c r="I1059" t="n">
        <v>0</v>
      </c>
      <c r="J1059" t="n">
        <v>0</v>
      </c>
      <c r="K1059" t="n">
        <v>0</v>
      </c>
      <c r="L1059" t="n">
        <v>0</v>
      </c>
      <c r="M1059" t="n">
        <v>0</v>
      </c>
      <c r="N1059" t="n">
        <v>0</v>
      </c>
      <c r="O1059" t="n">
        <v>0</v>
      </c>
      <c r="P1059" t="n">
        <v>0</v>
      </c>
      <c r="Q1059" t="n">
        <v>0</v>
      </c>
      <c r="R1059" s="2" t="inlineStr"/>
    </row>
    <row r="1060" ht="15" customHeight="1">
      <c r="A1060" t="inlineStr">
        <is>
          <t>A 66148-2020</t>
        </is>
      </c>
      <c r="B1060" s="1" t="n">
        <v>44175.6447337963</v>
      </c>
      <c r="C1060" s="1" t="n">
        <v>45952</v>
      </c>
      <c r="D1060" t="inlineStr">
        <is>
          <t>VÄSTRA GÖTALANDS LÄN</t>
        </is>
      </c>
      <c r="E1060" t="inlineStr">
        <is>
          <t>VÅRGÅRDA</t>
        </is>
      </c>
      <c r="G1060" t="n">
        <v>0.8</v>
      </c>
      <c r="H1060" t="n">
        <v>0</v>
      </c>
      <c r="I1060" t="n">
        <v>0</v>
      </c>
      <c r="J1060" t="n">
        <v>0</v>
      </c>
      <c r="K1060" t="n">
        <v>0</v>
      </c>
      <c r="L1060" t="n">
        <v>0</v>
      </c>
      <c r="M1060" t="n">
        <v>0</v>
      </c>
      <c r="N1060" t="n">
        <v>0</v>
      </c>
      <c r="O1060" t="n">
        <v>0</v>
      </c>
      <c r="P1060" t="n">
        <v>0</v>
      </c>
      <c r="Q1060" t="n">
        <v>0</v>
      </c>
      <c r="R1060" s="2" t="inlineStr"/>
    </row>
    <row r="1061" ht="15" customHeight="1">
      <c r="A1061" t="inlineStr">
        <is>
          <t>A 70169-2021</t>
        </is>
      </c>
      <c r="B1061" s="1" t="n">
        <v>44533.82865740741</v>
      </c>
      <c r="C1061" s="1" t="n">
        <v>45952</v>
      </c>
      <c r="D1061" t="inlineStr">
        <is>
          <t>VÄSTRA GÖTALANDS LÄN</t>
        </is>
      </c>
      <c r="E1061" t="inlineStr">
        <is>
          <t>ULRICEHAMN</t>
        </is>
      </c>
      <c r="G1061" t="n">
        <v>3.7</v>
      </c>
      <c r="H1061" t="n">
        <v>0</v>
      </c>
      <c r="I1061" t="n">
        <v>0</v>
      </c>
      <c r="J1061" t="n">
        <v>0</v>
      </c>
      <c r="K1061" t="n">
        <v>0</v>
      </c>
      <c r="L1061" t="n">
        <v>0</v>
      </c>
      <c r="M1061" t="n">
        <v>0</v>
      </c>
      <c r="N1061" t="n">
        <v>0</v>
      </c>
      <c r="O1061" t="n">
        <v>0</v>
      </c>
      <c r="P1061" t="n">
        <v>0</v>
      </c>
      <c r="Q1061" t="n">
        <v>0</v>
      </c>
      <c r="R1061" s="2" t="inlineStr"/>
    </row>
    <row r="1062" ht="15" customHeight="1">
      <c r="A1062" t="inlineStr">
        <is>
          <t>A 17611-2021</t>
        </is>
      </c>
      <c r="B1062" s="1" t="n">
        <v>44300.2812962963</v>
      </c>
      <c r="C1062" s="1" t="n">
        <v>45952</v>
      </c>
      <c r="D1062" t="inlineStr">
        <is>
          <t>VÄSTRA GÖTALANDS LÄN</t>
        </is>
      </c>
      <c r="E1062" t="inlineStr">
        <is>
          <t>TROLLHÄTTAN</t>
        </is>
      </c>
      <c r="G1062" t="n">
        <v>0.5</v>
      </c>
      <c r="H1062" t="n">
        <v>0</v>
      </c>
      <c r="I1062" t="n">
        <v>0</v>
      </c>
      <c r="J1062" t="n">
        <v>0</v>
      </c>
      <c r="K1062" t="n">
        <v>0</v>
      </c>
      <c r="L1062" t="n">
        <v>0</v>
      </c>
      <c r="M1062" t="n">
        <v>0</v>
      </c>
      <c r="N1062" t="n">
        <v>0</v>
      </c>
      <c r="O1062" t="n">
        <v>0</v>
      </c>
      <c r="P1062" t="n">
        <v>0</v>
      </c>
      <c r="Q1062" t="n">
        <v>0</v>
      </c>
      <c r="R1062" s="2" t="inlineStr"/>
    </row>
    <row r="1063" ht="15" customHeight="1">
      <c r="A1063" t="inlineStr">
        <is>
          <t>A 17678-2021</t>
        </is>
      </c>
      <c r="B1063" s="1" t="n">
        <v>44300</v>
      </c>
      <c r="C1063" s="1" t="n">
        <v>45952</v>
      </c>
      <c r="D1063" t="inlineStr">
        <is>
          <t>VÄSTRA GÖTALANDS LÄN</t>
        </is>
      </c>
      <c r="E1063" t="inlineStr">
        <is>
          <t>ULRICEHAMN</t>
        </is>
      </c>
      <c r="G1063" t="n">
        <v>1.7</v>
      </c>
      <c r="H1063" t="n">
        <v>0</v>
      </c>
      <c r="I1063" t="n">
        <v>0</v>
      </c>
      <c r="J1063" t="n">
        <v>0</v>
      </c>
      <c r="K1063" t="n">
        <v>0</v>
      </c>
      <c r="L1063" t="n">
        <v>0</v>
      </c>
      <c r="M1063" t="n">
        <v>0</v>
      </c>
      <c r="N1063" t="n">
        <v>0</v>
      </c>
      <c r="O1063" t="n">
        <v>0</v>
      </c>
      <c r="P1063" t="n">
        <v>0</v>
      </c>
      <c r="Q1063" t="n">
        <v>0</v>
      </c>
      <c r="R1063" s="2" t="inlineStr"/>
    </row>
    <row r="1064" ht="15" customHeight="1">
      <c r="A1064" t="inlineStr">
        <is>
          <t>A 9182-2021</t>
        </is>
      </c>
      <c r="B1064" s="1" t="n">
        <v>44250</v>
      </c>
      <c r="C1064" s="1" t="n">
        <v>45952</v>
      </c>
      <c r="D1064" t="inlineStr">
        <is>
          <t>VÄSTRA GÖTALANDS LÄN</t>
        </is>
      </c>
      <c r="E1064" t="inlineStr">
        <is>
          <t>ORUST</t>
        </is>
      </c>
      <c r="G1064" t="n">
        <v>1.1</v>
      </c>
      <c r="H1064" t="n">
        <v>0</v>
      </c>
      <c r="I1064" t="n">
        <v>0</v>
      </c>
      <c r="J1064" t="n">
        <v>0</v>
      </c>
      <c r="K1064" t="n">
        <v>0</v>
      </c>
      <c r="L1064" t="n">
        <v>0</v>
      </c>
      <c r="M1064" t="n">
        <v>0</v>
      </c>
      <c r="N1064" t="n">
        <v>0</v>
      </c>
      <c r="O1064" t="n">
        <v>0</v>
      </c>
      <c r="P1064" t="n">
        <v>0</v>
      </c>
      <c r="Q1064" t="n">
        <v>0</v>
      </c>
      <c r="R1064" s="2" t="inlineStr"/>
    </row>
    <row r="1065" ht="15" customHeight="1">
      <c r="A1065" t="inlineStr">
        <is>
          <t>A 9186-2021</t>
        </is>
      </c>
      <c r="B1065" s="1" t="n">
        <v>44250</v>
      </c>
      <c r="C1065" s="1" t="n">
        <v>45952</v>
      </c>
      <c r="D1065" t="inlineStr">
        <is>
          <t>VÄSTRA GÖTALANDS LÄN</t>
        </is>
      </c>
      <c r="E1065" t="inlineStr">
        <is>
          <t>GULLSPÅNG</t>
        </is>
      </c>
      <c r="G1065" t="n">
        <v>1</v>
      </c>
      <c r="H1065" t="n">
        <v>0</v>
      </c>
      <c r="I1065" t="n">
        <v>0</v>
      </c>
      <c r="J1065" t="n">
        <v>0</v>
      </c>
      <c r="K1065" t="n">
        <v>0</v>
      </c>
      <c r="L1065" t="n">
        <v>0</v>
      </c>
      <c r="M1065" t="n">
        <v>0</v>
      </c>
      <c r="N1065" t="n">
        <v>0</v>
      </c>
      <c r="O1065" t="n">
        <v>0</v>
      </c>
      <c r="P1065" t="n">
        <v>0</v>
      </c>
      <c r="Q1065" t="n">
        <v>0</v>
      </c>
      <c r="R1065" s="2" t="inlineStr"/>
    </row>
    <row r="1066" ht="15" customHeight="1">
      <c r="A1066" t="inlineStr">
        <is>
          <t>A 9191-2021</t>
        </is>
      </c>
      <c r="B1066" s="1" t="n">
        <v>44250</v>
      </c>
      <c r="C1066" s="1" t="n">
        <v>45952</v>
      </c>
      <c r="D1066" t="inlineStr">
        <is>
          <t>VÄSTRA GÖTALANDS LÄN</t>
        </is>
      </c>
      <c r="E1066" t="inlineStr">
        <is>
          <t>KARLSBORG</t>
        </is>
      </c>
      <c r="G1066" t="n">
        <v>2.7</v>
      </c>
      <c r="H1066" t="n">
        <v>0</v>
      </c>
      <c r="I1066" t="n">
        <v>0</v>
      </c>
      <c r="J1066" t="n">
        <v>0</v>
      </c>
      <c r="K1066" t="n">
        <v>0</v>
      </c>
      <c r="L1066" t="n">
        <v>0</v>
      </c>
      <c r="M1066" t="n">
        <v>0</v>
      </c>
      <c r="N1066" t="n">
        <v>0</v>
      </c>
      <c r="O1066" t="n">
        <v>0</v>
      </c>
      <c r="P1066" t="n">
        <v>0</v>
      </c>
      <c r="Q1066" t="n">
        <v>0</v>
      </c>
      <c r="R1066" s="2" t="inlineStr"/>
    </row>
    <row r="1067" ht="15" customHeight="1">
      <c r="A1067" t="inlineStr">
        <is>
          <t>A 18832-2021</t>
        </is>
      </c>
      <c r="B1067" s="1" t="n">
        <v>44307</v>
      </c>
      <c r="C1067" s="1" t="n">
        <v>45952</v>
      </c>
      <c r="D1067" t="inlineStr">
        <is>
          <t>VÄSTRA GÖTALANDS LÄN</t>
        </is>
      </c>
      <c r="E1067" t="inlineStr">
        <is>
          <t>HERRLJUNGA</t>
        </is>
      </c>
      <c r="G1067" t="n">
        <v>2.5</v>
      </c>
      <c r="H1067" t="n">
        <v>0</v>
      </c>
      <c r="I1067" t="n">
        <v>0</v>
      </c>
      <c r="J1067" t="n">
        <v>0</v>
      </c>
      <c r="K1067" t="n">
        <v>0</v>
      </c>
      <c r="L1067" t="n">
        <v>0</v>
      </c>
      <c r="M1067" t="n">
        <v>0</v>
      </c>
      <c r="N1067" t="n">
        <v>0</v>
      </c>
      <c r="O1067" t="n">
        <v>0</v>
      </c>
      <c r="P1067" t="n">
        <v>0</v>
      </c>
      <c r="Q1067" t="n">
        <v>0</v>
      </c>
      <c r="R1067" s="2" t="inlineStr"/>
    </row>
    <row r="1068" ht="15" customHeight="1">
      <c r="A1068" t="inlineStr">
        <is>
          <t>A 13602-2021</t>
        </is>
      </c>
      <c r="B1068" s="1" t="n">
        <v>44274</v>
      </c>
      <c r="C1068" s="1" t="n">
        <v>45952</v>
      </c>
      <c r="D1068" t="inlineStr">
        <is>
          <t>VÄSTRA GÖTALANDS LÄN</t>
        </is>
      </c>
      <c r="E1068" t="inlineStr">
        <is>
          <t>ESSUNGA</t>
        </is>
      </c>
      <c r="G1068" t="n">
        <v>1.3</v>
      </c>
      <c r="H1068" t="n">
        <v>0</v>
      </c>
      <c r="I1068" t="n">
        <v>0</v>
      </c>
      <c r="J1068" t="n">
        <v>0</v>
      </c>
      <c r="K1068" t="n">
        <v>0</v>
      </c>
      <c r="L1068" t="n">
        <v>0</v>
      </c>
      <c r="M1068" t="n">
        <v>0</v>
      </c>
      <c r="N1068" t="n">
        <v>0</v>
      </c>
      <c r="O1068" t="n">
        <v>0</v>
      </c>
      <c r="P1068" t="n">
        <v>0</v>
      </c>
      <c r="Q1068" t="n">
        <v>0</v>
      </c>
      <c r="R1068" s="2" t="inlineStr"/>
    </row>
    <row r="1069" ht="15" customHeight="1">
      <c r="A1069" t="inlineStr">
        <is>
          <t>A 18650-2021</t>
        </is>
      </c>
      <c r="B1069" s="1" t="n">
        <v>44306</v>
      </c>
      <c r="C1069" s="1" t="n">
        <v>45952</v>
      </c>
      <c r="D1069" t="inlineStr">
        <is>
          <t>VÄSTRA GÖTALANDS LÄN</t>
        </is>
      </c>
      <c r="E1069" t="inlineStr">
        <is>
          <t>ULRICEHAMN</t>
        </is>
      </c>
      <c r="G1069" t="n">
        <v>3.9</v>
      </c>
      <c r="H1069" t="n">
        <v>0</v>
      </c>
      <c r="I1069" t="n">
        <v>0</v>
      </c>
      <c r="J1069" t="n">
        <v>0</v>
      </c>
      <c r="K1069" t="n">
        <v>0</v>
      </c>
      <c r="L1069" t="n">
        <v>0</v>
      </c>
      <c r="M1069" t="n">
        <v>0</v>
      </c>
      <c r="N1069" t="n">
        <v>0</v>
      </c>
      <c r="O1069" t="n">
        <v>0</v>
      </c>
      <c r="P1069" t="n">
        <v>0</v>
      </c>
      <c r="Q1069" t="n">
        <v>0</v>
      </c>
      <c r="R1069" s="2" t="inlineStr"/>
    </row>
    <row r="1070" ht="15" customHeight="1">
      <c r="A1070" t="inlineStr">
        <is>
          <t>A 15291-2021</t>
        </is>
      </c>
      <c r="B1070" s="1" t="n">
        <v>44284</v>
      </c>
      <c r="C1070" s="1" t="n">
        <v>45952</v>
      </c>
      <c r="D1070" t="inlineStr">
        <is>
          <t>VÄSTRA GÖTALANDS LÄN</t>
        </is>
      </c>
      <c r="E1070" t="inlineStr">
        <is>
          <t>VÅRGÅRDA</t>
        </is>
      </c>
      <c r="G1070" t="n">
        <v>1.8</v>
      </c>
      <c r="H1070" t="n">
        <v>0</v>
      </c>
      <c r="I1070" t="n">
        <v>0</v>
      </c>
      <c r="J1070" t="n">
        <v>0</v>
      </c>
      <c r="K1070" t="n">
        <v>0</v>
      </c>
      <c r="L1070" t="n">
        <v>0</v>
      </c>
      <c r="M1070" t="n">
        <v>0</v>
      </c>
      <c r="N1070" t="n">
        <v>0</v>
      </c>
      <c r="O1070" t="n">
        <v>0</v>
      </c>
      <c r="P1070" t="n">
        <v>0</v>
      </c>
      <c r="Q1070" t="n">
        <v>0</v>
      </c>
      <c r="R1070" s="2" t="inlineStr"/>
    </row>
    <row r="1071" ht="15" customHeight="1">
      <c r="A1071" t="inlineStr">
        <is>
          <t>A 15490-2021</t>
        </is>
      </c>
      <c r="B1071" s="1" t="n">
        <v>44285</v>
      </c>
      <c r="C1071" s="1" t="n">
        <v>45952</v>
      </c>
      <c r="D1071" t="inlineStr">
        <is>
          <t>VÄSTRA GÖTALANDS LÄN</t>
        </is>
      </c>
      <c r="E1071" t="inlineStr">
        <is>
          <t>TANUM</t>
        </is>
      </c>
      <c r="G1071" t="n">
        <v>0.8</v>
      </c>
      <c r="H1071" t="n">
        <v>0</v>
      </c>
      <c r="I1071" t="n">
        <v>0</v>
      </c>
      <c r="J1071" t="n">
        <v>0</v>
      </c>
      <c r="K1071" t="n">
        <v>0</v>
      </c>
      <c r="L1071" t="n">
        <v>0</v>
      </c>
      <c r="M1071" t="n">
        <v>0</v>
      </c>
      <c r="N1071" t="n">
        <v>0</v>
      </c>
      <c r="O1071" t="n">
        <v>0</v>
      </c>
      <c r="P1071" t="n">
        <v>0</v>
      </c>
      <c r="Q1071" t="n">
        <v>0</v>
      </c>
      <c r="R1071" s="2" t="inlineStr"/>
    </row>
    <row r="1072" ht="15" customHeight="1">
      <c r="A1072" t="inlineStr">
        <is>
          <t>A 68698-2021</t>
        </is>
      </c>
      <c r="B1072" s="1" t="n">
        <v>44529.66587962963</v>
      </c>
      <c r="C1072" s="1" t="n">
        <v>45952</v>
      </c>
      <c r="D1072" t="inlineStr">
        <is>
          <t>VÄSTRA GÖTALANDS LÄN</t>
        </is>
      </c>
      <c r="E1072" t="inlineStr">
        <is>
          <t>FALKÖPING</t>
        </is>
      </c>
      <c r="G1072" t="n">
        <v>2.5</v>
      </c>
      <c r="H1072" t="n">
        <v>0</v>
      </c>
      <c r="I1072" t="n">
        <v>0</v>
      </c>
      <c r="J1072" t="n">
        <v>0</v>
      </c>
      <c r="K1072" t="n">
        <v>0</v>
      </c>
      <c r="L1072" t="n">
        <v>0</v>
      </c>
      <c r="M1072" t="n">
        <v>0</v>
      </c>
      <c r="N1072" t="n">
        <v>0</v>
      </c>
      <c r="O1072" t="n">
        <v>0</v>
      </c>
      <c r="P1072" t="n">
        <v>0</v>
      </c>
      <c r="Q1072" t="n">
        <v>0</v>
      </c>
      <c r="R1072" s="2" t="inlineStr"/>
    </row>
    <row r="1073" ht="15" customHeight="1">
      <c r="A1073" t="inlineStr">
        <is>
          <t>A 394-2021</t>
        </is>
      </c>
      <c r="B1073" s="1" t="n">
        <v>44201.60565972222</v>
      </c>
      <c r="C1073" s="1" t="n">
        <v>45952</v>
      </c>
      <c r="D1073" t="inlineStr">
        <is>
          <t>VÄSTRA GÖTALANDS LÄN</t>
        </is>
      </c>
      <c r="E1073" t="inlineStr">
        <is>
          <t>VARA</t>
        </is>
      </c>
      <c r="G1073" t="n">
        <v>0.9</v>
      </c>
      <c r="H1073" t="n">
        <v>0</v>
      </c>
      <c r="I1073" t="n">
        <v>0</v>
      </c>
      <c r="J1073" t="n">
        <v>0</v>
      </c>
      <c r="K1073" t="n">
        <v>0</v>
      </c>
      <c r="L1073" t="n">
        <v>0</v>
      </c>
      <c r="M1073" t="n">
        <v>0</v>
      </c>
      <c r="N1073" t="n">
        <v>0</v>
      </c>
      <c r="O1073" t="n">
        <v>0</v>
      </c>
      <c r="P1073" t="n">
        <v>0</v>
      </c>
      <c r="Q1073" t="n">
        <v>0</v>
      </c>
      <c r="R1073" s="2" t="inlineStr"/>
    </row>
    <row r="1074" ht="15" customHeight="1">
      <c r="A1074" t="inlineStr">
        <is>
          <t>A 64094-2020</t>
        </is>
      </c>
      <c r="B1074" s="1" t="n">
        <v>44165</v>
      </c>
      <c r="C1074" s="1" t="n">
        <v>45952</v>
      </c>
      <c r="D1074" t="inlineStr">
        <is>
          <t>VÄSTRA GÖTALANDS LÄN</t>
        </is>
      </c>
      <c r="E1074" t="inlineStr">
        <is>
          <t>VÄNERSBORG</t>
        </is>
      </c>
      <c r="G1074" t="n">
        <v>21.3</v>
      </c>
      <c r="H1074" t="n">
        <v>0</v>
      </c>
      <c r="I1074" t="n">
        <v>0</v>
      </c>
      <c r="J1074" t="n">
        <v>0</v>
      </c>
      <c r="K1074" t="n">
        <v>0</v>
      </c>
      <c r="L1074" t="n">
        <v>0</v>
      </c>
      <c r="M1074" t="n">
        <v>0</v>
      </c>
      <c r="N1074" t="n">
        <v>0</v>
      </c>
      <c r="O1074" t="n">
        <v>0</v>
      </c>
      <c r="P1074" t="n">
        <v>0</v>
      </c>
      <c r="Q1074" t="n">
        <v>0</v>
      </c>
      <c r="R1074" s="2" t="inlineStr"/>
    </row>
    <row r="1075" ht="15" customHeight="1">
      <c r="A1075" t="inlineStr">
        <is>
          <t>A 909-2022</t>
        </is>
      </c>
      <c r="B1075" s="1" t="n">
        <v>44571</v>
      </c>
      <c r="C1075" s="1" t="n">
        <v>45952</v>
      </c>
      <c r="D1075" t="inlineStr">
        <is>
          <t>VÄSTRA GÖTALANDS LÄN</t>
        </is>
      </c>
      <c r="E1075" t="inlineStr">
        <is>
          <t>ÅMÅL</t>
        </is>
      </c>
      <c r="G1075" t="n">
        <v>1.2</v>
      </c>
      <c r="H1075" t="n">
        <v>0</v>
      </c>
      <c r="I1075" t="n">
        <v>0</v>
      </c>
      <c r="J1075" t="n">
        <v>0</v>
      </c>
      <c r="K1075" t="n">
        <v>0</v>
      </c>
      <c r="L1075" t="n">
        <v>0</v>
      </c>
      <c r="M1075" t="n">
        <v>0</v>
      </c>
      <c r="N1075" t="n">
        <v>0</v>
      </c>
      <c r="O1075" t="n">
        <v>0</v>
      </c>
      <c r="P1075" t="n">
        <v>0</v>
      </c>
      <c r="Q1075" t="n">
        <v>0</v>
      </c>
      <c r="R1075" s="2" t="inlineStr"/>
    </row>
    <row r="1076" ht="15" customHeight="1">
      <c r="A1076" t="inlineStr">
        <is>
          <t>A 63700-2020</t>
        </is>
      </c>
      <c r="B1076" s="1" t="n">
        <v>44166</v>
      </c>
      <c r="C1076" s="1" t="n">
        <v>45952</v>
      </c>
      <c r="D1076" t="inlineStr">
        <is>
          <t>VÄSTRA GÖTALANDS LÄN</t>
        </is>
      </c>
      <c r="E1076" t="inlineStr">
        <is>
          <t>ÅMÅL</t>
        </is>
      </c>
      <c r="G1076" t="n">
        <v>7.4</v>
      </c>
      <c r="H1076" t="n">
        <v>0</v>
      </c>
      <c r="I1076" t="n">
        <v>0</v>
      </c>
      <c r="J1076" t="n">
        <v>0</v>
      </c>
      <c r="K1076" t="n">
        <v>0</v>
      </c>
      <c r="L1076" t="n">
        <v>0</v>
      </c>
      <c r="M1076" t="n">
        <v>0</v>
      </c>
      <c r="N1076" t="n">
        <v>0</v>
      </c>
      <c r="O1076" t="n">
        <v>0</v>
      </c>
      <c r="P1076" t="n">
        <v>0</v>
      </c>
      <c r="Q1076" t="n">
        <v>0</v>
      </c>
      <c r="R1076" s="2" t="inlineStr"/>
    </row>
    <row r="1077" ht="15" customHeight="1">
      <c r="A1077" t="inlineStr">
        <is>
          <t>A 9541-2021</t>
        </is>
      </c>
      <c r="B1077" s="1" t="n">
        <v>44251</v>
      </c>
      <c r="C1077" s="1" t="n">
        <v>45952</v>
      </c>
      <c r="D1077" t="inlineStr">
        <is>
          <t>VÄSTRA GÖTALANDS LÄN</t>
        </is>
      </c>
      <c r="E1077" t="inlineStr">
        <is>
          <t>LILLA EDET</t>
        </is>
      </c>
      <c r="G1077" t="n">
        <v>3.9</v>
      </c>
      <c r="H1077" t="n">
        <v>0</v>
      </c>
      <c r="I1077" t="n">
        <v>0</v>
      </c>
      <c r="J1077" t="n">
        <v>0</v>
      </c>
      <c r="K1077" t="n">
        <v>0</v>
      </c>
      <c r="L1077" t="n">
        <v>0</v>
      </c>
      <c r="M1077" t="n">
        <v>0</v>
      </c>
      <c r="N1077" t="n">
        <v>0</v>
      </c>
      <c r="O1077" t="n">
        <v>0</v>
      </c>
      <c r="P1077" t="n">
        <v>0</v>
      </c>
      <c r="Q1077" t="n">
        <v>0</v>
      </c>
      <c r="R1077" s="2" t="inlineStr"/>
    </row>
    <row r="1078" ht="15" customHeight="1">
      <c r="A1078" t="inlineStr">
        <is>
          <t>A 40982-2021</t>
        </is>
      </c>
      <c r="B1078" s="1" t="n">
        <v>44421</v>
      </c>
      <c r="C1078" s="1" t="n">
        <v>45952</v>
      </c>
      <c r="D1078" t="inlineStr">
        <is>
          <t>VÄSTRA GÖTALANDS LÄN</t>
        </is>
      </c>
      <c r="E1078" t="inlineStr">
        <is>
          <t>GULLSPÅNG</t>
        </is>
      </c>
      <c r="G1078" t="n">
        <v>0.9</v>
      </c>
      <c r="H1078" t="n">
        <v>0</v>
      </c>
      <c r="I1078" t="n">
        <v>0</v>
      </c>
      <c r="J1078" t="n">
        <v>0</v>
      </c>
      <c r="K1078" t="n">
        <v>0</v>
      </c>
      <c r="L1078" t="n">
        <v>0</v>
      </c>
      <c r="M1078" t="n">
        <v>0</v>
      </c>
      <c r="N1078" t="n">
        <v>0</v>
      </c>
      <c r="O1078" t="n">
        <v>0</v>
      </c>
      <c r="P1078" t="n">
        <v>0</v>
      </c>
      <c r="Q1078" t="n">
        <v>0</v>
      </c>
      <c r="R1078" s="2" t="inlineStr"/>
    </row>
    <row r="1079" ht="15" customHeight="1">
      <c r="A1079" t="inlineStr">
        <is>
          <t>A 1031-2021</t>
        </is>
      </c>
      <c r="B1079" s="1" t="n">
        <v>44207.46618055556</v>
      </c>
      <c r="C1079" s="1" t="n">
        <v>45952</v>
      </c>
      <c r="D1079" t="inlineStr">
        <is>
          <t>VÄSTRA GÖTALANDS LÄN</t>
        </is>
      </c>
      <c r="E1079" t="inlineStr">
        <is>
          <t>TRANEMO</t>
        </is>
      </c>
      <c r="G1079" t="n">
        <v>0.7</v>
      </c>
      <c r="H1079" t="n">
        <v>0</v>
      </c>
      <c r="I1079" t="n">
        <v>0</v>
      </c>
      <c r="J1079" t="n">
        <v>0</v>
      </c>
      <c r="K1079" t="n">
        <v>0</v>
      </c>
      <c r="L1079" t="n">
        <v>0</v>
      </c>
      <c r="M1079" t="n">
        <v>0</v>
      </c>
      <c r="N1079" t="n">
        <v>0</v>
      </c>
      <c r="O1079" t="n">
        <v>0</v>
      </c>
      <c r="P1079" t="n">
        <v>0</v>
      </c>
      <c r="Q1079" t="n">
        <v>0</v>
      </c>
      <c r="R1079" s="2" t="inlineStr"/>
    </row>
    <row r="1080" ht="15" customHeight="1">
      <c r="A1080" t="inlineStr">
        <is>
          <t>A 32865-2021</t>
        </is>
      </c>
      <c r="B1080" s="1" t="n">
        <v>44375.66605324074</v>
      </c>
      <c r="C1080" s="1" t="n">
        <v>45952</v>
      </c>
      <c r="D1080" t="inlineStr">
        <is>
          <t>VÄSTRA GÖTALANDS LÄN</t>
        </is>
      </c>
      <c r="E1080" t="inlineStr">
        <is>
          <t>GÖTENE</t>
        </is>
      </c>
      <c r="F1080" t="inlineStr">
        <is>
          <t>Övriga Aktiebolag</t>
        </is>
      </c>
      <c r="G1080" t="n">
        <v>1.4</v>
      </c>
      <c r="H1080" t="n">
        <v>0</v>
      </c>
      <c r="I1080" t="n">
        <v>0</v>
      </c>
      <c r="J1080" t="n">
        <v>0</v>
      </c>
      <c r="K1080" t="n">
        <v>0</v>
      </c>
      <c r="L1080" t="n">
        <v>0</v>
      </c>
      <c r="M1080" t="n">
        <v>0</v>
      </c>
      <c r="N1080" t="n">
        <v>0</v>
      </c>
      <c r="O1080" t="n">
        <v>0</v>
      </c>
      <c r="P1080" t="n">
        <v>0</v>
      </c>
      <c r="Q1080" t="n">
        <v>0</v>
      </c>
      <c r="R1080" s="2" t="inlineStr"/>
    </row>
    <row r="1081" ht="15" customHeight="1">
      <c r="A1081" t="inlineStr">
        <is>
          <t>A 25063-2021</t>
        </is>
      </c>
      <c r="B1081" s="1" t="n">
        <v>44341.61608796296</v>
      </c>
      <c r="C1081" s="1" t="n">
        <v>45952</v>
      </c>
      <c r="D1081" t="inlineStr">
        <is>
          <t>VÄSTRA GÖTALANDS LÄN</t>
        </is>
      </c>
      <c r="E1081" t="inlineStr">
        <is>
          <t>GULLSPÅNG</t>
        </is>
      </c>
      <c r="G1081" t="n">
        <v>1</v>
      </c>
      <c r="H1081" t="n">
        <v>0</v>
      </c>
      <c r="I1081" t="n">
        <v>0</v>
      </c>
      <c r="J1081" t="n">
        <v>0</v>
      </c>
      <c r="K1081" t="n">
        <v>0</v>
      </c>
      <c r="L1081" t="n">
        <v>0</v>
      </c>
      <c r="M1081" t="n">
        <v>0</v>
      </c>
      <c r="N1081" t="n">
        <v>0</v>
      </c>
      <c r="O1081" t="n">
        <v>0</v>
      </c>
      <c r="P1081" t="n">
        <v>0</v>
      </c>
      <c r="Q1081" t="n">
        <v>0</v>
      </c>
      <c r="R1081" s="2" t="inlineStr"/>
    </row>
    <row r="1082" ht="15" customHeight="1">
      <c r="A1082" t="inlineStr">
        <is>
          <t>A 25066-2021</t>
        </is>
      </c>
      <c r="B1082" s="1" t="n">
        <v>44341.62946759259</v>
      </c>
      <c r="C1082" s="1" t="n">
        <v>45952</v>
      </c>
      <c r="D1082" t="inlineStr">
        <is>
          <t>VÄSTRA GÖTALANDS LÄN</t>
        </is>
      </c>
      <c r="E1082" t="inlineStr">
        <is>
          <t>GULLSPÅNG</t>
        </is>
      </c>
      <c r="G1082" t="n">
        <v>1.1</v>
      </c>
      <c r="H1082" t="n">
        <v>0</v>
      </c>
      <c r="I1082" t="n">
        <v>0</v>
      </c>
      <c r="J1082" t="n">
        <v>0</v>
      </c>
      <c r="K1082" t="n">
        <v>0</v>
      </c>
      <c r="L1082" t="n">
        <v>0</v>
      </c>
      <c r="M1082" t="n">
        <v>0</v>
      </c>
      <c r="N1082" t="n">
        <v>0</v>
      </c>
      <c r="O1082" t="n">
        <v>0</v>
      </c>
      <c r="P1082" t="n">
        <v>0</v>
      </c>
      <c r="Q1082" t="n">
        <v>0</v>
      </c>
      <c r="R1082" s="2" t="inlineStr"/>
    </row>
    <row r="1083" ht="15" customHeight="1">
      <c r="A1083" t="inlineStr">
        <is>
          <t>A 26746-2021</t>
        </is>
      </c>
      <c r="B1083" s="1" t="n">
        <v>44349.41291666667</v>
      </c>
      <c r="C1083" s="1" t="n">
        <v>45952</v>
      </c>
      <c r="D1083" t="inlineStr">
        <is>
          <t>VÄSTRA GÖTALANDS LÄN</t>
        </is>
      </c>
      <c r="E1083" t="inlineStr">
        <is>
          <t>ULRICEHAMN</t>
        </is>
      </c>
      <c r="G1083" t="n">
        <v>1.2</v>
      </c>
      <c r="H1083" t="n">
        <v>0</v>
      </c>
      <c r="I1083" t="n">
        <v>0</v>
      </c>
      <c r="J1083" t="n">
        <v>0</v>
      </c>
      <c r="K1083" t="n">
        <v>0</v>
      </c>
      <c r="L1083" t="n">
        <v>0</v>
      </c>
      <c r="M1083" t="n">
        <v>0</v>
      </c>
      <c r="N1083" t="n">
        <v>0</v>
      </c>
      <c r="O1083" t="n">
        <v>0</v>
      </c>
      <c r="P1083" t="n">
        <v>0</v>
      </c>
      <c r="Q1083" t="n">
        <v>0</v>
      </c>
      <c r="R1083" s="2" t="inlineStr"/>
    </row>
    <row r="1084" ht="15" customHeight="1">
      <c r="A1084" t="inlineStr">
        <is>
          <t>A 64167-2020</t>
        </is>
      </c>
      <c r="B1084" s="1" t="n">
        <v>44167</v>
      </c>
      <c r="C1084" s="1" t="n">
        <v>45952</v>
      </c>
      <c r="D1084" t="inlineStr">
        <is>
          <t>VÄSTRA GÖTALANDS LÄN</t>
        </is>
      </c>
      <c r="E1084" t="inlineStr">
        <is>
          <t>FÄRGELANDA</t>
        </is>
      </c>
      <c r="G1084" t="n">
        <v>4.9</v>
      </c>
      <c r="H1084" t="n">
        <v>0</v>
      </c>
      <c r="I1084" t="n">
        <v>0</v>
      </c>
      <c r="J1084" t="n">
        <v>0</v>
      </c>
      <c r="K1084" t="n">
        <v>0</v>
      </c>
      <c r="L1084" t="n">
        <v>0</v>
      </c>
      <c r="M1084" t="n">
        <v>0</v>
      </c>
      <c r="N1084" t="n">
        <v>0</v>
      </c>
      <c r="O1084" t="n">
        <v>0</v>
      </c>
      <c r="P1084" t="n">
        <v>0</v>
      </c>
      <c r="Q1084" t="n">
        <v>0</v>
      </c>
      <c r="R1084" s="2" t="inlineStr"/>
    </row>
    <row r="1085" ht="15" customHeight="1">
      <c r="A1085" t="inlineStr">
        <is>
          <t>A 63326-2021</t>
        </is>
      </c>
      <c r="B1085" s="1" t="n">
        <v>44506</v>
      </c>
      <c r="C1085" s="1" t="n">
        <v>45952</v>
      </c>
      <c r="D1085" t="inlineStr">
        <is>
          <t>VÄSTRA GÖTALANDS LÄN</t>
        </is>
      </c>
      <c r="E1085" t="inlineStr">
        <is>
          <t>TANUM</t>
        </is>
      </c>
      <c r="G1085" t="n">
        <v>5</v>
      </c>
      <c r="H1085" t="n">
        <v>0</v>
      </c>
      <c r="I1085" t="n">
        <v>0</v>
      </c>
      <c r="J1085" t="n">
        <v>0</v>
      </c>
      <c r="K1085" t="n">
        <v>0</v>
      </c>
      <c r="L1085" t="n">
        <v>0</v>
      </c>
      <c r="M1085" t="n">
        <v>0</v>
      </c>
      <c r="N1085" t="n">
        <v>0</v>
      </c>
      <c r="O1085" t="n">
        <v>0</v>
      </c>
      <c r="P1085" t="n">
        <v>0</v>
      </c>
      <c r="Q1085" t="n">
        <v>0</v>
      </c>
      <c r="R1085" s="2" t="inlineStr"/>
    </row>
    <row r="1086" ht="15" customHeight="1">
      <c r="A1086" t="inlineStr">
        <is>
          <t>A 25104-2021</t>
        </is>
      </c>
      <c r="B1086" s="1" t="n">
        <v>44341</v>
      </c>
      <c r="C1086" s="1" t="n">
        <v>45952</v>
      </c>
      <c r="D1086" t="inlineStr">
        <is>
          <t>VÄSTRA GÖTALANDS LÄN</t>
        </is>
      </c>
      <c r="E1086" t="inlineStr">
        <is>
          <t>SVENLJUNGA</t>
        </is>
      </c>
      <c r="G1086" t="n">
        <v>1.7</v>
      </c>
      <c r="H1086" t="n">
        <v>0</v>
      </c>
      <c r="I1086" t="n">
        <v>0</v>
      </c>
      <c r="J1086" t="n">
        <v>0</v>
      </c>
      <c r="K1086" t="n">
        <v>0</v>
      </c>
      <c r="L1086" t="n">
        <v>0</v>
      </c>
      <c r="M1086" t="n">
        <v>0</v>
      </c>
      <c r="N1086" t="n">
        <v>0</v>
      </c>
      <c r="O1086" t="n">
        <v>0</v>
      </c>
      <c r="P1086" t="n">
        <v>0</v>
      </c>
      <c r="Q1086" t="n">
        <v>0</v>
      </c>
      <c r="R1086" s="2" t="inlineStr"/>
    </row>
    <row r="1087" ht="15" customHeight="1">
      <c r="A1087" t="inlineStr">
        <is>
          <t>A 73031-2021</t>
        </is>
      </c>
      <c r="B1087" s="1" t="n">
        <v>44550.35746527778</v>
      </c>
      <c r="C1087" s="1" t="n">
        <v>45952</v>
      </c>
      <c r="D1087" t="inlineStr">
        <is>
          <t>VÄSTRA GÖTALANDS LÄN</t>
        </is>
      </c>
      <c r="E1087" t="inlineStr">
        <is>
          <t>TIDAHOLM</t>
        </is>
      </c>
      <c r="G1087" t="n">
        <v>1.9</v>
      </c>
      <c r="H1087" t="n">
        <v>0</v>
      </c>
      <c r="I1087" t="n">
        <v>0</v>
      </c>
      <c r="J1087" t="n">
        <v>0</v>
      </c>
      <c r="K1087" t="n">
        <v>0</v>
      </c>
      <c r="L1087" t="n">
        <v>0</v>
      </c>
      <c r="M1087" t="n">
        <v>0</v>
      </c>
      <c r="N1087" t="n">
        <v>0</v>
      </c>
      <c r="O1087" t="n">
        <v>0</v>
      </c>
      <c r="P1087" t="n">
        <v>0</v>
      </c>
      <c r="Q1087" t="n">
        <v>0</v>
      </c>
      <c r="R1087" s="2" t="inlineStr"/>
    </row>
    <row r="1088" ht="15" customHeight="1">
      <c r="A1088" t="inlineStr">
        <is>
          <t>A 33123-2021</t>
        </is>
      </c>
      <c r="B1088" s="1" t="n">
        <v>44376</v>
      </c>
      <c r="C1088" s="1" t="n">
        <v>45952</v>
      </c>
      <c r="D1088" t="inlineStr">
        <is>
          <t>VÄSTRA GÖTALANDS LÄN</t>
        </is>
      </c>
      <c r="E1088" t="inlineStr">
        <is>
          <t>ÅMÅL</t>
        </is>
      </c>
      <c r="G1088" t="n">
        <v>0.5</v>
      </c>
      <c r="H1088" t="n">
        <v>0</v>
      </c>
      <c r="I1088" t="n">
        <v>0</v>
      </c>
      <c r="J1088" t="n">
        <v>0</v>
      </c>
      <c r="K1088" t="n">
        <v>0</v>
      </c>
      <c r="L1088" t="n">
        <v>0</v>
      </c>
      <c r="M1088" t="n">
        <v>0</v>
      </c>
      <c r="N1088" t="n">
        <v>0</v>
      </c>
      <c r="O1088" t="n">
        <v>0</v>
      </c>
      <c r="P1088" t="n">
        <v>0</v>
      </c>
      <c r="Q1088" t="n">
        <v>0</v>
      </c>
      <c r="R1088" s="2" t="inlineStr"/>
    </row>
    <row r="1089" ht="15" customHeight="1">
      <c r="A1089" t="inlineStr">
        <is>
          <t>A 47181-2021</t>
        </is>
      </c>
      <c r="B1089" s="1" t="n">
        <v>44447.30079861111</v>
      </c>
      <c r="C1089" s="1" t="n">
        <v>45952</v>
      </c>
      <c r="D1089" t="inlineStr">
        <is>
          <t>VÄSTRA GÖTALANDS LÄN</t>
        </is>
      </c>
      <c r="E1089" t="inlineStr">
        <is>
          <t>GULLSPÅNG</t>
        </is>
      </c>
      <c r="G1089" t="n">
        <v>0.5</v>
      </c>
      <c r="H1089" t="n">
        <v>0</v>
      </c>
      <c r="I1089" t="n">
        <v>0</v>
      </c>
      <c r="J1089" t="n">
        <v>0</v>
      </c>
      <c r="K1089" t="n">
        <v>0</v>
      </c>
      <c r="L1089" t="n">
        <v>0</v>
      </c>
      <c r="M1089" t="n">
        <v>0</v>
      </c>
      <c r="N1089" t="n">
        <v>0</v>
      </c>
      <c r="O1089" t="n">
        <v>0</v>
      </c>
      <c r="P1089" t="n">
        <v>0</v>
      </c>
      <c r="Q1089" t="n">
        <v>0</v>
      </c>
      <c r="R1089" s="2" t="inlineStr"/>
    </row>
    <row r="1090" ht="15" customHeight="1">
      <c r="A1090" t="inlineStr">
        <is>
          <t>A 62632-2021</t>
        </is>
      </c>
      <c r="B1090" s="1" t="n">
        <v>44503</v>
      </c>
      <c r="C1090" s="1" t="n">
        <v>45952</v>
      </c>
      <c r="D1090" t="inlineStr">
        <is>
          <t>VÄSTRA GÖTALANDS LÄN</t>
        </is>
      </c>
      <c r="E1090" t="inlineStr">
        <is>
          <t>TÖREBODA</t>
        </is>
      </c>
      <c r="G1090" t="n">
        <v>2.7</v>
      </c>
      <c r="H1090" t="n">
        <v>0</v>
      </c>
      <c r="I1090" t="n">
        <v>0</v>
      </c>
      <c r="J1090" t="n">
        <v>0</v>
      </c>
      <c r="K1090" t="n">
        <v>0</v>
      </c>
      <c r="L1090" t="n">
        <v>0</v>
      </c>
      <c r="M1090" t="n">
        <v>0</v>
      </c>
      <c r="N1090" t="n">
        <v>0</v>
      </c>
      <c r="O1090" t="n">
        <v>0</v>
      </c>
      <c r="P1090" t="n">
        <v>0</v>
      </c>
      <c r="Q1090" t="n">
        <v>0</v>
      </c>
      <c r="R1090" s="2" t="inlineStr"/>
    </row>
    <row r="1091" ht="15" customHeight="1">
      <c r="A1091" t="inlineStr">
        <is>
          <t>A 62633-2021</t>
        </is>
      </c>
      <c r="B1091" s="1" t="n">
        <v>44503</v>
      </c>
      <c r="C1091" s="1" t="n">
        <v>45952</v>
      </c>
      <c r="D1091" t="inlineStr">
        <is>
          <t>VÄSTRA GÖTALANDS LÄN</t>
        </is>
      </c>
      <c r="E1091" t="inlineStr">
        <is>
          <t>TÖREBODA</t>
        </is>
      </c>
      <c r="G1091" t="n">
        <v>0.5</v>
      </c>
      <c r="H1091" t="n">
        <v>0</v>
      </c>
      <c r="I1091" t="n">
        <v>0</v>
      </c>
      <c r="J1091" t="n">
        <v>0</v>
      </c>
      <c r="K1091" t="n">
        <v>0</v>
      </c>
      <c r="L1091" t="n">
        <v>0</v>
      </c>
      <c r="M1091" t="n">
        <v>0</v>
      </c>
      <c r="N1091" t="n">
        <v>0</v>
      </c>
      <c r="O1091" t="n">
        <v>0</v>
      </c>
      <c r="P1091" t="n">
        <v>0</v>
      </c>
      <c r="Q1091" t="n">
        <v>0</v>
      </c>
      <c r="R1091" s="2" t="inlineStr"/>
    </row>
    <row r="1092" ht="15" customHeight="1">
      <c r="A1092" t="inlineStr">
        <is>
          <t>A 20911-2021</t>
        </is>
      </c>
      <c r="B1092" s="1" t="n">
        <v>44319.44815972223</v>
      </c>
      <c r="C1092" s="1" t="n">
        <v>45952</v>
      </c>
      <c r="D1092" t="inlineStr">
        <is>
          <t>VÄSTRA GÖTALANDS LÄN</t>
        </is>
      </c>
      <c r="E1092" t="inlineStr">
        <is>
          <t>UDDEVALLA</t>
        </is>
      </c>
      <c r="G1092" t="n">
        <v>2.8</v>
      </c>
      <c r="H1092" t="n">
        <v>0</v>
      </c>
      <c r="I1092" t="n">
        <v>0</v>
      </c>
      <c r="J1092" t="n">
        <v>0</v>
      </c>
      <c r="K1092" t="n">
        <v>0</v>
      </c>
      <c r="L1092" t="n">
        <v>0</v>
      </c>
      <c r="M1092" t="n">
        <v>0</v>
      </c>
      <c r="N1092" t="n">
        <v>0</v>
      </c>
      <c r="O1092" t="n">
        <v>0</v>
      </c>
      <c r="P1092" t="n">
        <v>0</v>
      </c>
      <c r="Q1092" t="n">
        <v>0</v>
      </c>
      <c r="R1092" s="2" t="inlineStr"/>
    </row>
    <row r="1093" ht="15" customHeight="1">
      <c r="A1093" t="inlineStr">
        <is>
          <t>A 2991-2022</t>
        </is>
      </c>
      <c r="B1093" s="1" t="n">
        <v>44581</v>
      </c>
      <c r="C1093" s="1" t="n">
        <v>45952</v>
      </c>
      <c r="D1093" t="inlineStr">
        <is>
          <t>VÄSTRA GÖTALANDS LÄN</t>
        </is>
      </c>
      <c r="E1093" t="inlineStr">
        <is>
          <t>LILLA EDET</t>
        </is>
      </c>
      <c r="G1093" t="n">
        <v>0.1</v>
      </c>
      <c r="H1093" t="n">
        <v>0</v>
      </c>
      <c r="I1093" t="n">
        <v>0</v>
      </c>
      <c r="J1093" t="n">
        <v>0</v>
      </c>
      <c r="K1093" t="n">
        <v>0</v>
      </c>
      <c r="L1093" t="n">
        <v>0</v>
      </c>
      <c r="M1093" t="n">
        <v>0</v>
      </c>
      <c r="N1093" t="n">
        <v>0</v>
      </c>
      <c r="O1093" t="n">
        <v>0</v>
      </c>
      <c r="P1093" t="n">
        <v>0</v>
      </c>
      <c r="Q1093" t="n">
        <v>0</v>
      </c>
      <c r="R1093" s="2" t="inlineStr"/>
    </row>
    <row r="1094" ht="15" customHeight="1">
      <c r="A1094" t="inlineStr">
        <is>
          <t>A 5311-2022</t>
        </is>
      </c>
      <c r="B1094" s="1" t="n">
        <v>44594</v>
      </c>
      <c r="C1094" s="1" t="n">
        <v>45952</v>
      </c>
      <c r="D1094" t="inlineStr">
        <is>
          <t>VÄSTRA GÖTALANDS LÄN</t>
        </is>
      </c>
      <c r="E1094" t="inlineStr">
        <is>
          <t>LYSEKIL</t>
        </is>
      </c>
      <c r="G1094" t="n">
        <v>1.2</v>
      </c>
      <c r="H1094" t="n">
        <v>0</v>
      </c>
      <c r="I1094" t="n">
        <v>0</v>
      </c>
      <c r="J1094" t="n">
        <v>0</v>
      </c>
      <c r="K1094" t="n">
        <v>0</v>
      </c>
      <c r="L1094" t="n">
        <v>0</v>
      </c>
      <c r="M1094" t="n">
        <v>0</v>
      </c>
      <c r="N1094" t="n">
        <v>0</v>
      </c>
      <c r="O1094" t="n">
        <v>0</v>
      </c>
      <c r="P1094" t="n">
        <v>0</v>
      </c>
      <c r="Q1094" t="n">
        <v>0</v>
      </c>
      <c r="R1094" s="2" t="inlineStr"/>
    </row>
    <row r="1095" ht="15" customHeight="1">
      <c r="A1095" t="inlineStr">
        <is>
          <t>A 7324-2022</t>
        </is>
      </c>
      <c r="B1095" s="1" t="n">
        <v>44606.53486111111</v>
      </c>
      <c r="C1095" s="1" t="n">
        <v>45952</v>
      </c>
      <c r="D1095" t="inlineStr">
        <is>
          <t>VÄSTRA GÖTALANDS LÄN</t>
        </is>
      </c>
      <c r="E1095" t="inlineStr">
        <is>
          <t>ULRICEHAMN</t>
        </is>
      </c>
      <c r="G1095" t="n">
        <v>1.2</v>
      </c>
      <c r="H1095" t="n">
        <v>0</v>
      </c>
      <c r="I1095" t="n">
        <v>0</v>
      </c>
      <c r="J1095" t="n">
        <v>0</v>
      </c>
      <c r="K1095" t="n">
        <v>0</v>
      </c>
      <c r="L1095" t="n">
        <v>0</v>
      </c>
      <c r="M1095" t="n">
        <v>0</v>
      </c>
      <c r="N1095" t="n">
        <v>0</v>
      </c>
      <c r="O1095" t="n">
        <v>0</v>
      </c>
      <c r="P1095" t="n">
        <v>0</v>
      </c>
      <c r="Q1095" t="n">
        <v>0</v>
      </c>
      <c r="R1095" s="2" t="inlineStr"/>
    </row>
    <row r="1096" ht="15" customHeight="1">
      <c r="A1096" t="inlineStr">
        <is>
          <t>A 19167-2021</t>
        </is>
      </c>
      <c r="B1096" s="1" t="n">
        <v>44308</v>
      </c>
      <c r="C1096" s="1" t="n">
        <v>45952</v>
      </c>
      <c r="D1096" t="inlineStr">
        <is>
          <t>VÄSTRA GÖTALANDS LÄN</t>
        </is>
      </c>
      <c r="E1096" t="inlineStr">
        <is>
          <t>TROLLHÄTTAN</t>
        </is>
      </c>
      <c r="G1096" t="n">
        <v>0.6</v>
      </c>
      <c r="H1096" t="n">
        <v>0</v>
      </c>
      <c r="I1096" t="n">
        <v>0</v>
      </c>
      <c r="J1096" t="n">
        <v>0</v>
      </c>
      <c r="K1096" t="n">
        <v>0</v>
      </c>
      <c r="L1096" t="n">
        <v>0</v>
      </c>
      <c r="M1096" t="n">
        <v>0</v>
      </c>
      <c r="N1096" t="n">
        <v>0</v>
      </c>
      <c r="O1096" t="n">
        <v>0</v>
      </c>
      <c r="P1096" t="n">
        <v>0</v>
      </c>
      <c r="Q1096" t="n">
        <v>0</v>
      </c>
      <c r="R1096" s="2" t="inlineStr"/>
    </row>
    <row r="1097" ht="15" customHeight="1">
      <c r="A1097" t="inlineStr">
        <is>
          <t>A 28240-2021</t>
        </is>
      </c>
      <c r="B1097" s="1" t="n">
        <v>44355</v>
      </c>
      <c r="C1097" s="1" t="n">
        <v>45952</v>
      </c>
      <c r="D1097" t="inlineStr">
        <is>
          <t>VÄSTRA GÖTALANDS LÄN</t>
        </is>
      </c>
      <c r="E1097" t="inlineStr">
        <is>
          <t>GÖTENE</t>
        </is>
      </c>
      <c r="G1097" t="n">
        <v>2.3</v>
      </c>
      <c r="H1097" t="n">
        <v>0</v>
      </c>
      <c r="I1097" t="n">
        <v>0</v>
      </c>
      <c r="J1097" t="n">
        <v>0</v>
      </c>
      <c r="K1097" t="n">
        <v>0</v>
      </c>
      <c r="L1097" t="n">
        <v>0</v>
      </c>
      <c r="M1097" t="n">
        <v>0</v>
      </c>
      <c r="N1097" t="n">
        <v>0</v>
      </c>
      <c r="O1097" t="n">
        <v>0</v>
      </c>
      <c r="P1097" t="n">
        <v>0</v>
      </c>
      <c r="Q1097" t="n">
        <v>0</v>
      </c>
      <c r="R1097" s="2" t="inlineStr"/>
    </row>
    <row r="1098" ht="15" customHeight="1">
      <c r="A1098" t="inlineStr">
        <is>
          <t>A 28251-2021</t>
        </is>
      </c>
      <c r="B1098" s="1" t="n">
        <v>44355</v>
      </c>
      <c r="C1098" s="1" t="n">
        <v>45952</v>
      </c>
      <c r="D1098" t="inlineStr">
        <is>
          <t>VÄSTRA GÖTALANDS LÄN</t>
        </is>
      </c>
      <c r="E1098" t="inlineStr">
        <is>
          <t>ALINGSÅS</t>
        </is>
      </c>
      <c r="G1098" t="n">
        <v>10.4</v>
      </c>
      <c r="H1098" t="n">
        <v>0</v>
      </c>
      <c r="I1098" t="n">
        <v>0</v>
      </c>
      <c r="J1098" t="n">
        <v>0</v>
      </c>
      <c r="K1098" t="n">
        <v>0</v>
      </c>
      <c r="L1098" t="n">
        <v>0</v>
      </c>
      <c r="M1098" t="n">
        <v>0</v>
      </c>
      <c r="N1098" t="n">
        <v>0</v>
      </c>
      <c r="O1098" t="n">
        <v>0</v>
      </c>
      <c r="P1098" t="n">
        <v>0</v>
      </c>
      <c r="Q1098" t="n">
        <v>0</v>
      </c>
      <c r="R1098" s="2" t="inlineStr"/>
    </row>
    <row r="1099" ht="15" customHeight="1">
      <c r="A1099" t="inlineStr">
        <is>
          <t>A 33749-2021</t>
        </is>
      </c>
      <c r="B1099" s="1" t="n">
        <v>44378</v>
      </c>
      <c r="C1099" s="1" t="n">
        <v>45952</v>
      </c>
      <c r="D1099" t="inlineStr">
        <is>
          <t>VÄSTRA GÖTALANDS LÄN</t>
        </is>
      </c>
      <c r="E1099" t="inlineStr">
        <is>
          <t>GÖTEBORG</t>
        </is>
      </c>
      <c r="G1099" t="n">
        <v>2.4</v>
      </c>
      <c r="H1099" t="n">
        <v>0</v>
      </c>
      <c r="I1099" t="n">
        <v>0</v>
      </c>
      <c r="J1099" t="n">
        <v>0</v>
      </c>
      <c r="K1099" t="n">
        <v>0</v>
      </c>
      <c r="L1099" t="n">
        <v>0</v>
      </c>
      <c r="M1099" t="n">
        <v>0</v>
      </c>
      <c r="N1099" t="n">
        <v>0</v>
      </c>
      <c r="O1099" t="n">
        <v>0</v>
      </c>
      <c r="P1099" t="n">
        <v>0</v>
      </c>
      <c r="Q1099" t="n">
        <v>0</v>
      </c>
      <c r="R1099" s="2" t="inlineStr"/>
    </row>
    <row r="1100" ht="15" customHeight="1">
      <c r="A1100" t="inlineStr">
        <is>
          <t>A 41771-2021</t>
        </is>
      </c>
      <c r="B1100" s="1" t="n">
        <v>44425</v>
      </c>
      <c r="C1100" s="1" t="n">
        <v>45952</v>
      </c>
      <c r="D1100" t="inlineStr">
        <is>
          <t>VÄSTRA GÖTALANDS LÄN</t>
        </is>
      </c>
      <c r="E1100" t="inlineStr">
        <is>
          <t>KUNGÄLV</t>
        </is>
      </c>
      <c r="G1100" t="n">
        <v>1.6</v>
      </c>
      <c r="H1100" t="n">
        <v>0</v>
      </c>
      <c r="I1100" t="n">
        <v>0</v>
      </c>
      <c r="J1100" t="n">
        <v>0</v>
      </c>
      <c r="K1100" t="n">
        <v>0</v>
      </c>
      <c r="L1100" t="n">
        <v>0</v>
      </c>
      <c r="M1100" t="n">
        <v>0</v>
      </c>
      <c r="N1100" t="n">
        <v>0</v>
      </c>
      <c r="O1100" t="n">
        <v>0</v>
      </c>
      <c r="P1100" t="n">
        <v>0</v>
      </c>
      <c r="Q1100" t="n">
        <v>0</v>
      </c>
      <c r="R1100" s="2" t="inlineStr"/>
    </row>
    <row r="1101" ht="15" customHeight="1">
      <c r="A1101" t="inlineStr">
        <is>
          <t>A 4538-2021</t>
        </is>
      </c>
      <c r="B1101" s="1" t="n">
        <v>44224</v>
      </c>
      <c r="C1101" s="1" t="n">
        <v>45952</v>
      </c>
      <c r="D1101" t="inlineStr">
        <is>
          <t>VÄSTRA GÖTALANDS LÄN</t>
        </is>
      </c>
      <c r="E1101" t="inlineStr">
        <is>
          <t>GÖTENE</t>
        </is>
      </c>
      <c r="G1101" t="n">
        <v>1.1</v>
      </c>
      <c r="H1101" t="n">
        <v>0</v>
      </c>
      <c r="I1101" t="n">
        <v>0</v>
      </c>
      <c r="J1101" t="n">
        <v>0</v>
      </c>
      <c r="K1101" t="n">
        <v>0</v>
      </c>
      <c r="L1101" t="n">
        <v>0</v>
      </c>
      <c r="M1101" t="n">
        <v>0</v>
      </c>
      <c r="N1101" t="n">
        <v>0</v>
      </c>
      <c r="O1101" t="n">
        <v>0</v>
      </c>
      <c r="P1101" t="n">
        <v>0</v>
      </c>
      <c r="Q1101" t="n">
        <v>0</v>
      </c>
      <c r="R1101" s="2" t="inlineStr"/>
    </row>
    <row r="1102" ht="15" customHeight="1">
      <c r="A1102" t="inlineStr">
        <is>
          <t>A 58025-2021</t>
        </is>
      </c>
      <c r="B1102" s="1" t="n">
        <v>44487</v>
      </c>
      <c r="C1102" s="1" t="n">
        <v>45952</v>
      </c>
      <c r="D1102" t="inlineStr">
        <is>
          <t>VÄSTRA GÖTALANDS LÄN</t>
        </is>
      </c>
      <c r="E1102" t="inlineStr">
        <is>
          <t>LERUM</t>
        </is>
      </c>
      <c r="G1102" t="n">
        <v>9.1</v>
      </c>
      <c r="H1102" t="n">
        <v>0</v>
      </c>
      <c r="I1102" t="n">
        <v>0</v>
      </c>
      <c r="J1102" t="n">
        <v>0</v>
      </c>
      <c r="K1102" t="n">
        <v>0</v>
      </c>
      <c r="L1102" t="n">
        <v>0</v>
      </c>
      <c r="M1102" t="n">
        <v>0</v>
      </c>
      <c r="N1102" t="n">
        <v>0</v>
      </c>
      <c r="O1102" t="n">
        <v>0</v>
      </c>
      <c r="P1102" t="n">
        <v>0</v>
      </c>
      <c r="Q1102" t="n">
        <v>0</v>
      </c>
      <c r="R1102" s="2" t="inlineStr"/>
    </row>
    <row r="1103" ht="15" customHeight="1">
      <c r="A1103" t="inlineStr">
        <is>
          <t>A 19292-2021</t>
        </is>
      </c>
      <c r="B1103" s="1" t="n">
        <v>44309.486875</v>
      </c>
      <c r="C1103" s="1" t="n">
        <v>45952</v>
      </c>
      <c r="D1103" t="inlineStr">
        <is>
          <t>VÄSTRA GÖTALANDS LÄN</t>
        </is>
      </c>
      <c r="E1103" t="inlineStr">
        <is>
          <t>TRANEMO</t>
        </is>
      </c>
      <c r="G1103" t="n">
        <v>3</v>
      </c>
      <c r="H1103" t="n">
        <v>0</v>
      </c>
      <c r="I1103" t="n">
        <v>0</v>
      </c>
      <c r="J1103" t="n">
        <v>0</v>
      </c>
      <c r="K1103" t="n">
        <v>0</v>
      </c>
      <c r="L1103" t="n">
        <v>0</v>
      </c>
      <c r="M1103" t="n">
        <v>0</v>
      </c>
      <c r="N1103" t="n">
        <v>0</v>
      </c>
      <c r="O1103" t="n">
        <v>0</v>
      </c>
      <c r="P1103" t="n">
        <v>0</v>
      </c>
      <c r="Q1103" t="n">
        <v>0</v>
      </c>
      <c r="R1103" s="2" t="inlineStr"/>
    </row>
    <row r="1104" ht="15" customHeight="1">
      <c r="A1104" t="inlineStr">
        <is>
          <t>A 19355-2021</t>
        </is>
      </c>
      <c r="B1104" s="1" t="n">
        <v>44309</v>
      </c>
      <c r="C1104" s="1" t="n">
        <v>45952</v>
      </c>
      <c r="D1104" t="inlineStr">
        <is>
          <t>VÄSTRA GÖTALANDS LÄN</t>
        </is>
      </c>
      <c r="E1104" t="inlineStr">
        <is>
          <t>TROLLHÄTTAN</t>
        </is>
      </c>
      <c r="G1104" t="n">
        <v>1.3</v>
      </c>
      <c r="H1104" t="n">
        <v>0</v>
      </c>
      <c r="I1104" t="n">
        <v>0</v>
      </c>
      <c r="J1104" t="n">
        <v>0</v>
      </c>
      <c r="K1104" t="n">
        <v>0</v>
      </c>
      <c r="L1104" t="n">
        <v>0</v>
      </c>
      <c r="M1104" t="n">
        <v>0</v>
      </c>
      <c r="N1104" t="n">
        <v>0</v>
      </c>
      <c r="O1104" t="n">
        <v>0</v>
      </c>
      <c r="P1104" t="n">
        <v>0</v>
      </c>
      <c r="Q1104" t="n">
        <v>0</v>
      </c>
      <c r="R1104" s="2" t="inlineStr"/>
    </row>
    <row r="1105" ht="15" customHeight="1">
      <c r="A1105" t="inlineStr">
        <is>
          <t>A 67759-2020</t>
        </is>
      </c>
      <c r="B1105" s="1" t="n">
        <v>44181</v>
      </c>
      <c r="C1105" s="1" t="n">
        <v>45952</v>
      </c>
      <c r="D1105" t="inlineStr">
        <is>
          <t>VÄSTRA GÖTALANDS LÄN</t>
        </is>
      </c>
      <c r="E1105" t="inlineStr">
        <is>
          <t>LIDKÖPING</t>
        </is>
      </c>
      <c r="G1105" t="n">
        <v>0.3</v>
      </c>
      <c r="H1105" t="n">
        <v>0</v>
      </c>
      <c r="I1105" t="n">
        <v>0</v>
      </c>
      <c r="J1105" t="n">
        <v>0</v>
      </c>
      <c r="K1105" t="n">
        <v>0</v>
      </c>
      <c r="L1105" t="n">
        <v>0</v>
      </c>
      <c r="M1105" t="n">
        <v>0</v>
      </c>
      <c r="N1105" t="n">
        <v>0</v>
      </c>
      <c r="O1105" t="n">
        <v>0</v>
      </c>
      <c r="P1105" t="n">
        <v>0</v>
      </c>
      <c r="Q1105" t="n">
        <v>0</v>
      </c>
      <c r="R1105" s="2" t="inlineStr"/>
    </row>
    <row r="1106" ht="15" customHeight="1">
      <c r="A1106" t="inlineStr">
        <is>
          <t>A 60406-2021</t>
        </is>
      </c>
      <c r="B1106" s="1" t="n">
        <v>44496.39097222222</v>
      </c>
      <c r="C1106" s="1" t="n">
        <v>45952</v>
      </c>
      <c r="D1106" t="inlineStr">
        <is>
          <t>VÄSTRA GÖTALANDS LÄN</t>
        </is>
      </c>
      <c r="E1106" t="inlineStr">
        <is>
          <t>HERRLJUNGA</t>
        </is>
      </c>
      <c r="G1106" t="n">
        <v>1</v>
      </c>
      <c r="H1106" t="n">
        <v>0</v>
      </c>
      <c r="I1106" t="n">
        <v>0</v>
      </c>
      <c r="J1106" t="n">
        <v>0</v>
      </c>
      <c r="K1106" t="n">
        <v>0</v>
      </c>
      <c r="L1106" t="n">
        <v>0</v>
      </c>
      <c r="M1106" t="n">
        <v>0</v>
      </c>
      <c r="N1106" t="n">
        <v>0</v>
      </c>
      <c r="O1106" t="n">
        <v>0</v>
      </c>
      <c r="P1106" t="n">
        <v>0</v>
      </c>
      <c r="Q1106" t="n">
        <v>0</v>
      </c>
      <c r="R1106" s="2" t="inlineStr"/>
    </row>
    <row r="1107" ht="15" customHeight="1">
      <c r="A1107" t="inlineStr">
        <is>
          <t>A 32067-2021</t>
        </is>
      </c>
      <c r="B1107" s="1" t="n">
        <v>44370.85549768519</v>
      </c>
      <c r="C1107" s="1" t="n">
        <v>45952</v>
      </c>
      <c r="D1107" t="inlineStr">
        <is>
          <t>VÄSTRA GÖTALANDS LÄN</t>
        </is>
      </c>
      <c r="E1107" t="inlineStr">
        <is>
          <t>TANUM</t>
        </is>
      </c>
      <c r="G1107" t="n">
        <v>3.4</v>
      </c>
      <c r="H1107" t="n">
        <v>0</v>
      </c>
      <c r="I1107" t="n">
        <v>0</v>
      </c>
      <c r="J1107" t="n">
        <v>0</v>
      </c>
      <c r="K1107" t="n">
        <v>0</v>
      </c>
      <c r="L1107" t="n">
        <v>0</v>
      </c>
      <c r="M1107" t="n">
        <v>0</v>
      </c>
      <c r="N1107" t="n">
        <v>0</v>
      </c>
      <c r="O1107" t="n">
        <v>0</v>
      </c>
      <c r="P1107" t="n">
        <v>0</v>
      </c>
      <c r="Q1107" t="n">
        <v>0</v>
      </c>
      <c r="R1107" s="2" t="inlineStr"/>
    </row>
    <row r="1108" ht="15" customHeight="1">
      <c r="A1108" t="inlineStr">
        <is>
          <t>A 26439-2021</t>
        </is>
      </c>
      <c r="B1108" s="1" t="n">
        <v>44348.34064814815</v>
      </c>
      <c r="C1108" s="1" t="n">
        <v>45952</v>
      </c>
      <c r="D1108" t="inlineStr">
        <is>
          <t>VÄSTRA GÖTALANDS LÄN</t>
        </is>
      </c>
      <c r="E1108" t="inlineStr">
        <is>
          <t>BENGTSFORS</t>
        </is>
      </c>
      <c r="G1108" t="n">
        <v>3.2</v>
      </c>
      <c r="H1108" t="n">
        <v>0</v>
      </c>
      <c r="I1108" t="n">
        <v>0</v>
      </c>
      <c r="J1108" t="n">
        <v>0</v>
      </c>
      <c r="K1108" t="n">
        <v>0</v>
      </c>
      <c r="L1108" t="n">
        <v>0</v>
      </c>
      <c r="M1108" t="n">
        <v>0</v>
      </c>
      <c r="N1108" t="n">
        <v>0</v>
      </c>
      <c r="O1108" t="n">
        <v>0</v>
      </c>
      <c r="P1108" t="n">
        <v>0</v>
      </c>
      <c r="Q1108" t="n">
        <v>0</v>
      </c>
      <c r="R1108" s="2" t="inlineStr"/>
    </row>
    <row r="1109" ht="15" customHeight="1">
      <c r="A1109" t="inlineStr">
        <is>
          <t>A 42622-2021</t>
        </is>
      </c>
      <c r="B1109" s="1" t="n">
        <v>44428</v>
      </c>
      <c r="C1109" s="1" t="n">
        <v>45952</v>
      </c>
      <c r="D1109" t="inlineStr">
        <is>
          <t>VÄSTRA GÖTALANDS LÄN</t>
        </is>
      </c>
      <c r="E1109" t="inlineStr">
        <is>
          <t>MELLERUD</t>
        </is>
      </c>
      <c r="G1109" t="n">
        <v>4.1</v>
      </c>
      <c r="H1109" t="n">
        <v>0</v>
      </c>
      <c r="I1109" t="n">
        <v>0</v>
      </c>
      <c r="J1109" t="n">
        <v>0</v>
      </c>
      <c r="K1109" t="n">
        <v>0</v>
      </c>
      <c r="L1109" t="n">
        <v>0</v>
      </c>
      <c r="M1109" t="n">
        <v>0</v>
      </c>
      <c r="N1109" t="n">
        <v>0</v>
      </c>
      <c r="O1109" t="n">
        <v>0</v>
      </c>
      <c r="P1109" t="n">
        <v>0</v>
      </c>
      <c r="Q1109" t="n">
        <v>0</v>
      </c>
      <c r="R1109" s="2" t="inlineStr"/>
    </row>
    <row r="1110" ht="15" customHeight="1">
      <c r="A1110" t="inlineStr">
        <is>
          <t>A 46841-2021</t>
        </is>
      </c>
      <c r="B1110" s="1" t="n">
        <v>44446</v>
      </c>
      <c r="C1110" s="1" t="n">
        <v>45952</v>
      </c>
      <c r="D1110" t="inlineStr">
        <is>
          <t>VÄSTRA GÖTALANDS LÄN</t>
        </is>
      </c>
      <c r="E1110" t="inlineStr">
        <is>
          <t>MARIESTAD</t>
        </is>
      </c>
      <c r="G1110" t="n">
        <v>6.6</v>
      </c>
      <c r="H1110" t="n">
        <v>0</v>
      </c>
      <c r="I1110" t="n">
        <v>0</v>
      </c>
      <c r="J1110" t="n">
        <v>0</v>
      </c>
      <c r="K1110" t="n">
        <v>0</v>
      </c>
      <c r="L1110" t="n">
        <v>0</v>
      </c>
      <c r="M1110" t="n">
        <v>0</v>
      </c>
      <c r="N1110" t="n">
        <v>0</v>
      </c>
      <c r="O1110" t="n">
        <v>0</v>
      </c>
      <c r="P1110" t="n">
        <v>0</v>
      </c>
      <c r="Q1110" t="n">
        <v>0</v>
      </c>
      <c r="R1110" s="2" t="inlineStr"/>
    </row>
    <row r="1111" ht="15" customHeight="1">
      <c r="A1111" t="inlineStr">
        <is>
          <t>A 64999-2021</t>
        </is>
      </c>
      <c r="B1111" s="1" t="n">
        <v>44514</v>
      </c>
      <c r="C1111" s="1" t="n">
        <v>45952</v>
      </c>
      <c r="D1111" t="inlineStr">
        <is>
          <t>VÄSTRA GÖTALANDS LÄN</t>
        </is>
      </c>
      <c r="E1111" t="inlineStr">
        <is>
          <t>ÅMÅL</t>
        </is>
      </c>
      <c r="G1111" t="n">
        <v>5</v>
      </c>
      <c r="H1111" t="n">
        <v>0</v>
      </c>
      <c r="I1111" t="n">
        <v>0</v>
      </c>
      <c r="J1111" t="n">
        <v>0</v>
      </c>
      <c r="K1111" t="n">
        <v>0</v>
      </c>
      <c r="L1111" t="n">
        <v>0</v>
      </c>
      <c r="M1111" t="n">
        <v>0</v>
      </c>
      <c r="N1111" t="n">
        <v>0</v>
      </c>
      <c r="O1111" t="n">
        <v>0</v>
      </c>
      <c r="P1111" t="n">
        <v>0</v>
      </c>
      <c r="Q1111" t="n">
        <v>0</v>
      </c>
      <c r="R1111" s="2" t="inlineStr"/>
    </row>
    <row r="1112" ht="15" customHeight="1">
      <c r="A1112" t="inlineStr">
        <is>
          <t>A 63401-2021</t>
        </is>
      </c>
      <c r="B1112" s="1" t="n">
        <v>44508</v>
      </c>
      <c r="C1112" s="1" t="n">
        <v>45952</v>
      </c>
      <c r="D1112" t="inlineStr">
        <is>
          <t>VÄSTRA GÖTALANDS LÄN</t>
        </is>
      </c>
      <c r="E1112" t="inlineStr">
        <is>
          <t>BENGTSFORS</t>
        </is>
      </c>
      <c r="G1112" t="n">
        <v>0.4</v>
      </c>
      <c r="H1112" t="n">
        <v>0</v>
      </c>
      <c r="I1112" t="n">
        <v>0</v>
      </c>
      <c r="J1112" t="n">
        <v>0</v>
      </c>
      <c r="K1112" t="n">
        <v>0</v>
      </c>
      <c r="L1112" t="n">
        <v>0</v>
      </c>
      <c r="M1112" t="n">
        <v>0</v>
      </c>
      <c r="N1112" t="n">
        <v>0</v>
      </c>
      <c r="O1112" t="n">
        <v>0</v>
      </c>
      <c r="P1112" t="n">
        <v>0</v>
      </c>
      <c r="Q1112" t="n">
        <v>0</v>
      </c>
      <c r="R1112" s="2" t="inlineStr"/>
    </row>
    <row r="1113" ht="15" customHeight="1">
      <c r="A1113" t="inlineStr">
        <is>
          <t>A 28064-2021</t>
        </is>
      </c>
      <c r="B1113" s="1" t="n">
        <v>44355.41885416667</v>
      </c>
      <c r="C1113" s="1" t="n">
        <v>45952</v>
      </c>
      <c r="D1113" t="inlineStr">
        <is>
          <t>VÄSTRA GÖTALANDS LÄN</t>
        </is>
      </c>
      <c r="E1113" t="inlineStr">
        <is>
          <t>BORÅS</t>
        </is>
      </c>
      <c r="G1113" t="n">
        <v>2.8</v>
      </c>
      <c r="H1113" t="n">
        <v>0</v>
      </c>
      <c r="I1113" t="n">
        <v>0</v>
      </c>
      <c r="J1113" t="n">
        <v>0</v>
      </c>
      <c r="K1113" t="n">
        <v>0</v>
      </c>
      <c r="L1113" t="n">
        <v>0</v>
      </c>
      <c r="M1113" t="n">
        <v>0</v>
      </c>
      <c r="N1113" t="n">
        <v>0</v>
      </c>
      <c r="O1113" t="n">
        <v>0</v>
      </c>
      <c r="P1113" t="n">
        <v>0</v>
      </c>
      <c r="Q1113" t="n">
        <v>0</v>
      </c>
      <c r="R1113" s="2" t="inlineStr"/>
    </row>
    <row r="1114" ht="15" customHeight="1">
      <c r="A1114" t="inlineStr">
        <is>
          <t>A 8686-2022</t>
        </is>
      </c>
      <c r="B1114" s="1" t="n">
        <v>44613.69466435185</v>
      </c>
      <c r="C1114" s="1" t="n">
        <v>45952</v>
      </c>
      <c r="D1114" t="inlineStr">
        <is>
          <t>VÄSTRA GÖTALANDS LÄN</t>
        </is>
      </c>
      <c r="E1114" t="inlineStr">
        <is>
          <t>TRANEMO</t>
        </is>
      </c>
      <c r="G1114" t="n">
        <v>1.8</v>
      </c>
      <c r="H1114" t="n">
        <v>0</v>
      </c>
      <c r="I1114" t="n">
        <v>0</v>
      </c>
      <c r="J1114" t="n">
        <v>0</v>
      </c>
      <c r="K1114" t="n">
        <v>0</v>
      </c>
      <c r="L1114" t="n">
        <v>0</v>
      </c>
      <c r="M1114" t="n">
        <v>0</v>
      </c>
      <c r="N1114" t="n">
        <v>0</v>
      </c>
      <c r="O1114" t="n">
        <v>0</v>
      </c>
      <c r="P1114" t="n">
        <v>0</v>
      </c>
      <c r="Q1114" t="n">
        <v>0</v>
      </c>
      <c r="R1114" s="2" t="inlineStr"/>
    </row>
    <row r="1115" ht="15" customHeight="1">
      <c r="A1115" t="inlineStr">
        <is>
          <t>A 68569-2020</t>
        </is>
      </c>
      <c r="B1115" s="1" t="n">
        <v>44186</v>
      </c>
      <c r="C1115" s="1" t="n">
        <v>45952</v>
      </c>
      <c r="D1115" t="inlineStr">
        <is>
          <t>VÄSTRA GÖTALANDS LÄN</t>
        </is>
      </c>
      <c r="E1115" t="inlineStr">
        <is>
          <t>VÅRGÅRDA</t>
        </is>
      </c>
      <c r="G1115" t="n">
        <v>0.6</v>
      </c>
      <c r="H1115" t="n">
        <v>0</v>
      </c>
      <c r="I1115" t="n">
        <v>0</v>
      </c>
      <c r="J1115" t="n">
        <v>0</v>
      </c>
      <c r="K1115" t="n">
        <v>0</v>
      </c>
      <c r="L1115" t="n">
        <v>0</v>
      </c>
      <c r="M1115" t="n">
        <v>0</v>
      </c>
      <c r="N1115" t="n">
        <v>0</v>
      </c>
      <c r="O1115" t="n">
        <v>0</v>
      </c>
      <c r="P1115" t="n">
        <v>0</v>
      </c>
      <c r="Q1115" t="n">
        <v>0</v>
      </c>
      <c r="R1115" s="2" t="inlineStr"/>
    </row>
    <row r="1116" ht="15" customHeight="1">
      <c r="A1116" t="inlineStr">
        <is>
          <t>A 54012-2021</t>
        </is>
      </c>
      <c r="B1116" s="1" t="n">
        <v>44470.35111111111</v>
      </c>
      <c r="C1116" s="1" t="n">
        <v>45952</v>
      </c>
      <c r="D1116" t="inlineStr">
        <is>
          <t>VÄSTRA GÖTALANDS LÄN</t>
        </is>
      </c>
      <c r="E1116" t="inlineStr">
        <is>
          <t>SVENLJUNGA</t>
        </is>
      </c>
      <c r="G1116" t="n">
        <v>1.1</v>
      </c>
      <c r="H1116" t="n">
        <v>0</v>
      </c>
      <c r="I1116" t="n">
        <v>0</v>
      </c>
      <c r="J1116" t="n">
        <v>0</v>
      </c>
      <c r="K1116" t="n">
        <v>0</v>
      </c>
      <c r="L1116" t="n">
        <v>0</v>
      </c>
      <c r="M1116" t="n">
        <v>0</v>
      </c>
      <c r="N1116" t="n">
        <v>0</v>
      </c>
      <c r="O1116" t="n">
        <v>0</v>
      </c>
      <c r="P1116" t="n">
        <v>0</v>
      </c>
      <c r="Q1116" t="n">
        <v>0</v>
      </c>
      <c r="R1116" s="2" t="inlineStr"/>
    </row>
    <row r="1117" ht="15" customHeight="1">
      <c r="A1117" t="inlineStr">
        <is>
          <t>A 35776-2021</t>
        </is>
      </c>
      <c r="B1117" s="1" t="n">
        <v>44386</v>
      </c>
      <c r="C1117" s="1" t="n">
        <v>45952</v>
      </c>
      <c r="D1117" t="inlineStr">
        <is>
          <t>VÄSTRA GÖTALANDS LÄN</t>
        </is>
      </c>
      <c r="E1117" t="inlineStr">
        <is>
          <t>SKÖVDE</t>
        </is>
      </c>
      <c r="G1117" t="n">
        <v>1.1</v>
      </c>
      <c r="H1117" t="n">
        <v>0</v>
      </c>
      <c r="I1117" t="n">
        <v>0</v>
      </c>
      <c r="J1117" t="n">
        <v>0</v>
      </c>
      <c r="K1117" t="n">
        <v>0</v>
      </c>
      <c r="L1117" t="n">
        <v>0</v>
      </c>
      <c r="M1117" t="n">
        <v>0</v>
      </c>
      <c r="N1117" t="n">
        <v>0</v>
      </c>
      <c r="O1117" t="n">
        <v>0</v>
      </c>
      <c r="P1117" t="n">
        <v>0</v>
      </c>
      <c r="Q1117" t="n">
        <v>0</v>
      </c>
      <c r="R1117" s="2" t="inlineStr"/>
    </row>
    <row r="1118" ht="15" customHeight="1">
      <c r="A1118" t="inlineStr">
        <is>
          <t>A 62409-2021</t>
        </is>
      </c>
      <c r="B1118" s="1" t="n">
        <v>44503</v>
      </c>
      <c r="C1118" s="1" t="n">
        <v>45952</v>
      </c>
      <c r="D1118" t="inlineStr">
        <is>
          <t>VÄSTRA GÖTALANDS LÄN</t>
        </is>
      </c>
      <c r="E1118" t="inlineStr">
        <is>
          <t>FALKÖPING</t>
        </is>
      </c>
      <c r="F1118" t="inlineStr">
        <is>
          <t>Naturvårdsverket</t>
        </is>
      </c>
      <c r="G1118" t="n">
        <v>0.5</v>
      </c>
      <c r="H1118" t="n">
        <v>0</v>
      </c>
      <c r="I1118" t="n">
        <v>0</v>
      </c>
      <c r="J1118" t="n">
        <v>0</v>
      </c>
      <c r="K1118" t="n">
        <v>0</v>
      </c>
      <c r="L1118" t="n">
        <v>0</v>
      </c>
      <c r="M1118" t="n">
        <v>0</v>
      </c>
      <c r="N1118" t="n">
        <v>0</v>
      </c>
      <c r="O1118" t="n">
        <v>0</v>
      </c>
      <c r="P1118" t="n">
        <v>0</v>
      </c>
      <c r="Q1118" t="n">
        <v>0</v>
      </c>
      <c r="R1118" s="2" t="inlineStr"/>
    </row>
    <row r="1119" ht="15" customHeight="1">
      <c r="A1119" t="inlineStr">
        <is>
          <t>A 73477-2021</t>
        </is>
      </c>
      <c r="B1119" s="1" t="n">
        <v>44551</v>
      </c>
      <c r="C1119" s="1" t="n">
        <v>45952</v>
      </c>
      <c r="D1119" t="inlineStr">
        <is>
          <t>VÄSTRA GÖTALANDS LÄN</t>
        </is>
      </c>
      <c r="E1119" t="inlineStr">
        <is>
          <t>VÄNERSBORG</t>
        </is>
      </c>
      <c r="G1119" t="n">
        <v>1.4</v>
      </c>
      <c r="H1119" t="n">
        <v>0</v>
      </c>
      <c r="I1119" t="n">
        <v>0</v>
      </c>
      <c r="J1119" t="n">
        <v>0</v>
      </c>
      <c r="K1119" t="n">
        <v>0</v>
      </c>
      <c r="L1119" t="n">
        <v>0</v>
      </c>
      <c r="M1119" t="n">
        <v>0</v>
      </c>
      <c r="N1119" t="n">
        <v>0</v>
      </c>
      <c r="O1119" t="n">
        <v>0</v>
      </c>
      <c r="P1119" t="n">
        <v>0</v>
      </c>
      <c r="Q1119" t="n">
        <v>0</v>
      </c>
      <c r="R1119" s="2" t="inlineStr"/>
    </row>
    <row r="1120" ht="15" customHeight="1">
      <c r="A1120" t="inlineStr">
        <is>
          <t>A 70363-2021</t>
        </is>
      </c>
      <c r="B1120" s="1" t="n">
        <v>44535</v>
      </c>
      <c r="C1120" s="1" t="n">
        <v>45952</v>
      </c>
      <c r="D1120" t="inlineStr">
        <is>
          <t>VÄSTRA GÖTALANDS LÄN</t>
        </is>
      </c>
      <c r="E1120" t="inlineStr">
        <is>
          <t>ÅMÅL</t>
        </is>
      </c>
      <c r="G1120" t="n">
        <v>4.5</v>
      </c>
      <c r="H1120" t="n">
        <v>0</v>
      </c>
      <c r="I1120" t="n">
        <v>0</v>
      </c>
      <c r="J1120" t="n">
        <v>0</v>
      </c>
      <c r="K1120" t="n">
        <v>0</v>
      </c>
      <c r="L1120" t="n">
        <v>0</v>
      </c>
      <c r="M1120" t="n">
        <v>0</v>
      </c>
      <c r="N1120" t="n">
        <v>0</v>
      </c>
      <c r="O1120" t="n">
        <v>0</v>
      </c>
      <c r="P1120" t="n">
        <v>0</v>
      </c>
      <c r="Q1120" t="n">
        <v>0</v>
      </c>
      <c r="R1120" s="2" t="inlineStr"/>
    </row>
    <row r="1121" ht="15" customHeight="1">
      <c r="A1121" t="inlineStr">
        <is>
          <t>A 70367-2021</t>
        </is>
      </c>
      <c r="B1121" s="1" t="n">
        <v>44536</v>
      </c>
      <c r="C1121" s="1" t="n">
        <v>45952</v>
      </c>
      <c r="D1121" t="inlineStr">
        <is>
          <t>VÄSTRA GÖTALANDS LÄN</t>
        </is>
      </c>
      <c r="E1121" t="inlineStr">
        <is>
          <t>DALS-ED</t>
        </is>
      </c>
      <c r="G1121" t="n">
        <v>3.2</v>
      </c>
      <c r="H1121" t="n">
        <v>0</v>
      </c>
      <c r="I1121" t="n">
        <v>0</v>
      </c>
      <c r="J1121" t="n">
        <v>0</v>
      </c>
      <c r="K1121" t="n">
        <v>0</v>
      </c>
      <c r="L1121" t="n">
        <v>0</v>
      </c>
      <c r="M1121" t="n">
        <v>0</v>
      </c>
      <c r="N1121" t="n">
        <v>0</v>
      </c>
      <c r="O1121" t="n">
        <v>0</v>
      </c>
      <c r="P1121" t="n">
        <v>0</v>
      </c>
      <c r="Q1121" t="n">
        <v>0</v>
      </c>
      <c r="R1121" s="2" t="inlineStr"/>
    </row>
    <row r="1122" ht="15" customHeight="1">
      <c r="A1122" t="inlineStr">
        <is>
          <t>A 31787-2021</t>
        </is>
      </c>
      <c r="B1122" s="1" t="n">
        <v>44370.34480324074</v>
      </c>
      <c r="C1122" s="1" t="n">
        <v>45952</v>
      </c>
      <c r="D1122" t="inlineStr">
        <is>
          <t>VÄSTRA GÖTALANDS LÄN</t>
        </is>
      </c>
      <c r="E1122" t="inlineStr">
        <is>
          <t>MARK</t>
        </is>
      </c>
      <c r="G1122" t="n">
        <v>1</v>
      </c>
      <c r="H1122" t="n">
        <v>0</v>
      </c>
      <c r="I1122" t="n">
        <v>0</v>
      </c>
      <c r="J1122" t="n">
        <v>0</v>
      </c>
      <c r="K1122" t="n">
        <v>0</v>
      </c>
      <c r="L1122" t="n">
        <v>0</v>
      </c>
      <c r="M1122" t="n">
        <v>0</v>
      </c>
      <c r="N1122" t="n">
        <v>0</v>
      </c>
      <c r="O1122" t="n">
        <v>0</v>
      </c>
      <c r="P1122" t="n">
        <v>0</v>
      </c>
      <c r="Q1122" t="n">
        <v>0</v>
      </c>
      <c r="R1122" s="2" t="inlineStr"/>
    </row>
    <row r="1123" ht="15" customHeight="1">
      <c r="A1123" t="inlineStr">
        <is>
          <t>A 54914-2021</t>
        </is>
      </c>
      <c r="B1123" s="1" t="n">
        <v>44474</v>
      </c>
      <c r="C1123" s="1" t="n">
        <v>45952</v>
      </c>
      <c r="D1123" t="inlineStr">
        <is>
          <t>VÄSTRA GÖTALANDS LÄN</t>
        </is>
      </c>
      <c r="E1123" t="inlineStr">
        <is>
          <t>HERRLJUNGA</t>
        </is>
      </c>
      <c r="G1123" t="n">
        <v>2.2</v>
      </c>
      <c r="H1123" t="n">
        <v>0</v>
      </c>
      <c r="I1123" t="n">
        <v>0</v>
      </c>
      <c r="J1123" t="n">
        <v>0</v>
      </c>
      <c r="K1123" t="n">
        <v>0</v>
      </c>
      <c r="L1123" t="n">
        <v>0</v>
      </c>
      <c r="M1123" t="n">
        <v>0</v>
      </c>
      <c r="N1123" t="n">
        <v>0</v>
      </c>
      <c r="O1123" t="n">
        <v>0</v>
      </c>
      <c r="P1123" t="n">
        <v>0</v>
      </c>
      <c r="Q1123" t="n">
        <v>0</v>
      </c>
      <c r="R1123" s="2" t="inlineStr"/>
    </row>
    <row r="1124" ht="15" customHeight="1">
      <c r="A1124" t="inlineStr">
        <is>
          <t>A 54920-2021</t>
        </is>
      </c>
      <c r="B1124" s="1" t="n">
        <v>44474.42125</v>
      </c>
      <c r="C1124" s="1" t="n">
        <v>45952</v>
      </c>
      <c r="D1124" t="inlineStr">
        <is>
          <t>VÄSTRA GÖTALANDS LÄN</t>
        </is>
      </c>
      <c r="E1124" t="inlineStr">
        <is>
          <t>HERRLJUNGA</t>
        </is>
      </c>
      <c r="G1124" t="n">
        <v>0.9</v>
      </c>
      <c r="H1124" t="n">
        <v>0</v>
      </c>
      <c r="I1124" t="n">
        <v>0</v>
      </c>
      <c r="J1124" t="n">
        <v>0</v>
      </c>
      <c r="K1124" t="n">
        <v>0</v>
      </c>
      <c r="L1124" t="n">
        <v>0</v>
      </c>
      <c r="M1124" t="n">
        <v>0</v>
      </c>
      <c r="N1124" t="n">
        <v>0</v>
      </c>
      <c r="O1124" t="n">
        <v>0</v>
      </c>
      <c r="P1124" t="n">
        <v>0</v>
      </c>
      <c r="Q1124" t="n">
        <v>0</v>
      </c>
      <c r="R1124" s="2" t="inlineStr"/>
    </row>
    <row r="1125" ht="15" customHeight="1">
      <c r="A1125" t="inlineStr">
        <is>
          <t>A 69322-2021</t>
        </is>
      </c>
      <c r="B1125" s="1" t="n">
        <v>44531</v>
      </c>
      <c r="C1125" s="1" t="n">
        <v>45952</v>
      </c>
      <c r="D1125" t="inlineStr">
        <is>
          <t>VÄSTRA GÖTALANDS LÄN</t>
        </is>
      </c>
      <c r="E1125" t="inlineStr">
        <is>
          <t>ULRICEHAMN</t>
        </is>
      </c>
      <c r="G1125" t="n">
        <v>1.7</v>
      </c>
      <c r="H1125" t="n">
        <v>0</v>
      </c>
      <c r="I1125" t="n">
        <v>0</v>
      </c>
      <c r="J1125" t="n">
        <v>0</v>
      </c>
      <c r="K1125" t="n">
        <v>0</v>
      </c>
      <c r="L1125" t="n">
        <v>0</v>
      </c>
      <c r="M1125" t="n">
        <v>0</v>
      </c>
      <c r="N1125" t="n">
        <v>0</v>
      </c>
      <c r="O1125" t="n">
        <v>0</v>
      </c>
      <c r="P1125" t="n">
        <v>0</v>
      </c>
      <c r="Q1125" t="n">
        <v>0</v>
      </c>
      <c r="R1125" s="2" t="inlineStr"/>
    </row>
    <row r="1126" ht="15" customHeight="1">
      <c r="A1126" t="inlineStr">
        <is>
          <t>A 34149-2021</t>
        </is>
      </c>
      <c r="B1126" s="1" t="n">
        <v>44379</v>
      </c>
      <c r="C1126" s="1" t="n">
        <v>45952</v>
      </c>
      <c r="D1126" t="inlineStr">
        <is>
          <t>VÄSTRA GÖTALANDS LÄN</t>
        </is>
      </c>
      <c r="E1126" t="inlineStr">
        <is>
          <t>TÖREBODA</t>
        </is>
      </c>
      <c r="G1126" t="n">
        <v>1</v>
      </c>
      <c r="H1126" t="n">
        <v>0</v>
      </c>
      <c r="I1126" t="n">
        <v>0</v>
      </c>
      <c r="J1126" t="n">
        <v>0</v>
      </c>
      <c r="K1126" t="n">
        <v>0</v>
      </c>
      <c r="L1126" t="n">
        <v>0</v>
      </c>
      <c r="M1126" t="n">
        <v>0</v>
      </c>
      <c r="N1126" t="n">
        <v>0</v>
      </c>
      <c r="O1126" t="n">
        <v>0</v>
      </c>
      <c r="P1126" t="n">
        <v>0</v>
      </c>
      <c r="Q1126" t="n">
        <v>0</v>
      </c>
      <c r="R1126" s="2" t="inlineStr"/>
    </row>
    <row r="1127" ht="15" customHeight="1">
      <c r="A1127" t="inlineStr">
        <is>
          <t>A 9653-2021</t>
        </is>
      </c>
      <c r="B1127" s="1" t="n">
        <v>44252</v>
      </c>
      <c r="C1127" s="1" t="n">
        <v>45952</v>
      </c>
      <c r="D1127" t="inlineStr">
        <is>
          <t>VÄSTRA GÖTALANDS LÄN</t>
        </is>
      </c>
      <c r="E1127" t="inlineStr">
        <is>
          <t>FALKÖPING</t>
        </is>
      </c>
      <c r="G1127" t="n">
        <v>2.3</v>
      </c>
      <c r="H1127" t="n">
        <v>0</v>
      </c>
      <c r="I1127" t="n">
        <v>0</v>
      </c>
      <c r="J1127" t="n">
        <v>0</v>
      </c>
      <c r="K1127" t="n">
        <v>0</v>
      </c>
      <c r="L1127" t="n">
        <v>0</v>
      </c>
      <c r="M1127" t="n">
        <v>0</v>
      </c>
      <c r="N1127" t="n">
        <v>0</v>
      </c>
      <c r="O1127" t="n">
        <v>0</v>
      </c>
      <c r="P1127" t="n">
        <v>0</v>
      </c>
      <c r="Q1127" t="n">
        <v>0</v>
      </c>
      <c r="R1127" s="2" t="inlineStr"/>
    </row>
    <row r="1128" ht="15" customHeight="1">
      <c r="A1128" t="inlineStr">
        <is>
          <t>A 16621-2021</t>
        </is>
      </c>
      <c r="B1128" s="1" t="n">
        <v>44294.39475694444</v>
      </c>
      <c r="C1128" s="1" t="n">
        <v>45952</v>
      </c>
      <c r="D1128" t="inlineStr">
        <is>
          <t>VÄSTRA GÖTALANDS LÄN</t>
        </is>
      </c>
      <c r="E1128" t="inlineStr">
        <is>
          <t>ULRICEHAMN</t>
        </is>
      </c>
      <c r="G1128" t="n">
        <v>4.4</v>
      </c>
      <c r="H1128" t="n">
        <v>0</v>
      </c>
      <c r="I1128" t="n">
        <v>0</v>
      </c>
      <c r="J1128" t="n">
        <v>0</v>
      </c>
      <c r="K1128" t="n">
        <v>0</v>
      </c>
      <c r="L1128" t="n">
        <v>0</v>
      </c>
      <c r="M1128" t="n">
        <v>0</v>
      </c>
      <c r="N1128" t="n">
        <v>0</v>
      </c>
      <c r="O1128" t="n">
        <v>0</v>
      </c>
      <c r="P1128" t="n">
        <v>0</v>
      </c>
      <c r="Q1128" t="n">
        <v>0</v>
      </c>
      <c r="R1128" s="2" t="inlineStr"/>
    </row>
    <row r="1129" ht="15" customHeight="1">
      <c r="A1129" t="inlineStr">
        <is>
          <t>A 6111-2022</t>
        </is>
      </c>
      <c r="B1129" s="1" t="n">
        <v>44599</v>
      </c>
      <c r="C1129" s="1" t="n">
        <v>45952</v>
      </c>
      <c r="D1129" t="inlineStr">
        <is>
          <t>VÄSTRA GÖTALANDS LÄN</t>
        </is>
      </c>
      <c r="E1129" t="inlineStr">
        <is>
          <t>HÄRRYDA</t>
        </is>
      </c>
      <c r="G1129" t="n">
        <v>5.9</v>
      </c>
      <c r="H1129" t="n">
        <v>0</v>
      </c>
      <c r="I1129" t="n">
        <v>0</v>
      </c>
      <c r="J1129" t="n">
        <v>0</v>
      </c>
      <c r="K1129" t="n">
        <v>0</v>
      </c>
      <c r="L1129" t="n">
        <v>0</v>
      </c>
      <c r="M1129" t="n">
        <v>0</v>
      </c>
      <c r="N1129" t="n">
        <v>0</v>
      </c>
      <c r="O1129" t="n">
        <v>0</v>
      </c>
      <c r="P1129" t="n">
        <v>0</v>
      </c>
      <c r="Q1129" t="n">
        <v>0</v>
      </c>
      <c r="R1129" s="2" t="inlineStr"/>
    </row>
    <row r="1130" ht="15" customHeight="1">
      <c r="A1130" t="inlineStr">
        <is>
          <t>A 42794-2022</t>
        </is>
      </c>
      <c r="B1130" s="1" t="n">
        <v>44832</v>
      </c>
      <c r="C1130" s="1" t="n">
        <v>45952</v>
      </c>
      <c r="D1130" t="inlineStr">
        <is>
          <t>VÄSTRA GÖTALANDS LÄN</t>
        </is>
      </c>
      <c r="E1130" t="inlineStr">
        <is>
          <t>TIDAHOLM</t>
        </is>
      </c>
      <c r="G1130" t="n">
        <v>4.9</v>
      </c>
      <c r="H1130" t="n">
        <v>0</v>
      </c>
      <c r="I1130" t="n">
        <v>0</v>
      </c>
      <c r="J1130" t="n">
        <v>0</v>
      </c>
      <c r="K1130" t="n">
        <v>0</v>
      </c>
      <c r="L1130" t="n">
        <v>0</v>
      </c>
      <c r="M1130" t="n">
        <v>0</v>
      </c>
      <c r="N1130" t="n">
        <v>0</v>
      </c>
      <c r="O1130" t="n">
        <v>0</v>
      </c>
      <c r="P1130" t="n">
        <v>0</v>
      </c>
      <c r="Q1130" t="n">
        <v>0</v>
      </c>
      <c r="R1130" s="2" t="inlineStr"/>
    </row>
    <row r="1131" ht="15" customHeight="1">
      <c r="A1131" t="inlineStr">
        <is>
          <t>A 21453-2022</t>
        </is>
      </c>
      <c r="B1131" s="1" t="n">
        <v>44706.37280092593</v>
      </c>
      <c r="C1131" s="1" t="n">
        <v>45952</v>
      </c>
      <c r="D1131" t="inlineStr">
        <is>
          <t>VÄSTRA GÖTALANDS LÄN</t>
        </is>
      </c>
      <c r="E1131" t="inlineStr">
        <is>
          <t>SVENLJUNGA</t>
        </is>
      </c>
      <c r="G1131" t="n">
        <v>2.2</v>
      </c>
      <c r="H1131" t="n">
        <v>0</v>
      </c>
      <c r="I1131" t="n">
        <v>0</v>
      </c>
      <c r="J1131" t="n">
        <v>0</v>
      </c>
      <c r="K1131" t="n">
        <v>0</v>
      </c>
      <c r="L1131" t="n">
        <v>0</v>
      </c>
      <c r="M1131" t="n">
        <v>0</v>
      </c>
      <c r="N1131" t="n">
        <v>0</v>
      </c>
      <c r="O1131" t="n">
        <v>0</v>
      </c>
      <c r="P1131" t="n">
        <v>0</v>
      </c>
      <c r="Q1131" t="n">
        <v>0</v>
      </c>
      <c r="R1131" s="2" t="inlineStr"/>
    </row>
    <row r="1132" ht="15" customHeight="1">
      <c r="A1132" t="inlineStr">
        <is>
          <t>A 5192-2022</t>
        </is>
      </c>
      <c r="B1132" s="1" t="n">
        <v>44594</v>
      </c>
      <c r="C1132" s="1" t="n">
        <v>45952</v>
      </c>
      <c r="D1132" t="inlineStr">
        <is>
          <t>VÄSTRA GÖTALANDS LÄN</t>
        </is>
      </c>
      <c r="E1132" t="inlineStr">
        <is>
          <t>SKÖVDE</t>
        </is>
      </c>
      <c r="F1132" t="inlineStr">
        <is>
          <t>Kommuner</t>
        </is>
      </c>
      <c r="G1132" t="n">
        <v>2.5</v>
      </c>
      <c r="H1132" t="n">
        <v>0</v>
      </c>
      <c r="I1132" t="n">
        <v>0</v>
      </c>
      <c r="J1132" t="n">
        <v>0</v>
      </c>
      <c r="K1132" t="n">
        <v>0</v>
      </c>
      <c r="L1132" t="n">
        <v>0</v>
      </c>
      <c r="M1132" t="n">
        <v>0</v>
      </c>
      <c r="N1132" t="n">
        <v>0</v>
      </c>
      <c r="O1132" t="n">
        <v>0</v>
      </c>
      <c r="P1132" t="n">
        <v>0</v>
      </c>
      <c r="Q1132" t="n">
        <v>0</v>
      </c>
      <c r="R1132" s="2" t="inlineStr"/>
    </row>
    <row r="1133" ht="15" customHeight="1">
      <c r="A1133" t="inlineStr">
        <is>
          <t>A 5228-2022</t>
        </is>
      </c>
      <c r="B1133" s="1" t="n">
        <v>44594.49887731481</v>
      </c>
      <c r="C1133" s="1" t="n">
        <v>45952</v>
      </c>
      <c r="D1133" t="inlineStr">
        <is>
          <t>VÄSTRA GÖTALANDS LÄN</t>
        </is>
      </c>
      <c r="E1133" t="inlineStr">
        <is>
          <t>TIDAHOLM</t>
        </is>
      </c>
      <c r="G1133" t="n">
        <v>0.6</v>
      </c>
      <c r="H1133" t="n">
        <v>0</v>
      </c>
      <c r="I1133" t="n">
        <v>0</v>
      </c>
      <c r="J1133" t="n">
        <v>0</v>
      </c>
      <c r="K1133" t="n">
        <v>0</v>
      </c>
      <c r="L1133" t="n">
        <v>0</v>
      </c>
      <c r="M1133" t="n">
        <v>0</v>
      </c>
      <c r="N1133" t="n">
        <v>0</v>
      </c>
      <c r="O1133" t="n">
        <v>0</v>
      </c>
      <c r="P1133" t="n">
        <v>0</v>
      </c>
      <c r="Q1133" t="n">
        <v>0</v>
      </c>
      <c r="R1133" s="2" t="inlineStr"/>
    </row>
    <row r="1134" ht="15" customHeight="1">
      <c r="A1134" t="inlineStr">
        <is>
          <t>A 5234-2022</t>
        </is>
      </c>
      <c r="B1134" s="1" t="n">
        <v>44594.50368055556</v>
      </c>
      <c r="C1134" s="1" t="n">
        <v>45952</v>
      </c>
      <c r="D1134" t="inlineStr">
        <is>
          <t>VÄSTRA GÖTALANDS LÄN</t>
        </is>
      </c>
      <c r="E1134" t="inlineStr">
        <is>
          <t>TROLLHÄTTAN</t>
        </is>
      </c>
      <c r="G1134" t="n">
        <v>0.4</v>
      </c>
      <c r="H1134" t="n">
        <v>0</v>
      </c>
      <c r="I1134" t="n">
        <v>0</v>
      </c>
      <c r="J1134" t="n">
        <v>0</v>
      </c>
      <c r="K1134" t="n">
        <v>0</v>
      </c>
      <c r="L1134" t="n">
        <v>0</v>
      </c>
      <c r="M1134" t="n">
        <v>0</v>
      </c>
      <c r="N1134" t="n">
        <v>0</v>
      </c>
      <c r="O1134" t="n">
        <v>0</v>
      </c>
      <c r="P1134" t="n">
        <v>0</v>
      </c>
      <c r="Q1134" t="n">
        <v>0</v>
      </c>
      <c r="R1134" s="2" t="inlineStr"/>
    </row>
    <row r="1135" ht="15" customHeight="1">
      <c r="A1135" t="inlineStr">
        <is>
          <t>A 9572-2022</t>
        </is>
      </c>
      <c r="B1135" s="1" t="n">
        <v>44617.45087962963</v>
      </c>
      <c r="C1135" s="1" t="n">
        <v>45952</v>
      </c>
      <c r="D1135" t="inlineStr">
        <is>
          <t>VÄSTRA GÖTALANDS LÄN</t>
        </is>
      </c>
      <c r="E1135" t="inlineStr">
        <is>
          <t>BORÅS</t>
        </is>
      </c>
      <c r="G1135" t="n">
        <v>0.8</v>
      </c>
      <c r="H1135" t="n">
        <v>0</v>
      </c>
      <c r="I1135" t="n">
        <v>0</v>
      </c>
      <c r="J1135" t="n">
        <v>0</v>
      </c>
      <c r="K1135" t="n">
        <v>0</v>
      </c>
      <c r="L1135" t="n">
        <v>0</v>
      </c>
      <c r="M1135" t="n">
        <v>0</v>
      </c>
      <c r="N1135" t="n">
        <v>0</v>
      </c>
      <c r="O1135" t="n">
        <v>0</v>
      </c>
      <c r="P1135" t="n">
        <v>0</v>
      </c>
      <c r="Q1135" t="n">
        <v>0</v>
      </c>
      <c r="R1135" s="2" t="inlineStr"/>
    </row>
    <row r="1136" ht="15" customHeight="1">
      <c r="A1136" t="inlineStr">
        <is>
          <t>A 62855-2021</t>
        </is>
      </c>
      <c r="B1136" s="1" t="n">
        <v>44504.58171296296</v>
      </c>
      <c r="C1136" s="1" t="n">
        <v>45952</v>
      </c>
      <c r="D1136" t="inlineStr">
        <is>
          <t>VÄSTRA GÖTALANDS LÄN</t>
        </is>
      </c>
      <c r="E1136" t="inlineStr">
        <is>
          <t>ALE</t>
        </is>
      </c>
      <c r="G1136" t="n">
        <v>5.6</v>
      </c>
      <c r="H1136" t="n">
        <v>0</v>
      </c>
      <c r="I1136" t="n">
        <v>0</v>
      </c>
      <c r="J1136" t="n">
        <v>0</v>
      </c>
      <c r="K1136" t="n">
        <v>0</v>
      </c>
      <c r="L1136" t="n">
        <v>0</v>
      </c>
      <c r="M1136" t="n">
        <v>0</v>
      </c>
      <c r="N1136" t="n">
        <v>0</v>
      </c>
      <c r="O1136" t="n">
        <v>0</v>
      </c>
      <c r="P1136" t="n">
        <v>0</v>
      </c>
      <c r="Q1136" t="n">
        <v>0</v>
      </c>
      <c r="R1136" s="2" t="inlineStr"/>
    </row>
    <row r="1137" ht="15" customHeight="1">
      <c r="A1137" t="inlineStr">
        <is>
          <t>A 3897-2021</t>
        </is>
      </c>
      <c r="B1137" s="1" t="n">
        <v>44217</v>
      </c>
      <c r="C1137" s="1" t="n">
        <v>45952</v>
      </c>
      <c r="D1137" t="inlineStr">
        <is>
          <t>VÄSTRA GÖTALANDS LÄN</t>
        </is>
      </c>
      <c r="E1137" t="inlineStr">
        <is>
          <t>TROLLHÄTTAN</t>
        </is>
      </c>
      <c r="G1137" t="n">
        <v>7</v>
      </c>
      <c r="H1137" t="n">
        <v>0</v>
      </c>
      <c r="I1137" t="n">
        <v>0</v>
      </c>
      <c r="J1137" t="n">
        <v>0</v>
      </c>
      <c r="K1137" t="n">
        <v>0</v>
      </c>
      <c r="L1137" t="n">
        <v>0</v>
      </c>
      <c r="M1137" t="n">
        <v>0</v>
      </c>
      <c r="N1137" t="n">
        <v>0</v>
      </c>
      <c r="O1137" t="n">
        <v>0</v>
      </c>
      <c r="P1137" t="n">
        <v>0</v>
      </c>
      <c r="Q1137" t="n">
        <v>0</v>
      </c>
      <c r="R1137" s="2" t="inlineStr"/>
    </row>
    <row r="1138" ht="15" customHeight="1">
      <c r="A1138" t="inlineStr">
        <is>
          <t>A 7792-2021</t>
        </is>
      </c>
      <c r="B1138" s="1" t="n">
        <v>44242</v>
      </c>
      <c r="C1138" s="1" t="n">
        <v>45952</v>
      </c>
      <c r="D1138" t="inlineStr">
        <is>
          <t>VÄSTRA GÖTALANDS LÄN</t>
        </is>
      </c>
      <c r="E1138" t="inlineStr">
        <is>
          <t>STRÖMSTAD</t>
        </is>
      </c>
      <c r="G1138" t="n">
        <v>4.9</v>
      </c>
      <c r="H1138" t="n">
        <v>0</v>
      </c>
      <c r="I1138" t="n">
        <v>0</v>
      </c>
      <c r="J1138" t="n">
        <v>0</v>
      </c>
      <c r="K1138" t="n">
        <v>0</v>
      </c>
      <c r="L1138" t="n">
        <v>0</v>
      </c>
      <c r="M1138" t="n">
        <v>0</v>
      </c>
      <c r="N1138" t="n">
        <v>0</v>
      </c>
      <c r="O1138" t="n">
        <v>0</v>
      </c>
      <c r="P1138" t="n">
        <v>0</v>
      </c>
      <c r="Q1138" t="n">
        <v>0</v>
      </c>
      <c r="R1138" s="2" t="inlineStr"/>
    </row>
    <row r="1139" ht="15" customHeight="1">
      <c r="A1139" t="inlineStr">
        <is>
          <t>A 16284-2021</t>
        </is>
      </c>
      <c r="B1139" s="1" t="n">
        <v>44292</v>
      </c>
      <c r="C1139" s="1" t="n">
        <v>45952</v>
      </c>
      <c r="D1139" t="inlineStr">
        <is>
          <t>VÄSTRA GÖTALANDS LÄN</t>
        </is>
      </c>
      <c r="E1139" t="inlineStr">
        <is>
          <t>GULLSPÅNG</t>
        </is>
      </c>
      <c r="G1139" t="n">
        <v>0.6</v>
      </c>
      <c r="H1139" t="n">
        <v>0</v>
      </c>
      <c r="I1139" t="n">
        <v>0</v>
      </c>
      <c r="J1139" t="n">
        <v>0</v>
      </c>
      <c r="K1139" t="n">
        <v>0</v>
      </c>
      <c r="L1139" t="n">
        <v>0</v>
      </c>
      <c r="M1139" t="n">
        <v>0</v>
      </c>
      <c r="N1139" t="n">
        <v>0</v>
      </c>
      <c r="O1139" t="n">
        <v>0</v>
      </c>
      <c r="P1139" t="n">
        <v>0</v>
      </c>
      <c r="Q1139" t="n">
        <v>0</v>
      </c>
      <c r="R1139" s="2" t="inlineStr"/>
    </row>
    <row r="1140" ht="15" customHeight="1">
      <c r="A1140" t="inlineStr">
        <is>
          <t>A 25830-2022</t>
        </is>
      </c>
      <c r="B1140" s="1" t="n">
        <v>44733</v>
      </c>
      <c r="C1140" s="1" t="n">
        <v>45952</v>
      </c>
      <c r="D1140" t="inlineStr">
        <is>
          <t>VÄSTRA GÖTALANDS LÄN</t>
        </is>
      </c>
      <c r="E1140" t="inlineStr">
        <is>
          <t>ÅMÅL</t>
        </is>
      </c>
      <c r="G1140" t="n">
        <v>1.4</v>
      </c>
      <c r="H1140" t="n">
        <v>0</v>
      </c>
      <c r="I1140" t="n">
        <v>0</v>
      </c>
      <c r="J1140" t="n">
        <v>0</v>
      </c>
      <c r="K1140" t="n">
        <v>0</v>
      </c>
      <c r="L1140" t="n">
        <v>0</v>
      </c>
      <c r="M1140" t="n">
        <v>0</v>
      </c>
      <c r="N1140" t="n">
        <v>0</v>
      </c>
      <c r="O1140" t="n">
        <v>0</v>
      </c>
      <c r="P1140" t="n">
        <v>0</v>
      </c>
      <c r="Q1140" t="n">
        <v>0</v>
      </c>
      <c r="R1140" s="2" t="inlineStr"/>
    </row>
    <row r="1141" ht="15" customHeight="1">
      <c r="A1141" t="inlineStr">
        <is>
          <t>A 17976-2022</t>
        </is>
      </c>
      <c r="B1141" s="1" t="n">
        <v>44683</v>
      </c>
      <c r="C1141" s="1" t="n">
        <v>45952</v>
      </c>
      <c r="D1141" t="inlineStr">
        <is>
          <t>VÄSTRA GÖTALANDS LÄN</t>
        </is>
      </c>
      <c r="E1141" t="inlineStr">
        <is>
          <t>BORÅS</t>
        </is>
      </c>
      <c r="F1141" t="inlineStr">
        <is>
          <t>Kyrkan</t>
        </is>
      </c>
      <c r="G1141" t="n">
        <v>3.2</v>
      </c>
      <c r="H1141" t="n">
        <v>0</v>
      </c>
      <c r="I1141" t="n">
        <v>0</v>
      </c>
      <c r="J1141" t="n">
        <v>0</v>
      </c>
      <c r="K1141" t="n">
        <v>0</v>
      </c>
      <c r="L1141" t="n">
        <v>0</v>
      </c>
      <c r="M1141" t="n">
        <v>0</v>
      </c>
      <c r="N1141" t="n">
        <v>0</v>
      </c>
      <c r="O1141" t="n">
        <v>0</v>
      </c>
      <c r="P1141" t="n">
        <v>0</v>
      </c>
      <c r="Q1141" t="n">
        <v>0</v>
      </c>
      <c r="R1141" s="2" t="inlineStr"/>
    </row>
    <row r="1142" ht="15" customHeight="1">
      <c r="A1142" t="inlineStr">
        <is>
          <t>A 416-2022</t>
        </is>
      </c>
      <c r="B1142" s="1" t="n">
        <v>44565.84197916667</v>
      </c>
      <c r="C1142" s="1" t="n">
        <v>45952</v>
      </c>
      <c r="D1142" t="inlineStr">
        <is>
          <t>VÄSTRA GÖTALANDS LÄN</t>
        </is>
      </c>
      <c r="E1142" t="inlineStr">
        <is>
          <t>VÄNERSBORG</t>
        </is>
      </c>
      <c r="G1142" t="n">
        <v>1.1</v>
      </c>
      <c r="H1142" t="n">
        <v>0</v>
      </c>
      <c r="I1142" t="n">
        <v>0</v>
      </c>
      <c r="J1142" t="n">
        <v>0</v>
      </c>
      <c r="K1142" t="n">
        <v>0</v>
      </c>
      <c r="L1142" t="n">
        <v>0</v>
      </c>
      <c r="M1142" t="n">
        <v>0</v>
      </c>
      <c r="N1142" t="n">
        <v>0</v>
      </c>
      <c r="O1142" t="n">
        <v>0</v>
      </c>
      <c r="P1142" t="n">
        <v>0</v>
      </c>
      <c r="Q1142" t="n">
        <v>0</v>
      </c>
      <c r="R1142" s="2" t="inlineStr"/>
    </row>
    <row r="1143" ht="15" customHeight="1">
      <c r="A1143" t="inlineStr">
        <is>
          <t>A 11434-2022</t>
        </is>
      </c>
      <c r="B1143" s="1" t="n">
        <v>44630.61761574074</v>
      </c>
      <c r="C1143" s="1" t="n">
        <v>45952</v>
      </c>
      <c r="D1143" t="inlineStr">
        <is>
          <t>VÄSTRA GÖTALANDS LÄN</t>
        </is>
      </c>
      <c r="E1143" t="inlineStr">
        <is>
          <t>TIDAHOLM</t>
        </is>
      </c>
      <c r="G1143" t="n">
        <v>1.8</v>
      </c>
      <c r="H1143" t="n">
        <v>0</v>
      </c>
      <c r="I1143" t="n">
        <v>0</v>
      </c>
      <c r="J1143" t="n">
        <v>0</v>
      </c>
      <c r="K1143" t="n">
        <v>0</v>
      </c>
      <c r="L1143" t="n">
        <v>0</v>
      </c>
      <c r="M1143" t="n">
        <v>0</v>
      </c>
      <c r="N1143" t="n">
        <v>0</v>
      </c>
      <c r="O1143" t="n">
        <v>0</v>
      </c>
      <c r="P1143" t="n">
        <v>0</v>
      </c>
      <c r="Q1143" t="n">
        <v>0</v>
      </c>
      <c r="R1143" s="2" t="inlineStr"/>
    </row>
    <row r="1144" ht="15" customHeight="1">
      <c r="A1144" t="inlineStr">
        <is>
          <t>A 4577-2021</t>
        </is>
      </c>
      <c r="B1144" s="1" t="n">
        <v>44223</v>
      </c>
      <c r="C1144" s="1" t="n">
        <v>45952</v>
      </c>
      <c r="D1144" t="inlineStr">
        <is>
          <t>VÄSTRA GÖTALANDS LÄN</t>
        </is>
      </c>
      <c r="E1144" t="inlineStr">
        <is>
          <t>SVENLJUNGA</t>
        </is>
      </c>
      <c r="G1144" t="n">
        <v>0.5</v>
      </c>
      <c r="H1144" t="n">
        <v>0</v>
      </c>
      <c r="I1144" t="n">
        <v>0</v>
      </c>
      <c r="J1144" t="n">
        <v>0</v>
      </c>
      <c r="K1144" t="n">
        <v>0</v>
      </c>
      <c r="L1144" t="n">
        <v>0</v>
      </c>
      <c r="M1144" t="n">
        <v>0</v>
      </c>
      <c r="N1144" t="n">
        <v>0</v>
      </c>
      <c r="O1144" t="n">
        <v>0</v>
      </c>
      <c r="P1144" t="n">
        <v>0</v>
      </c>
      <c r="Q1144" t="n">
        <v>0</v>
      </c>
      <c r="R1144" s="2" t="inlineStr"/>
    </row>
    <row r="1145" ht="15" customHeight="1">
      <c r="A1145" t="inlineStr">
        <is>
          <t>A 10460-2022</t>
        </is>
      </c>
      <c r="B1145" s="1" t="n">
        <v>44623.57480324074</v>
      </c>
      <c r="C1145" s="1" t="n">
        <v>45952</v>
      </c>
      <c r="D1145" t="inlineStr">
        <is>
          <t>VÄSTRA GÖTALANDS LÄN</t>
        </is>
      </c>
      <c r="E1145" t="inlineStr">
        <is>
          <t>HÄRRYDA</t>
        </is>
      </c>
      <c r="G1145" t="n">
        <v>1.5</v>
      </c>
      <c r="H1145" t="n">
        <v>0</v>
      </c>
      <c r="I1145" t="n">
        <v>0</v>
      </c>
      <c r="J1145" t="n">
        <v>0</v>
      </c>
      <c r="K1145" t="n">
        <v>0</v>
      </c>
      <c r="L1145" t="n">
        <v>0</v>
      </c>
      <c r="M1145" t="n">
        <v>0</v>
      </c>
      <c r="N1145" t="n">
        <v>0</v>
      </c>
      <c r="O1145" t="n">
        <v>0</v>
      </c>
      <c r="P1145" t="n">
        <v>0</v>
      </c>
      <c r="Q1145" t="n">
        <v>0</v>
      </c>
      <c r="R1145" s="2" t="inlineStr"/>
    </row>
    <row r="1146" ht="15" customHeight="1">
      <c r="A1146" t="inlineStr">
        <is>
          <t>A 13462-2021</t>
        </is>
      </c>
      <c r="B1146" s="1" t="n">
        <v>44273</v>
      </c>
      <c r="C1146" s="1" t="n">
        <v>45952</v>
      </c>
      <c r="D1146" t="inlineStr">
        <is>
          <t>VÄSTRA GÖTALANDS LÄN</t>
        </is>
      </c>
      <c r="E1146" t="inlineStr">
        <is>
          <t>ALE</t>
        </is>
      </c>
      <c r="G1146" t="n">
        <v>7.4</v>
      </c>
      <c r="H1146" t="n">
        <v>0</v>
      </c>
      <c r="I1146" t="n">
        <v>0</v>
      </c>
      <c r="J1146" t="n">
        <v>0</v>
      </c>
      <c r="K1146" t="n">
        <v>0</v>
      </c>
      <c r="L1146" t="n">
        <v>0</v>
      </c>
      <c r="M1146" t="n">
        <v>0</v>
      </c>
      <c r="N1146" t="n">
        <v>0</v>
      </c>
      <c r="O1146" t="n">
        <v>0</v>
      </c>
      <c r="P1146" t="n">
        <v>0</v>
      </c>
      <c r="Q1146" t="n">
        <v>0</v>
      </c>
      <c r="R1146" s="2" t="inlineStr"/>
    </row>
    <row r="1147" ht="15" customHeight="1">
      <c r="A1147" t="inlineStr">
        <is>
          <t>A 25811-2022</t>
        </is>
      </c>
      <c r="B1147" s="1" t="n">
        <v>44733</v>
      </c>
      <c r="C1147" s="1" t="n">
        <v>45952</v>
      </c>
      <c r="D1147" t="inlineStr">
        <is>
          <t>VÄSTRA GÖTALANDS LÄN</t>
        </is>
      </c>
      <c r="E1147" t="inlineStr">
        <is>
          <t>UDDEVALLA</t>
        </is>
      </c>
      <c r="G1147" t="n">
        <v>4.2</v>
      </c>
      <c r="H1147" t="n">
        <v>0</v>
      </c>
      <c r="I1147" t="n">
        <v>0</v>
      </c>
      <c r="J1147" t="n">
        <v>0</v>
      </c>
      <c r="K1147" t="n">
        <v>0</v>
      </c>
      <c r="L1147" t="n">
        <v>0</v>
      </c>
      <c r="M1147" t="n">
        <v>0</v>
      </c>
      <c r="N1147" t="n">
        <v>0</v>
      </c>
      <c r="O1147" t="n">
        <v>0</v>
      </c>
      <c r="P1147" t="n">
        <v>0</v>
      </c>
      <c r="Q1147" t="n">
        <v>0</v>
      </c>
      <c r="R1147" s="2" t="inlineStr"/>
    </row>
    <row r="1148" ht="15" customHeight="1">
      <c r="A1148" t="inlineStr">
        <is>
          <t>A 54599-2020</t>
        </is>
      </c>
      <c r="B1148" s="1" t="n">
        <v>44127</v>
      </c>
      <c r="C1148" s="1" t="n">
        <v>45952</v>
      </c>
      <c r="D1148" t="inlineStr">
        <is>
          <t>VÄSTRA GÖTALANDS LÄN</t>
        </is>
      </c>
      <c r="E1148" t="inlineStr">
        <is>
          <t>MARIESTAD</t>
        </is>
      </c>
      <c r="F1148" t="inlineStr">
        <is>
          <t>Sveaskog</t>
        </is>
      </c>
      <c r="G1148" t="n">
        <v>0.5</v>
      </c>
      <c r="H1148" t="n">
        <v>0</v>
      </c>
      <c r="I1148" t="n">
        <v>0</v>
      </c>
      <c r="J1148" t="n">
        <v>0</v>
      </c>
      <c r="K1148" t="n">
        <v>0</v>
      </c>
      <c r="L1148" t="n">
        <v>0</v>
      </c>
      <c r="M1148" t="n">
        <v>0</v>
      </c>
      <c r="N1148" t="n">
        <v>0</v>
      </c>
      <c r="O1148" t="n">
        <v>0</v>
      </c>
      <c r="P1148" t="n">
        <v>0</v>
      </c>
      <c r="Q1148" t="n">
        <v>0</v>
      </c>
      <c r="R1148" s="2" t="inlineStr"/>
    </row>
    <row r="1149" ht="15" customHeight="1">
      <c r="A1149" t="inlineStr">
        <is>
          <t>A 8134-2022</t>
        </is>
      </c>
      <c r="B1149" s="1" t="n">
        <v>44609.60418981482</v>
      </c>
      <c r="C1149" s="1" t="n">
        <v>45952</v>
      </c>
      <c r="D1149" t="inlineStr">
        <is>
          <t>VÄSTRA GÖTALANDS LÄN</t>
        </is>
      </c>
      <c r="E1149" t="inlineStr">
        <is>
          <t>SKÖVDE</t>
        </is>
      </c>
      <c r="G1149" t="n">
        <v>0.8</v>
      </c>
      <c r="H1149" t="n">
        <v>0</v>
      </c>
      <c r="I1149" t="n">
        <v>0</v>
      </c>
      <c r="J1149" t="n">
        <v>0</v>
      </c>
      <c r="K1149" t="n">
        <v>0</v>
      </c>
      <c r="L1149" t="n">
        <v>0</v>
      </c>
      <c r="M1149" t="n">
        <v>0</v>
      </c>
      <c r="N1149" t="n">
        <v>0</v>
      </c>
      <c r="O1149" t="n">
        <v>0</v>
      </c>
      <c r="P1149" t="n">
        <v>0</v>
      </c>
      <c r="Q1149" t="n">
        <v>0</v>
      </c>
      <c r="R1149" s="2" t="inlineStr"/>
    </row>
    <row r="1150" ht="15" customHeight="1">
      <c r="A1150" t="inlineStr">
        <is>
          <t>A 18082-2022</t>
        </is>
      </c>
      <c r="B1150" s="1" t="n">
        <v>44684</v>
      </c>
      <c r="C1150" s="1" t="n">
        <v>45952</v>
      </c>
      <c r="D1150" t="inlineStr">
        <is>
          <t>VÄSTRA GÖTALANDS LÄN</t>
        </is>
      </c>
      <c r="E1150" t="inlineStr">
        <is>
          <t>TÖREBODA</t>
        </is>
      </c>
      <c r="G1150" t="n">
        <v>0.9</v>
      </c>
      <c r="H1150" t="n">
        <v>0</v>
      </c>
      <c r="I1150" t="n">
        <v>0</v>
      </c>
      <c r="J1150" t="n">
        <v>0</v>
      </c>
      <c r="K1150" t="n">
        <v>0</v>
      </c>
      <c r="L1150" t="n">
        <v>0</v>
      </c>
      <c r="M1150" t="n">
        <v>0</v>
      </c>
      <c r="N1150" t="n">
        <v>0</v>
      </c>
      <c r="O1150" t="n">
        <v>0</v>
      </c>
      <c r="P1150" t="n">
        <v>0</v>
      </c>
      <c r="Q1150" t="n">
        <v>0</v>
      </c>
      <c r="R1150" s="2" t="inlineStr"/>
    </row>
    <row r="1151" ht="15" customHeight="1">
      <c r="A1151" t="inlineStr">
        <is>
          <t>A 42451-2021</t>
        </is>
      </c>
      <c r="B1151" s="1" t="n">
        <v>44427</v>
      </c>
      <c r="C1151" s="1" t="n">
        <v>45952</v>
      </c>
      <c r="D1151" t="inlineStr">
        <is>
          <t>VÄSTRA GÖTALANDS LÄN</t>
        </is>
      </c>
      <c r="E1151" t="inlineStr">
        <is>
          <t>ALINGSÅS</t>
        </is>
      </c>
      <c r="G1151" t="n">
        <v>2.5</v>
      </c>
      <c r="H1151" t="n">
        <v>0</v>
      </c>
      <c r="I1151" t="n">
        <v>0</v>
      </c>
      <c r="J1151" t="n">
        <v>0</v>
      </c>
      <c r="K1151" t="n">
        <v>0</v>
      </c>
      <c r="L1151" t="n">
        <v>0</v>
      </c>
      <c r="M1151" t="n">
        <v>0</v>
      </c>
      <c r="N1151" t="n">
        <v>0</v>
      </c>
      <c r="O1151" t="n">
        <v>0</v>
      </c>
      <c r="P1151" t="n">
        <v>0</v>
      </c>
      <c r="Q1151" t="n">
        <v>0</v>
      </c>
      <c r="R1151" s="2" t="inlineStr"/>
    </row>
    <row r="1152" ht="15" customHeight="1">
      <c r="A1152" t="inlineStr">
        <is>
          <t>A 7398-2022</t>
        </is>
      </c>
      <c r="B1152" s="1" t="n">
        <v>44606.65796296296</v>
      </c>
      <c r="C1152" s="1" t="n">
        <v>45952</v>
      </c>
      <c r="D1152" t="inlineStr">
        <is>
          <t>VÄSTRA GÖTALANDS LÄN</t>
        </is>
      </c>
      <c r="E1152" t="inlineStr">
        <is>
          <t>ESSUNGA</t>
        </is>
      </c>
      <c r="G1152" t="n">
        <v>0.5</v>
      </c>
      <c r="H1152" t="n">
        <v>0</v>
      </c>
      <c r="I1152" t="n">
        <v>0</v>
      </c>
      <c r="J1152" t="n">
        <v>0</v>
      </c>
      <c r="K1152" t="n">
        <v>0</v>
      </c>
      <c r="L1152" t="n">
        <v>0</v>
      </c>
      <c r="M1152" t="n">
        <v>0</v>
      </c>
      <c r="N1152" t="n">
        <v>0</v>
      </c>
      <c r="O1152" t="n">
        <v>0</v>
      </c>
      <c r="P1152" t="n">
        <v>0</v>
      </c>
      <c r="Q1152" t="n">
        <v>0</v>
      </c>
      <c r="R1152" s="2" t="inlineStr"/>
    </row>
    <row r="1153" ht="15" customHeight="1">
      <c r="A1153" t="inlineStr">
        <is>
          <t>A 15835-2022</t>
        </is>
      </c>
      <c r="B1153" s="1" t="n">
        <v>44664</v>
      </c>
      <c r="C1153" s="1" t="n">
        <v>45952</v>
      </c>
      <c r="D1153" t="inlineStr">
        <is>
          <t>VÄSTRA GÖTALANDS LÄN</t>
        </is>
      </c>
      <c r="E1153" t="inlineStr">
        <is>
          <t>MUNKEDAL</t>
        </is>
      </c>
      <c r="G1153" t="n">
        <v>3.4</v>
      </c>
      <c r="H1153" t="n">
        <v>0</v>
      </c>
      <c r="I1153" t="n">
        <v>0</v>
      </c>
      <c r="J1153" t="n">
        <v>0</v>
      </c>
      <c r="K1153" t="n">
        <v>0</v>
      </c>
      <c r="L1153" t="n">
        <v>0</v>
      </c>
      <c r="M1153" t="n">
        <v>0</v>
      </c>
      <c r="N1153" t="n">
        <v>0</v>
      </c>
      <c r="O1153" t="n">
        <v>0</v>
      </c>
      <c r="P1153" t="n">
        <v>0</v>
      </c>
      <c r="Q1153" t="n">
        <v>0</v>
      </c>
      <c r="R1153" s="2" t="inlineStr"/>
    </row>
    <row r="1154" ht="15" customHeight="1">
      <c r="A1154" t="inlineStr">
        <is>
          <t>A 18592-2022</t>
        </is>
      </c>
      <c r="B1154" s="1" t="n">
        <v>44687</v>
      </c>
      <c r="C1154" s="1" t="n">
        <v>45952</v>
      </c>
      <c r="D1154" t="inlineStr">
        <is>
          <t>VÄSTRA GÖTALANDS LÄN</t>
        </is>
      </c>
      <c r="E1154" t="inlineStr">
        <is>
          <t>SVENLJUNGA</t>
        </is>
      </c>
      <c r="G1154" t="n">
        <v>3.1</v>
      </c>
      <c r="H1154" t="n">
        <v>0</v>
      </c>
      <c r="I1154" t="n">
        <v>0</v>
      </c>
      <c r="J1154" t="n">
        <v>0</v>
      </c>
      <c r="K1154" t="n">
        <v>0</v>
      </c>
      <c r="L1154" t="n">
        <v>0</v>
      </c>
      <c r="M1154" t="n">
        <v>0</v>
      </c>
      <c r="N1154" t="n">
        <v>0</v>
      </c>
      <c r="O1154" t="n">
        <v>0</v>
      </c>
      <c r="P1154" t="n">
        <v>0</v>
      </c>
      <c r="Q1154" t="n">
        <v>0</v>
      </c>
      <c r="R1154" s="2" t="inlineStr"/>
    </row>
    <row r="1155" ht="15" customHeight="1">
      <c r="A1155" t="inlineStr">
        <is>
          <t>A 41722-2022</t>
        </is>
      </c>
      <c r="B1155" s="1" t="n">
        <v>44827</v>
      </c>
      <c r="C1155" s="1" t="n">
        <v>45952</v>
      </c>
      <c r="D1155" t="inlineStr">
        <is>
          <t>VÄSTRA GÖTALANDS LÄN</t>
        </is>
      </c>
      <c r="E1155" t="inlineStr">
        <is>
          <t>GÖTENE</t>
        </is>
      </c>
      <c r="G1155" t="n">
        <v>0.4</v>
      </c>
      <c r="H1155" t="n">
        <v>0</v>
      </c>
      <c r="I1155" t="n">
        <v>0</v>
      </c>
      <c r="J1155" t="n">
        <v>0</v>
      </c>
      <c r="K1155" t="n">
        <v>0</v>
      </c>
      <c r="L1155" t="n">
        <v>0</v>
      </c>
      <c r="M1155" t="n">
        <v>0</v>
      </c>
      <c r="N1155" t="n">
        <v>0</v>
      </c>
      <c r="O1155" t="n">
        <v>0</v>
      </c>
      <c r="P1155" t="n">
        <v>0</v>
      </c>
      <c r="Q1155" t="n">
        <v>0</v>
      </c>
      <c r="R1155" s="2" t="inlineStr"/>
    </row>
    <row r="1156" ht="15" customHeight="1">
      <c r="A1156" t="inlineStr">
        <is>
          <t>A 42563-2022</t>
        </is>
      </c>
      <c r="B1156" s="1" t="n">
        <v>44831.66313657408</v>
      </c>
      <c r="C1156" s="1" t="n">
        <v>45952</v>
      </c>
      <c r="D1156" t="inlineStr">
        <is>
          <t>VÄSTRA GÖTALANDS LÄN</t>
        </is>
      </c>
      <c r="E1156" t="inlineStr">
        <is>
          <t>LIDKÖPING</t>
        </is>
      </c>
      <c r="G1156" t="n">
        <v>2.8</v>
      </c>
      <c r="H1156" t="n">
        <v>0</v>
      </c>
      <c r="I1156" t="n">
        <v>0</v>
      </c>
      <c r="J1156" t="n">
        <v>0</v>
      </c>
      <c r="K1156" t="n">
        <v>0</v>
      </c>
      <c r="L1156" t="n">
        <v>0</v>
      </c>
      <c r="M1156" t="n">
        <v>0</v>
      </c>
      <c r="N1156" t="n">
        <v>0</v>
      </c>
      <c r="O1156" t="n">
        <v>0</v>
      </c>
      <c r="P1156" t="n">
        <v>0</v>
      </c>
      <c r="Q1156" t="n">
        <v>0</v>
      </c>
      <c r="R1156" s="2" t="inlineStr"/>
    </row>
    <row r="1157" ht="15" customHeight="1">
      <c r="A1157" t="inlineStr">
        <is>
          <t>A 72137-2021</t>
        </is>
      </c>
      <c r="B1157" s="1" t="n">
        <v>44544.59994212963</v>
      </c>
      <c r="C1157" s="1" t="n">
        <v>45952</v>
      </c>
      <c r="D1157" t="inlineStr">
        <is>
          <t>VÄSTRA GÖTALANDS LÄN</t>
        </is>
      </c>
      <c r="E1157" t="inlineStr">
        <is>
          <t>BORÅS</t>
        </is>
      </c>
      <c r="G1157" t="n">
        <v>0.5</v>
      </c>
      <c r="H1157" t="n">
        <v>0</v>
      </c>
      <c r="I1157" t="n">
        <v>0</v>
      </c>
      <c r="J1157" t="n">
        <v>0</v>
      </c>
      <c r="K1157" t="n">
        <v>0</v>
      </c>
      <c r="L1157" t="n">
        <v>0</v>
      </c>
      <c r="M1157" t="n">
        <v>0</v>
      </c>
      <c r="N1157" t="n">
        <v>0</v>
      </c>
      <c r="O1157" t="n">
        <v>0</v>
      </c>
      <c r="P1157" t="n">
        <v>0</v>
      </c>
      <c r="Q1157" t="n">
        <v>0</v>
      </c>
      <c r="R1157" s="2" t="inlineStr"/>
    </row>
    <row r="1158" ht="15" customHeight="1">
      <c r="A1158" t="inlineStr">
        <is>
          <t>A 15009-2021</t>
        </is>
      </c>
      <c r="B1158" s="1" t="n">
        <v>44281.5744212963</v>
      </c>
      <c r="C1158" s="1" t="n">
        <v>45952</v>
      </c>
      <c r="D1158" t="inlineStr">
        <is>
          <t>VÄSTRA GÖTALANDS LÄN</t>
        </is>
      </c>
      <c r="E1158" t="inlineStr">
        <is>
          <t>DALS-ED</t>
        </is>
      </c>
      <c r="F1158" t="inlineStr">
        <is>
          <t>Övriga Aktiebolag</t>
        </is>
      </c>
      <c r="G1158" t="n">
        <v>1.6</v>
      </c>
      <c r="H1158" t="n">
        <v>0</v>
      </c>
      <c r="I1158" t="n">
        <v>0</v>
      </c>
      <c r="J1158" t="n">
        <v>0</v>
      </c>
      <c r="K1158" t="n">
        <v>0</v>
      </c>
      <c r="L1158" t="n">
        <v>0</v>
      </c>
      <c r="M1158" t="n">
        <v>0</v>
      </c>
      <c r="N1158" t="n">
        <v>0</v>
      </c>
      <c r="O1158" t="n">
        <v>0</v>
      </c>
      <c r="P1158" t="n">
        <v>0</v>
      </c>
      <c r="Q1158" t="n">
        <v>0</v>
      </c>
      <c r="R1158" s="2" t="inlineStr"/>
    </row>
    <row r="1159" ht="15" customHeight="1">
      <c r="A1159" t="inlineStr">
        <is>
          <t>A 22704-2022</t>
        </is>
      </c>
      <c r="B1159" s="1" t="n">
        <v>44714.57858796296</v>
      </c>
      <c r="C1159" s="1" t="n">
        <v>45952</v>
      </c>
      <c r="D1159" t="inlineStr">
        <is>
          <t>VÄSTRA GÖTALANDS LÄN</t>
        </is>
      </c>
      <c r="E1159" t="inlineStr">
        <is>
          <t>BENGTSFORS</t>
        </is>
      </c>
      <c r="G1159" t="n">
        <v>0.5</v>
      </c>
      <c r="H1159" t="n">
        <v>0</v>
      </c>
      <c r="I1159" t="n">
        <v>0</v>
      </c>
      <c r="J1159" t="n">
        <v>0</v>
      </c>
      <c r="K1159" t="n">
        <v>0</v>
      </c>
      <c r="L1159" t="n">
        <v>0</v>
      </c>
      <c r="M1159" t="n">
        <v>0</v>
      </c>
      <c r="N1159" t="n">
        <v>0</v>
      </c>
      <c r="O1159" t="n">
        <v>0</v>
      </c>
      <c r="P1159" t="n">
        <v>0</v>
      </c>
      <c r="Q1159" t="n">
        <v>0</v>
      </c>
      <c r="R1159" s="2" t="inlineStr"/>
    </row>
    <row r="1160" ht="15" customHeight="1">
      <c r="A1160" t="inlineStr">
        <is>
          <t>A 4706-2021</t>
        </is>
      </c>
      <c r="B1160" s="1" t="n">
        <v>44225.30083333333</v>
      </c>
      <c r="C1160" s="1" t="n">
        <v>45952</v>
      </c>
      <c r="D1160" t="inlineStr">
        <is>
          <t>VÄSTRA GÖTALANDS LÄN</t>
        </is>
      </c>
      <c r="E1160" t="inlineStr">
        <is>
          <t>HERRLJUNGA</t>
        </is>
      </c>
      <c r="G1160" t="n">
        <v>4.8</v>
      </c>
      <c r="H1160" t="n">
        <v>0</v>
      </c>
      <c r="I1160" t="n">
        <v>0</v>
      </c>
      <c r="J1160" t="n">
        <v>0</v>
      </c>
      <c r="K1160" t="n">
        <v>0</v>
      </c>
      <c r="L1160" t="n">
        <v>0</v>
      </c>
      <c r="M1160" t="n">
        <v>0</v>
      </c>
      <c r="N1160" t="n">
        <v>0</v>
      </c>
      <c r="O1160" t="n">
        <v>0</v>
      </c>
      <c r="P1160" t="n">
        <v>0</v>
      </c>
      <c r="Q1160" t="n">
        <v>0</v>
      </c>
      <c r="R1160" s="2" t="inlineStr"/>
    </row>
    <row r="1161" ht="15" customHeight="1">
      <c r="A1161" t="inlineStr">
        <is>
          <t>A 53893-2022</t>
        </is>
      </c>
      <c r="B1161" s="1" t="n">
        <v>44880.71259259259</v>
      </c>
      <c r="C1161" s="1" t="n">
        <v>45952</v>
      </c>
      <c r="D1161" t="inlineStr">
        <is>
          <t>VÄSTRA GÖTALANDS LÄN</t>
        </is>
      </c>
      <c r="E1161" t="inlineStr">
        <is>
          <t>SVENLJUNGA</t>
        </is>
      </c>
      <c r="G1161" t="n">
        <v>0.9</v>
      </c>
      <c r="H1161" t="n">
        <v>0</v>
      </c>
      <c r="I1161" t="n">
        <v>0</v>
      </c>
      <c r="J1161" t="n">
        <v>0</v>
      </c>
      <c r="K1161" t="n">
        <v>0</v>
      </c>
      <c r="L1161" t="n">
        <v>0</v>
      </c>
      <c r="M1161" t="n">
        <v>0</v>
      </c>
      <c r="N1161" t="n">
        <v>0</v>
      </c>
      <c r="O1161" t="n">
        <v>0</v>
      </c>
      <c r="P1161" t="n">
        <v>0</v>
      </c>
      <c r="Q1161" t="n">
        <v>0</v>
      </c>
      <c r="R1161" s="2" t="inlineStr"/>
    </row>
    <row r="1162" ht="15" customHeight="1">
      <c r="A1162" t="inlineStr">
        <is>
          <t>A 34906-2022</t>
        </is>
      </c>
      <c r="B1162" s="1" t="n">
        <v>44796.56913194444</v>
      </c>
      <c r="C1162" s="1" t="n">
        <v>45952</v>
      </c>
      <c r="D1162" t="inlineStr">
        <is>
          <t>VÄSTRA GÖTALANDS LÄN</t>
        </is>
      </c>
      <c r="E1162" t="inlineStr">
        <is>
          <t>VARA</t>
        </is>
      </c>
      <c r="G1162" t="n">
        <v>0.9</v>
      </c>
      <c r="H1162" t="n">
        <v>0</v>
      </c>
      <c r="I1162" t="n">
        <v>0</v>
      </c>
      <c r="J1162" t="n">
        <v>0</v>
      </c>
      <c r="K1162" t="n">
        <v>0</v>
      </c>
      <c r="L1162" t="n">
        <v>0</v>
      </c>
      <c r="M1162" t="n">
        <v>0</v>
      </c>
      <c r="N1162" t="n">
        <v>0</v>
      </c>
      <c r="O1162" t="n">
        <v>0</v>
      </c>
      <c r="P1162" t="n">
        <v>0</v>
      </c>
      <c r="Q1162" t="n">
        <v>0</v>
      </c>
      <c r="R1162" s="2" t="inlineStr"/>
    </row>
    <row r="1163" ht="15" customHeight="1">
      <c r="A1163" t="inlineStr">
        <is>
          <t>A 40283-2021</t>
        </is>
      </c>
      <c r="B1163" s="1" t="n">
        <v>44419.44546296296</v>
      </c>
      <c r="C1163" s="1" t="n">
        <v>45952</v>
      </c>
      <c r="D1163" t="inlineStr">
        <is>
          <t>VÄSTRA GÖTALANDS LÄN</t>
        </is>
      </c>
      <c r="E1163" t="inlineStr">
        <is>
          <t>SVENLJUNGA</t>
        </is>
      </c>
      <c r="G1163" t="n">
        <v>6.2</v>
      </c>
      <c r="H1163" t="n">
        <v>0</v>
      </c>
      <c r="I1163" t="n">
        <v>0</v>
      </c>
      <c r="J1163" t="n">
        <v>0</v>
      </c>
      <c r="K1163" t="n">
        <v>0</v>
      </c>
      <c r="L1163" t="n">
        <v>0</v>
      </c>
      <c r="M1163" t="n">
        <v>0</v>
      </c>
      <c r="N1163" t="n">
        <v>0</v>
      </c>
      <c r="O1163" t="n">
        <v>0</v>
      </c>
      <c r="P1163" t="n">
        <v>0</v>
      </c>
      <c r="Q1163" t="n">
        <v>0</v>
      </c>
      <c r="R1163" s="2" t="inlineStr"/>
    </row>
    <row r="1164" ht="15" customHeight="1">
      <c r="A1164" t="inlineStr">
        <is>
          <t>A 31984-2021</t>
        </is>
      </c>
      <c r="B1164" s="1" t="n">
        <v>44370</v>
      </c>
      <c r="C1164" s="1" t="n">
        <v>45952</v>
      </c>
      <c r="D1164" t="inlineStr">
        <is>
          <t>VÄSTRA GÖTALANDS LÄN</t>
        </is>
      </c>
      <c r="E1164" t="inlineStr">
        <is>
          <t>SKARA</t>
        </is>
      </c>
      <c r="G1164" t="n">
        <v>4.5</v>
      </c>
      <c r="H1164" t="n">
        <v>0</v>
      </c>
      <c r="I1164" t="n">
        <v>0</v>
      </c>
      <c r="J1164" t="n">
        <v>0</v>
      </c>
      <c r="K1164" t="n">
        <v>0</v>
      </c>
      <c r="L1164" t="n">
        <v>0</v>
      </c>
      <c r="M1164" t="n">
        <v>0</v>
      </c>
      <c r="N1164" t="n">
        <v>0</v>
      </c>
      <c r="O1164" t="n">
        <v>0</v>
      </c>
      <c r="P1164" t="n">
        <v>0</v>
      </c>
      <c r="Q1164" t="n">
        <v>0</v>
      </c>
      <c r="R1164" s="2" t="inlineStr"/>
    </row>
    <row r="1165" ht="15" customHeight="1">
      <c r="A1165" t="inlineStr">
        <is>
          <t>A 20270-2021</t>
        </is>
      </c>
      <c r="B1165" s="1" t="n">
        <v>44314</v>
      </c>
      <c r="C1165" s="1" t="n">
        <v>45952</v>
      </c>
      <c r="D1165" t="inlineStr">
        <is>
          <t>VÄSTRA GÖTALANDS LÄN</t>
        </is>
      </c>
      <c r="E1165" t="inlineStr">
        <is>
          <t>VÅRGÅRDA</t>
        </is>
      </c>
      <c r="F1165" t="inlineStr">
        <is>
          <t>Kyrkan</t>
        </is>
      </c>
      <c r="G1165" t="n">
        <v>4.2</v>
      </c>
      <c r="H1165" t="n">
        <v>0</v>
      </c>
      <c r="I1165" t="n">
        <v>0</v>
      </c>
      <c r="J1165" t="n">
        <v>0</v>
      </c>
      <c r="K1165" t="n">
        <v>0</v>
      </c>
      <c r="L1165" t="n">
        <v>0</v>
      </c>
      <c r="M1165" t="n">
        <v>0</v>
      </c>
      <c r="N1165" t="n">
        <v>0</v>
      </c>
      <c r="O1165" t="n">
        <v>0</v>
      </c>
      <c r="P1165" t="n">
        <v>0</v>
      </c>
      <c r="Q1165" t="n">
        <v>0</v>
      </c>
      <c r="R1165" s="2" t="inlineStr"/>
    </row>
    <row r="1166" ht="15" customHeight="1">
      <c r="A1166" t="inlineStr">
        <is>
          <t>A 21080-2021</t>
        </is>
      </c>
      <c r="B1166" s="1" t="n">
        <v>44319</v>
      </c>
      <c r="C1166" s="1" t="n">
        <v>45952</v>
      </c>
      <c r="D1166" t="inlineStr">
        <is>
          <t>VÄSTRA GÖTALANDS LÄN</t>
        </is>
      </c>
      <c r="E1166" t="inlineStr">
        <is>
          <t>TROLLHÄTTAN</t>
        </is>
      </c>
      <c r="G1166" t="n">
        <v>1.1</v>
      </c>
      <c r="H1166" t="n">
        <v>0</v>
      </c>
      <c r="I1166" t="n">
        <v>0</v>
      </c>
      <c r="J1166" t="n">
        <v>0</v>
      </c>
      <c r="K1166" t="n">
        <v>0</v>
      </c>
      <c r="L1166" t="n">
        <v>0</v>
      </c>
      <c r="M1166" t="n">
        <v>0</v>
      </c>
      <c r="N1166" t="n">
        <v>0</v>
      </c>
      <c r="O1166" t="n">
        <v>0</v>
      </c>
      <c r="P1166" t="n">
        <v>0</v>
      </c>
      <c r="Q1166" t="n">
        <v>0</v>
      </c>
      <c r="R1166" s="2" t="inlineStr"/>
    </row>
    <row r="1167" ht="15" customHeight="1">
      <c r="A1167" t="inlineStr">
        <is>
          <t>A 12978-2021</t>
        </is>
      </c>
      <c r="B1167" s="1" t="n">
        <v>44271</v>
      </c>
      <c r="C1167" s="1" t="n">
        <v>45952</v>
      </c>
      <c r="D1167" t="inlineStr">
        <is>
          <t>VÄSTRA GÖTALANDS LÄN</t>
        </is>
      </c>
      <c r="E1167" t="inlineStr">
        <is>
          <t>LERUM</t>
        </is>
      </c>
      <c r="G1167" t="n">
        <v>7.7</v>
      </c>
      <c r="H1167" t="n">
        <v>0</v>
      </c>
      <c r="I1167" t="n">
        <v>0</v>
      </c>
      <c r="J1167" t="n">
        <v>0</v>
      </c>
      <c r="K1167" t="n">
        <v>0</v>
      </c>
      <c r="L1167" t="n">
        <v>0</v>
      </c>
      <c r="M1167" t="n">
        <v>0</v>
      </c>
      <c r="N1167" t="n">
        <v>0</v>
      </c>
      <c r="O1167" t="n">
        <v>0</v>
      </c>
      <c r="P1167" t="n">
        <v>0</v>
      </c>
      <c r="Q1167" t="n">
        <v>0</v>
      </c>
      <c r="R1167" s="2" t="inlineStr"/>
    </row>
    <row r="1168" ht="15" customHeight="1">
      <c r="A1168" t="inlineStr">
        <is>
          <t>A 28407-2021</t>
        </is>
      </c>
      <c r="B1168" s="1" t="n">
        <v>44356</v>
      </c>
      <c r="C1168" s="1" t="n">
        <v>45952</v>
      </c>
      <c r="D1168" t="inlineStr">
        <is>
          <t>VÄSTRA GÖTALANDS LÄN</t>
        </is>
      </c>
      <c r="E1168" t="inlineStr">
        <is>
          <t>MARIESTAD</t>
        </is>
      </c>
      <c r="G1168" t="n">
        <v>2.3</v>
      </c>
      <c r="H1168" t="n">
        <v>0</v>
      </c>
      <c r="I1168" t="n">
        <v>0</v>
      </c>
      <c r="J1168" t="n">
        <v>0</v>
      </c>
      <c r="K1168" t="n">
        <v>0</v>
      </c>
      <c r="L1168" t="n">
        <v>0</v>
      </c>
      <c r="M1168" t="n">
        <v>0</v>
      </c>
      <c r="N1168" t="n">
        <v>0</v>
      </c>
      <c r="O1168" t="n">
        <v>0</v>
      </c>
      <c r="P1168" t="n">
        <v>0</v>
      </c>
      <c r="Q1168" t="n">
        <v>0</v>
      </c>
      <c r="R1168" s="2" t="inlineStr"/>
    </row>
    <row r="1169" ht="15" customHeight="1">
      <c r="A1169" t="inlineStr">
        <is>
          <t>A 36685-2021</t>
        </is>
      </c>
      <c r="B1169" s="1" t="n">
        <v>44392</v>
      </c>
      <c r="C1169" s="1" t="n">
        <v>45952</v>
      </c>
      <c r="D1169" t="inlineStr">
        <is>
          <t>VÄSTRA GÖTALANDS LÄN</t>
        </is>
      </c>
      <c r="E1169" t="inlineStr">
        <is>
          <t>TIDAHOLM</t>
        </is>
      </c>
      <c r="G1169" t="n">
        <v>4.8</v>
      </c>
      <c r="H1169" t="n">
        <v>0</v>
      </c>
      <c r="I1169" t="n">
        <v>0</v>
      </c>
      <c r="J1169" t="n">
        <v>0</v>
      </c>
      <c r="K1169" t="n">
        <v>0</v>
      </c>
      <c r="L1169" t="n">
        <v>0</v>
      </c>
      <c r="M1169" t="n">
        <v>0</v>
      </c>
      <c r="N1169" t="n">
        <v>0</v>
      </c>
      <c r="O1169" t="n">
        <v>0</v>
      </c>
      <c r="P1169" t="n">
        <v>0</v>
      </c>
      <c r="Q1169" t="n">
        <v>0</v>
      </c>
      <c r="R1169" s="2" t="inlineStr"/>
    </row>
    <row r="1170" ht="15" customHeight="1">
      <c r="A1170" t="inlineStr">
        <is>
          <t>A 66560-2020</t>
        </is>
      </c>
      <c r="B1170" s="1" t="n">
        <v>44179</v>
      </c>
      <c r="C1170" s="1" t="n">
        <v>45952</v>
      </c>
      <c r="D1170" t="inlineStr">
        <is>
          <t>VÄSTRA GÖTALANDS LÄN</t>
        </is>
      </c>
      <c r="E1170" t="inlineStr">
        <is>
          <t>BORÅS</t>
        </is>
      </c>
      <c r="G1170" t="n">
        <v>5</v>
      </c>
      <c r="H1170" t="n">
        <v>0</v>
      </c>
      <c r="I1170" t="n">
        <v>0</v>
      </c>
      <c r="J1170" t="n">
        <v>0</v>
      </c>
      <c r="K1170" t="n">
        <v>0</v>
      </c>
      <c r="L1170" t="n">
        <v>0</v>
      </c>
      <c r="M1170" t="n">
        <v>0</v>
      </c>
      <c r="N1170" t="n">
        <v>0</v>
      </c>
      <c r="O1170" t="n">
        <v>0</v>
      </c>
      <c r="P1170" t="n">
        <v>0</v>
      </c>
      <c r="Q1170" t="n">
        <v>0</v>
      </c>
      <c r="R1170" s="2" t="inlineStr"/>
    </row>
    <row r="1171" ht="15" customHeight="1">
      <c r="A1171" t="inlineStr">
        <is>
          <t>A 66569-2020</t>
        </is>
      </c>
      <c r="B1171" s="1" t="n">
        <v>44179</v>
      </c>
      <c r="C1171" s="1" t="n">
        <v>45952</v>
      </c>
      <c r="D1171" t="inlineStr">
        <is>
          <t>VÄSTRA GÖTALANDS LÄN</t>
        </is>
      </c>
      <c r="E1171" t="inlineStr">
        <is>
          <t>BENGTSFORS</t>
        </is>
      </c>
      <c r="G1171" t="n">
        <v>1.9</v>
      </c>
      <c r="H1171" t="n">
        <v>0</v>
      </c>
      <c r="I1171" t="n">
        <v>0</v>
      </c>
      <c r="J1171" t="n">
        <v>0</v>
      </c>
      <c r="K1171" t="n">
        <v>0</v>
      </c>
      <c r="L1171" t="n">
        <v>0</v>
      </c>
      <c r="M1171" t="n">
        <v>0</v>
      </c>
      <c r="N1171" t="n">
        <v>0</v>
      </c>
      <c r="O1171" t="n">
        <v>0</v>
      </c>
      <c r="P1171" t="n">
        <v>0</v>
      </c>
      <c r="Q1171" t="n">
        <v>0</v>
      </c>
      <c r="R1171" s="2" t="inlineStr"/>
    </row>
    <row r="1172" ht="15" customHeight="1">
      <c r="A1172" t="inlineStr">
        <is>
          <t>A 62950-2020</t>
        </is>
      </c>
      <c r="B1172" s="1" t="n">
        <v>44161</v>
      </c>
      <c r="C1172" s="1" t="n">
        <v>45952</v>
      </c>
      <c r="D1172" t="inlineStr">
        <is>
          <t>VÄSTRA GÖTALANDS LÄN</t>
        </is>
      </c>
      <c r="E1172" t="inlineStr">
        <is>
          <t>MARIESTAD</t>
        </is>
      </c>
      <c r="G1172" t="n">
        <v>2.2</v>
      </c>
      <c r="H1172" t="n">
        <v>0</v>
      </c>
      <c r="I1172" t="n">
        <v>0</v>
      </c>
      <c r="J1172" t="n">
        <v>0</v>
      </c>
      <c r="K1172" t="n">
        <v>0</v>
      </c>
      <c r="L1172" t="n">
        <v>0</v>
      </c>
      <c r="M1172" t="n">
        <v>0</v>
      </c>
      <c r="N1172" t="n">
        <v>0</v>
      </c>
      <c r="O1172" t="n">
        <v>0</v>
      </c>
      <c r="P1172" t="n">
        <v>0</v>
      </c>
      <c r="Q1172" t="n">
        <v>0</v>
      </c>
      <c r="R1172" s="2" t="inlineStr"/>
    </row>
    <row r="1173" ht="15" customHeight="1">
      <c r="A1173" t="inlineStr">
        <is>
          <t>A 37242-2021</t>
        </is>
      </c>
      <c r="B1173" s="1" t="n">
        <v>44396</v>
      </c>
      <c r="C1173" s="1" t="n">
        <v>45952</v>
      </c>
      <c r="D1173" t="inlineStr">
        <is>
          <t>VÄSTRA GÖTALANDS LÄN</t>
        </is>
      </c>
      <c r="E1173" t="inlineStr">
        <is>
          <t>TIBRO</t>
        </is>
      </c>
      <c r="G1173" t="n">
        <v>10.3</v>
      </c>
      <c r="H1173" t="n">
        <v>0</v>
      </c>
      <c r="I1173" t="n">
        <v>0</v>
      </c>
      <c r="J1173" t="n">
        <v>0</v>
      </c>
      <c r="K1173" t="n">
        <v>0</v>
      </c>
      <c r="L1173" t="n">
        <v>0</v>
      </c>
      <c r="M1173" t="n">
        <v>0</v>
      </c>
      <c r="N1173" t="n">
        <v>0</v>
      </c>
      <c r="O1173" t="n">
        <v>0</v>
      </c>
      <c r="P1173" t="n">
        <v>0</v>
      </c>
      <c r="Q1173" t="n">
        <v>0</v>
      </c>
      <c r="R1173" s="2" t="inlineStr"/>
    </row>
    <row r="1174" ht="15" customHeight="1">
      <c r="A1174" t="inlineStr">
        <is>
          <t>A 37243-2021</t>
        </is>
      </c>
      <c r="B1174" s="1" t="n">
        <v>44396</v>
      </c>
      <c r="C1174" s="1" t="n">
        <v>45952</v>
      </c>
      <c r="D1174" t="inlineStr">
        <is>
          <t>VÄSTRA GÖTALANDS LÄN</t>
        </is>
      </c>
      <c r="E1174" t="inlineStr">
        <is>
          <t>TIBRO</t>
        </is>
      </c>
      <c r="G1174" t="n">
        <v>4.9</v>
      </c>
      <c r="H1174" t="n">
        <v>0</v>
      </c>
      <c r="I1174" t="n">
        <v>0</v>
      </c>
      <c r="J1174" t="n">
        <v>0</v>
      </c>
      <c r="K1174" t="n">
        <v>0</v>
      </c>
      <c r="L1174" t="n">
        <v>0</v>
      </c>
      <c r="M1174" t="n">
        <v>0</v>
      </c>
      <c r="N1174" t="n">
        <v>0</v>
      </c>
      <c r="O1174" t="n">
        <v>0</v>
      </c>
      <c r="P1174" t="n">
        <v>0</v>
      </c>
      <c r="Q1174" t="n">
        <v>0</v>
      </c>
      <c r="R1174" s="2" t="inlineStr"/>
    </row>
    <row r="1175" ht="15" customHeight="1">
      <c r="A1175" t="inlineStr">
        <is>
          <t>A 46629-2021</t>
        </is>
      </c>
      <c r="B1175" s="1" t="n">
        <v>44445</v>
      </c>
      <c r="C1175" s="1" t="n">
        <v>45952</v>
      </c>
      <c r="D1175" t="inlineStr">
        <is>
          <t>VÄSTRA GÖTALANDS LÄN</t>
        </is>
      </c>
      <c r="E1175" t="inlineStr">
        <is>
          <t>ORUST</t>
        </is>
      </c>
      <c r="G1175" t="n">
        <v>2.4</v>
      </c>
      <c r="H1175" t="n">
        <v>0</v>
      </c>
      <c r="I1175" t="n">
        <v>0</v>
      </c>
      <c r="J1175" t="n">
        <v>0</v>
      </c>
      <c r="K1175" t="n">
        <v>0</v>
      </c>
      <c r="L1175" t="n">
        <v>0</v>
      </c>
      <c r="M1175" t="n">
        <v>0</v>
      </c>
      <c r="N1175" t="n">
        <v>0</v>
      </c>
      <c r="O1175" t="n">
        <v>0</v>
      </c>
      <c r="P1175" t="n">
        <v>0</v>
      </c>
      <c r="Q1175" t="n">
        <v>0</v>
      </c>
      <c r="R1175" s="2" t="inlineStr"/>
    </row>
    <row r="1176" ht="15" customHeight="1">
      <c r="A1176" t="inlineStr">
        <is>
          <t>A 46649-2021</t>
        </is>
      </c>
      <c r="B1176" s="1" t="n">
        <v>44445</v>
      </c>
      <c r="C1176" s="1" t="n">
        <v>45952</v>
      </c>
      <c r="D1176" t="inlineStr">
        <is>
          <t>VÄSTRA GÖTALANDS LÄN</t>
        </is>
      </c>
      <c r="E1176" t="inlineStr">
        <is>
          <t>SKÖVDE</t>
        </is>
      </c>
      <c r="G1176" t="n">
        <v>2</v>
      </c>
      <c r="H1176" t="n">
        <v>0</v>
      </c>
      <c r="I1176" t="n">
        <v>0</v>
      </c>
      <c r="J1176" t="n">
        <v>0</v>
      </c>
      <c r="K1176" t="n">
        <v>0</v>
      </c>
      <c r="L1176" t="n">
        <v>0</v>
      </c>
      <c r="M1176" t="n">
        <v>0</v>
      </c>
      <c r="N1176" t="n">
        <v>0</v>
      </c>
      <c r="O1176" t="n">
        <v>0</v>
      </c>
      <c r="P1176" t="n">
        <v>0</v>
      </c>
      <c r="Q1176" t="n">
        <v>0</v>
      </c>
      <c r="R1176" s="2" t="inlineStr"/>
    </row>
    <row r="1177" ht="15" customHeight="1">
      <c r="A1177" t="inlineStr">
        <is>
          <t>A 45833-2021</t>
        </is>
      </c>
      <c r="B1177" s="1" t="n">
        <v>44441</v>
      </c>
      <c r="C1177" s="1" t="n">
        <v>45952</v>
      </c>
      <c r="D1177" t="inlineStr">
        <is>
          <t>VÄSTRA GÖTALANDS LÄN</t>
        </is>
      </c>
      <c r="E1177" t="inlineStr">
        <is>
          <t>HERRLJUNGA</t>
        </is>
      </c>
      <c r="G1177" t="n">
        <v>1.1</v>
      </c>
      <c r="H1177" t="n">
        <v>0</v>
      </c>
      <c r="I1177" t="n">
        <v>0</v>
      </c>
      <c r="J1177" t="n">
        <v>0</v>
      </c>
      <c r="K1177" t="n">
        <v>0</v>
      </c>
      <c r="L1177" t="n">
        <v>0</v>
      </c>
      <c r="M1177" t="n">
        <v>0</v>
      </c>
      <c r="N1177" t="n">
        <v>0</v>
      </c>
      <c r="O1177" t="n">
        <v>0</v>
      </c>
      <c r="P1177" t="n">
        <v>0</v>
      </c>
      <c r="Q1177" t="n">
        <v>0</v>
      </c>
      <c r="R1177" s="2" t="inlineStr"/>
    </row>
    <row r="1178" ht="15" customHeight="1">
      <c r="A1178" t="inlineStr">
        <is>
          <t>A 13357-2022</t>
        </is>
      </c>
      <c r="B1178" s="1" t="n">
        <v>44645</v>
      </c>
      <c r="C1178" s="1" t="n">
        <v>45952</v>
      </c>
      <c r="D1178" t="inlineStr">
        <is>
          <t>VÄSTRA GÖTALANDS LÄN</t>
        </is>
      </c>
      <c r="E1178" t="inlineStr">
        <is>
          <t>GÖTENE</t>
        </is>
      </c>
      <c r="G1178" t="n">
        <v>0.7</v>
      </c>
      <c r="H1178" t="n">
        <v>0</v>
      </c>
      <c r="I1178" t="n">
        <v>0</v>
      </c>
      <c r="J1178" t="n">
        <v>0</v>
      </c>
      <c r="K1178" t="n">
        <v>0</v>
      </c>
      <c r="L1178" t="n">
        <v>0</v>
      </c>
      <c r="M1178" t="n">
        <v>0</v>
      </c>
      <c r="N1178" t="n">
        <v>0</v>
      </c>
      <c r="O1178" t="n">
        <v>0</v>
      </c>
      <c r="P1178" t="n">
        <v>0</v>
      </c>
      <c r="Q1178" t="n">
        <v>0</v>
      </c>
      <c r="R1178" s="2" t="inlineStr"/>
    </row>
    <row r="1179" ht="15" customHeight="1">
      <c r="A1179" t="inlineStr">
        <is>
          <t>A 20631-2021</t>
        </is>
      </c>
      <c r="B1179" s="1" t="n">
        <v>44316.39745370371</v>
      </c>
      <c r="C1179" s="1" t="n">
        <v>45952</v>
      </c>
      <c r="D1179" t="inlineStr">
        <is>
          <t>VÄSTRA GÖTALANDS LÄN</t>
        </is>
      </c>
      <c r="E1179" t="inlineStr">
        <is>
          <t>VÅRGÅRDA</t>
        </is>
      </c>
      <c r="G1179" t="n">
        <v>3.4</v>
      </c>
      <c r="H1179" t="n">
        <v>0</v>
      </c>
      <c r="I1179" t="n">
        <v>0</v>
      </c>
      <c r="J1179" t="n">
        <v>0</v>
      </c>
      <c r="K1179" t="n">
        <v>0</v>
      </c>
      <c r="L1179" t="n">
        <v>0</v>
      </c>
      <c r="M1179" t="n">
        <v>0</v>
      </c>
      <c r="N1179" t="n">
        <v>0</v>
      </c>
      <c r="O1179" t="n">
        <v>0</v>
      </c>
      <c r="P1179" t="n">
        <v>0</v>
      </c>
      <c r="Q1179" t="n">
        <v>0</v>
      </c>
      <c r="R1179" s="2" t="inlineStr"/>
    </row>
    <row r="1180" ht="15" customHeight="1">
      <c r="A1180" t="inlineStr">
        <is>
          <t>A 9153-2022</t>
        </is>
      </c>
      <c r="B1180" s="1" t="n">
        <v>44615.63362268519</v>
      </c>
      <c r="C1180" s="1" t="n">
        <v>45952</v>
      </c>
      <c r="D1180" t="inlineStr">
        <is>
          <t>VÄSTRA GÖTALANDS LÄN</t>
        </is>
      </c>
      <c r="E1180" t="inlineStr">
        <is>
          <t>DALS-ED</t>
        </is>
      </c>
      <c r="G1180" t="n">
        <v>0.8</v>
      </c>
      <c r="H1180" t="n">
        <v>0</v>
      </c>
      <c r="I1180" t="n">
        <v>0</v>
      </c>
      <c r="J1180" t="n">
        <v>0</v>
      </c>
      <c r="K1180" t="n">
        <v>0</v>
      </c>
      <c r="L1180" t="n">
        <v>0</v>
      </c>
      <c r="M1180" t="n">
        <v>0</v>
      </c>
      <c r="N1180" t="n">
        <v>0</v>
      </c>
      <c r="O1180" t="n">
        <v>0</v>
      </c>
      <c r="P1180" t="n">
        <v>0</v>
      </c>
      <c r="Q1180" t="n">
        <v>0</v>
      </c>
      <c r="R1180" s="2" t="inlineStr"/>
    </row>
    <row r="1181" ht="15" customHeight="1">
      <c r="A1181" t="inlineStr">
        <is>
          <t>A 17967-2022</t>
        </is>
      </c>
      <c r="B1181" s="1" t="n">
        <v>44683</v>
      </c>
      <c r="C1181" s="1" t="n">
        <v>45952</v>
      </c>
      <c r="D1181" t="inlineStr">
        <is>
          <t>VÄSTRA GÖTALANDS LÄN</t>
        </is>
      </c>
      <c r="E1181" t="inlineStr">
        <is>
          <t>MUNKEDAL</t>
        </is>
      </c>
      <c r="G1181" t="n">
        <v>0.6</v>
      </c>
      <c r="H1181" t="n">
        <v>0</v>
      </c>
      <c r="I1181" t="n">
        <v>0</v>
      </c>
      <c r="J1181" t="n">
        <v>0</v>
      </c>
      <c r="K1181" t="n">
        <v>0</v>
      </c>
      <c r="L1181" t="n">
        <v>0</v>
      </c>
      <c r="M1181" t="n">
        <v>0</v>
      </c>
      <c r="N1181" t="n">
        <v>0</v>
      </c>
      <c r="O1181" t="n">
        <v>0</v>
      </c>
      <c r="P1181" t="n">
        <v>0</v>
      </c>
      <c r="Q1181" t="n">
        <v>0</v>
      </c>
      <c r="R1181" s="2" t="inlineStr"/>
    </row>
    <row r="1182" ht="15" customHeight="1">
      <c r="A1182" t="inlineStr">
        <is>
          <t>A 60209-2020</t>
        </is>
      </c>
      <c r="B1182" s="1" t="n">
        <v>44152</v>
      </c>
      <c r="C1182" s="1" t="n">
        <v>45952</v>
      </c>
      <c r="D1182" t="inlineStr">
        <is>
          <t>VÄSTRA GÖTALANDS LÄN</t>
        </is>
      </c>
      <c r="E1182" t="inlineStr">
        <is>
          <t>MUNKEDAL</t>
        </is>
      </c>
      <c r="G1182" t="n">
        <v>1.5</v>
      </c>
      <c r="H1182" t="n">
        <v>0</v>
      </c>
      <c r="I1182" t="n">
        <v>0</v>
      </c>
      <c r="J1182" t="n">
        <v>0</v>
      </c>
      <c r="K1182" t="n">
        <v>0</v>
      </c>
      <c r="L1182" t="n">
        <v>0</v>
      </c>
      <c r="M1182" t="n">
        <v>0</v>
      </c>
      <c r="N1182" t="n">
        <v>0</v>
      </c>
      <c r="O1182" t="n">
        <v>0</v>
      </c>
      <c r="P1182" t="n">
        <v>0</v>
      </c>
      <c r="Q1182" t="n">
        <v>0</v>
      </c>
      <c r="R1182" s="2" t="inlineStr"/>
    </row>
    <row r="1183" ht="15" customHeight="1">
      <c r="A1183" t="inlineStr">
        <is>
          <t>A 28213-2021</t>
        </is>
      </c>
      <c r="B1183" s="1" t="n">
        <v>44355.64831018518</v>
      </c>
      <c r="C1183" s="1" t="n">
        <v>45952</v>
      </c>
      <c r="D1183" t="inlineStr">
        <is>
          <t>VÄSTRA GÖTALANDS LÄN</t>
        </is>
      </c>
      <c r="E1183" t="inlineStr">
        <is>
          <t>BORÅS</t>
        </is>
      </c>
      <c r="F1183" t="inlineStr">
        <is>
          <t>Kommuner</t>
        </is>
      </c>
      <c r="G1183" t="n">
        <v>1</v>
      </c>
      <c r="H1183" t="n">
        <v>0</v>
      </c>
      <c r="I1183" t="n">
        <v>0</v>
      </c>
      <c r="J1183" t="n">
        <v>0</v>
      </c>
      <c r="K1183" t="n">
        <v>0</v>
      </c>
      <c r="L1183" t="n">
        <v>0</v>
      </c>
      <c r="M1183" t="n">
        <v>0</v>
      </c>
      <c r="N1183" t="n">
        <v>0</v>
      </c>
      <c r="O1183" t="n">
        <v>0</v>
      </c>
      <c r="P1183" t="n">
        <v>0</v>
      </c>
      <c r="Q1183" t="n">
        <v>0</v>
      </c>
      <c r="R1183" s="2" t="inlineStr"/>
    </row>
    <row r="1184" ht="15" customHeight="1">
      <c r="A1184" t="inlineStr">
        <is>
          <t>A 23790-2021</t>
        </is>
      </c>
      <c r="B1184" s="1" t="n">
        <v>44334</v>
      </c>
      <c r="C1184" s="1" t="n">
        <v>45952</v>
      </c>
      <c r="D1184" t="inlineStr">
        <is>
          <t>VÄSTRA GÖTALANDS LÄN</t>
        </is>
      </c>
      <c r="E1184" t="inlineStr">
        <is>
          <t>TIBRO</t>
        </is>
      </c>
      <c r="G1184" t="n">
        <v>3</v>
      </c>
      <c r="H1184" t="n">
        <v>0</v>
      </c>
      <c r="I1184" t="n">
        <v>0</v>
      </c>
      <c r="J1184" t="n">
        <v>0</v>
      </c>
      <c r="K1184" t="n">
        <v>0</v>
      </c>
      <c r="L1184" t="n">
        <v>0</v>
      </c>
      <c r="M1184" t="n">
        <v>0</v>
      </c>
      <c r="N1184" t="n">
        <v>0</v>
      </c>
      <c r="O1184" t="n">
        <v>0</v>
      </c>
      <c r="P1184" t="n">
        <v>0</v>
      </c>
      <c r="Q1184" t="n">
        <v>0</v>
      </c>
      <c r="R1184" s="2" t="inlineStr"/>
    </row>
    <row r="1185" ht="15" customHeight="1">
      <c r="A1185" t="inlineStr">
        <is>
          <t>A 17058-2021</t>
        </is>
      </c>
      <c r="B1185" s="1" t="n">
        <v>44296</v>
      </c>
      <c r="C1185" s="1" t="n">
        <v>45952</v>
      </c>
      <c r="D1185" t="inlineStr">
        <is>
          <t>VÄSTRA GÖTALANDS LÄN</t>
        </is>
      </c>
      <c r="E1185" t="inlineStr">
        <is>
          <t>TRANEMO</t>
        </is>
      </c>
      <c r="G1185" t="n">
        <v>0.3</v>
      </c>
      <c r="H1185" t="n">
        <v>0</v>
      </c>
      <c r="I1185" t="n">
        <v>0</v>
      </c>
      <c r="J1185" t="n">
        <v>0</v>
      </c>
      <c r="K1185" t="n">
        <v>0</v>
      </c>
      <c r="L1185" t="n">
        <v>0</v>
      </c>
      <c r="M1185" t="n">
        <v>0</v>
      </c>
      <c r="N1185" t="n">
        <v>0</v>
      </c>
      <c r="O1185" t="n">
        <v>0</v>
      </c>
      <c r="P1185" t="n">
        <v>0</v>
      </c>
      <c r="Q1185" t="n">
        <v>0</v>
      </c>
      <c r="R1185" s="2" t="inlineStr"/>
    </row>
    <row r="1186" ht="15" customHeight="1">
      <c r="A1186" t="inlineStr">
        <is>
          <t>A 17063-2021</t>
        </is>
      </c>
      <c r="B1186" s="1" t="n">
        <v>44297</v>
      </c>
      <c r="C1186" s="1" t="n">
        <v>45952</v>
      </c>
      <c r="D1186" t="inlineStr">
        <is>
          <t>VÄSTRA GÖTALANDS LÄN</t>
        </is>
      </c>
      <c r="E1186" t="inlineStr">
        <is>
          <t>TIDAHOLM</t>
        </is>
      </c>
      <c r="F1186" t="inlineStr">
        <is>
          <t>Kyrkan</t>
        </is>
      </c>
      <c r="G1186" t="n">
        <v>3.6</v>
      </c>
      <c r="H1186" t="n">
        <v>0</v>
      </c>
      <c r="I1186" t="n">
        <v>0</v>
      </c>
      <c r="J1186" t="n">
        <v>0</v>
      </c>
      <c r="K1186" t="n">
        <v>0</v>
      </c>
      <c r="L1186" t="n">
        <v>0</v>
      </c>
      <c r="M1186" t="n">
        <v>0</v>
      </c>
      <c r="N1186" t="n">
        <v>0</v>
      </c>
      <c r="O1186" t="n">
        <v>0</v>
      </c>
      <c r="P1186" t="n">
        <v>0</v>
      </c>
      <c r="Q1186" t="n">
        <v>0</v>
      </c>
      <c r="R1186" s="2" t="inlineStr"/>
    </row>
    <row r="1187" ht="15" customHeight="1">
      <c r="A1187" t="inlineStr">
        <is>
          <t>A 46548-2021</t>
        </is>
      </c>
      <c r="B1187" s="1" t="n">
        <v>44445</v>
      </c>
      <c r="C1187" s="1" t="n">
        <v>45952</v>
      </c>
      <c r="D1187" t="inlineStr">
        <is>
          <t>VÄSTRA GÖTALANDS LÄN</t>
        </is>
      </c>
      <c r="E1187" t="inlineStr">
        <is>
          <t>UDDEVALLA</t>
        </is>
      </c>
      <c r="G1187" t="n">
        <v>4.2</v>
      </c>
      <c r="H1187" t="n">
        <v>0</v>
      </c>
      <c r="I1187" t="n">
        <v>0</v>
      </c>
      <c r="J1187" t="n">
        <v>0</v>
      </c>
      <c r="K1187" t="n">
        <v>0</v>
      </c>
      <c r="L1187" t="n">
        <v>0</v>
      </c>
      <c r="M1187" t="n">
        <v>0</v>
      </c>
      <c r="N1187" t="n">
        <v>0</v>
      </c>
      <c r="O1187" t="n">
        <v>0</v>
      </c>
      <c r="P1187" t="n">
        <v>0</v>
      </c>
      <c r="Q1187" t="n">
        <v>0</v>
      </c>
      <c r="R1187" s="2" t="inlineStr"/>
    </row>
    <row r="1188" ht="15" customHeight="1">
      <c r="A1188" t="inlineStr">
        <is>
          <t>A 10333-2021</t>
        </is>
      </c>
      <c r="B1188" s="1" t="n">
        <v>44257</v>
      </c>
      <c r="C1188" s="1" t="n">
        <v>45952</v>
      </c>
      <c r="D1188" t="inlineStr">
        <is>
          <t>VÄSTRA GÖTALANDS LÄN</t>
        </is>
      </c>
      <c r="E1188" t="inlineStr">
        <is>
          <t>VÄNERSBORG</t>
        </is>
      </c>
      <c r="G1188" t="n">
        <v>0.5</v>
      </c>
      <c r="H1188" t="n">
        <v>0</v>
      </c>
      <c r="I1188" t="n">
        <v>0</v>
      </c>
      <c r="J1188" t="n">
        <v>0</v>
      </c>
      <c r="K1188" t="n">
        <v>0</v>
      </c>
      <c r="L1188" t="n">
        <v>0</v>
      </c>
      <c r="M1188" t="n">
        <v>0</v>
      </c>
      <c r="N1188" t="n">
        <v>0</v>
      </c>
      <c r="O1188" t="n">
        <v>0</v>
      </c>
      <c r="P1188" t="n">
        <v>0</v>
      </c>
      <c r="Q1188" t="n">
        <v>0</v>
      </c>
      <c r="R1188" s="2" t="inlineStr"/>
    </row>
    <row r="1189" ht="15" customHeight="1">
      <c r="A1189" t="inlineStr">
        <is>
          <t>A 10351-2021</t>
        </is>
      </c>
      <c r="B1189" s="1" t="n">
        <v>44257</v>
      </c>
      <c r="C1189" s="1" t="n">
        <v>45952</v>
      </c>
      <c r="D1189" t="inlineStr">
        <is>
          <t>VÄSTRA GÖTALANDS LÄN</t>
        </is>
      </c>
      <c r="E1189" t="inlineStr">
        <is>
          <t>HÄRRYDA</t>
        </is>
      </c>
      <c r="G1189" t="n">
        <v>0.6</v>
      </c>
      <c r="H1189" t="n">
        <v>0</v>
      </c>
      <c r="I1189" t="n">
        <v>0</v>
      </c>
      <c r="J1189" t="n">
        <v>0</v>
      </c>
      <c r="K1189" t="n">
        <v>0</v>
      </c>
      <c r="L1189" t="n">
        <v>0</v>
      </c>
      <c r="M1189" t="n">
        <v>0</v>
      </c>
      <c r="N1189" t="n">
        <v>0</v>
      </c>
      <c r="O1189" t="n">
        <v>0</v>
      </c>
      <c r="P1189" t="n">
        <v>0</v>
      </c>
      <c r="Q1189" t="n">
        <v>0</v>
      </c>
      <c r="R1189" s="2" t="inlineStr"/>
    </row>
    <row r="1190" ht="15" customHeight="1">
      <c r="A1190" t="inlineStr">
        <is>
          <t>A 24464-2021</t>
        </is>
      </c>
      <c r="B1190" s="1" t="n">
        <v>44337.61608796296</v>
      </c>
      <c r="C1190" s="1" t="n">
        <v>45952</v>
      </c>
      <c r="D1190" t="inlineStr">
        <is>
          <t>VÄSTRA GÖTALANDS LÄN</t>
        </is>
      </c>
      <c r="E1190" t="inlineStr">
        <is>
          <t>SVENLJUNGA</t>
        </is>
      </c>
      <c r="G1190" t="n">
        <v>2.8</v>
      </c>
      <c r="H1190" t="n">
        <v>0</v>
      </c>
      <c r="I1190" t="n">
        <v>0</v>
      </c>
      <c r="J1190" t="n">
        <v>0</v>
      </c>
      <c r="K1190" t="n">
        <v>0</v>
      </c>
      <c r="L1190" t="n">
        <v>0</v>
      </c>
      <c r="M1190" t="n">
        <v>0</v>
      </c>
      <c r="N1190" t="n">
        <v>0</v>
      </c>
      <c r="O1190" t="n">
        <v>0</v>
      </c>
      <c r="P1190" t="n">
        <v>0</v>
      </c>
      <c r="Q1190" t="n">
        <v>0</v>
      </c>
      <c r="R1190" s="2" t="inlineStr"/>
    </row>
    <row r="1191" ht="15" customHeight="1">
      <c r="A1191" t="inlineStr">
        <is>
          <t>A 14274-2021</t>
        </is>
      </c>
      <c r="B1191" s="1" t="n">
        <v>44278</v>
      </c>
      <c r="C1191" s="1" t="n">
        <v>45952</v>
      </c>
      <c r="D1191" t="inlineStr">
        <is>
          <t>VÄSTRA GÖTALANDS LÄN</t>
        </is>
      </c>
      <c r="E1191" t="inlineStr">
        <is>
          <t>GULLSPÅNG</t>
        </is>
      </c>
      <c r="G1191" t="n">
        <v>2.5</v>
      </c>
      <c r="H1191" t="n">
        <v>0</v>
      </c>
      <c r="I1191" t="n">
        <v>0</v>
      </c>
      <c r="J1191" t="n">
        <v>0</v>
      </c>
      <c r="K1191" t="n">
        <v>0</v>
      </c>
      <c r="L1191" t="n">
        <v>0</v>
      </c>
      <c r="M1191" t="n">
        <v>0</v>
      </c>
      <c r="N1191" t="n">
        <v>0</v>
      </c>
      <c r="O1191" t="n">
        <v>0</v>
      </c>
      <c r="P1191" t="n">
        <v>0</v>
      </c>
      <c r="Q1191" t="n">
        <v>0</v>
      </c>
      <c r="R1191" s="2" t="inlineStr"/>
    </row>
    <row r="1192" ht="15" customHeight="1">
      <c r="A1192" t="inlineStr">
        <is>
          <t>A 63895-2020</t>
        </is>
      </c>
      <c r="B1192" s="1" t="n">
        <v>44165</v>
      </c>
      <c r="C1192" s="1" t="n">
        <v>45952</v>
      </c>
      <c r="D1192" t="inlineStr">
        <is>
          <t>VÄSTRA GÖTALANDS LÄN</t>
        </is>
      </c>
      <c r="E1192" t="inlineStr">
        <is>
          <t>MARIESTAD</t>
        </is>
      </c>
      <c r="G1192" t="n">
        <v>2.1</v>
      </c>
      <c r="H1192" t="n">
        <v>0</v>
      </c>
      <c r="I1192" t="n">
        <v>0</v>
      </c>
      <c r="J1192" t="n">
        <v>0</v>
      </c>
      <c r="K1192" t="n">
        <v>0</v>
      </c>
      <c r="L1192" t="n">
        <v>0</v>
      </c>
      <c r="M1192" t="n">
        <v>0</v>
      </c>
      <c r="N1192" t="n">
        <v>0</v>
      </c>
      <c r="O1192" t="n">
        <v>0</v>
      </c>
      <c r="P1192" t="n">
        <v>0</v>
      </c>
      <c r="Q1192" t="n">
        <v>0</v>
      </c>
      <c r="R1192" s="2" t="inlineStr"/>
    </row>
    <row r="1193" ht="15" customHeight="1">
      <c r="A1193" t="inlineStr">
        <is>
          <t>A 9847-2022</t>
        </is>
      </c>
      <c r="B1193" s="1" t="n">
        <v>44620</v>
      </c>
      <c r="C1193" s="1" t="n">
        <v>45952</v>
      </c>
      <c r="D1193" t="inlineStr">
        <is>
          <t>VÄSTRA GÖTALANDS LÄN</t>
        </is>
      </c>
      <c r="E1193" t="inlineStr">
        <is>
          <t>VARA</t>
        </is>
      </c>
      <c r="G1193" t="n">
        <v>1.3</v>
      </c>
      <c r="H1193" t="n">
        <v>0</v>
      </c>
      <c r="I1193" t="n">
        <v>0</v>
      </c>
      <c r="J1193" t="n">
        <v>0</v>
      </c>
      <c r="K1193" t="n">
        <v>0</v>
      </c>
      <c r="L1193" t="n">
        <v>0</v>
      </c>
      <c r="M1193" t="n">
        <v>0</v>
      </c>
      <c r="N1193" t="n">
        <v>0</v>
      </c>
      <c r="O1193" t="n">
        <v>0</v>
      </c>
      <c r="P1193" t="n">
        <v>0</v>
      </c>
      <c r="Q1193" t="n">
        <v>0</v>
      </c>
      <c r="R1193" s="2" t="inlineStr"/>
    </row>
    <row r="1194" ht="15" customHeight="1">
      <c r="A1194" t="inlineStr">
        <is>
          <t>A 65698-2021</t>
        </is>
      </c>
      <c r="B1194" s="1" t="n">
        <v>44516.6296875</v>
      </c>
      <c r="C1194" s="1" t="n">
        <v>45952</v>
      </c>
      <c r="D1194" t="inlineStr">
        <is>
          <t>VÄSTRA GÖTALANDS LÄN</t>
        </is>
      </c>
      <c r="E1194" t="inlineStr">
        <is>
          <t>MÖLNDAL</t>
        </is>
      </c>
      <c r="F1194" t="inlineStr">
        <is>
          <t>Kommuner</t>
        </is>
      </c>
      <c r="G1194" t="n">
        <v>1.5</v>
      </c>
      <c r="H1194" t="n">
        <v>0</v>
      </c>
      <c r="I1194" t="n">
        <v>0</v>
      </c>
      <c r="J1194" t="n">
        <v>0</v>
      </c>
      <c r="K1194" t="n">
        <v>0</v>
      </c>
      <c r="L1194" t="n">
        <v>0</v>
      </c>
      <c r="M1194" t="n">
        <v>0</v>
      </c>
      <c r="N1194" t="n">
        <v>0</v>
      </c>
      <c r="O1194" t="n">
        <v>0</v>
      </c>
      <c r="P1194" t="n">
        <v>0</v>
      </c>
      <c r="Q1194" t="n">
        <v>0</v>
      </c>
      <c r="R1194" s="2" t="inlineStr"/>
    </row>
    <row r="1195" ht="15" customHeight="1">
      <c r="A1195" t="inlineStr">
        <is>
          <t>A 17057-2021</t>
        </is>
      </c>
      <c r="B1195" s="1" t="n">
        <v>44296.53216435185</v>
      </c>
      <c r="C1195" s="1" t="n">
        <v>45952</v>
      </c>
      <c r="D1195" t="inlineStr">
        <is>
          <t>VÄSTRA GÖTALANDS LÄN</t>
        </is>
      </c>
      <c r="E1195" t="inlineStr">
        <is>
          <t>TRANEMO</t>
        </is>
      </c>
      <c r="G1195" t="n">
        <v>0.9</v>
      </c>
      <c r="H1195" t="n">
        <v>0</v>
      </c>
      <c r="I1195" t="n">
        <v>0</v>
      </c>
      <c r="J1195" t="n">
        <v>0</v>
      </c>
      <c r="K1195" t="n">
        <v>0</v>
      </c>
      <c r="L1195" t="n">
        <v>0</v>
      </c>
      <c r="M1195" t="n">
        <v>0</v>
      </c>
      <c r="N1195" t="n">
        <v>0</v>
      </c>
      <c r="O1195" t="n">
        <v>0</v>
      </c>
      <c r="P1195" t="n">
        <v>0</v>
      </c>
      <c r="Q1195" t="n">
        <v>0</v>
      </c>
      <c r="R1195" s="2" t="inlineStr"/>
    </row>
    <row r="1196" ht="15" customHeight="1">
      <c r="A1196" t="inlineStr">
        <is>
          <t>A 10645-2021</t>
        </is>
      </c>
      <c r="B1196" s="1" t="n">
        <v>44258</v>
      </c>
      <c r="C1196" s="1" t="n">
        <v>45952</v>
      </c>
      <c r="D1196" t="inlineStr">
        <is>
          <t>VÄSTRA GÖTALANDS LÄN</t>
        </is>
      </c>
      <c r="E1196" t="inlineStr">
        <is>
          <t>FALKÖPING</t>
        </is>
      </c>
      <c r="F1196" t="inlineStr">
        <is>
          <t>Kyrkan</t>
        </is>
      </c>
      <c r="G1196" t="n">
        <v>2.2</v>
      </c>
      <c r="H1196" t="n">
        <v>0</v>
      </c>
      <c r="I1196" t="n">
        <v>0</v>
      </c>
      <c r="J1196" t="n">
        <v>0</v>
      </c>
      <c r="K1196" t="n">
        <v>0</v>
      </c>
      <c r="L1196" t="n">
        <v>0</v>
      </c>
      <c r="M1196" t="n">
        <v>0</v>
      </c>
      <c r="N1196" t="n">
        <v>0</v>
      </c>
      <c r="O1196" t="n">
        <v>0</v>
      </c>
      <c r="P1196" t="n">
        <v>0</v>
      </c>
      <c r="Q1196" t="n">
        <v>0</v>
      </c>
      <c r="R1196" s="2" t="inlineStr"/>
    </row>
    <row r="1197" ht="15" customHeight="1">
      <c r="A1197" t="inlineStr">
        <is>
          <t>A 64163-2020</t>
        </is>
      </c>
      <c r="B1197" s="1" t="n">
        <v>44167</v>
      </c>
      <c r="C1197" s="1" t="n">
        <v>45952</v>
      </c>
      <c r="D1197" t="inlineStr">
        <is>
          <t>VÄSTRA GÖTALANDS LÄN</t>
        </is>
      </c>
      <c r="E1197" t="inlineStr">
        <is>
          <t>BORÅS</t>
        </is>
      </c>
      <c r="G1197" t="n">
        <v>1.2</v>
      </c>
      <c r="H1197" t="n">
        <v>0</v>
      </c>
      <c r="I1197" t="n">
        <v>0</v>
      </c>
      <c r="J1197" t="n">
        <v>0</v>
      </c>
      <c r="K1197" t="n">
        <v>0</v>
      </c>
      <c r="L1197" t="n">
        <v>0</v>
      </c>
      <c r="M1197" t="n">
        <v>0</v>
      </c>
      <c r="N1197" t="n">
        <v>0</v>
      </c>
      <c r="O1197" t="n">
        <v>0</v>
      </c>
      <c r="P1197" t="n">
        <v>0</v>
      </c>
      <c r="Q1197" t="n">
        <v>0</v>
      </c>
      <c r="R1197" s="2" t="inlineStr"/>
    </row>
    <row r="1198" ht="15" customHeight="1">
      <c r="A1198" t="inlineStr">
        <is>
          <t>A 37721-2021</t>
        </is>
      </c>
      <c r="B1198" s="1" t="n">
        <v>44400</v>
      </c>
      <c r="C1198" s="1" t="n">
        <v>45952</v>
      </c>
      <c r="D1198" t="inlineStr">
        <is>
          <t>VÄSTRA GÖTALANDS LÄN</t>
        </is>
      </c>
      <c r="E1198" t="inlineStr">
        <is>
          <t>TANUM</t>
        </is>
      </c>
      <c r="G1198" t="n">
        <v>13</v>
      </c>
      <c r="H1198" t="n">
        <v>0</v>
      </c>
      <c r="I1198" t="n">
        <v>0</v>
      </c>
      <c r="J1198" t="n">
        <v>0</v>
      </c>
      <c r="K1198" t="n">
        <v>0</v>
      </c>
      <c r="L1198" t="n">
        <v>0</v>
      </c>
      <c r="M1198" t="n">
        <v>0</v>
      </c>
      <c r="N1198" t="n">
        <v>0</v>
      </c>
      <c r="O1198" t="n">
        <v>0</v>
      </c>
      <c r="P1198" t="n">
        <v>0</v>
      </c>
      <c r="Q1198" t="n">
        <v>0</v>
      </c>
      <c r="R1198" s="2" t="inlineStr"/>
    </row>
    <row r="1199" ht="15" customHeight="1">
      <c r="A1199" t="inlineStr">
        <is>
          <t>A 11526-2021</t>
        </is>
      </c>
      <c r="B1199" s="1" t="n">
        <v>44264</v>
      </c>
      <c r="C1199" s="1" t="n">
        <v>45952</v>
      </c>
      <c r="D1199" t="inlineStr">
        <is>
          <t>VÄSTRA GÖTALANDS LÄN</t>
        </is>
      </c>
      <c r="E1199" t="inlineStr">
        <is>
          <t>DALS-ED</t>
        </is>
      </c>
      <c r="G1199" t="n">
        <v>5.6</v>
      </c>
      <c r="H1199" t="n">
        <v>0</v>
      </c>
      <c r="I1199" t="n">
        <v>0</v>
      </c>
      <c r="J1199" t="n">
        <v>0</v>
      </c>
      <c r="K1199" t="n">
        <v>0</v>
      </c>
      <c r="L1199" t="n">
        <v>0</v>
      </c>
      <c r="M1199" t="n">
        <v>0</v>
      </c>
      <c r="N1199" t="n">
        <v>0</v>
      </c>
      <c r="O1199" t="n">
        <v>0</v>
      </c>
      <c r="P1199" t="n">
        <v>0</v>
      </c>
      <c r="Q1199" t="n">
        <v>0</v>
      </c>
      <c r="R1199" s="2" t="inlineStr"/>
    </row>
    <row r="1200" ht="15" customHeight="1">
      <c r="A1200" t="inlineStr">
        <is>
          <t>A 39654-2021</t>
        </is>
      </c>
      <c r="B1200" s="1" t="n">
        <v>44417.41164351852</v>
      </c>
      <c r="C1200" s="1" t="n">
        <v>45952</v>
      </c>
      <c r="D1200" t="inlineStr">
        <is>
          <t>VÄSTRA GÖTALANDS LÄN</t>
        </is>
      </c>
      <c r="E1200" t="inlineStr">
        <is>
          <t>HERRLJUNGA</t>
        </is>
      </c>
      <c r="G1200" t="n">
        <v>5.6</v>
      </c>
      <c r="H1200" t="n">
        <v>0</v>
      </c>
      <c r="I1200" t="n">
        <v>0</v>
      </c>
      <c r="J1200" t="n">
        <v>0</v>
      </c>
      <c r="K1200" t="n">
        <v>0</v>
      </c>
      <c r="L1200" t="n">
        <v>0</v>
      </c>
      <c r="M1200" t="n">
        <v>0</v>
      </c>
      <c r="N1200" t="n">
        <v>0</v>
      </c>
      <c r="O1200" t="n">
        <v>0</v>
      </c>
      <c r="P1200" t="n">
        <v>0</v>
      </c>
      <c r="Q1200" t="n">
        <v>0</v>
      </c>
      <c r="R1200" s="2" t="inlineStr"/>
    </row>
    <row r="1201" ht="15" customHeight="1">
      <c r="A1201" t="inlineStr">
        <is>
          <t>A 43356-2021</t>
        </is>
      </c>
      <c r="B1201" s="1" t="n">
        <v>44432</v>
      </c>
      <c r="C1201" s="1" t="n">
        <v>45952</v>
      </c>
      <c r="D1201" t="inlineStr">
        <is>
          <t>VÄSTRA GÖTALANDS LÄN</t>
        </is>
      </c>
      <c r="E1201" t="inlineStr">
        <is>
          <t>VARA</t>
        </is>
      </c>
      <c r="G1201" t="n">
        <v>8.5</v>
      </c>
      <c r="H1201" t="n">
        <v>0</v>
      </c>
      <c r="I1201" t="n">
        <v>0</v>
      </c>
      <c r="J1201" t="n">
        <v>0</v>
      </c>
      <c r="K1201" t="n">
        <v>0</v>
      </c>
      <c r="L1201" t="n">
        <v>0</v>
      </c>
      <c r="M1201" t="n">
        <v>0</v>
      </c>
      <c r="N1201" t="n">
        <v>0</v>
      </c>
      <c r="O1201" t="n">
        <v>0</v>
      </c>
      <c r="P1201" t="n">
        <v>0</v>
      </c>
      <c r="Q1201" t="n">
        <v>0</v>
      </c>
      <c r="R1201" s="2" t="inlineStr"/>
    </row>
    <row r="1202" ht="15" customHeight="1">
      <c r="A1202" t="inlineStr">
        <is>
          <t>A 49026-2021</t>
        </is>
      </c>
      <c r="B1202" s="1" t="n">
        <v>44453</v>
      </c>
      <c r="C1202" s="1" t="n">
        <v>45952</v>
      </c>
      <c r="D1202" t="inlineStr">
        <is>
          <t>VÄSTRA GÖTALANDS LÄN</t>
        </is>
      </c>
      <c r="E1202" t="inlineStr">
        <is>
          <t>GULLSPÅNG</t>
        </is>
      </c>
      <c r="G1202" t="n">
        <v>0.5</v>
      </c>
      <c r="H1202" t="n">
        <v>0</v>
      </c>
      <c r="I1202" t="n">
        <v>0</v>
      </c>
      <c r="J1202" t="n">
        <v>0</v>
      </c>
      <c r="K1202" t="n">
        <v>0</v>
      </c>
      <c r="L1202" t="n">
        <v>0</v>
      </c>
      <c r="M1202" t="n">
        <v>0</v>
      </c>
      <c r="N1202" t="n">
        <v>0</v>
      </c>
      <c r="O1202" t="n">
        <v>0</v>
      </c>
      <c r="P1202" t="n">
        <v>0</v>
      </c>
      <c r="Q1202" t="n">
        <v>0</v>
      </c>
      <c r="R1202" s="2" t="inlineStr"/>
    </row>
    <row r="1203" ht="15" customHeight="1">
      <c r="A1203" t="inlineStr">
        <is>
          <t>A 72891-2021</t>
        </is>
      </c>
      <c r="B1203" s="1" t="n">
        <v>44547</v>
      </c>
      <c r="C1203" s="1" t="n">
        <v>45952</v>
      </c>
      <c r="D1203" t="inlineStr">
        <is>
          <t>VÄSTRA GÖTALANDS LÄN</t>
        </is>
      </c>
      <c r="E1203" t="inlineStr">
        <is>
          <t>HÄRRYDA</t>
        </is>
      </c>
      <c r="G1203" t="n">
        <v>3</v>
      </c>
      <c r="H1203" t="n">
        <v>0</v>
      </c>
      <c r="I1203" t="n">
        <v>0</v>
      </c>
      <c r="J1203" t="n">
        <v>0</v>
      </c>
      <c r="K1203" t="n">
        <v>0</v>
      </c>
      <c r="L1203" t="n">
        <v>0</v>
      </c>
      <c r="M1203" t="n">
        <v>0</v>
      </c>
      <c r="N1203" t="n">
        <v>0</v>
      </c>
      <c r="O1203" t="n">
        <v>0</v>
      </c>
      <c r="P1203" t="n">
        <v>0</v>
      </c>
      <c r="Q1203" t="n">
        <v>0</v>
      </c>
      <c r="R1203" s="2" t="inlineStr"/>
    </row>
    <row r="1204" ht="15" customHeight="1">
      <c r="A1204" t="inlineStr">
        <is>
          <t>A 34888-2021</t>
        </is>
      </c>
      <c r="B1204" s="1" t="n">
        <v>44383.48355324074</v>
      </c>
      <c r="C1204" s="1" t="n">
        <v>45952</v>
      </c>
      <c r="D1204" t="inlineStr">
        <is>
          <t>VÄSTRA GÖTALANDS LÄN</t>
        </is>
      </c>
      <c r="E1204" t="inlineStr">
        <is>
          <t>TÖREBODA</t>
        </is>
      </c>
      <c r="G1204" t="n">
        <v>1.8</v>
      </c>
      <c r="H1204" t="n">
        <v>0</v>
      </c>
      <c r="I1204" t="n">
        <v>0</v>
      </c>
      <c r="J1204" t="n">
        <v>0</v>
      </c>
      <c r="K1204" t="n">
        <v>0</v>
      </c>
      <c r="L1204" t="n">
        <v>0</v>
      </c>
      <c r="M1204" t="n">
        <v>0</v>
      </c>
      <c r="N1204" t="n">
        <v>0</v>
      </c>
      <c r="O1204" t="n">
        <v>0</v>
      </c>
      <c r="P1204" t="n">
        <v>0</v>
      </c>
      <c r="Q1204" t="n">
        <v>0</v>
      </c>
      <c r="R1204" s="2" t="inlineStr"/>
    </row>
    <row r="1205" ht="15" customHeight="1">
      <c r="A1205" t="inlineStr">
        <is>
          <t>A 34168-2021</t>
        </is>
      </c>
      <c r="B1205" s="1" t="n">
        <v>44379.49144675926</v>
      </c>
      <c r="C1205" s="1" t="n">
        <v>45952</v>
      </c>
      <c r="D1205" t="inlineStr">
        <is>
          <t>VÄSTRA GÖTALANDS LÄN</t>
        </is>
      </c>
      <c r="E1205" t="inlineStr">
        <is>
          <t>GULLSPÅNG</t>
        </is>
      </c>
      <c r="G1205" t="n">
        <v>1.5</v>
      </c>
      <c r="H1205" t="n">
        <v>0</v>
      </c>
      <c r="I1205" t="n">
        <v>0</v>
      </c>
      <c r="J1205" t="n">
        <v>0</v>
      </c>
      <c r="K1205" t="n">
        <v>0</v>
      </c>
      <c r="L1205" t="n">
        <v>0</v>
      </c>
      <c r="M1205" t="n">
        <v>0</v>
      </c>
      <c r="N1205" t="n">
        <v>0</v>
      </c>
      <c r="O1205" t="n">
        <v>0</v>
      </c>
      <c r="P1205" t="n">
        <v>0</v>
      </c>
      <c r="Q1205" t="n">
        <v>0</v>
      </c>
      <c r="R1205" s="2" t="inlineStr"/>
    </row>
    <row r="1206" ht="15" customHeight="1">
      <c r="A1206" t="inlineStr">
        <is>
          <t>A 14819-2021</t>
        </is>
      </c>
      <c r="B1206" s="1" t="n">
        <v>44280</v>
      </c>
      <c r="C1206" s="1" t="n">
        <v>45952</v>
      </c>
      <c r="D1206" t="inlineStr">
        <is>
          <t>VÄSTRA GÖTALANDS LÄN</t>
        </is>
      </c>
      <c r="E1206" t="inlineStr">
        <is>
          <t>TROLLHÄTTAN</t>
        </is>
      </c>
      <c r="G1206" t="n">
        <v>0.5</v>
      </c>
      <c r="H1206" t="n">
        <v>0</v>
      </c>
      <c r="I1206" t="n">
        <v>0</v>
      </c>
      <c r="J1206" t="n">
        <v>0</v>
      </c>
      <c r="K1206" t="n">
        <v>0</v>
      </c>
      <c r="L1206" t="n">
        <v>0</v>
      </c>
      <c r="M1206" t="n">
        <v>0</v>
      </c>
      <c r="N1206" t="n">
        <v>0</v>
      </c>
      <c r="O1206" t="n">
        <v>0</v>
      </c>
      <c r="P1206" t="n">
        <v>0</v>
      </c>
      <c r="Q1206" t="n">
        <v>0</v>
      </c>
      <c r="R1206" s="2" t="inlineStr"/>
    </row>
    <row r="1207" ht="15" customHeight="1">
      <c r="A1207" t="inlineStr">
        <is>
          <t>A 45223-2021</t>
        </is>
      </c>
      <c r="B1207" s="1" t="n">
        <v>44439</v>
      </c>
      <c r="C1207" s="1" t="n">
        <v>45952</v>
      </c>
      <c r="D1207" t="inlineStr">
        <is>
          <t>VÄSTRA GÖTALANDS LÄN</t>
        </is>
      </c>
      <c r="E1207" t="inlineStr">
        <is>
          <t>STRÖMSTAD</t>
        </is>
      </c>
      <c r="G1207" t="n">
        <v>8.1</v>
      </c>
      <c r="H1207" t="n">
        <v>0</v>
      </c>
      <c r="I1207" t="n">
        <v>0</v>
      </c>
      <c r="J1207" t="n">
        <v>0</v>
      </c>
      <c r="K1207" t="n">
        <v>0</v>
      </c>
      <c r="L1207" t="n">
        <v>0</v>
      </c>
      <c r="M1207" t="n">
        <v>0</v>
      </c>
      <c r="N1207" t="n">
        <v>0</v>
      </c>
      <c r="O1207" t="n">
        <v>0</v>
      </c>
      <c r="P1207" t="n">
        <v>0</v>
      </c>
      <c r="Q1207" t="n">
        <v>0</v>
      </c>
      <c r="R1207" s="2" t="inlineStr"/>
    </row>
    <row r="1208" ht="15" customHeight="1">
      <c r="A1208" t="inlineStr">
        <is>
          <t>A 45247-2021</t>
        </is>
      </c>
      <c r="B1208" s="1" t="n">
        <v>44439</v>
      </c>
      <c r="C1208" s="1" t="n">
        <v>45952</v>
      </c>
      <c r="D1208" t="inlineStr">
        <is>
          <t>VÄSTRA GÖTALANDS LÄN</t>
        </is>
      </c>
      <c r="E1208" t="inlineStr">
        <is>
          <t>BORÅS</t>
        </is>
      </c>
      <c r="G1208" t="n">
        <v>7.4</v>
      </c>
      <c r="H1208" t="n">
        <v>0</v>
      </c>
      <c r="I1208" t="n">
        <v>0</v>
      </c>
      <c r="J1208" t="n">
        <v>0</v>
      </c>
      <c r="K1208" t="n">
        <v>0</v>
      </c>
      <c r="L1208" t="n">
        <v>0</v>
      </c>
      <c r="M1208" t="n">
        <v>0</v>
      </c>
      <c r="N1208" t="n">
        <v>0</v>
      </c>
      <c r="O1208" t="n">
        <v>0</v>
      </c>
      <c r="P1208" t="n">
        <v>0</v>
      </c>
      <c r="Q1208" t="n">
        <v>0</v>
      </c>
      <c r="R1208" s="2" t="inlineStr"/>
    </row>
    <row r="1209" ht="15" customHeight="1">
      <c r="A1209" t="inlineStr">
        <is>
          <t>A 57501-2020</t>
        </is>
      </c>
      <c r="B1209" s="1" t="n">
        <v>44139</v>
      </c>
      <c r="C1209" s="1" t="n">
        <v>45952</v>
      </c>
      <c r="D1209" t="inlineStr">
        <is>
          <t>VÄSTRA GÖTALANDS LÄN</t>
        </is>
      </c>
      <c r="E1209" t="inlineStr">
        <is>
          <t>TÖREBODA</t>
        </is>
      </c>
      <c r="G1209" t="n">
        <v>1.5</v>
      </c>
      <c r="H1209" t="n">
        <v>0</v>
      </c>
      <c r="I1209" t="n">
        <v>0</v>
      </c>
      <c r="J1209" t="n">
        <v>0</v>
      </c>
      <c r="K1209" t="n">
        <v>0</v>
      </c>
      <c r="L1209" t="n">
        <v>0</v>
      </c>
      <c r="M1209" t="n">
        <v>0</v>
      </c>
      <c r="N1209" t="n">
        <v>0</v>
      </c>
      <c r="O1209" t="n">
        <v>0</v>
      </c>
      <c r="P1209" t="n">
        <v>0</v>
      </c>
      <c r="Q1209" t="n">
        <v>0</v>
      </c>
      <c r="R1209" s="2" t="inlineStr"/>
    </row>
    <row r="1210" ht="15" customHeight="1">
      <c r="A1210" t="inlineStr">
        <is>
          <t>A 6979-2021</t>
        </is>
      </c>
      <c r="B1210" s="1" t="n">
        <v>44237</v>
      </c>
      <c r="C1210" s="1" t="n">
        <v>45952</v>
      </c>
      <c r="D1210" t="inlineStr">
        <is>
          <t>VÄSTRA GÖTALANDS LÄN</t>
        </is>
      </c>
      <c r="E1210" t="inlineStr">
        <is>
          <t>BENGTSFORS</t>
        </is>
      </c>
      <c r="G1210" t="n">
        <v>4.9</v>
      </c>
      <c r="H1210" t="n">
        <v>0</v>
      </c>
      <c r="I1210" t="n">
        <v>0</v>
      </c>
      <c r="J1210" t="n">
        <v>0</v>
      </c>
      <c r="K1210" t="n">
        <v>0</v>
      </c>
      <c r="L1210" t="n">
        <v>0</v>
      </c>
      <c r="M1210" t="n">
        <v>0</v>
      </c>
      <c r="N1210" t="n">
        <v>0</v>
      </c>
      <c r="O1210" t="n">
        <v>0</v>
      </c>
      <c r="P1210" t="n">
        <v>0</v>
      </c>
      <c r="Q1210" t="n">
        <v>0</v>
      </c>
      <c r="R1210" s="2" t="inlineStr"/>
    </row>
    <row r="1211" ht="15" customHeight="1">
      <c r="A1211" t="inlineStr">
        <is>
          <t>A 25782-2021</t>
        </is>
      </c>
      <c r="B1211" s="1" t="n">
        <v>44343.74252314815</v>
      </c>
      <c r="C1211" s="1" t="n">
        <v>45952</v>
      </c>
      <c r="D1211" t="inlineStr">
        <is>
          <t>VÄSTRA GÖTALANDS LÄN</t>
        </is>
      </c>
      <c r="E1211" t="inlineStr">
        <is>
          <t>KARLSBORG</t>
        </is>
      </c>
      <c r="G1211" t="n">
        <v>0.5</v>
      </c>
      <c r="H1211" t="n">
        <v>0</v>
      </c>
      <c r="I1211" t="n">
        <v>0</v>
      </c>
      <c r="J1211" t="n">
        <v>0</v>
      </c>
      <c r="K1211" t="n">
        <v>0</v>
      </c>
      <c r="L1211" t="n">
        <v>0</v>
      </c>
      <c r="M1211" t="n">
        <v>0</v>
      </c>
      <c r="N1211" t="n">
        <v>0</v>
      </c>
      <c r="O1211" t="n">
        <v>0</v>
      </c>
      <c r="P1211" t="n">
        <v>0</v>
      </c>
      <c r="Q1211" t="n">
        <v>0</v>
      </c>
      <c r="R1211" s="2" t="inlineStr"/>
    </row>
    <row r="1212" ht="15" customHeight="1">
      <c r="A1212" t="inlineStr">
        <is>
          <t>A 7459-2021</t>
        </is>
      </c>
      <c r="B1212" s="1" t="n">
        <v>44239</v>
      </c>
      <c r="C1212" s="1" t="n">
        <v>45952</v>
      </c>
      <c r="D1212" t="inlineStr">
        <is>
          <t>VÄSTRA GÖTALANDS LÄN</t>
        </is>
      </c>
      <c r="E1212" t="inlineStr">
        <is>
          <t>UDDEVALLA</t>
        </is>
      </c>
      <c r="G1212" t="n">
        <v>2.2</v>
      </c>
      <c r="H1212" t="n">
        <v>0</v>
      </c>
      <c r="I1212" t="n">
        <v>0</v>
      </c>
      <c r="J1212" t="n">
        <v>0</v>
      </c>
      <c r="K1212" t="n">
        <v>0</v>
      </c>
      <c r="L1212" t="n">
        <v>0</v>
      </c>
      <c r="M1212" t="n">
        <v>0</v>
      </c>
      <c r="N1212" t="n">
        <v>0</v>
      </c>
      <c r="O1212" t="n">
        <v>0</v>
      </c>
      <c r="P1212" t="n">
        <v>0</v>
      </c>
      <c r="Q1212" t="n">
        <v>0</v>
      </c>
      <c r="R1212" s="2" t="inlineStr"/>
    </row>
    <row r="1213" ht="15" customHeight="1">
      <c r="A1213" t="inlineStr">
        <is>
          <t>A 25495-2022</t>
        </is>
      </c>
      <c r="B1213" s="1" t="n">
        <v>44732.56648148148</v>
      </c>
      <c r="C1213" s="1" t="n">
        <v>45952</v>
      </c>
      <c r="D1213" t="inlineStr">
        <is>
          <t>VÄSTRA GÖTALANDS LÄN</t>
        </is>
      </c>
      <c r="E1213" t="inlineStr">
        <is>
          <t>MELLERUD</t>
        </is>
      </c>
      <c r="G1213" t="n">
        <v>0.5</v>
      </c>
      <c r="H1213" t="n">
        <v>0</v>
      </c>
      <c r="I1213" t="n">
        <v>0</v>
      </c>
      <c r="J1213" t="n">
        <v>0</v>
      </c>
      <c r="K1213" t="n">
        <v>0</v>
      </c>
      <c r="L1213" t="n">
        <v>0</v>
      </c>
      <c r="M1213" t="n">
        <v>0</v>
      </c>
      <c r="N1213" t="n">
        <v>0</v>
      </c>
      <c r="O1213" t="n">
        <v>0</v>
      </c>
      <c r="P1213" t="n">
        <v>0</v>
      </c>
      <c r="Q1213" t="n">
        <v>0</v>
      </c>
      <c r="R1213" s="2" t="inlineStr"/>
    </row>
    <row r="1214" ht="15" customHeight="1">
      <c r="A1214" t="inlineStr">
        <is>
          <t>A 9064-2022</t>
        </is>
      </c>
      <c r="B1214" s="1" t="n">
        <v>44615</v>
      </c>
      <c r="C1214" s="1" t="n">
        <v>45952</v>
      </c>
      <c r="D1214" t="inlineStr">
        <is>
          <t>VÄSTRA GÖTALANDS LÄN</t>
        </is>
      </c>
      <c r="E1214" t="inlineStr">
        <is>
          <t>TIDAHOLM</t>
        </is>
      </c>
      <c r="G1214" t="n">
        <v>0.6</v>
      </c>
      <c r="H1214" t="n">
        <v>0</v>
      </c>
      <c r="I1214" t="n">
        <v>0</v>
      </c>
      <c r="J1214" t="n">
        <v>0</v>
      </c>
      <c r="K1214" t="n">
        <v>0</v>
      </c>
      <c r="L1214" t="n">
        <v>0</v>
      </c>
      <c r="M1214" t="n">
        <v>0</v>
      </c>
      <c r="N1214" t="n">
        <v>0</v>
      </c>
      <c r="O1214" t="n">
        <v>0</v>
      </c>
      <c r="P1214" t="n">
        <v>0</v>
      </c>
      <c r="Q1214" t="n">
        <v>0</v>
      </c>
      <c r="R1214" s="2" t="inlineStr"/>
    </row>
    <row r="1215" ht="15" customHeight="1">
      <c r="A1215" t="inlineStr">
        <is>
          <t>A 61593-2021</t>
        </is>
      </c>
      <c r="B1215" s="1" t="n">
        <v>44501.46244212963</v>
      </c>
      <c r="C1215" s="1" t="n">
        <v>45952</v>
      </c>
      <c r="D1215" t="inlineStr">
        <is>
          <t>VÄSTRA GÖTALANDS LÄN</t>
        </is>
      </c>
      <c r="E1215" t="inlineStr">
        <is>
          <t>ESSUNGA</t>
        </is>
      </c>
      <c r="G1215" t="n">
        <v>1.3</v>
      </c>
      <c r="H1215" t="n">
        <v>0</v>
      </c>
      <c r="I1215" t="n">
        <v>0</v>
      </c>
      <c r="J1215" t="n">
        <v>0</v>
      </c>
      <c r="K1215" t="n">
        <v>0</v>
      </c>
      <c r="L1215" t="n">
        <v>0</v>
      </c>
      <c r="M1215" t="n">
        <v>0</v>
      </c>
      <c r="N1215" t="n">
        <v>0</v>
      </c>
      <c r="O1215" t="n">
        <v>0</v>
      </c>
      <c r="P1215" t="n">
        <v>0</v>
      </c>
      <c r="Q1215" t="n">
        <v>0</v>
      </c>
      <c r="R1215" s="2" t="inlineStr"/>
    </row>
    <row r="1216" ht="15" customHeight="1">
      <c r="A1216" t="inlineStr">
        <is>
          <t>A 627-2022</t>
        </is>
      </c>
      <c r="B1216" s="1" t="n">
        <v>44568.35050925926</v>
      </c>
      <c r="C1216" s="1" t="n">
        <v>45952</v>
      </c>
      <c r="D1216" t="inlineStr">
        <is>
          <t>VÄSTRA GÖTALANDS LÄN</t>
        </is>
      </c>
      <c r="E1216" t="inlineStr">
        <is>
          <t>VÅRGÅRDA</t>
        </is>
      </c>
      <c r="G1216" t="n">
        <v>2.3</v>
      </c>
      <c r="H1216" t="n">
        <v>0</v>
      </c>
      <c r="I1216" t="n">
        <v>0</v>
      </c>
      <c r="J1216" t="n">
        <v>0</v>
      </c>
      <c r="K1216" t="n">
        <v>0</v>
      </c>
      <c r="L1216" t="n">
        <v>0</v>
      </c>
      <c r="M1216" t="n">
        <v>0</v>
      </c>
      <c r="N1216" t="n">
        <v>0</v>
      </c>
      <c r="O1216" t="n">
        <v>0</v>
      </c>
      <c r="P1216" t="n">
        <v>0</v>
      </c>
      <c r="Q1216" t="n">
        <v>0</v>
      </c>
      <c r="R1216" s="2" t="inlineStr"/>
    </row>
    <row r="1217" ht="15" customHeight="1">
      <c r="A1217" t="inlineStr">
        <is>
          <t>A 628-2022</t>
        </is>
      </c>
      <c r="B1217" s="1" t="n">
        <v>44568.35122685185</v>
      </c>
      <c r="C1217" s="1" t="n">
        <v>45952</v>
      </c>
      <c r="D1217" t="inlineStr">
        <is>
          <t>VÄSTRA GÖTALANDS LÄN</t>
        </is>
      </c>
      <c r="E1217" t="inlineStr">
        <is>
          <t>VÅRGÅRDA</t>
        </is>
      </c>
      <c r="G1217" t="n">
        <v>8.5</v>
      </c>
      <c r="H1217" t="n">
        <v>0</v>
      </c>
      <c r="I1217" t="n">
        <v>0</v>
      </c>
      <c r="J1217" t="n">
        <v>0</v>
      </c>
      <c r="K1217" t="n">
        <v>0</v>
      </c>
      <c r="L1217" t="n">
        <v>0</v>
      </c>
      <c r="M1217" t="n">
        <v>0</v>
      </c>
      <c r="N1217" t="n">
        <v>0</v>
      </c>
      <c r="O1217" t="n">
        <v>0</v>
      </c>
      <c r="P1217" t="n">
        <v>0</v>
      </c>
      <c r="Q1217" t="n">
        <v>0</v>
      </c>
      <c r="R1217" s="2" t="inlineStr"/>
    </row>
    <row r="1218" ht="15" customHeight="1">
      <c r="A1218" t="inlineStr">
        <is>
          <t>A 23974-2021</t>
        </is>
      </c>
      <c r="B1218" s="1" t="n">
        <v>44335</v>
      </c>
      <c r="C1218" s="1" t="n">
        <v>45952</v>
      </c>
      <c r="D1218" t="inlineStr">
        <is>
          <t>VÄSTRA GÖTALANDS LÄN</t>
        </is>
      </c>
      <c r="E1218" t="inlineStr">
        <is>
          <t>MELLERUD</t>
        </is>
      </c>
      <c r="G1218" t="n">
        <v>1.1</v>
      </c>
      <c r="H1218" t="n">
        <v>0</v>
      </c>
      <c r="I1218" t="n">
        <v>0</v>
      </c>
      <c r="J1218" t="n">
        <v>0</v>
      </c>
      <c r="K1218" t="n">
        <v>0</v>
      </c>
      <c r="L1218" t="n">
        <v>0</v>
      </c>
      <c r="M1218" t="n">
        <v>0</v>
      </c>
      <c r="N1218" t="n">
        <v>0</v>
      </c>
      <c r="O1218" t="n">
        <v>0</v>
      </c>
      <c r="P1218" t="n">
        <v>0</v>
      </c>
      <c r="Q1218" t="n">
        <v>0</v>
      </c>
      <c r="R1218" s="2" t="inlineStr"/>
    </row>
    <row r="1219" ht="15" customHeight="1">
      <c r="A1219" t="inlineStr">
        <is>
          <t>A 33315-2021</t>
        </is>
      </c>
      <c r="B1219" s="1" t="n">
        <v>44377</v>
      </c>
      <c r="C1219" s="1" t="n">
        <v>45952</v>
      </c>
      <c r="D1219" t="inlineStr">
        <is>
          <t>VÄSTRA GÖTALANDS LÄN</t>
        </is>
      </c>
      <c r="E1219" t="inlineStr">
        <is>
          <t>TANUM</t>
        </is>
      </c>
      <c r="G1219" t="n">
        <v>2.2</v>
      </c>
      <c r="H1219" t="n">
        <v>0</v>
      </c>
      <c r="I1219" t="n">
        <v>0</v>
      </c>
      <c r="J1219" t="n">
        <v>0</v>
      </c>
      <c r="K1219" t="n">
        <v>0</v>
      </c>
      <c r="L1219" t="n">
        <v>0</v>
      </c>
      <c r="M1219" t="n">
        <v>0</v>
      </c>
      <c r="N1219" t="n">
        <v>0</v>
      </c>
      <c r="O1219" t="n">
        <v>0</v>
      </c>
      <c r="P1219" t="n">
        <v>0</v>
      </c>
      <c r="Q1219" t="n">
        <v>0</v>
      </c>
      <c r="R1219" s="2" t="inlineStr"/>
    </row>
    <row r="1220" ht="15" customHeight="1">
      <c r="A1220" t="inlineStr">
        <is>
          <t>A 53200-2021</t>
        </is>
      </c>
      <c r="B1220" s="1" t="n">
        <v>44468</v>
      </c>
      <c r="C1220" s="1" t="n">
        <v>45952</v>
      </c>
      <c r="D1220" t="inlineStr">
        <is>
          <t>VÄSTRA GÖTALANDS LÄN</t>
        </is>
      </c>
      <c r="E1220" t="inlineStr">
        <is>
          <t>HÄRRYDA</t>
        </is>
      </c>
      <c r="G1220" t="n">
        <v>5.3</v>
      </c>
      <c r="H1220" t="n">
        <v>0</v>
      </c>
      <c r="I1220" t="n">
        <v>0</v>
      </c>
      <c r="J1220" t="n">
        <v>0</v>
      </c>
      <c r="K1220" t="n">
        <v>0</v>
      </c>
      <c r="L1220" t="n">
        <v>0</v>
      </c>
      <c r="M1220" t="n">
        <v>0</v>
      </c>
      <c r="N1220" t="n">
        <v>0</v>
      </c>
      <c r="O1220" t="n">
        <v>0</v>
      </c>
      <c r="P1220" t="n">
        <v>0</v>
      </c>
      <c r="Q1220" t="n">
        <v>0</v>
      </c>
      <c r="R1220" s="2" t="inlineStr"/>
    </row>
    <row r="1221" ht="15" customHeight="1">
      <c r="A1221" t="inlineStr">
        <is>
          <t>A 50249-2021</t>
        </is>
      </c>
      <c r="B1221" s="1" t="n">
        <v>44458</v>
      </c>
      <c r="C1221" s="1" t="n">
        <v>45952</v>
      </c>
      <c r="D1221" t="inlineStr">
        <is>
          <t>VÄSTRA GÖTALANDS LÄN</t>
        </is>
      </c>
      <c r="E1221" t="inlineStr">
        <is>
          <t>TÖREBODA</t>
        </is>
      </c>
      <c r="G1221" t="n">
        <v>0.7</v>
      </c>
      <c r="H1221" t="n">
        <v>0</v>
      </c>
      <c r="I1221" t="n">
        <v>0</v>
      </c>
      <c r="J1221" t="n">
        <v>0</v>
      </c>
      <c r="K1221" t="n">
        <v>0</v>
      </c>
      <c r="L1221" t="n">
        <v>0</v>
      </c>
      <c r="M1221" t="n">
        <v>0</v>
      </c>
      <c r="N1221" t="n">
        <v>0</v>
      </c>
      <c r="O1221" t="n">
        <v>0</v>
      </c>
      <c r="P1221" t="n">
        <v>0</v>
      </c>
      <c r="Q1221" t="n">
        <v>0</v>
      </c>
      <c r="R1221" s="2" t="inlineStr"/>
    </row>
    <row r="1222" ht="15" customHeight="1">
      <c r="A1222" t="inlineStr">
        <is>
          <t>A 16222-2022</t>
        </is>
      </c>
      <c r="B1222" s="1" t="n">
        <v>44670</v>
      </c>
      <c r="C1222" s="1" t="n">
        <v>45952</v>
      </c>
      <c r="D1222" t="inlineStr">
        <is>
          <t>VÄSTRA GÖTALANDS LÄN</t>
        </is>
      </c>
      <c r="E1222" t="inlineStr">
        <is>
          <t>TRANEMO</t>
        </is>
      </c>
      <c r="F1222" t="inlineStr">
        <is>
          <t>Kyrkan</t>
        </is>
      </c>
      <c r="G1222" t="n">
        <v>1.2</v>
      </c>
      <c r="H1222" t="n">
        <v>0</v>
      </c>
      <c r="I1222" t="n">
        <v>0</v>
      </c>
      <c r="J1222" t="n">
        <v>0</v>
      </c>
      <c r="K1222" t="n">
        <v>0</v>
      </c>
      <c r="L1222" t="n">
        <v>0</v>
      </c>
      <c r="M1222" t="n">
        <v>0</v>
      </c>
      <c r="N1222" t="n">
        <v>0</v>
      </c>
      <c r="O1222" t="n">
        <v>0</v>
      </c>
      <c r="P1222" t="n">
        <v>0</v>
      </c>
      <c r="Q1222" t="n">
        <v>0</v>
      </c>
      <c r="R1222" s="2" t="inlineStr"/>
    </row>
    <row r="1223" ht="15" customHeight="1">
      <c r="A1223" t="inlineStr">
        <is>
          <t>A 6529-2022</t>
        </is>
      </c>
      <c r="B1223" s="1" t="n">
        <v>44601</v>
      </c>
      <c r="C1223" s="1" t="n">
        <v>45952</v>
      </c>
      <c r="D1223" t="inlineStr">
        <is>
          <t>VÄSTRA GÖTALANDS LÄN</t>
        </is>
      </c>
      <c r="E1223" t="inlineStr">
        <is>
          <t>TANUM</t>
        </is>
      </c>
      <c r="G1223" t="n">
        <v>3.6</v>
      </c>
      <c r="H1223" t="n">
        <v>0</v>
      </c>
      <c r="I1223" t="n">
        <v>0</v>
      </c>
      <c r="J1223" t="n">
        <v>0</v>
      </c>
      <c r="K1223" t="n">
        <v>0</v>
      </c>
      <c r="L1223" t="n">
        <v>0</v>
      </c>
      <c r="M1223" t="n">
        <v>0</v>
      </c>
      <c r="N1223" t="n">
        <v>0</v>
      </c>
      <c r="O1223" t="n">
        <v>0</v>
      </c>
      <c r="P1223" t="n">
        <v>0</v>
      </c>
      <c r="Q1223" t="n">
        <v>0</v>
      </c>
      <c r="R1223" s="2" t="inlineStr"/>
    </row>
    <row r="1224" ht="15" customHeight="1">
      <c r="A1224" t="inlineStr">
        <is>
          <t>A 1732-2022</t>
        </is>
      </c>
      <c r="B1224" s="1" t="n">
        <v>44574</v>
      </c>
      <c r="C1224" s="1" t="n">
        <v>45952</v>
      </c>
      <c r="D1224" t="inlineStr">
        <is>
          <t>VÄSTRA GÖTALANDS LÄN</t>
        </is>
      </c>
      <c r="E1224" t="inlineStr">
        <is>
          <t>TRANEMO</t>
        </is>
      </c>
      <c r="G1224" t="n">
        <v>3.4</v>
      </c>
      <c r="H1224" t="n">
        <v>0</v>
      </c>
      <c r="I1224" t="n">
        <v>0</v>
      </c>
      <c r="J1224" t="n">
        <v>0</v>
      </c>
      <c r="K1224" t="n">
        <v>0</v>
      </c>
      <c r="L1224" t="n">
        <v>0</v>
      </c>
      <c r="M1224" t="n">
        <v>0</v>
      </c>
      <c r="N1224" t="n">
        <v>0</v>
      </c>
      <c r="O1224" t="n">
        <v>0</v>
      </c>
      <c r="P1224" t="n">
        <v>0</v>
      </c>
      <c r="Q1224" t="n">
        <v>0</v>
      </c>
      <c r="R1224" s="2" t="inlineStr"/>
    </row>
    <row r="1225" ht="15" customHeight="1">
      <c r="A1225" t="inlineStr">
        <is>
          <t>A 33912-2022</t>
        </is>
      </c>
      <c r="B1225" s="1" t="n">
        <v>44790.63319444445</v>
      </c>
      <c r="C1225" s="1" t="n">
        <v>45952</v>
      </c>
      <c r="D1225" t="inlineStr">
        <is>
          <t>VÄSTRA GÖTALANDS LÄN</t>
        </is>
      </c>
      <c r="E1225" t="inlineStr">
        <is>
          <t>FÄRGELANDA</t>
        </is>
      </c>
      <c r="G1225" t="n">
        <v>1.5</v>
      </c>
      <c r="H1225" t="n">
        <v>0</v>
      </c>
      <c r="I1225" t="n">
        <v>0</v>
      </c>
      <c r="J1225" t="n">
        <v>0</v>
      </c>
      <c r="K1225" t="n">
        <v>0</v>
      </c>
      <c r="L1225" t="n">
        <v>0</v>
      </c>
      <c r="M1225" t="n">
        <v>0</v>
      </c>
      <c r="N1225" t="n">
        <v>0</v>
      </c>
      <c r="O1225" t="n">
        <v>0</v>
      </c>
      <c r="P1225" t="n">
        <v>0</v>
      </c>
      <c r="Q1225" t="n">
        <v>0</v>
      </c>
      <c r="R1225" s="2" t="inlineStr"/>
    </row>
    <row r="1226" ht="15" customHeight="1">
      <c r="A1226" t="inlineStr">
        <is>
          <t>A 8407-2021</t>
        </is>
      </c>
      <c r="B1226" s="1" t="n">
        <v>44245</v>
      </c>
      <c r="C1226" s="1" t="n">
        <v>45952</v>
      </c>
      <c r="D1226" t="inlineStr">
        <is>
          <t>VÄSTRA GÖTALANDS LÄN</t>
        </is>
      </c>
      <c r="E1226" t="inlineStr">
        <is>
          <t>BENGTSFORS</t>
        </is>
      </c>
      <c r="G1226" t="n">
        <v>6.1</v>
      </c>
      <c r="H1226" t="n">
        <v>0</v>
      </c>
      <c r="I1226" t="n">
        <v>0</v>
      </c>
      <c r="J1226" t="n">
        <v>0</v>
      </c>
      <c r="K1226" t="n">
        <v>0</v>
      </c>
      <c r="L1226" t="n">
        <v>0</v>
      </c>
      <c r="M1226" t="n">
        <v>0</v>
      </c>
      <c r="N1226" t="n">
        <v>0</v>
      </c>
      <c r="O1226" t="n">
        <v>0</v>
      </c>
      <c r="P1226" t="n">
        <v>0</v>
      </c>
      <c r="Q1226" t="n">
        <v>0</v>
      </c>
      <c r="R1226" s="2" t="inlineStr"/>
    </row>
    <row r="1227" ht="15" customHeight="1">
      <c r="A1227" t="inlineStr">
        <is>
          <t>A 8421-2021</t>
        </is>
      </c>
      <c r="B1227" s="1" t="n">
        <v>44245.443125</v>
      </c>
      <c r="C1227" s="1" t="n">
        <v>45952</v>
      </c>
      <c r="D1227" t="inlineStr">
        <is>
          <t>VÄSTRA GÖTALANDS LÄN</t>
        </is>
      </c>
      <c r="E1227" t="inlineStr">
        <is>
          <t>GÖTENE</t>
        </is>
      </c>
      <c r="G1227" t="n">
        <v>0.8</v>
      </c>
      <c r="H1227" t="n">
        <v>0</v>
      </c>
      <c r="I1227" t="n">
        <v>0</v>
      </c>
      <c r="J1227" t="n">
        <v>0</v>
      </c>
      <c r="K1227" t="n">
        <v>0</v>
      </c>
      <c r="L1227" t="n">
        <v>0</v>
      </c>
      <c r="M1227" t="n">
        <v>0</v>
      </c>
      <c r="N1227" t="n">
        <v>0</v>
      </c>
      <c r="O1227" t="n">
        <v>0</v>
      </c>
      <c r="P1227" t="n">
        <v>0</v>
      </c>
      <c r="Q1227" t="n">
        <v>0</v>
      </c>
      <c r="R1227" s="2" t="inlineStr"/>
    </row>
    <row r="1228" ht="15" customHeight="1">
      <c r="A1228" t="inlineStr">
        <is>
          <t>A 33950-2022</t>
        </is>
      </c>
      <c r="B1228" s="1" t="n">
        <v>44790</v>
      </c>
      <c r="C1228" s="1" t="n">
        <v>45952</v>
      </c>
      <c r="D1228" t="inlineStr">
        <is>
          <t>VÄSTRA GÖTALANDS LÄN</t>
        </is>
      </c>
      <c r="E1228" t="inlineStr">
        <is>
          <t>BENGTSFORS</t>
        </is>
      </c>
      <c r="G1228" t="n">
        <v>1.6</v>
      </c>
      <c r="H1228" t="n">
        <v>0</v>
      </c>
      <c r="I1228" t="n">
        <v>0</v>
      </c>
      <c r="J1228" t="n">
        <v>0</v>
      </c>
      <c r="K1228" t="n">
        <v>0</v>
      </c>
      <c r="L1228" t="n">
        <v>0</v>
      </c>
      <c r="M1228" t="n">
        <v>0</v>
      </c>
      <c r="N1228" t="n">
        <v>0</v>
      </c>
      <c r="O1228" t="n">
        <v>0</v>
      </c>
      <c r="P1228" t="n">
        <v>0</v>
      </c>
      <c r="Q1228" t="n">
        <v>0</v>
      </c>
      <c r="R1228" s="2" t="inlineStr"/>
    </row>
    <row r="1229" ht="15" customHeight="1">
      <c r="A1229" t="inlineStr">
        <is>
          <t>A 1430-2022</t>
        </is>
      </c>
      <c r="B1229" s="1" t="n">
        <v>44573</v>
      </c>
      <c r="C1229" s="1" t="n">
        <v>45952</v>
      </c>
      <c r="D1229" t="inlineStr">
        <is>
          <t>VÄSTRA GÖTALANDS LÄN</t>
        </is>
      </c>
      <c r="E1229" t="inlineStr">
        <is>
          <t>TANUM</t>
        </is>
      </c>
      <c r="G1229" t="n">
        <v>0.7</v>
      </c>
      <c r="H1229" t="n">
        <v>0</v>
      </c>
      <c r="I1229" t="n">
        <v>0</v>
      </c>
      <c r="J1229" t="n">
        <v>0</v>
      </c>
      <c r="K1229" t="n">
        <v>0</v>
      </c>
      <c r="L1229" t="n">
        <v>0</v>
      </c>
      <c r="M1229" t="n">
        <v>0</v>
      </c>
      <c r="N1229" t="n">
        <v>0</v>
      </c>
      <c r="O1229" t="n">
        <v>0</v>
      </c>
      <c r="P1229" t="n">
        <v>0</v>
      </c>
      <c r="Q1229" t="n">
        <v>0</v>
      </c>
      <c r="R1229" s="2" t="inlineStr"/>
    </row>
    <row r="1230" ht="15" customHeight="1">
      <c r="A1230" t="inlineStr">
        <is>
          <t>A 59021-2021</t>
        </is>
      </c>
      <c r="B1230" s="1" t="n">
        <v>44490</v>
      </c>
      <c r="C1230" s="1" t="n">
        <v>45952</v>
      </c>
      <c r="D1230" t="inlineStr">
        <is>
          <t>VÄSTRA GÖTALANDS LÄN</t>
        </is>
      </c>
      <c r="E1230" t="inlineStr">
        <is>
          <t>FÄRGELANDA</t>
        </is>
      </c>
      <c r="G1230" t="n">
        <v>0.6</v>
      </c>
      <c r="H1230" t="n">
        <v>0</v>
      </c>
      <c r="I1230" t="n">
        <v>0</v>
      </c>
      <c r="J1230" t="n">
        <v>0</v>
      </c>
      <c r="K1230" t="n">
        <v>0</v>
      </c>
      <c r="L1230" t="n">
        <v>0</v>
      </c>
      <c r="M1230" t="n">
        <v>0</v>
      </c>
      <c r="N1230" t="n">
        <v>0</v>
      </c>
      <c r="O1230" t="n">
        <v>0</v>
      </c>
      <c r="P1230" t="n">
        <v>0</v>
      </c>
      <c r="Q1230" t="n">
        <v>0</v>
      </c>
      <c r="R1230" s="2" t="inlineStr"/>
    </row>
    <row r="1231" ht="15" customHeight="1">
      <c r="A1231" t="inlineStr">
        <is>
          <t>A 24867-2021</t>
        </is>
      </c>
      <c r="B1231" s="1" t="n">
        <v>44341</v>
      </c>
      <c r="C1231" s="1" t="n">
        <v>45952</v>
      </c>
      <c r="D1231" t="inlineStr">
        <is>
          <t>VÄSTRA GÖTALANDS LÄN</t>
        </is>
      </c>
      <c r="E1231" t="inlineStr">
        <is>
          <t>ESSUNGA</t>
        </is>
      </c>
      <c r="G1231" t="n">
        <v>3.6</v>
      </c>
      <c r="H1231" t="n">
        <v>0</v>
      </c>
      <c r="I1231" t="n">
        <v>0</v>
      </c>
      <c r="J1231" t="n">
        <v>0</v>
      </c>
      <c r="K1231" t="n">
        <v>0</v>
      </c>
      <c r="L1231" t="n">
        <v>0</v>
      </c>
      <c r="M1231" t="n">
        <v>0</v>
      </c>
      <c r="N1231" t="n">
        <v>0</v>
      </c>
      <c r="O1231" t="n">
        <v>0</v>
      </c>
      <c r="P1231" t="n">
        <v>0</v>
      </c>
      <c r="Q1231" t="n">
        <v>0</v>
      </c>
      <c r="R1231" s="2" t="inlineStr"/>
    </row>
    <row r="1232" ht="15" customHeight="1">
      <c r="A1232" t="inlineStr">
        <is>
          <t>A 149-2022</t>
        </is>
      </c>
      <c r="B1232" s="1" t="n">
        <v>44564.59123842593</v>
      </c>
      <c r="C1232" s="1" t="n">
        <v>45952</v>
      </c>
      <c r="D1232" t="inlineStr">
        <is>
          <t>VÄSTRA GÖTALANDS LÄN</t>
        </is>
      </c>
      <c r="E1232" t="inlineStr">
        <is>
          <t>TRANEMO</t>
        </is>
      </c>
      <c r="G1232" t="n">
        <v>0.7</v>
      </c>
      <c r="H1232" t="n">
        <v>0</v>
      </c>
      <c r="I1232" t="n">
        <v>0</v>
      </c>
      <c r="J1232" t="n">
        <v>0</v>
      </c>
      <c r="K1232" t="n">
        <v>0</v>
      </c>
      <c r="L1232" t="n">
        <v>0</v>
      </c>
      <c r="M1232" t="n">
        <v>0</v>
      </c>
      <c r="N1232" t="n">
        <v>0</v>
      </c>
      <c r="O1232" t="n">
        <v>0</v>
      </c>
      <c r="P1232" t="n">
        <v>0</v>
      </c>
      <c r="Q1232" t="n">
        <v>0</v>
      </c>
      <c r="R1232" s="2" t="inlineStr"/>
    </row>
    <row r="1233" ht="15" customHeight="1">
      <c r="A1233" t="inlineStr">
        <is>
          <t>A 74474-2021</t>
        </is>
      </c>
      <c r="B1233" s="1" t="n">
        <v>44560</v>
      </c>
      <c r="C1233" s="1" t="n">
        <v>45952</v>
      </c>
      <c r="D1233" t="inlineStr">
        <is>
          <t>VÄSTRA GÖTALANDS LÄN</t>
        </is>
      </c>
      <c r="E1233" t="inlineStr">
        <is>
          <t>FALKÖPING</t>
        </is>
      </c>
      <c r="G1233" t="n">
        <v>1.1</v>
      </c>
      <c r="H1233" t="n">
        <v>0</v>
      </c>
      <c r="I1233" t="n">
        <v>0</v>
      </c>
      <c r="J1233" t="n">
        <v>0</v>
      </c>
      <c r="K1233" t="n">
        <v>0</v>
      </c>
      <c r="L1233" t="n">
        <v>0</v>
      </c>
      <c r="M1233" t="n">
        <v>0</v>
      </c>
      <c r="N1233" t="n">
        <v>0</v>
      </c>
      <c r="O1233" t="n">
        <v>0</v>
      </c>
      <c r="P1233" t="n">
        <v>0</v>
      </c>
      <c r="Q1233" t="n">
        <v>0</v>
      </c>
      <c r="R1233" s="2" t="inlineStr"/>
    </row>
    <row r="1234" ht="15" customHeight="1">
      <c r="A1234" t="inlineStr">
        <is>
          <t>A 48592-2021</t>
        </is>
      </c>
      <c r="B1234" s="1" t="n">
        <v>44452</v>
      </c>
      <c r="C1234" s="1" t="n">
        <v>45952</v>
      </c>
      <c r="D1234" t="inlineStr">
        <is>
          <t>VÄSTRA GÖTALANDS LÄN</t>
        </is>
      </c>
      <c r="E1234" t="inlineStr">
        <is>
          <t>FÄRGELANDA</t>
        </is>
      </c>
      <c r="G1234" t="n">
        <v>2</v>
      </c>
      <c r="H1234" t="n">
        <v>0</v>
      </c>
      <c r="I1234" t="n">
        <v>0</v>
      </c>
      <c r="J1234" t="n">
        <v>0</v>
      </c>
      <c r="K1234" t="n">
        <v>0</v>
      </c>
      <c r="L1234" t="n">
        <v>0</v>
      </c>
      <c r="M1234" t="n">
        <v>0</v>
      </c>
      <c r="N1234" t="n">
        <v>0</v>
      </c>
      <c r="O1234" t="n">
        <v>0</v>
      </c>
      <c r="P1234" t="n">
        <v>0</v>
      </c>
      <c r="Q1234" t="n">
        <v>0</v>
      </c>
      <c r="R1234" s="2" t="inlineStr"/>
    </row>
    <row r="1235" ht="15" customHeight="1">
      <c r="A1235" t="inlineStr">
        <is>
          <t>A 46431-2022</t>
        </is>
      </c>
      <c r="B1235" s="1" t="n">
        <v>44846</v>
      </c>
      <c r="C1235" s="1" t="n">
        <v>45952</v>
      </c>
      <c r="D1235" t="inlineStr">
        <is>
          <t>VÄSTRA GÖTALANDS LÄN</t>
        </is>
      </c>
      <c r="E1235" t="inlineStr">
        <is>
          <t>GULLSPÅNG</t>
        </is>
      </c>
      <c r="G1235" t="n">
        <v>1</v>
      </c>
      <c r="H1235" t="n">
        <v>0</v>
      </c>
      <c r="I1235" t="n">
        <v>0</v>
      </c>
      <c r="J1235" t="n">
        <v>0</v>
      </c>
      <c r="K1235" t="n">
        <v>0</v>
      </c>
      <c r="L1235" t="n">
        <v>0</v>
      </c>
      <c r="M1235" t="n">
        <v>0</v>
      </c>
      <c r="N1235" t="n">
        <v>0</v>
      </c>
      <c r="O1235" t="n">
        <v>0</v>
      </c>
      <c r="P1235" t="n">
        <v>0</v>
      </c>
      <c r="Q1235" t="n">
        <v>0</v>
      </c>
      <c r="R1235" s="2" t="inlineStr"/>
    </row>
    <row r="1236" ht="15" customHeight="1">
      <c r="A1236" t="inlineStr">
        <is>
          <t>A 48713-2021</t>
        </is>
      </c>
      <c r="B1236" s="1" t="n">
        <v>44452</v>
      </c>
      <c r="C1236" s="1" t="n">
        <v>45952</v>
      </c>
      <c r="D1236" t="inlineStr">
        <is>
          <t>VÄSTRA GÖTALANDS LÄN</t>
        </is>
      </c>
      <c r="E1236" t="inlineStr">
        <is>
          <t>TANUM</t>
        </is>
      </c>
      <c r="G1236" t="n">
        <v>4.4</v>
      </c>
      <c r="H1236" t="n">
        <v>0</v>
      </c>
      <c r="I1236" t="n">
        <v>0</v>
      </c>
      <c r="J1236" t="n">
        <v>0</v>
      </c>
      <c r="K1236" t="n">
        <v>0</v>
      </c>
      <c r="L1236" t="n">
        <v>0</v>
      </c>
      <c r="M1236" t="n">
        <v>0</v>
      </c>
      <c r="N1236" t="n">
        <v>0</v>
      </c>
      <c r="O1236" t="n">
        <v>0</v>
      </c>
      <c r="P1236" t="n">
        <v>0</v>
      </c>
      <c r="Q1236" t="n">
        <v>0</v>
      </c>
      <c r="R1236" s="2" t="inlineStr"/>
    </row>
    <row r="1237" ht="15" customHeight="1">
      <c r="A1237" t="inlineStr">
        <is>
          <t>A 54195-2021</t>
        </is>
      </c>
      <c r="B1237" s="1" t="n">
        <v>44470</v>
      </c>
      <c r="C1237" s="1" t="n">
        <v>45952</v>
      </c>
      <c r="D1237" t="inlineStr">
        <is>
          <t>VÄSTRA GÖTALANDS LÄN</t>
        </is>
      </c>
      <c r="E1237" t="inlineStr">
        <is>
          <t>TANUM</t>
        </is>
      </c>
      <c r="G1237" t="n">
        <v>3.8</v>
      </c>
      <c r="H1237" t="n">
        <v>0</v>
      </c>
      <c r="I1237" t="n">
        <v>0</v>
      </c>
      <c r="J1237" t="n">
        <v>0</v>
      </c>
      <c r="K1237" t="n">
        <v>0</v>
      </c>
      <c r="L1237" t="n">
        <v>0</v>
      </c>
      <c r="M1237" t="n">
        <v>0</v>
      </c>
      <c r="N1237" t="n">
        <v>0</v>
      </c>
      <c r="O1237" t="n">
        <v>0</v>
      </c>
      <c r="P1237" t="n">
        <v>0</v>
      </c>
      <c r="Q1237" t="n">
        <v>0</v>
      </c>
      <c r="R1237" s="2" t="inlineStr"/>
    </row>
    <row r="1238" ht="15" customHeight="1">
      <c r="A1238" t="inlineStr">
        <is>
          <t>A 46432-2021</t>
        </is>
      </c>
      <c r="B1238" s="1" t="n">
        <v>44445.32841435185</v>
      </c>
      <c r="C1238" s="1" t="n">
        <v>45952</v>
      </c>
      <c r="D1238" t="inlineStr">
        <is>
          <t>VÄSTRA GÖTALANDS LÄN</t>
        </is>
      </c>
      <c r="E1238" t="inlineStr">
        <is>
          <t>VÅRGÅRDA</t>
        </is>
      </c>
      <c r="G1238" t="n">
        <v>2.1</v>
      </c>
      <c r="H1238" t="n">
        <v>0</v>
      </c>
      <c r="I1238" t="n">
        <v>0</v>
      </c>
      <c r="J1238" t="n">
        <v>0</v>
      </c>
      <c r="K1238" t="n">
        <v>0</v>
      </c>
      <c r="L1238" t="n">
        <v>0</v>
      </c>
      <c r="M1238" t="n">
        <v>0</v>
      </c>
      <c r="N1238" t="n">
        <v>0</v>
      </c>
      <c r="O1238" t="n">
        <v>0</v>
      </c>
      <c r="P1238" t="n">
        <v>0</v>
      </c>
      <c r="Q1238" t="n">
        <v>0</v>
      </c>
      <c r="R1238" s="2" t="inlineStr"/>
    </row>
    <row r="1239" ht="15" customHeight="1">
      <c r="A1239" t="inlineStr">
        <is>
          <t>A 61486-2021</t>
        </is>
      </c>
      <c r="B1239" s="1" t="n">
        <v>44501</v>
      </c>
      <c r="C1239" s="1" t="n">
        <v>45952</v>
      </c>
      <c r="D1239" t="inlineStr">
        <is>
          <t>VÄSTRA GÖTALANDS LÄN</t>
        </is>
      </c>
      <c r="E1239" t="inlineStr">
        <is>
          <t>MARK</t>
        </is>
      </c>
      <c r="G1239" t="n">
        <v>9</v>
      </c>
      <c r="H1239" t="n">
        <v>0</v>
      </c>
      <c r="I1239" t="n">
        <v>0</v>
      </c>
      <c r="J1239" t="n">
        <v>0</v>
      </c>
      <c r="K1239" t="n">
        <v>0</v>
      </c>
      <c r="L1239" t="n">
        <v>0</v>
      </c>
      <c r="M1239" t="n">
        <v>0</v>
      </c>
      <c r="N1239" t="n">
        <v>0</v>
      </c>
      <c r="O1239" t="n">
        <v>0</v>
      </c>
      <c r="P1239" t="n">
        <v>0</v>
      </c>
      <c r="Q1239" t="n">
        <v>0</v>
      </c>
      <c r="R1239" s="2" t="inlineStr"/>
    </row>
    <row r="1240" ht="15" customHeight="1">
      <c r="A1240" t="inlineStr">
        <is>
          <t>A 24424-2022</t>
        </is>
      </c>
      <c r="B1240" s="1" t="n">
        <v>44726</v>
      </c>
      <c r="C1240" s="1" t="n">
        <v>45952</v>
      </c>
      <c r="D1240" t="inlineStr">
        <is>
          <t>VÄSTRA GÖTALANDS LÄN</t>
        </is>
      </c>
      <c r="E1240" t="inlineStr">
        <is>
          <t>TRANEMO</t>
        </is>
      </c>
      <c r="G1240" t="n">
        <v>0.5</v>
      </c>
      <c r="H1240" t="n">
        <v>0</v>
      </c>
      <c r="I1240" t="n">
        <v>0</v>
      </c>
      <c r="J1240" t="n">
        <v>0</v>
      </c>
      <c r="K1240" t="n">
        <v>0</v>
      </c>
      <c r="L1240" t="n">
        <v>0</v>
      </c>
      <c r="M1240" t="n">
        <v>0</v>
      </c>
      <c r="N1240" t="n">
        <v>0</v>
      </c>
      <c r="O1240" t="n">
        <v>0</v>
      </c>
      <c r="P1240" t="n">
        <v>0</v>
      </c>
      <c r="Q1240" t="n">
        <v>0</v>
      </c>
      <c r="R1240" s="2" t="inlineStr"/>
    </row>
    <row r="1241" ht="15" customHeight="1">
      <c r="A1241" t="inlineStr">
        <is>
          <t>A 4301-2022</t>
        </is>
      </c>
      <c r="B1241" s="1" t="n">
        <v>44588</v>
      </c>
      <c r="C1241" s="1" t="n">
        <v>45952</v>
      </c>
      <c r="D1241" t="inlineStr">
        <is>
          <t>VÄSTRA GÖTALANDS LÄN</t>
        </is>
      </c>
      <c r="E1241" t="inlineStr">
        <is>
          <t>SVENLJUNGA</t>
        </is>
      </c>
      <c r="G1241" t="n">
        <v>0.8</v>
      </c>
      <c r="H1241" t="n">
        <v>0</v>
      </c>
      <c r="I1241" t="n">
        <v>0</v>
      </c>
      <c r="J1241" t="n">
        <v>0</v>
      </c>
      <c r="K1241" t="n">
        <v>0</v>
      </c>
      <c r="L1241" t="n">
        <v>0</v>
      </c>
      <c r="M1241" t="n">
        <v>0</v>
      </c>
      <c r="N1241" t="n">
        <v>0</v>
      </c>
      <c r="O1241" t="n">
        <v>0</v>
      </c>
      <c r="P1241" t="n">
        <v>0</v>
      </c>
      <c r="Q1241" t="n">
        <v>0</v>
      </c>
      <c r="R1241" s="2" t="inlineStr"/>
    </row>
    <row r="1242" ht="15" customHeight="1">
      <c r="A1242" t="inlineStr">
        <is>
          <t>A 12313-2022</t>
        </is>
      </c>
      <c r="B1242" s="1" t="n">
        <v>44637.59607638889</v>
      </c>
      <c r="C1242" s="1" t="n">
        <v>45952</v>
      </c>
      <c r="D1242" t="inlineStr">
        <is>
          <t>VÄSTRA GÖTALANDS LÄN</t>
        </is>
      </c>
      <c r="E1242" t="inlineStr">
        <is>
          <t>ALINGSÅS</t>
        </is>
      </c>
      <c r="G1242" t="n">
        <v>0.8</v>
      </c>
      <c r="H1242" t="n">
        <v>0</v>
      </c>
      <c r="I1242" t="n">
        <v>0</v>
      </c>
      <c r="J1242" t="n">
        <v>0</v>
      </c>
      <c r="K1242" t="n">
        <v>0</v>
      </c>
      <c r="L1242" t="n">
        <v>0</v>
      </c>
      <c r="M1242" t="n">
        <v>0</v>
      </c>
      <c r="N1242" t="n">
        <v>0</v>
      </c>
      <c r="O1242" t="n">
        <v>0</v>
      </c>
      <c r="P1242" t="n">
        <v>0</v>
      </c>
      <c r="Q1242" t="n">
        <v>0</v>
      </c>
      <c r="R1242" s="2" t="inlineStr"/>
    </row>
    <row r="1243" ht="15" customHeight="1">
      <c r="A1243" t="inlineStr">
        <is>
          <t>A 25855-2022</t>
        </is>
      </c>
      <c r="B1243" s="1" t="n">
        <v>44733.62166666667</v>
      </c>
      <c r="C1243" s="1" t="n">
        <v>45952</v>
      </c>
      <c r="D1243" t="inlineStr">
        <is>
          <t>VÄSTRA GÖTALANDS LÄN</t>
        </is>
      </c>
      <c r="E1243" t="inlineStr">
        <is>
          <t>TÖREBODA</t>
        </is>
      </c>
      <c r="G1243" t="n">
        <v>1.3</v>
      </c>
      <c r="H1243" t="n">
        <v>0</v>
      </c>
      <c r="I1243" t="n">
        <v>0</v>
      </c>
      <c r="J1243" t="n">
        <v>0</v>
      </c>
      <c r="K1243" t="n">
        <v>0</v>
      </c>
      <c r="L1243" t="n">
        <v>0</v>
      </c>
      <c r="M1243" t="n">
        <v>0</v>
      </c>
      <c r="N1243" t="n">
        <v>0</v>
      </c>
      <c r="O1243" t="n">
        <v>0</v>
      </c>
      <c r="P1243" t="n">
        <v>0</v>
      </c>
      <c r="Q1243" t="n">
        <v>0</v>
      </c>
      <c r="R1243" s="2" t="inlineStr"/>
    </row>
    <row r="1244" ht="15" customHeight="1">
      <c r="A1244" t="inlineStr">
        <is>
          <t>A 26865-2022</t>
        </is>
      </c>
      <c r="B1244" s="1" t="n">
        <v>44740.52371527778</v>
      </c>
      <c r="C1244" s="1" t="n">
        <v>45952</v>
      </c>
      <c r="D1244" t="inlineStr">
        <is>
          <t>VÄSTRA GÖTALANDS LÄN</t>
        </is>
      </c>
      <c r="E1244" t="inlineStr">
        <is>
          <t>TÖREBODA</t>
        </is>
      </c>
      <c r="G1244" t="n">
        <v>0.7</v>
      </c>
      <c r="H1244" t="n">
        <v>0</v>
      </c>
      <c r="I1244" t="n">
        <v>0</v>
      </c>
      <c r="J1244" t="n">
        <v>0</v>
      </c>
      <c r="K1244" t="n">
        <v>0</v>
      </c>
      <c r="L1244" t="n">
        <v>0</v>
      </c>
      <c r="M1244" t="n">
        <v>0</v>
      </c>
      <c r="N1244" t="n">
        <v>0</v>
      </c>
      <c r="O1244" t="n">
        <v>0</v>
      </c>
      <c r="P1244" t="n">
        <v>0</v>
      </c>
      <c r="Q1244" t="n">
        <v>0</v>
      </c>
      <c r="R1244" s="2" t="inlineStr"/>
    </row>
    <row r="1245" ht="15" customHeight="1">
      <c r="A1245" t="inlineStr">
        <is>
          <t>A 19455-2021</t>
        </is>
      </c>
      <c r="B1245" s="1" t="n">
        <v>44311.54153935185</v>
      </c>
      <c r="C1245" s="1" t="n">
        <v>45952</v>
      </c>
      <c r="D1245" t="inlineStr">
        <is>
          <t>VÄSTRA GÖTALANDS LÄN</t>
        </is>
      </c>
      <c r="E1245" t="inlineStr">
        <is>
          <t>GRÄSTORP</t>
        </is>
      </c>
      <c r="G1245" t="n">
        <v>10.9</v>
      </c>
      <c r="H1245" t="n">
        <v>0</v>
      </c>
      <c r="I1245" t="n">
        <v>0</v>
      </c>
      <c r="J1245" t="n">
        <v>0</v>
      </c>
      <c r="K1245" t="n">
        <v>0</v>
      </c>
      <c r="L1245" t="n">
        <v>0</v>
      </c>
      <c r="M1245" t="n">
        <v>0</v>
      </c>
      <c r="N1245" t="n">
        <v>0</v>
      </c>
      <c r="O1245" t="n">
        <v>0</v>
      </c>
      <c r="P1245" t="n">
        <v>0</v>
      </c>
      <c r="Q1245" t="n">
        <v>0</v>
      </c>
      <c r="R1245" s="2" t="inlineStr"/>
    </row>
    <row r="1246" ht="15" customHeight="1">
      <c r="A1246" t="inlineStr">
        <is>
          <t>A 29256-2022</t>
        </is>
      </c>
      <c r="B1246" s="1" t="n">
        <v>44750</v>
      </c>
      <c r="C1246" s="1" t="n">
        <v>45952</v>
      </c>
      <c r="D1246" t="inlineStr">
        <is>
          <t>VÄSTRA GÖTALANDS LÄN</t>
        </is>
      </c>
      <c r="E1246" t="inlineStr">
        <is>
          <t>MARK</t>
        </is>
      </c>
      <c r="G1246" t="n">
        <v>0.5</v>
      </c>
      <c r="H1246" t="n">
        <v>0</v>
      </c>
      <c r="I1246" t="n">
        <v>0</v>
      </c>
      <c r="J1246" t="n">
        <v>0</v>
      </c>
      <c r="K1246" t="n">
        <v>0</v>
      </c>
      <c r="L1246" t="n">
        <v>0</v>
      </c>
      <c r="M1246" t="n">
        <v>0</v>
      </c>
      <c r="N1246" t="n">
        <v>0</v>
      </c>
      <c r="O1246" t="n">
        <v>0</v>
      </c>
      <c r="P1246" t="n">
        <v>0</v>
      </c>
      <c r="Q1246" t="n">
        <v>0</v>
      </c>
      <c r="R1246" s="2" t="inlineStr"/>
    </row>
    <row r="1247" ht="15" customHeight="1">
      <c r="A1247" t="inlineStr">
        <is>
          <t>A 19498-2021</t>
        </is>
      </c>
      <c r="B1247" s="1" t="n">
        <v>44312.35069444445</v>
      </c>
      <c r="C1247" s="1" t="n">
        <v>45952</v>
      </c>
      <c r="D1247" t="inlineStr">
        <is>
          <t>VÄSTRA GÖTALANDS LÄN</t>
        </is>
      </c>
      <c r="E1247" t="inlineStr">
        <is>
          <t>FÄRGELANDA</t>
        </is>
      </c>
      <c r="G1247" t="n">
        <v>10.1</v>
      </c>
      <c r="H1247" t="n">
        <v>0</v>
      </c>
      <c r="I1247" t="n">
        <v>0</v>
      </c>
      <c r="J1247" t="n">
        <v>0</v>
      </c>
      <c r="K1247" t="n">
        <v>0</v>
      </c>
      <c r="L1247" t="n">
        <v>0</v>
      </c>
      <c r="M1247" t="n">
        <v>0</v>
      </c>
      <c r="N1247" t="n">
        <v>0</v>
      </c>
      <c r="O1247" t="n">
        <v>0</v>
      </c>
      <c r="P1247" t="n">
        <v>0</v>
      </c>
      <c r="Q1247" t="n">
        <v>0</v>
      </c>
      <c r="R1247" s="2" t="inlineStr"/>
    </row>
    <row r="1248" ht="15" customHeight="1">
      <c r="A1248" t="inlineStr">
        <is>
          <t>A 9008-2022</t>
        </is>
      </c>
      <c r="B1248" s="1" t="n">
        <v>44615.35890046296</v>
      </c>
      <c r="C1248" s="1" t="n">
        <v>45952</v>
      </c>
      <c r="D1248" t="inlineStr">
        <is>
          <t>VÄSTRA GÖTALANDS LÄN</t>
        </is>
      </c>
      <c r="E1248" t="inlineStr">
        <is>
          <t>MELLERUD</t>
        </is>
      </c>
      <c r="G1248" t="n">
        <v>0.1</v>
      </c>
      <c r="H1248" t="n">
        <v>0</v>
      </c>
      <c r="I1248" t="n">
        <v>0</v>
      </c>
      <c r="J1248" t="n">
        <v>0</v>
      </c>
      <c r="K1248" t="n">
        <v>0</v>
      </c>
      <c r="L1248" t="n">
        <v>0</v>
      </c>
      <c r="M1248" t="n">
        <v>0</v>
      </c>
      <c r="N1248" t="n">
        <v>0</v>
      </c>
      <c r="O1248" t="n">
        <v>0</v>
      </c>
      <c r="P1248" t="n">
        <v>0</v>
      </c>
      <c r="Q1248" t="n">
        <v>0</v>
      </c>
      <c r="R1248" s="2" t="inlineStr"/>
    </row>
    <row r="1249" ht="15" customHeight="1">
      <c r="A1249" t="inlineStr">
        <is>
          <t>A 9009-2022</t>
        </is>
      </c>
      <c r="B1249" s="1" t="n">
        <v>44615</v>
      </c>
      <c r="C1249" s="1" t="n">
        <v>45952</v>
      </c>
      <c r="D1249" t="inlineStr">
        <is>
          <t>VÄSTRA GÖTALANDS LÄN</t>
        </is>
      </c>
      <c r="E1249" t="inlineStr">
        <is>
          <t>TIDAHOLM</t>
        </is>
      </c>
      <c r="F1249" t="inlineStr">
        <is>
          <t>Kyrkan</t>
        </is>
      </c>
      <c r="G1249" t="n">
        <v>7.9</v>
      </c>
      <c r="H1249" t="n">
        <v>0</v>
      </c>
      <c r="I1249" t="n">
        <v>0</v>
      </c>
      <c r="J1249" t="n">
        <v>0</v>
      </c>
      <c r="K1249" t="n">
        <v>0</v>
      </c>
      <c r="L1249" t="n">
        <v>0</v>
      </c>
      <c r="M1249" t="n">
        <v>0</v>
      </c>
      <c r="N1249" t="n">
        <v>0</v>
      </c>
      <c r="O1249" t="n">
        <v>0</v>
      </c>
      <c r="P1249" t="n">
        <v>0</v>
      </c>
      <c r="Q1249" t="n">
        <v>0</v>
      </c>
      <c r="R1249" s="2" t="inlineStr"/>
    </row>
    <row r="1250" ht="15" customHeight="1">
      <c r="A1250" t="inlineStr">
        <is>
          <t>A 1441-2022</t>
        </is>
      </c>
      <c r="B1250" s="1" t="n">
        <v>44573.46288194445</v>
      </c>
      <c r="C1250" s="1" t="n">
        <v>45952</v>
      </c>
      <c r="D1250" t="inlineStr">
        <is>
          <t>VÄSTRA GÖTALANDS LÄN</t>
        </is>
      </c>
      <c r="E1250" t="inlineStr">
        <is>
          <t>TANUM</t>
        </is>
      </c>
      <c r="G1250" t="n">
        <v>0.5</v>
      </c>
      <c r="H1250" t="n">
        <v>0</v>
      </c>
      <c r="I1250" t="n">
        <v>0</v>
      </c>
      <c r="J1250" t="n">
        <v>0</v>
      </c>
      <c r="K1250" t="n">
        <v>0</v>
      </c>
      <c r="L1250" t="n">
        <v>0</v>
      </c>
      <c r="M1250" t="n">
        <v>0</v>
      </c>
      <c r="N1250" t="n">
        <v>0</v>
      </c>
      <c r="O1250" t="n">
        <v>0</v>
      </c>
      <c r="P1250" t="n">
        <v>0</v>
      </c>
      <c r="Q1250" t="n">
        <v>0</v>
      </c>
      <c r="R1250" s="2" t="inlineStr"/>
    </row>
    <row r="1251" ht="15" customHeight="1">
      <c r="A1251" t="inlineStr">
        <is>
          <t>A 36495-2021</t>
        </is>
      </c>
      <c r="B1251" s="1" t="n">
        <v>44390</v>
      </c>
      <c r="C1251" s="1" t="n">
        <v>45952</v>
      </c>
      <c r="D1251" t="inlineStr">
        <is>
          <t>VÄSTRA GÖTALANDS LÄN</t>
        </is>
      </c>
      <c r="E1251" t="inlineStr">
        <is>
          <t>TÖREBODA</t>
        </is>
      </c>
      <c r="G1251" t="n">
        <v>1.5</v>
      </c>
      <c r="H1251" t="n">
        <v>0</v>
      </c>
      <c r="I1251" t="n">
        <v>0</v>
      </c>
      <c r="J1251" t="n">
        <v>0</v>
      </c>
      <c r="K1251" t="n">
        <v>0</v>
      </c>
      <c r="L1251" t="n">
        <v>0</v>
      </c>
      <c r="M1251" t="n">
        <v>0</v>
      </c>
      <c r="N1251" t="n">
        <v>0</v>
      </c>
      <c r="O1251" t="n">
        <v>0</v>
      </c>
      <c r="P1251" t="n">
        <v>0</v>
      </c>
      <c r="Q1251" t="n">
        <v>0</v>
      </c>
      <c r="R1251" s="2" t="inlineStr"/>
    </row>
    <row r="1252" ht="15" customHeight="1">
      <c r="A1252" t="inlineStr">
        <is>
          <t>A 53973-2021</t>
        </is>
      </c>
      <c r="B1252" s="1" t="n">
        <v>44470</v>
      </c>
      <c r="C1252" s="1" t="n">
        <v>45952</v>
      </c>
      <c r="D1252" t="inlineStr">
        <is>
          <t>VÄSTRA GÖTALANDS LÄN</t>
        </is>
      </c>
      <c r="E1252" t="inlineStr">
        <is>
          <t>FALKÖPING</t>
        </is>
      </c>
      <c r="G1252" t="n">
        <v>4.1</v>
      </c>
      <c r="H1252" t="n">
        <v>0</v>
      </c>
      <c r="I1252" t="n">
        <v>0</v>
      </c>
      <c r="J1252" t="n">
        <v>0</v>
      </c>
      <c r="K1252" t="n">
        <v>0</v>
      </c>
      <c r="L1252" t="n">
        <v>0</v>
      </c>
      <c r="M1252" t="n">
        <v>0</v>
      </c>
      <c r="N1252" t="n">
        <v>0</v>
      </c>
      <c r="O1252" t="n">
        <v>0</v>
      </c>
      <c r="P1252" t="n">
        <v>0</v>
      </c>
      <c r="Q1252" t="n">
        <v>0</v>
      </c>
      <c r="R1252" s="2" t="inlineStr"/>
    </row>
    <row r="1253" ht="15" customHeight="1">
      <c r="A1253" t="inlineStr">
        <is>
          <t>A 53975-2021</t>
        </is>
      </c>
      <c r="B1253" s="1" t="n">
        <v>44470.30924768518</v>
      </c>
      <c r="C1253" s="1" t="n">
        <v>45952</v>
      </c>
      <c r="D1253" t="inlineStr">
        <is>
          <t>VÄSTRA GÖTALANDS LÄN</t>
        </is>
      </c>
      <c r="E1253" t="inlineStr">
        <is>
          <t>FALKÖPING</t>
        </is>
      </c>
      <c r="G1253" t="n">
        <v>1.1</v>
      </c>
      <c r="H1253" t="n">
        <v>0</v>
      </c>
      <c r="I1253" t="n">
        <v>0</v>
      </c>
      <c r="J1253" t="n">
        <v>0</v>
      </c>
      <c r="K1253" t="n">
        <v>0</v>
      </c>
      <c r="L1253" t="n">
        <v>0</v>
      </c>
      <c r="M1253" t="n">
        <v>0</v>
      </c>
      <c r="N1253" t="n">
        <v>0</v>
      </c>
      <c r="O1253" t="n">
        <v>0</v>
      </c>
      <c r="P1253" t="n">
        <v>0</v>
      </c>
      <c r="Q1253" t="n">
        <v>0</v>
      </c>
      <c r="R1253" s="2" t="inlineStr"/>
    </row>
    <row r="1254" ht="15" customHeight="1">
      <c r="A1254" t="inlineStr">
        <is>
          <t>A 51196-2021</t>
        </is>
      </c>
      <c r="B1254" s="1" t="n">
        <v>44460</v>
      </c>
      <c r="C1254" s="1" t="n">
        <v>45952</v>
      </c>
      <c r="D1254" t="inlineStr">
        <is>
          <t>VÄSTRA GÖTALANDS LÄN</t>
        </is>
      </c>
      <c r="E1254" t="inlineStr">
        <is>
          <t>GULLSPÅNG</t>
        </is>
      </c>
      <c r="G1254" t="n">
        <v>7.5</v>
      </c>
      <c r="H1254" t="n">
        <v>0</v>
      </c>
      <c r="I1254" t="n">
        <v>0</v>
      </c>
      <c r="J1254" t="n">
        <v>0</v>
      </c>
      <c r="K1254" t="n">
        <v>0</v>
      </c>
      <c r="L1254" t="n">
        <v>0</v>
      </c>
      <c r="M1254" t="n">
        <v>0</v>
      </c>
      <c r="N1254" t="n">
        <v>0</v>
      </c>
      <c r="O1254" t="n">
        <v>0</v>
      </c>
      <c r="P1254" t="n">
        <v>0</v>
      </c>
      <c r="Q1254" t="n">
        <v>0</v>
      </c>
      <c r="R1254" s="2" t="inlineStr"/>
    </row>
    <row r="1255" ht="15" customHeight="1">
      <c r="A1255" t="inlineStr">
        <is>
          <t>A 50817-2021</t>
        </is>
      </c>
      <c r="B1255" s="1" t="n">
        <v>44460.49046296296</v>
      </c>
      <c r="C1255" s="1" t="n">
        <v>45952</v>
      </c>
      <c r="D1255" t="inlineStr">
        <is>
          <t>VÄSTRA GÖTALANDS LÄN</t>
        </is>
      </c>
      <c r="E1255" t="inlineStr">
        <is>
          <t>MARIESTAD</t>
        </is>
      </c>
      <c r="G1255" t="n">
        <v>2</v>
      </c>
      <c r="H1255" t="n">
        <v>0</v>
      </c>
      <c r="I1255" t="n">
        <v>0</v>
      </c>
      <c r="J1255" t="n">
        <v>0</v>
      </c>
      <c r="K1255" t="n">
        <v>0</v>
      </c>
      <c r="L1255" t="n">
        <v>0</v>
      </c>
      <c r="M1255" t="n">
        <v>0</v>
      </c>
      <c r="N1255" t="n">
        <v>0</v>
      </c>
      <c r="O1255" t="n">
        <v>0</v>
      </c>
      <c r="P1255" t="n">
        <v>0</v>
      </c>
      <c r="Q1255" t="n">
        <v>0</v>
      </c>
      <c r="R1255" s="2" t="inlineStr"/>
    </row>
    <row r="1256" ht="15" customHeight="1">
      <c r="A1256" t="inlineStr">
        <is>
          <t>A 21318-2021</t>
        </is>
      </c>
      <c r="B1256" s="1" t="n">
        <v>44320</v>
      </c>
      <c r="C1256" s="1" t="n">
        <v>45952</v>
      </c>
      <c r="D1256" t="inlineStr">
        <is>
          <t>VÄSTRA GÖTALANDS LÄN</t>
        </is>
      </c>
      <c r="E1256" t="inlineStr">
        <is>
          <t>STENUNGSUND</t>
        </is>
      </c>
      <c r="G1256" t="n">
        <v>1.2</v>
      </c>
      <c r="H1256" t="n">
        <v>0</v>
      </c>
      <c r="I1256" t="n">
        <v>0</v>
      </c>
      <c r="J1256" t="n">
        <v>0</v>
      </c>
      <c r="K1256" t="n">
        <v>0</v>
      </c>
      <c r="L1256" t="n">
        <v>0</v>
      </c>
      <c r="M1256" t="n">
        <v>0</v>
      </c>
      <c r="N1256" t="n">
        <v>0</v>
      </c>
      <c r="O1256" t="n">
        <v>0</v>
      </c>
      <c r="P1256" t="n">
        <v>0</v>
      </c>
      <c r="Q1256" t="n">
        <v>0</v>
      </c>
      <c r="R1256" s="2" t="inlineStr"/>
    </row>
    <row r="1257" ht="15" customHeight="1">
      <c r="A1257" t="inlineStr">
        <is>
          <t>A 66369-2021</t>
        </is>
      </c>
      <c r="B1257" s="1" t="n">
        <v>44518</v>
      </c>
      <c r="C1257" s="1" t="n">
        <v>45952</v>
      </c>
      <c r="D1257" t="inlineStr">
        <is>
          <t>VÄSTRA GÖTALANDS LÄN</t>
        </is>
      </c>
      <c r="E1257" t="inlineStr">
        <is>
          <t>MARK</t>
        </is>
      </c>
      <c r="F1257" t="inlineStr">
        <is>
          <t>Kyrkan</t>
        </is>
      </c>
      <c r="G1257" t="n">
        <v>1.8</v>
      </c>
      <c r="H1257" t="n">
        <v>0</v>
      </c>
      <c r="I1257" t="n">
        <v>0</v>
      </c>
      <c r="J1257" t="n">
        <v>0</v>
      </c>
      <c r="K1257" t="n">
        <v>0</v>
      </c>
      <c r="L1257" t="n">
        <v>0</v>
      </c>
      <c r="M1257" t="n">
        <v>0</v>
      </c>
      <c r="N1257" t="n">
        <v>0</v>
      </c>
      <c r="O1257" t="n">
        <v>0</v>
      </c>
      <c r="P1257" t="n">
        <v>0</v>
      </c>
      <c r="Q1257" t="n">
        <v>0</v>
      </c>
      <c r="R1257" s="2" t="inlineStr"/>
    </row>
    <row r="1258" ht="15" customHeight="1">
      <c r="A1258" t="inlineStr">
        <is>
          <t>A 58405-2021</t>
        </is>
      </c>
      <c r="B1258" s="1" t="n">
        <v>44488</v>
      </c>
      <c r="C1258" s="1" t="n">
        <v>45952</v>
      </c>
      <c r="D1258" t="inlineStr">
        <is>
          <t>VÄSTRA GÖTALANDS LÄN</t>
        </is>
      </c>
      <c r="E1258" t="inlineStr">
        <is>
          <t>BORÅS</t>
        </is>
      </c>
      <c r="G1258" t="n">
        <v>0.4</v>
      </c>
      <c r="H1258" t="n">
        <v>0</v>
      </c>
      <c r="I1258" t="n">
        <v>0</v>
      </c>
      <c r="J1258" t="n">
        <v>0</v>
      </c>
      <c r="K1258" t="n">
        <v>0</v>
      </c>
      <c r="L1258" t="n">
        <v>0</v>
      </c>
      <c r="M1258" t="n">
        <v>0</v>
      </c>
      <c r="N1258" t="n">
        <v>0</v>
      </c>
      <c r="O1258" t="n">
        <v>0</v>
      </c>
      <c r="P1258" t="n">
        <v>0</v>
      </c>
      <c r="Q1258" t="n">
        <v>0</v>
      </c>
      <c r="R1258" s="2" t="inlineStr"/>
    </row>
    <row r="1259" ht="15" customHeight="1">
      <c r="A1259" t="inlineStr">
        <is>
          <t>A 51255-2021</t>
        </is>
      </c>
      <c r="B1259" s="1" t="n">
        <v>44461</v>
      </c>
      <c r="C1259" s="1" t="n">
        <v>45952</v>
      </c>
      <c r="D1259" t="inlineStr">
        <is>
          <t>VÄSTRA GÖTALANDS LÄN</t>
        </is>
      </c>
      <c r="E1259" t="inlineStr">
        <is>
          <t>TRANEMO</t>
        </is>
      </c>
      <c r="G1259" t="n">
        <v>1.9</v>
      </c>
      <c r="H1259" t="n">
        <v>0</v>
      </c>
      <c r="I1259" t="n">
        <v>0</v>
      </c>
      <c r="J1259" t="n">
        <v>0</v>
      </c>
      <c r="K1259" t="n">
        <v>0</v>
      </c>
      <c r="L1259" t="n">
        <v>0</v>
      </c>
      <c r="M1259" t="n">
        <v>0</v>
      </c>
      <c r="N1259" t="n">
        <v>0</v>
      </c>
      <c r="O1259" t="n">
        <v>0</v>
      </c>
      <c r="P1259" t="n">
        <v>0</v>
      </c>
      <c r="Q1259" t="n">
        <v>0</v>
      </c>
      <c r="R1259" s="2" t="inlineStr"/>
    </row>
    <row r="1260" ht="15" customHeight="1">
      <c r="A1260" t="inlineStr">
        <is>
          <t>A 74304-2021</t>
        </is>
      </c>
      <c r="B1260" s="1" t="n">
        <v>44559.36643518518</v>
      </c>
      <c r="C1260" s="1" t="n">
        <v>45952</v>
      </c>
      <c r="D1260" t="inlineStr">
        <is>
          <t>VÄSTRA GÖTALANDS LÄN</t>
        </is>
      </c>
      <c r="E1260" t="inlineStr">
        <is>
          <t>FALKÖPING</t>
        </is>
      </c>
      <c r="G1260" t="n">
        <v>0.6</v>
      </c>
      <c r="H1260" t="n">
        <v>0</v>
      </c>
      <c r="I1260" t="n">
        <v>0</v>
      </c>
      <c r="J1260" t="n">
        <v>0</v>
      </c>
      <c r="K1260" t="n">
        <v>0</v>
      </c>
      <c r="L1260" t="n">
        <v>0</v>
      </c>
      <c r="M1260" t="n">
        <v>0</v>
      </c>
      <c r="N1260" t="n">
        <v>0</v>
      </c>
      <c r="O1260" t="n">
        <v>0</v>
      </c>
      <c r="P1260" t="n">
        <v>0</v>
      </c>
      <c r="Q1260" t="n">
        <v>0</v>
      </c>
      <c r="R1260" s="2" t="inlineStr"/>
    </row>
    <row r="1261" ht="15" customHeight="1">
      <c r="A1261" t="inlineStr">
        <is>
          <t>A 57615-2021</t>
        </is>
      </c>
      <c r="B1261" s="1" t="n">
        <v>44484</v>
      </c>
      <c r="C1261" s="1" t="n">
        <v>45952</v>
      </c>
      <c r="D1261" t="inlineStr">
        <is>
          <t>VÄSTRA GÖTALANDS LÄN</t>
        </is>
      </c>
      <c r="E1261" t="inlineStr">
        <is>
          <t>FÄRGELANDA</t>
        </is>
      </c>
      <c r="G1261" t="n">
        <v>3.4</v>
      </c>
      <c r="H1261" t="n">
        <v>0</v>
      </c>
      <c r="I1261" t="n">
        <v>0</v>
      </c>
      <c r="J1261" t="n">
        <v>0</v>
      </c>
      <c r="K1261" t="n">
        <v>0</v>
      </c>
      <c r="L1261" t="n">
        <v>0</v>
      </c>
      <c r="M1261" t="n">
        <v>0</v>
      </c>
      <c r="N1261" t="n">
        <v>0</v>
      </c>
      <c r="O1261" t="n">
        <v>0</v>
      </c>
      <c r="P1261" t="n">
        <v>0</v>
      </c>
      <c r="Q1261" t="n">
        <v>0</v>
      </c>
      <c r="R1261" s="2" t="inlineStr"/>
    </row>
    <row r="1262" ht="15" customHeight="1">
      <c r="A1262" t="inlineStr">
        <is>
          <t>A 13342-2022</t>
        </is>
      </c>
      <c r="B1262" s="1" t="n">
        <v>44645</v>
      </c>
      <c r="C1262" s="1" t="n">
        <v>45952</v>
      </c>
      <c r="D1262" t="inlineStr">
        <is>
          <t>VÄSTRA GÖTALANDS LÄN</t>
        </is>
      </c>
      <c r="E1262" t="inlineStr">
        <is>
          <t>GÖTENE</t>
        </is>
      </c>
      <c r="G1262" t="n">
        <v>3.9</v>
      </c>
      <c r="H1262" t="n">
        <v>0</v>
      </c>
      <c r="I1262" t="n">
        <v>0</v>
      </c>
      <c r="J1262" t="n">
        <v>0</v>
      </c>
      <c r="K1262" t="n">
        <v>0</v>
      </c>
      <c r="L1262" t="n">
        <v>0</v>
      </c>
      <c r="M1262" t="n">
        <v>0</v>
      </c>
      <c r="N1262" t="n">
        <v>0</v>
      </c>
      <c r="O1262" t="n">
        <v>0</v>
      </c>
      <c r="P1262" t="n">
        <v>0</v>
      </c>
      <c r="Q1262" t="n">
        <v>0</v>
      </c>
      <c r="R1262" s="2" t="inlineStr"/>
    </row>
    <row r="1263" ht="15" customHeight="1">
      <c r="A1263" t="inlineStr">
        <is>
          <t>A 19807-2021</t>
        </is>
      </c>
      <c r="B1263" s="1" t="n">
        <v>44313</v>
      </c>
      <c r="C1263" s="1" t="n">
        <v>45952</v>
      </c>
      <c r="D1263" t="inlineStr">
        <is>
          <t>VÄSTRA GÖTALANDS LÄN</t>
        </is>
      </c>
      <c r="E1263" t="inlineStr">
        <is>
          <t>BORÅS</t>
        </is>
      </c>
      <c r="G1263" t="n">
        <v>1.4</v>
      </c>
      <c r="H1263" t="n">
        <v>0</v>
      </c>
      <c r="I1263" t="n">
        <v>0</v>
      </c>
      <c r="J1263" t="n">
        <v>0</v>
      </c>
      <c r="K1263" t="n">
        <v>0</v>
      </c>
      <c r="L1263" t="n">
        <v>0</v>
      </c>
      <c r="M1263" t="n">
        <v>0</v>
      </c>
      <c r="N1263" t="n">
        <v>0</v>
      </c>
      <c r="O1263" t="n">
        <v>0</v>
      </c>
      <c r="P1263" t="n">
        <v>0</v>
      </c>
      <c r="Q1263" t="n">
        <v>0</v>
      </c>
      <c r="R1263" s="2" t="inlineStr"/>
    </row>
    <row r="1264" ht="15" customHeight="1">
      <c r="A1264" t="inlineStr">
        <is>
          <t>A 19132-2022</t>
        </is>
      </c>
      <c r="B1264" s="1" t="n">
        <v>44691</v>
      </c>
      <c r="C1264" s="1" t="n">
        <v>45952</v>
      </c>
      <c r="D1264" t="inlineStr">
        <is>
          <t>VÄSTRA GÖTALANDS LÄN</t>
        </is>
      </c>
      <c r="E1264" t="inlineStr">
        <is>
          <t>KUNGÄLV</t>
        </is>
      </c>
      <c r="G1264" t="n">
        <v>1.3</v>
      </c>
      <c r="H1264" t="n">
        <v>0</v>
      </c>
      <c r="I1264" t="n">
        <v>0</v>
      </c>
      <c r="J1264" t="n">
        <v>0</v>
      </c>
      <c r="K1264" t="n">
        <v>0</v>
      </c>
      <c r="L1264" t="n">
        <v>0</v>
      </c>
      <c r="M1264" t="n">
        <v>0</v>
      </c>
      <c r="N1264" t="n">
        <v>0</v>
      </c>
      <c r="O1264" t="n">
        <v>0</v>
      </c>
      <c r="P1264" t="n">
        <v>0</v>
      </c>
      <c r="Q1264" t="n">
        <v>0</v>
      </c>
      <c r="R1264" s="2" t="inlineStr"/>
    </row>
    <row r="1265" ht="15" customHeight="1">
      <c r="A1265" t="inlineStr">
        <is>
          <t>A 19133-2022</t>
        </is>
      </c>
      <c r="B1265" s="1" t="n">
        <v>44691</v>
      </c>
      <c r="C1265" s="1" t="n">
        <v>45952</v>
      </c>
      <c r="D1265" t="inlineStr">
        <is>
          <t>VÄSTRA GÖTALANDS LÄN</t>
        </is>
      </c>
      <c r="E1265" t="inlineStr">
        <is>
          <t>KUNGÄLV</t>
        </is>
      </c>
      <c r="G1265" t="n">
        <v>1.3</v>
      </c>
      <c r="H1265" t="n">
        <v>0</v>
      </c>
      <c r="I1265" t="n">
        <v>0</v>
      </c>
      <c r="J1265" t="n">
        <v>0</v>
      </c>
      <c r="K1265" t="n">
        <v>0</v>
      </c>
      <c r="L1265" t="n">
        <v>0</v>
      </c>
      <c r="M1265" t="n">
        <v>0</v>
      </c>
      <c r="N1265" t="n">
        <v>0</v>
      </c>
      <c r="O1265" t="n">
        <v>0</v>
      </c>
      <c r="P1265" t="n">
        <v>0</v>
      </c>
      <c r="Q1265" t="n">
        <v>0</v>
      </c>
      <c r="R1265" s="2" t="inlineStr"/>
    </row>
    <row r="1266" ht="15" customHeight="1">
      <c r="A1266" t="inlineStr">
        <is>
          <t>A 37412-2021</t>
        </is>
      </c>
      <c r="B1266" s="1" t="n">
        <v>44398</v>
      </c>
      <c r="C1266" s="1" t="n">
        <v>45952</v>
      </c>
      <c r="D1266" t="inlineStr">
        <is>
          <t>VÄSTRA GÖTALANDS LÄN</t>
        </is>
      </c>
      <c r="E1266" t="inlineStr">
        <is>
          <t>ESSUNGA</t>
        </is>
      </c>
      <c r="G1266" t="n">
        <v>1.8</v>
      </c>
      <c r="H1266" t="n">
        <v>0</v>
      </c>
      <c r="I1266" t="n">
        <v>0</v>
      </c>
      <c r="J1266" t="n">
        <v>0</v>
      </c>
      <c r="K1266" t="n">
        <v>0</v>
      </c>
      <c r="L1266" t="n">
        <v>0</v>
      </c>
      <c r="M1266" t="n">
        <v>0</v>
      </c>
      <c r="N1266" t="n">
        <v>0</v>
      </c>
      <c r="O1266" t="n">
        <v>0</v>
      </c>
      <c r="P1266" t="n">
        <v>0</v>
      </c>
      <c r="Q1266" t="n">
        <v>0</v>
      </c>
      <c r="R1266" s="2" t="inlineStr"/>
    </row>
    <row r="1267" ht="15" customHeight="1">
      <c r="A1267" t="inlineStr">
        <is>
          <t>A 30789-2022</t>
        </is>
      </c>
      <c r="B1267" s="1" t="n">
        <v>44764</v>
      </c>
      <c r="C1267" s="1" t="n">
        <v>45952</v>
      </c>
      <c r="D1267" t="inlineStr">
        <is>
          <t>VÄSTRA GÖTALANDS LÄN</t>
        </is>
      </c>
      <c r="E1267" t="inlineStr">
        <is>
          <t>MARK</t>
        </is>
      </c>
      <c r="G1267" t="n">
        <v>0.4</v>
      </c>
      <c r="H1267" t="n">
        <v>0</v>
      </c>
      <c r="I1267" t="n">
        <v>0</v>
      </c>
      <c r="J1267" t="n">
        <v>0</v>
      </c>
      <c r="K1267" t="n">
        <v>0</v>
      </c>
      <c r="L1267" t="n">
        <v>0</v>
      </c>
      <c r="M1267" t="n">
        <v>0</v>
      </c>
      <c r="N1267" t="n">
        <v>0</v>
      </c>
      <c r="O1267" t="n">
        <v>0</v>
      </c>
      <c r="P1267" t="n">
        <v>0</v>
      </c>
      <c r="Q1267" t="n">
        <v>0</v>
      </c>
      <c r="R1267" s="2" t="inlineStr"/>
    </row>
    <row r="1268" ht="15" customHeight="1">
      <c r="A1268" t="inlineStr">
        <is>
          <t>A 19622-2021</t>
        </is>
      </c>
      <c r="B1268" s="1" t="n">
        <v>44312.60563657407</v>
      </c>
      <c r="C1268" s="1" t="n">
        <v>45952</v>
      </c>
      <c r="D1268" t="inlineStr">
        <is>
          <t>VÄSTRA GÖTALANDS LÄN</t>
        </is>
      </c>
      <c r="E1268" t="inlineStr">
        <is>
          <t>TROLLHÄTTAN</t>
        </is>
      </c>
      <c r="G1268" t="n">
        <v>0.4</v>
      </c>
      <c r="H1268" t="n">
        <v>0</v>
      </c>
      <c r="I1268" t="n">
        <v>0</v>
      </c>
      <c r="J1268" t="n">
        <v>0</v>
      </c>
      <c r="K1268" t="n">
        <v>0</v>
      </c>
      <c r="L1268" t="n">
        <v>0</v>
      </c>
      <c r="M1268" t="n">
        <v>0</v>
      </c>
      <c r="N1268" t="n">
        <v>0</v>
      </c>
      <c r="O1268" t="n">
        <v>0</v>
      </c>
      <c r="P1268" t="n">
        <v>0</v>
      </c>
      <c r="Q1268" t="n">
        <v>0</v>
      </c>
      <c r="R1268" s="2" t="inlineStr"/>
    </row>
    <row r="1269" ht="15" customHeight="1">
      <c r="A1269" t="inlineStr">
        <is>
          <t>A 39542-2022</t>
        </is>
      </c>
      <c r="B1269" s="1" t="n">
        <v>44818</v>
      </c>
      <c r="C1269" s="1" t="n">
        <v>45952</v>
      </c>
      <c r="D1269" t="inlineStr">
        <is>
          <t>VÄSTRA GÖTALANDS LÄN</t>
        </is>
      </c>
      <c r="E1269" t="inlineStr">
        <is>
          <t>TÖREBODA</t>
        </is>
      </c>
      <c r="F1269" t="inlineStr">
        <is>
          <t>Kommuner</t>
        </is>
      </c>
      <c r="G1269" t="n">
        <v>2.6</v>
      </c>
      <c r="H1269" t="n">
        <v>0</v>
      </c>
      <c r="I1269" t="n">
        <v>0</v>
      </c>
      <c r="J1269" t="n">
        <v>0</v>
      </c>
      <c r="K1269" t="n">
        <v>0</v>
      </c>
      <c r="L1269" t="n">
        <v>0</v>
      </c>
      <c r="M1269" t="n">
        <v>0</v>
      </c>
      <c r="N1269" t="n">
        <v>0</v>
      </c>
      <c r="O1269" t="n">
        <v>0</v>
      </c>
      <c r="P1269" t="n">
        <v>0</v>
      </c>
      <c r="Q1269" t="n">
        <v>0</v>
      </c>
      <c r="R1269" s="2" t="inlineStr"/>
    </row>
    <row r="1270" ht="15" customHeight="1">
      <c r="A1270" t="inlineStr">
        <is>
          <t>A 22770-2021</t>
        </is>
      </c>
      <c r="B1270" s="1" t="n">
        <v>44327</v>
      </c>
      <c r="C1270" s="1" t="n">
        <v>45952</v>
      </c>
      <c r="D1270" t="inlineStr">
        <is>
          <t>VÄSTRA GÖTALANDS LÄN</t>
        </is>
      </c>
      <c r="E1270" t="inlineStr">
        <is>
          <t>TANUM</t>
        </is>
      </c>
      <c r="G1270" t="n">
        <v>3.1</v>
      </c>
      <c r="H1270" t="n">
        <v>0</v>
      </c>
      <c r="I1270" t="n">
        <v>0</v>
      </c>
      <c r="J1270" t="n">
        <v>0</v>
      </c>
      <c r="K1270" t="n">
        <v>0</v>
      </c>
      <c r="L1270" t="n">
        <v>0</v>
      </c>
      <c r="M1270" t="n">
        <v>0</v>
      </c>
      <c r="N1270" t="n">
        <v>0</v>
      </c>
      <c r="O1270" t="n">
        <v>0</v>
      </c>
      <c r="P1270" t="n">
        <v>0</v>
      </c>
      <c r="Q1270" t="n">
        <v>0</v>
      </c>
      <c r="R1270" s="2" t="inlineStr"/>
    </row>
    <row r="1271" ht="15" customHeight="1">
      <c r="A1271" t="inlineStr">
        <is>
          <t>A 12219-2021</t>
        </is>
      </c>
      <c r="B1271" s="1" t="n">
        <v>44266.66760416667</v>
      </c>
      <c r="C1271" s="1" t="n">
        <v>45952</v>
      </c>
      <c r="D1271" t="inlineStr">
        <is>
          <t>VÄSTRA GÖTALANDS LÄN</t>
        </is>
      </c>
      <c r="E1271" t="inlineStr">
        <is>
          <t>KARLSBORG</t>
        </is>
      </c>
      <c r="G1271" t="n">
        <v>0.8</v>
      </c>
      <c r="H1271" t="n">
        <v>0</v>
      </c>
      <c r="I1271" t="n">
        <v>0</v>
      </c>
      <c r="J1271" t="n">
        <v>0</v>
      </c>
      <c r="K1271" t="n">
        <v>0</v>
      </c>
      <c r="L1271" t="n">
        <v>0</v>
      </c>
      <c r="M1271" t="n">
        <v>0</v>
      </c>
      <c r="N1271" t="n">
        <v>0</v>
      </c>
      <c r="O1271" t="n">
        <v>0</v>
      </c>
      <c r="P1271" t="n">
        <v>0</v>
      </c>
      <c r="Q1271" t="n">
        <v>0</v>
      </c>
      <c r="R1271" s="2" t="inlineStr"/>
    </row>
    <row r="1272" ht="15" customHeight="1">
      <c r="A1272" t="inlineStr">
        <is>
          <t>A 60613-2020</t>
        </is>
      </c>
      <c r="B1272" s="1" t="n">
        <v>44153</v>
      </c>
      <c r="C1272" s="1" t="n">
        <v>45952</v>
      </c>
      <c r="D1272" t="inlineStr">
        <is>
          <t>VÄSTRA GÖTALANDS LÄN</t>
        </is>
      </c>
      <c r="E1272" t="inlineStr">
        <is>
          <t>LERUM</t>
        </is>
      </c>
      <c r="G1272" t="n">
        <v>0.7</v>
      </c>
      <c r="H1272" t="n">
        <v>0</v>
      </c>
      <c r="I1272" t="n">
        <v>0</v>
      </c>
      <c r="J1272" t="n">
        <v>0</v>
      </c>
      <c r="K1272" t="n">
        <v>0</v>
      </c>
      <c r="L1272" t="n">
        <v>0</v>
      </c>
      <c r="M1272" t="n">
        <v>0</v>
      </c>
      <c r="N1272" t="n">
        <v>0</v>
      </c>
      <c r="O1272" t="n">
        <v>0</v>
      </c>
      <c r="P1272" t="n">
        <v>0</v>
      </c>
      <c r="Q1272" t="n">
        <v>0</v>
      </c>
      <c r="R1272" s="2" t="inlineStr"/>
    </row>
    <row r="1273" ht="15" customHeight="1">
      <c r="A1273" t="inlineStr">
        <is>
          <t>A 32627-2022</t>
        </is>
      </c>
      <c r="B1273" s="1" t="n">
        <v>44783</v>
      </c>
      <c r="C1273" s="1" t="n">
        <v>45952</v>
      </c>
      <c r="D1273" t="inlineStr">
        <is>
          <t>VÄSTRA GÖTALANDS LÄN</t>
        </is>
      </c>
      <c r="E1273" t="inlineStr">
        <is>
          <t>MELLERUD</t>
        </is>
      </c>
      <c r="G1273" t="n">
        <v>1.6</v>
      </c>
      <c r="H1273" t="n">
        <v>0</v>
      </c>
      <c r="I1273" t="n">
        <v>0</v>
      </c>
      <c r="J1273" t="n">
        <v>0</v>
      </c>
      <c r="K1273" t="n">
        <v>0</v>
      </c>
      <c r="L1273" t="n">
        <v>0</v>
      </c>
      <c r="M1273" t="n">
        <v>0</v>
      </c>
      <c r="N1273" t="n">
        <v>0</v>
      </c>
      <c r="O1273" t="n">
        <v>0</v>
      </c>
      <c r="P1273" t="n">
        <v>0</v>
      </c>
      <c r="Q1273" t="n">
        <v>0</v>
      </c>
      <c r="R1273" s="2" t="inlineStr"/>
    </row>
    <row r="1274" ht="15" customHeight="1">
      <c r="A1274" t="inlineStr">
        <is>
          <t>A 64973-2020</t>
        </is>
      </c>
      <c r="B1274" s="1" t="n">
        <v>44169</v>
      </c>
      <c r="C1274" s="1" t="n">
        <v>45952</v>
      </c>
      <c r="D1274" t="inlineStr">
        <is>
          <t>VÄSTRA GÖTALANDS LÄN</t>
        </is>
      </c>
      <c r="E1274" t="inlineStr">
        <is>
          <t>TÖREBODA</t>
        </is>
      </c>
      <c r="G1274" t="n">
        <v>8.800000000000001</v>
      </c>
      <c r="H1274" t="n">
        <v>0</v>
      </c>
      <c r="I1274" t="n">
        <v>0</v>
      </c>
      <c r="J1274" t="n">
        <v>0</v>
      </c>
      <c r="K1274" t="n">
        <v>0</v>
      </c>
      <c r="L1274" t="n">
        <v>0</v>
      </c>
      <c r="M1274" t="n">
        <v>0</v>
      </c>
      <c r="N1274" t="n">
        <v>0</v>
      </c>
      <c r="O1274" t="n">
        <v>0</v>
      </c>
      <c r="P1274" t="n">
        <v>0</v>
      </c>
      <c r="Q1274" t="n">
        <v>0</v>
      </c>
      <c r="R1274" s="2" t="inlineStr"/>
    </row>
    <row r="1275" ht="15" customHeight="1">
      <c r="A1275" t="inlineStr">
        <is>
          <t>A 46017-2021</t>
        </is>
      </c>
      <c r="B1275" s="1" t="n">
        <v>44441.90895833333</v>
      </c>
      <c r="C1275" s="1" t="n">
        <v>45952</v>
      </c>
      <c r="D1275" t="inlineStr">
        <is>
          <t>VÄSTRA GÖTALANDS LÄN</t>
        </is>
      </c>
      <c r="E1275" t="inlineStr">
        <is>
          <t>MARK</t>
        </is>
      </c>
      <c r="G1275" t="n">
        <v>1</v>
      </c>
      <c r="H1275" t="n">
        <v>0</v>
      </c>
      <c r="I1275" t="n">
        <v>0</v>
      </c>
      <c r="J1275" t="n">
        <v>0</v>
      </c>
      <c r="K1275" t="n">
        <v>0</v>
      </c>
      <c r="L1275" t="n">
        <v>0</v>
      </c>
      <c r="M1275" t="n">
        <v>0</v>
      </c>
      <c r="N1275" t="n">
        <v>0</v>
      </c>
      <c r="O1275" t="n">
        <v>0</v>
      </c>
      <c r="P1275" t="n">
        <v>0</v>
      </c>
      <c r="Q1275" t="n">
        <v>0</v>
      </c>
      <c r="R1275" s="2" t="inlineStr"/>
    </row>
    <row r="1276" ht="15" customHeight="1">
      <c r="A1276" t="inlineStr">
        <is>
          <t>A 25943-2022</t>
        </is>
      </c>
      <c r="B1276" s="1" t="n">
        <v>44734</v>
      </c>
      <c r="C1276" s="1" t="n">
        <v>45952</v>
      </c>
      <c r="D1276" t="inlineStr">
        <is>
          <t>VÄSTRA GÖTALANDS LÄN</t>
        </is>
      </c>
      <c r="E1276" t="inlineStr">
        <is>
          <t>TIBRO</t>
        </is>
      </c>
      <c r="G1276" t="n">
        <v>1.7</v>
      </c>
      <c r="H1276" t="n">
        <v>0</v>
      </c>
      <c r="I1276" t="n">
        <v>0</v>
      </c>
      <c r="J1276" t="n">
        <v>0</v>
      </c>
      <c r="K1276" t="n">
        <v>0</v>
      </c>
      <c r="L1276" t="n">
        <v>0</v>
      </c>
      <c r="M1276" t="n">
        <v>0</v>
      </c>
      <c r="N1276" t="n">
        <v>0</v>
      </c>
      <c r="O1276" t="n">
        <v>0</v>
      </c>
      <c r="P1276" t="n">
        <v>0</v>
      </c>
      <c r="Q1276" t="n">
        <v>0</v>
      </c>
      <c r="R1276" s="2" t="inlineStr"/>
    </row>
    <row r="1277" ht="15" customHeight="1">
      <c r="A1277" t="inlineStr">
        <is>
          <t>A 32946-2021</t>
        </is>
      </c>
      <c r="B1277" s="1" t="n">
        <v>44376</v>
      </c>
      <c r="C1277" s="1" t="n">
        <v>45952</v>
      </c>
      <c r="D1277" t="inlineStr">
        <is>
          <t>VÄSTRA GÖTALANDS LÄN</t>
        </is>
      </c>
      <c r="E1277" t="inlineStr">
        <is>
          <t>SVENLJUNGA</t>
        </is>
      </c>
      <c r="G1277" t="n">
        <v>2.2</v>
      </c>
      <c r="H1277" t="n">
        <v>0</v>
      </c>
      <c r="I1277" t="n">
        <v>0</v>
      </c>
      <c r="J1277" t="n">
        <v>0</v>
      </c>
      <c r="K1277" t="n">
        <v>0</v>
      </c>
      <c r="L1277" t="n">
        <v>0</v>
      </c>
      <c r="M1277" t="n">
        <v>0</v>
      </c>
      <c r="N1277" t="n">
        <v>0</v>
      </c>
      <c r="O1277" t="n">
        <v>0</v>
      </c>
      <c r="P1277" t="n">
        <v>0</v>
      </c>
      <c r="Q1277" t="n">
        <v>0</v>
      </c>
      <c r="R1277" s="2" t="inlineStr"/>
    </row>
    <row r="1278" ht="15" customHeight="1">
      <c r="A1278" t="inlineStr">
        <is>
          <t>A 16179-2021</t>
        </is>
      </c>
      <c r="B1278" s="1" t="n">
        <v>44292.42471064815</v>
      </c>
      <c r="C1278" s="1" t="n">
        <v>45952</v>
      </c>
      <c r="D1278" t="inlineStr">
        <is>
          <t>VÄSTRA GÖTALANDS LÄN</t>
        </is>
      </c>
      <c r="E1278" t="inlineStr">
        <is>
          <t>KARLSBORG</t>
        </is>
      </c>
      <c r="G1278" t="n">
        <v>0.6</v>
      </c>
      <c r="H1278" t="n">
        <v>0</v>
      </c>
      <c r="I1278" t="n">
        <v>0</v>
      </c>
      <c r="J1278" t="n">
        <v>0</v>
      </c>
      <c r="K1278" t="n">
        <v>0</v>
      </c>
      <c r="L1278" t="n">
        <v>0</v>
      </c>
      <c r="M1278" t="n">
        <v>0</v>
      </c>
      <c r="N1278" t="n">
        <v>0</v>
      </c>
      <c r="O1278" t="n">
        <v>0</v>
      </c>
      <c r="P1278" t="n">
        <v>0</v>
      </c>
      <c r="Q1278" t="n">
        <v>0</v>
      </c>
      <c r="R1278" s="2" t="inlineStr"/>
    </row>
    <row r="1279" ht="15" customHeight="1">
      <c r="A1279" t="inlineStr">
        <is>
          <t>A 46212-2021</t>
        </is>
      </c>
      <c r="B1279" s="1" t="n">
        <v>44442.48902777778</v>
      </c>
      <c r="C1279" s="1" t="n">
        <v>45952</v>
      </c>
      <c r="D1279" t="inlineStr">
        <is>
          <t>VÄSTRA GÖTALANDS LÄN</t>
        </is>
      </c>
      <c r="E1279" t="inlineStr">
        <is>
          <t>ULRICEHAMN</t>
        </is>
      </c>
      <c r="G1279" t="n">
        <v>0.7</v>
      </c>
      <c r="H1279" t="n">
        <v>0</v>
      </c>
      <c r="I1279" t="n">
        <v>0</v>
      </c>
      <c r="J1279" t="n">
        <v>0</v>
      </c>
      <c r="K1279" t="n">
        <v>0</v>
      </c>
      <c r="L1279" t="n">
        <v>0</v>
      </c>
      <c r="M1279" t="n">
        <v>0</v>
      </c>
      <c r="N1279" t="n">
        <v>0</v>
      </c>
      <c r="O1279" t="n">
        <v>0</v>
      </c>
      <c r="P1279" t="n">
        <v>0</v>
      </c>
      <c r="Q1279" t="n">
        <v>0</v>
      </c>
      <c r="R1279" s="2" t="inlineStr"/>
    </row>
    <row r="1280" ht="15" customHeight="1">
      <c r="A1280" t="inlineStr">
        <is>
          <t>A 30197-2022</t>
        </is>
      </c>
      <c r="B1280" s="1" t="n">
        <v>44757.64813657408</v>
      </c>
      <c r="C1280" s="1" t="n">
        <v>45952</v>
      </c>
      <c r="D1280" t="inlineStr">
        <is>
          <t>VÄSTRA GÖTALANDS LÄN</t>
        </is>
      </c>
      <c r="E1280" t="inlineStr">
        <is>
          <t>LERUM</t>
        </is>
      </c>
      <c r="G1280" t="n">
        <v>2.8</v>
      </c>
      <c r="H1280" t="n">
        <v>0</v>
      </c>
      <c r="I1280" t="n">
        <v>0</v>
      </c>
      <c r="J1280" t="n">
        <v>0</v>
      </c>
      <c r="K1280" t="n">
        <v>0</v>
      </c>
      <c r="L1280" t="n">
        <v>0</v>
      </c>
      <c r="M1280" t="n">
        <v>0</v>
      </c>
      <c r="N1280" t="n">
        <v>0</v>
      </c>
      <c r="O1280" t="n">
        <v>0</v>
      </c>
      <c r="P1280" t="n">
        <v>0</v>
      </c>
      <c r="Q1280" t="n">
        <v>0</v>
      </c>
      <c r="R1280" s="2" t="inlineStr"/>
    </row>
    <row r="1281" ht="15" customHeight="1">
      <c r="A1281" t="inlineStr">
        <is>
          <t>A 23630-2022</t>
        </is>
      </c>
      <c r="B1281" s="1" t="n">
        <v>44721</v>
      </c>
      <c r="C1281" s="1" t="n">
        <v>45952</v>
      </c>
      <c r="D1281" t="inlineStr">
        <is>
          <t>VÄSTRA GÖTALANDS LÄN</t>
        </is>
      </c>
      <c r="E1281" t="inlineStr">
        <is>
          <t>BORÅS</t>
        </is>
      </c>
      <c r="G1281" t="n">
        <v>1.3</v>
      </c>
      <c r="H1281" t="n">
        <v>0</v>
      </c>
      <c r="I1281" t="n">
        <v>0</v>
      </c>
      <c r="J1281" t="n">
        <v>0</v>
      </c>
      <c r="K1281" t="n">
        <v>0</v>
      </c>
      <c r="L1281" t="n">
        <v>0</v>
      </c>
      <c r="M1281" t="n">
        <v>0</v>
      </c>
      <c r="N1281" t="n">
        <v>0</v>
      </c>
      <c r="O1281" t="n">
        <v>0</v>
      </c>
      <c r="P1281" t="n">
        <v>0</v>
      </c>
      <c r="Q1281" t="n">
        <v>0</v>
      </c>
      <c r="R1281" s="2" t="inlineStr"/>
    </row>
    <row r="1282" ht="15" customHeight="1">
      <c r="A1282" t="inlineStr">
        <is>
          <t>A 54221-2022</t>
        </is>
      </c>
      <c r="B1282" s="1" t="n">
        <v>44881</v>
      </c>
      <c r="C1282" s="1" t="n">
        <v>45952</v>
      </c>
      <c r="D1282" t="inlineStr">
        <is>
          <t>VÄSTRA GÖTALANDS LÄN</t>
        </is>
      </c>
      <c r="E1282" t="inlineStr">
        <is>
          <t>VÄNERSBORG</t>
        </is>
      </c>
      <c r="G1282" t="n">
        <v>1.4</v>
      </c>
      <c r="H1282" t="n">
        <v>0</v>
      </c>
      <c r="I1282" t="n">
        <v>0</v>
      </c>
      <c r="J1282" t="n">
        <v>0</v>
      </c>
      <c r="K1282" t="n">
        <v>0</v>
      </c>
      <c r="L1282" t="n">
        <v>0</v>
      </c>
      <c r="M1282" t="n">
        <v>0</v>
      </c>
      <c r="N1282" t="n">
        <v>0</v>
      </c>
      <c r="O1282" t="n">
        <v>0</v>
      </c>
      <c r="P1282" t="n">
        <v>0</v>
      </c>
      <c r="Q1282" t="n">
        <v>0</v>
      </c>
      <c r="R1282" s="2" t="inlineStr"/>
    </row>
    <row r="1283" ht="15" customHeight="1">
      <c r="A1283" t="inlineStr">
        <is>
          <t>A 21732-2022</t>
        </is>
      </c>
      <c r="B1283" s="1" t="n">
        <v>44708.34130787037</v>
      </c>
      <c r="C1283" s="1" t="n">
        <v>45952</v>
      </c>
      <c r="D1283" t="inlineStr">
        <is>
          <t>VÄSTRA GÖTALANDS LÄN</t>
        </is>
      </c>
      <c r="E1283" t="inlineStr">
        <is>
          <t>ALINGSÅS</t>
        </is>
      </c>
      <c r="G1283" t="n">
        <v>7.7</v>
      </c>
      <c r="H1283" t="n">
        <v>0</v>
      </c>
      <c r="I1283" t="n">
        <v>0</v>
      </c>
      <c r="J1283" t="n">
        <v>0</v>
      </c>
      <c r="K1283" t="n">
        <v>0</v>
      </c>
      <c r="L1283" t="n">
        <v>0</v>
      </c>
      <c r="M1283" t="n">
        <v>0</v>
      </c>
      <c r="N1283" t="n">
        <v>0</v>
      </c>
      <c r="O1283" t="n">
        <v>0</v>
      </c>
      <c r="P1283" t="n">
        <v>0</v>
      </c>
      <c r="Q1283" t="n">
        <v>0</v>
      </c>
      <c r="R1283" s="2" t="inlineStr"/>
    </row>
    <row r="1284" ht="15" customHeight="1">
      <c r="A1284" t="inlineStr">
        <is>
          <t>A 21780-2022</t>
        </is>
      </c>
      <c r="B1284" s="1" t="n">
        <v>44708</v>
      </c>
      <c r="C1284" s="1" t="n">
        <v>45952</v>
      </c>
      <c r="D1284" t="inlineStr">
        <is>
          <t>VÄSTRA GÖTALANDS LÄN</t>
        </is>
      </c>
      <c r="E1284" t="inlineStr">
        <is>
          <t>HÄRRYDA</t>
        </is>
      </c>
      <c r="G1284" t="n">
        <v>1.4</v>
      </c>
      <c r="H1284" t="n">
        <v>0</v>
      </c>
      <c r="I1284" t="n">
        <v>0</v>
      </c>
      <c r="J1284" t="n">
        <v>0</v>
      </c>
      <c r="K1284" t="n">
        <v>0</v>
      </c>
      <c r="L1284" t="n">
        <v>0</v>
      </c>
      <c r="M1284" t="n">
        <v>0</v>
      </c>
      <c r="N1284" t="n">
        <v>0</v>
      </c>
      <c r="O1284" t="n">
        <v>0</v>
      </c>
      <c r="P1284" t="n">
        <v>0</v>
      </c>
      <c r="Q1284" t="n">
        <v>0</v>
      </c>
      <c r="R1284" s="2" t="inlineStr"/>
    </row>
    <row r="1285" ht="15" customHeight="1">
      <c r="A1285" t="inlineStr">
        <is>
          <t>A 67443-2020</t>
        </is>
      </c>
      <c r="B1285" s="1" t="n">
        <v>44181</v>
      </c>
      <c r="C1285" s="1" t="n">
        <v>45952</v>
      </c>
      <c r="D1285" t="inlineStr">
        <is>
          <t>VÄSTRA GÖTALANDS LÄN</t>
        </is>
      </c>
      <c r="E1285" t="inlineStr">
        <is>
          <t>KARLSBORG</t>
        </is>
      </c>
      <c r="G1285" t="n">
        <v>0.8</v>
      </c>
      <c r="H1285" t="n">
        <v>0</v>
      </c>
      <c r="I1285" t="n">
        <v>0</v>
      </c>
      <c r="J1285" t="n">
        <v>0</v>
      </c>
      <c r="K1285" t="n">
        <v>0</v>
      </c>
      <c r="L1285" t="n">
        <v>0</v>
      </c>
      <c r="M1285" t="n">
        <v>0</v>
      </c>
      <c r="N1285" t="n">
        <v>0</v>
      </c>
      <c r="O1285" t="n">
        <v>0</v>
      </c>
      <c r="P1285" t="n">
        <v>0</v>
      </c>
      <c r="Q1285" t="n">
        <v>0</v>
      </c>
      <c r="R1285" s="2" t="inlineStr"/>
    </row>
    <row r="1286" ht="15" customHeight="1">
      <c r="A1286" t="inlineStr">
        <is>
          <t>A 39787-2021</t>
        </is>
      </c>
      <c r="B1286" s="1" t="n">
        <v>44417.56894675926</v>
      </c>
      <c r="C1286" s="1" t="n">
        <v>45952</v>
      </c>
      <c r="D1286" t="inlineStr">
        <is>
          <t>VÄSTRA GÖTALANDS LÄN</t>
        </is>
      </c>
      <c r="E1286" t="inlineStr">
        <is>
          <t>SKÖVDE</t>
        </is>
      </c>
      <c r="G1286" t="n">
        <v>2.3</v>
      </c>
      <c r="H1286" t="n">
        <v>0</v>
      </c>
      <c r="I1286" t="n">
        <v>0</v>
      </c>
      <c r="J1286" t="n">
        <v>0</v>
      </c>
      <c r="K1286" t="n">
        <v>0</v>
      </c>
      <c r="L1286" t="n">
        <v>0</v>
      </c>
      <c r="M1286" t="n">
        <v>0</v>
      </c>
      <c r="N1286" t="n">
        <v>0</v>
      </c>
      <c r="O1286" t="n">
        <v>0</v>
      </c>
      <c r="P1286" t="n">
        <v>0</v>
      </c>
      <c r="Q1286" t="n">
        <v>0</v>
      </c>
      <c r="R1286" s="2" t="inlineStr"/>
    </row>
    <row r="1287" ht="15" customHeight="1">
      <c r="A1287" t="inlineStr">
        <is>
          <t>A 55509-2021</t>
        </is>
      </c>
      <c r="B1287" s="1" t="n">
        <v>44475</v>
      </c>
      <c r="C1287" s="1" t="n">
        <v>45952</v>
      </c>
      <c r="D1287" t="inlineStr">
        <is>
          <t>VÄSTRA GÖTALANDS LÄN</t>
        </is>
      </c>
      <c r="E1287" t="inlineStr">
        <is>
          <t>VARA</t>
        </is>
      </c>
      <c r="G1287" t="n">
        <v>2</v>
      </c>
      <c r="H1287" t="n">
        <v>0</v>
      </c>
      <c r="I1287" t="n">
        <v>0</v>
      </c>
      <c r="J1287" t="n">
        <v>0</v>
      </c>
      <c r="K1287" t="n">
        <v>0</v>
      </c>
      <c r="L1287" t="n">
        <v>0</v>
      </c>
      <c r="M1287" t="n">
        <v>0</v>
      </c>
      <c r="N1287" t="n">
        <v>0</v>
      </c>
      <c r="O1287" t="n">
        <v>0</v>
      </c>
      <c r="P1287" t="n">
        <v>0</v>
      </c>
      <c r="Q1287" t="n">
        <v>0</v>
      </c>
      <c r="R1287" s="2" t="inlineStr"/>
    </row>
    <row r="1288" ht="15" customHeight="1">
      <c r="A1288" t="inlineStr">
        <is>
          <t>A 49567-2021</t>
        </is>
      </c>
      <c r="B1288" s="1" t="n">
        <v>44454</v>
      </c>
      <c r="C1288" s="1" t="n">
        <v>45952</v>
      </c>
      <c r="D1288" t="inlineStr">
        <is>
          <t>VÄSTRA GÖTALANDS LÄN</t>
        </is>
      </c>
      <c r="E1288" t="inlineStr">
        <is>
          <t>TÖREBODA</t>
        </is>
      </c>
      <c r="G1288" t="n">
        <v>1.3</v>
      </c>
      <c r="H1288" t="n">
        <v>0</v>
      </c>
      <c r="I1288" t="n">
        <v>0</v>
      </c>
      <c r="J1288" t="n">
        <v>0</v>
      </c>
      <c r="K1288" t="n">
        <v>0</v>
      </c>
      <c r="L1288" t="n">
        <v>0</v>
      </c>
      <c r="M1288" t="n">
        <v>0</v>
      </c>
      <c r="N1288" t="n">
        <v>0</v>
      </c>
      <c r="O1288" t="n">
        <v>0</v>
      </c>
      <c r="P1288" t="n">
        <v>0</v>
      </c>
      <c r="Q1288" t="n">
        <v>0</v>
      </c>
      <c r="R1288" s="2" t="inlineStr"/>
    </row>
    <row r="1289" ht="15" customHeight="1">
      <c r="A1289" t="inlineStr">
        <is>
          <t>A 896-2021</t>
        </is>
      </c>
      <c r="B1289" s="1" t="n">
        <v>44206.78572916667</v>
      </c>
      <c r="C1289" s="1" t="n">
        <v>45952</v>
      </c>
      <c r="D1289" t="inlineStr">
        <is>
          <t>VÄSTRA GÖTALANDS LÄN</t>
        </is>
      </c>
      <c r="E1289" t="inlineStr">
        <is>
          <t>MARK</t>
        </is>
      </c>
      <c r="G1289" t="n">
        <v>0.5</v>
      </c>
      <c r="H1289" t="n">
        <v>0</v>
      </c>
      <c r="I1289" t="n">
        <v>0</v>
      </c>
      <c r="J1289" t="n">
        <v>0</v>
      </c>
      <c r="K1289" t="n">
        <v>0</v>
      </c>
      <c r="L1289" t="n">
        <v>0</v>
      </c>
      <c r="M1289" t="n">
        <v>0</v>
      </c>
      <c r="N1289" t="n">
        <v>0</v>
      </c>
      <c r="O1289" t="n">
        <v>0</v>
      </c>
      <c r="P1289" t="n">
        <v>0</v>
      </c>
      <c r="Q1289" t="n">
        <v>0</v>
      </c>
      <c r="R1289" s="2" t="inlineStr"/>
    </row>
    <row r="1290" ht="15" customHeight="1">
      <c r="A1290" t="inlineStr">
        <is>
          <t>A 38037-2022</t>
        </is>
      </c>
      <c r="B1290" s="1" t="n">
        <v>44811.63681712963</v>
      </c>
      <c r="C1290" s="1" t="n">
        <v>45952</v>
      </c>
      <c r="D1290" t="inlineStr">
        <is>
          <t>VÄSTRA GÖTALANDS LÄN</t>
        </is>
      </c>
      <c r="E1290" t="inlineStr">
        <is>
          <t>ESSUNGA</t>
        </is>
      </c>
      <c r="G1290" t="n">
        <v>1.7</v>
      </c>
      <c r="H1290" t="n">
        <v>0</v>
      </c>
      <c r="I1290" t="n">
        <v>0</v>
      </c>
      <c r="J1290" t="n">
        <v>0</v>
      </c>
      <c r="K1290" t="n">
        <v>0</v>
      </c>
      <c r="L1290" t="n">
        <v>0</v>
      </c>
      <c r="M1290" t="n">
        <v>0</v>
      </c>
      <c r="N1290" t="n">
        <v>0</v>
      </c>
      <c r="O1290" t="n">
        <v>0</v>
      </c>
      <c r="P1290" t="n">
        <v>0</v>
      </c>
      <c r="Q1290" t="n">
        <v>0</v>
      </c>
      <c r="R1290" s="2" t="inlineStr"/>
    </row>
    <row r="1291" ht="15" customHeight="1">
      <c r="A1291" t="inlineStr">
        <is>
          <t>A 42415-2022</t>
        </is>
      </c>
      <c r="B1291" s="1" t="n">
        <v>44831</v>
      </c>
      <c r="C1291" s="1" t="n">
        <v>45952</v>
      </c>
      <c r="D1291" t="inlineStr">
        <is>
          <t>VÄSTRA GÖTALANDS LÄN</t>
        </is>
      </c>
      <c r="E1291" t="inlineStr">
        <is>
          <t>MÖLNDAL</t>
        </is>
      </c>
      <c r="F1291" t="inlineStr">
        <is>
          <t>Kommuner</t>
        </is>
      </c>
      <c r="G1291" t="n">
        <v>2.2</v>
      </c>
      <c r="H1291" t="n">
        <v>0</v>
      </c>
      <c r="I1291" t="n">
        <v>0</v>
      </c>
      <c r="J1291" t="n">
        <v>0</v>
      </c>
      <c r="K1291" t="n">
        <v>0</v>
      </c>
      <c r="L1291" t="n">
        <v>0</v>
      </c>
      <c r="M1291" t="n">
        <v>0</v>
      </c>
      <c r="N1291" t="n">
        <v>0</v>
      </c>
      <c r="O1291" t="n">
        <v>0</v>
      </c>
      <c r="P1291" t="n">
        <v>0</v>
      </c>
      <c r="Q1291" t="n">
        <v>0</v>
      </c>
      <c r="R1291" s="2" t="inlineStr"/>
    </row>
    <row r="1292" ht="15" customHeight="1">
      <c r="A1292" t="inlineStr">
        <is>
          <t>A 6624-2022</t>
        </is>
      </c>
      <c r="B1292" s="1" t="n">
        <v>44601</v>
      </c>
      <c r="C1292" s="1" t="n">
        <v>45952</v>
      </c>
      <c r="D1292" t="inlineStr">
        <is>
          <t>VÄSTRA GÖTALANDS LÄN</t>
        </is>
      </c>
      <c r="E1292" t="inlineStr">
        <is>
          <t>VÅRGÅRDA</t>
        </is>
      </c>
      <c r="G1292" t="n">
        <v>1.4</v>
      </c>
      <c r="H1292" t="n">
        <v>0</v>
      </c>
      <c r="I1292" t="n">
        <v>0</v>
      </c>
      <c r="J1292" t="n">
        <v>0</v>
      </c>
      <c r="K1292" t="n">
        <v>0</v>
      </c>
      <c r="L1292" t="n">
        <v>0</v>
      </c>
      <c r="M1292" t="n">
        <v>0</v>
      </c>
      <c r="N1292" t="n">
        <v>0</v>
      </c>
      <c r="O1292" t="n">
        <v>0</v>
      </c>
      <c r="P1292" t="n">
        <v>0</v>
      </c>
      <c r="Q1292" t="n">
        <v>0</v>
      </c>
      <c r="R1292" s="2" t="inlineStr"/>
    </row>
    <row r="1293" ht="15" customHeight="1">
      <c r="A1293" t="inlineStr">
        <is>
          <t>A 5961-2022</t>
        </is>
      </c>
      <c r="B1293" s="1" t="n">
        <v>44596</v>
      </c>
      <c r="C1293" s="1" t="n">
        <v>45952</v>
      </c>
      <c r="D1293" t="inlineStr">
        <is>
          <t>VÄSTRA GÖTALANDS LÄN</t>
        </is>
      </c>
      <c r="E1293" t="inlineStr">
        <is>
          <t>TANUM</t>
        </is>
      </c>
      <c r="G1293" t="n">
        <v>1.9</v>
      </c>
      <c r="H1293" t="n">
        <v>0</v>
      </c>
      <c r="I1293" t="n">
        <v>0</v>
      </c>
      <c r="J1293" t="n">
        <v>0</v>
      </c>
      <c r="K1293" t="n">
        <v>0</v>
      </c>
      <c r="L1293" t="n">
        <v>0</v>
      </c>
      <c r="M1293" t="n">
        <v>0</v>
      </c>
      <c r="N1293" t="n">
        <v>0</v>
      </c>
      <c r="O1293" t="n">
        <v>0</v>
      </c>
      <c r="P1293" t="n">
        <v>0</v>
      </c>
      <c r="Q1293" t="n">
        <v>0</v>
      </c>
      <c r="R1293" s="2" t="inlineStr"/>
    </row>
    <row r="1294" ht="15" customHeight="1">
      <c r="A1294" t="inlineStr">
        <is>
          <t>A 24440-2022</t>
        </is>
      </c>
      <c r="B1294" s="1" t="n">
        <v>44726</v>
      </c>
      <c r="C1294" s="1" t="n">
        <v>45952</v>
      </c>
      <c r="D1294" t="inlineStr">
        <is>
          <t>VÄSTRA GÖTALANDS LÄN</t>
        </is>
      </c>
      <c r="E1294" t="inlineStr">
        <is>
          <t>TÖREBODA</t>
        </is>
      </c>
      <c r="G1294" t="n">
        <v>22.2</v>
      </c>
      <c r="H1294" t="n">
        <v>0</v>
      </c>
      <c r="I1294" t="n">
        <v>0</v>
      </c>
      <c r="J1294" t="n">
        <v>0</v>
      </c>
      <c r="K1294" t="n">
        <v>0</v>
      </c>
      <c r="L1294" t="n">
        <v>0</v>
      </c>
      <c r="M1294" t="n">
        <v>0</v>
      </c>
      <c r="N1294" t="n">
        <v>0</v>
      </c>
      <c r="O1294" t="n">
        <v>0</v>
      </c>
      <c r="P1294" t="n">
        <v>0</v>
      </c>
      <c r="Q1294" t="n">
        <v>0</v>
      </c>
      <c r="R1294" s="2" t="inlineStr"/>
    </row>
    <row r="1295" ht="15" customHeight="1">
      <c r="A1295" t="inlineStr">
        <is>
          <t>A 23800-2021</t>
        </is>
      </c>
      <c r="B1295" s="1" t="n">
        <v>44334</v>
      </c>
      <c r="C1295" s="1" t="n">
        <v>45952</v>
      </c>
      <c r="D1295" t="inlineStr">
        <is>
          <t>VÄSTRA GÖTALANDS LÄN</t>
        </is>
      </c>
      <c r="E1295" t="inlineStr">
        <is>
          <t>SKARA</t>
        </is>
      </c>
      <c r="G1295" t="n">
        <v>1.8</v>
      </c>
      <c r="H1295" t="n">
        <v>0</v>
      </c>
      <c r="I1295" t="n">
        <v>0</v>
      </c>
      <c r="J1295" t="n">
        <v>0</v>
      </c>
      <c r="K1295" t="n">
        <v>0</v>
      </c>
      <c r="L1295" t="n">
        <v>0</v>
      </c>
      <c r="M1295" t="n">
        <v>0</v>
      </c>
      <c r="N1295" t="n">
        <v>0</v>
      </c>
      <c r="O1295" t="n">
        <v>0</v>
      </c>
      <c r="P1295" t="n">
        <v>0</v>
      </c>
      <c r="Q1295" t="n">
        <v>0</v>
      </c>
      <c r="R1295" s="2" t="inlineStr"/>
    </row>
    <row r="1296" ht="15" customHeight="1">
      <c r="A1296" t="inlineStr">
        <is>
          <t>A 23827-2021</t>
        </is>
      </c>
      <c r="B1296" s="1" t="n">
        <v>44335</v>
      </c>
      <c r="C1296" s="1" t="n">
        <v>45952</v>
      </c>
      <c r="D1296" t="inlineStr">
        <is>
          <t>VÄSTRA GÖTALANDS LÄN</t>
        </is>
      </c>
      <c r="E1296" t="inlineStr">
        <is>
          <t>ALINGSÅS</t>
        </is>
      </c>
      <c r="G1296" t="n">
        <v>1.2</v>
      </c>
      <c r="H1296" t="n">
        <v>0</v>
      </c>
      <c r="I1296" t="n">
        <v>0</v>
      </c>
      <c r="J1296" t="n">
        <v>0</v>
      </c>
      <c r="K1296" t="n">
        <v>0</v>
      </c>
      <c r="L1296" t="n">
        <v>0</v>
      </c>
      <c r="M1296" t="n">
        <v>0</v>
      </c>
      <c r="N1296" t="n">
        <v>0</v>
      </c>
      <c r="O1296" t="n">
        <v>0</v>
      </c>
      <c r="P1296" t="n">
        <v>0</v>
      </c>
      <c r="Q1296" t="n">
        <v>0</v>
      </c>
      <c r="R1296" s="2" t="inlineStr"/>
    </row>
    <row r="1297" ht="15" customHeight="1">
      <c r="A1297" t="inlineStr">
        <is>
          <t>A 67165-2021</t>
        </is>
      </c>
      <c r="B1297" s="1" t="n">
        <v>44523</v>
      </c>
      <c r="C1297" s="1" t="n">
        <v>45952</v>
      </c>
      <c r="D1297" t="inlineStr">
        <is>
          <t>VÄSTRA GÖTALANDS LÄN</t>
        </is>
      </c>
      <c r="E1297" t="inlineStr">
        <is>
          <t>ALE</t>
        </is>
      </c>
      <c r="G1297" t="n">
        <v>0.5</v>
      </c>
      <c r="H1297" t="n">
        <v>0</v>
      </c>
      <c r="I1297" t="n">
        <v>0</v>
      </c>
      <c r="J1297" t="n">
        <v>0</v>
      </c>
      <c r="K1297" t="n">
        <v>0</v>
      </c>
      <c r="L1297" t="n">
        <v>0</v>
      </c>
      <c r="M1297" t="n">
        <v>0</v>
      </c>
      <c r="N1297" t="n">
        <v>0</v>
      </c>
      <c r="O1297" t="n">
        <v>0</v>
      </c>
      <c r="P1297" t="n">
        <v>0</v>
      </c>
      <c r="Q1297" t="n">
        <v>0</v>
      </c>
      <c r="R1297" s="2" t="inlineStr"/>
    </row>
    <row r="1298" ht="15" customHeight="1">
      <c r="A1298" t="inlineStr">
        <is>
          <t>A 65481-2021</t>
        </is>
      </c>
      <c r="B1298" s="1" t="n">
        <v>44516.35253472222</v>
      </c>
      <c r="C1298" s="1" t="n">
        <v>45952</v>
      </c>
      <c r="D1298" t="inlineStr">
        <is>
          <t>VÄSTRA GÖTALANDS LÄN</t>
        </is>
      </c>
      <c r="E1298" t="inlineStr">
        <is>
          <t>FÄRGELANDA</t>
        </is>
      </c>
      <c r="G1298" t="n">
        <v>2.4</v>
      </c>
      <c r="H1298" t="n">
        <v>0</v>
      </c>
      <c r="I1298" t="n">
        <v>0</v>
      </c>
      <c r="J1298" t="n">
        <v>0</v>
      </c>
      <c r="K1298" t="n">
        <v>0</v>
      </c>
      <c r="L1298" t="n">
        <v>0</v>
      </c>
      <c r="M1298" t="n">
        <v>0</v>
      </c>
      <c r="N1298" t="n">
        <v>0</v>
      </c>
      <c r="O1298" t="n">
        <v>0</v>
      </c>
      <c r="P1298" t="n">
        <v>0</v>
      </c>
      <c r="Q1298" t="n">
        <v>0</v>
      </c>
      <c r="R1298" s="2" t="inlineStr"/>
    </row>
    <row r="1299" ht="15" customHeight="1">
      <c r="A1299" t="inlineStr">
        <is>
          <t>A 36598-2021</t>
        </is>
      </c>
      <c r="B1299" s="1" t="n">
        <v>44391</v>
      </c>
      <c r="C1299" s="1" t="n">
        <v>45952</v>
      </c>
      <c r="D1299" t="inlineStr">
        <is>
          <t>VÄSTRA GÖTALANDS LÄN</t>
        </is>
      </c>
      <c r="E1299" t="inlineStr">
        <is>
          <t>SKÖVDE</t>
        </is>
      </c>
      <c r="G1299" t="n">
        <v>1.8</v>
      </c>
      <c r="H1299" t="n">
        <v>0</v>
      </c>
      <c r="I1299" t="n">
        <v>0</v>
      </c>
      <c r="J1299" t="n">
        <v>0</v>
      </c>
      <c r="K1299" t="n">
        <v>0</v>
      </c>
      <c r="L1299" t="n">
        <v>0</v>
      </c>
      <c r="M1299" t="n">
        <v>0</v>
      </c>
      <c r="N1299" t="n">
        <v>0</v>
      </c>
      <c r="O1299" t="n">
        <v>0</v>
      </c>
      <c r="P1299" t="n">
        <v>0</v>
      </c>
      <c r="Q1299" t="n">
        <v>0</v>
      </c>
      <c r="R1299" s="2" t="inlineStr"/>
    </row>
    <row r="1300" ht="15" customHeight="1">
      <c r="A1300" t="inlineStr">
        <is>
          <t>A 24443-2022</t>
        </is>
      </c>
      <c r="B1300" s="1" t="n">
        <v>44726</v>
      </c>
      <c r="C1300" s="1" t="n">
        <v>45952</v>
      </c>
      <c r="D1300" t="inlineStr">
        <is>
          <t>VÄSTRA GÖTALANDS LÄN</t>
        </is>
      </c>
      <c r="E1300" t="inlineStr">
        <is>
          <t>ULRICEHAMN</t>
        </is>
      </c>
      <c r="G1300" t="n">
        <v>2.4</v>
      </c>
      <c r="H1300" t="n">
        <v>0</v>
      </c>
      <c r="I1300" t="n">
        <v>0</v>
      </c>
      <c r="J1300" t="n">
        <v>0</v>
      </c>
      <c r="K1300" t="n">
        <v>0</v>
      </c>
      <c r="L1300" t="n">
        <v>0</v>
      </c>
      <c r="M1300" t="n">
        <v>0</v>
      </c>
      <c r="N1300" t="n">
        <v>0</v>
      </c>
      <c r="O1300" t="n">
        <v>0</v>
      </c>
      <c r="P1300" t="n">
        <v>0</v>
      </c>
      <c r="Q1300" t="n">
        <v>0</v>
      </c>
      <c r="R1300" s="2" t="inlineStr"/>
    </row>
    <row r="1301" ht="15" customHeight="1">
      <c r="A1301" t="inlineStr">
        <is>
          <t>A 63378-2021</t>
        </is>
      </c>
      <c r="B1301" s="1" t="n">
        <v>44508</v>
      </c>
      <c r="C1301" s="1" t="n">
        <v>45952</v>
      </c>
      <c r="D1301" t="inlineStr">
        <is>
          <t>VÄSTRA GÖTALANDS LÄN</t>
        </is>
      </c>
      <c r="E1301" t="inlineStr">
        <is>
          <t>TIDAHOLM</t>
        </is>
      </c>
      <c r="G1301" t="n">
        <v>6</v>
      </c>
      <c r="H1301" t="n">
        <v>0</v>
      </c>
      <c r="I1301" t="n">
        <v>0</v>
      </c>
      <c r="J1301" t="n">
        <v>0</v>
      </c>
      <c r="K1301" t="n">
        <v>0</v>
      </c>
      <c r="L1301" t="n">
        <v>0</v>
      </c>
      <c r="M1301" t="n">
        <v>0</v>
      </c>
      <c r="N1301" t="n">
        <v>0</v>
      </c>
      <c r="O1301" t="n">
        <v>0</v>
      </c>
      <c r="P1301" t="n">
        <v>0</v>
      </c>
      <c r="Q1301" t="n">
        <v>0</v>
      </c>
      <c r="R1301" s="2" t="inlineStr"/>
    </row>
    <row r="1302" ht="15" customHeight="1">
      <c r="A1302" t="inlineStr">
        <is>
          <t>A 29874-2022</t>
        </is>
      </c>
      <c r="B1302" s="1" t="n">
        <v>44756.43268518519</v>
      </c>
      <c r="C1302" s="1" t="n">
        <v>45952</v>
      </c>
      <c r="D1302" t="inlineStr">
        <is>
          <t>VÄSTRA GÖTALANDS LÄN</t>
        </is>
      </c>
      <c r="E1302" t="inlineStr">
        <is>
          <t>SKARA</t>
        </is>
      </c>
      <c r="G1302" t="n">
        <v>0.2</v>
      </c>
      <c r="H1302" t="n">
        <v>0</v>
      </c>
      <c r="I1302" t="n">
        <v>0</v>
      </c>
      <c r="J1302" t="n">
        <v>0</v>
      </c>
      <c r="K1302" t="n">
        <v>0</v>
      </c>
      <c r="L1302" t="n">
        <v>0</v>
      </c>
      <c r="M1302" t="n">
        <v>0</v>
      </c>
      <c r="N1302" t="n">
        <v>0</v>
      </c>
      <c r="O1302" t="n">
        <v>0</v>
      </c>
      <c r="P1302" t="n">
        <v>0</v>
      </c>
      <c r="Q1302" t="n">
        <v>0</v>
      </c>
      <c r="R1302" s="2" t="inlineStr"/>
    </row>
    <row r="1303" ht="15" customHeight="1">
      <c r="A1303" t="inlineStr">
        <is>
          <t>A 59088-2021</t>
        </is>
      </c>
      <c r="B1303" s="1" t="n">
        <v>44490.41994212963</v>
      </c>
      <c r="C1303" s="1" t="n">
        <v>45952</v>
      </c>
      <c r="D1303" t="inlineStr">
        <is>
          <t>VÄSTRA GÖTALANDS LÄN</t>
        </is>
      </c>
      <c r="E1303" t="inlineStr">
        <is>
          <t>GÖTENE</t>
        </is>
      </c>
      <c r="G1303" t="n">
        <v>1.1</v>
      </c>
      <c r="H1303" t="n">
        <v>0</v>
      </c>
      <c r="I1303" t="n">
        <v>0</v>
      </c>
      <c r="J1303" t="n">
        <v>0</v>
      </c>
      <c r="K1303" t="n">
        <v>0</v>
      </c>
      <c r="L1303" t="n">
        <v>0</v>
      </c>
      <c r="M1303" t="n">
        <v>0</v>
      </c>
      <c r="N1303" t="n">
        <v>0</v>
      </c>
      <c r="O1303" t="n">
        <v>0</v>
      </c>
      <c r="P1303" t="n">
        <v>0</v>
      </c>
      <c r="Q1303" t="n">
        <v>0</v>
      </c>
      <c r="R1303" s="2" t="inlineStr"/>
    </row>
    <row r="1304" ht="15" customHeight="1">
      <c r="A1304" t="inlineStr">
        <is>
          <t>A 59103-2021</t>
        </is>
      </c>
      <c r="B1304" s="1" t="n">
        <v>44490</v>
      </c>
      <c r="C1304" s="1" t="n">
        <v>45952</v>
      </c>
      <c r="D1304" t="inlineStr">
        <is>
          <t>VÄSTRA GÖTALANDS LÄN</t>
        </is>
      </c>
      <c r="E1304" t="inlineStr">
        <is>
          <t>GÖTENE</t>
        </is>
      </c>
      <c r="G1304" t="n">
        <v>0.4</v>
      </c>
      <c r="H1304" t="n">
        <v>0</v>
      </c>
      <c r="I1304" t="n">
        <v>0</v>
      </c>
      <c r="J1304" t="n">
        <v>0</v>
      </c>
      <c r="K1304" t="n">
        <v>0</v>
      </c>
      <c r="L1304" t="n">
        <v>0</v>
      </c>
      <c r="M1304" t="n">
        <v>0</v>
      </c>
      <c r="N1304" t="n">
        <v>0</v>
      </c>
      <c r="O1304" t="n">
        <v>0</v>
      </c>
      <c r="P1304" t="n">
        <v>0</v>
      </c>
      <c r="Q1304" t="n">
        <v>0</v>
      </c>
      <c r="R1304" s="2" t="inlineStr"/>
    </row>
    <row r="1305" ht="15" customHeight="1">
      <c r="A1305" t="inlineStr">
        <is>
          <t>A 27267-2021</t>
        </is>
      </c>
      <c r="B1305" s="1" t="n">
        <v>44351.26809027778</v>
      </c>
      <c r="C1305" s="1" t="n">
        <v>45952</v>
      </c>
      <c r="D1305" t="inlineStr">
        <is>
          <t>VÄSTRA GÖTALANDS LÄN</t>
        </is>
      </c>
      <c r="E1305" t="inlineStr">
        <is>
          <t>BORÅS</t>
        </is>
      </c>
      <c r="G1305" t="n">
        <v>2.5</v>
      </c>
      <c r="H1305" t="n">
        <v>0</v>
      </c>
      <c r="I1305" t="n">
        <v>0</v>
      </c>
      <c r="J1305" t="n">
        <v>0</v>
      </c>
      <c r="K1305" t="n">
        <v>0</v>
      </c>
      <c r="L1305" t="n">
        <v>0</v>
      </c>
      <c r="M1305" t="n">
        <v>0</v>
      </c>
      <c r="N1305" t="n">
        <v>0</v>
      </c>
      <c r="O1305" t="n">
        <v>0</v>
      </c>
      <c r="P1305" t="n">
        <v>0</v>
      </c>
      <c r="Q1305" t="n">
        <v>0</v>
      </c>
      <c r="R1305" s="2" t="inlineStr"/>
    </row>
    <row r="1306" ht="15" customHeight="1">
      <c r="A1306" t="inlineStr">
        <is>
          <t>A 67959-2021</t>
        </is>
      </c>
      <c r="B1306" s="1" t="n">
        <v>44525</v>
      </c>
      <c r="C1306" s="1" t="n">
        <v>45952</v>
      </c>
      <c r="D1306" t="inlineStr">
        <is>
          <t>VÄSTRA GÖTALANDS LÄN</t>
        </is>
      </c>
      <c r="E1306" t="inlineStr">
        <is>
          <t>FÄRGELANDA</t>
        </is>
      </c>
      <c r="G1306" t="n">
        <v>2.1</v>
      </c>
      <c r="H1306" t="n">
        <v>0</v>
      </c>
      <c r="I1306" t="n">
        <v>0</v>
      </c>
      <c r="J1306" t="n">
        <v>0</v>
      </c>
      <c r="K1306" t="n">
        <v>0</v>
      </c>
      <c r="L1306" t="n">
        <v>0</v>
      </c>
      <c r="M1306" t="n">
        <v>0</v>
      </c>
      <c r="N1306" t="n">
        <v>0</v>
      </c>
      <c r="O1306" t="n">
        <v>0</v>
      </c>
      <c r="P1306" t="n">
        <v>0</v>
      </c>
      <c r="Q1306" t="n">
        <v>0</v>
      </c>
      <c r="R1306" s="2" t="inlineStr"/>
    </row>
    <row r="1307" ht="15" customHeight="1">
      <c r="A1307" t="inlineStr">
        <is>
          <t>A 63901-2021</t>
        </is>
      </c>
      <c r="B1307" s="1" t="n">
        <v>44509</v>
      </c>
      <c r="C1307" s="1" t="n">
        <v>45952</v>
      </c>
      <c r="D1307" t="inlineStr">
        <is>
          <t>VÄSTRA GÖTALANDS LÄN</t>
        </is>
      </c>
      <c r="E1307" t="inlineStr">
        <is>
          <t>MUNKEDAL</t>
        </is>
      </c>
      <c r="G1307" t="n">
        <v>3.6</v>
      </c>
      <c r="H1307" t="n">
        <v>0</v>
      </c>
      <c r="I1307" t="n">
        <v>0</v>
      </c>
      <c r="J1307" t="n">
        <v>0</v>
      </c>
      <c r="K1307" t="n">
        <v>0</v>
      </c>
      <c r="L1307" t="n">
        <v>0</v>
      </c>
      <c r="M1307" t="n">
        <v>0</v>
      </c>
      <c r="N1307" t="n">
        <v>0</v>
      </c>
      <c r="O1307" t="n">
        <v>0</v>
      </c>
      <c r="P1307" t="n">
        <v>0</v>
      </c>
      <c r="Q1307" t="n">
        <v>0</v>
      </c>
      <c r="R1307" s="2" t="inlineStr"/>
    </row>
    <row r="1308" ht="15" customHeight="1">
      <c r="A1308" t="inlineStr">
        <is>
          <t>A 23098-2022</t>
        </is>
      </c>
      <c r="B1308" s="1" t="n">
        <v>44719</v>
      </c>
      <c r="C1308" s="1" t="n">
        <v>45952</v>
      </c>
      <c r="D1308" t="inlineStr">
        <is>
          <t>VÄSTRA GÖTALANDS LÄN</t>
        </is>
      </c>
      <c r="E1308" t="inlineStr">
        <is>
          <t>HERRLJUNGA</t>
        </is>
      </c>
      <c r="G1308" t="n">
        <v>0.6</v>
      </c>
      <c r="H1308" t="n">
        <v>0</v>
      </c>
      <c r="I1308" t="n">
        <v>0</v>
      </c>
      <c r="J1308" t="n">
        <v>0</v>
      </c>
      <c r="K1308" t="n">
        <v>0</v>
      </c>
      <c r="L1308" t="n">
        <v>0</v>
      </c>
      <c r="M1308" t="n">
        <v>0</v>
      </c>
      <c r="N1308" t="n">
        <v>0</v>
      </c>
      <c r="O1308" t="n">
        <v>0</v>
      </c>
      <c r="P1308" t="n">
        <v>0</v>
      </c>
      <c r="Q1308" t="n">
        <v>0</v>
      </c>
      <c r="R1308" s="2" t="inlineStr"/>
    </row>
    <row r="1309" ht="15" customHeight="1">
      <c r="A1309" t="inlineStr">
        <is>
          <t>A 70412-2021</t>
        </is>
      </c>
      <c r="B1309" s="1" t="n">
        <v>44536.59342592592</v>
      </c>
      <c r="C1309" s="1" t="n">
        <v>45952</v>
      </c>
      <c r="D1309" t="inlineStr">
        <is>
          <t>VÄSTRA GÖTALANDS LÄN</t>
        </is>
      </c>
      <c r="E1309" t="inlineStr">
        <is>
          <t>SKARA</t>
        </is>
      </c>
      <c r="G1309" t="n">
        <v>0.9</v>
      </c>
      <c r="H1309" t="n">
        <v>0</v>
      </c>
      <c r="I1309" t="n">
        <v>0</v>
      </c>
      <c r="J1309" t="n">
        <v>0</v>
      </c>
      <c r="K1309" t="n">
        <v>0</v>
      </c>
      <c r="L1309" t="n">
        <v>0</v>
      </c>
      <c r="M1309" t="n">
        <v>0</v>
      </c>
      <c r="N1309" t="n">
        <v>0</v>
      </c>
      <c r="O1309" t="n">
        <v>0</v>
      </c>
      <c r="P1309" t="n">
        <v>0</v>
      </c>
      <c r="Q1309" t="n">
        <v>0</v>
      </c>
      <c r="R1309" s="2" t="inlineStr"/>
    </row>
    <row r="1310" ht="15" customHeight="1">
      <c r="A1310" t="inlineStr">
        <is>
          <t>A 40028-2022</t>
        </is>
      </c>
      <c r="B1310" s="1" t="n">
        <v>44820.41811342593</v>
      </c>
      <c r="C1310" s="1" t="n">
        <v>45952</v>
      </c>
      <c r="D1310" t="inlineStr">
        <is>
          <t>VÄSTRA GÖTALANDS LÄN</t>
        </is>
      </c>
      <c r="E1310" t="inlineStr">
        <is>
          <t>LIDKÖPING</t>
        </is>
      </c>
      <c r="G1310" t="n">
        <v>1.5</v>
      </c>
      <c r="H1310" t="n">
        <v>0</v>
      </c>
      <c r="I1310" t="n">
        <v>0</v>
      </c>
      <c r="J1310" t="n">
        <v>0</v>
      </c>
      <c r="K1310" t="n">
        <v>0</v>
      </c>
      <c r="L1310" t="n">
        <v>0</v>
      </c>
      <c r="M1310" t="n">
        <v>0</v>
      </c>
      <c r="N1310" t="n">
        <v>0</v>
      </c>
      <c r="O1310" t="n">
        <v>0</v>
      </c>
      <c r="P1310" t="n">
        <v>0</v>
      </c>
      <c r="Q1310" t="n">
        <v>0</v>
      </c>
      <c r="R1310" s="2" t="inlineStr"/>
    </row>
    <row r="1311" ht="15" customHeight="1">
      <c r="A1311" t="inlineStr">
        <is>
          <t>A 42215-2021</t>
        </is>
      </c>
      <c r="B1311" s="1" t="n">
        <v>44426</v>
      </c>
      <c r="C1311" s="1" t="n">
        <v>45952</v>
      </c>
      <c r="D1311" t="inlineStr">
        <is>
          <t>VÄSTRA GÖTALANDS LÄN</t>
        </is>
      </c>
      <c r="E1311" t="inlineStr">
        <is>
          <t>TÖREBODA</t>
        </is>
      </c>
      <c r="G1311" t="n">
        <v>0.6</v>
      </c>
      <c r="H1311" t="n">
        <v>0</v>
      </c>
      <c r="I1311" t="n">
        <v>0</v>
      </c>
      <c r="J1311" t="n">
        <v>0</v>
      </c>
      <c r="K1311" t="n">
        <v>0</v>
      </c>
      <c r="L1311" t="n">
        <v>0</v>
      </c>
      <c r="M1311" t="n">
        <v>0</v>
      </c>
      <c r="N1311" t="n">
        <v>0</v>
      </c>
      <c r="O1311" t="n">
        <v>0</v>
      </c>
      <c r="P1311" t="n">
        <v>0</v>
      </c>
      <c r="Q1311" t="n">
        <v>0</v>
      </c>
      <c r="R1311" s="2" t="inlineStr"/>
    </row>
    <row r="1312" ht="15" customHeight="1">
      <c r="A1312" t="inlineStr">
        <is>
          <t>A 37687-2022</t>
        </is>
      </c>
      <c r="B1312" s="1" t="n">
        <v>44810</v>
      </c>
      <c r="C1312" s="1" t="n">
        <v>45952</v>
      </c>
      <c r="D1312" t="inlineStr">
        <is>
          <t>VÄSTRA GÖTALANDS LÄN</t>
        </is>
      </c>
      <c r="E1312" t="inlineStr">
        <is>
          <t>ULRICEHAMN</t>
        </is>
      </c>
      <c r="G1312" t="n">
        <v>1.9</v>
      </c>
      <c r="H1312" t="n">
        <v>0</v>
      </c>
      <c r="I1312" t="n">
        <v>0</v>
      </c>
      <c r="J1312" t="n">
        <v>0</v>
      </c>
      <c r="K1312" t="n">
        <v>0</v>
      </c>
      <c r="L1312" t="n">
        <v>0</v>
      </c>
      <c r="M1312" t="n">
        <v>0</v>
      </c>
      <c r="N1312" t="n">
        <v>0</v>
      </c>
      <c r="O1312" t="n">
        <v>0</v>
      </c>
      <c r="P1312" t="n">
        <v>0</v>
      </c>
      <c r="Q1312" t="n">
        <v>0</v>
      </c>
      <c r="R1312" s="2" t="inlineStr"/>
    </row>
    <row r="1313" ht="15" customHeight="1">
      <c r="A1313" t="inlineStr">
        <is>
          <t>A 46638-2022</t>
        </is>
      </c>
      <c r="B1313" s="1" t="n">
        <v>44849.57126157408</v>
      </c>
      <c r="C1313" s="1" t="n">
        <v>45952</v>
      </c>
      <c r="D1313" t="inlineStr">
        <is>
          <t>VÄSTRA GÖTALANDS LÄN</t>
        </is>
      </c>
      <c r="E1313" t="inlineStr">
        <is>
          <t>SVENLJUNGA</t>
        </is>
      </c>
      <c r="G1313" t="n">
        <v>12</v>
      </c>
      <c r="H1313" t="n">
        <v>0</v>
      </c>
      <c r="I1313" t="n">
        <v>0</v>
      </c>
      <c r="J1313" t="n">
        <v>0</v>
      </c>
      <c r="K1313" t="n">
        <v>0</v>
      </c>
      <c r="L1313" t="n">
        <v>0</v>
      </c>
      <c r="M1313" t="n">
        <v>0</v>
      </c>
      <c r="N1313" t="n">
        <v>0</v>
      </c>
      <c r="O1313" t="n">
        <v>0</v>
      </c>
      <c r="P1313" t="n">
        <v>0</v>
      </c>
      <c r="Q1313" t="n">
        <v>0</v>
      </c>
      <c r="R1313" s="2" t="inlineStr"/>
    </row>
    <row r="1314" ht="15" customHeight="1">
      <c r="A1314" t="inlineStr">
        <is>
          <t>A 46722-2022</t>
        </is>
      </c>
      <c r="B1314" s="1" t="n">
        <v>44851.40767361111</v>
      </c>
      <c r="C1314" s="1" t="n">
        <v>45952</v>
      </c>
      <c r="D1314" t="inlineStr">
        <is>
          <t>VÄSTRA GÖTALANDS LÄN</t>
        </is>
      </c>
      <c r="E1314" t="inlineStr">
        <is>
          <t>VÄNERSBORG</t>
        </is>
      </c>
      <c r="G1314" t="n">
        <v>3.2</v>
      </c>
      <c r="H1314" t="n">
        <v>0</v>
      </c>
      <c r="I1314" t="n">
        <v>0</v>
      </c>
      <c r="J1314" t="n">
        <v>0</v>
      </c>
      <c r="K1314" t="n">
        <v>0</v>
      </c>
      <c r="L1314" t="n">
        <v>0</v>
      </c>
      <c r="M1314" t="n">
        <v>0</v>
      </c>
      <c r="N1314" t="n">
        <v>0</v>
      </c>
      <c r="O1314" t="n">
        <v>0</v>
      </c>
      <c r="P1314" t="n">
        <v>0</v>
      </c>
      <c r="Q1314" t="n">
        <v>0</v>
      </c>
      <c r="R1314" s="2" t="inlineStr"/>
    </row>
    <row r="1315" ht="15" customHeight="1">
      <c r="A1315" t="inlineStr">
        <is>
          <t>A 29672-2022</t>
        </is>
      </c>
      <c r="B1315" s="1" t="n">
        <v>44754.85047453704</v>
      </c>
      <c r="C1315" s="1" t="n">
        <v>45952</v>
      </c>
      <c r="D1315" t="inlineStr">
        <is>
          <t>VÄSTRA GÖTALANDS LÄN</t>
        </is>
      </c>
      <c r="E1315" t="inlineStr">
        <is>
          <t>HERRLJUNGA</t>
        </is>
      </c>
      <c r="G1315" t="n">
        <v>3.5</v>
      </c>
      <c r="H1315" t="n">
        <v>0</v>
      </c>
      <c r="I1315" t="n">
        <v>0</v>
      </c>
      <c r="J1315" t="n">
        <v>0</v>
      </c>
      <c r="K1315" t="n">
        <v>0</v>
      </c>
      <c r="L1315" t="n">
        <v>0</v>
      </c>
      <c r="M1315" t="n">
        <v>0</v>
      </c>
      <c r="N1315" t="n">
        <v>0</v>
      </c>
      <c r="O1315" t="n">
        <v>0</v>
      </c>
      <c r="P1315" t="n">
        <v>0</v>
      </c>
      <c r="Q1315" t="n">
        <v>0</v>
      </c>
      <c r="R1315" s="2" t="inlineStr"/>
    </row>
    <row r="1316" ht="15" customHeight="1">
      <c r="A1316" t="inlineStr">
        <is>
          <t>A 39106-2022</t>
        </is>
      </c>
      <c r="B1316" s="1" t="n">
        <v>44817.43634259259</v>
      </c>
      <c r="C1316" s="1" t="n">
        <v>45952</v>
      </c>
      <c r="D1316" t="inlineStr">
        <is>
          <t>VÄSTRA GÖTALANDS LÄN</t>
        </is>
      </c>
      <c r="E1316" t="inlineStr">
        <is>
          <t>ULRICEHAMN</t>
        </is>
      </c>
      <c r="G1316" t="n">
        <v>0.3</v>
      </c>
      <c r="H1316" t="n">
        <v>0</v>
      </c>
      <c r="I1316" t="n">
        <v>0</v>
      </c>
      <c r="J1316" t="n">
        <v>0</v>
      </c>
      <c r="K1316" t="n">
        <v>0</v>
      </c>
      <c r="L1316" t="n">
        <v>0</v>
      </c>
      <c r="M1316" t="n">
        <v>0</v>
      </c>
      <c r="N1316" t="n">
        <v>0</v>
      </c>
      <c r="O1316" t="n">
        <v>0</v>
      </c>
      <c r="P1316" t="n">
        <v>0</v>
      </c>
      <c r="Q1316" t="n">
        <v>0</v>
      </c>
      <c r="R1316" s="2" t="inlineStr"/>
    </row>
    <row r="1317" ht="15" customHeight="1">
      <c r="A1317" t="inlineStr">
        <is>
          <t>A 69935-2021</t>
        </is>
      </c>
      <c r="B1317" s="1" t="n">
        <v>44533</v>
      </c>
      <c r="C1317" s="1" t="n">
        <v>45952</v>
      </c>
      <c r="D1317" t="inlineStr">
        <is>
          <t>VÄSTRA GÖTALANDS LÄN</t>
        </is>
      </c>
      <c r="E1317" t="inlineStr">
        <is>
          <t>VÅRGÅRDA</t>
        </is>
      </c>
      <c r="G1317" t="n">
        <v>1.2</v>
      </c>
      <c r="H1317" t="n">
        <v>0</v>
      </c>
      <c r="I1317" t="n">
        <v>0</v>
      </c>
      <c r="J1317" t="n">
        <v>0</v>
      </c>
      <c r="K1317" t="n">
        <v>0</v>
      </c>
      <c r="L1317" t="n">
        <v>0</v>
      </c>
      <c r="M1317" t="n">
        <v>0</v>
      </c>
      <c r="N1317" t="n">
        <v>0</v>
      </c>
      <c r="O1317" t="n">
        <v>0</v>
      </c>
      <c r="P1317" t="n">
        <v>0</v>
      </c>
      <c r="Q1317" t="n">
        <v>0</v>
      </c>
      <c r="R1317" s="2" t="inlineStr"/>
    </row>
    <row r="1318" ht="15" customHeight="1">
      <c r="A1318" t="inlineStr">
        <is>
          <t>A 1432-2022</t>
        </is>
      </c>
      <c r="B1318" s="1" t="n">
        <v>44573</v>
      </c>
      <c r="C1318" s="1" t="n">
        <v>45952</v>
      </c>
      <c r="D1318" t="inlineStr">
        <is>
          <t>VÄSTRA GÖTALANDS LÄN</t>
        </is>
      </c>
      <c r="E1318" t="inlineStr">
        <is>
          <t>TANUM</t>
        </is>
      </c>
      <c r="G1318" t="n">
        <v>1.4</v>
      </c>
      <c r="H1318" t="n">
        <v>0</v>
      </c>
      <c r="I1318" t="n">
        <v>0</v>
      </c>
      <c r="J1318" t="n">
        <v>0</v>
      </c>
      <c r="K1318" t="n">
        <v>0</v>
      </c>
      <c r="L1318" t="n">
        <v>0</v>
      </c>
      <c r="M1318" t="n">
        <v>0</v>
      </c>
      <c r="N1318" t="n">
        <v>0</v>
      </c>
      <c r="O1318" t="n">
        <v>0</v>
      </c>
      <c r="P1318" t="n">
        <v>0</v>
      </c>
      <c r="Q1318" t="n">
        <v>0</v>
      </c>
      <c r="R1318" s="2" t="inlineStr"/>
    </row>
    <row r="1319" ht="15" customHeight="1">
      <c r="A1319" t="inlineStr">
        <is>
          <t>A 41908-2022</t>
        </is>
      </c>
      <c r="B1319" s="1" t="n">
        <v>44830</v>
      </c>
      <c r="C1319" s="1" t="n">
        <v>45952</v>
      </c>
      <c r="D1319" t="inlineStr">
        <is>
          <t>VÄSTRA GÖTALANDS LÄN</t>
        </is>
      </c>
      <c r="E1319" t="inlineStr">
        <is>
          <t>BORÅS</t>
        </is>
      </c>
      <c r="G1319" t="n">
        <v>0.4</v>
      </c>
      <c r="H1319" t="n">
        <v>0</v>
      </c>
      <c r="I1319" t="n">
        <v>0</v>
      </c>
      <c r="J1319" t="n">
        <v>0</v>
      </c>
      <c r="K1319" t="n">
        <v>0</v>
      </c>
      <c r="L1319" t="n">
        <v>0</v>
      </c>
      <c r="M1319" t="n">
        <v>0</v>
      </c>
      <c r="N1319" t="n">
        <v>0</v>
      </c>
      <c r="O1319" t="n">
        <v>0</v>
      </c>
      <c r="P1319" t="n">
        <v>0</v>
      </c>
      <c r="Q1319" t="n">
        <v>0</v>
      </c>
      <c r="R1319" s="2" t="inlineStr"/>
    </row>
    <row r="1320" ht="15" customHeight="1">
      <c r="A1320" t="inlineStr">
        <is>
          <t>A 51678-2021</t>
        </is>
      </c>
      <c r="B1320" s="1" t="n">
        <v>44462</v>
      </c>
      <c r="C1320" s="1" t="n">
        <v>45952</v>
      </c>
      <c r="D1320" t="inlineStr">
        <is>
          <t>VÄSTRA GÖTALANDS LÄN</t>
        </is>
      </c>
      <c r="E1320" t="inlineStr">
        <is>
          <t>TIDAHOLM</t>
        </is>
      </c>
      <c r="G1320" t="n">
        <v>0.7</v>
      </c>
      <c r="H1320" t="n">
        <v>0</v>
      </c>
      <c r="I1320" t="n">
        <v>0</v>
      </c>
      <c r="J1320" t="n">
        <v>0</v>
      </c>
      <c r="K1320" t="n">
        <v>0</v>
      </c>
      <c r="L1320" t="n">
        <v>0</v>
      </c>
      <c r="M1320" t="n">
        <v>0</v>
      </c>
      <c r="N1320" t="n">
        <v>0</v>
      </c>
      <c r="O1320" t="n">
        <v>0</v>
      </c>
      <c r="P1320" t="n">
        <v>0</v>
      </c>
      <c r="Q1320" t="n">
        <v>0</v>
      </c>
      <c r="R1320" s="2" t="inlineStr"/>
    </row>
    <row r="1321" ht="15" customHeight="1">
      <c r="A1321" t="inlineStr">
        <is>
          <t>A 52891-2022</t>
        </is>
      </c>
      <c r="B1321" s="1" t="n">
        <v>44875.56251157408</v>
      </c>
      <c r="C1321" s="1" t="n">
        <v>45952</v>
      </c>
      <c r="D1321" t="inlineStr">
        <is>
          <t>VÄSTRA GÖTALANDS LÄN</t>
        </is>
      </c>
      <c r="E1321" t="inlineStr">
        <is>
          <t>LILLA EDET</t>
        </is>
      </c>
      <c r="G1321" t="n">
        <v>4.5</v>
      </c>
      <c r="H1321" t="n">
        <v>0</v>
      </c>
      <c r="I1321" t="n">
        <v>0</v>
      </c>
      <c r="J1321" t="n">
        <v>0</v>
      </c>
      <c r="K1321" t="n">
        <v>0</v>
      </c>
      <c r="L1321" t="n">
        <v>0</v>
      </c>
      <c r="M1321" t="n">
        <v>0</v>
      </c>
      <c r="N1321" t="n">
        <v>0</v>
      </c>
      <c r="O1321" t="n">
        <v>0</v>
      </c>
      <c r="P1321" t="n">
        <v>0</v>
      </c>
      <c r="Q1321" t="n">
        <v>0</v>
      </c>
      <c r="R1321" s="2" t="inlineStr"/>
    </row>
    <row r="1322" ht="15" customHeight="1">
      <c r="A1322" t="inlineStr">
        <is>
          <t>A 41592-2022</t>
        </is>
      </c>
      <c r="B1322" s="1" t="n">
        <v>44827</v>
      </c>
      <c r="C1322" s="1" t="n">
        <v>45952</v>
      </c>
      <c r="D1322" t="inlineStr">
        <is>
          <t>VÄSTRA GÖTALANDS LÄN</t>
        </is>
      </c>
      <c r="E1322" t="inlineStr">
        <is>
          <t>ORUST</t>
        </is>
      </c>
      <c r="G1322" t="n">
        <v>3</v>
      </c>
      <c r="H1322" t="n">
        <v>0</v>
      </c>
      <c r="I1322" t="n">
        <v>0</v>
      </c>
      <c r="J1322" t="n">
        <v>0</v>
      </c>
      <c r="K1322" t="n">
        <v>0</v>
      </c>
      <c r="L1322" t="n">
        <v>0</v>
      </c>
      <c r="M1322" t="n">
        <v>0</v>
      </c>
      <c r="N1322" t="n">
        <v>0</v>
      </c>
      <c r="O1322" t="n">
        <v>0</v>
      </c>
      <c r="P1322" t="n">
        <v>0</v>
      </c>
      <c r="Q1322" t="n">
        <v>0</v>
      </c>
      <c r="R1322" s="2" t="inlineStr"/>
    </row>
    <row r="1323" ht="15" customHeight="1">
      <c r="A1323" t="inlineStr">
        <is>
          <t>A 60668-2020</t>
        </is>
      </c>
      <c r="B1323" s="1" t="n">
        <v>44153</v>
      </c>
      <c r="C1323" s="1" t="n">
        <v>45952</v>
      </c>
      <c r="D1323" t="inlineStr">
        <is>
          <t>VÄSTRA GÖTALANDS LÄN</t>
        </is>
      </c>
      <c r="E1323" t="inlineStr">
        <is>
          <t>BORÅS</t>
        </is>
      </c>
      <c r="G1323" t="n">
        <v>0.6</v>
      </c>
      <c r="H1323" t="n">
        <v>0</v>
      </c>
      <c r="I1323" t="n">
        <v>0</v>
      </c>
      <c r="J1323" t="n">
        <v>0</v>
      </c>
      <c r="K1323" t="n">
        <v>0</v>
      </c>
      <c r="L1323" t="n">
        <v>0</v>
      </c>
      <c r="M1323" t="n">
        <v>0</v>
      </c>
      <c r="N1323" t="n">
        <v>0</v>
      </c>
      <c r="O1323" t="n">
        <v>0</v>
      </c>
      <c r="P1323" t="n">
        <v>0</v>
      </c>
      <c r="Q1323" t="n">
        <v>0</v>
      </c>
      <c r="R1323" s="2" t="inlineStr"/>
    </row>
    <row r="1324" ht="15" customHeight="1">
      <c r="A1324" t="inlineStr">
        <is>
          <t>A 70374-2021</t>
        </is>
      </c>
      <c r="B1324" s="1" t="n">
        <v>44536</v>
      </c>
      <c r="C1324" s="1" t="n">
        <v>45952</v>
      </c>
      <c r="D1324" t="inlineStr">
        <is>
          <t>VÄSTRA GÖTALANDS LÄN</t>
        </is>
      </c>
      <c r="E1324" t="inlineStr">
        <is>
          <t>DALS-ED</t>
        </is>
      </c>
      <c r="G1324" t="n">
        <v>7.8</v>
      </c>
      <c r="H1324" t="n">
        <v>0</v>
      </c>
      <c r="I1324" t="n">
        <v>0</v>
      </c>
      <c r="J1324" t="n">
        <v>0</v>
      </c>
      <c r="K1324" t="n">
        <v>0</v>
      </c>
      <c r="L1324" t="n">
        <v>0</v>
      </c>
      <c r="M1324" t="n">
        <v>0</v>
      </c>
      <c r="N1324" t="n">
        <v>0</v>
      </c>
      <c r="O1324" t="n">
        <v>0</v>
      </c>
      <c r="P1324" t="n">
        <v>0</v>
      </c>
      <c r="Q1324" t="n">
        <v>0</v>
      </c>
      <c r="R1324" s="2" t="inlineStr"/>
    </row>
    <row r="1325" ht="15" customHeight="1">
      <c r="A1325" t="inlineStr">
        <is>
          <t>A 60766-2020</t>
        </is>
      </c>
      <c r="B1325" s="1" t="n">
        <v>44154</v>
      </c>
      <c r="C1325" s="1" t="n">
        <v>45952</v>
      </c>
      <c r="D1325" t="inlineStr">
        <is>
          <t>VÄSTRA GÖTALANDS LÄN</t>
        </is>
      </c>
      <c r="E1325" t="inlineStr">
        <is>
          <t>TRANEMO</t>
        </is>
      </c>
      <c r="G1325" t="n">
        <v>1</v>
      </c>
      <c r="H1325" t="n">
        <v>0</v>
      </c>
      <c r="I1325" t="n">
        <v>0</v>
      </c>
      <c r="J1325" t="n">
        <v>0</v>
      </c>
      <c r="K1325" t="n">
        <v>0</v>
      </c>
      <c r="L1325" t="n">
        <v>0</v>
      </c>
      <c r="M1325" t="n">
        <v>0</v>
      </c>
      <c r="N1325" t="n">
        <v>0</v>
      </c>
      <c r="O1325" t="n">
        <v>0</v>
      </c>
      <c r="P1325" t="n">
        <v>0</v>
      </c>
      <c r="Q1325" t="n">
        <v>0</v>
      </c>
      <c r="R1325" s="2" t="inlineStr"/>
    </row>
    <row r="1326" ht="15" customHeight="1">
      <c r="A1326" t="inlineStr">
        <is>
          <t>A 45215-2021</t>
        </is>
      </c>
      <c r="B1326" s="1" t="n">
        <v>44439</v>
      </c>
      <c r="C1326" s="1" t="n">
        <v>45952</v>
      </c>
      <c r="D1326" t="inlineStr">
        <is>
          <t>VÄSTRA GÖTALANDS LÄN</t>
        </is>
      </c>
      <c r="E1326" t="inlineStr">
        <is>
          <t>MUNKEDAL</t>
        </is>
      </c>
      <c r="G1326" t="n">
        <v>6.7</v>
      </c>
      <c r="H1326" t="n">
        <v>0</v>
      </c>
      <c r="I1326" t="n">
        <v>0</v>
      </c>
      <c r="J1326" t="n">
        <v>0</v>
      </c>
      <c r="K1326" t="n">
        <v>0</v>
      </c>
      <c r="L1326" t="n">
        <v>0</v>
      </c>
      <c r="M1326" t="n">
        <v>0</v>
      </c>
      <c r="N1326" t="n">
        <v>0</v>
      </c>
      <c r="O1326" t="n">
        <v>0</v>
      </c>
      <c r="P1326" t="n">
        <v>0</v>
      </c>
      <c r="Q1326" t="n">
        <v>0</v>
      </c>
      <c r="R1326" s="2" t="inlineStr"/>
    </row>
    <row r="1327" ht="15" customHeight="1">
      <c r="A1327" t="inlineStr">
        <is>
          <t>A 49196-2021</t>
        </is>
      </c>
      <c r="B1327" s="1" t="n">
        <v>44453</v>
      </c>
      <c r="C1327" s="1" t="n">
        <v>45952</v>
      </c>
      <c r="D1327" t="inlineStr">
        <is>
          <t>VÄSTRA GÖTALANDS LÄN</t>
        </is>
      </c>
      <c r="E1327" t="inlineStr">
        <is>
          <t>MARK</t>
        </is>
      </c>
      <c r="G1327" t="n">
        <v>1.2</v>
      </c>
      <c r="H1327" t="n">
        <v>0</v>
      </c>
      <c r="I1327" t="n">
        <v>0</v>
      </c>
      <c r="J1327" t="n">
        <v>0</v>
      </c>
      <c r="K1327" t="n">
        <v>0</v>
      </c>
      <c r="L1327" t="n">
        <v>0</v>
      </c>
      <c r="M1327" t="n">
        <v>0</v>
      </c>
      <c r="N1327" t="n">
        <v>0</v>
      </c>
      <c r="O1327" t="n">
        <v>0</v>
      </c>
      <c r="P1327" t="n">
        <v>0</v>
      </c>
      <c r="Q1327" t="n">
        <v>0</v>
      </c>
      <c r="R1327" s="2" t="inlineStr"/>
    </row>
    <row r="1328" ht="15" customHeight="1">
      <c r="A1328" t="inlineStr">
        <is>
          <t>A 40714-2021</t>
        </is>
      </c>
      <c r="B1328" s="1" t="n">
        <v>44420</v>
      </c>
      <c r="C1328" s="1" t="n">
        <v>45952</v>
      </c>
      <c r="D1328" t="inlineStr">
        <is>
          <t>VÄSTRA GÖTALANDS LÄN</t>
        </is>
      </c>
      <c r="E1328" t="inlineStr">
        <is>
          <t>FALKÖPING</t>
        </is>
      </c>
      <c r="G1328" t="n">
        <v>0.5</v>
      </c>
      <c r="H1328" t="n">
        <v>0</v>
      </c>
      <c r="I1328" t="n">
        <v>0</v>
      </c>
      <c r="J1328" t="n">
        <v>0</v>
      </c>
      <c r="K1328" t="n">
        <v>0</v>
      </c>
      <c r="L1328" t="n">
        <v>0</v>
      </c>
      <c r="M1328" t="n">
        <v>0</v>
      </c>
      <c r="N1328" t="n">
        <v>0</v>
      </c>
      <c r="O1328" t="n">
        <v>0</v>
      </c>
      <c r="P1328" t="n">
        <v>0</v>
      </c>
      <c r="Q1328" t="n">
        <v>0</v>
      </c>
      <c r="R1328" s="2" t="inlineStr"/>
    </row>
    <row r="1329" ht="15" customHeight="1">
      <c r="A1329" t="inlineStr">
        <is>
          <t>A 29106-2022</t>
        </is>
      </c>
      <c r="B1329" s="1" t="n">
        <v>44750.42491898148</v>
      </c>
      <c r="C1329" s="1" t="n">
        <v>45952</v>
      </c>
      <c r="D1329" t="inlineStr">
        <is>
          <t>VÄSTRA GÖTALANDS LÄN</t>
        </is>
      </c>
      <c r="E1329" t="inlineStr">
        <is>
          <t>LERUM</t>
        </is>
      </c>
      <c r="G1329" t="n">
        <v>0.5</v>
      </c>
      <c r="H1329" t="n">
        <v>0</v>
      </c>
      <c r="I1329" t="n">
        <v>0</v>
      </c>
      <c r="J1329" t="n">
        <v>0</v>
      </c>
      <c r="K1329" t="n">
        <v>0</v>
      </c>
      <c r="L1329" t="n">
        <v>0</v>
      </c>
      <c r="M1329" t="n">
        <v>0</v>
      </c>
      <c r="N1329" t="n">
        <v>0</v>
      </c>
      <c r="O1329" t="n">
        <v>0</v>
      </c>
      <c r="P1329" t="n">
        <v>0</v>
      </c>
      <c r="Q1329" t="n">
        <v>0</v>
      </c>
      <c r="R1329" s="2" t="inlineStr"/>
    </row>
    <row r="1330" ht="15" customHeight="1">
      <c r="A1330" t="inlineStr">
        <is>
          <t>A 29639-2022</t>
        </is>
      </c>
      <c r="B1330" s="1" t="n">
        <v>44754</v>
      </c>
      <c r="C1330" s="1" t="n">
        <v>45952</v>
      </c>
      <c r="D1330" t="inlineStr">
        <is>
          <t>VÄSTRA GÖTALANDS LÄN</t>
        </is>
      </c>
      <c r="E1330" t="inlineStr">
        <is>
          <t>MELLERUD</t>
        </is>
      </c>
      <c r="G1330" t="n">
        <v>1.3</v>
      </c>
      <c r="H1330" t="n">
        <v>0</v>
      </c>
      <c r="I1330" t="n">
        <v>0</v>
      </c>
      <c r="J1330" t="n">
        <v>0</v>
      </c>
      <c r="K1330" t="n">
        <v>0</v>
      </c>
      <c r="L1330" t="n">
        <v>0</v>
      </c>
      <c r="M1330" t="n">
        <v>0</v>
      </c>
      <c r="N1330" t="n">
        <v>0</v>
      </c>
      <c r="O1330" t="n">
        <v>0</v>
      </c>
      <c r="P1330" t="n">
        <v>0</v>
      </c>
      <c r="Q1330" t="n">
        <v>0</v>
      </c>
      <c r="R1330" s="2" t="inlineStr"/>
    </row>
    <row r="1331" ht="15" customHeight="1">
      <c r="A1331" t="inlineStr">
        <is>
          <t>A 57628-2020</t>
        </is>
      </c>
      <c r="B1331" s="1" t="n">
        <v>44140</v>
      </c>
      <c r="C1331" s="1" t="n">
        <v>45952</v>
      </c>
      <c r="D1331" t="inlineStr">
        <is>
          <t>VÄSTRA GÖTALANDS LÄN</t>
        </is>
      </c>
      <c r="E1331" t="inlineStr">
        <is>
          <t>TROLLHÄTTAN</t>
        </is>
      </c>
      <c r="G1331" t="n">
        <v>1.5</v>
      </c>
      <c r="H1331" t="n">
        <v>0</v>
      </c>
      <c r="I1331" t="n">
        <v>0</v>
      </c>
      <c r="J1331" t="n">
        <v>0</v>
      </c>
      <c r="K1331" t="n">
        <v>0</v>
      </c>
      <c r="L1331" t="n">
        <v>0</v>
      </c>
      <c r="M1331" t="n">
        <v>0</v>
      </c>
      <c r="N1331" t="n">
        <v>0</v>
      </c>
      <c r="O1331" t="n">
        <v>0</v>
      </c>
      <c r="P1331" t="n">
        <v>0</v>
      </c>
      <c r="Q1331" t="n">
        <v>0</v>
      </c>
      <c r="R1331" s="2" t="inlineStr"/>
    </row>
    <row r="1332" ht="15" customHeight="1">
      <c r="A1332" t="inlineStr">
        <is>
          <t>A 62896-2020</t>
        </is>
      </c>
      <c r="B1332" s="1" t="n">
        <v>44162</v>
      </c>
      <c r="C1332" s="1" t="n">
        <v>45952</v>
      </c>
      <c r="D1332" t="inlineStr">
        <is>
          <t>VÄSTRA GÖTALANDS LÄN</t>
        </is>
      </c>
      <c r="E1332" t="inlineStr">
        <is>
          <t>SVENLJUNGA</t>
        </is>
      </c>
      <c r="G1332" t="n">
        <v>4.9</v>
      </c>
      <c r="H1332" t="n">
        <v>0</v>
      </c>
      <c r="I1332" t="n">
        <v>0</v>
      </c>
      <c r="J1332" t="n">
        <v>0</v>
      </c>
      <c r="K1332" t="n">
        <v>0</v>
      </c>
      <c r="L1332" t="n">
        <v>0</v>
      </c>
      <c r="M1332" t="n">
        <v>0</v>
      </c>
      <c r="N1332" t="n">
        <v>0</v>
      </c>
      <c r="O1332" t="n">
        <v>0</v>
      </c>
      <c r="P1332" t="n">
        <v>0</v>
      </c>
      <c r="Q1332" t="n">
        <v>0</v>
      </c>
      <c r="R1332" s="2" t="inlineStr"/>
    </row>
    <row r="1333" ht="15" customHeight="1">
      <c r="A1333" t="inlineStr">
        <is>
          <t>A 55172-2020</t>
        </is>
      </c>
      <c r="B1333" s="1" t="n">
        <v>44129</v>
      </c>
      <c r="C1333" s="1" t="n">
        <v>45952</v>
      </c>
      <c r="D1333" t="inlineStr">
        <is>
          <t>VÄSTRA GÖTALANDS LÄN</t>
        </is>
      </c>
      <c r="E1333" t="inlineStr">
        <is>
          <t>STRÖMSTAD</t>
        </is>
      </c>
      <c r="G1333" t="n">
        <v>15.8</v>
      </c>
      <c r="H1333" t="n">
        <v>0</v>
      </c>
      <c r="I1333" t="n">
        <v>0</v>
      </c>
      <c r="J1333" t="n">
        <v>0</v>
      </c>
      <c r="K1333" t="n">
        <v>0</v>
      </c>
      <c r="L1333" t="n">
        <v>0</v>
      </c>
      <c r="M1333" t="n">
        <v>0</v>
      </c>
      <c r="N1333" t="n">
        <v>0</v>
      </c>
      <c r="O1333" t="n">
        <v>0</v>
      </c>
      <c r="P1333" t="n">
        <v>0</v>
      </c>
      <c r="Q1333" t="n">
        <v>0</v>
      </c>
      <c r="R1333" s="2" t="inlineStr"/>
    </row>
    <row r="1334" ht="15" customHeight="1">
      <c r="A1334" t="inlineStr">
        <is>
          <t>A 30-2021</t>
        </is>
      </c>
      <c r="B1334" s="1" t="n">
        <v>44198</v>
      </c>
      <c r="C1334" s="1" t="n">
        <v>45952</v>
      </c>
      <c r="D1334" t="inlineStr">
        <is>
          <t>VÄSTRA GÖTALANDS LÄN</t>
        </is>
      </c>
      <c r="E1334" t="inlineStr">
        <is>
          <t>KARLSBORG</t>
        </is>
      </c>
      <c r="G1334" t="n">
        <v>3.8</v>
      </c>
      <c r="H1334" t="n">
        <v>0</v>
      </c>
      <c r="I1334" t="n">
        <v>0</v>
      </c>
      <c r="J1334" t="n">
        <v>0</v>
      </c>
      <c r="K1334" t="n">
        <v>0</v>
      </c>
      <c r="L1334" t="n">
        <v>0</v>
      </c>
      <c r="M1334" t="n">
        <v>0</v>
      </c>
      <c r="N1334" t="n">
        <v>0</v>
      </c>
      <c r="O1334" t="n">
        <v>0</v>
      </c>
      <c r="P1334" t="n">
        <v>0</v>
      </c>
      <c r="Q1334" t="n">
        <v>0</v>
      </c>
      <c r="R1334" s="2" t="inlineStr"/>
    </row>
    <row r="1335" ht="15" customHeight="1">
      <c r="A1335" t="inlineStr">
        <is>
          <t>A 70939-2021</t>
        </is>
      </c>
      <c r="B1335" s="1" t="n">
        <v>44538.49733796297</v>
      </c>
      <c r="C1335" s="1" t="n">
        <v>45952</v>
      </c>
      <c r="D1335" t="inlineStr">
        <is>
          <t>VÄSTRA GÖTALANDS LÄN</t>
        </is>
      </c>
      <c r="E1335" t="inlineStr">
        <is>
          <t>KARLSBORG</t>
        </is>
      </c>
      <c r="F1335" t="inlineStr">
        <is>
          <t>Övriga Aktiebolag</t>
        </is>
      </c>
      <c r="G1335" t="n">
        <v>0.7</v>
      </c>
      <c r="H1335" t="n">
        <v>0</v>
      </c>
      <c r="I1335" t="n">
        <v>0</v>
      </c>
      <c r="J1335" t="n">
        <v>0</v>
      </c>
      <c r="K1335" t="n">
        <v>0</v>
      </c>
      <c r="L1335" t="n">
        <v>0</v>
      </c>
      <c r="M1335" t="n">
        <v>0</v>
      </c>
      <c r="N1335" t="n">
        <v>0</v>
      </c>
      <c r="O1335" t="n">
        <v>0</v>
      </c>
      <c r="P1335" t="n">
        <v>0</v>
      </c>
      <c r="Q1335" t="n">
        <v>0</v>
      </c>
      <c r="R1335" s="2" t="inlineStr"/>
    </row>
    <row r="1336" ht="15" customHeight="1">
      <c r="A1336" t="inlineStr">
        <is>
          <t>A 1861-2022</t>
        </is>
      </c>
      <c r="B1336" s="1" t="n">
        <v>44574.93475694444</v>
      </c>
      <c r="C1336" s="1" t="n">
        <v>45952</v>
      </c>
      <c r="D1336" t="inlineStr">
        <is>
          <t>VÄSTRA GÖTALANDS LÄN</t>
        </is>
      </c>
      <c r="E1336" t="inlineStr">
        <is>
          <t>UDDEVALLA</t>
        </is>
      </c>
      <c r="G1336" t="n">
        <v>0.1</v>
      </c>
      <c r="H1336" t="n">
        <v>0</v>
      </c>
      <c r="I1336" t="n">
        <v>0</v>
      </c>
      <c r="J1336" t="n">
        <v>0</v>
      </c>
      <c r="K1336" t="n">
        <v>0</v>
      </c>
      <c r="L1336" t="n">
        <v>0</v>
      </c>
      <c r="M1336" t="n">
        <v>0</v>
      </c>
      <c r="N1336" t="n">
        <v>0</v>
      </c>
      <c r="O1336" t="n">
        <v>0</v>
      </c>
      <c r="P1336" t="n">
        <v>0</v>
      </c>
      <c r="Q1336" t="n">
        <v>0</v>
      </c>
      <c r="R1336" s="2" t="inlineStr"/>
    </row>
    <row r="1337" ht="15" customHeight="1">
      <c r="A1337" t="inlineStr">
        <is>
          <t>A 1577-2022</t>
        </is>
      </c>
      <c r="B1337" s="1" t="n">
        <v>44573.65174768519</v>
      </c>
      <c r="C1337" s="1" t="n">
        <v>45952</v>
      </c>
      <c r="D1337" t="inlineStr">
        <is>
          <t>VÄSTRA GÖTALANDS LÄN</t>
        </is>
      </c>
      <c r="E1337" t="inlineStr">
        <is>
          <t>BENGTSFORS</t>
        </is>
      </c>
      <c r="G1337" t="n">
        <v>1.4</v>
      </c>
      <c r="H1337" t="n">
        <v>0</v>
      </c>
      <c r="I1337" t="n">
        <v>0</v>
      </c>
      <c r="J1337" t="n">
        <v>0</v>
      </c>
      <c r="K1337" t="n">
        <v>0</v>
      </c>
      <c r="L1337" t="n">
        <v>0</v>
      </c>
      <c r="M1337" t="n">
        <v>0</v>
      </c>
      <c r="N1337" t="n">
        <v>0</v>
      </c>
      <c r="O1337" t="n">
        <v>0</v>
      </c>
      <c r="P1337" t="n">
        <v>0</v>
      </c>
      <c r="Q1337" t="n">
        <v>0</v>
      </c>
      <c r="R1337" s="2" t="inlineStr"/>
    </row>
    <row r="1338" ht="15" customHeight="1">
      <c r="A1338" t="inlineStr">
        <is>
          <t>A 63028-2020</t>
        </is>
      </c>
      <c r="B1338" s="1" t="n">
        <v>44162.51952546297</v>
      </c>
      <c r="C1338" s="1" t="n">
        <v>45952</v>
      </c>
      <c r="D1338" t="inlineStr">
        <is>
          <t>VÄSTRA GÖTALANDS LÄN</t>
        </is>
      </c>
      <c r="E1338" t="inlineStr">
        <is>
          <t>FALKÖPING</t>
        </is>
      </c>
      <c r="G1338" t="n">
        <v>1.1</v>
      </c>
      <c r="H1338" t="n">
        <v>0</v>
      </c>
      <c r="I1338" t="n">
        <v>0</v>
      </c>
      <c r="J1338" t="n">
        <v>0</v>
      </c>
      <c r="K1338" t="n">
        <v>0</v>
      </c>
      <c r="L1338" t="n">
        <v>0</v>
      </c>
      <c r="M1338" t="n">
        <v>0</v>
      </c>
      <c r="N1338" t="n">
        <v>0</v>
      </c>
      <c r="O1338" t="n">
        <v>0</v>
      </c>
      <c r="P1338" t="n">
        <v>0</v>
      </c>
      <c r="Q1338" t="n">
        <v>0</v>
      </c>
      <c r="R1338" s="2" t="inlineStr"/>
    </row>
    <row r="1339" ht="15" customHeight="1">
      <c r="A1339" t="inlineStr">
        <is>
          <t>A 64989-2020</t>
        </is>
      </c>
      <c r="B1339" s="1" t="n">
        <v>44172</v>
      </c>
      <c r="C1339" s="1" t="n">
        <v>45952</v>
      </c>
      <c r="D1339" t="inlineStr">
        <is>
          <t>VÄSTRA GÖTALANDS LÄN</t>
        </is>
      </c>
      <c r="E1339" t="inlineStr">
        <is>
          <t>STRÖMSTAD</t>
        </is>
      </c>
      <c r="G1339" t="n">
        <v>2.5</v>
      </c>
      <c r="H1339" t="n">
        <v>0</v>
      </c>
      <c r="I1339" t="n">
        <v>0</v>
      </c>
      <c r="J1339" t="n">
        <v>0</v>
      </c>
      <c r="K1339" t="n">
        <v>0</v>
      </c>
      <c r="L1339" t="n">
        <v>0</v>
      </c>
      <c r="M1339" t="n">
        <v>0</v>
      </c>
      <c r="N1339" t="n">
        <v>0</v>
      </c>
      <c r="O1339" t="n">
        <v>0</v>
      </c>
      <c r="P1339" t="n">
        <v>0</v>
      </c>
      <c r="Q1339" t="n">
        <v>0</v>
      </c>
      <c r="R1339" s="2" t="inlineStr"/>
    </row>
    <row r="1340" ht="15" customHeight="1">
      <c r="A1340" t="inlineStr">
        <is>
          <t>A 3038-2021</t>
        </is>
      </c>
      <c r="B1340" s="1" t="n">
        <v>44216</v>
      </c>
      <c r="C1340" s="1" t="n">
        <v>45952</v>
      </c>
      <c r="D1340" t="inlineStr">
        <is>
          <t>VÄSTRA GÖTALANDS LÄN</t>
        </is>
      </c>
      <c r="E1340" t="inlineStr">
        <is>
          <t>KUNGÄLV</t>
        </is>
      </c>
      <c r="G1340" t="n">
        <v>1.6</v>
      </c>
      <c r="H1340" t="n">
        <v>0</v>
      </c>
      <c r="I1340" t="n">
        <v>0</v>
      </c>
      <c r="J1340" t="n">
        <v>0</v>
      </c>
      <c r="K1340" t="n">
        <v>0</v>
      </c>
      <c r="L1340" t="n">
        <v>0</v>
      </c>
      <c r="M1340" t="n">
        <v>0</v>
      </c>
      <c r="N1340" t="n">
        <v>0</v>
      </c>
      <c r="O1340" t="n">
        <v>0</v>
      </c>
      <c r="P1340" t="n">
        <v>0</v>
      </c>
      <c r="Q1340" t="n">
        <v>0</v>
      </c>
      <c r="R1340" s="2" t="inlineStr"/>
    </row>
    <row r="1341" ht="15" customHeight="1">
      <c r="A1341" t="inlineStr">
        <is>
          <t>A 15861-2021</t>
        </is>
      </c>
      <c r="B1341" s="1" t="n">
        <v>44286.76164351852</v>
      </c>
      <c r="C1341" s="1" t="n">
        <v>45952</v>
      </c>
      <c r="D1341" t="inlineStr">
        <is>
          <t>VÄSTRA GÖTALANDS LÄN</t>
        </is>
      </c>
      <c r="E1341" t="inlineStr">
        <is>
          <t>TROLLHÄTTAN</t>
        </is>
      </c>
      <c r="G1341" t="n">
        <v>0.4</v>
      </c>
      <c r="H1341" t="n">
        <v>0</v>
      </c>
      <c r="I1341" t="n">
        <v>0</v>
      </c>
      <c r="J1341" t="n">
        <v>0</v>
      </c>
      <c r="K1341" t="n">
        <v>0</v>
      </c>
      <c r="L1341" t="n">
        <v>0</v>
      </c>
      <c r="M1341" t="n">
        <v>0</v>
      </c>
      <c r="N1341" t="n">
        <v>0</v>
      </c>
      <c r="O1341" t="n">
        <v>0</v>
      </c>
      <c r="P1341" t="n">
        <v>0</v>
      </c>
      <c r="Q1341" t="n">
        <v>0</v>
      </c>
      <c r="R1341" s="2" t="inlineStr"/>
    </row>
    <row r="1342" ht="15" customHeight="1">
      <c r="A1342" t="inlineStr">
        <is>
          <t>A 15383-2021</t>
        </is>
      </c>
      <c r="B1342" s="1" t="n">
        <v>44284</v>
      </c>
      <c r="C1342" s="1" t="n">
        <v>45952</v>
      </c>
      <c r="D1342" t="inlineStr">
        <is>
          <t>VÄSTRA GÖTALANDS LÄN</t>
        </is>
      </c>
      <c r="E1342" t="inlineStr">
        <is>
          <t>MELLERUD</t>
        </is>
      </c>
      <c r="G1342" t="n">
        <v>0.5</v>
      </c>
      <c r="H1342" t="n">
        <v>0</v>
      </c>
      <c r="I1342" t="n">
        <v>0</v>
      </c>
      <c r="J1342" t="n">
        <v>0</v>
      </c>
      <c r="K1342" t="n">
        <v>0</v>
      </c>
      <c r="L1342" t="n">
        <v>0</v>
      </c>
      <c r="M1342" t="n">
        <v>0</v>
      </c>
      <c r="N1342" t="n">
        <v>0</v>
      </c>
      <c r="O1342" t="n">
        <v>0</v>
      </c>
      <c r="P1342" t="n">
        <v>0</v>
      </c>
      <c r="Q1342" t="n">
        <v>0</v>
      </c>
      <c r="R1342" s="2" t="inlineStr"/>
    </row>
    <row r="1343" ht="15" customHeight="1">
      <c r="A1343" t="inlineStr">
        <is>
          <t>A 12274-2021</t>
        </is>
      </c>
      <c r="B1343" s="1" t="n">
        <v>44266.91868055556</v>
      </c>
      <c r="C1343" s="1" t="n">
        <v>45952</v>
      </c>
      <c r="D1343" t="inlineStr">
        <is>
          <t>VÄSTRA GÖTALANDS LÄN</t>
        </is>
      </c>
      <c r="E1343" t="inlineStr">
        <is>
          <t>STENUNGSUND</t>
        </is>
      </c>
      <c r="G1343" t="n">
        <v>1.1</v>
      </c>
      <c r="H1343" t="n">
        <v>0</v>
      </c>
      <c r="I1343" t="n">
        <v>0</v>
      </c>
      <c r="J1343" t="n">
        <v>0</v>
      </c>
      <c r="K1343" t="n">
        <v>0</v>
      </c>
      <c r="L1343" t="n">
        <v>0</v>
      </c>
      <c r="M1343" t="n">
        <v>0</v>
      </c>
      <c r="N1343" t="n">
        <v>0</v>
      </c>
      <c r="O1343" t="n">
        <v>0</v>
      </c>
      <c r="P1343" t="n">
        <v>0</v>
      </c>
      <c r="Q1343" t="n">
        <v>0</v>
      </c>
      <c r="R1343" s="2" t="inlineStr"/>
    </row>
    <row r="1344" ht="15" customHeight="1">
      <c r="A1344" t="inlineStr">
        <is>
          <t>A 55278-2021</t>
        </is>
      </c>
      <c r="B1344" s="1" t="n">
        <v>44475</v>
      </c>
      <c r="C1344" s="1" t="n">
        <v>45952</v>
      </c>
      <c r="D1344" t="inlineStr">
        <is>
          <t>VÄSTRA GÖTALANDS LÄN</t>
        </is>
      </c>
      <c r="E1344" t="inlineStr">
        <is>
          <t>FÄRGELANDA</t>
        </is>
      </c>
      <c r="G1344" t="n">
        <v>1.8</v>
      </c>
      <c r="H1344" t="n">
        <v>0</v>
      </c>
      <c r="I1344" t="n">
        <v>0</v>
      </c>
      <c r="J1344" t="n">
        <v>0</v>
      </c>
      <c r="K1344" t="n">
        <v>0</v>
      </c>
      <c r="L1344" t="n">
        <v>0</v>
      </c>
      <c r="M1344" t="n">
        <v>0</v>
      </c>
      <c r="N1344" t="n">
        <v>0</v>
      </c>
      <c r="O1344" t="n">
        <v>0</v>
      </c>
      <c r="P1344" t="n">
        <v>0</v>
      </c>
      <c r="Q1344" t="n">
        <v>0</v>
      </c>
      <c r="R1344" s="2" t="inlineStr"/>
    </row>
    <row r="1345" ht="15" customHeight="1">
      <c r="A1345" t="inlineStr">
        <is>
          <t>A 54668-2021</t>
        </is>
      </c>
      <c r="B1345" s="1" t="n">
        <v>44473</v>
      </c>
      <c r="C1345" s="1" t="n">
        <v>45952</v>
      </c>
      <c r="D1345" t="inlineStr">
        <is>
          <t>VÄSTRA GÖTALANDS LÄN</t>
        </is>
      </c>
      <c r="E1345" t="inlineStr">
        <is>
          <t>TROLLHÄTTAN</t>
        </is>
      </c>
      <c r="F1345" t="inlineStr">
        <is>
          <t>Kommuner</t>
        </is>
      </c>
      <c r="G1345" t="n">
        <v>1.8</v>
      </c>
      <c r="H1345" t="n">
        <v>0</v>
      </c>
      <c r="I1345" t="n">
        <v>0</v>
      </c>
      <c r="J1345" t="n">
        <v>0</v>
      </c>
      <c r="K1345" t="n">
        <v>0</v>
      </c>
      <c r="L1345" t="n">
        <v>0</v>
      </c>
      <c r="M1345" t="n">
        <v>0</v>
      </c>
      <c r="N1345" t="n">
        <v>0</v>
      </c>
      <c r="O1345" t="n">
        <v>0</v>
      </c>
      <c r="P1345" t="n">
        <v>0</v>
      </c>
      <c r="Q1345" t="n">
        <v>0</v>
      </c>
      <c r="R1345" s="2" t="inlineStr"/>
    </row>
    <row r="1346" ht="15" customHeight="1">
      <c r="A1346" t="inlineStr">
        <is>
          <t>A 19064-2022</t>
        </is>
      </c>
      <c r="B1346" s="1" t="n">
        <v>44691</v>
      </c>
      <c r="C1346" s="1" t="n">
        <v>45952</v>
      </c>
      <c r="D1346" t="inlineStr">
        <is>
          <t>VÄSTRA GÖTALANDS LÄN</t>
        </is>
      </c>
      <c r="E1346" t="inlineStr">
        <is>
          <t>BORÅS</t>
        </is>
      </c>
      <c r="F1346" t="inlineStr">
        <is>
          <t>Sveaskog</t>
        </is>
      </c>
      <c r="G1346" t="n">
        <v>12.1</v>
      </c>
      <c r="H1346" t="n">
        <v>0</v>
      </c>
      <c r="I1346" t="n">
        <v>0</v>
      </c>
      <c r="J1346" t="n">
        <v>0</v>
      </c>
      <c r="K1346" t="n">
        <v>0</v>
      </c>
      <c r="L1346" t="n">
        <v>0</v>
      </c>
      <c r="M1346" t="n">
        <v>0</v>
      </c>
      <c r="N1346" t="n">
        <v>0</v>
      </c>
      <c r="O1346" t="n">
        <v>0</v>
      </c>
      <c r="P1346" t="n">
        <v>0</v>
      </c>
      <c r="Q1346" t="n">
        <v>0</v>
      </c>
      <c r="R1346" s="2" t="inlineStr"/>
    </row>
    <row r="1347" ht="15" customHeight="1">
      <c r="A1347" t="inlineStr">
        <is>
          <t>A 25233-2021</t>
        </is>
      </c>
      <c r="B1347" s="1" t="n">
        <v>44342.40263888889</v>
      </c>
      <c r="C1347" s="1" t="n">
        <v>45952</v>
      </c>
      <c r="D1347" t="inlineStr">
        <is>
          <t>VÄSTRA GÖTALANDS LÄN</t>
        </is>
      </c>
      <c r="E1347" t="inlineStr">
        <is>
          <t>BORÅS</t>
        </is>
      </c>
      <c r="G1347" t="n">
        <v>1.6</v>
      </c>
      <c r="H1347" t="n">
        <v>0</v>
      </c>
      <c r="I1347" t="n">
        <v>0</v>
      </c>
      <c r="J1347" t="n">
        <v>0</v>
      </c>
      <c r="K1347" t="n">
        <v>0</v>
      </c>
      <c r="L1347" t="n">
        <v>0</v>
      </c>
      <c r="M1347" t="n">
        <v>0</v>
      </c>
      <c r="N1347" t="n">
        <v>0</v>
      </c>
      <c r="O1347" t="n">
        <v>0</v>
      </c>
      <c r="P1347" t="n">
        <v>0</v>
      </c>
      <c r="Q1347" t="n">
        <v>0</v>
      </c>
      <c r="R1347" s="2" t="inlineStr"/>
    </row>
    <row r="1348" ht="15" customHeight="1">
      <c r="A1348" t="inlineStr">
        <is>
          <t>A 19145-2022</t>
        </is>
      </c>
      <c r="B1348" s="1" t="n">
        <v>44691.62885416667</v>
      </c>
      <c r="C1348" s="1" t="n">
        <v>45952</v>
      </c>
      <c r="D1348" t="inlineStr">
        <is>
          <t>VÄSTRA GÖTALANDS LÄN</t>
        </is>
      </c>
      <c r="E1348" t="inlineStr">
        <is>
          <t>BENGTSFORS</t>
        </is>
      </c>
      <c r="G1348" t="n">
        <v>0.8</v>
      </c>
      <c r="H1348" t="n">
        <v>0</v>
      </c>
      <c r="I1348" t="n">
        <v>0</v>
      </c>
      <c r="J1348" t="n">
        <v>0</v>
      </c>
      <c r="K1348" t="n">
        <v>0</v>
      </c>
      <c r="L1348" t="n">
        <v>0</v>
      </c>
      <c r="M1348" t="n">
        <v>0</v>
      </c>
      <c r="N1348" t="n">
        <v>0</v>
      </c>
      <c r="O1348" t="n">
        <v>0</v>
      </c>
      <c r="P1348" t="n">
        <v>0</v>
      </c>
      <c r="Q1348" t="n">
        <v>0</v>
      </c>
      <c r="R1348" s="2" t="inlineStr"/>
    </row>
    <row r="1349" ht="15" customHeight="1">
      <c r="A1349" t="inlineStr">
        <is>
          <t>A 12176-2021</t>
        </is>
      </c>
      <c r="B1349" s="1" t="n">
        <v>44266</v>
      </c>
      <c r="C1349" s="1" t="n">
        <v>45952</v>
      </c>
      <c r="D1349" t="inlineStr">
        <is>
          <t>VÄSTRA GÖTALANDS LÄN</t>
        </is>
      </c>
      <c r="E1349" t="inlineStr">
        <is>
          <t>FÄRGELANDA</t>
        </is>
      </c>
      <c r="G1349" t="n">
        <v>2.6</v>
      </c>
      <c r="H1349" t="n">
        <v>0</v>
      </c>
      <c r="I1349" t="n">
        <v>0</v>
      </c>
      <c r="J1349" t="n">
        <v>0</v>
      </c>
      <c r="K1349" t="n">
        <v>0</v>
      </c>
      <c r="L1349" t="n">
        <v>0</v>
      </c>
      <c r="M1349" t="n">
        <v>0</v>
      </c>
      <c r="N1349" t="n">
        <v>0</v>
      </c>
      <c r="O1349" t="n">
        <v>0</v>
      </c>
      <c r="P1349" t="n">
        <v>0</v>
      </c>
      <c r="Q1349" t="n">
        <v>0</v>
      </c>
      <c r="R1349" s="2" t="inlineStr"/>
    </row>
    <row r="1350" ht="15" customHeight="1">
      <c r="A1350" t="inlineStr">
        <is>
          <t>A 67230-2021</t>
        </is>
      </c>
      <c r="B1350" s="1" t="n">
        <v>44523.53108796296</v>
      </c>
      <c r="C1350" s="1" t="n">
        <v>45952</v>
      </c>
      <c r="D1350" t="inlineStr">
        <is>
          <t>VÄSTRA GÖTALANDS LÄN</t>
        </is>
      </c>
      <c r="E1350" t="inlineStr">
        <is>
          <t>MARK</t>
        </is>
      </c>
      <c r="G1350" t="n">
        <v>0.5</v>
      </c>
      <c r="H1350" t="n">
        <v>0</v>
      </c>
      <c r="I1350" t="n">
        <v>0</v>
      </c>
      <c r="J1350" t="n">
        <v>0</v>
      </c>
      <c r="K1350" t="n">
        <v>0</v>
      </c>
      <c r="L1350" t="n">
        <v>0</v>
      </c>
      <c r="M1350" t="n">
        <v>0</v>
      </c>
      <c r="N1350" t="n">
        <v>0</v>
      </c>
      <c r="O1350" t="n">
        <v>0</v>
      </c>
      <c r="P1350" t="n">
        <v>0</v>
      </c>
      <c r="Q1350" t="n">
        <v>0</v>
      </c>
      <c r="R1350" s="2" t="inlineStr"/>
    </row>
    <row r="1351" ht="15" customHeight="1">
      <c r="A1351" t="inlineStr">
        <is>
          <t>A 67260-2021</t>
        </is>
      </c>
      <c r="B1351" s="1" t="n">
        <v>44523</v>
      </c>
      <c r="C1351" s="1" t="n">
        <v>45952</v>
      </c>
      <c r="D1351" t="inlineStr">
        <is>
          <t>VÄSTRA GÖTALANDS LÄN</t>
        </is>
      </c>
      <c r="E1351" t="inlineStr">
        <is>
          <t>UDDEVALLA</t>
        </is>
      </c>
      <c r="G1351" t="n">
        <v>1.7</v>
      </c>
      <c r="H1351" t="n">
        <v>0</v>
      </c>
      <c r="I1351" t="n">
        <v>0</v>
      </c>
      <c r="J1351" t="n">
        <v>0</v>
      </c>
      <c r="K1351" t="n">
        <v>0</v>
      </c>
      <c r="L1351" t="n">
        <v>0</v>
      </c>
      <c r="M1351" t="n">
        <v>0</v>
      </c>
      <c r="N1351" t="n">
        <v>0</v>
      </c>
      <c r="O1351" t="n">
        <v>0</v>
      </c>
      <c r="P1351" t="n">
        <v>0</v>
      </c>
      <c r="Q1351" t="n">
        <v>0</v>
      </c>
      <c r="R1351" s="2" t="inlineStr"/>
    </row>
    <row r="1352" ht="15" customHeight="1">
      <c r="A1352" t="inlineStr">
        <is>
          <t>A 3459-2022</t>
        </is>
      </c>
      <c r="B1352" s="1" t="n">
        <v>44585</v>
      </c>
      <c r="C1352" s="1" t="n">
        <v>45952</v>
      </c>
      <c r="D1352" t="inlineStr">
        <is>
          <t>VÄSTRA GÖTALANDS LÄN</t>
        </is>
      </c>
      <c r="E1352" t="inlineStr">
        <is>
          <t>TRANEMO</t>
        </is>
      </c>
      <c r="F1352" t="inlineStr">
        <is>
          <t>Kyrkan</t>
        </is>
      </c>
      <c r="G1352" t="n">
        <v>1.8</v>
      </c>
      <c r="H1352" t="n">
        <v>0</v>
      </c>
      <c r="I1352" t="n">
        <v>0</v>
      </c>
      <c r="J1352" t="n">
        <v>0</v>
      </c>
      <c r="K1352" t="n">
        <v>0</v>
      </c>
      <c r="L1352" t="n">
        <v>0</v>
      </c>
      <c r="M1352" t="n">
        <v>0</v>
      </c>
      <c r="N1352" t="n">
        <v>0</v>
      </c>
      <c r="O1352" t="n">
        <v>0</v>
      </c>
      <c r="P1352" t="n">
        <v>0</v>
      </c>
      <c r="Q1352" t="n">
        <v>0</v>
      </c>
      <c r="R1352" s="2" t="inlineStr"/>
    </row>
    <row r="1353" ht="15" customHeight="1">
      <c r="A1353" t="inlineStr">
        <is>
          <t>A 14268-2022</t>
        </is>
      </c>
      <c r="B1353" s="1" t="n">
        <v>44651</v>
      </c>
      <c r="C1353" s="1" t="n">
        <v>45952</v>
      </c>
      <c r="D1353" t="inlineStr">
        <is>
          <t>VÄSTRA GÖTALANDS LÄN</t>
        </is>
      </c>
      <c r="E1353" t="inlineStr">
        <is>
          <t>MUNKEDAL</t>
        </is>
      </c>
      <c r="G1353" t="n">
        <v>1.5</v>
      </c>
      <c r="H1353" t="n">
        <v>0</v>
      </c>
      <c r="I1353" t="n">
        <v>0</v>
      </c>
      <c r="J1353" t="n">
        <v>0</v>
      </c>
      <c r="K1353" t="n">
        <v>0</v>
      </c>
      <c r="L1353" t="n">
        <v>0</v>
      </c>
      <c r="M1353" t="n">
        <v>0</v>
      </c>
      <c r="N1353" t="n">
        <v>0</v>
      </c>
      <c r="O1353" t="n">
        <v>0</v>
      </c>
      <c r="P1353" t="n">
        <v>0</v>
      </c>
      <c r="Q1353" t="n">
        <v>0</v>
      </c>
      <c r="R1353" s="2" t="inlineStr"/>
    </row>
    <row r="1354" ht="15" customHeight="1">
      <c r="A1354" t="inlineStr">
        <is>
          <t>A 12363-2022</t>
        </is>
      </c>
      <c r="B1354" s="1" t="n">
        <v>44637</v>
      </c>
      <c r="C1354" s="1" t="n">
        <v>45952</v>
      </c>
      <c r="D1354" t="inlineStr">
        <is>
          <t>VÄSTRA GÖTALANDS LÄN</t>
        </is>
      </c>
      <c r="E1354" t="inlineStr">
        <is>
          <t>LILLA EDET</t>
        </is>
      </c>
      <c r="G1354" t="n">
        <v>1.8</v>
      </c>
      <c r="H1354" t="n">
        <v>0</v>
      </c>
      <c r="I1354" t="n">
        <v>0</v>
      </c>
      <c r="J1354" t="n">
        <v>0</v>
      </c>
      <c r="K1354" t="n">
        <v>0</v>
      </c>
      <c r="L1354" t="n">
        <v>0</v>
      </c>
      <c r="M1354" t="n">
        <v>0</v>
      </c>
      <c r="N1354" t="n">
        <v>0</v>
      </c>
      <c r="O1354" t="n">
        <v>0</v>
      </c>
      <c r="P1354" t="n">
        <v>0</v>
      </c>
      <c r="Q1354" t="n">
        <v>0</v>
      </c>
      <c r="R1354" s="2" t="inlineStr"/>
    </row>
    <row r="1355" ht="15" customHeight="1">
      <c r="A1355" t="inlineStr">
        <is>
          <t>A 30137-2021</t>
        </is>
      </c>
      <c r="B1355" s="1" t="n">
        <v>44363.5824537037</v>
      </c>
      <c r="C1355" s="1" t="n">
        <v>45952</v>
      </c>
      <c r="D1355" t="inlineStr">
        <is>
          <t>VÄSTRA GÖTALANDS LÄN</t>
        </is>
      </c>
      <c r="E1355" t="inlineStr">
        <is>
          <t>SVENLJUNGA</t>
        </is>
      </c>
      <c r="G1355" t="n">
        <v>0.7</v>
      </c>
      <c r="H1355" t="n">
        <v>0</v>
      </c>
      <c r="I1355" t="n">
        <v>0</v>
      </c>
      <c r="J1355" t="n">
        <v>0</v>
      </c>
      <c r="K1355" t="n">
        <v>0</v>
      </c>
      <c r="L1355" t="n">
        <v>0</v>
      </c>
      <c r="M1355" t="n">
        <v>0</v>
      </c>
      <c r="N1355" t="n">
        <v>0</v>
      </c>
      <c r="O1355" t="n">
        <v>0</v>
      </c>
      <c r="P1355" t="n">
        <v>0</v>
      </c>
      <c r="Q1355" t="n">
        <v>0</v>
      </c>
      <c r="R1355" s="2" t="inlineStr"/>
    </row>
    <row r="1356" ht="15" customHeight="1">
      <c r="A1356" t="inlineStr">
        <is>
          <t>A 68739-2021</t>
        </is>
      </c>
      <c r="B1356" s="1" t="n">
        <v>44529</v>
      </c>
      <c r="C1356" s="1" t="n">
        <v>45952</v>
      </c>
      <c r="D1356" t="inlineStr">
        <is>
          <t>VÄSTRA GÖTALANDS LÄN</t>
        </is>
      </c>
      <c r="E1356" t="inlineStr">
        <is>
          <t>LYSEKIL</t>
        </is>
      </c>
      <c r="G1356" t="n">
        <v>1.1</v>
      </c>
      <c r="H1356" t="n">
        <v>0</v>
      </c>
      <c r="I1356" t="n">
        <v>0</v>
      </c>
      <c r="J1356" t="n">
        <v>0</v>
      </c>
      <c r="K1356" t="n">
        <v>0</v>
      </c>
      <c r="L1356" t="n">
        <v>0</v>
      </c>
      <c r="M1356" t="n">
        <v>0</v>
      </c>
      <c r="N1356" t="n">
        <v>0</v>
      </c>
      <c r="O1356" t="n">
        <v>0</v>
      </c>
      <c r="P1356" t="n">
        <v>0</v>
      </c>
      <c r="Q1356" t="n">
        <v>0</v>
      </c>
      <c r="R1356" s="2" t="inlineStr"/>
    </row>
    <row r="1357" ht="15" customHeight="1">
      <c r="A1357" t="inlineStr">
        <is>
          <t>A 55634-2020</t>
        </is>
      </c>
      <c r="B1357" s="1" t="n">
        <v>44131</v>
      </c>
      <c r="C1357" s="1" t="n">
        <v>45952</v>
      </c>
      <c r="D1357" t="inlineStr">
        <is>
          <t>VÄSTRA GÖTALANDS LÄN</t>
        </is>
      </c>
      <c r="E1357" t="inlineStr">
        <is>
          <t>FALKÖPING</t>
        </is>
      </c>
      <c r="G1357" t="n">
        <v>4.1</v>
      </c>
      <c r="H1357" t="n">
        <v>0</v>
      </c>
      <c r="I1357" t="n">
        <v>0</v>
      </c>
      <c r="J1357" t="n">
        <v>0</v>
      </c>
      <c r="K1357" t="n">
        <v>0</v>
      </c>
      <c r="L1357" t="n">
        <v>0</v>
      </c>
      <c r="M1357" t="n">
        <v>0</v>
      </c>
      <c r="N1357" t="n">
        <v>0</v>
      </c>
      <c r="O1357" t="n">
        <v>0</v>
      </c>
      <c r="P1357" t="n">
        <v>0</v>
      </c>
      <c r="Q1357" t="n">
        <v>0</v>
      </c>
      <c r="R1357" s="2" t="inlineStr"/>
    </row>
    <row r="1358" ht="15" customHeight="1">
      <c r="A1358" t="inlineStr">
        <is>
          <t>A 56721-2020</t>
        </is>
      </c>
      <c r="B1358" s="1" t="n">
        <v>44137</v>
      </c>
      <c r="C1358" s="1" t="n">
        <v>45952</v>
      </c>
      <c r="D1358" t="inlineStr">
        <is>
          <t>VÄSTRA GÖTALANDS LÄN</t>
        </is>
      </c>
      <c r="E1358" t="inlineStr">
        <is>
          <t>ULRICEHAMN</t>
        </is>
      </c>
      <c r="G1358" t="n">
        <v>1.4</v>
      </c>
      <c r="H1358" t="n">
        <v>0</v>
      </c>
      <c r="I1358" t="n">
        <v>0</v>
      </c>
      <c r="J1358" t="n">
        <v>0</v>
      </c>
      <c r="K1358" t="n">
        <v>0</v>
      </c>
      <c r="L1358" t="n">
        <v>0</v>
      </c>
      <c r="M1358" t="n">
        <v>0</v>
      </c>
      <c r="N1358" t="n">
        <v>0</v>
      </c>
      <c r="O1358" t="n">
        <v>0</v>
      </c>
      <c r="P1358" t="n">
        <v>0</v>
      </c>
      <c r="Q1358" t="n">
        <v>0</v>
      </c>
      <c r="R1358" s="2" t="inlineStr"/>
    </row>
    <row r="1359" ht="15" customHeight="1">
      <c r="A1359" t="inlineStr">
        <is>
          <t>A 35107-2021</t>
        </is>
      </c>
      <c r="B1359" s="1" t="n">
        <v>44384.3640162037</v>
      </c>
      <c r="C1359" s="1" t="n">
        <v>45952</v>
      </c>
      <c r="D1359" t="inlineStr">
        <is>
          <t>VÄSTRA GÖTALANDS LÄN</t>
        </is>
      </c>
      <c r="E1359" t="inlineStr">
        <is>
          <t>GRÄSTORP</t>
        </is>
      </c>
      <c r="G1359" t="n">
        <v>1.4</v>
      </c>
      <c r="H1359" t="n">
        <v>0</v>
      </c>
      <c r="I1359" t="n">
        <v>0</v>
      </c>
      <c r="J1359" t="n">
        <v>0</v>
      </c>
      <c r="K1359" t="n">
        <v>0</v>
      </c>
      <c r="L1359" t="n">
        <v>0</v>
      </c>
      <c r="M1359" t="n">
        <v>0</v>
      </c>
      <c r="N1359" t="n">
        <v>0</v>
      </c>
      <c r="O1359" t="n">
        <v>0</v>
      </c>
      <c r="P1359" t="n">
        <v>0</v>
      </c>
      <c r="Q1359" t="n">
        <v>0</v>
      </c>
      <c r="R1359" s="2" t="inlineStr"/>
    </row>
    <row r="1360" ht="15" customHeight="1">
      <c r="A1360" t="inlineStr">
        <is>
          <t>A 63989-2020</t>
        </is>
      </c>
      <c r="B1360" s="1" t="n">
        <v>44167.47452546296</v>
      </c>
      <c r="C1360" s="1" t="n">
        <v>45952</v>
      </c>
      <c r="D1360" t="inlineStr">
        <is>
          <t>VÄSTRA GÖTALANDS LÄN</t>
        </is>
      </c>
      <c r="E1360" t="inlineStr">
        <is>
          <t>TRANEMO</t>
        </is>
      </c>
      <c r="G1360" t="n">
        <v>0.7</v>
      </c>
      <c r="H1360" t="n">
        <v>0</v>
      </c>
      <c r="I1360" t="n">
        <v>0</v>
      </c>
      <c r="J1360" t="n">
        <v>0</v>
      </c>
      <c r="K1360" t="n">
        <v>0</v>
      </c>
      <c r="L1360" t="n">
        <v>0</v>
      </c>
      <c r="M1360" t="n">
        <v>0</v>
      </c>
      <c r="N1360" t="n">
        <v>0</v>
      </c>
      <c r="O1360" t="n">
        <v>0</v>
      </c>
      <c r="P1360" t="n">
        <v>0</v>
      </c>
      <c r="Q1360" t="n">
        <v>0</v>
      </c>
      <c r="R1360" s="2" t="inlineStr"/>
    </row>
    <row r="1361" ht="15" customHeight="1">
      <c r="A1361" t="inlineStr">
        <is>
          <t>A 64002-2020</t>
        </is>
      </c>
      <c r="B1361" s="1" t="n">
        <v>44167.49175925926</v>
      </c>
      <c r="C1361" s="1" t="n">
        <v>45952</v>
      </c>
      <c r="D1361" t="inlineStr">
        <is>
          <t>VÄSTRA GÖTALANDS LÄN</t>
        </is>
      </c>
      <c r="E1361" t="inlineStr">
        <is>
          <t>FALKÖPING</t>
        </is>
      </c>
      <c r="G1361" t="n">
        <v>0.9</v>
      </c>
      <c r="H1361" t="n">
        <v>0</v>
      </c>
      <c r="I1361" t="n">
        <v>0</v>
      </c>
      <c r="J1361" t="n">
        <v>0</v>
      </c>
      <c r="K1361" t="n">
        <v>0</v>
      </c>
      <c r="L1361" t="n">
        <v>0</v>
      </c>
      <c r="M1361" t="n">
        <v>0</v>
      </c>
      <c r="N1361" t="n">
        <v>0</v>
      </c>
      <c r="O1361" t="n">
        <v>0</v>
      </c>
      <c r="P1361" t="n">
        <v>0</v>
      </c>
      <c r="Q1361" t="n">
        <v>0</v>
      </c>
      <c r="R1361" s="2" t="inlineStr"/>
    </row>
    <row r="1362" ht="15" customHeight="1">
      <c r="A1362" t="inlineStr">
        <is>
          <t>A 64033-2020</t>
        </is>
      </c>
      <c r="B1362" s="1" t="n">
        <v>44167</v>
      </c>
      <c r="C1362" s="1" t="n">
        <v>45952</v>
      </c>
      <c r="D1362" t="inlineStr">
        <is>
          <t>VÄSTRA GÖTALANDS LÄN</t>
        </is>
      </c>
      <c r="E1362" t="inlineStr">
        <is>
          <t>GRÄSTORP</t>
        </is>
      </c>
      <c r="G1362" t="n">
        <v>0.3</v>
      </c>
      <c r="H1362" t="n">
        <v>0</v>
      </c>
      <c r="I1362" t="n">
        <v>0</v>
      </c>
      <c r="J1362" t="n">
        <v>0</v>
      </c>
      <c r="K1362" t="n">
        <v>0</v>
      </c>
      <c r="L1362" t="n">
        <v>0</v>
      </c>
      <c r="M1362" t="n">
        <v>0</v>
      </c>
      <c r="N1362" t="n">
        <v>0</v>
      </c>
      <c r="O1362" t="n">
        <v>0</v>
      </c>
      <c r="P1362" t="n">
        <v>0</v>
      </c>
      <c r="Q1362" t="n">
        <v>0</v>
      </c>
      <c r="R1362" s="2" t="inlineStr"/>
    </row>
    <row r="1363" ht="15" customHeight="1">
      <c r="A1363" t="inlineStr">
        <is>
          <t>A 64578-2020</t>
        </is>
      </c>
      <c r="B1363" s="1" t="n">
        <v>44169</v>
      </c>
      <c r="C1363" s="1" t="n">
        <v>45952</v>
      </c>
      <c r="D1363" t="inlineStr">
        <is>
          <t>VÄSTRA GÖTALANDS LÄN</t>
        </is>
      </c>
      <c r="E1363" t="inlineStr">
        <is>
          <t>TIDAHOLM</t>
        </is>
      </c>
      <c r="G1363" t="n">
        <v>1.3</v>
      </c>
      <c r="H1363" t="n">
        <v>0</v>
      </c>
      <c r="I1363" t="n">
        <v>0</v>
      </c>
      <c r="J1363" t="n">
        <v>0</v>
      </c>
      <c r="K1363" t="n">
        <v>0</v>
      </c>
      <c r="L1363" t="n">
        <v>0</v>
      </c>
      <c r="M1363" t="n">
        <v>0</v>
      </c>
      <c r="N1363" t="n">
        <v>0</v>
      </c>
      <c r="O1363" t="n">
        <v>0</v>
      </c>
      <c r="P1363" t="n">
        <v>0</v>
      </c>
      <c r="Q1363" t="n">
        <v>0</v>
      </c>
      <c r="R1363" s="2" t="inlineStr"/>
    </row>
    <row r="1364" ht="15" customHeight="1">
      <c r="A1364" t="inlineStr">
        <is>
          <t>A 65558-2020</t>
        </is>
      </c>
      <c r="B1364" s="1" t="n">
        <v>44173.6754050926</v>
      </c>
      <c r="C1364" s="1" t="n">
        <v>45952</v>
      </c>
      <c r="D1364" t="inlineStr">
        <is>
          <t>VÄSTRA GÖTALANDS LÄN</t>
        </is>
      </c>
      <c r="E1364" t="inlineStr">
        <is>
          <t>UDDEVALLA</t>
        </is>
      </c>
      <c r="G1364" t="n">
        <v>1.4</v>
      </c>
      <c r="H1364" t="n">
        <v>0</v>
      </c>
      <c r="I1364" t="n">
        <v>0</v>
      </c>
      <c r="J1364" t="n">
        <v>0</v>
      </c>
      <c r="K1364" t="n">
        <v>0</v>
      </c>
      <c r="L1364" t="n">
        <v>0</v>
      </c>
      <c r="M1364" t="n">
        <v>0</v>
      </c>
      <c r="N1364" t="n">
        <v>0</v>
      </c>
      <c r="O1364" t="n">
        <v>0</v>
      </c>
      <c r="P1364" t="n">
        <v>0</v>
      </c>
      <c r="Q1364" t="n">
        <v>0</v>
      </c>
      <c r="R1364" s="2" t="inlineStr"/>
    </row>
    <row r="1365" ht="15" customHeight="1">
      <c r="A1365" t="inlineStr">
        <is>
          <t>A 20163-2021</t>
        </is>
      </c>
      <c r="B1365" s="1" t="n">
        <v>44314.54328703704</v>
      </c>
      <c r="C1365" s="1" t="n">
        <v>45952</v>
      </c>
      <c r="D1365" t="inlineStr">
        <is>
          <t>VÄSTRA GÖTALANDS LÄN</t>
        </is>
      </c>
      <c r="E1365" t="inlineStr">
        <is>
          <t>VARA</t>
        </is>
      </c>
      <c r="G1365" t="n">
        <v>1</v>
      </c>
      <c r="H1365" t="n">
        <v>0</v>
      </c>
      <c r="I1365" t="n">
        <v>0</v>
      </c>
      <c r="J1365" t="n">
        <v>0</v>
      </c>
      <c r="K1365" t="n">
        <v>0</v>
      </c>
      <c r="L1365" t="n">
        <v>0</v>
      </c>
      <c r="M1365" t="n">
        <v>0</v>
      </c>
      <c r="N1365" t="n">
        <v>0</v>
      </c>
      <c r="O1365" t="n">
        <v>0</v>
      </c>
      <c r="P1365" t="n">
        <v>0</v>
      </c>
      <c r="Q1365" t="n">
        <v>0</v>
      </c>
      <c r="R1365" s="2" t="inlineStr"/>
    </row>
    <row r="1366" ht="15" customHeight="1">
      <c r="A1366" t="inlineStr">
        <is>
          <t>A 19388-2021</t>
        </is>
      </c>
      <c r="B1366" s="1" t="n">
        <v>44309</v>
      </c>
      <c r="C1366" s="1" t="n">
        <v>45952</v>
      </c>
      <c r="D1366" t="inlineStr">
        <is>
          <t>VÄSTRA GÖTALANDS LÄN</t>
        </is>
      </c>
      <c r="E1366" t="inlineStr">
        <is>
          <t>ULRICEHAMN</t>
        </is>
      </c>
      <c r="G1366" t="n">
        <v>4.1</v>
      </c>
      <c r="H1366" t="n">
        <v>0</v>
      </c>
      <c r="I1366" t="n">
        <v>0</v>
      </c>
      <c r="J1366" t="n">
        <v>0</v>
      </c>
      <c r="K1366" t="n">
        <v>0</v>
      </c>
      <c r="L1366" t="n">
        <v>0</v>
      </c>
      <c r="M1366" t="n">
        <v>0</v>
      </c>
      <c r="N1366" t="n">
        <v>0</v>
      </c>
      <c r="O1366" t="n">
        <v>0</v>
      </c>
      <c r="P1366" t="n">
        <v>0</v>
      </c>
      <c r="Q1366" t="n">
        <v>0</v>
      </c>
      <c r="R1366" s="2" t="inlineStr"/>
    </row>
    <row r="1367" ht="15" customHeight="1">
      <c r="A1367" t="inlineStr">
        <is>
          <t>A 47876-2021</t>
        </is>
      </c>
      <c r="B1367" s="1" t="n">
        <v>44448</v>
      </c>
      <c r="C1367" s="1" t="n">
        <v>45952</v>
      </c>
      <c r="D1367" t="inlineStr">
        <is>
          <t>VÄSTRA GÖTALANDS LÄN</t>
        </is>
      </c>
      <c r="E1367" t="inlineStr">
        <is>
          <t>ORUST</t>
        </is>
      </c>
      <c r="G1367" t="n">
        <v>1.9</v>
      </c>
      <c r="H1367" t="n">
        <v>0</v>
      </c>
      <c r="I1367" t="n">
        <v>0</v>
      </c>
      <c r="J1367" t="n">
        <v>0</v>
      </c>
      <c r="K1367" t="n">
        <v>0</v>
      </c>
      <c r="L1367" t="n">
        <v>0</v>
      </c>
      <c r="M1367" t="n">
        <v>0</v>
      </c>
      <c r="N1367" t="n">
        <v>0</v>
      </c>
      <c r="O1367" t="n">
        <v>0</v>
      </c>
      <c r="P1367" t="n">
        <v>0</v>
      </c>
      <c r="Q1367" t="n">
        <v>0</v>
      </c>
      <c r="R1367" s="2" t="inlineStr"/>
    </row>
    <row r="1368" ht="15" customHeight="1">
      <c r="A1368" t="inlineStr">
        <is>
          <t>A 21430-2021</t>
        </is>
      </c>
      <c r="B1368" s="1" t="n">
        <v>44316</v>
      </c>
      <c r="C1368" s="1" t="n">
        <v>45952</v>
      </c>
      <c r="D1368" t="inlineStr">
        <is>
          <t>VÄSTRA GÖTALANDS LÄN</t>
        </is>
      </c>
      <c r="E1368" t="inlineStr">
        <is>
          <t>TANUM</t>
        </is>
      </c>
      <c r="G1368" t="n">
        <v>1.8</v>
      </c>
      <c r="H1368" t="n">
        <v>0</v>
      </c>
      <c r="I1368" t="n">
        <v>0</v>
      </c>
      <c r="J1368" t="n">
        <v>0</v>
      </c>
      <c r="K1368" t="n">
        <v>0</v>
      </c>
      <c r="L1368" t="n">
        <v>0</v>
      </c>
      <c r="M1368" t="n">
        <v>0</v>
      </c>
      <c r="N1368" t="n">
        <v>0</v>
      </c>
      <c r="O1368" t="n">
        <v>0</v>
      </c>
      <c r="P1368" t="n">
        <v>0</v>
      </c>
      <c r="Q1368" t="n">
        <v>0</v>
      </c>
      <c r="R1368" s="2" t="inlineStr"/>
    </row>
    <row r="1369" ht="15" customHeight="1">
      <c r="A1369" t="inlineStr">
        <is>
          <t>A 42157-2021</t>
        </is>
      </c>
      <c r="B1369" s="1" t="n">
        <v>44426.66753472222</v>
      </c>
      <c r="C1369" s="1" t="n">
        <v>45952</v>
      </c>
      <c r="D1369" t="inlineStr">
        <is>
          <t>VÄSTRA GÖTALANDS LÄN</t>
        </is>
      </c>
      <c r="E1369" t="inlineStr">
        <is>
          <t>BOLLEBYGD</t>
        </is>
      </c>
      <c r="G1369" t="n">
        <v>8.9</v>
      </c>
      <c r="H1369" t="n">
        <v>0</v>
      </c>
      <c r="I1369" t="n">
        <v>0</v>
      </c>
      <c r="J1369" t="n">
        <v>0</v>
      </c>
      <c r="K1369" t="n">
        <v>0</v>
      </c>
      <c r="L1369" t="n">
        <v>0</v>
      </c>
      <c r="M1369" t="n">
        <v>0</v>
      </c>
      <c r="N1369" t="n">
        <v>0</v>
      </c>
      <c r="O1369" t="n">
        <v>0</v>
      </c>
      <c r="P1369" t="n">
        <v>0</v>
      </c>
      <c r="Q1369" t="n">
        <v>0</v>
      </c>
      <c r="R1369" s="2" t="inlineStr"/>
    </row>
    <row r="1370" ht="15" customHeight="1">
      <c r="A1370" t="inlineStr">
        <is>
          <t>A 39328-2022</t>
        </is>
      </c>
      <c r="B1370" s="1" t="n">
        <v>44817</v>
      </c>
      <c r="C1370" s="1" t="n">
        <v>45952</v>
      </c>
      <c r="D1370" t="inlineStr">
        <is>
          <t>VÄSTRA GÖTALANDS LÄN</t>
        </is>
      </c>
      <c r="E1370" t="inlineStr">
        <is>
          <t>BORÅS</t>
        </is>
      </c>
      <c r="G1370" t="n">
        <v>1</v>
      </c>
      <c r="H1370" t="n">
        <v>0</v>
      </c>
      <c r="I1370" t="n">
        <v>0</v>
      </c>
      <c r="J1370" t="n">
        <v>0</v>
      </c>
      <c r="K1370" t="n">
        <v>0</v>
      </c>
      <c r="L1370" t="n">
        <v>0</v>
      </c>
      <c r="M1370" t="n">
        <v>0</v>
      </c>
      <c r="N1370" t="n">
        <v>0</v>
      </c>
      <c r="O1370" t="n">
        <v>0</v>
      </c>
      <c r="P1370" t="n">
        <v>0</v>
      </c>
      <c r="Q1370" t="n">
        <v>0</v>
      </c>
      <c r="R1370" s="2" t="inlineStr"/>
    </row>
    <row r="1371" ht="15" customHeight="1">
      <c r="A1371" t="inlineStr">
        <is>
          <t>A 39329-2022</t>
        </is>
      </c>
      <c r="B1371" s="1" t="n">
        <v>44817</v>
      </c>
      <c r="C1371" s="1" t="n">
        <v>45952</v>
      </c>
      <c r="D1371" t="inlineStr">
        <is>
          <t>VÄSTRA GÖTALANDS LÄN</t>
        </is>
      </c>
      <c r="E1371" t="inlineStr">
        <is>
          <t>BORÅS</t>
        </is>
      </c>
      <c r="G1371" t="n">
        <v>0.7</v>
      </c>
      <c r="H1371" t="n">
        <v>0</v>
      </c>
      <c r="I1371" t="n">
        <v>0</v>
      </c>
      <c r="J1371" t="n">
        <v>0</v>
      </c>
      <c r="K1371" t="n">
        <v>0</v>
      </c>
      <c r="L1371" t="n">
        <v>0</v>
      </c>
      <c r="M1371" t="n">
        <v>0</v>
      </c>
      <c r="N1371" t="n">
        <v>0</v>
      </c>
      <c r="O1371" t="n">
        <v>0</v>
      </c>
      <c r="P1371" t="n">
        <v>0</v>
      </c>
      <c r="Q1371" t="n">
        <v>0</v>
      </c>
      <c r="R1371" s="2" t="inlineStr"/>
    </row>
    <row r="1372" ht="15" customHeight="1">
      <c r="A1372" t="inlineStr">
        <is>
          <t>A 12046-2021</t>
        </is>
      </c>
      <c r="B1372" s="1" t="n">
        <v>44266</v>
      </c>
      <c r="C1372" s="1" t="n">
        <v>45952</v>
      </c>
      <c r="D1372" t="inlineStr">
        <is>
          <t>VÄSTRA GÖTALANDS LÄN</t>
        </is>
      </c>
      <c r="E1372" t="inlineStr">
        <is>
          <t>DALS-ED</t>
        </is>
      </c>
      <c r="G1372" t="n">
        <v>1.3</v>
      </c>
      <c r="H1372" t="n">
        <v>0</v>
      </c>
      <c r="I1372" t="n">
        <v>0</v>
      </c>
      <c r="J1372" t="n">
        <v>0</v>
      </c>
      <c r="K1372" t="n">
        <v>0</v>
      </c>
      <c r="L1372" t="n">
        <v>0</v>
      </c>
      <c r="M1372" t="n">
        <v>0</v>
      </c>
      <c r="N1372" t="n">
        <v>0</v>
      </c>
      <c r="O1372" t="n">
        <v>0</v>
      </c>
      <c r="P1372" t="n">
        <v>0</v>
      </c>
      <c r="Q1372" t="n">
        <v>0</v>
      </c>
      <c r="R1372" s="2" t="inlineStr"/>
    </row>
    <row r="1373" ht="15" customHeight="1">
      <c r="A1373" t="inlineStr">
        <is>
          <t>A 69624-2020</t>
        </is>
      </c>
      <c r="B1373" s="1" t="n">
        <v>44195</v>
      </c>
      <c r="C1373" s="1" t="n">
        <v>45952</v>
      </c>
      <c r="D1373" t="inlineStr">
        <is>
          <t>VÄSTRA GÖTALANDS LÄN</t>
        </is>
      </c>
      <c r="E1373" t="inlineStr">
        <is>
          <t>ULRICEHAMN</t>
        </is>
      </c>
      <c r="G1373" t="n">
        <v>2.3</v>
      </c>
      <c r="H1373" t="n">
        <v>0</v>
      </c>
      <c r="I1373" t="n">
        <v>0</v>
      </c>
      <c r="J1373" t="n">
        <v>0</v>
      </c>
      <c r="K1373" t="n">
        <v>0</v>
      </c>
      <c r="L1373" t="n">
        <v>0</v>
      </c>
      <c r="M1373" t="n">
        <v>0</v>
      </c>
      <c r="N1373" t="n">
        <v>0</v>
      </c>
      <c r="O1373" t="n">
        <v>0</v>
      </c>
      <c r="P1373" t="n">
        <v>0</v>
      </c>
      <c r="Q1373" t="n">
        <v>0</v>
      </c>
      <c r="R1373" s="2" t="inlineStr"/>
    </row>
    <row r="1374" ht="15" customHeight="1">
      <c r="A1374" t="inlineStr">
        <is>
          <t>A 74491-2021</t>
        </is>
      </c>
      <c r="B1374" s="1" t="n">
        <v>44560.6203587963</v>
      </c>
      <c r="C1374" s="1" t="n">
        <v>45952</v>
      </c>
      <c r="D1374" t="inlineStr">
        <is>
          <t>VÄSTRA GÖTALANDS LÄN</t>
        </is>
      </c>
      <c r="E1374" t="inlineStr">
        <is>
          <t>SKARA</t>
        </is>
      </c>
      <c r="G1374" t="n">
        <v>0.5</v>
      </c>
      <c r="H1374" t="n">
        <v>0</v>
      </c>
      <c r="I1374" t="n">
        <v>0</v>
      </c>
      <c r="J1374" t="n">
        <v>0</v>
      </c>
      <c r="K1374" t="n">
        <v>0</v>
      </c>
      <c r="L1374" t="n">
        <v>0</v>
      </c>
      <c r="M1374" t="n">
        <v>0</v>
      </c>
      <c r="N1374" t="n">
        <v>0</v>
      </c>
      <c r="O1374" t="n">
        <v>0</v>
      </c>
      <c r="P1374" t="n">
        <v>0</v>
      </c>
      <c r="Q1374" t="n">
        <v>0</v>
      </c>
      <c r="R1374" s="2" t="inlineStr"/>
    </row>
    <row r="1375" ht="15" customHeight="1">
      <c r="A1375" t="inlineStr">
        <is>
          <t>A 10650-2021</t>
        </is>
      </c>
      <c r="B1375" s="1" t="n">
        <v>44258</v>
      </c>
      <c r="C1375" s="1" t="n">
        <v>45952</v>
      </c>
      <c r="D1375" t="inlineStr">
        <is>
          <t>VÄSTRA GÖTALANDS LÄN</t>
        </is>
      </c>
      <c r="E1375" t="inlineStr">
        <is>
          <t>BENGTSFORS</t>
        </is>
      </c>
      <c r="G1375" t="n">
        <v>5.4</v>
      </c>
      <c r="H1375" t="n">
        <v>0</v>
      </c>
      <c r="I1375" t="n">
        <v>0</v>
      </c>
      <c r="J1375" t="n">
        <v>0</v>
      </c>
      <c r="K1375" t="n">
        <v>0</v>
      </c>
      <c r="L1375" t="n">
        <v>0</v>
      </c>
      <c r="M1375" t="n">
        <v>0</v>
      </c>
      <c r="N1375" t="n">
        <v>0</v>
      </c>
      <c r="O1375" t="n">
        <v>0</v>
      </c>
      <c r="P1375" t="n">
        <v>0</v>
      </c>
      <c r="Q1375" t="n">
        <v>0</v>
      </c>
      <c r="R1375" s="2" t="inlineStr"/>
    </row>
    <row r="1376" ht="15" customHeight="1">
      <c r="A1376" t="inlineStr">
        <is>
          <t>A 1109-2022</t>
        </is>
      </c>
      <c r="B1376" s="1" t="n">
        <v>44572</v>
      </c>
      <c r="C1376" s="1" t="n">
        <v>45952</v>
      </c>
      <c r="D1376" t="inlineStr">
        <is>
          <t>VÄSTRA GÖTALANDS LÄN</t>
        </is>
      </c>
      <c r="E1376" t="inlineStr">
        <is>
          <t>VÅRGÅRDA</t>
        </is>
      </c>
      <c r="G1376" t="n">
        <v>3.2</v>
      </c>
      <c r="H1376" t="n">
        <v>0</v>
      </c>
      <c r="I1376" t="n">
        <v>0</v>
      </c>
      <c r="J1376" t="n">
        <v>0</v>
      </c>
      <c r="K1376" t="n">
        <v>0</v>
      </c>
      <c r="L1376" t="n">
        <v>0</v>
      </c>
      <c r="M1376" t="n">
        <v>0</v>
      </c>
      <c r="N1376" t="n">
        <v>0</v>
      </c>
      <c r="O1376" t="n">
        <v>0</v>
      </c>
      <c r="P1376" t="n">
        <v>0</v>
      </c>
      <c r="Q1376" t="n">
        <v>0</v>
      </c>
      <c r="R1376" s="2" t="inlineStr"/>
    </row>
    <row r="1377" ht="15" customHeight="1">
      <c r="A1377" t="inlineStr">
        <is>
          <t>A 1510-2021</t>
        </is>
      </c>
      <c r="B1377" s="1" t="n">
        <v>44209</v>
      </c>
      <c r="C1377" s="1" t="n">
        <v>45952</v>
      </c>
      <c r="D1377" t="inlineStr">
        <is>
          <t>VÄSTRA GÖTALANDS LÄN</t>
        </is>
      </c>
      <c r="E1377" t="inlineStr">
        <is>
          <t>SVENLJUNGA</t>
        </is>
      </c>
      <c r="G1377" t="n">
        <v>1.3</v>
      </c>
      <c r="H1377" t="n">
        <v>0</v>
      </c>
      <c r="I1377" t="n">
        <v>0</v>
      </c>
      <c r="J1377" t="n">
        <v>0</v>
      </c>
      <c r="K1377" t="n">
        <v>0</v>
      </c>
      <c r="L1377" t="n">
        <v>0</v>
      </c>
      <c r="M1377" t="n">
        <v>0</v>
      </c>
      <c r="N1377" t="n">
        <v>0</v>
      </c>
      <c r="O1377" t="n">
        <v>0</v>
      </c>
      <c r="P1377" t="n">
        <v>0</v>
      </c>
      <c r="Q1377" t="n">
        <v>0</v>
      </c>
      <c r="R1377" s="2" t="inlineStr"/>
    </row>
    <row r="1378" ht="15" customHeight="1">
      <c r="A1378" t="inlineStr">
        <is>
          <t>A 54077-2021</t>
        </is>
      </c>
      <c r="B1378" s="1" t="n">
        <v>44470.45872685185</v>
      </c>
      <c r="C1378" s="1" t="n">
        <v>45952</v>
      </c>
      <c r="D1378" t="inlineStr">
        <is>
          <t>VÄSTRA GÖTALANDS LÄN</t>
        </is>
      </c>
      <c r="E1378" t="inlineStr">
        <is>
          <t>ÅMÅL</t>
        </is>
      </c>
      <c r="G1378" t="n">
        <v>0.8</v>
      </c>
      <c r="H1378" t="n">
        <v>0</v>
      </c>
      <c r="I1378" t="n">
        <v>0</v>
      </c>
      <c r="J1378" t="n">
        <v>0</v>
      </c>
      <c r="K1378" t="n">
        <v>0</v>
      </c>
      <c r="L1378" t="n">
        <v>0</v>
      </c>
      <c r="M1378" t="n">
        <v>0</v>
      </c>
      <c r="N1378" t="n">
        <v>0</v>
      </c>
      <c r="O1378" t="n">
        <v>0</v>
      </c>
      <c r="P1378" t="n">
        <v>0</v>
      </c>
      <c r="Q1378" t="n">
        <v>0</v>
      </c>
      <c r="R1378" s="2" t="inlineStr"/>
    </row>
    <row r="1379" ht="15" customHeight="1">
      <c r="A1379" t="inlineStr">
        <is>
          <t>A 47901-2021</t>
        </is>
      </c>
      <c r="B1379" s="1" t="n">
        <v>44448.8524537037</v>
      </c>
      <c r="C1379" s="1" t="n">
        <v>45952</v>
      </c>
      <c r="D1379" t="inlineStr">
        <is>
          <t>VÄSTRA GÖTALANDS LÄN</t>
        </is>
      </c>
      <c r="E1379" t="inlineStr">
        <is>
          <t>VARA</t>
        </is>
      </c>
      <c r="G1379" t="n">
        <v>2.9</v>
      </c>
      <c r="H1379" t="n">
        <v>0</v>
      </c>
      <c r="I1379" t="n">
        <v>0</v>
      </c>
      <c r="J1379" t="n">
        <v>0</v>
      </c>
      <c r="K1379" t="n">
        <v>0</v>
      </c>
      <c r="L1379" t="n">
        <v>0</v>
      </c>
      <c r="M1379" t="n">
        <v>0</v>
      </c>
      <c r="N1379" t="n">
        <v>0</v>
      </c>
      <c r="O1379" t="n">
        <v>0</v>
      </c>
      <c r="P1379" t="n">
        <v>0</v>
      </c>
      <c r="Q1379" t="n">
        <v>0</v>
      </c>
      <c r="R1379" s="2" t="inlineStr"/>
    </row>
    <row r="1380" ht="15" customHeight="1">
      <c r="A1380" t="inlineStr">
        <is>
          <t>A 47963-2021</t>
        </is>
      </c>
      <c r="B1380" s="1" t="n">
        <v>44449.26315972222</v>
      </c>
      <c r="C1380" s="1" t="n">
        <v>45952</v>
      </c>
      <c r="D1380" t="inlineStr">
        <is>
          <t>VÄSTRA GÖTALANDS LÄN</t>
        </is>
      </c>
      <c r="E1380" t="inlineStr">
        <is>
          <t>TIDAHOLM</t>
        </is>
      </c>
      <c r="G1380" t="n">
        <v>1.7</v>
      </c>
      <c r="H1380" t="n">
        <v>0</v>
      </c>
      <c r="I1380" t="n">
        <v>0</v>
      </c>
      <c r="J1380" t="n">
        <v>0</v>
      </c>
      <c r="K1380" t="n">
        <v>0</v>
      </c>
      <c r="L1380" t="n">
        <v>0</v>
      </c>
      <c r="M1380" t="n">
        <v>0</v>
      </c>
      <c r="N1380" t="n">
        <v>0</v>
      </c>
      <c r="O1380" t="n">
        <v>0</v>
      </c>
      <c r="P1380" t="n">
        <v>0</v>
      </c>
      <c r="Q1380" t="n">
        <v>0</v>
      </c>
      <c r="R1380" s="2" t="inlineStr"/>
    </row>
    <row r="1381" ht="15" customHeight="1">
      <c r="A1381" t="inlineStr">
        <is>
          <t>A 7402-2021</t>
        </is>
      </c>
      <c r="B1381" s="1" t="n">
        <v>44239</v>
      </c>
      <c r="C1381" s="1" t="n">
        <v>45952</v>
      </c>
      <c r="D1381" t="inlineStr">
        <is>
          <t>VÄSTRA GÖTALANDS LÄN</t>
        </is>
      </c>
      <c r="E1381" t="inlineStr">
        <is>
          <t>SKÖVDE</t>
        </is>
      </c>
      <c r="G1381" t="n">
        <v>2.2</v>
      </c>
      <c r="H1381" t="n">
        <v>0</v>
      </c>
      <c r="I1381" t="n">
        <v>0</v>
      </c>
      <c r="J1381" t="n">
        <v>0</v>
      </c>
      <c r="K1381" t="n">
        <v>0</v>
      </c>
      <c r="L1381" t="n">
        <v>0</v>
      </c>
      <c r="M1381" t="n">
        <v>0</v>
      </c>
      <c r="N1381" t="n">
        <v>0</v>
      </c>
      <c r="O1381" t="n">
        <v>0</v>
      </c>
      <c r="P1381" t="n">
        <v>0</v>
      </c>
      <c r="Q1381" t="n">
        <v>0</v>
      </c>
      <c r="R1381" s="2" t="inlineStr"/>
    </row>
    <row r="1382" ht="15" customHeight="1">
      <c r="A1382" t="inlineStr">
        <is>
          <t>A 61985-2020</t>
        </is>
      </c>
      <c r="B1382" s="1" t="n">
        <v>44157</v>
      </c>
      <c r="C1382" s="1" t="n">
        <v>45952</v>
      </c>
      <c r="D1382" t="inlineStr">
        <is>
          <t>VÄSTRA GÖTALANDS LÄN</t>
        </is>
      </c>
      <c r="E1382" t="inlineStr">
        <is>
          <t>FALKÖPING</t>
        </is>
      </c>
      <c r="G1382" t="n">
        <v>0.7</v>
      </c>
      <c r="H1382" t="n">
        <v>0</v>
      </c>
      <c r="I1382" t="n">
        <v>0</v>
      </c>
      <c r="J1382" t="n">
        <v>0</v>
      </c>
      <c r="K1382" t="n">
        <v>0</v>
      </c>
      <c r="L1382" t="n">
        <v>0</v>
      </c>
      <c r="M1382" t="n">
        <v>0</v>
      </c>
      <c r="N1382" t="n">
        <v>0</v>
      </c>
      <c r="O1382" t="n">
        <v>0</v>
      </c>
      <c r="P1382" t="n">
        <v>0</v>
      </c>
      <c r="Q1382" t="n">
        <v>0</v>
      </c>
      <c r="R1382" s="2" t="inlineStr"/>
    </row>
    <row r="1383" ht="15" customHeight="1">
      <c r="A1383" t="inlineStr">
        <is>
          <t>A 62005-2020</t>
        </is>
      </c>
      <c r="B1383" s="1" t="n">
        <v>44157</v>
      </c>
      <c r="C1383" s="1" t="n">
        <v>45952</v>
      </c>
      <c r="D1383" t="inlineStr">
        <is>
          <t>VÄSTRA GÖTALANDS LÄN</t>
        </is>
      </c>
      <c r="E1383" t="inlineStr">
        <is>
          <t>HERRLJUNGA</t>
        </is>
      </c>
      <c r="G1383" t="n">
        <v>3.5</v>
      </c>
      <c r="H1383" t="n">
        <v>0</v>
      </c>
      <c r="I1383" t="n">
        <v>0</v>
      </c>
      <c r="J1383" t="n">
        <v>0</v>
      </c>
      <c r="K1383" t="n">
        <v>0</v>
      </c>
      <c r="L1383" t="n">
        <v>0</v>
      </c>
      <c r="M1383" t="n">
        <v>0</v>
      </c>
      <c r="N1383" t="n">
        <v>0</v>
      </c>
      <c r="O1383" t="n">
        <v>0</v>
      </c>
      <c r="P1383" t="n">
        <v>0</v>
      </c>
      <c r="Q1383" t="n">
        <v>0</v>
      </c>
      <c r="R1383" s="2" t="inlineStr"/>
    </row>
    <row r="1384" ht="15" customHeight="1">
      <c r="A1384" t="inlineStr">
        <is>
          <t>A 11510-2021</t>
        </is>
      </c>
      <c r="B1384" s="1" t="n">
        <v>44264.40030092592</v>
      </c>
      <c r="C1384" s="1" t="n">
        <v>45952</v>
      </c>
      <c r="D1384" t="inlineStr">
        <is>
          <t>VÄSTRA GÖTALANDS LÄN</t>
        </is>
      </c>
      <c r="E1384" t="inlineStr">
        <is>
          <t>BENGTSFORS</t>
        </is>
      </c>
      <c r="G1384" t="n">
        <v>1</v>
      </c>
      <c r="H1384" t="n">
        <v>0</v>
      </c>
      <c r="I1384" t="n">
        <v>0</v>
      </c>
      <c r="J1384" t="n">
        <v>0</v>
      </c>
      <c r="K1384" t="n">
        <v>0</v>
      </c>
      <c r="L1384" t="n">
        <v>0</v>
      </c>
      <c r="M1384" t="n">
        <v>0</v>
      </c>
      <c r="N1384" t="n">
        <v>0</v>
      </c>
      <c r="O1384" t="n">
        <v>0</v>
      </c>
      <c r="P1384" t="n">
        <v>0</v>
      </c>
      <c r="Q1384" t="n">
        <v>0</v>
      </c>
      <c r="R1384" s="2" t="inlineStr"/>
    </row>
    <row r="1385" ht="15" customHeight="1">
      <c r="A1385" t="inlineStr">
        <is>
          <t>A 67662-2020</t>
        </is>
      </c>
      <c r="B1385" s="1" t="n">
        <v>44182</v>
      </c>
      <c r="C1385" s="1" t="n">
        <v>45952</v>
      </c>
      <c r="D1385" t="inlineStr">
        <is>
          <t>VÄSTRA GÖTALANDS LÄN</t>
        </is>
      </c>
      <c r="E1385" t="inlineStr">
        <is>
          <t>ALINGSÅS</t>
        </is>
      </c>
      <c r="G1385" t="n">
        <v>0.3</v>
      </c>
      <c r="H1385" t="n">
        <v>0</v>
      </c>
      <c r="I1385" t="n">
        <v>0</v>
      </c>
      <c r="J1385" t="n">
        <v>0</v>
      </c>
      <c r="K1385" t="n">
        <v>0</v>
      </c>
      <c r="L1385" t="n">
        <v>0</v>
      </c>
      <c r="M1385" t="n">
        <v>0</v>
      </c>
      <c r="N1385" t="n">
        <v>0</v>
      </c>
      <c r="O1385" t="n">
        <v>0</v>
      </c>
      <c r="P1385" t="n">
        <v>0</v>
      </c>
      <c r="Q1385" t="n">
        <v>0</v>
      </c>
      <c r="R1385" s="2" t="inlineStr"/>
    </row>
    <row r="1386" ht="15" customHeight="1">
      <c r="A1386" t="inlineStr">
        <is>
          <t>A 45842-2021</t>
        </is>
      </c>
      <c r="B1386" s="1" t="n">
        <v>44441.54540509259</v>
      </c>
      <c r="C1386" s="1" t="n">
        <v>45952</v>
      </c>
      <c r="D1386" t="inlineStr">
        <is>
          <t>VÄSTRA GÖTALANDS LÄN</t>
        </is>
      </c>
      <c r="E1386" t="inlineStr">
        <is>
          <t>BENGTSFORS</t>
        </is>
      </c>
      <c r="F1386" t="inlineStr">
        <is>
          <t>Övriga Aktiebolag</t>
        </is>
      </c>
      <c r="G1386" t="n">
        <v>4.2</v>
      </c>
      <c r="H1386" t="n">
        <v>0</v>
      </c>
      <c r="I1386" t="n">
        <v>0</v>
      </c>
      <c r="J1386" t="n">
        <v>0</v>
      </c>
      <c r="K1386" t="n">
        <v>0</v>
      </c>
      <c r="L1386" t="n">
        <v>0</v>
      </c>
      <c r="M1386" t="n">
        <v>0</v>
      </c>
      <c r="N1386" t="n">
        <v>0</v>
      </c>
      <c r="O1386" t="n">
        <v>0</v>
      </c>
      <c r="P1386" t="n">
        <v>0</v>
      </c>
      <c r="Q1386" t="n">
        <v>0</v>
      </c>
      <c r="R1386" s="2" t="inlineStr"/>
    </row>
    <row r="1387" ht="15" customHeight="1">
      <c r="A1387" t="inlineStr">
        <is>
          <t>A 43442-2021</t>
        </is>
      </c>
      <c r="B1387" s="1" t="n">
        <v>44432.66158564815</v>
      </c>
      <c r="C1387" s="1" t="n">
        <v>45952</v>
      </c>
      <c r="D1387" t="inlineStr">
        <is>
          <t>VÄSTRA GÖTALANDS LÄN</t>
        </is>
      </c>
      <c r="E1387" t="inlineStr">
        <is>
          <t>MUNKEDAL</t>
        </is>
      </c>
      <c r="G1387" t="n">
        <v>1.2</v>
      </c>
      <c r="H1387" t="n">
        <v>0</v>
      </c>
      <c r="I1387" t="n">
        <v>0</v>
      </c>
      <c r="J1387" t="n">
        <v>0</v>
      </c>
      <c r="K1387" t="n">
        <v>0</v>
      </c>
      <c r="L1387" t="n">
        <v>0</v>
      </c>
      <c r="M1387" t="n">
        <v>0</v>
      </c>
      <c r="N1387" t="n">
        <v>0</v>
      </c>
      <c r="O1387" t="n">
        <v>0</v>
      </c>
      <c r="P1387" t="n">
        <v>0</v>
      </c>
      <c r="Q1387" t="n">
        <v>0</v>
      </c>
      <c r="R1387" s="2" t="inlineStr"/>
    </row>
    <row r="1388" ht="15" customHeight="1">
      <c r="A1388" t="inlineStr">
        <is>
          <t>A 47227-2021</t>
        </is>
      </c>
      <c r="B1388" s="1" t="n">
        <v>44446</v>
      </c>
      <c r="C1388" s="1" t="n">
        <v>45952</v>
      </c>
      <c r="D1388" t="inlineStr">
        <is>
          <t>VÄSTRA GÖTALANDS LÄN</t>
        </is>
      </c>
      <c r="E1388" t="inlineStr">
        <is>
          <t>DALS-ED</t>
        </is>
      </c>
      <c r="G1388" t="n">
        <v>5.5</v>
      </c>
      <c r="H1388" t="n">
        <v>0</v>
      </c>
      <c r="I1388" t="n">
        <v>0</v>
      </c>
      <c r="J1388" t="n">
        <v>0</v>
      </c>
      <c r="K1388" t="n">
        <v>0</v>
      </c>
      <c r="L1388" t="n">
        <v>0</v>
      </c>
      <c r="M1388" t="n">
        <v>0</v>
      </c>
      <c r="N1388" t="n">
        <v>0</v>
      </c>
      <c r="O1388" t="n">
        <v>0</v>
      </c>
      <c r="P1388" t="n">
        <v>0</v>
      </c>
      <c r="Q1388" t="n">
        <v>0</v>
      </c>
      <c r="R1388" s="2" t="inlineStr"/>
    </row>
    <row r="1389" ht="15" customHeight="1">
      <c r="A1389" t="inlineStr">
        <is>
          <t>A 54326-2021</t>
        </is>
      </c>
      <c r="B1389" s="1" t="n">
        <v>44472.87332175926</v>
      </c>
      <c r="C1389" s="1" t="n">
        <v>45952</v>
      </c>
      <c r="D1389" t="inlineStr">
        <is>
          <t>VÄSTRA GÖTALANDS LÄN</t>
        </is>
      </c>
      <c r="E1389" t="inlineStr">
        <is>
          <t>TRANEMO</t>
        </is>
      </c>
      <c r="G1389" t="n">
        <v>0.9</v>
      </c>
      <c r="H1389" t="n">
        <v>0</v>
      </c>
      <c r="I1389" t="n">
        <v>0</v>
      </c>
      <c r="J1389" t="n">
        <v>0</v>
      </c>
      <c r="K1389" t="n">
        <v>0</v>
      </c>
      <c r="L1389" t="n">
        <v>0</v>
      </c>
      <c r="M1389" t="n">
        <v>0</v>
      </c>
      <c r="N1389" t="n">
        <v>0</v>
      </c>
      <c r="O1389" t="n">
        <v>0</v>
      </c>
      <c r="P1389" t="n">
        <v>0</v>
      </c>
      <c r="Q1389" t="n">
        <v>0</v>
      </c>
      <c r="R1389" s="2" t="inlineStr"/>
    </row>
    <row r="1390" ht="15" customHeight="1">
      <c r="A1390" t="inlineStr">
        <is>
          <t>A 49955-2021</t>
        </is>
      </c>
      <c r="B1390" s="1" t="n">
        <v>44456</v>
      </c>
      <c r="C1390" s="1" t="n">
        <v>45952</v>
      </c>
      <c r="D1390" t="inlineStr">
        <is>
          <t>VÄSTRA GÖTALANDS LÄN</t>
        </is>
      </c>
      <c r="E1390" t="inlineStr">
        <is>
          <t>ALE</t>
        </is>
      </c>
      <c r="G1390" t="n">
        <v>2.2</v>
      </c>
      <c r="H1390" t="n">
        <v>0</v>
      </c>
      <c r="I1390" t="n">
        <v>0</v>
      </c>
      <c r="J1390" t="n">
        <v>0</v>
      </c>
      <c r="K1390" t="n">
        <v>0</v>
      </c>
      <c r="L1390" t="n">
        <v>0</v>
      </c>
      <c r="M1390" t="n">
        <v>0</v>
      </c>
      <c r="N1390" t="n">
        <v>0</v>
      </c>
      <c r="O1390" t="n">
        <v>0</v>
      </c>
      <c r="P1390" t="n">
        <v>0</v>
      </c>
      <c r="Q1390" t="n">
        <v>0</v>
      </c>
      <c r="R1390" s="2" t="inlineStr"/>
    </row>
    <row r="1391" ht="15" customHeight="1">
      <c r="A1391" t="inlineStr">
        <is>
          <t>A 68284-2021</t>
        </is>
      </c>
      <c r="B1391" s="1" t="n">
        <v>44526.68170138889</v>
      </c>
      <c r="C1391" s="1" t="n">
        <v>45952</v>
      </c>
      <c r="D1391" t="inlineStr">
        <is>
          <t>VÄSTRA GÖTALANDS LÄN</t>
        </is>
      </c>
      <c r="E1391" t="inlineStr">
        <is>
          <t>FÄRGELANDA</t>
        </is>
      </c>
      <c r="G1391" t="n">
        <v>2</v>
      </c>
      <c r="H1391" t="n">
        <v>0</v>
      </c>
      <c r="I1391" t="n">
        <v>0</v>
      </c>
      <c r="J1391" t="n">
        <v>0</v>
      </c>
      <c r="K1391" t="n">
        <v>0</v>
      </c>
      <c r="L1391" t="n">
        <v>0</v>
      </c>
      <c r="M1391" t="n">
        <v>0</v>
      </c>
      <c r="N1391" t="n">
        <v>0</v>
      </c>
      <c r="O1391" t="n">
        <v>0</v>
      </c>
      <c r="P1391" t="n">
        <v>0</v>
      </c>
      <c r="Q1391" t="n">
        <v>0</v>
      </c>
      <c r="R1391" s="2" t="inlineStr"/>
    </row>
    <row r="1392" ht="15" customHeight="1">
      <c r="A1392" t="inlineStr">
        <is>
          <t>A 51421-2021</t>
        </is>
      </c>
      <c r="B1392" s="1" t="n">
        <v>44461</v>
      </c>
      <c r="C1392" s="1" t="n">
        <v>45952</v>
      </c>
      <c r="D1392" t="inlineStr">
        <is>
          <t>VÄSTRA GÖTALANDS LÄN</t>
        </is>
      </c>
      <c r="E1392" t="inlineStr">
        <is>
          <t>VARA</t>
        </is>
      </c>
      <c r="G1392" t="n">
        <v>2.7</v>
      </c>
      <c r="H1392" t="n">
        <v>0</v>
      </c>
      <c r="I1392" t="n">
        <v>0</v>
      </c>
      <c r="J1392" t="n">
        <v>0</v>
      </c>
      <c r="K1392" t="n">
        <v>0</v>
      </c>
      <c r="L1392" t="n">
        <v>0</v>
      </c>
      <c r="M1392" t="n">
        <v>0</v>
      </c>
      <c r="N1392" t="n">
        <v>0</v>
      </c>
      <c r="O1392" t="n">
        <v>0</v>
      </c>
      <c r="P1392" t="n">
        <v>0</v>
      </c>
      <c r="Q1392" t="n">
        <v>0</v>
      </c>
      <c r="R1392" s="2" t="inlineStr"/>
    </row>
    <row r="1393" ht="15" customHeight="1">
      <c r="A1393" t="inlineStr">
        <is>
          <t>A 51116-2021</t>
        </is>
      </c>
      <c r="B1393" s="1" t="n">
        <v>44461</v>
      </c>
      <c r="C1393" s="1" t="n">
        <v>45952</v>
      </c>
      <c r="D1393" t="inlineStr">
        <is>
          <t>VÄSTRA GÖTALANDS LÄN</t>
        </is>
      </c>
      <c r="E1393" t="inlineStr">
        <is>
          <t>STENUNGSUND</t>
        </is>
      </c>
      <c r="G1393" t="n">
        <v>2.3</v>
      </c>
      <c r="H1393" t="n">
        <v>0</v>
      </c>
      <c r="I1393" t="n">
        <v>0</v>
      </c>
      <c r="J1393" t="n">
        <v>0</v>
      </c>
      <c r="K1393" t="n">
        <v>0</v>
      </c>
      <c r="L1393" t="n">
        <v>0</v>
      </c>
      <c r="M1393" t="n">
        <v>0</v>
      </c>
      <c r="N1393" t="n">
        <v>0</v>
      </c>
      <c r="O1393" t="n">
        <v>0</v>
      </c>
      <c r="P1393" t="n">
        <v>0</v>
      </c>
      <c r="Q1393" t="n">
        <v>0</v>
      </c>
      <c r="R1393" s="2" t="inlineStr"/>
    </row>
    <row r="1394" ht="15" customHeight="1">
      <c r="A1394" t="inlineStr">
        <is>
          <t>A 71031-2021</t>
        </is>
      </c>
      <c r="B1394" s="1" t="n">
        <v>44538.65876157407</v>
      </c>
      <c r="C1394" s="1" t="n">
        <v>45952</v>
      </c>
      <c r="D1394" t="inlineStr">
        <is>
          <t>VÄSTRA GÖTALANDS LÄN</t>
        </is>
      </c>
      <c r="E1394" t="inlineStr">
        <is>
          <t>BORÅS</t>
        </is>
      </c>
      <c r="F1394" t="inlineStr">
        <is>
          <t>Kommuner</t>
        </is>
      </c>
      <c r="G1394" t="n">
        <v>3</v>
      </c>
      <c r="H1394" t="n">
        <v>0</v>
      </c>
      <c r="I1394" t="n">
        <v>0</v>
      </c>
      <c r="J1394" t="n">
        <v>0</v>
      </c>
      <c r="K1394" t="n">
        <v>0</v>
      </c>
      <c r="L1394" t="n">
        <v>0</v>
      </c>
      <c r="M1394" t="n">
        <v>0</v>
      </c>
      <c r="N1394" t="n">
        <v>0</v>
      </c>
      <c r="O1394" t="n">
        <v>0</v>
      </c>
      <c r="P1394" t="n">
        <v>0</v>
      </c>
      <c r="Q1394" t="n">
        <v>0</v>
      </c>
      <c r="R1394" s="2" t="inlineStr"/>
    </row>
    <row r="1395" ht="15" customHeight="1">
      <c r="A1395" t="inlineStr">
        <is>
          <t>A 31236-2021</t>
        </is>
      </c>
      <c r="B1395" s="1" t="n">
        <v>44368</v>
      </c>
      <c r="C1395" s="1" t="n">
        <v>45952</v>
      </c>
      <c r="D1395" t="inlineStr">
        <is>
          <t>VÄSTRA GÖTALANDS LÄN</t>
        </is>
      </c>
      <c r="E1395" t="inlineStr">
        <is>
          <t>MARK</t>
        </is>
      </c>
      <c r="G1395" t="n">
        <v>1.8</v>
      </c>
      <c r="H1395" t="n">
        <v>0</v>
      </c>
      <c r="I1395" t="n">
        <v>0</v>
      </c>
      <c r="J1395" t="n">
        <v>0</v>
      </c>
      <c r="K1395" t="n">
        <v>0</v>
      </c>
      <c r="L1395" t="n">
        <v>0</v>
      </c>
      <c r="M1395" t="n">
        <v>0</v>
      </c>
      <c r="N1395" t="n">
        <v>0</v>
      </c>
      <c r="O1395" t="n">
        <v>0</v>
      </c>
      <c r="P1395" t="n">
        <v>0</v>
      </c>
      <c r="Q1395" t="n">
        <v>0</v>
      </c>
      <c r="R1395" s="2" t="inlineStr"/>
    </row>
    <row r="1396" ht="15" customHeight="1">
      <c r="A1396" t="inlineStr">
        <is>
          <t>A 4359-2021</t>
        </is>
      </c>
      <c r="B1396" s="1" t="n">
        <v>44223.67177083333</v>
      </c>
      <c r="C1396" s="1" t="n">
        <v>45952</v>
      </c>
      <c r="D1396" t="inlineStr">
        <is>
          <t>VÄSTRA GÖTALANDS LÄN</t>
        </is>
      </c>
      <c r="E1396" t="inlineStr">
        <is>
          <t>MÖLNDAL</t>
        </is>
      </c>
      <c r="G1396" t="n">
        <v>1.3</v>
      </c>
      <c r="H1396" t="n">
        <v>0</v>
      </c>
      <c r="I1396" t="n">
        <v>0</v>
      </c>
      <c r="J1396" t="n">
        <v>0</v>
      </c>
      <c r="K1396" t="n">
        <v>0</v>
      </c>
      <c r="L1396" t="n">
        <v>0</v>
      </c>
      <c r="M1396" t="n">
        <v>0</v>
      </c>
      <c r="N1396" t="n">
        <v>0</v>
      </c>
      <c r="O1396" t="n">
        <v>0</v>
      </c>
      <c r="P1396" t="n">
        <v>0</v>
      </c>
      <c r="Q1396" t="n">
        <v>0</v>
      </c>
      <c r="R1396" s="2" t="inlineStr"/>
    </row>
    <row r="1397" ht="15" customHeight="1">
      <c r="A1397" t="inlineStr">
        <is>
          <t>A 45465-2021</t>
        </is>
      </c>
      <c r="B1397" s="1" t="n">
        <v>44440</v>
      </c>
      <c r="C1397" s="1" t="n">
        <v>45952</v>
      </c>
      <c r="D1397" t="inlineStr">
        <is>
          <t>VÄSTRA GÖTALANDS LÄN</t>
        </is>
      </c>
      <c r="E1397" t="inlineStr">
        <is>
          <t>MELLERUD</t>
        </is>
      </c>
      <c r="G1397" t="n">
        <v>2.7</v>
      </c>
      <c r="H1397" t="n">
        <v>0</v>
      </c>
      <c r="I1397" t="n">
        <v>0</v>
      </c>
      <c r="J1397" t="n">
        <v>0</v>
      </c>
      <c r="K1397" t="n">
        <v>0</v>
      </c>
      <c r="L1397" t="n">
        <v>0</v>
      </c>
      <c r="M1397" t="n">
        <v>0</v>
      </c>
      <c r="N1397" t="n">
        <v>0</v>
      </c>
      <c r="O1397" t="n">
        <v>0</v>
      </c>
      <c r="P1397" t="n">
        <v>0</v>
      </c>
      <c r="Q1397" t="n">
        <v>0</v>
      </c>
      <c r="R1397" s="2" t="inlineStr"/>
    </row>
    <row r="1398" ht="15" customHeight="1">
      <c r="A1398" t="inlineStr">
        <is>
          <t>A 31245-2021</t>
        </is>
      </c>
      <c r="B1398" s="1" t="n">
        <v>44368.66224537037</v>
      </c>
      <c r="C1398" s="1" t="n">
        <v>45952</v>
      </c>
      <c r="D1398" t="inlineStr">
        <is>
          <t>VÄSTRA GÖTALANDS LÄN</t>
        </is>
      </c>
      <c r="E1398" t="inlineStr">
        <is>
          <t>FALKÖPING</t>
        </is>
      </c>
      <c r="G1398" t="n">
        <v>3.5</v>
      </c>
      <c r="H1398" t="n">
        <v>0</v>
      </c>
      <c r="I1398" t="n">
        <v>0</v>
      </c>
      <c r="J1398" t="n">
        <v>0</v>
      </c>
      <c r="K1398" t="n">
        <v>0</v>
      </c>
      <c r="L1398" t="n">
        <v>0</v>
      </c>
      <c r="M1398" t="n">
        <v>0</v>
      </c>
      <c r="N1398" t="n">
        <v>0</v>
      </c>
      <c r="O1398" t="n">
        <v>0</v>
      </c>
      <c r="P1398" t="n">
        <v>0</v>
      </c>
      <c r="Q1398" t="n">
        <v>0</v>
      </c>
      <c r="R1398" s="2" t="inlineStr"/>
    </row>
    <row r="1399" ht="15" customHeight="1">
      <c r="A1399" t="inlineStr">
        <is>
          <t>A 70988-2021</t>
        </is>
      </c>
      <c r="B1399" s="1" t="n">
        <v>44538</v>
      </c>
      <c r="C1399" s="1" t="n">
        <v>45952</v>
      </c>
      <c r="D1399" t="inlineStr">
        <is>
          <t>VÄSTRA GÖTALANDS LÄN</t>
        </is>
      </c>
      <c r="E1399" t="inlineStr">
        <is>
          <t>BORÅS</t>
        </is>
      </c>
      <c r="F1399" t="inlineStr">
        <is>
          <t>Kommuner</t>
        </is>
      </c>
      <c r="G1399" t="n">
        <v>1.6</v>
      </c>
      <c r="H1399" t="n">
        <v>0</v>
      </c>
      <c r="I1399" t="n">
        <v>0</v>
      </c>
      <c r="J1399" t="n">
        <v>0</v>
      </c>
      <c r="K1399" t="n">
        <v>0</v>
      </c>
      <c r="L1399" t="n">
        <v>0</v>
      </c>
      <c r="M1399" t="n">
        <v>0</v>
      </c>
      <c r="N1399" t="n">
        <v>0</v>
      </c>
      <c r="O1399" t="n">
        <v>0</v>
      </c>
      <c r="P1399" t="n">
        <v>0</v>
      </c>
      <c r="Q1399" t="n">
        <v>0</v>
      </c>
      <c r="R1399" s="2" t="inlineStr"/>
    </row>
    <row r="1400" ht="15" customHeight="1">
      <c r="A1400" t="inlineStr">
        <is>
          <t>A 48312-2021</t>
        </is>
      </c>
      <c r="B1400" s="1" t="n">
        <v>44450.66346064815</v>
      </c>
      <c r="C1400" s="1" t="n">
        <v>45952</v>
      </c>
      <c r="D1400" t="inlineStr">
        <is>
          <t>VÄSTRA GÖTALANDS LÄN</t>
        </is>
      </c>
      <c r="E1400" t="inlineStr">
        <is>
          <t>KUNGÄLV</t>
        </is>
      </c>
      <c r="G1400" t="n">
        <v>1.9</v>
      </c>
      <c r="H1400" t="n">
        <v>0</v>
      </c>
      <c r="I1400" t="n">
        <v>0</v>
      </c>
      <c r="J1400" t="n">
        <v>0</v>
      </c>
      <c r="K1400" t="n">
        <v>0</v>
      </c>
      <c r="L1400" t="n">
        <v>0</v>
      </c>
      <c r="M1400" t="n">
        <v>0</v>
      </c>
      <c r="N1400" t="n">
        <v>0</v>
      </c>
      <c r="O1400" t="n">
        <v>0</v>
      </c>
      <c r="P1400" t="n">
        <v>0</v>
      </c>
      <c r="Q1400" t="n">
        <v>0</v>
      </c>
      <c r="R1400" s="2" t="inlineStr"/>
    </row>
    <row r="1401" ht="15" customHeight="1">
      <c r="A1401" t="inlineStr">
        <is>
          <t>A 4121-2022</t>
        </is>
      </c>
      <c r="B1401" s="1" t="n">
        <v>44588.46016203704</v>
      </c>
      <c r="C1401" s="1" t="n">
        <v>45952</v>
      </c>
      <c r="D1401" t="inlineStr">
        <is>
          <t>VÄSTRA GÖTALANDS LÄN</t>
        </is>
      </c>
      <c r="E1401" t="inlineStr">
        <is>
          <t>DALS-ED</t>
        </is>
      </c>
      <c r="G1401" t="n">
        <v>0.5</v>
      </c>
      <c r="H1401" t="n">
        <v>0</v>
      </c>
      <c r="I1401" t="n">
        <v>0</v>
      </c>
      <c r="J1401" t="n">
        <v>0</v>
      </c>
      <c r="K1401" t="n">
        <v>0</v>
      </c>
      <c r="L1401" t="n">
        <v>0</v>
      </c>
      <c r="M1401" t="n">
        <v>0</v>
      </c>
      <c r="N1401" t="n">
        <v>0</v>
      </c>
      <c r="O1401" t="n">
        <v>0</v>
      </c>
      <c r="P1401" t="n">
        <v>0</v>
      </c>
      <c r="Q1401" t="n">
        <v>0</v>
      </c>
      <c r="R1401" s="2" t="inlineStr"/>
    </row>
    <row r="1402" ht="15" customHeight="1">
      <c r="A1402" t="inlineStr">
        <is>
          <t>A 35991-2021</t>
        </is>
      </c>
      <c r="B1402" s="1" t="n">
        <v>44389.36113425926</v>
      </c>
      <c r="C1402" s="1" t="n">
        <v>45952</v>
      </c>
      <c r="D1402" t="inlineStr">
        <is>
          <t>VÄSTRA GÖTALANDS LÄN</t>
        </is>
      </c>
      <c r="E1402" t="inlineStr">
        <is>
          <t>VÅRGÅRDA</t>
        </is>
      </c>
      <c r="G1402" t="n">
        <v>1.6</v>
      </c>
      <c r="H1402" t="n">
        <v>0</v>
      </c>
      <c r="I1402" t="n">
        <v>0</v>
      </c>
      <c r="J1402" t="n">
        <v>0</v>
      </c>
      <c r="K1402" t="n">
        <v>0</v>
      </c>
      <c r="L1402" t="n">
        <v>0</v>
      </c>
      <c r="M1402" t="n">
        <v>0</v>
      </c>
      <c r="N1402" t="n">
        <v>0</v>
      </c>
      <c r="O1402" t="n">
        <v>0</v>
      </c>
      <c r="P1402" t="n">
        <v>0</v>
      </c>
      <c r="Q1402" t="n">
        <v>0</v>
      </c>
      <c r="R1402" s="2" t="inlineStr"/>
    </row>
    <row r="1403" ht="15" customHeight="1">
      <c r="A1403" t="inlineStr">
        <is>
          <t>A 48039-2021</t>
        </is>
      </c>
      <c r="B1403" s="1" t="n">
        <v>44449</v>
      </c>
      <c r="C1403" s="1" t="n">
        <v>45952</v>
      </c>
      <c r="D1403" t="inlineStr">
        <is>
          <t>VÄSTRA GÖTALANDS LÄN</t>
        </is>
      </c>
      <c r="E1403" t="inlineStr">
        <is>
          <t>FÄRGELANDA</t>
        </is>
      </c>
      <c r="G1403" t="n">
        <v>0.9</v>
      </c>
      <c r="H1403" t="n">
        <v>0</v>
      </c>
      <c r="I1403" t="n">
        <v>0</v>
      </c>
      <c r="J1403" t="n">
        <v>0</v>
      </c>
      <c r="K1403" t="n">
        <v>0</v>
      </c>
      <c r="L1403" t="n">
        <v>0</v>
      </c>
      <c r="M1403" t="n">
        <v>0</v>
      </c>
      <c r="N1403" t="n">
        <v>0</v>
      </c>
      <c r="O1403" t="n">
        <v>0</v>
      </c>
      <c r="P1403" t="n">
        <v>0</v>
      </c>
      <c r="Q1403" t="n">
        <v>0</v>
      </c>
      <c r="R1403" s="2" t="inlineStr"/>
    </row>
    <row r="1404" ht="15" customHeight="1">
      <c r="A1404" t="inlineStr">
        <is>
          <t>A 58307-2021</t>
        </is>
      </c>
      <c r="B1404" s="1" t="n">
        <v>44488</v>
      </c>
      <c r="C1404" s="1" t="n">
        <v>45952</v>
      </c>
      <c r="D1404" t="inlineStr">
        <is>
          <t>VÄSTRA GÖTALANDS LÄN</t>
        </is>
      </c>
      <c r="E1404" t="inlineStr">
        <is>
          <t>VÄNERSBORG</t>
        </is>
      </c>
      <c r="G1404" t="n">
        <v>0.7</v>
      </c>
      <c r="H1404" t="n">
        <v>0</v>
      </c>
      <c r="I1404" t="n">
        <v>0</v>
      </c>
      <c r="J1404" t="n">
        <v>0</v>
      </c>
      <c r="K1404" t="n">
        <v>0</v>
      </c>
      <c r="L1404" t="n">
        <v>0</v>
      </c>
      <c r="M1404" t="n">
        <v>0</v>
      </c>
      <c r="N1404" t="n">
        <v>0</v>
      </c>
      <c r="O1404" t="n">
        <v>0</v>
      </c>
      <c r="P1404" t="n">
        <v>0</v>
      </c>
      <c r="Q1404" t="n">
        <v>0</v>
      </c>
      <c r="R1404" s="2" t="inlineStr"/>
    </row>
    <row r="1405" ht="15" customHeight="1">
      <c r="A1405" t="inlineStr">
        <is>
          <t>A 19647-2022</t>
        </is>
      </c>
      <c r="B1405" s="1" t="n">
        <v>44694</v>
      </c>
      <c r="C1405" s="1" t="n">
        <v>45952</v>
      </c>
      <c r="D1405" t="inlineStr">
        <is>
          <t>VÄSTRA GÖTALANDS LÄN</t>
        </is>
      </c>
      <c r="E1405" t="inlineStr">
        <is>
          <t>TIDAHOLM</t>
        </is>
      </c>
      <c r="G1405" t="n">
        <v>3.7</v>
      </c>
      <c r="H1405" t="n">
        <v>0</v>
      </c>
      <c r="I1405" t="n">
        <v>0</v>
      </c>
      <c r="J1405" t="n">
        <v>0</v>
      </c>
      <c r="K1405" t="n">
        <v>0</v>
      </c>
      <c r="L1405" t="n">
        <v>0</v>
      </c>
      <c r="M1405" t="n">
        <v>0</v>
      </c>
      <c r="N1405" t="n">
        <v>0</v>
      </c>
      <c r="O1405" t="n">
        <v>0</v>
      </c>
      <c r="P1405" t="n">
        <v>0</v>
      </c>
      <c r="Q1405" t="n">
        <v>0</v>
      </c>
      <c r="R1405" s="2" t="inlineStr"/>
    </row>
    <row r="1406" ht="15" customHeight="1">
      <c r="A1406" t="inlineStr">
        <is>
          <t>A 49595-2021</t>
        </is>
      </c>
      <c r="B1406" s="1" t="n">
        <v>44455.40164351852</v>
      </c>
      <c r="C1406" s="1" t="n">
        <v>45952</v>
      </c>
      <c r="D1406" t="inlineStr">
        <is>
          <t>VÄSTRA GÖTALANDS LÄN</t>
        </is>
      </c>
      <c r="E1406" t="inlineStr">
        <is>
          <t>HERRLJUNGA</t>
        </is>
      </c>
      <c r="G1406" t="n">
        <v>0.8</v>
      </c>
      <c r="H1406" t="n">
        <v>0</v>
      </c>
      <c r="I1406" t="n">
        <v>0</v>
      </c>
      <c r="J1406" t="n">
        <v>0</v>
      </c>
      <c r="K1406" t="n">
        <v>0</v>
      </c>
      <c r="L1406" t="n">
        <v>0</v>
      </c>
      <c r="M1406" t="n">
        <v>0</v>
      </c>
      <c r="N1406" t="n">
        <v>0</v>
      </c>
      <c r="O1406" t="n">
        <v>0</v>
      </c>
      <c r="P1406" t="n">
        <v>0</v>
      </c>
      <c r="Q1406" t="n">
        <v>0</v>
      </c>
      <c r="R1406" s="2" t="inlineStr"/>
    </row>
    <row r="1407" ht="15" customHeight="1">
      <c r="A1407" t="inlineStr">
        <is>
          <t>A 43812-2021</t>
        </is>
      </c>
      <c r="B1407" s="1" t="n">
        <v>44433</v>
      </c>
      <c r="C1407" s="1" t="n">
        <v>45952</v>
      </c>
      <c r="D1407" t="inlineStr">
        <is>
          <t>VÄSTRA GÖTALANDS LÄN</t>
        </is>
      </c>
      <c r="E1407" t="inlineStr">
        <is>
          <t>TIDAHOLM</t>
        </is>
      </c>
      <c r="G1407" t="n">
        <v>4.9</v>
      </c>
      <c r="H1407" t="n">
        <v>0</v>
      </c>
      <c r="I1407" t="n">
        <v>0</v>
      </c>
      <c r="J1407" t="n">
        <v>0</v>
      </c>
      <c r="K1407" t="n">
        <v>0</v>
      </c>
      <c r="L1407" t="n">
        <v>0</v>
      </c>
      <c r="M1407" t="n">
        <v>0</v>
      </c>
      <c r="N1407" t="n">
        <v>0</v>
      </c>
      <c r="O1407" t="n">
        <v>0</v>
      </c>
      <c r="P1407" t="n">
        <v>0</v>
      </c>
      <c r="Q1407" t="n">
        <v>0</v>
      </c>
      <c r="R1407" s="2" t="inlineStr"/>
    </row>
    <row r="1408" ht="15" customHeight="1">
      <c r="A1408" t="inlineStr">
        <is>
          <t>A 51153-2021</t>
        </is>
      </c>
      <c r="B1408" s="1" t="n">
        <v>44461</v>
      </c>
      <c r="C1408" s="1" t="n">
        <v>45952</v>
      </c>
      <c r="D1408" t="inlineStr">
        <is>
          <t>VÄSTRA GÖTALANDS LÄN</t>
        </is>
      </c>
      <c r="E1408" t="inlineStr">
        <is>
          <t>MARIESTAD</t>
        </is>
      </c>
      <c r="G1408" t="n">
        <v>3</v>
      </c>
      <c r="H1408" t="n">
        <v>0</v>
      </c>
      <c r="I1408" t="n">
        <v>0</v>
      </c>
      <c r="J1408" t="n">
        <v>0</v>
      </c>
      <c r="K1408" t="n">
        <v>0</v>
      </c>
      <c r="L1408" t="n">
        <v>0</v>
      </c>
      <c r="M1408" t="n">
        <v>0</v>
      </c>
      <c r="N1408" t="n">
        <v>0</v>
      </c>
      <c r="O1408" t="n">
        <v>0</v>
      </c>
      <c r="P1408" t="n">
        <v>0</v>
      </c>
      <c r="Q1408" t="n">
        <v>0</v>
      </c>
      <c r="R1408" s="2" t="inlineStr"/>
    </row>
    <row r="1409" ht="15" customHeight="1">
      <c r="A1409" t="inlineStr">
        <is>
          <t>A 9209-2022</t>
        </is>
      </c>
      <c r="B1409" s="1" t="n">
        <v>44616.29740740741</v>
      </c>
      <c r="C1409" s="1" t="n">
        <v>45952</v>
      </c>
      <c r="D1409" t="inlineStr">
        <is>
          <t>VÄSTRA GÖTALANDS LÄN</t>
        </is>
      </c>
      <c r="E1409" t="inlineStr">
        <is>
          <t>HJO</t>
        </is>
      </c>
      <c r="G1409" t="n">
        <v>1.2</v>
      </c>
      <c r="H1409" t="n">
        <v>0</v>
      </c>
      <c r="I1409" t="n">
        <v>0</v>
      </c>
      <c r="J1409" t="n">
        <v>0</v>
      </c>
      <c r="K1409" t="n">
        <v>0</v>
      </c>
      <c r="L1409" t="n">
        <v>0</v>
      </c>
      <c r="M1409" t="n">
        <v>0</v>
      </c>
      <c r="N1409" t="n">
        <v>0</v>
      </c>
      <c r="O1409" t="n">
        <v>0</v>
      </c>
      <c r="P1409" t="n">
        <v>0</v>
      </c>
      <c r="Q1409" t="n">
        <v>0</v>
      </c>
      <c r="R1409" s="2" t="inlineStr"/>
    </row>
    <row r="1410" ht="15" customHeight="1">
      <c r="A1410" t="inlineStr">
        <is>
          <t>A 9438-2022</t>
        </is>
      </c>
      <c r="B1410" s="1" t="n">
        <v>44616</v>
      </c>
      <c r="C1410" s="1" t="n">
        <v>45952</v>
      </c>
      <c r="D1410" t="inlineStr">
        <is>
          <t>VÄSTRA GÖTALANDS LÄN</t>
        </is>
      </c>
      <c r="E1410" t="inlineStr">
        <is>
          <t>TÖREBODA</t>
        </is>
      </c>
      <c r="F1410" t="inlineStr">
        <is>
          <t>Kyrkan</t>
        </is>
      </c>
      <c r="G1410" t="n">
        <v>2.8</v>
      </c>
      <c r="H1410" t="n">
        <v>0</v>
      </c>
      <c r="I1410" t="n">
        <v>0</v>
      </c>
      <c r="J1410" t="n">
        <v>0</v>
      </c>
      <c r="K1410" t="n">
        <v>0</v>
      </c>
      <c r="L1410" t="n">
        <v>0</v>
      </c>
      <c r="M1410" t="n">
        <v>0</v>
      </c>
      <c r="N1410" t="n">
        <v>0</v>
      </c>
      <c r="O1410" t="n">
        <v>0</v>
      </c>
      <c r="P1410" t="n">
        <v>0</v>
      </c>
      <c r="Q1410" t="n">
        <v>0</v>
      </c>
      <c r="R1410" s="2" t="inlineStr"/>
    </row>
    <row r="1411" ht="15" customHeight="1">
      <c r="A1411" t="inlineStr">
        <is>
          <t>A 67146-2021</t>
        </is>
      </c>
      <c r="B1411" s="1" t="n">
        <v>44523</v>
      </c>
      <c r="C1411" s="1" t="n">
        <v>45952</v>
      </c>
      <c r="D1411" t="inlineStr">
        <is>
          <t>VÄSTRA GÖTALANDS LÄN</t>
        </is>
      </c>
      <c r="E1411" t="inlineStr">
        <is>
          <t>MARIESTAD</t>
        </is>
      </c>
      <c r="G1411" t="n">
        <v>2.4</v>
      </c>
      <c r="H1411" t="n">
        <v>0</v>
      </c>
      <c r="I1411" t="n">
        <v>0</v>
      </c>
      <c r="J1411" t="n">
        <v>0</v>
      </c>
      <c r="K1411" t="n">
        <v>0</v>
      </c>
      <c r="L1411" t="n">
        <v>0</v>
      </c>
      <c r="M1411" t="n">
        <v>0</v>
      </c>
      <c r="N1411" t="n">
        <v>0</v>
      </c>
      <c r="O1411" t="n">
        <v>0</v>
      </c>
      <c r="P1411" t="n">
        <v>0</v>
      </c>
      <c r="Q1411" t="n">
        <v>0</v>
      </c>
      <c r="R1411" s="2" t="inlineStr"/>
    </row>
    <row r="1412" ht="15" customHeight="1">
      <c r="A1412" t="inlineStr">
        <is>
          <t>A 23296-2022</t>
        </is>
      </c>
      <c r="B1412" s="1" t="n">
        <v>44720</v>
      </c>
      <c r="C1412" s="1" t="n">
        <v>45952</v>
      </c>
      <c r="D1412" t="inlineStr">
        <is>
          <t>VÄSTRA GÖTALANDS LÄN</t>
        </is>
      </c>
      <c r="E1412" t="inlineStr">
        <is>
          <t>MARK</t>
        </is>
      </c>
      <c r="G1412" t="n">
        <v>5</v>
      </c>
      <c r="H1412" t="n">
        <v>0</v>
      </c>
      <c r="I1412" t="n">
        <v>0</v>
      </c>
      <c r="J1412" t="n">
        <v>0</v>
      </c>
      <c r="K1412" t="n">
        <v>0</v>
      </c>
      <c r="L1412" t="n">
        <v>0</v>
      </c>
      <c r="M1412" t="n">
        <v>0</v>
      </c>
      <c r="N1412" t="n">
        <v>0</v>
      </c>
      <c r="O1412" t="n">
        <v>0</v>
      </c>
      <c r="P1412" t="n">
        <v>0</v>
      </c>
      <c r="Q1412" t="n">
        <v>0</v>
      </c>
      <c r="R1412" s="2" t="inlineStr"/>
    </row>
    <row r="1413" ht="15" customHeight="1">
      <c r="A1413" t="inlineStr">
        <is>
          <t>A 60958-2021</t>
        </is>
      </c>
      <c r="B1413" s="1" t="n">
        <v>44497</v>
      </c>
      <c r="C1413" s="1" t="n">
        <v>45952</v>
      </c>
      <c r="D1413" t="inlineStr">
        <is>
          <t>VÄSTRA GÖTALANDS LÄN</t>
        </is>
      </c>
      <c r="E1413" t="inlineStr">
        <is>
          <t>MARK</t>
        </is>
      </c>
      <c r="F1413" t="inlineStr">
        <is>
          <t>Kyrkan</t>
        </is>
      </c>
      <c r="G1413" t="n">
        <v>3.6</v>
      </c>
      <c r="H1413" t="n">
        <v>0</v>
      </c>
      <c r="I1413" t="n">
        <v>0</v>
      </c>
      <c r="J1413" t="n">
        <v>0</v>
      </c>
      <c r="K1413" t="n">
        <v>0</v>
      </c>
      <c r="L1413" t="n">
        <v>0</v>
      </c>
      <c r="M1413" t="n">
        <v>0</v>
      </c>
      <c r="N1413" t="n">
        <v>0</v>
      </c>
      <c r="O1413" t="n">
        <v>0</v>
      </c>
      <c r="P1413" t="n">
        <v>0</v>
      </c>
      <c r="Q1413" t="n">
        <v>0</v>
      </c>
      <c r="R1413" s="2" t="inlineStr"/>
    </row>
    <row r="1414" ht="15" customHeight="1">
      <c r="A1414" t="inlineStr">
        <is>
          <t>A 18346-2022</t>
        </is>
      </c>
      <c r="B1414" s="1" t="n">
        <v>44685.67520833333</v>
      </c>
      <c r="C1414" s="1" t="n">
        <v>45952</v>
      </c>
      <c r="D1414" t="inlineStr">
        <is>
          <t>VÄSTRA GÖTALANDS LÄN</t>
        </is>
      </c>
      <c r="E1414" t="inlineStr">
        <is>
          <t>LILLA EDET</t>
        </is>
      </c>
      <c r="G1414" t="n">
        <v>0.6</v>
      </c>
      <c r="H1414" t="n">
        <v>0</v>
      </c>
      <c r="I1414" t="n">
        <v>0</v>
      </c>
      <c r="J1414" t="n">
        <v>0</v>
      </c>
      <c r="K1414" t="n">
        <v>0</v>
      </c>
      <c r="L1414" t="n">
        <v>0</v>
      </c>
      <c r="M1414" t="n">
        <v>0</v>
      </c>
      <c r="N1414" t="n">
        <v>0</v>
      </c>
      <c r="O1414" t="n">
        <v>0</v>
      </c>
      <c r="P1414" t="n">
        <v>0</v>
      </c>
      <c r="Q1414" t="n">
        <v>0</v>
      </c>
      <c r="R1414" s="2" t="inlineStr"/>
    </row>
    <row r="1415" ht="15" customHeight="1">
      <c r="A1415" t="inlineStr">
        <is>
          <t>A 1296-2022</t>
        </is>
      </c>
      <c r="B1415" s="1" t="n">
        <v>44572</v>
      </c>
      <c r="C1415" s="1" t="n">
        <v>45952</v>
      </c>
      <c r="D1415" t="inlineStr">
        <is>
          <t>VÄSTRA GÖTALANDS LÄN</t>
        </is>
      </c>
      <c r="E1415" t="inlineStr">
        <is>
          <t>TROLLHÄTTAN</t>
        </is>
      </c>
      <c r="G1415" t="n">
        <v>0.8</v>
      </c>
      <c r="H1415" t="n">
        <v>0</v>
      </c>
      <c r="I1415" t="n">
        <v>0</v>
      </c>
      <c r="J1415" t="n">
        <v>0</v>
      </c>
      <c r="K1415" t="n">
        <v>0</v>
      </c>
      <c r="L1415" t="n">
        <v>0</v>
      </c>
      <c r="M1415" t="n">
        <v>0</v>
      </c>
      <c r="N1415" t="n">
        <v>0</v>
      </c>
      <c r="O1415" t="n">
        <v>0</v>
      </c>
      <c r="P1415" t="n">
        <v>0</v>
      </c>
      <c r="Q1415" t="n">
        <v>0</v>
      </c>
      <c r="R1415" s="2" t="inlineStr"/>
    </row>
    <row r="1416" ht="15" customHeight="1">
      <c r="A1416" t="inlineStr">
        <is>
          <t>A 69103-2021</t>
        </is>
      </c>
      <c r="B1416" s="1" t="n">
        <v>44530.70315972222</v>
      </c>
      <c r="C1416" s="1" t="n">
        <v>45952</v>
      </c>
      <c r="D1416" t="inlineStr">
        <is>
          <t>VÄSTRA GÖTALANDS LÄN</t>
        </is>
      </c>
      <c r="E1416" t="inlineStr">
        <is>
          <t>SVENLJUNGA</t>
        </is>
      </c>
      <c r="F1416" t="inlineStr">
        <is>
          <t>Kommuner</t>
        </is>
      </c>
      <c r="G1416" t="n">
        <v>1.3</v>
      </c>
      <c r="H1416" t="n">
        <v>0</v>
      </c>
      <c r="I1416" t="n">
        <v>0</v>
      </c>
      <c r="J1416" t="n">
        <v>0</v>
      </c>
      <c r="K1416" t="n">
        <v>0</v>
      </c>
      <c r="L1416" t="n">
        <v>0</v>
      </c>
      <c r="M1416" t="n">
        <v>0</v>
      </c>
      <c r="N1416" t="n">
        <v>0</v>
      </c>
      <c r="O1416" t="n">
        <v>0</v>
      </c>
      <c r="P1416" t="n">
        <v>0</v>
      </c>
      <c r="Q1416" t="n">
        <v>0</v>
      </c>
      <c r="R1416" s="2" t="inlineStr"/>
    </row>
    <row r="1417" ht="15" customHeight="1">
      <c r="A1417" t="inlineStr">
        <is>
          <t>A 2926-2021</t>
        </is>
      </c>
      <c r="B1417" s="1" t="n">
        <v>44216</v>
      </c>
      <c r="C1417" s="1" t="n">
        <v>45952</v>
      </c>
      <c r="D1417" t="inlineStr">
        <is>
          <t>VÄSTRA GÖTALANDS LÄN</t>
        </is>
      </c>
      <c r="E1417" t="inlineStr">
        <is>
          <t>MUNKEDAL</t>
        </is>
      </c>
      <c r="G1417" t="n">
        <v>0.8</v>
      </c>
      <c r="H1417" t="n">
        <v>0</v>
      </c>
      <c r="I1417" t="n">
        <v>0</v>
      </c>
      <c r="J1417" t="n">
        <v>0</v>
      </c>
      <c r="K1417" t="n">
        <v>0</v>
      </c>
      <c r="L1417" t="n">
        <v>0</v>
      </c>
      <c r="M1417" t="n">
        <v>0</v>
      </c>
      <c r="N1417" t="n">
        <v>0</v>
      </c>
      <c r="O1417" t="n">
        <v>0</v>
      </c>
      <c r="P1417" t="n">
        <v>0</v>
      </c>
      <c r="Q1417" t="n">
        <v>0</v>
      </c>
      <c r="R1417" s="2" t="inlineStr"/>
    </row>
    <row r="1418" ht="15" customHeight="1">
      <c r="A1418" t="inlineStr">
        <is>
          <t>A 6871-2022</t>
        </is>
      </c>
      <c r="B1418" s="1" t="n">
        <v>44602.74396990741</v>
      </c>
      <c r="C1418" s="1" t="n">
        <v>45952</v>
      </c>
      <c r="D1418" t="inlineStr">
        <is>
          <t>VÄSTRA GÖTALANDS LÄN</t>
        </is>
      </c>
      <c r="E1418" t="inlineStr">
        <is>
          <t>TIBRO</t>
        </is>
      </c>
      <c r="G1418" t="n">
        <v>0.8</v>
      </c>
      <c r="H1418" t="n">
        <v>0</v>
      </c>
      <c r="I1418" t="n">
        <v>0</v>
      </c>
      <c r="J1418" t="n">
        <v>0</v>
      </c>
      <c r="K1418" t="n">
        <v>0</v>
      </c>
      <c r="L1418" t="n">
        <v>0</v>
      </c>
      <c r="M1418" t="n">
        <v>0</v>
      </c>
      <c r="N1418" t="n">
        <v>0</v>
      </c>
      <c r="O1418" t="n">
        <v>0</v>
      </c>
      <c r="P1418" t="n">
        <v>0</v>
      </c>
      <c r="Q1418" t="n">
        <v>0</v>
      </c>
      <c r="R1418" s="2" t="inlineStr"/>
    </row>
    <row r="1419" ht="15" customHeight="1">
      <c r="A1419" t="inlineStr">
        <is>
          <t>A 7781-2022</t>
        </is>
      </c>
      <c r="B1419" s="1" t="n">
        <v>44608.46501157407</v>
      </c>
      <c r="C1419" s="1" t="n">
        <v>45952</v>
      </c>
      <c r="D1419" t="inlineStr">
        <is>
          <t>VÄSTRA GÖTALANDS LÄN</t>
        </is>
      </c>
      <c r="E1419" t="inlineStr">
        <is>
          <t>TÖREBODA</t>
        </is>
      </c>
      <c r="G1419" t="n">
        <v>0.9</v>
      </c>
      <c r="H1419" t="n">
        <v>0</v>
      </c>
      <c r="I1419" t="n">
        <v>0</v>
      </c>
      <c r="J1419" t="n">
        <v>0</v>
      </c>
      <c r="K1419" t="n">
        <v>0</v>
      </c>
      <c r="L1419" t="n">
        <v>0</v>
      </c>
      <c r="M1419" t="n">
        <v>0</v>
      </c>
      <c r="N1419" t="n">
        <v>0</v>
      </c>
      <c r="O1419" t="n">
        <v>0</v>
      </c>
      <c r="P1419" t="n">
        <v>0</v>
      </c>
      <c r="Q1419" t="n">
        <v>0</v>
      </c>
      <c r="R1419" s="2" t="inlineStr"/>
    </row>
    <row r="1420" ht="15" customHeight="1">
      <c r="A1420" t="inlineStr">
        <is>
          <t>A 7787-2022</t>
        </is>
      </c>
      <c r="B1420" s="1" t="n">
        <v>44608</v>
      </c>
      <c r="C1420" s="1" t="n">
        <v>45952</v>
      </c>
      <c r="D1420" t="inlineStr">
        <is>
          <t>VÄSTRA GÖTALANDS LÄN</t>
        </is>
      </c>
      <c r="E1420" t="inlineStr">
        <is>
          <t>STENUNGSUND</t>
        </is>
      </c>
      <c r="G1420" t="n">
        <v>1.7</v>
      </c>
      <c r="H1420" t="n">
        <v>0</v>
      </c>
      <c r="I1420" t="n">
        <v>0</v>
      </c>
      <c r="J1420" t="n">
        <v>0</v>
      </c>
      <c r="K1420" t="n">
        <v>0</v>
      </c>
      <c r="L1420" t="n">
        <v>0</v>
      </c>
      <c r="M1420" t="n">
        <v>0</v>
      </c>
      <c r="N1420" t="n">
        <v>0</v>
      </c>
      <c r="O1420" t="n">
        <v>0</v>
      </c>
      <c r="P1420" t="n">
        <v>0</v>
      </c>
      <c r="Q1420" t="n">
        <v>0</v>
      </c>
      <c r="R1420" s="2" t="inlineStr"/>
    </row>
    <row r="1421" ht="15" customHeight="1">
      <c r="A1421" t="inlineStr">
        <is>
          <t>A 10831-2022</t>
        </is>
      </c>
      <c r="B1421" s="1" t="n">
        <v>44627.56489583333</v>
      </c>
      <c r="C1421" s="1" t="n">
        <v>45952</v>
      </c>
      <c r="D1421" t="inlineStr">
        <is>
          <t>VÄSTRA GÖTALANDS LÄN</t>
        </is>
      </c>
      <c r="E1421" t="inlineStr">
        <is>
          <t>VARA</t>
        </is>
      </c>
      <c r="G1421" t="n">
        <v>1.2</v>
      </c>
      <c r="H1421" t="n">
        <v>0</v>
      </c>
      <c r="I1421" t="n">
        <v>0</v>
      </c>
      <c r="J1421" t="n">
        <v>0</v>
      </c>
      <c r="K1421" t="n">
        <v>0</v>
      </c>
      <c r="L1421" t="n">
        <v>0</v>
      </c>
      <c r="M1421" t="n">
        <v>0</v>
      </c>
      <c r="N1421" t="n">
        <v>0</v>
      </c>
      <c r="O1421" t="n">
        <v>0</v>
      </c>
      <c r="P1421" t="n">
        <v>0</v>
      </c>
      <c r="Q1421" t="n">
        <v>0</v>
      </c>
      <c r="R1421" s="2" t="inlineStr"/>
    </row>
    <row r="1422" ht="15" customHeight="1">
      <c r="A1422" t="inlineStr">
        <is>
          <t>A 12283-2022</t>
        </is>
      </c>
      <c r="B1422" s="1" t="n">
        <v>44637</v>
      </c>
      <c r="C1422" s="1" t="n">
        <v>45952</v>
      </c>
      <c r="D1422" t="inlineStr">
        <is>
          <t>VÄSTRA GÖTALANDS LÄN</t>
        </is>
      </c>
      <c r="E1422" t="inlineStr">
        <is>
          <t>TRANEMO</t>
        </is>
      </c>
      <c r="G1422" t="n">
        <v>0.8</v>
      </c>
      <c r="H1422" t="n">
        <v>0</v>
      </c>
      <c r="I1422" t="n">
        <v>0</v>
      </c>
      <c r="J1422" t="n">
        <v>0</v>
      </c>
      <c r="K1422" t="n">
        <v>0</v>
      </c>
      <c r="L1422" t="n">
        <v>0</v>
      </c>
      <c r="M1422" t="n">
        <v>0</v>
      </c>
      <c r="N1422" t="n">
        <v>0</v>
      </c>
      <c r="O1422" t="n">
        <v>0</v>
      </c>
      <c r="P1422" t="n">
        <v>0</v>
      </c>
      <c r="Q1422" t="n">
        <v>0</v>
      </c>
      <c r="R1422" s="2" t="inlineStr"/>
    </row>
    <row r="1423" ht="15" customHeight="1">
      <c r="A1423" t="inlineStr">
        <is>
          <t>A 19574-2021</t>
        </is>
      </c>
      <c r="B1423" s="1" t="n">
        <v>44312</v>
      </c>
      <c r="C1423" s="1" t="n">
        <v>45952</v>
      </c>
      <c r="D1423" t="inlineStr">
        <is>
          <t>VÄSTRA GÖTALANDS LÄN</t>
        </is>
      </c>
      <c r="E1423" t="inlineStr">
        <is>
          <t>FALKÖPING</t>
        </is>
      </c>
      <c r="G1423" t="n">
        <v>2.5</v>
      </c>
      <c r="H1423" t="n">
        <v>0</v>
      </c>
      <c r="I1423" t="n">
        <v>0</v>
      </c>
      <c r="J1423" t="n">
        <v>0</v>
      </c>
      <c r="K1423" t="n">
        <v>0</v>
      </c>
      <c r="L1423" t="n">
        <v>0</v>
      </c>
      <c r="M1423" t="n">
        <v>0</v>
      </c>
      <c r="N1423" t="n">
        <v>0</v>
      </c>
      <c r="O1423" t="n">
        <v>0</v>
      </c>
      <c r="P1423" t="n">
        <v>0</v>
      </c>
      <c r="Q1423" t="n">
        <v>0</v>
      </c>
      <c r="R1423" s="2" t="inlineStr"/>
    </row>
    <row r="1424" ht="15" customHeight="1">
      <c r="A1424" t="inlineStr">
        <is>
          <t>A 16267-2022</t>
        </is>
      </c>
      <c r="B1424" s="1" t="n">
        <v>44670.46336805556</v>
      </c>
      <c r="C1424" s="1" t="n">
        <v>45952</v>
      </c>
      <c r="D1424" t="inlineStr">
        <is>
          <t>VÄSTRA GÖTALANDS LÄN</t>
        </is>
      </c>
      <c r="E1424" t="inlineStr">
        <is>
          <t>FÄRGELANDA</t>
        </is>
      </c>
      <c r="F1424" t="inlineStr">
        <is>
          <t>Kommuner</t>
        </is>
      </c>
      <c r="G1424" t="n">
        <v>0.6</v>
      </c>
      <c r="H1424" t="n">
        <v>0</v>
      </c>
      <c r="I1424" t="n">
        <v>0</v>
      </c>
      <c r="J1424" t="n">
        <v>0</v>
      </c>
      <c r="K1424" t="n">
        <v>0</v>
      </c>
      <c r="L1424" t="n">
        <v>0</v>
      </c>
      <c r="M1424" t="n">
        <v>0</v>
      </c>
      <c r="N1424" t="n">
        <v>0</v>
      </c>
      <c r="O1424" t="n">
        <v>0</v>
      </c>
      <c r="P1424" t="n">
        <v>0</v>
      </c>
      <c r="Q1424" t="n">
        <v>0</v>
      </c>
      <c r="R1424" s="2" t="inlineStr"/>
    </row>
    <row r="1425" ht="15" customHeight="1">
      <c r="A1425" t="inlineStr">
        <is>
          <t>A 58161-2021</t>
        </is>
      </c>
      <c r="B1425" s="1" t="n">
        <v>44487.61502314815</v>
      </c>
      <c r="C1425" s="1" t="n">
        <v>45952</v>
      </c>
      <c r="D1425" t="inlineStr">
        <is>
          <t>VÄSTRA GÖTALANDS LÄN</t>
        </is>
      </c>
      <c r="E1425" t="inlineStr">
        <is>
          <t>TRANEMO</t>
        </is>
      </c>
      <c r="G1425" t="n">
        <v>3.5</v>
      </c>
      <c r="H1425" t="n">
        <v>0</v>
      </c>
      <c r="I1425" t="n">
        <v>0</v>
      </c>
      <c r="J1425" t="n">
        <v>0</v>
      </c>
      <c r="K1425" t="n">
        <v>0</v>
      </c>
      <c r="L1425" t="n">
        <v>0</v>
      </c>
      <c r="M1425" t="n">
        <v>0</v>
      </c>
      <c r="N1425" t="n">
        <v>0</v>
      </c>
      <c r="O1425" t="n">
        <v>0</v>
      </c>
      <c r="P1425" t="n">
        <v>0</v>
      </c>
      <c r="Q1425" t="n">
        <v>0</v>
      </c>
      <c r="R1425" s="2" t="inlineStr"/>
    </row>
    <row r="1426" ht="15" customHeight="1">
      <c r="A1426" t="inlineStr">
        <is>
          <t>A 5786-2021</t>
        </is>
      </c>
      <c r="B1426" s="1" t="n">
        <v>44230</v>
      </c>
      <c r="C1426" s="1" t="n">
        <v>45952</v>
      </c>
      <c r="D1426" t="inlineStr">
        <is>
          <t>VÄSTRA GÖTALANDS LÄN</t>
        </is>
      </c>
      <c r="E1426" t="inlineStr">
        <is>
          <t>MARK</t>
        </is>
      </c>
      <c r="G1426" t="n">
        <v>0.6</v>
      </c>
      <c r="H1426" t="n">
        <v>0</v>
      </c>
      <c r="I1426" t="n">
        <v>0</v>
      </c>
      <c r="J1426" t="n">
        <v>0</v>
      </c>
      <c r="K1426" t="n">
        <v>0</v>
      </c>
      <c r="L1426" t="n">
        <v>0</v>
      </c>
      <c r="M1426" t="n">
        <v>0</v>
      </c>
      <c r="N1426" t="n">
        <v>0</v>
      </c>
      <c r="O1426" t="n">
        <v>0</v>
      </c>
      <c r="P1426" t="n">
        <v>0</v>
      </c>
      <c r="Q1426" t="n">
        <v>0</v>
      </c>
      <c r="R1426" s="2" t="inlineStr"/>
    </row>
    <row r="1427" ht="15" customHeight="1">
      <c r="A1427" t="inlineStr">
        <is>
          <t>A 18500-2022</t>
        </is>
      </c>
      <c r="B1427" s="1" t="n">
        <v>44686.63799768518</v>
      </c>
      <c r="C1427" s="1" t="n">
        <v>45952</v>
      </c>
      <c r="D1427" t="inlineStr">
        <is>
          <t>VÄSTRA GÖTALANDS LÄN</t>
        </is>
      </c>
      <c r="E1427" t="inlineStr">
        <is>
          <t>GULLSPÅNG</t>
        </is>
      </c>
      <c r="G1427" t="n">
        <v>6.8</v>
      </c>
      <c r="H1427" t="n">
        <v>0</v>
      </c>
      <c r="I1427" t="n">
        <v>0</v>
      </c>
      <c r="J1427" t="n">
        <v>0</v>
      </c>
      <c r="K1427" t="n">
        <v>0</v>
      </c>
      <c r="L1427" t="n">
        <v>0</v>
      </c>
      <c r="M1427" t="n">
        <v>0</v>
      </c>
      <c r="N1427" t="n">
        <v>0</v>
      </c>
      <c r="O1427" t="n">
        <v>0</v>
      </c>
      <c r="P1427" t="n">
        <v>0</v>
      </c>
      <c r="Q1427" t="n">
        <v>0</v>
      </c>
      <c r="R1427" s="2" t="inlineStr"/>
    </row>
    <row r="1428" ht="15" customHeight="1">
      <c r="A1428" t="inlineStr">
        <is>
          <t>A 58184-2021</t>
        </is>
      </c>
      <c r="B1428" s="1" t="n">
        <v>44487.64269675926</v>
      </c>
      <c r="C1428" s="1" t="n">
        <v>45952</v>
      </c>
      <c r="D1428" t="inlineStr">
        <is>
          <t>VÄSTRA GÖTALANDS LÄN</t>
        </is>
      </c>
      <c r="E1428" t="inlineStr">
        <is>
          <t>BENGTSFORS</t>
        </is>
      </c>
      <c r="G1428" t="n">
        <v>3.3</v>
      </c>
      <c r="H1428" t="n">
        <v>0</v>
      </c>
      <c r="I1428" t="n">
        <v>0</v>
      </c>
      <c r="J1428" t="n">
        <v>0</v>
      </c>
      <c r="K1428" t="n">
        <v>0</v>
      </c>
      <c r="L1428" t="n">
        <v>0</v>
      </c>
      <c r="M1428" t="n">
        <v>0</v>
      </c>
      <c r="N1428" t="n">
        <v>0</v>
      </c>
      <c r="O1428" t="n">
        <v>0</v>
      </c>
      <c r="P1428" t="n">
        <v>0</v>
      </c>
      <c r="Q1428" t="n">
        <v>0</v>
      </c>
      <c r="R1428" s="2" t="inlineStr"/>
    </row>
    <row r="1429" ht="15" customHeight="1">
      <c r="A1429" t="inlineStr">
        <is>
          <t>A 12074-2022</t>
        </is>
      </c>
      <c r="B1429" s="1" t="n">
        <v>44636.47163194444</v>
      </c>
      <c r="C1429" s="1" t="n">
        <v>45952</v>
      </c>
      <c r="D1429" t="inlineStr">
        <is>
          <t>VÄSTRA GÖTALANDS LÄN</t>
        </is>
      </c>
      <c r="E1429" t="inlineStr">
        <is>
          <t>ULRICEHAMN</t>
        </is>
      </c>
      <c r="G1429" t="n">
        <v>1.7</v>
      </c>
      <c r="H1429" t="n">
        <v>0</v>
      </c>
      <c r="I1429" t="n">
        <v>0</v>
      </c>
      <c r="J1429" t="n">
        <v>0</v>
      </c>
      <c r="K1429" t="n">
        <v>0</v>
      </c>
      <c r="L1429" t="n">
        <v>0</v>
      </c>
      <c r="M1429" t="n">
        <v>0</v>
      </c>
      <c r="N1429" t="n">
        <v>0</v>
      </c>
      <c r="O1429" t="n">
        <v>0</v>
      </c>
      <c r="P1429" t="n">
        <v>0</v>
      </c>
      <c r="Q1429" t="n">
        <v>0</v>
      </c>
      <c r="R1429" s="2" t="inlineStr"/>
    </row>
    <row r="1430" ht="15" customHeight="1">
      <c r="A1430" t="inlineStr">
        <is>
          <t>A 14421-2021</t>
        </is>
      </c>
      <c r="B1430" s="1" t="n">
        <v>44279.44748842593</v>
      </c>
      <c r="C1430" s="1" t="n">
        <v>45952</v>
      </c>
      <c r="D1430" t="inlineStr">
        <is>
          <t>VÄSTRA GÖTALANDS LÄN</t>
        </is>
      </c>
      <c r="E1430" t="inlineStr">
        <is>
          <t>SKÖVDE</t>
        </is>
      </c>
      <c r="G1430" t="n">
        <v>1.6</v>
      </c>
      <c r="H1430" t="n">
        <v>0</v>
      </c>
      <c r="I1430" t="n">
        <v>0</v>
      </c>
      <c r="J1430" t="n">
        <v>0</v>
      </c>
      <c r="K1430" t="n">
        <v>0</v>
      </c>
      <c r="L1430" t="n">
        <v>0</v>
      </c>
      <c r="M1430" t="n">
        <v>0</v>
      </c>
      <c r="N1430" t="n">
        <v>0</v>
      </c>
      <c r="O1430" t="n">
        <v>0</v>
      </c>
      <c r="P1430" t="n">
        <v>0</v>
      </c>
      <c r="Q1430" t="n">
        <v>0</v>
      </c>
      <c r="R1430" s="2" t="inlineStr"/>
    </row>
    <row r="1431" ht="15" customHeight="1">
      <c r="A1431" t="inlineStr">
        <is>
          <t>A 3614-2021</t>
        </is>
      </c>
      <c r="B1431" s="1" t="n">
        <v>44220</v>
      </c>
      <c r="C1431" s="1" t="n">
        <v>45952</v>
      </c>
      <c r="D1431" t="inlineStr">
        <is>
          <t>VÄSTRA GÖTALANDS LÄN</t>
        </is>
      </c>
      <c r="E1431" t="inlineStr">
        <is>
          <t>ULRICEHAMN</t>
        </is>
      </c>
      <c r="G1431" t="n">
        <v>1.3</v>
      </c>
      <c r="H1431" t="n">
        <v>0</v>
      </c>
      <c r="I1431" t="n">
        <v>0</v>
      </c>
      <c r="J1431" t="n">
        <v>0</v>
      </c>
      <c r="K1431" t="n">
        <v>0</v>
      </c>
      <c r="L1431" t="n">
        <v>0</v>
      </c>
      <c r="M1431" t="n">
        <v>0</v>
      </c>
      <c r="N1431" t="n">
        <v>0</v>
      </c>
      <c r="O1431" t="n">
        <v>0</v>
      </c>
      <c r="P1431" t="n">
        <v>0</v>
      </c>
      <c r="Q1431" t="n">
        <v>0</v>
      </c>
      <c r="R1431" s="2" t="inlineStr"/>
    </row>
    <row r="1432" ht="15" customHeight="1">
      <c r="A1432" t="inlineStr">
        <is>
          <t>A 22660-2022</t>
        </is>
      </c>
      <c r="B1432" s="1" t="n">
        <v>44714.47053240741</v>
      </c>
      <c r="C1432" s="1" t="n">
        <v>45952</v>
      </c>
      <c r="D1432" t="inlineStr">
        <is>
          <t>VÄSTRA GÖTALANDS LÄN</t>
        </is>
      </c>
      <c r="E1432" t="inlineStr">
        <is>
          <t>LIDKÖPING</t>
        </is>
      </c>
      <c r="G1432" t="n">
        <v>1.2</v>
      </c>
      <c r="H1432" t="n">
        <v>0</v>
      </c>
      <c r="I1432" t="n">
        <v>0</v>
      </c>
      <c r="J1432" t="n">
        <v>0</v>
      </c>
      <c r="K1432" t="n">
        <v>0</v>
      </c>
      <c r="L1432" t="n">
        <v>0</v>
      </c>
      <c r="M1432" t="n">
        <v>0</v>
      </c>
      <c r="N1432" t="n">
        <v>0</v>
      </c>
      <c r="O1432" t="n">
        <v>0</v>
      </c>
      <c r="P1432" t="n">
        <v>0</v>
      </c>
      <c r="Q1432" t="n">
        <v>0</v>
      </c>
      <c r="R1432" s="2" t="inlineStr"/>
    </row>
    <row r="1433" ht="15" customHeight="1">
      <c r="A1433" t="inlineStr">
        <is>
          <t>A 560-2022</t>
        </is>
      </c>
      <c r="B1433" s="1" t="n">
        <v>44566</v>
      </c>
      <c r="C1433" s="1" t="n">
        <v>45952</v>
      </c>
      <c r="D1433" t="inlineStr">
        <is>
          <t>VÄSTRA GÖTALANDS LÄN</t>
        </is>
      </c>
      <c r="E1433" t="inlineStr">
        <is>
          <t>LIDKÖPING</t>
        </is>
      </c>
      <c r="G1433" t="n">
        <v>2.3</v>
      </c>
      <c r="H1433" t="n">
        <v>0</v>
      </c>
      <c r="I1433" t="n">
        <v>0</v>
      </c>
      <c r="J1433" t="n">
        <v>0</v>
      </c>
      <c r="K1433" t="n">
        <v>0</v>
      </c>
      <c r="L1433" t="n">
        <v>0</v>
      </c>
      <c r="M1433" t="n">
        <v>0</v>
      </c>
      <c r="N1433" t="n">
        <v>0</v>
      </c>
      <c r="O1433" t="n">
        <v>0</v>
      </c>
      <c r="P1433" t="n">
        <v>0</v>
      </c>
      <c r="Q1433" t="n">
        <v>0</v>
      </c>
      <c r="R1433" s="2" t="inlineStr"/>
    </row>
    <row r="1434" ht="15" customHeight="1">
      <c r="A1434" t="inlineStr">
        <is>
          <t>A 3633-2021</t>
        </is>
      </c>
      <c r="B1434" s="1" t="n">
        <v>44221</v>
      </c>
      <c r="C1434" s="1" t="n">
        <v>45952</v>
      </c>
      <c r="D1434" t="inlineStr">
        <is>
          <t>VÄSTRA GÖTALANDS LÄN</t>
        </is>
      </c>
      <c r="E1434" t="inlineStr">
        <is>
          <t>HÄRRYDA</t>
        </is>
      </c>
      <c r="G1434" t="n">
        <v>1.6</v>
      </c>
      <c r="H1434" t="n">
        <v>0</v>
      </c>
      <c r="I1434" t="n">
        <v>0</v>
      </c>
      <c r="J1434" t="n">
        <v>0</v>
      </c>
      <c r="K1434" t="n">
        <v>0</v>
      </c>
      <c r="L1434" t="n">
        <v>0</v>
      </c>
      <c r="M1434" t="n">
        <v>0</v>
      </c>
      <c r="N1434" t="n">
        <v>0</v>
      </c>
      <c r="O1434" t="n">
        <v>0</v>
      </c>
      <c r="P1434" t="n">
        <v>0</v>
      </c>
      <c r="Q1434" t="n">
        <v>0</v>
      </c>
      <c r="R1434" s="2" t="inlineStr"/>
    </row>
    <row r="1435" ht="15" customHeight="1">
      <c r="A1435" t="inlineStr">
        <is>
          <t>A 1114-2022</t>
        </is>
      </c>
      <c r="B1435" s="1" t="n">
        <v>44571</v>
      </c>
      <c r="C1435" s="1" t="n">
        <v>45952</v>
      </c>
      <c r="D1435" t="inlineStr">
        <is>
          <t>VÄSTRA GÖTALANDS LÄN</t>
        </is>
      </c>
      <c r="E1435" t="inlineStr">
        <is>
          <t>BENGTSFORS</t>
        </is>
      </c>
      <c r="G1435" t="n">
        <v>1.1</v>
      </c>
      <c r="H1435" t="n">
        <v>0</v>
      </c>
      <c r="I1435" t="n">
        <v>0</v>
      </c>
      <c r="J1435" t="n">
        <v>0</v>
      </c>
      <c r="K1435" t="n">
        <v>0</v>
      </c>
      <c r="L1435" t="n">
        <v>0</v>
      </c>
      <c r="M1435" t="n">
        <v>0</v>
      </c>
      <c r="N1435" t="n">
        <v>0</v>
      </c>
      <c r="O1435" t="n">
        <v>0</v>
      </c>
      <c r="P1435" t="n">
        <v>0</v>
      </c>
      <c r="Q1435" t="n">
        <v>0</v>
      </c>
      <c r="R1435" s="2" t="inlineStr"/>
    </row>
    <row r="1436" ht="15" customHeight="1">
      <c r="A1436" t="inlineStr">
        <is>
          <t>A 5668-2021</t>
        </is>
      </c>
      <c r="B1436" s="1" t="n">
        <v>44230</v>
      </c>
      <c r="C1436" s="1" t="n">
        <v>45952</v>
      </c>
      <c r="D1436" t="inlineStr">
        <is>
          <t>VÄSTRA GÖTALANDS LÄN</t>
        </is>
      </c>
      <c r="E1436" t="inlineStr">
        <is>
          <t>TIDAHOLM</t>
        </is>
      </c>
      <c r="G1436" t="n">
        <v>3.8</v>
      </c>
      <c r="H1436" t="n">
        <v>0</v>
      </c>
      <c r="I1436" t="n">
        <v>0</v>
      </c>
      <c r="J1436" t="n">
        <v>0</v>
      </c>
      <c r="K1436" t="n">
        <v>0</v>
      </c>
      <c r="L1436" t="n">
        <v>0</v>
      </c>
      <c r="M1436" t="n">
        <v>0</v>
      </c>
      <c r="N1436" t="n">
        <v>0</v>
      </c>
      <c r="O1436" t="n">
        <v>0</v>
      </c>
      <c r="P1436" t="n">
        <v>0</v>
      </c>
      <c r="Q1436" t="n">
        <v>0</v>
      </c>
      <c r="R1436" s="2" t="inlineStr"/>
    </row>
    <row r="1437" ht="15" customHeight="1">
      <c r="A1437" t="inlineStr">
        <is>
          <t>A 71210-2021</t>
        </is>
      </c>
      <c r="B1437" s="1" t="n">
        <v>44539.55670138889</v>
      </c>
      <c r="C1437" s="1" t="n">
        <v>45952</v>
      </c>
      <c r="D1437" t="inlineStr">
        <is>
          <t>VÄSTRA GÖTALANDS LÄN</t>
        </is>
      </c>
      <c r="E1437" t="inlineStr">
        <is>
          <t>MARIESTAD</t>
        </is>
      </c>
      <c r="G1437" t="n">
        <v>2.8</v>
      </c>
      <c r="H1437" t="n">
        <v>0</v>
      </c>
      <c r="I1437" t="n">
        <v>0</v>
      </c>
      <c r="J1437" t="n">
        <v>0</v>
      </c>
      <c r="K1437" t="n">
        <v>0</v>
      </c>
      <c r="L1437" t="n">
        <v>0</v>
      </c>
      <c r="M1437" t="n">
        <v>0</v>
      </c>
      <c r="N1437" t="n">
        <v>0</v>
      </c>
      <c r="O1437" t="n">
        <v>0</v>
      </c>
      <c r="P1437" t="n">
        <v>0</v>
      </c>
      <c r="Q1437" t="n">
        <v>0</v>
      </c>
      <c r="R1437" s="2" t="inlineStr"/>
    </row>
    <row r="1438" ht="15" customHeight="1">
      <c r="A1438" t="inlineStr">
        <is>
          <t>A 12836-2021</t>
        </is>
      </c>
      <c r="B1438" s="1" t="n">
        <v>44271.34182870371</v>
      </c>
      <c r="C1438" s="1" t="n">
        <v>45952</v>
      </c>
      <c r="D1438" t="inlineStr">
        <is>
          <t>VÄSTRA GÖTALANDS LÄN</t>
        </is>
      </c>
      <c r="E1438" t="inlineStr">
        <is>
          <t>MELLERUD</t>
        </is>
      </c>
      <c r="G1438" t="n">
        <v>0.9</v>
      </c>
      <c r="H1438" t="n">
        <v>0</v>
      </c>
      <c r="I1438" t="n">
        <v>0</v>
      </c>
      <c r="J1438" t="n">
        <v>0</v>
      </c>
      <c r="K1438" t="n">
        <v>0</v>
      </c>
      <c r="L1438" t="n">
        <v>0</v>
      </c>
      <c r="M1438" t="n">
        <v>0</v>
      </c>
      <c r="N1438" t="n">
        <v>0</v>
      </c>
      <c r="O1438" t="n">
        <v>0</v>
      </c>
      <c r="P1438" t="n">
        <v>0</v>
      </c>
      <c r="Q1438" t="n">
        <v>0</v>
      </c>
      <c r="R1438" s="2" t="inlineStr"/>
    </row>
    <row r="1439" ht="15" customHeight="1">
      <c r="A1439" t="inlineStr">
        <is>
          <t>A 41048-2022</t>
        </is>
      </c>
      <c r="B1439" s="1" t="n">
        <v>44825.57486111111</v>
      </c>
      <c r="C1439" s="1" t="n">
        <v>45952</v>
      </c>
      <c r="D1439" t="inlineStr">
        <is>
          <t>VÄSTRA GÖTALANDS LÄN</t>
        </is>
      </c>
      <c r="E1439" t="inlineStr">
        <is>
          <t>BORÅS</t>
        </is>
      </c>
      <c r="G1439" t="n">
        <v>1.5</v>
      </c>
      <c r="H1439" t="n">
        <v>0</v>
      </c>
      <c r="I1439" t="n">
        <v>0</v>
      </c>
      <c r="J1439" t="n">
        <v>0</v>
      </c>
      <c r="K1439" t="n">
        <v>0</v>
      </c>
      <c r="L1439" t="n">
        <v>0</v>
      </c>
      <c r="M1439" t="n">
        <v>0</v>
      </c>
      <c r="N1439" t="n">
        <v>0</v>
      </c>
      <c r="O1439" t="n">
        <v>0</v>
      </c>
      <c r="P1439" t="n">
        <v>0</v>
      </c>
      <c r="Q1439" t="n">
        <v>0</v>
      </c>
      <c r="R1439" s="2" t="inlineStr"/>
    </row>
    <row r="1440" ht="15" customHeight="1">
      <c r="A1440" t="inlineStr">
        <is>
          <t>A 14330-2021</t>
        </is>
      </c>
      <c r="B1440" s="1" t="n">
        <v>44278.94663194445</v>
      </c>
      <c r="C1440" s="1" t="n">
        <v>45952</v>
      </c>
      <c r="D1440" t="inlineStr">
        <is>
          <t>VÄSTRA GÖTALANDS LÄN</t>
        </is>
      </c>
      <c r="E1440" t="inlineStr">
        <is>
          <t>FALKÖPING</t>
        </is>
      </c>
      <c r="G1440" t="n">
        <v>4.5</v>
      </c>
      <c r="H1440" t="n">
        <v>0</v>
      </c>
      <c r="I1440" t="n">
        <v>0</v>
      </c>
      <c r="J1440" t="n">
        <v>0</v>
      </c>
      <c r="K1440" t="n">
        <v>0</v>
      </c>
      <c r="L1440" t="n">
        <v>0</v>
      </c>
      <c r="M1440" t="n">
        <v>0</v>
      </c>
      <c r="N1440" t="n">
        <v>0</v>
      </c>
      <c r="O1440" t="n">
        <v>0</v>
      </c>
      <c r="P1440" t="n">
        <v>0</v>
      </c>
      <c r="Q1440" t="n">
        <v>0</v>
      </c>
      <c r="R1440" s="2" t="inlineStr"/>
    </row>
    <row r="1441" ht="15" customHeight="1">
      <c r="A1441" t="inlineStr">
        <is>
          <t>A 9332-2021</t>
        </is>
      </c>
      <c r="B1441" s="1" t="n">
        <v>44250</v>
      </c>
      <c r="C1441" s="1" t="n">
        <v>45952</v>
      </c>
      <c r="D1441" t="inlineStr">
        <is>
          <t>VÄSTRA GÖTALANDS LÄN</t>
        </is>
      </c>
      <c r="E1441" t="inlineStr">
        <is>
          <t>HERRLJUNGA</t>
        </is>
      </c>
      <c r="G1441" t="n">
        <v>2.4</v>
      </c>
      <c r="H1441" t="n">
        <v>0</v>
      </c>
      <c r="I1441" t="n">
        <v>0</v>
      </c>
      <c r="J1441" t="n">
        <v>0</v>
      </c>
      <c r="K1441" t="n">
        <v>0</v>
      </c>
      <c r="L1441" t="n">
        <v>0</v>
      </c>
      <c r="M1441" t="n">
        <v>0</v>
      </c>
      <c r="N1441" t="n">
        <v>0</v>
      </c>
      <c r="O1441" t="n">
        <v>0</v>
      </c>
      <c r="P1441" t="n">
        <v>0</v>
      </c>
      <c r="Q1441" t="n">
        <v>0</v>
      </c>
      <c r="R1441" s="2" t="inlineStr"/>
    </row>
    <row r="1442" ht="15" customHeight="1">
      <c r="A1442" t="inlineStr">
        <is>
          <t>A 13583-2021</t>
        </is>
      </c>
      <c r="B1442" s="1" t="n">
        <v>44274</v>
      </c>
      <c r="C1442" s="1" t="n">
        <v>45952</v>
      </c>
      <c r="D1442" t="inlineStr">
        <is>
          <t>VÄSTRA GÖTALANDS LÄN</t>
        </is>
      </c>
      <c r="E1442" t="inlineStr">
        <is>
          <t>BENGTSFORS</t>
        </is>
      </c>
      <c r="G1442" t="n">
        <v>0.8</v>
      </c>
      <c r="H1442" t="n">
        <v>0</v>
      </c>
      <c r="I1442" t="n">
        <v>0</v>
      </c>
      <c r="J1442" t="n">
        <v>0</v>
      </c>
      <c r="K1442" t="n">
        <v>0</v>
      </c>
      <c r="L1442" t="n">
        <v>0</v>
      </c>
      <c r="M1442" t="n">
        <v>0</v>
      </c>
      <c r="N1442" t="n">
        <v>0</v>
      </c>
      <c r="O1442" t="n">
        <v>0</v>
      </c>
      <c r="P1442" t="n">
        <v>0</v>
      </c>
      <c r="Q1442" t="n">
        <v>0</v>
      </c>
      <c r="R1442" s="2" t="inlineStr"/>
    </row>
    <row r="1443" ht="15" customHeight="1">
      <c r="A1443" t="inlineStr">
        <is>
          <t>A 19341-2022</t>
        </is>
      </c>
      <c r="B1443" s="1" t="n">
        <v>44692</v>
      </c>
      <c r="C1443" s="1" t="n">
        <v>45952</v>
      </c>
      <c r="D1443" t="inlineStr">
        <is>
          <t>VÄSTRA GÖTALANDS LÄN</t>
        </is>
      </c>
      <c r="E1443" t="inlineStr">
        <is>
          <t>HJO</t>
        </is>
      </c>
      <c r="G1443" t="n">
        <v>2.3</v>
      </c>
      <c r="H1443" t="n">
        <v>0</v>
      </c>
      <c r="I1443" t="n">
        <v>0</v>
      </c>
      <c r="J1443" t="n">
        <v>0</v>
      </c>
      <c r="K1443" t="n">
        <v>0</v>
      </c>
      <c r="L1443" t="n">
        <v>0</v>
      </c>
      <c r="M1443" t="n">
        <v>0</v>
      </c>
      <c r="N1443" t="n">
        <v>0</v>
      </c>
      <c r="O1443" t="n">
        <v>0</v>
      </c>
      <c r="P1443" t="n">
        <v>0</v>
      </c>
      <c r="Q1443" t="n">
        <v>0</v>
      </c>
      <c r="R1443" s="2" t="inlineStr"/>
    </row>
    <row r="1444" ht="15" customHeight="1">
      <c r="A1444" t="inlineStr">
        <is>
          <t>A 51547-2021</t>
        </is>
      </c>
      <c r="B1444" s="1" t="n">
        <v>44461</v>
      </c>
      <c r="C1444" s="1" t="n">
        <v>45952</v>
      </c>
      <c r="D1444" t="inlineStr">
        <is>
          <t>VÄSTRA GÖTALANDS LÄN</t>
        </is>
      </c>
      <c r="E1444" t="inlineStr">
        <is>
          <t>MELLERUD</t>
        </is>
      </c>
      <c r="G1444" t="n">
        <v>1.4</v>
      </c>
      <c r="H1444" t="n">
        <v>0</v>
      </c>
      <c r="I1444" t="n">
        <v>0</v>
      </c>
      <c r="J1444" t="n">
        <v>0</v>
      </c>
      <c r="K1444" t="n">
        <v>0</v>
      </c>
      <c r="L1444" t="n">
        <v>0</v>
      </c>
      <c r="M1444" t="n">
        <v>0</v>
      </c>
      <c r="N1444" t="n">
        <v>0</v>
      </c>
      <c r="O1444" t="n">
        <v>0</v>
      </c>
      <c r="P1444" t="n">
        <v>0</v>
      </c>
      <c r="Q1444" t="n">
        <v>0</v>
      </c>
      <c r="R1444" s="2" t="inlineStr"/>
    </row>
    <row r="1445" ht="15" customHeight="1">
      <c r="A1445" t="inlineStr">
        <is>
          <t>A 51564-2021</t>
        </is>
      </c>
      <c r="B1445" s="1" t="n">
        <v>44462</v>
      </c>
      <c r="C1445" s="1" t="n">
        <v>45952</v>
      </c>
      <c r="D1445" t="inlineStr">
        <is>
          <t>VÄSTRA GÖTALANDS LÄN</t>
        </is>
      </c>
      <c r="E1445" t="inlineStr">
        <is>
          <t>DALS-ED</t>
        </is>
      </c>
      <c r="G1445" t="n">
        <v>2.2</v>
      </c>
      <c r="H1445" t="n">
        <v>0</v>
      </c>
      <c r="I1445" t="n">
        <v>0</v>
      </c>
      <c r="J1445" t="n">
        <v>0</v>
      </c>
      <c r="K1445" t="n">
        <v>0</v>
      </c>
      <c r="L1445" t="n">
        <v>0</v>
      </c>
      <c r="M1445" t="n">
        <v>0</v>
      </c>
      <c r="N1445" t="n">
        <v>0</v>
      </c>
      <c r="O1445" t="n">
        <v>0</v>
      </c>
      <c r="P1445" t="n">
        <v>0</v>
      </c>
      <c r="Q1445" t="n">
        <v>0</v>
      </c>
      <c r="R1445" s="2" t="inlineStr"/>
    </row>
    <row r="1446" ht="15" customHeight="1">
      <c r="A1446" t="inlineStr">
        <is>
          <t>A 62540-2021</t>
        </is>
      </c>
      <c r="B1446" s="1" t="n">
        <v>44503.61056712963</v>
      </c>
      <c r="C1446" s="1" t="n">
        <v>45952</v>
      </c>
      <c r="D1446" t="inlineStr">
        <is>
          <t>VÄSTRA GÖTALANDS LÄN</t>
        </is>
      </c>
      <c r="E1446" t="inlineStr">
        <is>
          <t>VARA</t>
        </is>
      </c>
      <c r="G1446" t="n">
        <v>1.6</v>
      </c>
      <c r="H1446" t="n">
        <v>0</v>
      </c>
      <c r="I1446" t="n">
        <v>0</v>
      </c>
      <c r="J1446" t="n">
        <v>0</v>
      </c>
      <c r="K1446" t="n">
        <v>0</v>
      </c>
      <c r="L1446" t="n">
        <v>0</v>
      </c>
      <c r="M1446" t="n">
        <v>0</v>
      </c>
      <c r="N1446" t="n">
        <v>0</v>
      </c>
      <c r="O1446" t="n">
        <v>0</v>
      </c>
      <c r="P1446" t="n">
        <v>0</v>
      </c>
      <c r="Q1446" t="n">
        <v>0</v>
      </c>
      <c r="R1446" s="2" t="inlineStr"/>
    </row>
    <row r="1447" ht="15" customHeight="1">
      <c r="A1447" t="inlineStr">
        <is>
          <t>A 18965-2022</t>
        </is>
      </c>
      <c r="B1447" s="1" t="n">
        <v>44690</v>
      </c>
      <c r="C1447" s="1" t="n">
        <v>45952</v>
      </c>
      <c r="D1447" t="inlineStr">
        <is>
          <t>VÄSTRA GÖTALANDS LÄN</t>
        </is>
      </c>
      <c r="E1447" t="inlineStr">
        <is>
          <t>MUNKEDAL</t>
        </is>
      </c>
      <c r="G1447" t="n">
        <v>2.9</v>
      </c>
      <c r="H1447" t="n">
        <v>0</v>
      </c>
      <c r="I1447" t="n">
        <v>0</v>
      </c>
      <c r="J1447" t="n">
        <v>0</v>
      </c>
      <c r="K1447" t="n">
        <v>0</v>
      </c>
      <c r="L1447" t="n">
        <v>0</v>
      </c>
      <c r="M1447" t="n">
        <v>0</v>
      </c>
      <c r="N1447" t="n">
        <v>0</v>
      </c>
      <c r="O1447" t="n">
        <v>0</v>
      </c>
      <c r="P1447" t="n">
        <v>0</v>
      </c>
      <c r="Q1447" t="n">
        <v>0</v>
      </c>
      <c r="R1447" s="2" t="inlineStr"/>
    </row>
    <row r="1448" ht="15" customHeight="1">
      <c r="A1448" t="inlineStr">
        <is>
          <t>A 6783-2022</t>
        </is>
      </c>
      <c r="B1448" s="1" t="n">
        <v>44602</v>
      </c>
      <c r="C1448" s="1" t="n">
        <v>45952</v>
      </c>
      <c r="D1448" t="inlineStr">
        <is>
          <t>VÄSTRA GÖTALANDS LÄN</t>
        </is>
      </c>
      <c r="E1448" t="inlineStr">
        <is>
          <t>FALKÖPING</t>
        </is>
      </c>
      <c r="G1448" t="n">
        <v>0.3</v>
      </c>
      <c r="H1448" t="n">
        <v>0</v>
      </c>
      <c r="I1448" t="n">
        <v>0</v>
      </c>
      <c r="J1448" t="n">
        <v>0</v>
      </c>
      <c r="K1448" t="n">
        <v>0</v>
      </c>
      <c r="L1448" t="n">
        <v>0</v>
      </c>
      <c r="M1448" t="n">
        <v>0</v>
      </c>
      <c r="N1448" t="n">
        <v>0</v>
      </c>
      <c r="O1448" t="n">
        <v>0</v>
      </c>
      <c r="P1448" t="n">
        <v>0</v>
      </c>
      <c r="Q1448" t="n">
        <v>0</v>
      </c>
      <c r="R1448" s="2" t="inlineStr"/>
    </row>
    <row r="1449" ht="15" customHeight="1">
      <c r="A1449" t="inlineStr">
        <is>
          <t>A 60865-2021</t>
        </is>
      </c>
      <c r="B1449" s="1" t="n">
        <v>44496</v>
      </c>
      <c r="C1449" s="1" t="n">
        <v>45952</v>
      </c>
      <c r="D1449" t="inlineStr">
        <is>
          <t>VÄSTRA GÖTALANDS LÄN</t>
        </is>
      </c>
      <c r="E1449" t="inlineStr">
        <is>
          <t>VÅRGÅRDA</t>
        </is>
      </c>
      <c r="G1449" t="n">
        <v>1.5</v>
      </c>
      <c r="H1449" t="n">
        <v>0</v>
      </c>
      <c r="I1449" t="n">
        <v>0</v>
      </c>
      <c r="J1449" t="n">
        <v>0</v>
      </c>
      <c r="K1449" t="n">
        <v>0</v>
      </c>
      <c r="L1449" t="n">
        <v>0</v>
      </c>
      <c r="M1449" t="n">
        <v>0</v>
      </c>
      <c r="N1449" t="n">
        <v>0</v>
      </c>
      <c r="O1449" t="n">
        <v>0</v>
      </c>
      <c r="P1449" t="n">
        <v>0</v>
      </c>
      <c r="Q1449" t="n">
        <v>0</v>
      </c>
      <c r="R1449" s="2" t="inlineStr"/>
    </row>
    <row r="1450" ht="15" customHeight="1">
      <c r="A1450" t="inlineStr">
        <is>
          <t>A 20372-2021</t>
        </is>
      </c>
      <c r="B1450" s="1" t="n">
        <v>44315.46325231482</v>
      </c>
      <c r="C1450" s="1" t="n">
        <v>45952</v>
      </c>
      <c r="D1450" t="inlineStr">
        <is>
          <t>VÄSTRA GÖTALANDS LÄN</t>
        </is>
      </c>
      <c r="E1450" t="inlineStr">
        <is>
          <t>KARLSBORG</t>
        </is>
      </c>
      <c r="G1450" t="n">
        <v>1.1</v>
      </c>
      <c r="H1450" t="n">
        <v>0</v>
      </c>
      <c r="I1450" t="n">
        <v>0</v>
      </c>
      <c r="J1450" t="n">
        <v>0</v>
      </c>
      <c r="K1450" t="n">
        <v>0</v>
      </c>
      <c r="L1450" t="n">
        <v>0</v>
      </c>
      <c r="M1450" t="n">
        <v>0</v>
      </c>
      <c r="N1450" t="n">
        <v>0</v>
      </c>
      <c r="O1450" t="n">
        <v>0</v>
      </c>
      <c r="P1450" t="n">
        <v>0</v>
      </c>
      <c r="Q1450" t="n">
        <v>0</v>
      </c>
      <c r="R1450" s="2" t="inlineStr"/>
    </row>
    <row r="1451" ht="15" customHeight="1">
      <c r="A1451" t="inlineStr">
        <is>
          <t>A 71907-2021</t>
        </is>
      </c>
      <c r="B1451" s="1" t="n">
        <v>44543</v>
      </c>
      <c r="C1451" s="1" t="n">
        <v>45952</v>
      </c>
      <c r="D1451" t="inlineStr">
        <is>
          <t>VÄSTRA GÖTALANDS LÄN</t>
        </is>
      </c>
      <c r="E1451" t="inlineStr">
        <is>
          <t>SKÖVDE</t>
        </is>
      </c>
      <c r="F1451" t="inlineStr">
        <is>
          <t>Naturvårdsverket</t>
        </is>
      </c>
      <c r="G1451" t="n">
        <v>0.4</v>
      </c>
      <c r="H1451" t="n">
        <v>0</v>
      </c>
      <c r="I1451" t="n">
        <v>0</v>
      </c>
      <c r="J1451" t="n">
        <v>0</v>
      </c>
      <c r="K1451" t="n">
        <v>0</v>
      </c>
      <c r="L1451" t="n">
        <v>0</v>
      </c>
      <c r="M1451" t="n">
        <v>0</v>
      </c>
      <c r="N1451" t="n">
        <v>0</v>
      </c>
      <c r="O1451" t="n">
        <v>0</v>
      </c>
      <c r="P1451" t="n">
        <v>0</v>
      </c>
      <c r="Q1451" t="n">
        <v>0</v>
      </c>
      <c r="R1451" s="2" t="inlineStr"/>
    </row>
    <row r="1452" ht="15" customHeight="1">
      <c r="A1452" t="inlineStr">
        <is>
          <t>A 72617-2021</t>
        </is>
      </c>
      <c r="B1452" s="1" t="n">
        <v>44546.54055555556</v>
      </c>
      <c r="C1452" s="1" t="n">
        <v>45952</v>
      </c>
      <c r="D1452" t="inlineStr">
        <is>
          <t>VÄSTRA GÖTALANDS LÄN</t>
        </is>
      </c>
      <c r="E1452" t="inlineStr">
        <is>
          <t>MELLERUD</t>
        </is>
      </c>
      <c r="G1452" t="n">
        <v>0.7</v>
      </c>
      <c r="H1452" t="n">
        <v>0</v>
      </c>
      <c r="I1452" t="n">
        <v>0</v>
      </c>
      <c r="J1452" t="n">
        <v>0</v>
      </c>
      <c r="K1452" t="n">
        <v>0</v>
      </c>
      <c r="L1452" t="n">
        <v>0</v>
      </c>
      <c r="M1452" t="n">
        <v>0</v>
      </c>
      <c r="N1452" t="n">
        <v>0</v>
      </c>
      <c r="O1452" t="n">
        <v>0</v>
      </c>
      <c r="P1452" t="n">
        <v>0</v>
      </c>
      <c r="Q1452" t="n">
        <v>0</v>
      </c>
      <c r="R1452" s="2" t="inlineStr"/>
    </row>
    <row r="1453" ht="15" customHeight="1">
      <c r="A1453" t="inlineStr">
        <is>
          <t>A 19836-2022</t>
        </is>
      </c>
      <c r="B1453" s="1" t="n">
        <v>44696</v>
      </c>
      <c r="C1453" s="1" t="n">
        <v>45952</v>
      </c>
      <c r="D1453" t="inlineStr">
        <is>
          <t>VÄSTRA GÖTALANDS LÄN</t>
        </is>
      </c>
      <c r="E1453" t="inlineStr">
        <is>
          <t>MARK</t>
        </is>
      </c>
      <c r="G1453" t="n">
        <v>2.2</v>
      </c>
      <c r="H1453" t="n">
        <v>0</v>
      </c>
      <c r="I1453" t="n">
        <v>0</v>
      </c>
      <c r="J1453" t="n">
        <v>0</v>
      </c>
      <c r="K1453" t="n">
        <v>0</v>
      </c>
      <c r="L1453" t="n">
        <v>0</v>
      </c>
      <c r="M1453" t="n">
        <v>0</v>
      </c>
      <c r="N1453" t="n">
        <v>0</v>
      </c>
      <c r="O1453" t="n">
        <v>0</v>
      </c>
      <c r="P1453" t="n">
        <v>0</v>
      </c>
      <c r="Q1453" t="n">
        <v>0</v>
      </c>
      <c r="R1453" s="2" t="inlineStr"/>
    </row>
    <row r="1454" ht="15" customHeight="1">
      <c r="A1454" t="inlineStr">
        <is>
          <t>A 47879-2021</t>
        </is>
      </c>
      <c r="B1454" s="1" t="n">
        <v>44448.71143518519</v>
      </c>
      <c r="C1454" s="1" t="n">
        <v>45952</v>
      </c>
      <c r="D1454" t="inlineStr">
        <is>
          <t>VÄSTRA GÖTALANDS LÄN</t>
        </is>
      </c>
      <c r="E1454" t="inlineStr">
        <is>
          <t>TRANEMO</t>
        </is>
      </c>
      <c r="G1454" t="n">
        <v>0.7</v>
      </c>
      <c r="H1454" t="n">
        <v>0</v>
      </c>
      <c r="I1454" t="n">
        <v>0</v>
      </c>
      <c r="J1454" t="n">
        <v>0</v>
      </c>
      <c r="K1454" t="n">
        <v>0</v>
      </c>
      <c r="L1454" t="n">
        <v>0</v>
      </c>
      <c r="M1454" t="n">
        <v>0</v>
      </c>
      <c r="N1454" t="n">
        <v>0</v>
      </c>
      <c r="O1454" t="n">
        <v>0</v>
      </c>
      <c r="P1454" t="n">
        <v>0</v>
      </c>
      <c r="Q1454" t="n">
        <v>0</v>
      </c>
      <c r="R1454" s="2" t="inlineStr"/>
    </row>
    <row r="1455" ht="15" customHeight="1">
      <c r="A1455" t="inlineStr">
        <is>
          <t>A 47885-2021</t>
        </is>
      </c>
      <c r="B1455" s="1" t="n">
        <v>44448</v>
      </c>
      <c r="C1455" s="1" t="n">
        <v>45952</v>
      </c>
      <c r="D1455" t="inlineStr">
        <is>
          <t>VÄSTRA GÖTALANDS LÄN</t>
        </is>
      </c>
      <c r="E1455" t="inlineStr">
        <is>
          <t>ORUST</t>
        </is>
      </c>
      <c r="G1455" t="n">
        <v>3.4</v>
      </c>
      <c r="H1455" t="n">
        <v>0</v>
      </c>
      <c r="I1455" t="n">
        <v>0</v>
      </c>
      <c r="J1455" t="n">
        <v>0</v>
      </c>
      <c r="K1455" t="n">
        <v>0</v>
      </c>
      <c r="L1455" t="n">
        <v>0</v>
      </c>
      <c r="M1455" t="n">
        <v>0</v>
      </c>
      <c r="N1455" t="n">
        <v>0</v>
      </c>
      <c r="O1455" t="n">
        <v>0</v>
      </c>
      <c r="P1455" t="n">
        <v>0</v>
      </c>
      <c r="Q1455" t="n">
        <v>0</v>
      </c>
      <c r="R1455" s="2" t="inlineStr"/>
    </row>
    <row r="1456" ht="15" customHeight="1">
      <c r="A1456" t="inlineStr">
        <is>
          <t>A 51864-2021</t>
        </is>
      </c>
      <c r="B1456" s="1" t="n">
        <v>44462.72489583334</v>
      </c>
      <c r="C1456" s="1" t="n">
        <v>45952</v>
      </c>
      <c r="D1456" t="inlineStr">
        <is>
          <t>VÄSTRA GÖTALANDS LÄN</t>
        </is>
      </c>
      <c r="E1456" t="inlineStr">
        <is>
          <t>BORÅS</t>
        </is>
      </c>
      <c r="G1456" t="n">
        <v>0.4</v>
      </c>
      <c r="H1456" t="n">
        <v>0</v>
      </c>
      <c r="I1456" t="n">
        <v>0</v>
      </c>
      <c r="J1456" t="n">
        <v>0</v>
      </c>
      <c r="K1456" t="n">
        <v>0</v>
      </c>
      <c r="L1456" t="n">
        <v>0</v>
      </c>
      <c r="M1456" t="n">
        <v>0</v>
      </c>
      <c r="N1456" t="n">
        <v>0</v>
      </c>
      <c r="O1456" t="n">
        <v>0</v>
      </c>
      <c r="P1456" t="n">
        <v>0</v>
      </c>
      <c r="Q1456" t="n">
        <v>0</v>
      </c>
      <c r="R1456" s="2" t="inlineStr"/>
    </row>
    <row r="1457" ht="15" customHeight="1">
      <c r="A1457" t="inlineStr">
        <is>
          <t>A 60963-2021</t>
        </is>
      </c>
      <c r="B1457" s="1" t="n">
        <v>44497</v>
      </c>
      <c r="C1457" s="1" t="n">
        <v>45952</v>
      </c>
      <c r="D1457" t="inlineStr">
        <is>
          <t>VÄSTRA GÖTALANDS LÄN</t>
        </is>
      </c>
      <c r="E1457" t="inlineStr">
        <is>
          <t>MARK</t>
        </is>
      </c>
      <c r="F1457" t="inlineStr">
        <is>
          <t>Kyrkan</t>
        </is>
      </c>
      <c r="G1457" t="n">
        <v>2.1</v>
      </c>
      <c r="H1457" t="n">
        <v>0</v>
      </c>
      <c r="I1457" t="n">
        <v>0</v>
      </c>
      <c r="J1457" t="n">
        <v>0</v>
      </c>
      <c r="K1457" t="n">
        <v>0</v>
      </c>
      <c r="L1457" t="n">
        <v>0</v>
      </c>
      <c r="M1457" t="n">
        <v>0</v>
      </c>
      <c r="N1457" t="n">
        <v>0</v>
      </c>
      <c r="O1457" t="n">
        <v>0</v>
      </c>
      <c r="P1457" t="n">
        <v>0</v>
      </c>
      <c r="Q1457" t="n">
        <v>0</v>
      </c>
      <c r="R1457" s="2" t="inlineStr"/>
    </row>
    <row r="1458" ht="15" customHeight="1">
      <c r="A1458" t="inlineStr">
        <is>
          <t>A 30285-2022</t>
        </is>
      </c>
      <c r="B1458" s="1" t="n">
        <v>44760</v>
      </c>
      <c r="C1458" s="1" t="n">
        <v>45952</v>
      </c>
      <c r="D1458" t="inlineStr">
        <is>
          <t>VÄSTRA GÖTALANDS LÄN</t>
        </is>
      </c>
      <c r="E1458" t="inlineStr">
        <is>
          <t>LILLA EDET</t>
        </is>
      </c>
      <c r="G1458" t="n">
        <v>0.3</v>
      </c>
      <c r="H1458" t="n">
        <v>0</v>
      </c>
      <c r="I1458" t="n">
        <v>0</v>
      </c>
      <c r="J1458" t="n">
        <v>0</v>
      </c>
      <c r="K1458" t="n">
        <v>0</v>
      </c>
      <c r="L1458" t="n">
        <v>0</v>
      </c>
      <c r="M1458" t="n">
        <v>0</v>
      </c>
      <c r="N1458" t="n">
        <v>0</v>
      </c>
      <c r="O1458" t="n">
        <v>0</v>
      </c>
      <c r="P1458" t="n">
        <v>0</v>
      </c>
      <c r="Q1458" t="n">
        <v>0</v>
      </c>
      <c r="R1458" s="2" t="inlineStr"/>
    </row>
    <row r="1459" ht="15" customHeight="1">
      <c r="A1459" t="inlineStr">
        <is>
          <t>A 20737-2022</t>
        </is>
      </c>
      <c r="B1459" s="1" t="n">
        <v>44701.27262731481</v>
      </c>
      <c r="C1459" s="1" t="n">
        <v>45952</v>
      </c>
      <c r="D1459" t="inlineStr">
        <is>
          <t>VÄSTRA GÖTALANDS LÄN</t>
        </is>
      </c>
      <c r="E1459" t="inlineStr">
        <is>
          <t>TROLLHÄTTAN</t>
        </is>
      </c>
      <c r="G1459" t="n">
        <v>1.9</v>
      </c>
      <c r="H1459" t="n">
        <v>0</v>
      </c>
      <c r="I1459" t="n">
        <v>0</v>
      </c>
      <c r="J1459" t="n">
        <v>0</v>
      </c>
      <c r="K1459" t="n">
        <v>0</v>
      </c>
      <c r="L1459" t="n">
        <v>0</v>
      </c>
      <c r="M1459" t="n">
        <v>0</v>
      </c>
      <c r="N1459" t="n">
        <v>0</v>
      </c>
      <c r="O1459" t="n">
        <v>0</v>
      </c>
      <c r="P1459" t="n">
        <v>0</v>
      </c>
      <c r="Q1459" t="n">
        <v>0</v>
      </c>
      <c r="R1459" s="2" t="inlineStr"/>
    </row>
    <row r="1460" ht="15" customHeight="1">
      <c r="A1460" t="inlineStr">
        <is>
          <t>A 22300-2022</t>
        </is>
      </c>
      <c r="B1460" s="1" t="n">
        <v>44712</v>
      </c>
      <c r="C1460" s="1" t="n">
        <v>45952</v>
      </c>
      <c r="D1460" t="inlineStr">
        <is>
          <t>VÄSTRA GÖTALANDS LÄN</t>
        </is>
      </c>
      <c r="E1460" t="inlineStr">
        <is>
          <t>LERUM</t>
        </is>
      </c>
      <c r="G1460" t="n">
        <v>23.3</v>
      </c>
      <c r="H1460" t="n">
        <v>0</v>
      </c>
      <c r="I1460" t="n">
        <v>0</v>
      </c>
      <c r="J1460" t="n">
        <v>0</v>
      </c>
      <c r="K1460" t="n">
        <v>0</v>
      </c>
      <c r="L1460" t="n">
        <v>0</v>
      </c>
      <c r="M1460" t="n">
        <v>0</v>
      </c>
      <c r="N1460" t="n">
        <v>0</v>
      </c>
      <c r="O1460" t="n">
        <v>0</v>
      </c>
      <c r="P1460" t="n">
        <v>0</v>
      </c>
      <c r="Q1460" t="n">
        <v>0</v>
      </c>
      <c r="R1460" s="2" t="inlineStr"/>
    </row>
    <row r="1461" ht="15" customHeight="1">
      <c r="A1461" t="inlineStr">
        <is>
          <t>A 68727-2021</t>
        </is>
      </c>
      <c r="B1461" s="1" t="n">
        <v>44529</v>
      </c>
      <c r="C1461" s="1" t="n">
        <v>45952</v>
      </c>
      <c r="D1461" t="inlineStr">
        <is>
          <t>VÄSTRA GÖTALANDS LÄN</t>
        </is>
      </c>
      <c r="E1461" t="inlineStr">
        <is>
          <t>ORUST</t>
        </is>
      </c>
      <c r="G1461" t="n">
        <v>2.6</v>
      </c>
      <c r="H1461" t="n">
        <v>0</v>
      </c>
      <c r="I1461" t="n">
        <v>0</v>
      </c>
      <c r="J1461" t="n">
        <v>0</v>
      </c>
      <c r="K1461" t="n">
        <v>0</v>
      </c>
      <c r="L1461" t="n">
        <v>0</v>
      </c>
      <c r="M1461" t="n">
        <v>0</v>
      </c>
      <c r="N1461" t="n">
        <v>0</v>
      </c>
      <c r="O1461" t="n">
        <v>0</v>
      </c>
      <c r="P1461" t="n">
        <v>0</v>
      </c>
      <c r="Q1461" t="n">
        <v>0</v>
      </c>
      <c r="R1461" s="2" t="inlineStr"/>
    </row>
    <row r="1462" ht="15" customHeight="1">
      <c r="A1462" t="inlineStr">
        <is>
          <t>A 54967-2022</t>
        </is>
      </c>
      <c r="B1462" s="1" t="n">
        <v>44886.4831712963</v>
      </c>
      <c r="C1462" s="1" t="n">
        <v>45952</v>
      </c>
      <c r="D1462" t="inlineStr">
        <is>
          <t>VÄSTRA GÖTALANDS LÄN</t>
        </is>
      </c>
      <c r="E1462" t="inlineStr">
        <is>
          <t>SOTENÄS</t>
        </is>
      </c>
      <c r="G1462" t="n">
        <v>0.5</v>
      </c>
      <c r="H1462" t="n">
        <v>0</v>
      </c>
      <c r="I1462" t="n">
        <v>0</v>
      </c>
      <c r="J1462" t="n">
        <v>0</v>
      </c>
      <c r="K1462" t="n">
        <v>0</v>
      </c>
      <c r="L1462" t="n">
        <v>0</v>
      </c>
      <c r="M1462" t="n">
        <v>0</v>
      </c>
      <c r="N1462" t="n">
        <v>0</v>
      </c>
      <c r="O1462" t="n">
        <v>0</v>
      </c>
      <c r="P1462" t="n">
        <v>0</v>
      </c>
      <c r="Q1462" t="n">
        <v>0</v>
      </c>
      <c r="R1462" s="2" t="inlineStr"/>
    </row>
    <row r="1463" ht="15" customHeight="1">
      <c r="A1463" t="inlineStr">
        <is>
          <t>A 11719-2021</t>
        </is>
      </c>
      <c r="B1463" s="1" t="n">
        <v>44265</v>
      </c>
      <c r="C1463" s="1" t="n">
        <v>45952</v>
      </c>
      <c r="D1463" t="inlineStr">
        <is>
          <t>VÄSTRA GÖTALANDS LÄN</t>
        </is>
      </c>
      <c r="E1463" t="inlineStr">
        <is>
          <t>GULLSPÅNG</t>
        </is>
      </c>
      <c r="G1463" t="n">
        <v>0.6</v>
      </c>
      <c r="H1463" t="n">
        <v>0</v>
      </c>
      <c r="I1463" t="n">
        <v>0</v>
      </c>
      <c r="J1463" t="n">
        <v>0</v>
      </c>
      <c r="K1463" t="n">
        <v>0</v>
      </c>
      <c r="L1463" t="n">
        <v>0</v>
      </c>
      <c r="M1463" t="n">
        <v>0</v>
      </c>
      <c r="N1463" t="n">
        <v>0</v>
      </c>
      <c r="O1463" t="n">
        <v>0</v>
      </c>
      <c r="P1463" t="n">
        <v>0</v>
      </c>
      <c r="Q1463" t="n">
        <v>0</v>
      </c>
      <c r="R1463" s="2" t="inlineStr"/>
    </row>
    <row r="1464" ht="15" customHeight="1">
      <c r="A1464" t="inlineStr">
        <is>
          <t>A 19937-2021</t>
        </is>
      </c>
      <c r="B1464" s="1" t="n">
        <v>44313</v>
      </c>
      <c r="C1464" s="1" t="n">
        <v>45952</v>
      </c>
      <c r="D1464" t="inlineStr">
        <is>
          <t>VÄSTRA GÖTALANDS LÄN</t>
        </is>
      </c>
      <c r="E1464" t="inlineStr">
        <is>
          <t>HERRLJUNGA</t>
        </is>
      </c>
      <c r="G1464" t="n">
        <v>9.699999999999999</v>
      </c>
      <c r="H1464" t="n">
        <v>0</v>
      </c>
      <c r="I1464" t="n">
        <v>0</v>
      </c>
      <c r="J1464" t="n">
        <v>0</v>
      </c>
      <c r="K1464" t="n">
        <v>0</v>
      </c>
      <c r="L1464" t="n">
        <v>0</v>
      </c>
      <c r="M1464" t="n">
        <v>0</v>
      </c>
      <c r="N1464" t="n">
        <v>0</v>
      </c>
      <c r="O1464" t="n">
        <v>0</v>
      </c>
      <c r="P1464" t="n">
        <v>0</v>
      </c>
      <c r="Q1464" t="n">
        <v>0</v>
      </c>
      <c r="R1464" s="2" t="inlineStr"/>
    </row>
    <row r="1465" ht="15" customHeight="1">
      <c r="A1465" t="inlineStr">
        <is>
          <t>A 19945-2021</t>
        </is>
      </c>
      <c r="B1465" s="1" t="n">
        <v>44313.61476851852</v>
      </c>
      <c r="C1465" s="1" t="n">
        <v>45952</v>
      </c>
      <c r="D1465" t="inlineStr">
        <is>
          <t>VÄSTRA GÖTALANDS LÄN</t>
        </is>
      </c>
      <c r="E1465" t="inlineStr">
        <is>
          <t>ULRICEHAMN</t>
        </is>
      </c>
      <c r="G1465" t="n">
        <v>0.9</v>
      </c>
      <c r="H1465" t="n">
        <v>0</v>
      </c>
      <c r="I1465" t="n">
        <v>0</v>
      </c>
      <c r="J1465" t="n">
        <v>0</v>
      </c>
      <c r="K1465" t="n">
        <v>0</v>
      </c>
      <c r="L1465" t="n">
        <v>0</v>
      </c>
      <c r="M1465" t="n">
        <v>0</v>
      </c>
      <c r="N1465" t="n">
        <v>0</v>
      </c>
      <c r="O1465" t="n">
        <v>0</v>
      </c>
      <c r="P1465" t="n">
        <v>0</v>
      </c>
      <c r="Q1465" t="n">
        <v>0</v>
      </c>
      <c r="R1465" s="2" t="inlineStr"/>
    </row>
    <row r="1466" ht="15" customHeight="1">
      <c r="A1466" t="inlineStr">
        <is>
          <t>A 36451-2022</t>
        </is>
      </c>
      <c r="B1466" s="1" t="n">
        <v>44804</v>
      </c>
      <c r="C1466" s="1" t="n">
        <v>45952</v>
      </c>
      <c r="D1466" t="inlineStr">
        <is>
          <t>VÄSTRA GÖTALANDS LÄN</t>
        </is>
      </c>
      <c r="E1466" t="inlineStr">
        <is>
          <t>MELLERUD</t>
        </is>
      </c>
      <c r="G1466" t="n">
        <v>1</v>
      </c>
      <c r="H1466" t="n">
        <v>0</v>
      </c>
      <c r="I1466" t="n">
        <v>0</v>
      </c>
      <c r="J1466" t="n">
        <v>0</v>
      </c>
      <c r="K1466" t="n">
        <v>0</v>
      </c>
      <c r="L1466" t="n">
        <v>0</v>
      </c>
      <c r="M1466" t="n">
        <v>0</v>
      </c>
      <c r="N1466" t="n">
        <v>0</v>
      </c>
      <c r="O1466" t="n">
        <v>0</v>
      </c>
      <c r="P1466" t="n">
        <v>0</v>
      </c>
      <c r="Q1466" t="n">
        <v>0</v>
      </c>
      <c r="R1466" s="2" t="inlineStr"/>
    </row>
    <row r="1467" ht="15" customHeight="1">
      <c r="A1467" t="inlineStr">
        <is>
          <t>A 47096-2022</t>
        </is>
      </c>
      <c r="B1467" s="1" t="n">
        <v>44852.47015046296</v>
      </c>
      <c r="C1467" s="1" t="n">
        <v>45952</v>
      </c>
      <c r="D1467" t="inlineStr">
        <is>
          <t>VÄSTRA GÖTALANDS LÄN</t>
        </is>
      </c>
      <c r="E1467" t="inlineStr">
        <is>
          <t>TRANEMO</t>
        </is>
      </c>
      <c r="F1467" t="inlineStr">
        <is>
          <t>Kyrkan</t>
        </is>
      </c>
      <c r="G1467" t="n">
        <v>0.5</v>
      </c>
      <c r="H1467" t="n">
        <v>0</v>
      </c>
      <c r="I1467" t="n">
        <v>0</v>
      </c>
      <c r="J1467" t="n">
        <v>0</v>
      </c>
      <c r="K1467" t="n">
        <v>0</v>
      </c>
      <c r="L1467" t="n">
        <v>0</v>
      </c>
      <c r="M1467" t="n">
        <v>0</v>
      </c>
      <c r="N1467" t="n">
        <v>0</v>
      </c>
      <c r="O1467" t="n">
        <v>0</v>
      </c>
      <c r="P1467" t="n">
        <v>0</v>
      </c>
      <c r="Q1467" t="n">
        <v>0</v>
      </c>
      <c r="R1467" s="2" t="inlineStr"/>
    </row>
    <row r="1468" ht="15" customHeight="1">
      <c r="A1468" t="inlineStr">
        <is>
          <t>A 46657-2021</t>
        </is>
      </c>
      <c r="B1468" s="1" t="n">
        <v>44445</v>
      </c>
      <c r="C1468" s="1" t="n">
        <v>45952</v>
      </c>
      <c r="D1468" t="inlineStr">
        <is>
          <t>VÄSTRA GÖTALANDS LÄN</t>
        </is>
      </c>
      <c r="E1468" t="inlineStr">
        <is>
          <t>FÄRGELANDA</t>
        </is>
      </c>
      <c r="G1468" t="n">
        <v>8.5</v>
      </c>
      <c r="H1468" t="n">
        <v>0</v>
      </c>
      <c r="I1468" t="n">
        <v>0</v>
      </c>
      <c r="J1468" t="n">
        <v>0</v>
      </c>
      <c r="K1468" t="n">
        <v>0</v>
      </c>
      <c r="L1468" t="n">
        <v>0</v>
      </c>
      <c r="M1468" t="n">
        <v>0</v>
      </c>
      <c r="N1468" t="n">
        <v>0</v>
      </c>
      <c r="O1468" t="n">
        <v>0</v>
      </c>
      <c r="P1468" t="n">
        <v>0</v>
      </c>
      <c r="Q1468" t="n">
        <v>0</v>
      </c>
      <c r="R1468" s="2" t="inlineStr"/>
    </row>
    <row r="1469" ht="15" customHeight="1">
      <c r="A1469" t="inlineStr">
        <is>
          <t>A 27286-2021</t>
        </is>
      </c>
      <c r="B1469" s="1" t="n">
        <v>44351</v>
      </c>
      <c r="C1469" s="1" t="n">
        <v>45952</v>
      </c>
      <c r="D1469" t="inlineStr">
        <is>
          <t>VÄSTRA GÖTALANDS LÄN</t>
        </is>
      </c>
      <c r="E1469" t="inlineStr">
        <is>
          <t>TIBRO</t>
        </is>
      </c>
      <c r="G1469" t="n">
        <v>1</v>
      </c>
      <c r="H1469" t="n">
        <v>0</v>
      </c>
      <c r="I1469" t="n">
        <v>0</v>
      </c>
      <c r="J1469" t="n">
        <v>0</v>
      </c>
      <c r="K1469" t="n">
        <v>0</v>
      </c>
      <c r="L1469" t="n">
        <v>0</v>
      </c>
      <c r="M1469" t="n">
        <v>0</v>
      </c>
      <c r="N1469" t="n">
        <v>0</v>
      </c>
      <c r="O1469" t="n">
        <v>0</v>
      </c>
      <c r="P1469" t="n">
        <v>0</v>
      </c>
      <c r="Q1469" t="n">
        <v>0</v>
      </c>
      <c r="R1469" s="2" t="inlineStr"/>
    </row>
    <row r="1470" ht="15" customHeight="1">
      <c r="A1470" t="inlineStr">
        <is>
          <t>A 61223-2021</t>
        </is>
      </c>
      <c r="B1470" s="1" t="n">
        <v>44496</v>
      </c>
      <c r="C1470" s="1" t="n">
        <v>45952</v>
      </c>
      <c r="D1470" t="inlineStr">
        <is>
          <t>VÄSTRA GÖTALANDS LÄN</t>
        </is>
      </c>
      <c r="E1470" t="inlineStr">
        <is>
          <t>KARLSBORG</t>
        </is>
      </c>
      <c r="G1470" t="n">
        <v>1.4</v>
      </c>
      <c r="H1470" t="n">
        <v>0</v>
      </c>
      <c r="I1470" t="n">
        <v>0</v>
      </c>
      <c r="J1470" t="n">
        <v>0</v>
      </c>
      <c r="K1470" t="n">
        <v>0</v>
      </c>
      <c r="L1470" t="n">
        <v>0</v>
      </c>
      <c r="M1470" t="n">
        <v>0</v>
      </c>
      <c r="N1470" t="n">
        <v>0</v>
      </c>
      <c r="O1470" t="n">
        <v>0</v>
      </c>
      <c r="P1470" t="n">
        <v>0</v>
      </c>
      <c r="Q1470" t="n">
        <v>0</v>
      </c>
      <c r="R1470" s="2" t="inlineStr"/>
    </row>
    <row r="1471" ht="15" customHeight="1">
      <c r="A1471" t="inlineStr">
        <is>
          <t>A 65804-2021</t>
        </is>
      </c>
      <c r="B1471" s="1" t="n">
        <v>44516</v>
      </c>
      <c r="C1471" s="1" t="n">
        <v>45952</v>
      </c>
      <c r="D1471" t="inlineStr">
        <is>
          <t>VÄSTRA GÖTALANDS LÄN</t>
        </is>
      </c>
      <c r="E1471" t="inlineStr">
        <is>
          <t>SKÖVDE</t>
        </is>
      </c>
      <c r="G1471" t="n">
        <v>1.5</v>
      </c>
      <c r="H1471" t="n">
        <v>0</v>
      </c>
      <c r="I1471" t="n">
        <v>0</v>
      </c>
      <c r="J1471" t="n">
        <v>0</v>
      </c>
      <c r="K1471" t="n">
        <v>0</v>
      </c>
      <c r="L1471" t="n">
        <v>0</v>
      </c>
      <c r="M1471" t="n">
        <v>0</v>
      </c>
      <c r="N1471" t="n">
        <v>0</v>
      </c>
      <c r="O1471" t="n">
        <v>0</v>
      </c>
      <c r="P1471" t="n">
        <v>0</v>
      </c>
      <c r="Q1471" t="n">
        <v>0</v>
      </c>
      <c r="R1471" s="2" t="inlineStr"/>
    </row>
    <row r="1472" ht="15" customHeight="1">
      <c r="A1472" t="inlineStr">
        <is>
          <t>A 32706-2021</t>
        </is>
      </c>
      <c r="B1472" s="1" t="n">
        <v>44375.48074074074</v>
      </c>
      <c r="C1472" s="1" t="n">
        <v>45952</v>
      </c>
      <c r="D1472" t="inlineStr">
        <is>
          <t>VÄSTRA GÖTALANDS LÄN</t>
        </is>
      </c>
      <c r="E1472" t="inlineStr">
        <is>
          <t>SVENLJUNGA</t>
        </is>
      </c>
      <c r="F1472" t="inlineStr">
        <is>
          <t>Sveaskog</t>
        </is>
      </c>
      <c r="G1472" t="n">
        <v>2</v>
      </c>
      <c r="H1472" t="n">
        <v>0</v>
      </c>
      <c r="I1472" t="n">
        <v>0</v>
      </c>
      <c r="J1472" t="n">
        <v>0</v>
      </c>
      <c r="K1472" t="n">
        <v>0</v>
      </c>
      <c r="L1472" t="n">
        <v>0</v>
      </c>
      <c r="M1472" t="n">
        <v>0</v>
      </c>
      <c r="N1472" t="n">
        <v>0</v>
      </c>
      <c r="O1472" t="n">
        <v>0</v>
      </c>
      <c r="P1472" t="n">
        <v>0</v>
      </c>
      <c r="Q1472" t="n">
        <v>0</v>
      </c>
      <c r="R1472" s="2" t="inlineStr"/>
    </row>
    <row r="1473" ht="15" customHeight="1">
      <c r="A1473" t="inlineStr">
        <is>
          <t>A 59108-2021</t>
        </is>
      </c>
      <c r="B1473" s="1" t="n">
        <v>44490.43342592593</v>
      </c>
      <c r="C1473" s="1" t="n">
        <v>45952</v>
      </c>
      <c r="D1473" t="inlineStr">
        <is>
          <t>VÄSTRA GÖTALANDS LÄN</t>
        </is>
      </c>
      <c r="E1473" t="inlineStr">
        <is>
          <t>GÖTENE</t>
        </is>
      </c>
      <c r="G1473" t="n">
        <v>2</v>
      </c>
      <c r="H1473" t="n">
        <v>0</v>
      </c>
      <c r="I1473" t="n">
        <v>0</v>
      </c>
      <c r="J1473" t="n">
        <v>0</v>
      </c>
      <c r="K1473" t="n">
        <v>0</v>
      </c>
      <c r="L1473" t="n">
        <v>0</v>
      </c>
      <c r="M1473" t="n">
        <v>0</v>
      </c>
      <c r="N1473" t="n">
        <v>0</v>
      </c>
      <c r="O1473" t="n">
        <v>0</v>
      </c>
      <c r="P1473" t="n">
        <v>0</v>
      </c>
      <c r="Q1473" t="n">
        <v>0</v>
      </c>
      <c r="R1473" s="2" t="inlineStr"/>
    </row>
    <row r="1474" ht="15" customHeight="1">
      <c r="A1474" t="inlineStr">
        <is>
          <t>A 59113-2021</t>
        </is>
      </c>
      <c r="B1474" s="1" t="n">
        <v>44490.43729166667</v>
      </c>
      <c r="C1474" s="1" t="n">
        <v>45952</v>
      </c>
      <c r="D1474" t="inlineStr">
        <is>
          <t>VÄSTRA GÖTALANDS LÄN</t>
        </is>
      </c>
      <c r="E1474" t="inlineStr">
        <is>
          <t>FALKÖPING</t>
        </is>
      </c>
      <c r="G1474" t="n">
        <v>1.3</v>
      </c>
      <c r="H1474" t="n">
        <v>0</v>
      </c>
      <c r="I1474" t="n">
        <v>0</v>
      </c>
      <c r="J1474" t="n">
        <v>0</v>
      </c>
      <c r="K1474" t="n">
        <v>0</v>
      </c>
      <c r="L1474" t="n">
        <v>0</v>
      </c>
      <c r="M1474" t="n">
        <v>0</v>
      </c>
      <c r="N1474" t="n">
        <v>0</v>
      </c>
      <c r="O1474" t="n">
        <v>0</v>
      </c>
      <c r="P1474" t="n">
        <v>0</v>
      </c>
      <c r="Q1474" t="n">
        <v>0</v>
      </c>
      <c r="R1474" s="2" t="inlineStr"/>
    </row>
    <row r="1475" ht="15" customHeight="1">
      <c r="A1475" t="inlineStr">
        <is>
          <t>A 66603-2021</t>
        </is>
      </c>
      <c r="B1475" s="1" t="n">
        <v>44519.47723379629</v>
      </c>
      <c r="C1475" s="1" t="n">
        <v>45952</v>
      </c>
      <c r="D1475" t="inlineStr">
        <is>
          <t>VÄSTRA GÖTALANDS LÄN</t>
        </is>
      </c>
      <c r="E1475" t="inlineStr">
        <is>
          <t>GULLSPÅNG</t>
        </is>
      </c>
      <c r="G1475" t="n">
        <v>0.6</v>
      </c>
      <c r="H1475" t="n">
        <v>0</v>
      </c>
      <c r="I1475" t="n">
        <v>0</v>
      </c>
      <c r="J1475" t="n">
        <v>0</v>
      </c>
      <c r="K1475" t="n">
        <v>0</v>
      </c>
      <c r="L1475" t="n">
        <v>0</v>
      </c>
      <c r="M1475" t="n">
        <v>0</v>
      </c>
      <c r="N1475" t="n">
        <v>0</v>
      </c>
      <c r="O1475" t="n">
        <v>0</v>
      </c>
      <c r="P1475" t="n">
        <v>0</v>
      </c>
      <c r="Q1475" t="n">
        <v>0</v>
      </c>
      <c r="R1475" s="2" t="inlineStr"/>
    </row>
    <row r="1476" ht="15" customHeight="1">
      <c r="A1476" t="inlineStr">
        <is>
          <t>A 3708-2021</t>
        </is>
      </c>
      <c r="B1476" s="1" t="n">
        <v>44221</v>
      </c>
      <c r="C1476" s="1" t="n">
        <v>45952</v>
      </c>
      <c r="D1476" t="inlineStr">
        <is>
          <t>VÄSTRA GÖTALANDS LÄN</t>
        </is>
      </c>
      <c r="E1476" t="inlineStr">
        <is>
          <t>KARLSBORG</t>
        </is>
      </c>
      <c r="G1476" t="n">
        <v>0.8</v>
      </c>
      <c r="H1476" t="n">
        <v>0</v>
      </c>
      <c r="I1476" t="n">
        <v>0</v>
      </c>
      <c r="J1476" t="n">
        <v>0</v>
      </c>
      <c r="K1476" t="n">
        <v>0</v>
      </c>
      <c r="L1476" t="n">
        <v>0</v>
      </c>
      <c r="M1476" t="n">
        <v>0</v>
      </c>
      <c r="N1476" t="n">
        <v>0</v>
      </c>
      <c r="O1476" t="n">
        <v>0</v>
      </c>
      <c r="P1476" t="n">
        <v>0</v>
      </c>
      <c r="Q1476" t="n">
        <v>0</v>
      </c>
      <c r="R1476" s="2" t="inlineStr"/>
    </row>
    <row r="1477" ht="15" customHeight="1">
      <c r="A1477" t="inlineStr">
        <is>
          <t>A 70162-2021</t>
        </is>
      </c>
      <c r="B1477" s="1" t="n">
        <v>44533</v>
      </c>
      <c r="C1477" s="1" t="n">
        <v>45952</v>
      </c>
      <c r="D1477" t="inlineStr">
        <is>
          <t>VÄSTRA GÖTALANDS LÄN</t>
        </is>
      </c>
      <c r="E1477" t="inlineStr">
        <is>
          <t>STRÖMSTAD</t>
        </is>
      </c>
      <c r="G1477" t="n">
        <v>1.9</v>
      </c>
      <c r="H1477" t="n">
        <v>0</v>
      </c>
      <c r="I1477" t="n">
        <v>0</v>
      </c>
      <c r="J1477" t="n">
        <v>0</v>
      </c>
      <c r="K1477" t="n">
        <v>0</v>
      </c>
      <c r="L1477" t="n">
        <v>0</v>
      </c>
      <c r="M1477" t="n">
        <v>0</v>
      </c>
      <c r="N1477" t="n">
        <v>0</v>
      </c>
      <c r="O1477" t="n">
        <v>0</v>
      </c>
      <c r="P1477" t="n">
        <v>0</v>
      </c>
      <c r="Q1477" t="n">
        <v>0</v>
      </c>
      <c r="R1477" s="2" t="inlineStr"/>
    </row>
    <row r="1478" ht="15" customHeight="1">
      <c r="A1478" t="inlineStr">
        <is>
          <t>A 31015-2021</t>
        </is>
      </c>
      <c r="B1478" s="1" t="n">
        <v>44367</v>
      </c>
      <c r="C1478" s="1" t="n">
        <v>45952</v>
      </c>
      <c r="D1478" t="inlineStr">
        <is>
          <t>VÄSTRA GÖTALANDS LÄN</t>
        </is>
      </c>
      <c r="E1478" t="inlineStr">
        <is>
          <t>BENGTSFORS</t>
        </is>
      </c>
      <c r="G1478" t="n">
        <v>8.300000000000001</v>
      </c>
      <c r="H1478" t="n">
        <v>0</v>
      </c>
      <c r="I1478" t="n">
        <v>0</v>
      </c>
      <c r="J1478" t="n">
        <v>0</v>
      </c>
      <c r="K1478" t="n">
        <v>0</v>
      </c>
      <c r="L1478" t="n">
        <v>0</v>
      </c>
      <c r="M1478" t="n">
        <v>0</v>
      </c>
      <c r="N1478" t="n">
        <v>0</v>
      </c>
      <c r="O1478" t="n">
        <v>0</v>
      </c>
      <c r="P1478" t="n">
        <v>0</v>
      </c>
      <c r="Q1478" t="n">
        <v>0</v>
      </c>
      <c r="R1478" s="2" t="inlineStr"/>
    </row>
    <row r="1479" ht="15" customHeight="1">
      <c r="A1479" t="inlineStr">
        <is>
          <t>A 51442-2022</t>
        </is>
      </c>
      <c r="B1479" s="1" t="n">
        <v>44869</v>
      </c>
      <c r="C1479" s="1" t="n">
        <v>45952</v>
      </c>
      <c r="D1479" t="inlineStr">
        <is>
          <t>VÄSTRA GÖTALANDS LÄN</t>
        </is>
      </c>
      <c r="E1479" t="inlineStr">
        <is>
          <t>MARK</t>
        </is>
      </c>
      <c r="G1479" t="n">
        <v>6.5</v>
      </c>
      <c r="H1479" t="n">
        <v>0</v>
      </c>
      <c r="I1479" t="n">
        <v>0</v>
      </c>
      <c r="J1479" t="n">
        <v>0</v>
      </c>
      <c r="K1479" t="n">
        <v>0</v>
      </c>
      <c r="L1479" t="n">
        <v>0</v>
      </c>
      <c r="M1479" t="n">
        <v>0</v>
      </c>
      <c r="N1479" t="n">
        <v>0</v>
      </c>
      <c r="O1479" t="n">
        <v>0</v>
      </c>
      <c r="P1479" t="n">
        <v>0</v>
      </c>
      <c r="Q1479" t="n">
        <v>0</v>
      </c>
      <c r="R1479" s="2" t="inlineStr"/>
    </row>
    <row r="1480" ht="15" customHeight="1">
      <c r="A1480" t="inlineStr">
        <is>
          <t>A 28632-2021</t>
        </is>
      </c>
      <c r="B1480" s="1" t="n">
        <v>44357.31700231481</v>
      </c>
      <c r="C1480" s="1" t="n">
        <v>45952</v>
      </c>
      <c r="D1480" t="inlineStr">
        <is>
          <t>VÄSTRA GÖTALANDS LÄN</t>
        </is>
      </c>
      <c r="E1480" t="inlineStr">
        <is>
          <t>SKARA</t>
        </is>
      </c>
      <c r="G1480" t="n">
        <v>13.4</v>
      </c>
      <c r="H1480" t="n">
        <v>0</v>
      </c>
      <c r="I1480" t="n">
        <v>0</v>
      </c>
      <c r="J1480" t="n">
        <v>0</v>
      </c>
      <c r="K1480" t="n">
        <v>0</v>
      </c>
      <c r="L1480" t="n">
        <v>0</v>
      </c>
      <c r="M1480" t="n">
        <v>0</v>
      </c>
      <c r="N1480" t="n">
        <v>0</v>
      </c>
      <c r="O1480" t="n">
        <v>0</v>
      </c>
      <c r="P1480" t="n">
        <v>0</v>
      </c>
      <c r="Q1480" t="n">
        <v>0</v>
      </c>
      <c r="R1480" s="2" t="inlineStr"/>
    </row>
    <row r="1481" ht="15" customHeight="1">
      <c r="A1481" t="inlineStr">
        <is>
          <t>A 6251-2022</t>
        </is>
      </c>
      <c r="B1481" s="1" t="n">
        <v>44600.44402777778</v>
      </c>
      <c r="C1481" s="1" t="n">
        <v>45952</v>
      </c>
      <c r="D1481" t="inlineStr">
        <is>
          <t>VÄSTRA GÖTALANDS LÄN</t>
        </is>
      </c>
      <c r="E1481" t="inlineStr">
        <is>
          <t>SKARA</t>
        </is>
      </c>
      <c r="F1481" t="inlineStr">
        <is>
          <t>Sveaskog</t>
        </is>
      </c>
      <c r="G1481" t="n">
        <v>5.2</v>
      </c>
      <c r="H1481" t="n">
        <v>0</v>
      </c>
      <c r="I1481" t="n">
        <v>0</v>
      </c>
      <c r="J1481" t="n">
        <v>0</v>
      </c>
      <c r="K1481" t="n">
        <v>0</v>
      </c>
      <c r="L1481" t="n">
        <v>0</v>
      </c>
      <c r="M1481" t="n">
        <v>0</v>
      </c>
      <c r="N1481" t="n">
        <v>0</v>
      </c>
      <c r="O1481" t="n">
        <v>0</v>
      </c>
      <c r="P1481" t="n">
        <v>0</v>
      </c>
      <c r="Q1481" t="n">
        <v>0</v>
      </c>
      <c r="R1481" s="2" t="inlineStr"/>
    </row>
    <row r="1482" ht="15" customHeight="1">
      <c r="A1482" t="inlineStr">
        <is>
          <t>A 38015-2021</t>
        </is>
      </c>
      <c r="B1482" s="1" t="n">
        <v>44404.55339120371</v>
      </c>
      <c r="C1482" s="1" t="n">
        <v>45952</v>
      </c>
      <c r="D1482" t="inlineStr">
        <is>
          <t>VÄSTRA GÖTALANDS LÄN</t>
        </is>
      </c>
      <c r="E1482" t="inlineStr">
        <is>
          <t>ÅMÅL</t>
        </is>
      </c>
      <c r="G1482" t="n">
        <v>2.4</v>
      </c>
      <c r="H1482" t="n">
        <v>0</v>
      </c>
      <c r="I1482" t="n">
        <v>0</v>
      </c>
      <c r="J1482" t="n">
        <v>0</v>
      </c>
      <c r="K1482" t="n">
        <v>0</v>
      </c>
      <c r="L1482" t="n">
        <v>0</v>
      </c>
      <c r="M1482" t="n">
        <v>0</v>
      </c>
      <c r="N1482" t="n">
        <v>0</v>
      </c>
      <c r="O1482" t="n">
        <v>0</v>
      </c>
      <c r="P1482" t="n">
        <v>0</v>
      </c>
      <c r="Q1482" t="n">
        <v>0</v>
      </c>
      <c r="R1482" s="2" t="inlineStr"/>
    </row>
    <row r="1483" ht="15" customHeight="1">
      <c r="A1483" t="inlineStr">
        <is>
          <t>A 45379-2022</t>
        </is>
      </c>
      <c r="B1483" s="1" t="n">
        <v>44844.66291666667</v>
      </c>
      <c r="C1483" s="1" t="n">
        <v>45952</v>
      </c>
      <c r="D1483" t="inlineStr">
        <is>
          <t>VÄSTRA GÖTALANDS LÄN</t>
        </is>
      </c>
      <c r="E1483" t="inlineStr">
        <is>
          <t>SKÖVDE</t>
        </is>
      </c>
      <c r="G1483" t="n">
        <v>5.3</v>
      </c>
      <c r="H1483" t="n">
        <v>0</v>
      </c>
      <c r="I1483" t="n">
        <v>0</v>
      </c>
      <c r="J1483" t="n">
        <v>0</v>
      </c>
      <c r="K1483" t="n">
        <v>0</v>
      </c>
      <c r="L1483" t="n">
        <v>0</v>
      </c>
      <c r="M1483" t="n">
        <v>0</v>
      </c>
      <c r="N1483" t="n">
        <v>0</v>
      </c>
      <c r="O1483" t="n">
        <v>0</v>
      </c>
      <c r="P1483" t="n">
        <v>0</v>
      </c>
      <c r="Q1483" t="n">
        <v>0</v>
      </c>
      <c r="R1483" s="2" t="inlineStr"/>
    </row>
    <row r="1484" ht="15" customHeight="1">
      <c r="A1484" t="inlineStr">
        <is>
          <t>A 65995-2021</t>
        </is>
      </c>
      <c r="B1484" s="1" t="n">
        <v>44517.55771990741</v>
      </c>
      <c r="C1484" s="1" t="n">
        <v>45952</v>
      </c>
      <c r="D1484" t="inlineStr">
        <is>
          <t>VÄSTRA GÖTALANDS LÄN</t>
        </is>
      </c>
      <c r="E1484" t="inlineStr">
        <is>
          <t>SVENLJUNGA</t>
        </is>
      </c>
      <c r="G1484" t="n">
        <v>0.6</v>
      </c>
      <c r="H1484" t="n">
        <v>0</v>
      </c>
      <c r="I1484" t="n">
        <v>0</v>
      </c>
      <c r="J1484" t="n">
        <v>0</v>
      </c>
      <c r="K1484" t="n">
        <v>0</v>
      </c>
      <c r="L1484" t="n">
        <v>0</v>
      </c>
      <c r="M1484" t="n">
        <v>0</v>
      </c>
      <c r="N1484" t="n">
        <v>0</v>
      </c>
      <c r="O1484" t="n">
        <v>0</v>
      </c>
      <c r="P1484" t="n">
        <v>0</v>
      </c>
      <c r="Q1484" t="n">
        <v>0</v>
      </c>
      <c r="R1484" s="2" t="inlineStr"/>
    </row>
    <row r="1485" ht="15" customHeight="1">
      <c r="A1485" t="inlineStr">
        <is>
          <t>A 50559-2022</t>
        </is>
      </c>
      <c r="B1485" s="1" t="n">
        <v>44866.6278587963</v>
      </c>
      <c r="C1485" s="1" t="n">
        <v>45952</v>
      </c>
      <c r="D1485" t="inlineStr">
        <is>
          <t>VÄSTRA GÖTALANDS LÄN</t>
        </is>
      </c>
      <c r="E1485" t="inlineStr">
        <is>
          <t>HJO</t>
        </is>
      </c>
      <c r="G1485" t="n">
        <v>7.7</v>
      </c>
      <c r="H1485" t="n">
        <v>0</v>
      </c>
      <c r="I1485" t="n">
        <v>0</v>
      </c>
      <c r="J1485" t="n">
        <v>0</v>
      </c>
      <c r="K1485" t="n">
        <v>0</v>
      </c>
      <c r="L1485" t="n">
        <v>0</v>
      </c>
      <c r="M1485" t="n">
        <v>0</v>
      </c>
      <c r="N1485" t="n">
        <v>0</v>
      </c>
      <c r="O1485" t="n">
        <v>0</v>
      </c>
      <c r="P1485" t="n">
        <v>0</v>
      </c>
      <c r="Q1485" t="n">
        <v>0</v>
      </c>
      <c r="R1485" s="2" t="inlineStr"/>
    </row>
    <row r="1486" ht="15" customHeight="1">
      <c r="A1486" t="inlineStr">
        <is>
          <t>A 8964-2022</t>
        </is>
      </c>
      <c r="B1486" s="1" t="n">
        <v>44614.89628472222</v>
      </c>
      <c r="C1486" s="1" t="n">
        <v>45952</v>
      </c>
      <c r="D1486" t="inlineStr">
        <is>
          <t>VÄSTRA GÖTALANDS LÄN</t>
        </is>
      </c>
      <c r="E1486" t="inlineStr">
        <is>
          <t>SVENLJUNGA</t>
        </is>
      </c>
      <c r="G1486" t="n">
        <v>1.3</v>
      </c>
      <c r="H1486" t="n">
        <v>0</v>
      </c>
      <c r="I1486" t="n">
        <v>0</v>
      </c>
      <c r="J1486" t="n">
        <v>0</v>
      </c>
      <c r="K1486" t="n">
        <v>0</v>
      </c>
      <c r="L1486" t="n">
        <v>0</v>
      </c>
      <c r="M1486" t="n">
        <v>0</v>
      </c>
      <c r="N1486" t="n">
        <v>0</v>
      </c>
      <c r="O1486" t="n">
        <v>0</v>
      </c>
      <c r="P1486" t="n">
        <v>0</v>
      </c>
      <c r="Q1486" t="n">
        <v>0</v>
      </c>
      <c r="R1486" s="2" t="inlineStr"/>
    </row>
    <row r="1487" ht="15" customHeight="1">
      <c r="A1487" t="inlineStr">
        <is>
          <t>A 14250-2021</t>
        </is>
      </c>
      <c r="B1487" s="1" t="n">
        <v>44278</v>
      </c>
      <c r="C1487" s="1" t="n">
        <v>45952</v>
      </c>
      <c r="D1487" t="inlineStr">
        <is>
          <t>VÄSTRA GÖTALANDS LÄN</t>
        </is>
      </c>
      <c r="E1487" t="inlineStr">
        <is>
          <t>GULLSPÅNG</t>
        </is>
      </c>
      <c r="G1487" t="n">
        <v>1.5</v>
      </c>
      <c r="H1487" t="n">
        <v>0</v>
      </c>
      <c r="I1487" t="n">
        <v>0</v>
      </c>
      <c r="J1487" t="n">
        <v>0</v>
      </c>
      <c r="K1487" t="n">
        <v>0</v>
      </c>
      <c r="L1487" t="n">
        <v>0</v>
      </c>
      <c r="M1487" t="n">
        <v>0</v>
      </c>
      <c r="N1487" t="n">
        <v>0</v>
      </c>
      <c r="O1487" t="n">
        <v>0</v>
      </c>
      <c r="P1487" t="n">
        <v>0</v>
      </c>
      <c r="Q1487" t="n">
        <v>0</v>
      </c>
      <c r="R1487" s="2" t="inlineStr"/>
    </row>
    <row r="1488" ht="15" customHeight="1">
      <c r="A1488" t="inlineStr">
        <is>
          <t>A 24283-2021</t>
        </is>
      </c>
      <c r="B1488" s="1" t="n">
        <v>44337</v>
      </c>
      <c r="C1488" s="1" t="n">
        <v>45952</v>
      </c>
      <c r="D1488" t="inlineStr">
        <is>
          <t>VÄSTRA GÖTALANDS LÄN</t>
        </is>
      </c>
      <c r="E1488" t="inlineStr">
        <is>
          <t>UDDEVALLA</t>
        </is>
      </c>
      <c r="G1488" t="n">
        <v>2.7</v>
      </c>
      <c r="H1488" t="n">
        <v>0</v>
      </c>
      <c r="I1488" t="n">
        <v>0</v>
      </c>
      <c r="J1488" t="n">
        <v>0</v>
      </c>
      <c r="K1488" t="n">
        <v>0</v>
      </c>
      <c r="L1488" t="n">
        <v>0</v>
      </c>
      <c r="M1488" t="n">
        <v>0</v>
      </c>
      <c r="N1488" t="n">
        <v>0</v>
      </c>
      <c r="O1488" t="n">
        <v>0</v>
      </c>
      <c r="P1488" t="n">
        <v>0</v>
      </c>
      <c r="Q1488" t="n">
        <v>0</v>
      </c>
      <c r="R1488" s="2" t="inlineStr"/>
    </row>
    <row r="1489" ht="15" customHeight="1">
      <c r="A1489" t="inlineStr">
        <is>
          <t>A 60439-2021</t>
        </is>
      </c>
      <c r="B1489" s="1" t="n">
        <v>44496</v>
      </c>
      <c r="C1489" s="1" t="n">
        <v>45952</v>
      </c>
      <c r="D1489" t="inlineStr">
        <is>
          <t>VÄSTRA GÖTALANDS LÄN</t>
        </is>
      </c>
      <c r="E1489" t="inlineStr">
        <is>
          <t>SVENLJUNGA</t>
        </is>
      </c>
      <c r="G1489" t="n">
        <v>9.199999999999999</v>
      </c>
      <c r="H1489" t="n">
        <v>0</v>
      </c>
      <c r="I1489" t="n">
        <v>0</v>
      </c>
      <c r="J1489" t="n">
        <v>0</v>
      </c>
      <c r="K1489" t="n">
        <v>0</v>
      </c>
      <c r="L1489" t="n">
        <v>0</v>
      </c>
      <c r="M1489" t="n">
        <v>0</v>
      </c>
      <c r="N1489" t="n">
        <v>0</v>
      </c>
      <c r="O1489" t="n">
        <v>0</v>
      </c>
      <c r="P1489" t="n">
        <v>0</v>
      </c>
      <c r="Q1489" t="n">
        <v>0</v>
      </c>
      <c r="R1489" s="2" t="inlineStr"/>
    </row>
    <row r="1490" ht="15" customHeight="1">
      <c r="A1490" t="inlineStr">
        <is>
          <t>A 61618-2021</t>
        </is>
      </c>
      <c r="B1490" s="1" t="n">
        <v>44501.48246527778</v>
      </c>
      <c r="C1490" s="1" t="n">
        <v>45952</v>
      </c>
      <c r="D1490" t="inlineStr">
        <is>
          <t>VÄSTRA GÖTALANDS LÄN</t>
        </is>
      </c>
      <c r="E1490" t="inlineStr">
        <is>
          <t>TANUM</t>
        </is>
      </c>
      <c r="G1490" t="n">
        <v>2</v>
      </c>
      <c r="H1490" t="n">
        <v>0</v>
      </c>
      <c r="I1490" t="n">
        <v>0</v>
      </c>
      <c r="J1490" t="n">
        <v>0</v>
      </c>
      <c r="K1490" t="n">
        <v>0</v>
      </c>
      <c r="L1490" t="n">
        <v>0</v>
      </c>
      <c r="M1490" t="n">
        <v>0</v>
      </c>
      <c r="N1490" t="n">
        <v>0</v>
      </c>
      <c r="O1490" t="n">
        <v>0</v>
      </c>
      <c r="P1490" t="n">
        <v>0</v>
      </c>
      <c r="Q1490" t="n">
        <v>0</v>
      </c>
      <c r="R1490" s="2" t="inlineStr"/>
    </row>
    <row r="1491" ht="15" customHeight="1">
      <c r="A1491" t="inlineStr">
        <is>
          <t>A 55480-2022</t>
        </is>
      </c>
      <c r="B1491" s="1" t="n">
        <v>44887.67539351852</v>
      </c>
      <c r="C1491" s="1" t="n">
        <v>45952</v>
      </c>
      <c r="D1491" t="inlineStr">
        <is>
          <t>VÄSTRA GÖTALANDS LÄN</t>
        </is>
      </c>
      <c r="E1491" t="inlineStr">
        <is>
          <t>TROLLHÄTTAN</t>
        </is>
      </c>
      <c r="G1491" t="n">
        <v>0.4</v>
      </c>
      <c r="H1491" t="n">
        <v>0</v>
      </c>
      <c r="I1491" t="n">
        <v>0</v>
      </c>
      <c r="J1491" t="n">
        <v>0</v>
      </c>
      <c r="K1491" t="n">
        <v>0</v>
      </c>
      <c r="L1491" t="n">
        <v>0</v>
      </c>
      <c r="M1491" t="n">
        <v>0</v>
      </c>
      <c r="N1491" t="n">
        <v>0</v>
      </c>
      <c r="O1491" t="n">
        <v>0</v>
      </c>
      <c r="P1491" t="n">
        <v>0</v>
      </c>
      <c r="Q1491" t="n">
        <v>0</v>
      </c>
      <c r="R1491" s="2" t="inlineStr"/>
    </row>
    <row r="1492" ht="15" customHeight="1">
      <c r="A1492" t="inlineStr">
        <is>
          <t>A 15175-2022</t>
        </is>
      </c>
      <c r="B1492" s="1" t="n">
        <v>44658</v>
      </c>
      <c r="C1492" s="1" t="n">
        <v>45952</v>
      </c>
      <c r="D1492" t="inlineStr">
        <is>
          <t>VÄSTRA GÖTALANDS LÄN</t>
        </is>
      </c>
      <c r="E1492" t="inlineStr">
        <is>
          <t>FÄRGELANDA</t>
        </is>
      </c>
      <c r="G1492" t="n">
        <v>1.7</v>
      </c>
      <c r="H1492" t="n">
        <v>0</v>
      </c>
      <c r="I1492" t="n">
        <v>0</v>
      </c>
      <c r="J1492" t="n">
        <v>0</v>
      </c>
      <c r="K1492" t="n">
        <v>0</v>
      </c>
      <c r="L1492" t="n">
        <v>0</v>
      </c>
      <c r="M1492" t="n">
        <v>0</v>
      </c>
      <c r="N1492" t="n">
        <v>0</v>
      </c>
      <c r="O1492" t="n">
        <v>0</v>
      </c>
      <c r="P1492" t="n">
        <v>0</v>
      </c>
      <c r="Q1492" t="n">
        <v>0</v>
      </c>
      <c r="R1492" s="2" t="inlineStr"/>
    </row>
    <row r="1493" ht="15" customHeight="1">
      <c r="A1493" t="inlineStr">
        <is>
          <t>A 26088-2022</t>
        </is>
      </c>
      <c r="B1493" s="1" t="n">
        <v>44734</v>
      </c>
      <c r="C1493" s="1" t="n">
        <v>45952</v>
      </c>
      <c r="D1493" t="inlineStr">
        <is>
          <t>VÄSTRA GÖTALANDS LÄN</t>
        </is>
      </c>
      <c r="E1493" t="inlineStr">
        <is>
          <t>BORÅS</t>
        </is>
      </c>
      <c r="G1493" t="n">
        <v>1.7</v>
      </c>
      <c r="H1493" t="n">
        <v>0</v>
      </c>
      <c r="I1493" t="n">
        <v>0</v>
      </c>
      <c r="J1493" t="n">
        <v>0</v>
      </c>
      <c r="K1493" t="n">
        <v>0</v>
      </c>
      <c r="L1493" t="n">
        <v>0</v>
      </c>
      <c r="M1493" t="n">
        <v>0</v>
      </c>
      <c r="N1493" t="n">
        <v>0</v>
      </c>
      <c r="O1493" t="n">
        <v>0</v>
      </c>
      <c r="P1493" t="n">
        <v>0</v>
      </c>
      <c r="Q1493" t="n">
        <v>0</v>
      </c>
      <c r="R1493" s="2" t="inlineStr"/>
    </row>
    <row r="1494" ht="15" customHeight="1">
      <c r="A1494" t="inlineStr">
        <is>
          <t>A 36789-2021</t>
        </is>
      </c>
      <c r="B1494" s="1" t="n">
        <v>44392.69578703704</v>
      </c>
      <c r="C1494" s="1" t="n">
        <v>45952</v>
      </c>
      <c r="D1494" t="inlineStr">
        <is>
          <t>VÄSTRA GÖTALANDS LÄN</t>
        </is>
      </c>
      <c r="E1494" t="inlineStr">
        <is>
          <t>TANUM</t>
        </is>
      </c>
      <c r="G1494" t="n">
        <v>0.8</v>
      </c>
      <c r="H1494" t="n">
        <v>0</v>
      </c>
      <c r="I1494" t="n">
        <v>0</v>
      </c>
      <c r="J1494" t="n">
        <v>0</v>
      </c>
      <c r="K1494" t="n">
        <v>0</v>
      </c>
      <c r="L1494" t="n">
        <v>0</v>
      </c>
      <c r="M1494" t="n">
        <v>0</v>
      </c>
      <c r="N1494" t="n">
        <v>0</v>
      </c>
      <c r="O1494" t="n">
        <v>0</v>
      </c>
      <c r="P1494" t="n">
        <v>0</v>
      </c>
      <c r="Q1494" t="n">
        <v>0</v>
      </c>
      <c r="R1494" s="2" t="inlineStr"/>
    </row>
    <row r="1495" ht="15" customHeight="1">
      <c r="A1495" t="inlineStr">
        <is>
          <t>A 6005-2022</t>
        </is>
      </c>
      <c r="B1495" s="1" t="n">
        <v>44599</v>
      </c>
      <c r="C1495" s="1" t="n">
        <v>45952</v>
      </c>
      <c r="D1495" t="inlineStr">
        <is>
          <t>VÄSTRA GÖTALANDS LÄN</t>
        </is>
      </c>
      <c r="E1495" t="inlineStr">
        <is>
          <t>TRANEMO</t>
        </is>
      </c>
      <c r="G1495" t="n">
        <v>1.4</v>
      </c>
      <c r="H1495" t="n">
        <v>0</v>
      </c>
      <c r="I1495" t="n">
        <v>0</v>
      </c>
      <c r="J1495" t="n">
        <v>0</v>
      </c>
      <c r="K1495" t="n">
        <v>0</v>
      </c>
      <c r="L1495" t="n">
        <v>0</v>
      </c>
      <c r="M1495" t="n">
        <v>0</v>
      </c>
      <c r="N1495" t="n">
        <v>0</v>
      </c>
      <c r="O1495" t="n">
        <v>0</v>
      </c>
      <c r="P1495" t="n">
        <v>0</v>
      </c>
      <c r="Q1495" t="n">
        <v>0</v>
      </c>
      <c r="R1495" s="2" t="inlineStr"/>
    </row>
    <row r="1496" ht="15" customHeight="1">
      <c r="A1496" t="inlineStr">
        <is>
          <t>A 30791-2022</t>
        </is>
      </c>
      <c r="B1496" s="1" t="n">
        <v>44764</v>
      </c>
      <c r="C1496" s="1" t="n">
        <v>45952</v>
      </c>
      <c r="D1496" t="inlineStr">
        <is>
          <t>VÄSTRA GÖTALANDS LÄN</t>
        </is>
      </c>
      <c r="E1496" t="inlineStr">
        <is>
          <t>MARK</t>
        </is>
      </c>
      <c r="G1496" t="n">
        <v>0.2</v>
      </c>
      <c r="H1496" t="n">
        <v>0</v>
      </c>
      <c r="I1496" t="n">
        <v>0</v>
      </c>
      <c r="J1496" t="n">
        <v>0</v>
      </c>
      <c r="K1496" t="n">
        <v>0</v>
      </c>
      <c r="L1496" t="n">
        <v>0</v>
      </c>
      <c r="M1496" t="n">
        <v>0</v>
      </c>
      <c r="N1496" t="n">
        <v>0</v>
      </c>
      <c r="O1496" t="n">
        <v>0</v>
      </c>
      <c r="P1496" t="n">
        <v>0</v>
      </c>
      <c r="Q1496" t="n">
        <v>0</v>
      </c>
      <c r="R1496" s="2" t="inlineStr"/>
    </row>
    <row r="1497" ht="15" customHeight="1">
      <c r="A1497" t="inlineStr">
        <is>
          <t>A 20048-2021</t>
        </is>
      </c>
      <c r="B1497" s="1" t="n">
        <v>44313</v>
      </c>
      <c r="C1497" s="1" t="n">
        <v>45952</v>
      </c>
      <c r="D1497" t="inlineStr">
        <is>
          <t>VÄSTRA GÖTALANDS LÄN</t>
        </is>
      </c>
      <c r="E1497" t="inlineStr">
        <is>
          <t>TANUM</t>
        </is>
      </c>
      <c r="G1497" t="n">
        <v>2.2</v>
      </c>
      <c r="H1497" t="n">
        <v>0</v>
      </c>
      <c r="I1497" t="n">
        <v>0</v>
      </c>
      <c r="J1497" t="n">
        <v>0</v>
      </c>
      <c r="K1497" t="n">
        <v>0</v>
      </c>
      <c r="L1497" t="n">
        <v>0</v>
      </c>
      <c r="M1497" t="n">
        <v>0</v>
      </c>
      <c r="N1497" t="n">
        <v>0</v>
      </c>
      <c r="O1497" t="n">
        <v>0</v>
      </c>
      <c r="P1497" t="n">
        <v>0</v>
      </c>
      <c r="Q1497" t="n">
        <v>0</v>
      </c>
      <c r="R1497" s="2" t="inlineStr"/>
    </row>
    <row r="1498" ht="15" customHeight="1">
      <c r="A1498" t="inlineStr">
        <is>
          <t>A 7454-2022</t>
        </is>
      </c>
      <c r="B1498" s="1" t="n">
        <v>44607.34648148148</v>
      </c>
      <c r="C1498" s="1" t="n">
        <v>45952</v>
      </c>
      <c r="D1498" t="inlineStr">
        <is>
          <t>VÄSTRA GÖTALANDS LÄN</t>
        </is>
      </c>
      <c r="E1498" t="inlineStr">
        <is>
          <t>MARK</t>
        </is>
      </c>
      <c r="G1498" t="n">
        <v>0.6</v>
      </c>
      <c r="H1498" t="n">
        <v>0</v>
      </c>
      <c r="I1498" t="n">
        <v>0</v>
      </c>
      <c r="J1498" t="n">
        <v>0</v>
      </c>
      <c r="K1498" t="n">
        <v>0</v>
      </c>
      <c r="L1498" t="n">
        <v>0</v>
      </c>
      <c r="M1498" t="n">
        <v>0</v>
      </c>
      <c r="N1498" t="n">
        <v>0</v>
      </c>
      <c r="O1498" t="n">
        <v>0</v>
      </c>
      <c r="P1498" t="n">
        <v>0</v>
      </c>
      <c r="Q1498" t="n">
        <v>0</v>
      </c>
      <c r="R1498" s="2" t="inlineStr"/>
    </row>
    <row r="1499" ht="15" customHeight="1">
      <c r="A1499" t="inlineStr">
        <is>
          <t>A 20272-2021</t>
        </is>
      </c>
      <c r="B1499" s="1" t="n">
        <v>44314</v>
      </c>
      <c r="C1499" s="1" t="n">
        <v>45952</v>
      </c>
      <c r="D1499" t="inlineStr">
        <is>
          <t>VÄSTRA GÖTALANDS LÄN</t>
        </is>
      </c>
      <c r="E1499" t="inlineStr">
        <is>
          <t>VÅRGÅRDA</t>
        </is>
      </c>
      <c r="F1499" t="inlineStr">
        <is>
          <t>Kyrkan</t>
        </is>
      </c>
      <c r="G1499" t="n">
        <v>1.2</v>
      </c>
      <c r="H1499" t="n">
        <v>0</v>
      </c>
      <c r="I1499" t="n">
        <v>0</v>
      </c>
      <c r="J1499" t="n">
        <v>0</v>
      </c>
      <c r="K1499" t="n">
        <v>0</v>
      </c>
      <c r="L1499" t="n">
        <v>0</v>
      </c>
      <c r="M1499" t="n">
        <v>0</v>
      </c>
      <c r="N1499" t="n">
        <v>0</v>
      </c>
      <c r="O1499" t="n">
        <v>0</v>
      </c>
      <c r="P1499" t="n">
        <v>0</v>
      </c>
      <c r="Q1499" t="n">
        <v>0</v>
      </c>
      <c r="R1499" s="2" t="inlineStr"/>
    </row>
    <row r="1500" ht="15" customHeight="1">
      <c r="A1500" t="inlineStr">
        <is>
          <t>A 3708-2022</t>
        </is>
      </c>
      <c r="B1500" s="1" t="n">
        <v>44586</v>
      </c>
      <c r="C1500" s="1" t="n">
        <v>45952</v>
      </c>
      <c r="D1500" t="inlineStr">
        <is>
          <t>VÄSTRA GÖTALANDS LÄN</t>
        </is>
      </c>
      <c r="E1500" t="inlineStr">
        <is>
          <t>GÖTENE</t>
        </is>
      </c>
      <c r="G1500" t="n">
        <v>1.1</v>
      </c>
      <c r="H1500" t="n">
        <v>0</v>
      </c>
      <c r="I1500" t="n">
        <v>0</v>
      </c>
      <c r="J1500" t="n">
        <v>0</v>
      </c>
      <c r="K1500" t="n">
        <v>0</v>
      </c>
      <c r="L1500" t="n">
        <v>0</v>
      </c>
      <c r="M1500" t="n">
        <v>0</v>
      </c>
      <c r="N1500" t="n">
        <v>0</v>
      </c>
      <c r="O1500" t="n">
        <v>0</v>
      </c>
      <c r="P1500" t="n">
        <v>0</v>
      </c>
      <c r="Q1500" t="n">
        <v>0</v>
      </c>
      <c r="R1500" s="2" t="inlineStr"/>
    </row>
    <row r="1501" ht="15" customHeight="1">
      <c r="A1501" t="inlineStr">
        <is>
          <t>A 73587-2021</t>
        </is>
      </c>
      <c r="B1501" s="1" t="n">
        <v>44552</v>
      </c>
      <c r="C1501" s="1" t="n">
        <v>45952</v>
      </c>
      <c r="D1501" t="inlineStr">
        <is>
          <t>VÄSTRA GÖTALANDS LÄN</t>
        </is>
      </c>
      <c r="E1501" t="inlineStr">
        <is>
          <t>BENGTSFORS</t>
        </is>
      </c>
      <c r="G1501" t="n">
        <v>1.9</v>
      </c>
      <c r="H1501" t="n">
        <v>0</v>
      </c>
      <c r="I1501" t="n">
        <v>0</v>
      </c>
      <c r="J1501" t="n">
        <v>0</v>
      </c>
      <c r="K1501" t="n">
        <v>0</v>
      </c>
      <c r="L1501" t="n">
        <v>0</v>
      </c>
      <c r="M1501" t="n">
        <v>0</v>
      </c>
      <c r="N1501" t="n">
        <v>0</v>
      </c>
      <c r="O1501" t="n">
        <v>0</v>
      </c>
      <c r="P1501" t="n">
        <v>0</v>
      </c>
      <c r="Q1501" t="n">
        <v>0</v>
      </c>
      <c r="R1501" s="2" t="inlineStr"/>
    </row>
    <row r="1502" ht="15" customHeight="1">
      <c r="A1502" t="inlineStr">
        <is>
          <t>A 14549-2022</t>
        </is>
      </c>
      <c r="B1502" s="1" t="n">
        <v>44655</v>
      </c>
      <c r="C1502" s="1" t="n">
        <v>45952</v>
      </c>
      <c r="D1502" t="inlineStr">
        <is>
          <t>VÄSTRA GÖTALANDS LÄN</t>
        </is>
      </c>
      <c r="E1502" t="inlineStr">
        <is>
          <t>ULRICEHAMN</t>
        </is>
      </c>
      <c r="G1502" t="n">
        <v>1.3</v>
      </c>
      <c r="H1502" t="n">
        <v>0</v>
      </c>
      <c r="I1502" t="n">
        <v>0</v>
      </c>
      <c r="J1502" t="n">
        <v>0</v>
      </c>
      <c r="K1502" t="n">
        <v>0</v>
      </c>
      <c r="L1502" t="n">
        <v>0</v>
      </c>
      <c r="M1502" t="n">
        <v>0</v>
      </c>
      <c r="N1502" t="n">
        <v>0</v>
      </c>
      <c r="O1502" t="n">
        <v>0</v>
      </c>
      <c r="P1502" t="n">
        <v>0</v>
      </c>
      <c r="Q1502" t="n">
        <v>0</v>
      </c>
      <c r="R1502" s="2" t="inlineStr"/>
    </row>
    <row r="1503" ht="15" customHeight="1">
      <c r="A1503" t="inlineStr">
        <is>
          <t>A 46687-2022</t>
        </is>
      </c>
      <c r="B1503" s="1" t="n">
        <v>44851</v>
      </c>
      <c r="C1503" s="1" t="n">
        <v>45952</v>
      </c>
      <c r="D1503" t="inlineStr">
        <is>
          <t>VÄSTRA GÖTALANDS LÄN</t>
        </is>
      </c>
      <c r="E1503" t="inlineStr">
        <is>
          <t>TRANEMO</t>
        </is>
      </c>
      <c r="G1503" t="n">
        <v>1</v>
      </c>
      <c r="H1503" t="n">
        <v>0</v>
      </c>
      <c r="I1503" t="n">
        <v>0</v>
      </c>
      <c r="J1503" t="n">
        <v>0</v>
      </c>
      <c r="K1503" t="n">
        <v>0</v>
      </c>
      <c r="L1503" t="n">
        <v>0</v>
      </c>
      <c r="M1503" t="n">
        <v>0</v>
      </c>
      <c r="N1503" t="n">
        <v>0</v>
      </c>
      <c r="O1503" t="n">
        <v>0</v>
      </c>
      <c r="P1503" t="n">
        <v>0</v>
      </c>
      <c r="Q1503" t="n">
        <v>0</v>
      </c>
      <c r="R1503" s="2" t="inlineStr"/>
    </row>
    <row r="1504" ht="15" customHeight="1">
      <c r="A1504" t="inlineStr">
        <is>
          <t>A 23024-2022</t>
        </is>
      </c>
      <c r="B1504" s="1" t="n">
        <v>44719.38436342592</v>
      </c>
      <c r="C1504" s="1" t="n">
        <v>45952</v>
      </c>
      <c r="D1504" t="inlineStr">
        <is>
          <t>VÄSTRA GÖTALANDS LÄN</t>
        </is>
      </c>
      <c r="E1504" t="inlineStr">
        <is>
          <t>TÖREBODA</t>
        </is>
      </c>
      <c r="G1504" t="n">
        <v>0.1</v>
      </c>
      <c r="H1504" t="n">
        <v>0</v>
      </c>
      <c r="I1504" t="n">
        <v>0</v>
      </c>
      <c r="J1504" t="n">
        <v>0</v>
      </c>
      <c r="K1504" t="n">
        <v>0</v>
      </c>
      <c r="L1504" t="n">
        <v>0</v>
      </c>
      <c r="M1504" t="n">
        <v>0</v>
      </c>
      <c r="N1504" t="n">
        <v>0</v>
      </c>
      <c r="O1504" t="n">
        <v>0</v>
      </c>
      <c r="P1504" t="n">
        <v>0</v>
      </c>
      <c r="Q1504" t="n">
        <v>0</v>
      </c>
      <c r="R1504" s="2" t="inlineStr"/>
    </row>
    <row r="1505" ht="15" customHeight="1">
      <c r="A1505" t="inlineStr">
        <is>
          <t>A 65674-2021</t>
        </is>
      </c>
      <c r="B1505" s="1" t="n">
        <v>44516</v>
      </c>
      <c r="C1505" s="1" t="n">
        <v>45952</v>
      </c>
      <c r="D1505" t="inlineStr">
        <is>
          <t>VÄSTRA GÖTALANDS LÄN</t>
        </is>
      </c>
      <c r="E1505" t="inlineStr">
        <is>
          <t>BENGTSFORS</t>
        </is>
      </c>
      <c r="G1505" t="n">
        <v>9.800000000000001</v>
      </c>
      <c r="H1505" t="n">
        <v>0</v>
      </c>
      <c r="I1505" t="n">
        <v>0</v>
      </c>
      <c r="J1505" t="n">
        <v>0</v>
      </c>
      <c r="K1505" t="n">
        <v>0</v>
      </c>
      <c r="L1505" t="n">
        <v>0</v>
      </c>
      <c r="M1505" t="n">
        <v>0</v>
      </c>
      <c r="N1505" t="n">
        <v>0</v>
      </c>
      <c r="O1505" t="n">
        <v>0</v>
      </c>
      <c r="P1505" t="n">
        <v>0</v>
      </c>
      <c r="Q1505" t="n">
        <v>0</v>
      </c>
      <c r="R1505" s="2" t="inlineStr"/>
    </row>
    <row r="1506" ht="15" customHeight="1">
      <c r="A1506" t="inlineStr">
        <is>
          <t>A 21021-2021</t>
        </is>
      </c>
      <c r="B1506" s="1" t="n">
        <v>44319.62640046296</v>
      </c>
      <c r="C1506" s="1" t="n">
        <v>45952</v>
      </c>
      <c r="D1506" t="inlineStr">
        <is>
          <t>VÄSTRA GÖTALANDS LÄN</t>
        </is>
      </c>
      <c r="E1506" t="inlineStr">
        <is>
          <t>LILLA EDET</t>
        </is>
      </c>
      <c r="G1506" t="n">
        <v>13.5</v>
      </c>
      <c r="H1506" t="n">
        <v>0</v>
      </c>
      <c r="I1506" t="n">
        <v>0</v>
      </c>
      <c r="J1506" t="n">
        <v>0</v>
      </c>
      <c r="K1506" t="n">
        <v>0</v>
      </c>
      <c r="L1506" t="n">
        <v>0</v>
      </c>
      <c r="M1506" t="n">
        <v>0</v>
      </c>
      <c r="N1506" t="n">
        <v>0</v>
      </c>
      <c r="O1506" t="n">
        <v>0</v>
      </c>
      <c r="P1506" t="n">
        <v>0</v>
      </c>
      <c r="Q1506" t="n">
        <v>0</v>
      </c>
      <c r="R1506" s="2" t="inlineStr"/>
    </row>
    <row r="1507" ht="15" customHeight="1">
      <c r="A1507" t="inlineStr">
        <is>
          <t>A 43661-2022</t>
        </is>
      </c>
      <c r="B1507" s="1" t="n">
        <v>44837</v>
      </c>
      <c r="C1507" s="1" t="n">
        <v>45952</v>
      </c>
      <c r="D1507" t="inlineStr">
        <is>
          <t>VÄSTRA GÖTALANDS LÄN</t>
        </is>
      </c>
      <c r="E1507" t="inlineStr">
        <is>
          <t>BORÅS</t>
        </is>
      </c>
      <c r="G1507" t="n">
        <v>0.6</v>
      </c>
      <c r="H1507" t="n">
        <v>0</v>
      </c>
      <c r="I1507" t="n">
        <v>0</v>
      </c>
      <c r="J1507" t="n">
        <v>0</v>
      </c>
      <c r="K1507" t="n">
        <v>0</v>
      </c>
      <c r="L1507" t="n">
        <v>0</v>
      </c>
      <c r="M1507" t="n">
        <v>0</v>
      </c>
      <c r="N1507" t="n">
        <v>0</v>
      </c>
      <c r="O1507" t="n">
        <v>0</v>
      </c>
      <c r="P1507" t="n">
        <v>0</v>
      </c>
      <c r="Q1507" t="n">
        <v>0</v>
      </c>
      <c r="R1507" s="2" t="inlineStr"/>
    </row>
    <row r="1508" ht="15" customHeight="1">
      <c r="A1508" t="inlineStr">
        <is>
          <t>A 25940-2022</t>
        </is>
      </c>
      <c r="B1508" s="1" t="n">
        <v>44734.40373842593</v>
      </c>
      <c r="C1508" s="1" t="n">
        <v>45952</v>
      </c>
      <c r="D1508" t="inlineStr">
        <is>
          <t>VÄSTRA GÖTALANDS LÄN</t>
        </is>
      </c>
      <c r="E1508" t="inlineStr">
        <is>
          <t>TRANEMO</t>
        </is>
      </c>
      <c r="G1508" t="n">
        <v>0.5</v>
      </c>
      <c r="H1508" t="n">
        <v>0</v>
      </c>
      <c r="I1508" t="n">
        <v>0</v>
      </c>
      <c r="J1508" t="n">
        <v>0</v>
      </c>
      <c r="K1508" t="n">
        <v>0</v>
      </c>
      <c r="L1508" t="n">
        <v>0</v>
      </c>
      <c r="M1508" t="n">
        <v>0</v>
      </c>
      <c r="N1508" t="n">
        <v>0</v>
      </c>
      <c r="O1508" t="n">
        <v>0</v>
      </c>
      <c r="P1508" t="n">
        <v>0</v>
      </c>
      <c r="Q1508" t="n">
        <v>0</v>
      </c>
      <c r="R1508" s="2" t="inlineStr"/>
    </row>
    <row r="1509" ht="15" customHeight="1">
      <c r="A1509" t="inlineStr">
        <is>
          <t>A 8915-2022</t>
        </is>
      </c>
      <c r="B1509" s="1" t="n">
        <v>44614</v>
      </c>
      <c r="C1509" s="1" t="n">
        <v>45952</v>
      </c>
      <c r="D1509" t="inlineStr">
        <is>
          <t>VÄSTRA GÖTALANDS LÄN</t>
        </is>
      </c>
      <c r="E1509" t="inlineStr">
        <is>
          <t>TÖREBODA</t>
        </is>
      </c>
      <c r="F1509" t="inlineStr">
        <is>
          <t>Kyrkan</t>
        </is>
      </c>
      <c r="G1509" t="n">
        <v>18.4</v>
      </c>
      <c r="H1509" t="n">
        <v>0</v>
      </c>
      <c r="I1509" t="n">
        <v>0</v>
      </c>
      <c r="J1509" t="n">
        <v>0</v>
      </c>
      <c r="K1509" t="n">
        <v>0</v>
      </c>
      <c r="L1509" t="n">
        <v>0</v>
      </c>
      <c r="M1509" t="n">
        <v>0</v>
      </c>
      <c r="N1509" t="n">
        <v>0</v>
      </c>
      <c r="O1509" t="n">
        <v>0</v>
      </c>
      <c r="P1509" t="n">
        <v>0</v>
      </c>
      <c r="Q1509" t="n">
        <v>0</v>
      </c>
      <c r="R1509" s="2" t="inlineStr"/>
    </row>
    <row r="1510" ht="15" customHeight="1">
      <c r="A1510" t="inlineStr">
        <is>
          <t>A 3678-2022</t>
        </is>
      </c>
      <c r="B1510" s="1" t="n">
        <v>44586.54900462963</v>
      </c>
      <c r="C1510" s="1" t="n">
        <v>45952</v>
      </c>
      <c r="D1510" t="inlineStr">
        <is>
          <t>VÄSTRA GÖTALANDS LÄN</t>
        </is>
      </c>
      <c r="E1510" t="inlineStr">
        <is>
          <t>MÖLNDAL</t>
        </is>
      </c>
      <c r="G1510" t="n">
        <v>1.2</v>
      </c>
      <c r="H1510" t="n">
        <v>0</v>
      </c>
      <c r="I1510" t="n">
        <v>0</v>
      </c>
      <c r="J1510" t="n">
        <v>0</v>
      </c>
      <c r="K1510" t="n">
        <v>0</v>
      </c>
      <c r="L1510" t="n">
        <v>0</v>
      </c>
      <c r="M1510" t="n">
        <v>0</v>
      </c>
      <c r="N1510" t="n">
        <v>0</v>
      </c>
      <c r="O1510" t="n">
        <v>0</v>
      </c>
      <c r="P1510" t="n">
        <v>0</v>
      </c>
      <c r="Q1510" t="n">
        <v>0</v>
      </c>
      <c r="R1510" s="2" t="inlineStr"/>
    </row>
    <row r="1511" ht="15" customHeight="1">
      <c r="A1511" t="inlineStr">
        <is>
          <t>A 34383-2022</t>
        </is>
      </c>
      <c r="B1511" s="1" t="n">
        <v>44792</v>
      </c>
      <c r="C1511" s="1" t="n">
        <v>45952</v>
      </c>
      <c r="D1511" t="inlineStr">
        <is>
          <t>VÄSTRA GÖTALANDS LÄN</t>
        </is>
      </c>
      <c r="E1511" t="inlineStr">
        <is>
          <t>VÄNERSBORG</t>
        </is>
      </c>
      <c r="G1511" t="n">
        <v>4</v>
      </c>
      <c r="H1511" t="n">
        <v>0</v>
      </c>
      <c r="I1511" t="n">
        <v>0</v>
      </c>
      <c r="J1511" t="n">
        <v>0</v>
      </c>
      <c r="K1511" t="n">
        <v>0</v>
      </c>
      <c r="L1511" t="n">
        <v>0</v>
      </c>
      <c r="M1511" t="n">
        <v>0</v>
      </c>
      <c r="N1511" t="n">
        <v>0</v>
      </c>
      <c r="O1511" t="n">
        <v>0</v>
      </c>
      <c r="P1511" t="n">
        <v>0</v>
      </c>
      <c r="Q1511" t="n">
        <v>0</v>
      </c>
      <c r="R1511" s="2" t="inlineStr"/>
    </row>
    <row r="1512" ht="15" customHeight="1">
      <c r="A1512" t="inlineStr">
        <is>
          <t>A 20681-2022</t>
        </is>
      </c>
      <c r="B1512" s="1" t="n">
        <v>44700.68586805555</v>
      </c>
      <c r="C1512" s="1" t="n">
        <v>45952</v>
      </c>
      <c r="D1512" t="inlineStr">
        <is>
          <t>VÄSTRA GÖTALANDS LÄN</t>
        </is>
      </c>
      <c r="E1512" t="inlineStr">
        <is>
          <t>LERUM</t>
        </is>
      </c>
      <c r="G1512" t="n">
        <v>1.3</v>
      </c>
      <c r="H1512" t="n">
        <v>0</v>
      </c>
      <c r="I1512" t="n">
        <v>0</v>
      </c>
      <c r="J1512" t="n">
        <v>0</v>
      </c>
      <c r="K1512" t="n">
        <v>0</v>
      </c>
      <c r="L1512" t="n">
        <v>0</v>
      </c>
      <c r="M1512" t="n">
        <v>0</v>
      </c>
      <c r="N1512" t="n">
        <v>0</v>
      </c>
      <c r="O1512" t="n">
        <v>0</v>
      </c>
      <c r="P1512" t="n">
        <v>0</v>
      </c>
      <c r="Q1512" t="n">
        <v>0</v>
      </c>
      <c r="R1512" s="2" t="inlineStr"/>
    </row>
    <row r="1513" ht="15" customHeight="1">
      <c r="A1513" t="inlineStr">
        <is>
          <t>A 51292-2022</t>
        </is>
      </c>
      <c r="B1513" s="1" t="n">
        <v>44868.88850694444</v>
      </c>
      <c r="C1513" s="1" t="n">
        <v>45952</v>
      </c>
      <c r="D1513" t="inlineStr">
        <is>
          <t>VÄSTRA GÖTALANDS LÄN</t>
        </is>
      </c>
      <c r="E1513" t="inlineStr">
        <is>
          <t>ULRICEHAMN</t>
        </is>
      </c>
      <c r="G1513" t="n">
        <v>0.5</v>
      </c>
      <c r="H1513" t="n">
        <v>0</v>
      </c>
      <c r="I1513" t="n">
        <v>0</v>
      </c>
      <c r="J1513" t="n">
        <v>0</v>
      </c>
      <c r="K1513" t="n">
        <v>0</v>
      </c>
      <c r="L1513" t="n">
        <v>0</v>
      </c>
      <c r="M1513" t="n">
        <v>0</v>
      </c>
      <c r="N1513" t="n">
        <v>0</v>
      </c>
      <c r="O1513" t="n">
        <v>0</v>
      </c>
      <c r="P1513" t="n">
        <v>0</v>
      </c>
      <c r="Q1513" t="n">
        <v>0</v>
      </c>
      <c r="R1513" s="2" t="inlineStr"/>
    </row>
    <row r="1514" ht="15" customHeight="1">
      <c r="A1514" t="inlineStr">
        <is>
          <t>A 48162-2022</t>
        </is>
      </c>
      <c r="B1514" s="1" t="n">
        <v>44858.36354166667</v>
      </c>
      <c r="C1514" s="1" t="n">
        <v>45952</v>
      </c>
      <c r="D1514" t="inlineStr">
        <is>
          <t>VÄSTRA GÖTALANDS LÄN</t>
        </is>
      </c>
      <c r="E1514" t="inlineStr">
        <is>
          <t>ULRICEHAMN</t>
        </is>
      </c>
      <c r="G1514" t="n">
        <v>1.2</v>
      </c>
      <c r="H1514" t="n">
        <v>0</v>
      </c>
      <c r="I1514" t="n">
        <v>0</v>
      </c>
      <c r="J1514" t="n">
        <v>0</v>
      </c>
      <c r="K1514" t="n">
        <v>0</v>
      </c>
      <c r="L1514" t="n">
        <v>0</v>
      </c>
      <c r="M1514" t="n">
        <v>0</v>
      </c>
      <c r="N1514" t="n">
        <v>0</v>
      </c>
      <c r="O1514" t="n">
        <v>0</v>
      </c>
      <c r="P1514" t="n">
        <v>0</v>
      </c>
      <c r="Q1514" t="n">
        <v>0</v>
      </c>
      <c r="R1514" s="2" t="inlineStr"/>
    </row>
    <row r="1515" ht="15" customHeight="1">
      <c r="A1515" t="inlineStr">
        <is>
          <t>A 52537-2022</t>
        </is>
      </c>
      <c r="B1515" s="1" t="n">
        <v>44874</v>
      </c>
      <c r="C1515" s="1" t="n">
        <v>45952</v>
      </c>
      <c r="D1515" t="inlineStr">
        <is>
          <t>VÄSTRA GÖTALANDS LÄN</t>
        </is>
      </c>
      <c r="E1515" t="inlineStr">
        <is>
          <t>SKARA</t>
        </is>
      </c>
      <c r="G1515" t="n">
        <v>2.1</v>
      </c>
      <c r="H1515" t="n">
        <v>0</v>
      </c>
      <c r="I1515" t="n">
        <v>0</v>
      </c>
      <c r="J1515" t="n">
        <v>0</v>
      </c>
      <c r="K1515" t="n">
        <v>0</v>
      </c>
      <c r="L1515" t="n">
        <v>0</v>
      </c>
      <c r="M1515" t="n">
        <v>0</v>
      </c>
      <c r="N1515" t="n">
        <v>0</v>
      </c>
      <c r="O1515" t="n">
        <v>0</v>
      </c>
      <c r="P1515" t="n">
        <v>0</v>
      </c>
      <c r="Q1515" t="n">
        <v>0</v>
      </c>
      <c r="R1515" s="2" t="inlineStr"/>
    </row>
    <row r="1516" ht="15" customHeight="1">
      <c r="A1516" t="inlineStr">
        <is>
          <t>A 40201-2021</t>
        </is>
      </c>
      <c r="B1516" s="1" t="n">
        <v>44418</v>
      </c>
      <c r="C1516" s="1" t="n">
        <v>45952</v>
      </c>
      <c r="D1516" t="inlineStr">
        <is>
          <t>VÄSTRA GÖTALANDS LÄN</t>
        </is>
      </c>
      <c r="E1516" t="inlineStr">
        <is>
          <t>BOLLEBYGD</t>
        </is>
      </c>
      <c r="G1516" t="n">
        <v>1.4</v>
      </c>
      <c r="H1516" t="n">
        <v>0</v>
      </c>
      <c r="I1516" t="n">
        <v>0</v>
      </c>
      <c r="J1516" t="n">
        <v>0</v>
      </c>
      <c r="K1516" t="n">
        <v>0</v>
      </c>
      <c r="L1516" t="n">
        <v>0</v>
      </c>
      <c r="M1516" t="n">
        <v>0</v>
      </c>
      <c r="N1516" t="n">
        <v>0</v>
      </c>
      <c r="O1516" t="n">
        <v>0</v>
      </c>
      <c r="P1516" t="n">
        <v>0</v>
      </c>
      <c r="Q1516" t="n">
        <v>0</v>
      </c>
      <c r="R1516" s="2" t="inlineStr"/>
    </row>
    <row r="1517" ht="15" customHeight="1">
      <c r="A1517" t="inlineStr">
        <is>
          <t>A 55792-2020</t>
        </is>
      </c>
      <c r="B1517" s="1" t="n">
        <v>44131</v>
      </c>
      <c r="C1517" s="1" t="n">
        <v>45952</v>
      </c>
      <c r="D1517" t="inlineStr">
        <is>
          <t>VÄSTRA GÖTALANDS LÄN</t>
        </is>
      </c>
      <c r="E1517" t="inlineStr">
        <is>
          <t>MELLERUD</t>
        </is>
      </c>
      <c r="G1517" t="n">
        <v>3</v>
      </c>
      <c r="H1517" t="n">
        <v>0</v>
      </c>
      <c r="I1517" t="n">
        <v>0</v>
      </c>
      <c r="J1517" t="n">
        <v>0</v>
      </c>
      <c r="K1517" t="n">
        <v>0</v>
      </c>
      <c r="L1517" t="n">
        <v>0</v>
      </c>
      <c r="M1517" t="n">
        <v>0</v>
      </c>
      <c r="N1517" t="n">
        <v>0</v>
      </c>
      <c r="O1517" t="n">
        <v>0</v>
      </c>
      <c r="P1517" t="n">
        <v>0</v>
      </c>
      <c r="Q1517" t="n">
        <v>0</v>
      </c>
      <c r="R1517" s="2" t="inlineStr"/>
    </row>
    <row r="1518" ht="15" customHeight="1">
      <c r="A1518" t="inlineStr">
        <is>
          <t>A 38067-2022</t>
        </is>
      </c>
      <c r="B1518" s="1" t="n">
        <v>44811</v>
      </c>
      <c r="C1518" s="1" t="n">
        <v>45952</v>
      </c>
      <c r="D1518" t="inlineStr">
        <is>
          <t>VÄSTRA GÖTALANDS LÄN</t>
        </is>
      </c>
      <c r="E1518" t="inlineStr">
        <is>
          <t>MARK</t>
        </is>
      </c>
      <c r="G1518" t="n">
        <v>0.5</v>
      </c>
      <c r="H1518" t="n">
        <v>0</v>
      </c>
      <c r="I1518" t="n">
        <v>0</v>
      </c>
      <c r="J1518" t="n">
        <v>0</v>
      </c>
      <c r="K1518" t="n">
        <v>0</v>
      </c>
      <c r="L1518" t="n">
        <v>0</v>
      </c>
      <c r="M1518" t="n">
        <v>0</v>
      </c>
      <c r="N1518" t="n">
        <v>0</v>
      </c>
      <c r="O1518" t="n">
        <v>0</v>
      </c>
      <c r="P1518" t="n">
        <v>0</v>
      </c>
      <c r="Q1518" t="n">
        <v>0</v>
      </c>
      <c r="R1518" s="2" t="inlineStr"/>
    </row>
    <row r="1519" ht="15" customHeight="1">
      <c r="A1519" t="inlineStr">
        <is>
          <t>A 25428-2021</t>
        </is>
      </c>
      <c r="B1519" s="1" t="n">
        <v>44342</v>
      </c>
      <c r="C1519" s="1" t="n">
        <v>45952</v>
      </c>
      <c r="D1519" t="inlineStr">
        <is>
          <t>VÄSTRA GÖTALANDS LÄN</t>
        </is>
      </c>
      <c r="E1519" t="inlineStr">
        <is>
          <t>GULLSPÅNG</t>
        </is>
      </c>
      <c r="G1519" t="n">
        <v>6.5</v>
      </c>
      <c r="H1519" t="n">
        <v>0</v>
      </c>
      <c r="I1519" t="n">
        <v>0</v>
      </c>
      <c r="J1519" t="n">
        <v>0</v>
      </c>
      <c r="K1519" t="n">
        <v>0</v>
      </c>
      <c r="L1519" t="n">
        <v>0</v>
      </c>
      <c r="M1519" t="n">
        <v>0</v>
      </c>
      <c r="N1519" t="n">
        <v>0</v>
      </c>
      <c r="O1519" t="n">
        <v>0</v>
      </c>
      <c r="P1519" t="n">
        <v>0</v>
      </c>
      <c r="Q1519" t="n">
        <v>0</v>
      </c>
      <c r="R1519" s="2" t="inlineStr"/>
    </row>
    <row r="1520" ht="15" customHeight="1">
      <c r="A1520" t="inlineStr">
        <is>
          <t>A 8786-2022</t>
        </is>
      </c>
      <c r="B1520" s="1" t="n">
        <v>44614</v>
      </c>
      <c r="C1520" s="1" t="n">
        <v>45952</v>
      </c>
      <c r="D1520" t="inlineStr">
        <is>
          <t>VÄSTRA GÖTALANDS LÄN</t>
        </is>
      </c>
      <c r="E1520" t="inlineStr">
        <is>
          <t>GÖTENE</t>
        </is>
      </c>
      <c r="F1520" t="inlineStr">
        <is>
          <t>Kyrkan</t>
        </is>
      </c>
      <c r="G1520" t="n">
        <v>8.1</v>
      </c>
      <c r="H1520" t="n">
        <v>0</v>
      </c>
      <c r="I1520" t="n">
        <v>0</v>
      </c>
      <c r="J1520" t="n">
        <v>0</v>
      </c>
      <c r="K1520" t="n">
        <v>0</v>
      </c>
      <c r="L1520" t="n">
        <v>0</v>
      </c>
      <c r="M1520" t="n">
        <v>0</v>
      </c>
      <c r="N1520" t="n">
        <v>0</v>
      </c>
      <c r="O1520" t="n">
        <v>0</v>
      </c>
      <c r="P1520" t="n">
        <v>0</v>
      </c>
      <c r="Q1520" t="n">
        <v>0</v>
      </c>
      <c r="R1520" s="2" t="inlineStr"/>
    </row>
    <row r="1521" ht="15" customHeight="1">
      <c r="A1521" t="inlineStr">
        <is>
          <t>A 55771-2020</t>
        </is>
      </c>
      <c r="B1521" s="1" t="n">
        <v>44132</v>
      </c>
      <c r="C1521" s="1" t="n">
        <v>45952</v>
      </c>
      <c r="D1521" t="inlineStr">
        <is>
          <t>VÄSTRA GÖTALANDS LÄN</t>
        </is>
      </c>
      <c r="E1521" t="inlineStr">
        <is>
          <t>VÅRGÅRDA</t>
        </is>
      </c>
      <c r="G1521" t="n">
        <v>0.5</v>
      </c>
      <c r="H1521" t="n">
        <v>0</v>
      </c>
      <c r="I1521" t="n">
        <v>0</v>
      </c>
      <c r="J1521" t="n">
        <v>0</v>
      </c>
      <c r="K1521" t="n">
        <v>0</v>
      </c>
      <c r="L1521" t="n">
        <v>0</v>
      </c>
      <c r="M1521" t="n">
        <v>0</v>
      </c>
      <c r="N1521" t="n">
        <v>0</v>
      </c>
      <c r="O1521" t="n">
        <v>0</v>
      </c>
      <c r="P1521" t="n">
        <v>0</v>
      </c>
      <c r="Q1521" t="n">
        <v>0</v>
      </c>
      <c r="R1521" s="2" t="inlineStr"/>
    </row>
    <row r="1522" ht="15" customHeight="1">
      <c r="A1522" t="inlineStr">
        <is>
          <t>A 8853-2022</t>
        </is>
      </c>
      <c r="B1522" s="1" t="n">
        <v>44614</v>
      </c>
      <c r="C1522" s="1" t="n">
        <v>45952</v>
      </c>
      <c r="D1522" t="inlineStr">
        <is>
          <t>VÄSTRA GÖTALANDS LÄN</t>
        </is>
      </c>
      <c r="E1522" t="inlineStr">
        <is>
          <t>MARIESTAD</t>
        </is>
      </c>
      <c r="F1522" t="inlineStr">
        <is>
          <t>Kyrkan</t>
        </is>
      </c>
      <c r="G1522" t="n">
        <v>1.9</v>
      </c>
      <c r="H1522" t="n">
        <v>0</v>
      </c>
      <c r="I1522" t="n">
        <v>0</v>
      </c>
      <c r="J1522" t="n">
        <v>0</v>
      </c>
      <c r="K1522" t="n">
        <v>0</v>
      </c>
      <c r="L1522" t="n">
        <v>0</v>
      </c>
      <c r="M1522" t="n">
        <v>0</v>
      </c>
      <c r="N1522" t="n">
        <v>0</v>
      </c>
      <c r="O1522" t="n">
        <v>0</v>
      </c>
      <c r="P1522" t="n">
        <v>0</v>
      </c>
      <c r="Q1522" t="n">
        <v>0</v>
      </c>
      <c r="R1522" s="2" t="inlineStr"/>
    </row>
    <row r="1523" ht="15" customHeight="1">
      <c r="A1523" t="inlineStr">
        <is>
          <t>A 8858-2022</t>
        </is>
      </c>
      <c r="B1523" s="1" t="n">
        <v>44614</v>
      </c>
      <c r="C1523" s="1" t="n">
        <v>45952</v>
      </c>
      <c r="D1523" t="inlineStr">
        <is>
          <t>VÄSTRA GÖTALANDS LÄN</t>
        </is>
      </c>
      <c r="E1523" t="inlineStr">
        <is>
          <t>TÖREBODA</t>
        </is>
      </c>
      <c r="F1523" t="inlineStr">
        <is>
          <t>Kyrkan</t>
        </is>
      </c>
      <c r="G1523" t="n">
        <v>13.5</v>
      </c>
      <c r="H1523" t="n">
        <v>0</v>
      </c>
      <c r="I1523" t="n">
        <v>0</v>
      </c>
      <c r="J1523" t="n">
        <v>0</v>
      </c>
      <c r="K1523" t="n">
        <v>0</v>
      </c>
      <c r="L1523" t="n">
        <v>0</v>
      </c>
      <c r="M1523" t="n">
        <v>0</v>
      </c>
      <c r="N1523" t="n">
        <v>0</v>
      </c>
      <c r="O1523" t="n">
        <v>0</v>
      </c>
      <c r="P1523" t="n">
        <v>0</v>
      </c>
      <c r="Q1523" t="n">
        <v>0</v>
      </c>
      <c r="R1523" s="2" t="inlineStr"/>
    </row>
    <row r="1524" ht="15" customHeight="1">
      <c r="A1524" t="inlineStr">
        <is>
          <t>A 22771-2021</t>
        </is>
      </c>
      <c r="B1524" s="1" t="n">
        <v>44327</v>
      </c>
      <c r="C1524" s="1" t="n">
        <v>45952</v>
      </c>
      <c r="D1524" t="inlineStr">
        <is>
          <t>VÄSTRA GÖTALANDS LÄN</t>
        </is>
      </c>
      <c r="E1524" t="inlineStr">
        <is>
          <t>TANUM</t>
        </is>
      </c>
      <c r="G1524" t="n">
        <v>5.6</v>
      </c>
      <c r="H1524" t="n">
        <v>0</v>
      </c>
      <c r="I1524" t="n">
        <v>0</v>
      </c>
      <c r="J1524" t="n">
        <v>0</v>
      </c>
      <c r="K1524" t="n">
        <v>0</v>
      </c>
      <c r="L1524" t="n">
        <v>0</v>
      </c>
      <c r="M1524" t="n">
        <v>0</v>
      </c>
      <c r="N1524" t="n">
        <v>0</v>
      </c>
      <c r="O1524" t="n">
        <v>0</v>
      </c>
      <c r="P1524" t="n">
        <v>0</v>
      </c>
      <c r="Q1524" t="n">
        <v>0</v>
      </c>
      <c r="R1524" s="2" t="inlineStr"/>
    </row>
    <row r="1525" ht="15" customHeight="1">
      <c r="A1525" t="inlineStr">
        <is>
          <t>A 63200-2021</t>
        </is>
      </c>
      <c r="B1525" s="1" t="n">
        <v>44507.76953703703</v>
      </c>
      <c r="C1525" s="1" t="n">
        <v>45952</v>
      </c>
      <c r="D1525" t="inlineStr">
        <is>
          <t>VÄSTRA GÖTALANDS LÄN</t>
        </is>
      </c>
      <c r="E1525" t="inlineStr">
        <is>
          <t>GÖTENE</t>
        </is>
      </c>
      <c r="G1525" t="n">
        <v>1.3</v>
      </c>
      <c r="H1525" t="n">
        <v>0</v>
      </c>
      <c r="I1525" t="n">
        <v>0</v>
      </c>
      <c r="J1525" t="n">
        <v>0</v>
      </c>
      <c r="K1525" t="n">
        <v>0</v>
      </c>
      <c r="L1525" t="n">
        <v>0</v>
      </c>
      <c r="M1525" t="n">
        <v>0</v>
      </c>
      <c r="N1525" t="n">
        <v>0</v>
      </c>
      <c r="O1525" t="n">
        <v>0</v>
      </c>
      <c r="P1525" t="n">
        <v>0</v>
      </c>
      <c r="Q1525" t="n">
        <v>0</v>
      </c>
      <c r="R1525" s="2" t="inlineStr"/>
    </row>
    <row r="1526" ht="15" customHeight="1">
      <c r="A1526" t="inlineStr">
        <is>
          <t>A 55649-2020</t>
        </is>
      </c>
      <c r="B1526" s="1" t="n">
        <v>44131</v>
      </c>
      <c r="C1526" s="1" t="n">
        <v>45952</v>
      </c>
      <c r="D1526" t="inlineStr">
        <is>
          <t>VÄSTRA GÖTALANDS LÄN</t>
        </is>
      </c>
      <c r="E1526" t="inlineStr">
        <is>
          <t>LERUM</t>
        </is>
      </c>
      <c r="G1526" t="n">
        <v>1.9</v>
      </c>
      <c r="H1526" t="n">
        <v>0</v>
      </c>
      <c r="I1526" t="n">
        <v>0</v>
      </c>
      <c r="J1526" t="n">
        <v>0</v>
      </c>
      <c r="K1526" t="n">
        <v>0</v>
      </c>
      <c r="L1526" t="n">
        <v>0</v>
      </c>
      <c r="M1526" t="n">
        <v>0</v>
      </c>
      <c r="N1526" t="n">
        <v>0</v>
      </c>
      <c r="O1526" t="n">
        <v>0</v>
      </c>
      <c r="P1526" t="n">
        <v>0</v>
      </c>
      <c r="Q1526" t="n">
        <v>0</v>
      </c>
      <c r="R1526" s="2" t="inlineStr"/>
    </row>
    <row r="1527" ht="15" customHeight="1">
      <c r="A1527" t="inlineStr">
        <is>
          <t>A 54797-2020</t>
        </is>
      </c>
      <c r="B1527" s="1" t="n">
        <v>44127</v>
      </c>
      <c r="C1527" s="1" t="n">
        <v>45952</v>
      </c>
      <c r="D1527" t="inlineStr">
        <is>
          <t>VÄSTRA GÖTALANDS LÄN</t>
        </is>
      </c>
      <c r="E1527" t="inlineStr">
        <is>
          <t>LERUM</t>
        </is>
      </c>
      <c r="G1527" t="n">
        <v>1.7</v>
      </c>
      <c r="H1527" t="n">
        <v>0</v>
      </c>
      <c r="I1527" t="n">
        <v>0</v>
      </c>
      <c r="J1527" t="n">
        <v>0</v>
      </c>
      <c r="K1527" t="n">
        <v>0</v>
      </c>
      <c r="L1527" t="n">
        <v>0</v>
      </c>
      <c r="M1527" t="n">
        <v>0</v>
      </c>
      <c r="N1527" t="n">
        <v>0</v>
      </c>
      <c r="O1527" t="n">
        <v>0</v>
      </c>
      <c r="P1527" t="n">
        <v>0</v>
      </c>
      <c r="Q1527" t="n">
        <v>0</v>
      </c>
      <c r="R1527" s="2" t="inlineStr"/>
    </row>
    <row r="1528" ht="15" customHeight="1">
      <c r="A1528" t="inlineStr">
        <is>
          <t>A 12367-2022</t>
        </is>
      </c>
      <c r="B1528" s="1" t="n">
        <v>44637</v>
      </c>
      <c r="C1528" s="1" t="n">
        <v>45952</v>
      </c>
      <c r="D1528" t="inlineStr">
        <is>
          <t>VÄSTRA GÖTALANDS LÄN</t>
        </is>
      </c>
      <c r="E1528" t="inlineStr">
        <is>
          <t>BOLLEBYGD</t>
        </is>
      </c>
      <c r="G1528" t="n">
        <v>0.6</v>
      </c>
      <c r="H1528" t="n">
        <v>0</v>
      </c>
      <c r="I1528" t="n">
        <v>0</v>
      </c>
      <c r="J1528" t="n">
        <v>0</v>
      </c>
      <c r="K1528" t="n">
        <v>0</v>
      </c>
      <c r="L1528" t="n">
        <v>0</v>
      </c>
      <c r="M1528" t="n">
        <v>0</v>
      </c>
      <c r="N1528" t="n">
        <v>0</v>
      </c>
      <c r="O1528" t="n">
        <v>0</v>
      </c>
      <c r="P1528" t="n">
        <v>0</v>
      </c>
      <c r="Q1528" t="n">
        <v>0</v>
      </c>
      <c r="R1528" s="2" t="inlineStr"/>
    </row>
    <row r="1529" ht="15" customHeight="1">
      <c r="A1529" t="inlineStr">
        <is>
          <t>A 33822-2021</t>
        </is>
      </c>
      <c r="B1529" s="1" t="n">
        <v>44378</v>
      </c>
      <c r="C1529" s="1" t="n">
        <v>45952</v>
      </c>
      <c r="D1529" t="inlineStr">
        <is>
          <t>VÄSTRA GÖTALANDS LÄN</t>
        </is>
      </c>
      <c r="E1529" t="inlineStr">
        <is>
          <t>VARA</t>
        </is>
      </c>
      <c r="G1529" t="n">
        <v>1.5</v>
      </c>
      <c r="H1529" t="n">
        <v>0</v>
      </c>
      <c r="I1529" t="n">
        <v>0</v>
      </c>
      <c r="J1529" t="n">
        <v>0</v>
      </c>
      <c r="K1529" t="n">
        <v>0</v>
      </c>
      <c r="L1529" t="n">
        <v>0</v>
      </c>
      <c r="M1529" t="n">
        <v>0</v>
      </c>
      <c r="N1529" t="n">
        <v>0</v>
      </c>
      <c r="O1529" t="n">
        <v>0</v>
      </c>
      <c r="P1529" t="n">
        <v>0</v>
      </c>
      <c r="Q1529" t="n">
        <v>0</v>
      </c>
      <c r="R1529" s="2" t="inlineStr"/>
    </row>
    <row r="1530" ht="15" customHeight="1">
      <c r="A1530" t="inlineStr">
        <is>
          <t>A 39299-2022</t>
        </is>
      </c>
      <c r="B1530" s="1" t="n">
        <v>44817</v>
      </c>
      <c r="C1530" s="1" t="n">
        <v>45952</v>
      </c>
      <c r="D1530" t="inlineStr">
        <is>
          <t>VÄSTRA GÖTALANDS LÄN</t>
        </is>
      </c>
      <c r="E1530" t="inlineStr">
        <is>
          <t>ALINGSÅS</t>
        </is>
      </c>
      <c r="G1530" t="n">
        <v>5.6</v>
      </c>
      <c r="H1530" t="n">
        <v>0</v>
      </c>
      <c r="I1530" t="n">
        <v>0</v>
      </c>
      <c r="J1530" t="n">
        <v>0</v>
      </c>
      <c r="K1530" t="n">
        <v>0</v>
      </c>
      <c r="L1530" t="n">
        <v>0</v>
      </c>
      <c r="M1530" t="n">
        <v>0</v>
      </c>
      <c r="N1530" t="n">
        <v>0</v>
      </c>
      <c r="O1530" t="n">
        <v>0</v>
      </c>
      <c r="P1530" t="n">
        <v>0</v>
      </c>
      <c r="Q1530" t="n">
        <v>0</v>
      </c>
      <c r="R1530" s="2" t="inlineStr"/>
    </row>
    <row r="1531" ht="15" customHeight="1">
      <c r="A1531" t="inlineStr">
        <is>
          <t>A 55366-2020</t>
        </is>
      </c>
      <c r="B1531" s="1" t="n">
        <v>44131</v>
      </c>
      <c r="C1531" s="1" t="n">
        <v>45952</v>
      </c>
      <c r="D1531" t="inlineStr">
        <is>
          <t>VÄSTRA GÖTALANDS LÄN</t>
        </is>
      </c>
      <c r="E1531" t="inlineStr">
        <is>
          <t>GRÄSTORP</t>
        </is>
      </c>
      <c r="G1531" t="n">
        <v>1.8</v>
      </c>
      <c r="H1531" t="n">
        <v>0</v>
      </c>
      <c r="I1531" t="n">
        <v>0</v>
      </c>
      <c r="J1531" t="n">
        <v>0</v>
      </c>
      <c r="K1531" t="n">
        <v>0</v>
      </c>
      <c r="L1531" t="n">
        <v>0</v>
      </c>
      <c r="M1531" t="n">
        <v>0</v>
      </c>
      <c r="N1531" t="n">
        <v>0</v>
      </c>
      <c r="O1531" t="n">
        <v>0</v>
      </c>
      <c r="P1531" t="n">
        <v>0</v>
      </c>
      <c r="Q1531" t="n">
        <v>0</v>
      </c>
      <c r="R1531" s="2" t="inlineStr"/>
    </row>
    <row r="1532" ht="15" customHeight="1">
      <c r="A1532" t="inlineStr">
        <is>
          <t>A 34145-2021</t>
        </is>
      </c>
      <c r="B1532" s="1" t="n">
        <v>44379.47923611111</v>
      </c>
      <c r="C1532" s="1" t="n">
        <v>45952</v>
      </c>
      <c r="D1532" t="inlineStr">
        <is>
          <t>VÄSTRA GÖTALANDS LÄN</t>
        </is>
      </c>
      <c r="E1532" t="inlineStr">
        <is>
          <t>TÖREBODA</t>
        </is>
      </c>
      <c r="G1532" t="n">
        <v>3.5</v>
      </c>
      <c r="H1532" t="n">
        <v>0</v>
      </c>
      <c r="I1532" t="n">
        <v>0</v>
      </c>
      <c r="J1532" t="n">
        <v>0</v>
      </c>
      <c r="K1532" t="n">
        <v>0</v>
      </c>
      <c r="L1532" t="n">
        <v>0</v>
      </c>
      <c r="M1532" t="n">
        <v>0</v>
      </c>
      <c r="N1532" t="n">
        <v>0</v>
      </c>
      <c r="O1532" t="n">
        <v>0</v>
      </c>
      <c r="P1532" t="n">
        <v>0</v>
      </c>
      <c r="Q1532" t="n">
        <v>0</v>
      </c>
      <c r="R1532" s="2" t="inlineStr"/>
    </row>
    <row r="1533" ht="15" customHeight="1">
      <c r="A1533" t="inlineStr">
        <is>
          <t>A 34179-2021</t>
        </is>
      </c>
      <c r="B1533" s="1" t="n">
        <v>44379</v>
      </c>
      <c r="C1533" s="1" t="n">
        <v>45952</v>
      </c>
      <c r="D1533" t="inlineStr">
        <is>
          <t>VÄSTRA GÖTALANDS LÄN</t>
        </is>
      </c>
      <c r="E1533" t="inlineStr">
        <is>
          <t>GULLSPÅNG</t>
        </is>
      </c>
      <c r="G1533" t="n">
        <v>1.1</v>
      </c>
      <c r="H1533" t="n">
        <v>0</v>
      </c>
      <c r="I1533" t="n">
        <v>0</v>
      </c>
      <c r="J1533" t="n">
        <v>0</v>
      </c>
      <c r="K1533" t="n">
        <v>0</v>
      </c>
      <c r="L1533" t="n">
        <v>0</v>
      </c>
      <c r="M1533" t="n">
        <v>0</v>
      </c>
      <c r="N1533" t="n">
        <v>0</v>
      </c>
      <c r="O1533" t="n">
        <v>0</v>
      </c>
      <c r="P1533" t="n">
        <v>0</v>
      </c>
      <c r="Q1533" t="n">
        <v>0</v>
      </c>
      <c r="R1533" s="2" t="inlineStr"/>
    </row>
    <row r="1534" ht="15" customHeight="1">
      <c r="A1534" t="inlineStr">
        <is>
          <t>A 29176-2021</t>
        </is>
      </c>
      <c r="B1534" s="1" t="n">
        <v>44358.70075231481</v>
      </c>
      <c r="C1534" s="1" t="n">
        <v>45952</v>
      </c>
      <c r="D1534" t="inlineStr">
        <is>
          <t>VÄSTRA GÖTALANDS LÄN</t>
        </is>
      </c>
      <c r="E1534" t="inlineStr">
        <is>
          <t>LERUM</t>
        </is>
      </c>
      <c r="G1534" t="n">
        <v>3.6</v>
      </c>
      <c r="H1534" t="n">
        <v>0</v>
      </c>
      <c r="I1534" t="n">
        <v>0</v>
      </c>
      <c r="J1534" t="n">
        <v>0</v>
      </c>
      <c r="K1534" t="n">
        <v>0</v>
      </c>
      <c r="L1534" t="n">
        <v>0</v>
      </c>
      <c r="M1534" t="n">
        <v>0</v>
      </c>
      <c r="N1534" t="n">
        <v>0</v>
      </c>
      <c r="O1534" t="n">
        <v>0</v>
      </c>
      <c r="P1534" t="n">
        <v>0</v>
      </c>
      <c r="Q1534" t="n">
        <v>0</v>
      </c>
      <c r="R1534" s="2" t="inlineStr"/>
    </row>
    <row r="1535" ht="15" customHeight="1">
      <c r="A1535" t="inlineStr">
        <is>
          <t>A 3642-2022</t>
        </is>
      </c>
      <c r="B1535" s="1" t="n">
        <v>44586</v>
      </c>
      <c r="C1535" s="1" t="n">
        <v>45952</v>
      </c>
      <c r="D1535" t="inlineStr">
        <is>
          <t>VÄSTRA GÖTALANDS LÄN</t>
        </is>
      </c>
      <c r="E1535" t="inlineStr">
        <is>
          <t>BORÅS</t>
        </is>
      </c>
      <c r="G1535" t="n">
        <v>1.2</v>
      </c>
      <c r="H1535" t="n">
        <v>0</v>
      </c>
      <c r="I1535" t="n">
        <v>0</v>
      </c>
      <c r="J1535" t="n">
        <v>0</v>
      </c>
      <c r="K1535" t="n">
        <v>0</v>
      </c>
      <c r="L1535" t="n">
        <v>0</v>
      </c>
      <c r="M1535" t="n">
        <v>0</v>
      </c>
      <c r="N1535" t="n">
        <v>0</v>
      </c>
      <c r="O1535" t="n">
        <v>0</v>
      </c>
      <c r="P1535" t="n">
        <v>0</v>
      </c>
      <c r="Q1535" t="n">
        <v>0</v>
      </c>
      <c r="R1535" s="2" t="inlineStr"/>
    </row>
    <row r="1536" ht="15" customHeight="1">
      <c r="A1536" t="inlineStr">
        <is>
          <t>A 29287-2021</t>
        </is>
      </c>
      <c r="B1536" s="1" t="n">
        <v>44361.37475694445</v>
      </c>
      <c r="C1536" s="1" t="n">
        <v>45952</v>
      </c>
      <c r="D1536" t="inlineStr">
        <is>
          <t>VÄSTRA GÖTALANDS LÄN</t>
        </is>
      </c>
      <c r="E1536" t="inlineStr">
        <is>
          <t>SVENLJUNGA</t>
        </is>
      </c>
      <c r="G1536" t="n">
        <v>0.7</v>
      </c>
      <c r="H1536" t="n">
        <v>0</v>
      </c>
      <c r="I1536" t="n">
        <v>0</v>
      </c>
      <c r="J1536" t="n">
        <v>0</v>
      </c>
      <c r="K1536" t="n">
        <v>0</v>
      </c>
      <c r="L1536" t="n">
        <v>0</v>
      </c>
      <c r="M1536" t="n">
        <v>0</v>
      </c>
      <c r="N1536" t="n">
        <v>0</v>
      </c>
      <c r="O1536" t="n">
        <v>0</v>
      </c>
      <c r="P1536" t="n">
        <v>0</v>
      </c>
      <c r="Q1536" t="n">
        <v>0</v>
      </c>
      <c r="R1536" s="2" t="inlineStr"/>
    </row>
    <row r="1537" ht="15" customHeight="1">
      <c r="A1537" t="inlineStr">
        <is>
          <t>A 21578-2021</t>
        </is>
      </c>
      <c r="B1537" s="1" t="n">
        <v>44321.65381944444</v>
      </c>
      <c r="C1537" s="1" t="n">
        <v>45952</v>
      </c>
      <c r="D1537" t="inlineStr">
        <is>
          <t>VÄSTRA GÖTALANDS LÄN</t>
        </is>
      </c>
      <c r="E1537" t="inlineStr">
        <is>
          <t>HÄRRYDA</t>
        </is>
      </c>
      <c r="G1537" t="n">
        <v>3</v>
      </c>
      <c r="H1537" t="n">
        <v>0</v>
      </c>
      <c r="I1537" t="n">
        <v>0</v>
      </c>
      <c r="J1537" t="n">
        <v>0</v>
      </c>
      <c r="K1537" t="n">
        <v>0</v>
      </c>
      <c r="L1537" t="n">
        <v>0</v>
      </c>
      <c r="M1537" t="n">
        <v>0</v>
      </c>
      <c r="N1537" t="n">
        <v>0</v>
      </c>
      <c r="O1537" t="n">
        <v>0</v>
      </c>
      <c r="P1537" t="n">
        <v>0</v>
      </c>
      <c r="Q1537" t="n">
        <v>0</v>
      </c>
      <c r="R1537" s="2" t="inlineStr"/>
    </row>
    <row r="1538" ht="15" customHeight="1">
      <c r="A1538" t="inlineStr">
        <is>
          <t>A 6591-2022</t>
        </is>
      </c>
      <c r="B1538" s="1" t="n">
        <v>44601.65090277778</v>
      </c>
      <c r="C1538" s="1" t="n">
        <v>45952</v>
      </c>
      <c r="D1538" t="inlineStr">
        <is>
          <t>VÄSTRA GÖTALANDS LÄN</t>
        </is>
      </c>
      <c r="E1538" t="inlineStr">
        <is>
          <t>TROLLHÄTTAN</t>
        </is>
      </c>
      <c r="G1538" t="n">
        <v>9.800000000000001</v>
      </c>
      <c r="H1538" t="n">
        <v>0</v>
      </c>
      <c r="I1538" t="n">
        <v>0</v>
      </c>
      <c r="J1538" t="n">
        <v>0</v>
      </c>
      <c r="K1538" t="n">
        <v>0</v>
      </c>
      <c r="L1538" t="n">
        <v>0</v>
      </c>
      <c r="M1538" t="n">
        <v>0</v>
      </c>
      <c r="N1538" t="n">
        <v>0</v>
      </c>
      <c r="O1538" t="n">
        <v>0</v>
      </c>
      <c r="P1538" t="n">
        <v>0</v>
      </c>
      <c r="Q1538" t="n">
        <v>0</v>
      </c>
      <c r="R1538" s="2" t="inlineStr"/>
    </row>
    <row r="1539" ht="15" customHeight="1">
      <c r="A1539" t="inlineStr">
        <is>
          <t>A 6657-2022</t>
        </is>
      </c>
      <c r="B1539" s="1" t="n">
        <v>44602.34833333334</v>
      </c>
      <c r="C1539" s="1" t="n">
        <v>45952</v>
      </c>
      <c r="D1539" t="inlineStr">
        <is>
          <t>VÄSTRA GÖTALANDS LÄN</t>
        </is>
      </c>
      <c r="E1539" t="inlineStr">
        <is>
          <t>FÄRGELANDA</t>
        </is>
      </c>
      <c r="G1539" t="n">
        <v>4.5</v>
      </c>
      <c r="H1539" t="n">
        <v>0</v>
      </c>
      <c r="I1539" t="n">
        <v>0</v>
      </c>
      <c r="J1539" t="n">
        <v>0</v>
      </c>
      <c r="K1539" t="n">
        <v>0</v>
      </c>
      <c r="L1539" t="n">
        <v>0</v>
      </c>
      <c r="M1539" t="n">
        <v>0</v>
      </c>
      <c r="N1539" t="n">
        <v>0</v>
      </c>
      <c r="O1539" t="n">
        <v>0</v>
      </c>
      <c r="P1539" t="n">
        <v>0</v>
      </c>
      <c r="Q1539" t="n">
        <v>0</v>
      </c>
      <c r="R1539" s="2" t="inlineStr"/>
    </row>
    <row r="1540" ht="15" customHeight="1">
      <c r="A1540" t="inlineStr">
        <is>
          <t>A 40430-2022</t>
        </is>
      </c>
      <c r="B1540" s="1" t="n">
        <v>44823</v>
      </c>
      <c r="C1540" s="1" t="n">
        <v>45952</v>
      </c>
      <c r="D1540" t="inlineStr">
        <is>
          <t>VÄSTRA GÖTALANDS LÄN</t>
        </is>
      </c>
      <c r="E1540" t="inlineStr">
        <is>
          <t>FALKÖPING</t>
        </is>
      </c>
      <c r="G1540" t="n">
        <v>0.8</v>
      </c>
      <c r="H1540" t="n">
        <v>0</v>
      </c>
      <c r="I1540" t="n">
        <v>0</v>
      </c>
      <c r="J1540" t="n">
        <v>0</v>
      </c>
      <c r="K1540" t="n">
        <v>0</v>
      </c>
      <c r="L1540" t="n">
        <v>0</v>
      </c>
      <c r="M1540" t="n">
        <v>0</v>
      </c>
      <c r="N1540" t="n">
        <v>0</v>
      </c>
      <c r="O1540" t="n">
        <v>0</v>
      </c>
      <c r="P1540" t="n">
        <v>0</v>
      </c>
      <c r="Q1540" t="n">
        <v>0</v>
      </c>
      <c r="R1540" s="2" t="inlineStr"/>
    </row>
    <row r="1541" ht="15" customHeight="1">
      <c r="A1541" t="inlineStr">
        <is>
          <t>A 36394-2021</t>
        </is>
      </c>
      <c r="B1541" s="1" t="n">
        <v>44389</v>
      </c>
      <c r="C1541" s="1" t="n">
        <v>45952</v>
      </c>
      <c r="D1541" t="inlineStr">
        <is>
          <t>VÄSTRA GÖTALANDS LÄN</t>
        </is>
      </c>
      <c r="E1541" t="inlineStr">
        <is>
          <t>ALE</t>
        </is>
      </c>
      <c r="G1541" t="n">
        <v>0.9</v>
      </c>
      <c r="H1541" t="n">
        <v>0</v>
      </c>
      <c r="I1541" t="n">
        <v>0</v>
      </c>
      <c r="J1541" t="n">
        <v>0</v>
      </c>
      <c r="K1541" t="n">
        <v>0</v>
      </c>
      <c r="L1541" t="n">
        <v>0</v>
      </c>
      <c r="M1541" t="n">
        <v>0</v>
      </c>
      <c r="N1541" t="n">
        <v>0</v>
      </c>
      <c r="O1541" t="n">
        <v>0</v>
      </c>
      <c r="P1541" t="n">
        <v>0</v>
      </c>
      <c r="Q1541" t="n">
        <v>0</v>
      </c>
      <c r="R1541" s="2" t="inlineStr"/>
    </row>
    <row r="1542" ht="15" customHeight="1">
      <c r="A1542" t="inlineStr">
        <is>
          <t>A 16223-2022</t>
        </is>
      </c>
      <c r="B1542" s="1" t="n">
        <v>44670</v>
      </c>
      <c r="C1542" s="1" t="n">
        <v>45952</v>
      </c>
      <c r="D1542" t="inlineStr">
        <is>
          <t>VÄSTRA GÖTALANDS LÄN</t>
        </is>
      </c>
      <c r="E1542" t="inlineStr">
        <is>
          <t>TRANEMO</t>
        </is>
      </c>
      <c r="F1542" t="inlineStr">
        <is>
          <t>Kyrkan</t>
        </is>
      </c>
      <c r="G1542" t="n">
        <v>2.2</v>
      </c>
      <c r="H1542" t="n">
        <v>0</v>
      </c>
      <c r="I1542" t="n">
        <v>0</v>
      </c>
      <c r="J1542" t="n">
        <v>0</v>
      </c>
      <c r="K1542" t="n">
        <v>0</v>
      </c>
      <c r="L1542" t="n">
        <v>0</v>
      </c>
      <c r="M1542" t="n">
        <v>0</v>
      </c>
      <c r="N1542" t="n">
        <v>0</v>
      </c>
      <c r="O1542" t="n">
        <v>0</v>
      </c>
      <c r="P1542" t="n">
        <v>0</v>
      </c>
      <c r="Q1542" t="n">
        <v>0</v>
      </c>
      <c r="R1542" s="2" t="inlineStr"/>
    </row>
    <row r="1543" ht="15" customHeight="1">
      <c r="A1543" t="inlineStr">
        <is>
          <t>A 2797-2022</t>
        </is>
      </c>
      <c r="B1543" s="1" t="n">
        <v>44581.38011574074</v>
      </c>
      <c r="C1543" s="1" t="n">
        <v>45952</v>
      </c>
      <c r="D1543" t="inlineStr">
        <is>
          <t>VÄSTRA GÖTALANDS LÄN</t>
        </is>
      </c>
      <c r="E1543" t="inlineStr">
        <is>
          <t>MUNKEDAL</t>
        </is>
      </c>
      <c r="G1543" t="n">
        <v>1.3</v>
      </c>
      <c r="H1543" t="n">
        <v>0</v>
      </c>
      <c r="I1543" t="n">
        <v>0</v>
      </c>
      <c r="J1543" t="n">
        <v>0</v>
      </c>
      <c r="K1543" t="n">
        <v>0</v>
      </c>
      <c r="L1543" t="n">
        <v>0</v>
      </c>
      <c r="M1543" t="n">
        <v>0</v>
      </c>
      <c r="N1543" t="n">
        <v>0</v>
      </c>
      <c r="O1543" t="n">
        <v>0</v>
      </c>
      <c r="P1543" t="n">
        <v>0</v>
      </c>
      <c r="Q1543" t="n">
        <v>0</v>
      </c>
      <c r="R1543" s="2" t="inlineStr"/>
    </row>
    <row r="1544" ht="15" customHeight="1">
      <c r="A1544" t="inlineStr">
        <is>
          <t>A 72632-2021</t>
        </is>
      </c>
      <c r="B1544" s="1" t="n">
        <v>44546.5565625</v>
      </c>
      <c r="C1544" s="1" t="n">
        <v>45952</v>
      </c>
      <c r="D1544" t="inlineStr">
        <is>
          <t>VÄSTRA GÖTALANDS LÄN</t>
        </is>
      </c>
      <c r="E1544" t="inlineStr">
        <is>
          <t>LIDKÖPING</t>
        </is>
      </c>
      <c r="G1544" t="n">
        <v>0.8</v>
      </c>
      <c r="H1544" t="n">
        <v>0</v>
      </c>
      <c r="I1544" t="n">
        <v>0</v>
      </c>
      <c r="J1544" t="n">
        <v>0</v>
      </c>
      <c r="K1544" t="n">
        <v>0</v>
      </c>
      <c r="L1544" t="n">
        <v>0</v>
      </c>
      <c r="M1544" t="n">
        <v>0</v>
      </c>
      <c r="N1544" t="n">
        <v>0</v>
      </c>
      <c r="O1544" t="n">
        <v>0</v>
      </c>
      <c r="P1544" t="n">
        <v>0</v>
      </c>
      <c r="Q1544" t="n">
        <v>0</v>
      </c>
      <c r="R1544" s="2" t="inlineStr"/>
    </row>
    <row r="1545" ht="15" customHeight="1">
      <c r="A1545" t="inlineStr">
        <is>
          <t>A 6800-2022</t>
        </is>
      </c>
      <c r="B1545" s="1" t="n">
        <v>44602.57005787037</v>
      </c>
      <c r="C1545" s="1" t="n">
        <v>45952</v>
      </c>
      <c r="D1545" t="inlineStr">
        <is>
          <t>VÄSTRA GÖTALANDS LÄN</t>
        </is>
      </c>
      <c r="E1545" t="inlineStr">
        <is>
          <t>TIBRO</t>
        </is>
      </c>
      <c r="G1545" t="n">
        <v>1.1</v>
      </c>
      <c r="H1545" t="n">
        <v>0</v>
      </c>
      <c r="I1545" t="n">
        <v>0</v>
      </c>
      <c r="J1545" t="n">
        <v>0</v>
      </c>
      <c r="K1545" t="n">
        <v>0</v>
      </c>
      <c r="L1545" t="n">
        <v>0</v>
      </c>
      <c r="M1545" t="n">
        <v>0</v>
      </c>
      <c r="N1545" t="n">
        <v>0</v>
      </c>
      <c r="O1545" t="n">
        <v>0</v>
      </c>
      <c r="P1545" t="n">
        <v>0</v>
      </c>
      <c r="Q1545" t="n">
        <v>0</v>
      </c>
      <c r="R1545" s="2" t="inlineStr"/>
    </row>
    <row r="1546" ht="15" customHeight="1">
      <c r="A1546" t="inlineStr">
        <is>
          <t>A 10328-2022</t>
        </is>
      </c>
      <c r="B1546" s="1" t="n">
        <v>44623</v>
      </c>
      <c r="C1546" s="1" t="n">
        <v>45952</v>
      </c>
      <c r="D1546" t="inlineStr">
        <is>
          <t>VÄSTRA GÖTALANDS LÄN</t>
        </is>
      </c>
      <c r="E1546" t="inlineStr">
        <is>
          <t>TIBRO</t>
        </is>
      </c>
      <c r="G1546" t="n">
        <v>5.4</v>
      </c>
      <c r="H1546" t="n">
        <v>0</v>
      </c>
      <c r="I1546" t="n">
        <v>0</v>
      </c>
      <c r="J1546" t="n">
        <v>0</v>
      </c>
      <c r="K1546" t="n">
        <v>0</v>
      </c>
      <c r="L1546" t="n">
        <v>0</v>
      </c>
      <c r="M1546" t="n">
        <v>0</v>
      </c>
      <c r="N1546" t="n">
        <v>0</v>
      </c>
      <c r="O1546" t="n">
        <v>0</v>
      </c>
      <c r="P1546" t="n">
        <v>0</v>
      </c>
      <c r="Q1546" t="n">
        <v>0</v>
      </c>
      <c r="R1546" s="2" t="inlineStr"/>
    </row>
    <row r="1547" ht="15" customHeight="1">
      <c r="A1547" t="inlineStr">
        <is>
          <t>A 10337-2022</t>
        </is>
      </c>
      <c r="B1547" s="1" t="n">
        <v>44623</v>
      </c>
      <c r="C1547" s="1" t="n">
        <v>45952</v>
      </c>
      <c r="D1547" t="inlineStr">
        <is>
          <t>VÄSTRA GÖTALANDS LÄN</t>
        </is>
      </c>
      <c r="E1547" t="inlineStr">
        <is>
          <t>HJO</t>
        </is>
      </c>
      <c r="G1547" t="n">
        <v>8.4</v>
      </c>
      <c r="H1547" t="n">
        <v>0</v>
      </c>
      <c r="I1547" t="n">
        <v>0</v>
      </c>
      <c r="J1547" t="n">
        <v>0</v>
      </c>
      <c r="K1547" t="n">
        <v>0</v>
      </c>
      <c r="L1547" t="n">
        <v>0</v>
      </c>
      <c r="M1547" t="n">
        <v>0</v>
      </c>
      <c r="N1547" t="n">
        <v>0</v>
      </c>
      <c r="O1547" t="n">
        <v>0</v>
      </c>
      <c r="P1547" t="n">
        <v>0</v>
      </c>
      <c r="Q1547" t="n">
        <v>0</v>
      </c>
      <c r="R1547" s="2" t="inlineStr"/>
    </row>
    <row r="1548" ht="15" customHeight="1">
      <c r="A1548" t="inlineStr">
        <is>
          <t>A 49826-2022</t>
        </is>
      </c>
      <c r="B1548" s="1" t="n">
        <v>44862.736875</v>
      </c>
      <c r="C1548" s="1" t="n">
        <v>45952</v>
      </c>
      <c r="D1548" t="inlineStr">
        <is>
          <t>VÄSTRA GÖTALANDS LÄN</t>
        </is>
      </c>
      <c r="E1548" t="inlineStr">
        <is>
          <t>TANUM</t>
        </is>
      </c>
      <c r="G1548" t="n">
        <v>1.3</v>
      </c>
      <c r="H1548" t="n">
        <v>0</v>
      </c>
      <c r="I1548" t="n">
        <v>0</v>
      </c>
      <c r="J1548" t="n">
        <v>0</v>
      </c>
      <c r="K1548" t="n">
        <v>0</v>
      </c>
      <c r="L1548" t="n">
        <v>0</v>
      </c>
      <c r="M1548" t="n">
        <v>0</v>
      </c>
      <c r="N1548" t="n">
        <v>0</v>
      </c>
      <c r="O1548" t="n">
        <v>0</v>
      </c>
      <c r="P1548" t="n">
        <v>0</v>
      </c>
      <c r="Q1548" t="n">
        <v>0</v>
      </c>
      <c r="R1548" s="2" t="inlineStr"/>
    </row>
    <row r="1549" ht="15" customHeight="1">
      <c r="A1549" t="inlineStr">
        <is>
          <t>A 40932-2022</t>
        </is>
      </c>
      <c r="B1549" s="1" t="n">
        <v>44823</v>
      </c>
      <c r="C1549" s="1" t="n">
        <v>45952</v>
      </c>
      <c r="D1549" t="inlineStr">
        <is>
          <t>VÄSTRA GÖTALANDS LÄN</t>
        </is>
      </c>
      <c r="E1549" t="inlineStr">
        <is>
          <t>ULRICEHAMN</t>
        </is>
      </c>
      <c r="G1549" t="n">
        <v>3.9</v>
      </c>
      <c r="H1549" t="n">
        <v>0</v>
      </c>
      <c r="I1549" t="n">
        <v>0</v>
      </c>
      <c r="J1549" t="n">
        <v>0</v>
      </c>
      <c r="K1549" t="n">
        <v>0</v>
      </c>
      <c r="L1549" t="n">
        <v>0</v>
      </c>
      <c r="M1549" t="n">
        <v>0</v>
      </c>
      <c r="N1549" t="n">
        <v>0</v>
      </c>
      <c r="O1549" t="n">
        <v>0</v>
      </c>
      <c r="P1549" t="n">
        <v>0</v>
      </c>
      <c r="Q1549" t="n">
        <v>0</v>
      </c>
      <c r="R1549" s="2" t="inlineStr"/>
    </row>
    <row r="1550" ht="15" customHeight="1">
      <c r="A1550" t="inlineStr">
        <is>
          <t>A 37380-2022</t>
        </is>
      </c>
      <c r="B1550" s="1" t="n">
        <v>44809.40603009259</v>
      </c>
      <c r="C1550" s="1" t="n">
        <v>45952</v>
      </c>
      <c r="D1550" t="inlineStr">
        <is>
          <t>VÄSTRA GÖTALANDS LÄN</t>
        </is>
      </c>
      <c r="E1550" t="inlineStr">
        <is>
          <t>ULRICEHAMN</t>
        </is>
      </c>
      <c r="G1550" t="n">
        <v>0.5</v>
      </c>
      <c r="H1550" t="n">
        <v>0</v>
      </c>
      <c r="I1550" t="n">
        <v>0</v>
      </c>
      <c r="J1550" t="n">
        <v>0</v>
      </c>
      <c r="K1550" t="n">
        <v>0</v>
      </c>
      <c r="L1550" t="n">
        <v>0</v>
      </c>
      <c r="M1550" t="n">
        <v>0</v>
      </c>
      <c r="N1550" t="n">
        <v>0</v>
      </c>
      <c r="O1550" t="n">
        <v>0</v>
      </c>
      <c r="P1550" t="n">
        <v>0</v>
      </c>
      <c r="Q1550" t="n">
        <v>0</v>
      </c>
      <c r="R1550" s="2" t="inlineStr"/>
    </row>
    <row r="1551" ht="15" customHeight="1">
      <c r="A1551" t="inlineStr">
        <is>
          <t>A 62409-2020</t>
        </is>
      </c>
      <c r="B1551" s="1" t="n">
        <v>44160</v>
      </c>
      <c r="C1551" s="1" t="n">
        <v>45952</v>
      </c>
      <c r="D1551" t="inlineStr">
        <is>
          <t>VÄSTRA GÖTALANDS LÄN</t>
        </is>
      </c>
      <c r="E1551" t="inlineStr">
        <is>
          <t>LYSEKIL</t>
        </is>
      </c>
      <c r="G1551" t="n">
        <v>1.1</v>
      </c>
      <c r="H1551" t="n">
        <v>0</v>
      </c>
      <c r="I1551" t="n">
        <v>0</v>
      </c>
      <c r="J1551" t="n">
        <v>0</v>
      </c>
      <c r="K1551" t="n">
        <v>0</v>
      </c>
      <c r="L1551" t="n">
        <v>0</v>
      </c>
      <c r="M1551" t="n">
        <v>0</v>
      </c>
      <c r="N1551" t="n">
        <v>0</v>
      </c>
      <c r="O1551" t="n">
        <v>0</v>
      </c>
      <c r="P1551" t="n">
        <v>0</v>
      </c>
      <c r="Q1551" t="n">
        <v>0</v>
      </c>
      <c r="R1551" s="2" t="inlineStr"/>
    </row>
    <row r="1552" ht="15" customHeight="1">
      <c r="A1552" t="inlineStr">
        <is>
          <t>A 64253-2020</t>
        </is>
      </c>
      <c r="B1552" s="1" t="n">
        <v>44166</v>
      </c>
      <c r="C1552" s="1" t="n">
        <v>45952</v>
      </c>
      <c r="D1552" t="inlineStr">
        <is>
          <t>VÄSTRA GÖTALANDS LÄN</t>
        </is>
      </c>
      <c r="E1552" t="inlineStr">
        <is>
          <t>ULRICEHAMN</t>
        </is>
      </c>
      <c r="G1552" t="n">
        <v>1.5</v>
      </c>
      <c r="H1552" t="n">
        <v>0</v>
      </c>
      <c r="I1552" t="n">
        <v>0</v>
      </c>
      <c r="J1552" t="n">
        <v>0</v>
      </c>
      <c r="K1552" t="n">
        <v>0</v>
      </c>
      <c r="L1552" t="n">
        <v>0</v>
      </c>
      <c r="M1552" t="n">
        <v>0</v>
      </c>
      <c r="N1552" t="n">
        <v>0</v>
      </c>
      <c r="O1552" t="n">
        <v>0</v>
      </c>
      <c r="P1552" t="n">
        <v>0</v>
      </c>
      <c r="Q1552" t="n">
        <v>0</v>
      </c>
      <c r="R1552" s="2" t="inlineStr"/>
    </row>
    <row r="1553" ht="15" customHeight="1">
      <c r="A1553" t="inlineStr">
        <is>
          <t>A 38345-2021</t>
        </is>
      </c>
      <c r="B1553" s="1" t="n">
        <v>44406.50302083333</v>
      </c>
      <c r="C1553" s="1" t="n">
        <v>45952</v>
      </c>
      <c r="D1553" t="inlineStr">
        <is>
          <t>VÄSTRA GÖTALANDS LÄN</t>
        </is>
      </c>
      <c r="E1553" t="inlineStr">
        <is>
          <t>ESSUNGA</t>
        </is>
      </c>
      <c r="G1553" t="n">
        <v>3.9</v>
      </c>
      <c r="H1553" t="n">
        <v>0</v>
      </c>
      <c r="I1553" t="n">
        <v>0</v>
      </c>
      <c r="J1553" t="n">
        <v>0</v>
      </c>
      <c r="K1553" t="n">
        <v>0</v>
      </c>
      <c r="L1553" t="n">
        <v>0</v>
      </c>
      <c r="M1553" t="n">
        <v>0</v>
      </c>
      <c r="N1553" t="n">
        <v>0</v>
      </c>
      <c r="O1553" t="n">
        <v>0</v>
      </c>
      <c r="P1553" t="n">
        <v>0</v>
      </c>
      <c r="Q1553" t="n">
        <v>0</v>
      </c>
      <c r="R1553" s="2" t="inlineStr"/>
    </row>
    <row r="1554" ht="15" customHeight="1">
      <c r="A1554" t="inlineStr">
        <is>
          <t>A 60690-2020</t>
        </is>
      </c>
      <c r="B1554" s="1" t="n">
        <v>44153</v>
      </c>
      <c r="C1554" s="1" t="n">
        <v>45952</v>
      </c>
      <c r="D1554" t="inlineStr">
        <is>
          <t>VÄSTRA GÖTALANDS LÄN</t>
        </is>
      </c>
      <c r="E1554" t="inlineStr">
        <is>
          <t>MARK</t>
        </is>
      </c>
      <c r="G1554" t="n">
        <v>4.6</v>
      </c>
      <c r="H1554" t="n">
        <v>0</v>
      </c>
      <c r="I1554" t="n">
        <v>0</v>
      </c>
      <c r="J1554" t="n">
        <v>0</v>
      </c>
      <c r="K1554" t="n">
        <v>0</v>
      </c>
      <c r="L1554" t="n">
        <v>0</v>
      </c>
      <c r="M1554" t="n">
        <v>0</v>
      </c>
      <c r="N1554" t="n">
        <v>0</v>
      </c>
      <c r="O1554" t="n">
        <v>0</v>
      </c>
      <c r="P1554" t="n">
        <v>0</v>
      </c>
      <c r="Q1554" t="n">
        <v>0</v>
      </c>
      <c r="R1554" s="2" t="inlineStr"/>
    </row>
    <row r="1555" ht="15" customHeight="1">
      <c r="A1555" t="inlineStr">
        <is>
          <t>A 22627-2022</t>
        </is>
      </c>
      <c r="B1555" s="1" t="n">
        <v>44714.43409722222</v>
      </c>
      <c r="C1555" s="1" t="n">
        <v>45952</v>
      </c>
      <c r="D1555" t="inlineStr">
        <is>
          <t>VÄSTRA GÖTALANDS LÄN</t>
        </is>
      </c>
      <c r="E1555" t="inlineStr">
        <is>
          <t>MARK</t>
        </is>
      </c>
      <c r="G1555" t="n">
        <v>2.1</v>
      </c>
      <c r="H1555" t="n">
        <v>0</v>
      </c>
      <c r="I1555" t="n">
        <v>0</v>
      </c>
      <c r="J1555" t="n">
        <v>0</v>
      </c>
      <c r="K1555" t="n">
        <v>0</v>
      </c>
      <c r="L1555" t="n">
        <v>0</v>
      </c>
      <c r="M1555" t="n">
        <v>0</v>
      </c>
      <c r="N1555" t="n">
        <v>0</v>
      </c>
      <c r="O1555" t="n">
        <v>0</v>
      </c>
      <c r="P1555" t="n">
        <v>0</v>
      </c>
      <c r="Q1555" t="n">
        <v>0</v>
      </c>
      <c r="R1555" s="2" t="inlineStr"/>
    </row>
    <row r="1556" ht="15" customHeight="1">
      <c r="A1556" t="inlineStr">
        <is>
          <t>A 6822-2022</t>
        </is>
      </c>
      <c r="B1556" s="1" t="n">
        <v>44602</v>
      </c>
      <c r="C1556" s="1" t="n">
        <v>45952</v>
      </c>
      <c r="D1556" t="inlineStr">
        <is>
          <t>VÄSTRA GÖTALANDS LÄN</t>
        </is>
      </c>
      <c r="E1556" t="inlineStr">
        <is>
          <t>TIBRO</t>
        </is>
      </c>
      <c r="G1556" t="n">
        <v>0.8</v>
      </c>
      <c r="H1556" t="n">
        <v>0</v>
      </c>
      <c r="I1556" t="n">
        <v>0</v>
      </c>
      <c r="J1556" t="n">
        <v>0</v>
      </c>
      <c r="K1556" t="n">
        <v>0</v>
      </c>
      <c r="L1556" t="n">
        <v>0</v>
      </c>
      <c r="M1556" t="n">
        <v>0</v>
      </c>
      <c r="N1556" t="n">
        <v>0</v>
      </c>
      <c r="O1556" t="n">
        <v>0</v>
      </c>
      <c r="P1556" t="n">
        <v>0</v>
      </c>
      <c r="Q1556" t="n">
        <v>0</v>
      </c>
      <c r="R1556" s="2" t="inlineStr"/>
    </row>
    <row r="1557" ht="15" customHeight="1">
      <c r="A1557" t="inlineStr">
        <is>
          <t>A 60416-2020</t>
        </is>
      </c>
      <c r="B1557" s="1" t="n">
        <v>44153</v>
      </c>
      <c r="C1557" s="1" t="n">
        <v>45952</v>
      </c>
      <c r="D1557" t="inlineStr">
        <is>
          <t>VÄSTRA GÖTALANDS LÄN</t>
        </is>
      </c>
      <c r="E1557" t="inlineStr">
        <is>
          <t>MUNKEDAL</t>
        </is>
      </c>
      <c r="G1557" t="n">
        <v>0.9</v>
      </c>
      <c r="H1557" t="n">
        <v>0</v>
      </c>
      <c r="I1557" t="n">
        <v>0</v>
      </c>
      <c r="J1557" t="n">
        <v>0</v>
      </c>
      <c r="K1557" t="n">
        <v>0</v>
      </c>
      <c r="L1557" t="n">
        <v>0</v>
      </c>
      <c r="M1557" t="n">
        <v>0</v>
      </c>
      <c r="N1557" t="n">
        <v>0</v>
      </c>
      <c r="O1557" t="n">
        <v>0</v>
      </c>
      <c r="P1557" t="n">
        <v>0</v>
      </c>
      <c r="Q1557" t="n">
        <v>0</v>
      </c>
      <c r="R1557" s="2" t="inlineStr"/>
    </row>
    <row r="1558" ht="15" customHeight="1">
      <c r="A1558" t="inlineStr">
        <is>
          <t>A 16742-2022</t>
        </is>
      </c>
      <c r="B1558" s="1" t="n">
        <v>44673.45262731481</v>
      </c>
      <c r="C1558" s="1" t="n">
        <v>45952</v>
      </c>
      <c r="D1558" t="inlineStr">
        <is>
          <t>VÄSTRA GÖTALANDS LÄN</t>
        </is>
      </c>
      <c r="E1558" t="inlineStr">
        <is>
          <t>GÖTENE</t>
        </is>
      </c>
      <c r="G1558" t="n">
        <v>0.5</v>
      </c>
      <c r="H1558" t="n">
        <v>0</v>
      </c>
      <c r="I1558" t="n">
        <v>0</v>
      </c>
      <c r="J1558" t="n">
        <v>0</v>
      </c>
      <c r="K1558" t="n">
        <v>0</v>
      </c>
      <c r="L1558" t="n">
        <v>0</v>
      </c>
      <c r="M1558" t="n">
        <v>0</v>
      </c>
      <c r="N1558" t="n">
        <v>0</v>
      </c>
      <c r="O1558" t="n">
        <v>0</v>
      </c>
      <c r="P1558" t="n">
        <v>0</v>
      </c>
      <c r="Q1558" t="n">
        <v>0</v>
      </c>
      <c r="R1558" s="2" t="inlineStr"/>
    </row>
    <row r="1559" ht="15" customHeight="1">
      <c r="A1559" t="inlineStr">
        <is>
          <t>A 66364-2020</t>
        </is>
      </c>
      <c r="B1559" s="1" t="n">
        <v>44176</v>
      </c>
      <c r="C1559" s="1" t="n">
        <v>45952</v>
      </c>
      <c r="D1559" t="inlineStr">
        <is>
          <t>VÄSTRA GÖTALANDS LÄN</t>
        </is>
      </c>
      <c r="E1559" t="inlineStr">
        <is>
          <t>BENGTSFORS</t>
        </is>
      </c>
      <c r="G1559" t="n">
        <v>2</v>
      </c>
      <c r="H1559" t="n">
        <v>0</v>
      </c>
      <c r="I1559" t="n">
        <v>0</v>
      </c>
      <c r="J1559" t="n">
        <v>0</v>
      </c>
      <c r="K1559" t="n">
        <v>0</v>
      </c>
      <c r="L1559" t="n">
        <v>0</v>
      </c>
      <c r="M1559" t="n">
        <v>0</v>
      </c>
      <c r="N1559" t="n">
        <v>0</v>
      </c>
      <c r="O1559" t="n">
        <v>0</v>
      </c>
      <c r="P1559" t="n">
        <v>0</v>
      </c>
      <c r="Q1559" t="n">
        <v>0</v>
      </c>
      <c r="R1559" s="2" t="inlineStr"/>
    </row>
    <row r="1560" ht="15" customHeight="1">
      <c r="A1560" t="inlineStr">
        <is>
          <t>A 23297-2022</t>
        </is>
      </c>
      <c r="B1560" s="1" t="n">
        <v>44720.45840277777</v>
      </c>
      <c r="C1560" s="1" t="n">
        <v>45952</v>
      </c>
      <c r="D1560" t="inlineStr">
        <is>
          <t>VÄSTRA GÖTALANDS LÄN</t>
        </is>
      </c>
      <c r="E1560" t="inlineStr">
        <is>
          <t>LILLA EDET</t>
        </is>
      </c>
      <c r="G1560" t="n">
        <v>1.5</v>
      </c>
      <c r="H1560" t="n">
        <v>0</v>
      </c>
      <c r="I1560" t="n">
        <v>0</v>
      </c>
      <c r="J1560" t="n">
        <v>0</v>
      </c>
      <c r="K1560" t="n">
        <v>0</v>
      </c>
      <c r="L1560" t="n">
        <v>0</v>
      </c>
      <c r="M1560" t="n">
        <v>0</v>
      </c>
      <c r="N1560" t="n">
        <v>0</v>
      </c>
      <c r="O1560" t="n">
        <v>0</v>
      </c>
      <c r="P1560" t="n">
        <v>0</v>
      </c>
      <c r="Q1560" t="n">
        <v>0</v>
      </c>
      <c r="R1560" s="2" t="inlineStr"/>
    </row>
    <row r="1561" ht="15" customHeight="1">
      <c r="A1561" t="inlineStr">
        <is>
          <t>A 60500-2020</t>
        </is>
      </c>
      <c r="B1561" s="1" t="n">
        <v>44152</v>
      </c>
      <c r="C1561" s="1" t="n">
        <v>45952</v>
      </c>
      <c r="D1561" t="inlineStr">
        <is>
          <t>VÄSTRA GÖTALANDS LÄN</t>
        </is>
      </c>
      <c r="E1561" t="inlineStr">
        <is>
          <t>BORÅS</t>
        </is>
      </c>
      <c r="G1561" t="n">
        <v>2</v>
      </c>
      <c r="H1561" t="n">
        <v>0</v>
      </c>
      <c r="I1561" t="n">
        <v>0</v>
      </c>
      <c r="J1561" t="n">
        <v>0</v>
      </c>
      <c r="K1561" t="n">
        <v>0</v>
      </c>
      <c r="L1561" t="n">
        <v>0</v>
      </c>
      <c r="M1561" t="n">
        <v>0</v>
      </c>
      <c r="N1561" t="n">
        <v>0</v>
      </c>
      <c r="O1561" t="n">
        <v>0</v>
      </c>
      <c r="P1561" t="n">
        <v>0</v>
      </c>
      <c r="Q1561" t="n">
        <v>0</v>
      </c>
      <c r="R1561" s="2" t="inlineStr"/>
    </row>
    <row r="1562" ht="15" customHeight="1">
      <c r="A1562" t="inlineStr">
        <is>
          <t>A 56929-2020</t>
        </is>
      </c>
      <c r="B1562" s="1" t="n">
        <v>44137</v>
      </c>
      <c r="C1562" s="1" t="n">
        <v>45952</v>
      </c>
      <c r="D1562" t="inlineStr">
        <is>
          <t>VÄSTRA GÖTALANDS LÄN</t>
        </is>
      </c>
      <c r="E1562" t="inlineStr">
        <is>
          <t>TÖREBODA</t>
        </is>
      </c>
      <c r="G1562" t="n">
        <v>1.3</v>
      </c>
      <c r="H1562" t="n">
        <v>0</v>
      </c>
      <c r="I1562" t="n">
        <v>0</v>
      </c>
      <c r="J1562" t="n">
        <v>0</v>
      </c>
      <c r="K1562" t="n">
        <v>0</v>
      </c>
      <c r="L1562" t="n">
        <v>0</v>
      </c>
      <c r="M1562" t="n">
        <v>0</v>
      </c>
      <c r="N1562" t="n">
        <v>0</v>
      </c>
      <c r="O1562" t="n">
        <v>0</v>
      </c>
      <c r="P1562" t="n">
        <v>0</v>
      </c>
      <c r="Q1562" t="n">
        <v>0</v>
      </c>
      <c r="R1562" s="2" t="inlineStr"/>
    </row>
    <row r="1563" ht="15" customHeight="1">
      <c r="A1563" t="inlineStr">
        <is>
          <t>A 60991-2020</t>
        </is>
      </c>
      <c r="B1563" s="1" t="n">
        <v>44154</v>
      </c>
      <c r="C1563" s="1" t="n">
        <v>45952</v>
      </c>
      <c r="D1563" t="inlineStr">
        <is>
          <t>VÄSTRA GÖTALANDS LÄN</t>
        </is>
      </c>
      <c r="E1563" t="inlineStr">
        <is>
          <t>BOLLEBYGD</t>
        </is>
      </c>
      <c r="G1563" t="n">
        <v>1</v>
      </c>
      <c r="H1563" t="n">
        <v>0</v>
      </c>
      <c r="I1563" t="n">
        <v>0</v>
      </c>
      <c r="J1563" t="n">
        <v>0</v>
      </c>
      <c r="K1563" t="n">
        <v>0</v>
      </c>
      <c r="L1563" t="n">
        <v>0</v>
      </c>
      <c r="M1563" t="n">
        <v>0</v>
      </c>
      <c r="N1563" t="n">
        <v>0</v>
      </c>
      <c r="O1563" t="n">
        <v>0</v>
      </c>
      <c r="P1563" t="n">
        <v>0</v>
      </c>
      <c r="Q1563" t="n">
        <v>0</v>
      </c>
      <c r="R1563" s="2" t="inlineStr"/>
    </row>
    <row r="1564" ht="15" customHeight="1">
      <c r="A1564" t="inlineStr">
        <is>
          <t>A 10791-2022</t>
        </is>
      </c>
      <c r="B1564" s="1" t="n">
        <v>44627</v>
      </c>
      <c r="C1564" s="1" t="n">
        <v>45952</v>
      </c>
      <c r="D1564" t="inlineStr">
        <is>
          <t>VÄSTRA GÖTALANDS LÄN</t>
        </is>
      </c>
      <c r="E1564" t="inlineStr">
        <is>
          <t>LIDKÖPING</t>
        </is>
      </c>
      <c r="G1564" t="n">
        <v>0.5</v>
      </c>
      <c r="H1564" t="n">
        <v>0</v>
      </c>
      <c r="I1564" t="n">
        <v>0</v>
      </c>
      <c r="J1564" t="n">
        <v>0</v>
      </c>
      <c r="K1564" t="n">
        <v>0</v>
      </c>
      <c r="L1564" t="n">
        <v>0</v>
      </c>
      <c r="M1564" t="n">
        <v>0</v>
      </c>
      <c r="N1564" t="n">
        <v>0</v>
      </c>
      <c r="O1564" t="n">
        <v>0</v>
      </c>
      <c r="P1564" t="n">
        <v>0</v>
      </c>
      <c r="Q1564" t="n">
        <v>0</v>
      </c>
      <c r="R1564" s="2" t="inlineStr"/>
    </row>
    <row r="1565" ht="15" customHeight="1">
      <c r="A1565" t="inlineStr">
        <is>
          <t>A 10811-2022</t>
        </is>
      </c>
      <c r="B1565" s="1" t="n">
        <v>44627.49730324074</v>
      </c>
      <c r="C1565" s="1" t="n">
        <v>45952</v>
      </c>
      <c r="D1565" t="inlineStr">
        <is>
          <t>VÄSTRA GÖTALANDS LÄN</t>
        </is>
      </c>
      <c r="E1565" t="inlineStr">
        <is>
          <t>LIDKÖPING</t>
        </is>
      </c>
      <c r="G1565" t="n">
        <v>0.6</v>
      </c>
      <c r="H1565" t="n">
        <v>0</v>
      </c>
      <c r="I1565" t="n">
        <v>0</v>
      </c>
      <c r="J1565" t="n">
        <v>0</v>
      </c>
      <c r="K1565" t="n">
        <v>0</v>
      </c>
      <c r="L1565" t="n">
        <v>0</v>
      </c>
      <c r="M1565" t="n">
        <v>0</v>
      </c>
      <c r="N1565" t="n">
        <v>0</v>
      </c>
      <c r="O1565" t="n">
        <v>0</v>
      </c>
      <c r="P1565" t="n">
        <v>0</v>
      </c>
      <c r="Q1565" t="n">
        <v>0</v>
      </c>
      <c r="R1565" s="2" t="inlineStr"/>
    </row>
    <row r="1566" ht="15" customHeight="1">
      <c r="A1566" t="inlineStr">
        <is>
          <t>A 23894-2022</t>
        </is>
      </c>
      <c r="B1566" s="1" t="n">
        <v>44722.58847222223</v>
      </c>
      <c r="C1566" s="1" t="n">
        <v>45952</v>
      </c>
      <c r="D1566" t="inlineStr">
        <is>
          <t>VÄSTRA GÖTALANDS LÄN</t>
        </is>
      </c>
      <c r="E1566" t="inlineStr">
        <is>
          <t>MARK</t>
        </is>
      </c>
      <c r="G1566" t="n">
        <v>0.7</v>
      </c>
      <c r="H1566" t="n">
        <v>0</v>
      </c>
      <c r="I1566" t="n">
        <v>0</v>
      </c>
      <c r="J1566" t="n">
        <v>0</v>
      </c>
      <c r="K1566" t="n">
        <v>0</v>
      </c>
      <c r="L1566" t="n">
        <v>0</v>
      </c>
      <c r="M1566" t="n">
        <v>0</v>
      </c>
      <c r="N1566" t="n">
        <v>0</v>
      </c>
      <c r="O1566" t="n">
        <v>0</v>
      </c>
      <c r="P1566" t="n">
        <v>0</v>
      </c>
      <c r="Q1566" t="n">
        <v>0</v>
      </c>
      <c r="R1566" s="2" t="inlineStr"/>
    </row>
    <row r="1567" ht="15" customHeight="1">
      <c r="A1567" t="inlineStr">
        <is>
          <t>A 33258-2021</t>
        </is>
      </c>
      <c r="B1567" s="1" t="n">
        <v>44377</v>
      </c>
      <c r="C1567" s="1" t="n">
        <v>45952</v>
      </c>
      <c r="D1567" t="inlineStr">
        <is>
          <t>VÄSTRA GÖTALANDS LÄN</t>
        </is>
      </c>
      <c r="E1567" t="inlineStr">
        <is>
          <t>TANUM</t>
        </is>
      </c>
      <c r="G1567" t="n">
        <v>2.1</v>
      </c>
      <c r="H1567" t="n">
        <v>0</v>
      </c>
      <c r="I1567" t="n">
        <v>0</v>
      </c>
      <c r="J1567" t="n">
        <v>0</v>
      </c>
      <c r="K1567" t="n">
        <v>0</v>
      </c>
      <c r="L1567" t="n">
        <v>0</v>
      </c>
      <c r="M1567" t="n">
        <v>0</v>
      </c>
      <c r="N1567" t="n">
        <v>0</v>
      </c>
      <c r="O1567" t="n">
        <v>0</v>
      </c>
      <c r="P1567" t="n">
        <v>0</v>
      </c>
      <c r="Q1567" t="n">
        <v>0</v>
      </c>
      <c r="R1567" s="2" t="inlineStr"/>
    </row>
    <row r="1568" ht="15" customHeight="1">
      <c r="A1568" t="inlineStr">
        <is>
          <t>A 51873-2021</t>
        </is>
      </c>
      <c r="B1568" s="1" t="n">
        <v>44462.73725694444</v>
      </c>
      <c r="C1568" s="1" t="n">
        <v>45952</v>
      </c>
      <c r="D1568" t="inlineStr">
        <is>
          <t>VÄSTRA GÖTALANDS LÄN</t>
        </is>
      </c>
      <c r="E1568" t="inlineStr">
        <is>
          <t>UDDEVALLA</t>
        </is>
      </c>
      <c r="G1568" t="n">
        <v>2.8</v>
      </c>
      <c r="H1568" t="n">
        <v>0</v>
      </c>
      <c r="I1568" t="n">
        <v>0</v>
      </c>
      <c r="J1568" t="n">
        <v>0</v>
      </c>
      <c r="K1568" t="n">
        <v>0</v>
      </c>
      <c r="L1568" t="n">
        <v>0</v>
      </c>
      <c r="M1568" t="n">
        <v>0</v>
      </c>
      <c r="N1568" t="n">
        <v>0</v>
      </c>
      <c r="O1568" t="n">
        <v>0</v>
      </c>
      <c r="P1568" t="n">
        <v>0</v>
      </c>
      <c r="Q1568" t="n">
        <v>0</v>
      </c>
      <c r="R1568" s="2" t="inlineStr"/>
    </row>
    <row r="1569" ht="15" customHeight="1">
      <c r="A1569" t="inlineStr">
        <is>
          <t>A 59071-2020</t>
        </is>
      </c>
      <c r="B1569" s="1" t="n">
        <v>44147</v>
      </c>
      <c r="C1569" s="1" t="n">
        <v>45952</v>
      </c>
      <c r="D1569" t="inlineStr">
        <is>
          <t>VÄSTRA GÖTALANDS LÄN</t>
        </is>
      </c>
      <c r="E1569" t="inlineStr">
        <is>
          <t>BENGTSFORS</t>
        </is>
      </c>
      <c r="G1569" t="n">
        <v>1.3</v>
      </c>
      <c r="H1569" t="n">
        <v>0</v>
      </c>
      <c r="I1569" t="n">
        <v>0</v>
      </c>
      <c r="J1569" t="n">
        <v>0</v>
      </c>
      <c r="K1569" t="n">
        <v>0</v>
      </c>
      <c r="L1569" t="n">
        <v>0</v>
      </c>
      <c r="M1569" t="n">
        <v>0</v>
      </c>
      <c r="N1569" t="n">
        <v>0</v>
      </c>
      <c r="O1569" t="n">
        <v>0</v>
      </c>
      <c r="P1569" t="n">
        <v>0</v>
      </c>
      <c r="Q1569" t="n">
        <v>0</v>
      </c>
      <c r="R1569" s="2" t="inlineStr"/>
    </row>
    <row r="1570" ht="15" customHeight="1">
      <c r="A1570" t="inlineStr">
        <is>
          <t>A 26544-2022</t>
        </is>
      </c>
      <c r="B1570" s="1" t="n">
        <v>44739</v>
      </c>
      <c r="C1570" s="1" t="n">
        <v>45952</v>
      </c>
      <c r="D1570" t="inlineStr">
        <is>
          <t>VÄSTRA GÖTALANDS LÄN</t>
        </is>
      </c>
      <c r="E1570" t="inlineStr">
        <is>
          <t>FALKÖPING</t>
        </is>
      </c>
      <c r="G1570" t="n">
        <v>0.3</v>
      </c>
      <c r="H1570" t="n">
        <v>0</v>
      </c>
      <c r="I1570" t="n">
        <v>0</v>
      </c>
      <c r="J1570" t="n">
        <v>0</v>
      </c>
      <c r="K1570" t="n">
        <v>0</v>
      </c>
      <c r="L1570" t="n">
        <v>0</v>
      </c>
      <c r="M1570" t="n">
        <v>0</v>
      </c>
      <c r="N1570" t="n">
        <v>0</v>
      </c>
      <c r="O1570" t="n">
        <v>0</v>
      </c>
      <c r="P1570" t="n">
        <v>0</v>
      </c>
      <c r="Q1570" t="n">
        <v>0</v>
      </c>
      <c r="R1570" s="2" t="inlineStr"/>
    </row>
    <row r="1571" ht="15" customHeight="1">
      <c r="A1571" t="inlineStr">
        <is>
          <t>A 2463-2021</t>
        </is>
      </c>
      <c r="B1571" s="1" t="n">
        <v>44214</v>
      </c>
      <c r="C1571" s="1" t="n">
        <v>45952</v>
      </c>
      <c r="D1571" t="inlineStr">
        <is>
          <t>VÄSTRA GÖTALANDS LÄN</t>
        </is>
      </c>
      <c r="E1571" t="inlineStr">
        <is>
          <t>VÄNERSBORG</t>
        </is>
      </c>
      <c r="G1571" t="n">
        <v>1.7</v>
      </c>
      <c r="H1571" t="n">
        <v>0</v>
      </c>
      <c r="I1571" t="n">
        <v>0</v>
      </c>
      <c r="J1571" t="n">
        <v>0</v>
      </c>
      <c r="K1571" t="n">
        <v>0</v>
      </c>
      <c r="L1571" t="n">
        <v>0</v>
      </c>
      <c r="M1571" t="n">
        <v>0</v>
      </c>
      <c r="N1571" t="n">
        <v>0</v>
      </c>
      <c r="O1571" t="n">
        <v>0</v>
      </c>
      <c r="P1571" t="n">
        <v>0</v>
      </c>
      <c r="Q1571" t="n">
        <v>0</v>
      </c>
      <c r="R1571" s="2" t="inlineStr"/>
    </row>
    <row r="1572" ht="15" customHeight="1">
      <c r="A1572" t="inlineStr">
        <is>
          <t>A 63807-2020</t>
        </is>
      </c>
      <c r="B1572" s="1" t="n">
        <v>44164</v>
      </c>
      <c r="C1572" s="1" t="n">
        <v>45952</v>
      </c>
      <c r="D1572" t="inlineStr">
        <is>
          <t>VÄSTRA GÖTALANDS LÄN</t>
        </is>
      </c>
      <c r="E1572" t="inlineStr">
        <is>
          <t>LYSEKIL</t>
        </is>
      </c>
      <c r="G1572" t="n">
        <v>0.8</v>
      </c>
      <c r="H1572" t="n">
        <v>0</v>
      </c>
      <c r="I1572" t="n">
        <v>0</v>
      </c>
      <c r="J1572" t="n">
        <v>0</v>
      </c>
      <c r="K1572" t="n">
        <v>0</v>
      </c>
      <c r="L1572" t="n">
        <v>0</v>
      </c>
      <c r="M1572" t="n">
        <v>0</v>
      </c>
      <c r="N1572" t="n">
        <v>0</v>
      </c>
      <c r="O1572" t="n">
        <v>0</v>
      </c>
      <c r="P1572" t="n">
        <v>0</v>
      </c>
      <c r="Q1572" t="n">
        <v>0</v>
      </c>
      <c r="R1572" s="2" t="inlineStr"/>
    </row>
    <row r="1573" ht="15" customHeight="1">
      <c r="A1573" t="inlineStr">
        <is>
          <t>A 24139-2022</t>
        </is>
      </c>
      <c r="B1573" s="1" t="n">
        <v>44725.46222222222</v>
      </c>
      <c r="C1573" s="1" t="n">
        <v>45952</v>
      </c>
      <c r="D1573" t="inlineStr">
        <is>
          <t>VÄSTRA GÖTALANDS LÄN</t>
        </is>
      </c>
      <c r="E1573" t="inlineStr">
        <is>
          <t>LIDKÖPING</t>
        </is>
      </c>
      <c r="G1573" t="n">
        <v>3.8</v>
      </c>
      <c r="H1573" t="n">
        <v>0</v>
      </c>
      <c r="I1573" t="n">
        <v>0</v>
      </c>
      <c r="J1573" t="n">
        <v>0</v>
      </c>
      <c r="K1573" t="n">
        <v>0</v>
      </c>
      <c r="L1573" t="n">
        <v>0</v>
      </c>
      <c r="M1573" t="n">
        <v>0</v>
      </c>
      <c r="N1573" t="n">
        <v>0</v>
      </c>
      <c r="O1573" t="n">
        <v>0</v>
      </c>
      <c r="P1573" t="n">
        <v>0</v>
      </c>
      <c r="Q1573" t="n">
        <v>0</v>
      </c>
      <c r="R1573" s="2" t="inlineStr"/>
    </row>
    <row r="1574" ht="15" customHeight="1">
      <c r="A1574" t="inlineStr">
        <is>
          <t>A 49971-2021</t>
        </is>
      </c>
      <c r="B1574" s="1" t="n">
        <v>44456</v>
      </c>
      <c r="C1574" s="1" t="n">
        <v>45952</v>
      </c>
      <c r="D1574" t="inlineStr">
        <is>
          <t>VÄSTRA GÖTALANDS LÄN</t>
        </is>
      </c>
      <c r="E1574" t="inlineStr">
        <is>
          <t>MARK</t>
        </is>
      </c>
      <c r="G1574" t="n">
        <v>2.6</v>
      </c>
      <c r="H1574" t="n">
        <v>0</v>
      </c>
      <c r="I1574" t="n">
        <v>0</v>
      </c>
      <c r="J1574" t="n">
        <v>0</v>
      </c>
      <c r="K1574" t="n">
        <v>0</v>
      </c>
      <c r="L1574" t="n">
        <v>0</v>
      </c>
      <c r="M1574" t="n">
        <v>0</v>
      </c>
      <c r="N1574" t="n">
        <v>0</v>
      </c>
      <c r="O1574" t="n">
        <v>0</v>
      </c>
      <c r="P1574" t="n">
        <v>0</v>
      </c>
      <c r="Q1574" t="n">
        <v>0</v>
      </c>
      <c r="R1574" s="2" t="inlineStr"/>
    </row>
    <row r="1575" ht="15" customHeight="1">
      <c r="A1575" t="inlineStr">
        <is>
          <t>A 66467-2020</t>
        </is>
      </c>
      <c r="B1575" s="1" t="n">
        <v>44176.78424768519</v>
      </c>
      <c r="C1575" s="1" t="n">
        <v>45952</v>
      </c>
      <c r="D1575" t="inlineStr">
        <is>
          <t>VÄSTRA GÖTALANDS LÄN</t>
        </is>
      </c>
      <c r="E1575" t="inlineStr">
        <is>
          <t>ALE</t>
        </is>
      </c>
      <c r="G1575" t="n">
        <v>0.6</v>
      </c>
      <c r="H1575" t="n">
        <v>0</v>
      </c>
      <c r="I1575" t="n">
        <v>0</v>
      </c>
      <c r="J1575" t="n">
        <v>0</v>
      </c>
      <c r="K1575" t="n">
        <v>0</v>
      </c>
      <c r="L1575" t="n">
        <v>0</v>
      </c>
      <c r="M1575" t="n">
        <v>0</v>
      </c>
      <c r="N1575" t="n">
        <v>0</v>
      </c>
      <c r="O1575" t="n">
        <v>0</v>
      </c>
      <c r="P1575" t="n">
        <v>0</v>
      </c>
      <c r="Q1575" t="n">
        <v>0</v>
      </c>
      <c r="R1575" s="2" t="inlineStr"/>
    </row>
    <row r="1576" ht="15" customHeight="1">
      <c r="A1576" t="inlineStr">
        <is>
          <t>A 66530-2020</t>
        </is>
      </c>
      <c r="B1576" s="1" t="n">
        <v>44179</v>
      </c>
      <c r="C1576" s="1" t="n">
        <v>45952</v>
      </c>
      <c r="D1576" t="inlineStr">
        <is>
          <t>VÄSTRA GÖTALANDS LÄN</t>
        </is>
      </c>
      <c r="E1576" t="inlineStr">
        <is>
          <t>KARLSBORG</t>
        </is>
      </c>
      <c r="F1576" t="inlineStr">
        <is>
          <t>Övriga Aktiebolag</t>
        </is>
      </c>
      <c r="G1576" t="n">
        <v>1.8</v>
      </c>
      <c r="H1576" t="n">
        <v>0</v>
      </c>
      <c r="I1576" t="n">
        <v>0</v>
      </c>
      <c r="J1576" t="n">
        <v>0</v>
      </c>
      <c r="K1576" t="n">
        <v>0</v>
      </c>
      <c r="L1576" t="n">
        <v>0</v>
      </c>
      <c r="M1576" t="n">
        <v>0</v>
      </c>
      <c r="N1576" t="n">
        <v>0</v>
      </c>
      <c r="O1576" t="n">
        <v>0</v>
      </c>
      <c r="P1576" t="n">
        <v>0</v>
      </c>
      <c r="Q1576" t="n">
        <v>0</v>
      </c>
      <c r="R1576" s="2" t="inlineStr"/>
    </row>
    <row r="1577" ht="15" customHeight="1">
      <c r="A1577" t="inlineStr">
        <is>
          <t>A 59045-2020</t>
        </is>
      </c>
      <c r="B1577" s="1" t="n">
        <v>44147</v>
      </c>
      <c r="C1577" s="1" t="n">
        <v>45952</v>
      </c>
      <c r="D1577" t="inlineStr">
        <is>
          <t>VÄSTRA GÖTALANDS LÄN</t>
        </is>
      </c>
      <c r="E1577" t="inlineStr">
        <is>
          <t>GÖTEBORG</t>
        </is>
      </c>
      <c r="G1577" t="n">
        <v>1.1</v>
      </c>
      <c r="H1577" t="n">
        <v>0</v>
      </c>
      <c r="I1577" t="n">
        <v>0</v>
      </c>
      <c r="J1577" t="n">
        <v>0</v>
      </c>
      <c r="K1577" t="n">
        <v>0</v>
      </c>
      <c r="L1577" t="n">
        <v>0</v>
      </c>
      <c r="M1577" t="n">
        <v>0</v>
      </c>
      <c r="N1577" t="n">
        <v>0</v>
      </c>
      <c r="O1577" t="n">
        <v>0</v>
      </c>
      <c r="P1577" t="n">
        <v>0</v>
      </c>
      <c r="Q1577" t="n">
        <v>0</v>
      </c>
      <c r="R1577" s="2" t="inlineStr"/>
    </row>
    <row r="1578" ht="15" customHeight="1">
      <c r="A1578" t="inlineStr">
        <is>
          <t>A 8676-2022</t>
        </is>
      </c>
      <c r="B1578" s="1" t="n">
        <v>44613.67846064815</v>
      </c>
      <c r="C1578" s="1" t="n">
        <v>45952</v>
      </c>
      <c r="D1578" t="inlineStr">
        <is>
          <t>VÄSTRA GÖTALANDS LÄN</t>
        </is>
      </c>
      <c r="E1578" t="inlineStr">
        <is>
          <t>BENGTSFORS</t>
        </is>
      </c>
      <c r="G1578" t="n">
        <v>0.7</v>
      </c>
      <c r="H1578" t="n">
        <v>0</v>
      </c>
      <c r="I1578" t="n">
        <v>0</v>
      </c>
      <c r="J1578" t="n">
        <v>0</v>
      </c>
      <c r="K1578" t="n">
        <v>0</v>
      </c>
      <c r="L1578" t="n">
        <v>0</v>
      </c>
      <c r="M1578" t="n">
        <v>0</v>
      </c>
      <c r="N1578" t="n">
        <v>0</v>
      </c>
      <c r="O1578" t="n">
        <v>0</v>
      </c>
      <c r="P1578" t="n">
        <v>0</v>
      </c>
      <c r="Q1578" t="n">
        <v>0</v>
      </c>
      <c r="R1578" s="2" t="inlineStr"/>
    </row>
    <row r="1579" ht="15" customHeight="1">
      <c r="A1579" t="inlineStr">
        <is>
          <t>A 36791-2021</t>
        </is>
      </c>
      <c r="B1579" s="1" t="n">
        <v>44392.70053240741</v>
      </c>
      <c r="C1579" s="1" t="n">
        <v>45952</v>
      </c>
      <c r="D1579" t="inlineStr">
        <is>
          <t>VÄSTRA GÖTALANDS LÄN</t>
        </is>
      </c>
      <c r="E1579" t="inlineStr">
        <is>
          <t>TANUM</t>
        </is>
      </c>
      <c r="G1579" t="n">
        <v>2</v>
      </c>
      <c r="H1579" t="n">
        <v>0</v>
      </c>
      <c r="I1579" t="n">
        <v>0</v>
      </c>
      <c r="J1579" t="n">
        <v>0</v>
      </c>
      <c r="K1579" t="n">
        <v>0</v>
      </c>
      <c r="L1579" t="n">
        <v>0</v>
      </c>
      <c r="M1579" t="n">
        <v>0</v>
      </c>
      <c r="N1579" t="n">
        <v>0</v>
      </c>
      <c r="O1579" t="n">
        <v>0</v>
      </c>
      <c r="P1579" t="n">
        <v>0</v>
      </c>
      <c r="Q1579" t="n">
        <v>0</v>
      </c>
      <c r="R1579" s="2" t="inlineStr"/>
    </row>
    <row r="1580" ht="15" customHeight="1">
      <c r="A1580" t="inlineStr">
        <is>
          <t>A 43053-2021</t>
        </is>
      </c>
      <c r="B1580" s="1" t="n">
        <v>44431</v>
      </c>
      <c r="C1580" s="1" t="n">
        <v>45952</v>
      </c>
      <c r="D1580" t="inlineStr">
        <is>
          <t>VÄSTRA GÖTALANDS LÄN</t>
        </is>
      </c>
      <c r="E1580" t="inlineStr">
        <is>
          <t>SOTENÄS</t>
        </is>
      </c>
      <c r="G1580" t="n">
        <v>3</v>
      </c>
      <c r="H1580" t="n">
        <v>0</v>
      </c>
      <c r="I1580" t="n">
        <v>0</v>
      </c>
      <c r="J1580" t="n">
        <v>0</v>
      </c>
      <c r="K1580" t="n">
        <v>0</v>
      </c>
      <c r="L1580" t="n">
        <v>0</v>
      </c>
      <c r="M1580" t="n">
        <v>0</v>
      </c>
      <c r="N1580" t="n">
        <v>0</v>
      </c>
      <c r="O1580" t="n">
        <v>0</v>
      </c>
      <c r="P1580" t="n">
        <v>0</v>
      </c>
      <c r="Q1580" t="n">
        <v>0</v>
      </c>
      <c r="R1580" s="2" t="inlineStr"/>
    </row>
    <row r="1581" ht="15" customHeight="1">
      <c r="A1581" t="inlineStr">
        <is>
          <t>A 43056-2021</t>
        </is>
      </c>
      <c r="B1581" s="1" t="n">
        <v>44431</v>
      </c>
      <c r="C1581" s="1" t="n">
        <v>45952</v>
      </c>
      <c r="D1581" t="inlineStr">
        <is>
          <t>VÄSTRA GÖTALANDS LÄN</t>
        </is>
      </c>
      <c r="E1581" t="inlineStr">
        <is>
          <t>SOTENÄS</t>
        </is>
      </c>
      <c r="G1581" t="n">
        <v>1</v>
      </c>
      <c r="H1581" t="n">
        <v>0</v>
      </c>
      <c r="I1581" t="n">
        <v>0</v>
      </c>
      <c r="J1581" t="n">
        <v>0</v>
      </c>
      <c r="K1581" t="n">
        <v>0</v>
      </c>
      <c r="L1581" t="n">
        <v>0</v>
      </c>
      <c r="M1581" t="n">
        <v>0</v>
      </c>
      <c r="N1581" t="n">
        <v>0</v>
      </c>
      <c r="O1581" t="n">
        <v>0</v>
      </c>
      <c r="P1581" t="n">
        <v>0</v>
      </c>
      <c r="Q1581" t="n">
        <v>0</v>
      </c>
      <c r="R1581" s="2" t="inlineStr"/>
    </row>
    <row r="1582" ht="15" customHeight="1">
      <c r="A1582" t="inlineStr">
        <is>
          <t>A 42380-2022</t>
        </is>
      </c>
      <c r="B1582" s="1" t="n">
        <v>44831</v>
      </c>
      <c r="C1582" s="1" t="n">
        <v>45952</v>
      </c>
      <c r="D1582" t="inlineStr">
        <is>
          <t>VÄSTRA GÖTALANDS LÄN</t>
        </is>
      </c>
      <c r="E1582" t="inlineStr">
        <is>
          <t>MÖLNDAL</t>
        </is>
      </c>
      <c r="F1582" t="inlineStr">
        <is>
          <t>Kommuner</t>
        </is>
      </c>
      <c r="G1582" t="n">
        <v>1.2</v>
      </c>
      <c r="H1582" t="n">
        <v>0</v>
      </c>
      <c r="I1582" t="n">
        <v>0</v>
      </c>
      <c r="J1582" t="n">
        <v>0</v>
      </c>
      <c r="K1582" t="n">
        <v>0</v>
      </c>
      <c r="L1582" t="n">
        <v>0</v>
      </c>
      <c r="M1582" t="n">
        <v>0</v>
      </c>
      <c r="N1582" t="n">
        <v>0</v>
      </c>
      <c r="O1582" t="n">
        <v>0</v>
      </c>
      <c r="P1582" t="n">
        <v>0</v>
      </c>
      <c r="Q1582" t="n">
        <v>0</v>
      </c>
      <c r="R1582" s="2" t="inlineStr"/>
    </row>
    <row r="1583" ht="15" customHeight="1">
      <c r="A1583" t="inlineStr">
        <is>
          <t>A 1039-2021</t>
        </is>
      </c>
      <c r="B1583" s="1" t="n">
        <v>44207</v>
      </c>
      <c r="C1583" s="1" t="n">
        <v>45952</v>
      </c>
      <c r="D1583" t="inlineStr">
        <is>
          <t>VÄSTRA GÖTALANDS LÄN</t>
        </is>
      </c>
      <c r="E1583" t="inlineStr">
        <is>
          <t>BENGTSFORS</t>
        </is>
      </c>
      <c r="G1583" t="n">
        <v>0.2</v>
      </c>
      <c r="H1583" t="n">
        <v>0</v>
      </c>
      <c r="I1583" t="n">
        <v>0</v>
      </c>
      <c r="J1583" t="n">
        <v>0</v>
      </c>
      <c r="K1583" t="n">
        <v>0</v>
      </c>
      <c r="L1583" t="n">
        <v>0</v>
      </c>
      <c r="M1583" t="n">
        <v>0</v>
      </c>
      <c r="N1583" t="n">
        <v>0</v>
      </c>
      <c r="O1583" t="n">
        <v>0</v>
      </c>
      <c r="P1583" t="n">
        <v>0</v>
      </c>
      <c r="Q1583" t="n">
        <v>0</v>
      </c>
      <c r="R1583" s="2" t="inlineStr"/>
    </row>
    <row r="1584" ht="15" customHeight="1">
      <c r="A1584" t="inlineStr">
        <is>
          <t>A 62015-2020</t>
        </is>
      </c>
      <c r="B1584" s="1" t="n">
        <v>44157</v>
      </c>
      <c r="C1584" s="1" t="n">
        <v>45952</v>
      </c>
      <c r="D1584" t="inlineStr">
        <is>
          <t>VÄSTRA GÖTALANDS LÄN</t>
        </is>
      </c>
      <c r="E1584" t="inlineStr">
        <is>
          <t>VARA</t>
        </is>
      </c>
      <c r="G1584" t="n">
        <v>0.5</v>
      </c>
      <c r="H1584" t="n">
        <v>0</v>
      </c>
      <c r="I1584" t="n">
        <v>0</v>
      </c>
      <c r="J1584" t="n">
        <v>0</v>
      </c>
      <c r="K1584" t="n">
        <v>0</v>
      </c>
      <c r="L1584" t="n">
        <v>0</v>
      </c>
      <c r="M1584" t="n">
        <v>0</v>
      </c>
      <c r="N1584" t="n">
        <v>0</v>
      </c>
      <c r="O1584" t="n">
        <v>0</v>
      </c>
      <c r="P1584" t="n">
        <v>0</v>
      </c>
      <c r="Q1584" t="n">
        <v>0</v>
      </c>
      <c r="R1584" s="2" t="inlineStr"/>
    </row>
    <row r="1585" ht="15" customHeight="1">
      <c r="A1585" t="inlineStr">
        <is>
          <t>A 55132-2020</t>
        </is>
      </c>
      <c r="B1585" s="1" t="n">
        <v>44130</v>
      </c>
      <c r="C1585" s="1" t="n">
        <v>45952</v>
      </c>
      <c r="D1585" t="inlineStr">
        <is>
          <t>VÄSTRA GÖTALANDS LÄN</t>
        </is>
      </c>
      <c r="E1585" t="inlineStr">
        <is>
          <t>GULLSPÅNG</t>
        </is>
      </c>
      <c r="G1585" t="n">
        <v>0.8</v>
      </c>
      <c r="H1585" t="n">
        <v>0</v>
      </c>
      <c r="I1585" t="n">
        <v>0</v>
      </c>
      <c r="J1585" t="n">
        <v>0</v>
      </c>
      <c r="K1585" t="n">
        <v>0</v>
      </c>
      <c r="L1585" t="n">
        <v>0</v>
      </c>
      <c r="M1585" t="n">
        <v>0</v>
      </c>
      <c r="N1585" t="n">
        <v>0</v>
      </c>
      <c r="O1585" t="n">
        <v>0</v>
      </c>
      <c r="P1585" t="n">
        <v>0</v>
      </c>
      <c r="Q1585" t="n">
        <v>0</v>
      </c>
      <c r="R1585" s="2" t="inlineStr"/>
    </row>
    <row r="1586" ht="15" customHeight="1">
      <c r="A1586" t="inlineStr">
        <is>
          <t>A 57062-2020</t>
        </is>
      </c>
      <c r="B1586" s="1" t="n">
        <v>44138</v>
      </c>
      <c r="C1586" s="1" t="n">
        <v>45952</v>
      </c>
      <c r="D1586" t="inlineStr">
        <is>
          <t>VÄSTRA GÖTALANDS LÄN</t>
        </is>
      </c>
      <c r="E1586" t="inlineStr">
        <is>
          <t>BORÅS</t>
        </is>
      </c>
      <c r="G1586" t="n">
        <v>4</v>
      </c>
      <c r="H1586" t="n">
        <v>0</v>
      </c>
      <c r="I1586" t="n">
        <v>0</v>
      </c>
      <c r="J1586" t="n">
        <v>0</v>
      </c>
      <c r="K1586" t="n">
        <v>0</v>
      </c>
      <c r="L1586" t="n">
        <v>0</v>
      </c>
      <c r="M1586" t="n">
        <v>0</v>
      </c>
      <c r="N1586" t="n">
        <v>0</v>
      </c>
      <c r="O1586" t="n">
        <v>0</v>
      </c>
      <c r="P1586" t="n">
        <v>0</v>
      </c>
      <c r="Q1586" t="n">
        <v>0</v>
      </c>
      <c r="R1586" s="2" t="inlineStr"/>
    </row>
    <row r="1587" ht="15" customHeight="1">
      <c r="A1587" t="inlineStr">
        <is>
          <t>A 28167-2022</t>
        </is>
      </c>
      <c r="B1587" s="1" t="n">
        <v>44746.57121527778</v>
      </c>
      <c r="C1587" s="1" t="n">
        <v>45952</v>
      </c>
      <c r="D1587" t="inlineStr">
        <is>
          <t>VÄSTRA GÖTALANDS LÄN</t>
        </is>
      </c>
      <c r="E1587" t="inlineStr">
        <is>
          <t>GULLSPÅNG</t>
        </is>
      </c>
      <c r="G1587" t="n">
        <v>1.1</v>
      </c>
      <c r="H1587" t="n">
        <v>0</v>
      </c>
      <c r="I1587" t="n">
        <v>0</v>
      </c>
      <c r="J1587" t="n">
        <v>0</v>
      </c>
      <c r="K1587" t="n">
        <v>0</v>
      </c>
      <c r="L1587" t="n">
        <v>0</v>
      </c>
      <c r="M1587" t="n">
        <v>0</v>
      </c>
      <c r="N1587" t="n">
        <v>0</v>
      </c>
      <c r="O1587" t="n">
        <v>0</v>
      </c>
      <c r="P1587" t="n">
        <v>0</v>
      </c>
      <c r="Q1587" t="n">
        <v>0</v>
      </c>
      <c r="R1587" s="2" t="inlineStr"/>
    </row>
    <row r="1588" ht="15" customHeight="1">
      <c r="A1588" t="inlineStr">
        <is>
          <t>A 33513-2021</t>
        </is>
      </c>
      <c r="B1588" s="1" t="n">
        <v>44377</v>
      </c>
      <c r="C1588" s="1" t="n">
        <v>45952</v>
      </c>
      <c r="D1588" t="inlineStr">
        <is>
          <t>VÄSTRA GÖTALANDS LÄN</t>
        </is>
      </c>
      <c r="E1588" t="inlineStr">
        <is>
          <t>GULLSPÅNG</t>
        </is>
      </c>
      <c r="G1588" t="n">
        <v>1.8</v>
      </c>
      <c r="H1588" t="n">
        <v>0</v>
      </c>
      <c r="I1588" t="n">
        <v>0</v>
      </c>
      <c r="J1588" t="n">
        <v>0</v>
      </c>
      <c r="K1588" t="n">
        <v>0</v>
      </c>
      <c r="L1588" t="n">
        <v>0</v>
      </c>
      <c r="M1588" t="n">
        <v>0</v>
      </c>
      <c r="N1588" t="n">
        <v>0</v>
      </c>
      <c r="O1588" t="n">
        <v>0</v>
      </c>
      <c r="P1588" t="n">
        <v>0</v>
      </c>
      <c r="Q1588" t="n">
        <v>0</v>
      </c>
      <c r="R1588" s="2" t="inlineStr"/>
    </row>
    <row r="1589" ht="15" customHeight="1">
      <c r="A1589" t="inlineStr">
        <is>
          <t>A 65803-2020</t>
        </is>
      </c>
      <c r="B1589" s="1" t="n">
        <v>44174</v>
      </c>
      <c r="C1589" s="1" t="n">
        <v>45952</v>
      </c>
      <c r="D1589" t="inlineStr">
        <is>
          <t>VÄSTRA GÖTALANDS LÄN</t>
        </is>
      </c>
      <c r="E1589" t="inlineStr">
        <is>
          <t>BOLLEBYGD</t>
        </is>
      </c>
      <c r="G1589" t="n">
        <v>7.7</v>
      </c>
      <c r="H1589" t="n">
        <v>0</v>
      </c>
      <c r="I1589" t="n">
        <v>0</v>
      </c>
      <c r="J1589" t="n">
        <v>0</v>
      </c>
      <c r="K1589" t="n">
        <v>0</v>
      </c>
      <c r="L1589" t="n">
        <v>0</v>
      </c>
      <c r="M1589" t="n">
        <v>0</v>
      </c>
      <c r="N1589" t="n">
        <v>0</v>
      </c>
      <c r="O1589" t="n">
        <v>0</v>
      </c>
      <c r="P1589" t="n">
        <v>0</v>
      </c>
      <c r="Q1589" t="n">
        <v>0</v>
      </c>
      <c r="R1589" s="2" t="inlineStr"/>
    </row>
    <row r="1590" ht="15" customHeight="1">
      <c r="A1590" t="inlineStr">
        <is>
          <t>A 17411-2022</t>
        </is>
      </c>
      <c r="B1590" s="1" t="n">
        <v>44678.86274305556</v>
      </c>
      <c r="C1590" s="1" t="n">
        <v>45952</v>
      </c>
      <c r="D1590" t="inlineStr">
        <is>
          <t>VÄSTRA GÖTALANDS LÄN</t>
        </is>
      </c>
      <c r="E1590" t="inlineStr">
        <is>
          <t>BORÅS</t>
        </is>
      </c>
      <c r="G1590" t="n">
        <v>1.3</v>
      </c>
      <c r="H1590" t="n">
        <v>0</v>
      </c>
      <c r="I1590" t="n">
        <v>0</v>
      </c>
      <c r="J1590" t="n">
        <v>0</v>
      </c>
      <c r="K1590" t="n">
        <v>0</v>
      </c>
      <c r="L1590" t="n">
        <v>0</v>
      </c>
      <c r="M1590" t="n">
        <v>0</v>
      </c>
      <c r="N1590" t="n">
        <v>0</v>
      </c>
      <c r="O1590" t="n">
        <v>0</v>
      </c>
      <c r="P1590" t="n">
        <v>0</v>
      </c>
      <c r="Q1590" t="n">
        <v>0</v>
      </c>
      <c r="R1590" s="2" t="inlineStr"/>
    </row>
    <row r="1591" ht="15" customHeight="1">
      <c r="A1591" t="inlineStr">
        <is>
          <t>A 67177-2020</t>
        </is>
      </c>
      <c r="B1591" s="1" t="n">
        <v>44180</v>
      </c>
      <c r="C1591" s="1" t="n">
        <v>45952</v>
      </c>
      <c r="D1591" t="inlineStr">
        <is>
          <t>VÄSTRA GÖTALANDS LÄN</t>
        </is>
      </c>
      <c r="E1591" t="inlineStr">
        <is>
          <t>GÖTENE</t>
        </is>
      </c>
      <c r="G1591" t="n">
        <v>0.5</v>
      </c>
      <c r="H1591" t="n">
        <v>0</v>
      </c>
      <c r="I1591" t="n">
        <v>0</v>
      </c>
      <c r="J1591" t="n">
        <v>0</v>
      </c>
      <c r="K1591" t="n">
        <v>0</v>
      </c>
      <c r="L1591" t="n">
        <v>0</v>
      </c>
      <c r="M1591" t="n">
        <v>0</v>
      </c>
      <c r="N1591" t="n">
        <v>0</v>
      </c>
      <c r="O1591" t="n">
        <v>0</v>
      </c>
      <c r="P1591" t="n">
        <v>0</v>
      </c>
      <c r="Q1591" t="n">
        <v>0</v>
      </c>
      <c r="R1591" s="2" t="inlineStr"/>
    </row>
    <row r="1592" ht="15" customHeight="1">
      <c r="A1592" t="inlineStr">
        <is>
          <t>A 44072-2021</t>
        </is>
      </c>
      <c r="B1592" s="1" t="n">
        <v>44434</v>
      </c>
      <c r="C1592" s="1" t="n">
        <v>45952</v>
      </c>
      <c r="D1592" t="inlineStr">
        <is>
          <t>VÄSTRA GÖTALANDS LÄN</t>
        </is>
      </c>
      <c r="E1592" t="inlineStr">
        <is>
          <t>GULLSPÅNG</t>
        </is>
      </c>
      <c r="G1592" t="n">
        <v>5.5</v>
      </c>
      <c r="H1592" t="n">
        <v>0</v>
      </c>
      <c r="I1592" t="n">
        <v>0</v>
      </c>
      <c r="J1592" t="n">
        <v>0</v>
      </c>
      <c r="K1592" t="n">
        <v>0</v>
      </c>
      <c r="L1592" t="n">
        <v>0</v>
      </c>
      <c r="M1592" t="n">
        <v>0</v>
      </c>
      <c r="N1592" t="n">
        <v>0</v>
      </c>
      <c r="O1592" t="n">
        <v>0</v>
      </c>
      <c r="P1592" t="n">
        <v>0</v>
      </c>
      <c r="Q1592" t="n">
        <v>0</v>
      </c>
      <c r="R1592" s="2" t="inlineStr"/>
    </row>
    <row r="1593" ht="15" customHeight="1">
      <c r="A1593" t="inlineStr">
        <is>
          <t>A 14609-2021</t>
        </is>
      </c>
      <c r="B1593" s="1" t="n">
        <v>44280.27577546296</v>
      </c>
      <c r="C1593" s="1" t="n">
        <v>45952</v>
      </c>
      <c r="D1593" t="inlineStr">
        <is>
          <t>VÄSTRA GÖTALANDS LÄN</t>
        </is>
      </c>
      <c r="E1593" t="inlineStr">
        <is>
          <t>TÖREBODA</t>
        </is>
      </c>
      <c r="F1593" t="inlineStr">
        <is>
          <t>Sveaskog</t>
        </is>
      </c>
      <c r="G1593" t="n">
        <v>0.9</v>
      </c>
      <c r="H1593" t="n">
        <v>0</v>
      </c>
      <c r="I1593" t="n">
        <v>0</v>
      </c>
      <c r="J1593" t="n">
        <v>0</v>
      </c>
      <c r="K1593" t="n">
        <v>0</v>
      </c>
      <c r="L1593" t="n">
        <v>0</v>
      </c>
      <c r="M1593" t="n">
        <v>0</v>
      </c>
      <c r="N1593" t="n">
        <v>0</v>
      </c>
      <c r="O1593" t="n">
        <v>0</v>
      </c>
      <c r="P1593" t="n">
        <v>0</v>
      </c>
      <c r="Q1593" t="n">
        <v>0</v>
      </c>
      <c r="R1593" s="2" t="inlineStr"/>
    </row>
    <row r="1594" ht="15" customHeight="1">
      <c r="A1594" t="inlineStr">
        <is>
          <t>A 63245-2020</t>
        </is>
      </c>
      <c r="B1594" s="1" t="n">
        <v>44164</v>
      </c>
      <c r="C1594" s="1" t="n">
        <v>45952</v>
      </c>
      <c r="D1594" t="inlineStr">
        <is>
          <t>VÄSTRA GÖTALANDS LÄN</t>
        </is>
      </c>
      <c r="E1594" t="inlineStr">
        <is>
          <t>VÄNERSBORG</t>
        </is>
      </c>
      <c r="G1594" t="n">
        <v>1.6</v>
      </c>
      <c r="H1594" t="n">
        <v>0</v>
      </c>
      <c r="I1594" t="n">
        <v>0</v>
      </c>
      <c r="J1594" t="n">
        <v>0</v>
      </c>
      <c r="K1594" t="n">
        <v>0</v>
      </c>
      <c r="L1594" t="n">
        <v>0</v>
      </c>
      <c r="M1594" t="n">
        <v>0</v>
      </c>
      <c r="N1594" t="n">
        <v>0</v>
      </c>
      <c r="O1594" t="n">
        <v>0</v>
      </c>
      <c r="P1594" t="n">
        <v>0</v>
      </c>
      <c r="Q1594" t="n">
        <v>0</v>
      </c>
      <c r="R1594" s="2" t="inlineStr"/>
    </row>
    <row r="1595" ht="15" customHeight="1">
      <c r="A1595" t="inlineStr">
        <is>
          <t>A 10158-2021</t>
        </is>
      </c>
      <c r="B1595" s="1" t="n">
        <v>44256</v>
      </c>
      <c r="C1595" s="1" t="n">
        <v>45952</v>
      </c>
      <c r="D1595" t="inlineStr">
        <is>
          <t>VÄSTRA GÖTALANDS LÄN</t>
        </is>
      </c>
      <c r="E1595" t="inlineStr">
        <is>
          <t>VÅRGÅRDA</t>
        </is>
      </c>
      <c r="F1595" t="inlineStr">
        <is>
          <t>Sveaskog</t>
        </is>
      </c>
      <c r="G1595" t="n">
        <v>7.8</v>
      </c>
      <c r="H1595" t="n">
        <v>0</v>
      </c>
      <c r="I1595" t="n">
        <v>0</v>
      </c>
      <c r="J1595" t="n">
        <v>0</v>
      </c>
      <c r="K1595" t="n">
        <v>0</v>
      </c>
      <c r="L1595" t="n">
        <v>0</v>
      </c>
      <c r="M1595" t="n">
        <v>0</v>
      </c>
      <c r="N1595" t="n">
        <v>0</v>
      </c>
      <c r="O1595" t="n">
        <v>0</v>
      </c>
      <c r="P1595" t="n">
        <v>0</v>
      </c>
      <c r="Q1595" t="n">
        <v>0</v>
      </c>
      <c r="R1595" s="2" t="inlineStr"/>
    </row>
    <row r="1596" ht="15" customHeight="1">
      <c r="A1596" t="inlineStr">
        <is>
          <t>A 97-2021</t>
        </is>
      </c>
      <c r="B1596" s="1" t="n">
        <v>44200</v>
      </c>
      <c r="C1596" s="1" t="n">
        <v>45952</v>
      </c>
      <c r="D1596" t="inlineStr">
        <is>
          <t>VÄSTRA GÖTALANDS LÄN</t>
        </is>
      </c>
      <c r="E1596" t="inlineStr">
        <is>
          <t>BORÅS</t>
        </is>
      </c>
      <c r="G1596" t="n">
        <v>1.1</v>
      </c>
      <c r="H1596" t="n">
        <v>0</v>
      </c>
      <c r="I1596" t="n">
        <v>0</v>
      </c>
      <c r="J1596" t="n">
        <v>0</v>
      </c>
      <c r="K1596" t="n">
        <v>0</v>
      </c>
      <c r="L1596" t="n">
        <v>0</v>
      </c>
      <c r="M1596" t="n">
        <v>0</v>
      </c>
      <c r="N1596" t="n">
        <v>0</v>
      </c>
      <c r="O1596" t="n">
        <v>0</v>
      </c>
      <c r="P1596" t="n">
        <v>0</v>
      </c>
      <c r="Q1596" t="n">
        <v>0</v>
      </c>
      <c r="R1596" s="2" t="inlineStr"/>
    </row>
    <row r="1597" ht="15" customHeight="1">
      <c r="A1597" t="inlineStr">
        <is>
          <t>A 58551-2020</t>
        </is>
      </c>
      <c r="B1597" s="1" t="n">
        <v>44145</v>
      </c>
      <c r="C1597" s="1" t="n">
        <v>45952</v>
      </c>
      <c r="D1597" t="inlineStr">
        <is>
          <t>VÄSTRA GÖTALANDS LÄN</t>
        </is>
      </c>
      <c r="E1597" t="inlineStr">
        <is>
          <t>BORÅS</t>
        </is>
      </c>
      <c r="G1597" t="n">
        <v>1.8</v>
      </c>
      <c r="H1597" t="n">
        <v>0</v>
      </c>
      <c r="I1597" t="n">
        <v>0</v>
      </c>
      <c r="J1597" t="n">
        <v>0</v>
      </c>
      <c r="K1597" t="n">
        <v>0</v>
      </c>
      <c r="L1597" t="n">
        <v>0</v>
      </c>
      <c r="M1597" t="n">
        <v>0</v>
      </c>
      <c r="N1597" t="n">
        <v>0</v>
      </c>
      <c r="O1597" t="n">
        <v>0</v>
      </c>
      <c r="P1597" t="n">
        <v>0</v>
      </c>
      <c r="Q1597" t="n">
        <v>0</v>
      </c>
      <c r="R1597" s="2" t="inlineStr"/>
    </row>
    <row r="1598" ht="15" customHeight="1">
      <c r="A1598" t="inlineStr">
        <is>
          <t>A 59779-2021</t>
        </is>
      </c>
      <c r="B1598" s="1" t="n">
        <v>44494</v>
      </c>
      <c r="C1598" s="1" t="n">
        <v>45952</v>
      </c>
      <c r="D1598" t="inlineStr">
        <is>
          <t>VÄSTRA GÖTALANDS LÄN</t>
        </is>
      </c>
      <c r="E1598" t="inlineStr">
        <is>
          <t>TRANEMO</t>
        </is>
      </c>
      <c r="G1598" t="n">
        <v>0.9</v>
      </c>
      <c r="H1598" t="n">
        <v>0</v>
      </c>
      <c r="I1598" t="n">
        <v>0</v>
      </c>
      <c r="J1598" t="n">
        <v>0</v>
      </c>
      <c r="K1598" t="n">
        <v>0</v>
      </c>
      <c r="L1598" t="n">
        <v>0</v>
      </c>
      <c r="M1598" t="n">
        <v>0</v>
      </c>
      <c r="N1598" t="n">
        <v>0</v>
      </c>
      <c r="O1598" t="n">
        <v>0</v>
      </c>
      <c r="P1598" t="n">
        <v>0</v>
      </c>
      <c r="Q1598" t="n">
        <v>0</v>
      </c>
      <c r="R1598" s="2" t="inlineStr"/>
    </row>
    <row r="1599" ht="15" customHeight="1">
      <c r="A1599" t="inlineStr">
        <is>
          <t>A 60704-2020</t>
        </is>
      </c>
      <c r="B1599" s="1" t="n">
        <v>44153</v>
      </c>
      <c r="C1599" s="1" t="n">
        <v>45952</v>
      </c>
      <c r="D1599" t="inlineStr">
        <is>
          <t>VÄSTRA GÖTALANDS LÄN</t>
        </is>
      </c>
      <c r="E1599" t="inlineStr">
        <is>
          <t>LERUM</t>
        </is>
      </c>
      <c r="G1599" t="n">
        <v>2.8</v>
      </c>
      <c r="H1599" t="n">
        <v>0</v>
      </c>
      <c r="I1599" t="n">
        <v>0</v>
      </c>
      <c r="J1599" t="n">
        <v>0</v>
      </c>
      <c r="K1599" t="n">
        <v>0</v>
      </c>
      <c r="L1599" t="n">
        <v>0</v>
      </c>
      <c r="M1599" t="n">
        <v>0</v>
      </c>
      <c r="N1599" t="n">
        <v>0</v>
      </c>
      <c r="O1599" t="n">
        <v>0</v>
      </c>
      <c r="P1599" t="n">
        <v>0</v>
      </c>
      <c r="Q1599" t="n">
        <v>0</v>
      </c>
      <c r="R1599" s="2" t="inlineStr"/>
    </row>
    <row r="1600" ht="15" customHeight="1">
      <c r="A1600" t="inlineStr">
        <is>
          <t>A 3473-2022</t>
        </is>
      </c>
      <c r="B1600" s="1" t="n">
        <v>44585</v>
      </c>
      <c r="C1600" s="1" t="n">
        <v>45952</v>
      </c>
      <c r="D1600" t="inlineStr">
        <is>
          <t>VÄSTRA GÖTALANDS LÄN</t>
        </is>
      </c>
      <c r="E1600" t="inlineStr">
        <is>
          <t>BENGTSFORS</t>
        </is>
      </c>
      <c r="G1600" t="n">
        <v>1.1</v>
      </c>
      <c r="H1600" t="n">
        <v>0</v>
      </c>
      <c r="I1600" t="n">
        <v>0</v>
      </c>
      <c r="J1600" t="n">
        <v>0</v>
      </c>
      <c r="K1600" t="n">
        <v>0</v>
      </c>
      <c r="L1600" t="n">
        <v>0</v>
      </c>
      <c r="M1600" t="n">
        <v>0</v>
      </c>
      <c r="N1600" t="n">
        <v>0</v>
      </c>
      <c r="O1600" t="n">
        <v>0</v>
      </c>
      <c r="P1600" t="n">
        <v>0</v>
      </c>
      <c r="Q1600" t="n">
        <v>0</v>
      </c>
      <c r="R1600" s="2" t="inlineStr"/>
    </row>
    <row r="1601" ht="15" customHeight="1">
      <c r="A1601" t="inlineStr">
        <is>
          <t>A 59138-2020</t>
        </is>
      </c>
      <c r="B1601" s="1" t="n">
        <v>44147</v>
      </c>
      <c r="C1601" s="1" t="n">
        <v>45952</v>
      </c>
      <c r="D1601" t="inlineStr">
        <is>
          <t>VÄSTRA GÖTALANDS LÄN</t>
        </is>
      </c>
      <c r="E1601" t="inlineStr">
        <is>
          <t>BENGTSFORS</t>
        </is>
      </c>
      <c r="G1601" t="n">
        <v>5.1</v>
      </c>
      <c r="H1601" t="n">
        <v>0</v>
      </c>
      <c r="I1601" t="n">
        <v>0</v>
      </c>
      <c r="J1601" t="n">
        <v>0</v>
      </c>
      <c r="K1601" t="n">
        <v>0</v>
      </c>
      <c r="L1601" t="n">
        <v>0</v>
      </c>
      <c r="M1601" t="n">
        <v>0</v>
      </c>
      <c r="N1601" t="n">
        <v>0</v>
      </c>
      <c r="O1601" t="n">
        <v>0</v>
      </c>
      <c r="P1601" t="n">
        <v>0</v>
      </c>
      <c r="Q1601" t="n">
        <v>0</v>
      </c>
      <c r="R1601" s="2" t="inlineStr"/>
    </row>
    <row r="1602" ht="15" customHeight="1">
      <c r="A1602" t="inlineStr">
        <is>
          <t>A 24410-2021</t>
        </is>
      </c>
      <c r="B1602" s="1" t="n">
        <v>44337.5053587963</v>
      </c>
      <c r="C1602" s="1" t="n">
        <v>45952</v>
      </c>
      <c r="D1602" t="inlineStr">
        <is>
          <t>VÄSTRA GÖTALANDS LÄN</t>
        </is>
      </c>
      <c r="E1602" t="inlineStr">
        <is>
          <t>MARK</t>
        </is>
      </c>
      <c r="G1602" t="n">
        <v>0.5</v>
      </c>
      <c r="H1602" t="n">
        <v>0</v>
      </c>
      <c r="I1602" t="n">
        <v>0</v>
      </c>
      <c r="J1602" t="n">
        <v>0</v>
      </c>
      <c r="K1602" t="n">
        <v>0</v>
      </c>
      <c r="L1602" t="n">
        <v>0</v>
      </c>
      <c r="M1602" t="n">
        <v>0</v>
      </c>
      <c r="N1602" t="n">
        <v>0</v>
      </c>
      <c r="O1602" t="n">
        <v>0</v>
      </c>
      <c r="P1602" t="n">
        <v>0</v>
      </c>
      <c r="Q1602" t="n">
        <v>0</v>
      </c>
      <c r="R1602" s="2" t="inlineStr"/>
    </row>
    <row r="1603" ht="15" customHeight="1">
      <c r="A1603" t="inlineStr">
        <is>
          <t>A 24420-2021</t>
        </is>
      </c>
      <c r="B1603" s="1" t="n">
        <v>44337</v>
      </c>
      <c r="C1603" s="1" t="n">
        <v>45952</v>
      </c>
      <c r="D1603" t="inlineStr">
        <is>
          <t>VÄSTRA GÖTALANDS LÄN</t>
        </is>
      </c>
      <c r="E1603" t="inlineStr">
        <is>
          <t>MARIESTAD</t>
        </is>
      </c>
      <c r="G1603" t="n">
        <v>0.5</v>
      </c>
      <c r="H1603" t="n">
        <v>0</v>
      </c>
      <c r="I1603" t="n">
        <v>0</v>
      </c>
      <c r="J1603" t="n">
        <v>0</v>
      </c>
      <c r="K1603" t="n">
        <v>0</v>
      </c>
      <c r="L1603" t="n">
        <v>0</v>
      </c>
      <c r="M1603" t="n">
        <v>0</v>
      </c>
      <c r="N1603" t="n">
        <v>0</v>
      </c>
      <c r="O1603" t="n">
        <v>0</v>
      </c>
      <c r="P1603" t="n">
        <v>0</v>
      </c>
      <c r="Q1603" t="n">
        <v>0</v>
      </c>
      <c r="R1603" s="2" t="inlineStr"/>
    </row>
    <row r="1604" ht="15" customHeight="1">
      <c r="A1604" t="inlineStr">
        <is>
          <t>A 7849-2021</t>
        </is>
      </c>
      <c r="B1604" s="1" t="n">
        <v>44242</v>
      </c>
      <c r="C1604" s="1" t="n">
        <v>45952</v>
      </c>
      <c r="D1604" t="inlineStr">
        <is>
          <t>VÄSTRA GÖTALANDS LÄN</t>
        </is>
      </c>
      <c r="E1604" t="inlineStr">
        <is>
          <t>BENGTSFORS</t>
        </is>
      </c>
      <c r="G1604" t="n">
        <v>1.1</v>
      </c>
      <c r="H1604" t="n">
        <v>0</v>
      </c>
      <c r="I1604" t="n">
        <v>0</v>
      </c>
      <c r="J1604" t="n">
        <v>0</v>
      </c>
      <c r="K1604" t="n">
        <v>0</v>
      </c>
      <c r="L1604" t="n">
        <v>0</v>
      </c>
      <c r="M1604" t="n">
        <v>0</v>
      </c>
      <c r="N1604" t="n">
        <v>0</v>
      </c>
      <c r="O1604" t="n">
        <v>0</v>
      </c>
      <c r="P1604" t="n">
        <v>0</v>
      </c>
      <c r="Q1604" t="n">
        <v>0</v>
      </c>
      <c r="R1604" s="2" t="inlineStr"/>
    </row>
    <row r="1605" ht="15" customHeight="1">
      <c r="A1605" t="inlineStr">
        <is>
          <t>A 11331-2021</t>
        </is>
      </c>
      <c r="B1605" s="1" t="n">
        <v>44263</v>
      </c>
      <c r="C1605" s="1" t="n">
        <v>45952</v>
      </c>
      <c r="D1605" t="inlineStr">
        <is>
          <t>VÄSTRA GÖTALANDS LÄN</t>
        </is>
      </c>
      <c r="E1605" t="inlineStr">
        <is>
          <t>FALKÖPING</t>
        </is>
      </c>
      <c r="G1605" t="n">
        <v>3.6</v>
      </c>
      <c r="H1605" t="n">
        <v>0</v>
      </c>
      <c r="I1605" t="n">
        <v>0</v>
      </c>
      <c r="J1605" t="n">
        <v>0</v>
      </c>
      <c r="K1605" t="n">
        <v>0</v>
      </c>
      <c r="L1605" t="n">
        <v>0</v>
      </c>
      <c r="M1605" t="n">
        <v>0</v>
      </c>
      <c r="N1605" t="n">
        <v>0</v>
      </c>
      <c r="O1605" t="n">
        <v>0</v>
      </c>
      <c r="P1605" t="n">
        <v>0</v>
      </c>
      <c r="Q1605" t="n">
        <v>0</v>
      </c>
      <c r="R1605" s="2" t="inlineStr"/>
    </row>
    <row r="1606" ht="15" customHeight="1">
      <c r="A1606" t="inlineStr">
        <is>
          <t>A 58358-2020</t>
        </is>
      </c>
      <c r="B1606" s="1" t="n">
        <v>44144</v>
      </c>
      <c r="C1606" s="1" t="n">
        <v>45952</v>
      </c>
      <c r="D1606" t="inlineStr">
        <is>
          <t>VÄSTRA GÖTALANDS LÄN</t>
        </is>
      </c>
      <c r="E1606" t="inlineStr">
        <is>
          <t>MELLERUD</t>
        </is>
      </c>
      <c r="G1606" t="n">
        <v>2.4</v>
      </c>
      <c r="H1606" t="n">
        <v>0</v>
      </c>
      <c r="I1606" t="n">
        <v>0</v>
      </c>
      <c r="J1606" t="n">
        <v>0</v>
      </c>
      <c r="K1606" t="n">
        <v>0</v>
      </c>
      <c r="L1606" t="n">
        <v>0</v>
      </c>
      <c r="M1606" t="n">
        <v>0</v>
      </c>
      <c r="N1606" t="n">
        <v>0</v>
      </c>
      <c r="O1606" t="n">
        <v>0</v>
      </c>
      <c r="P1606" t="n">
        <v>0</v>
      </c>
      <c r="Q1606" t="n">
        <v>0</v>
      </c>
      <c r="R1606" s="2" t="inlineStr"/>
    </row>
    <row r="1607" ht="15" customHeight="1">
      <c r="A1607" t="inlineStr">
        <is>
          <t>A 30820-2022</t>
        </is>
      </c>
      <c r="B1607" s="1" t="n">
        <v>44766.64856481482</v>
      </c>
      <c r="C1607" s="1" t="n">
        <v>45952</v>
      </c>
      <c r="D1607" t="inlineStr">
        <is>
          <t>VÄSTRA GÖTALANDS LÄN</t>
        </is>
      </c>
      <c r="E1607" t="inlineStr">
        <is>
          <t>MARIESTAD</t>
        </is>
      </c>
      <c r="G1607" t="n">
        <v>0.9</v>
      </c>
      <c r="H1607" t="n">
        <v>0</v>
      </c>
      <c r="I1607" t="n">
        <v>0</v>
      </c>
      <c r="J1607" t="n">
        <v>0</v>
      </c>
      <c r="K1607" t="n">
        <v>0</v>
      </c>
      <c r="L1607" t="n">
        <v>0</v>
      </c>
      <c r="M1607" t="n">
        <v>0</v>
      </c>
      <c r="N1607" t="n">
        <v>0</v>
      </c>
      <c r="O1607" t="n">
        <v>0</v>
      </c>
      <c r="P1607" t="n">
        <v>0</v>
      </c>
      <c r="Q1607" t="n">
        <v>0</v>
      </c>
      <c r="R1607" s="2" t="inlineStr"/>
    </row>
    <row r="1608" ht="15" customHeight="1">
      <c r="A1608" t="inlineStr">
        <is>
          <t>A 15489-2021</t>
        </is>
      </c>
      <c r="B1608" s="1" t="n">
        <v>44285</v>
      </c>
      <c r="C1608" s="1" t="n">
        <v>45952</v>
      </c>
      <c r="D1608" t="inlineStr">
        <is>
          <t>VÄSTRA GÖTALANDS LÄN</t>
        </is>
      </c>
      <c r="E1608" t="inlineStr">
        <is>
          <t>TANUM</t>
        </is>
      </c>
      <c r="G1608" t="n">
        <v>3.8</v>
      </c>
      <c r="H1608" t="n">
        <v>0</v>
      </c>
      <c r="I1608" t="n">
        <v>0</v>
      </c>
      <c r="J1608" t="n">
        <v>0</v>
      </c>
      <c r="K1608" t="n">
        <v>0</v>
      </c>
      <c r="L1608" t="n">
        <v>0</v>
      </c>
      <c r="M1608" t="n">
        <v>0</v>
      </c>
      <c r="N1608" t="n">
        <v>0</v>
      </c>
      <c r="O1608" t="n">
        <v>0</v>
      </c>
      <c r="P1608" t="n">
        <v>0</v>
      </c>
      <c r="Q1608" t="n">
        <v>0</v>
      </c>
      <c r="R1608" s="2" t="inlineStr"/>
    </row>
    <row r="1609" ht="15" customHeight="1">
      <c r="A1609" t="inlineStr">
        <is>
          <t>A 31076-2022</t>
        </is>
      </c>
      <c r="B1609" s="1" t="n">
        <v>44769.576875</v>
      </c>
      <c r="C1609" s="1" t="n">
        <v>45952</v>
      </c>
      <c r="D1609" t="inlineStr">
        <is>
          <t>VÄSTRA GÖTALANDS LÄN</t>
        </is>
      </c>
      <c r="E1609" t="inlineStr">
        <is>
          <t>GRÄSTORP</t>
        </is>
      </c>
      <c r="G1609" t="n">
        <v>0.5</v>
      </c>
      <c r="H1609" t="n">
        <v>0</v>
      </c>
      <c r="I1609" t="n">
        <v>0</v>
      </c>
      <c r="J1609" t="n">
        <v>0</v>
      </c>
      <c r="K1609" t="n">
        <v>0</v>
      </c>
      <c r="L1609" t="n">
        <v>0</v>
      </c>
      <c r="M1609" t="n">
        <v>0</v>
      </c>
      <c r="N1609" t="n">
        <v>0</v>
      </c>
      <c r="O1609" t="n">
        <v>0</v>
      </c>
      <c r="P1609" t="n">
        <v>0</v>
      </c>
      <c r="Q1609" t="n">
        <v>0</v>
      </c>
      <c r="R1609" s="2" t="inlineStr"/>
    </row>
    <row r="1610" ht="15" customHeight="1">
      <c r="A1610" t="inlineStr">
        <is>
          <t>A 41751-2021</t>
        </is>
      </c>
      <c r="B1610" s="1" t="n">
        <v>44425</v>
      </c>
      <c r="C1610" s="1" t="n">
        <v>45952</v>
      </c>
      <c r="D1610" t="inlineStr">
        <is>
          <t>VÄSTRA GÖTALANDS LÄN</t>
        </is>
      </c>
      <c r="E1610" t="inlineStr">
        <is>
          <t>KUNGÄLV</t>
        </is>
      </c>
      <c r="G1610" t="n">
        <v>1.8</v>
      </c>
      <c r="H1610" t="n">
        <v>0</v>
      </c>
      <c r="I1610" t="n">
        <v>0</v>
      </c>
      <c r="J1610" t="n">
        <v>0</v>
      </c>
      <c r="K1610" t="n">
        <v>0</v>
      </c>
      <c r="L1610" t="n">
        <v>0</v>
      </c>
      <c r="M1610" t="n">
        <v>0</v>
      </c>
      <c r="N1610" t="n">
        <v>0</v>
      </c>
      <c r="O1610" t="n">
        <v>0</v>
      </c>
      <c r="P1610" t="n">
        <v>0</v>
      </c>
      <c r="Q1610" t="n">
        <v>0</v>
      </c>
      <c r="R1610" s="2" t="inlineStr"/>
    </row>
    <row r="1611" ht="15" customHeight="1">
      <c r="A1611" t="inlineStr">
        <is>
          <t>A 7590-2021</t>
        </is>
      </c>
      <c r="B1611" s="1" t="n">
        <v>44241</v>
      </c>
      <c r="C1611" s="1" t="n">
        <v>45952</v>
      </c>
      <c r="D1611" t="inlineStr">
        <is>
          <t>VÄSTRA GÖTALANDS LÄN</t>
        </is>
      </c>
      <c r="E1611" t="inlineStr">
        <is>
          <t>TANUM</t>
        </is>
      </c>
      <c r="G1611" t="n">
        <v>2.4</v>
      </c>
      <c r="H1611" t="n">
        <v>0</v>
      </c>
      <c r="I1611" t="n">
        <v>0</v>
      </c>
      <c r="J1611" t="n">
        <v>0</v>
      </c>
      <c r="K1611" t="n">
        <v>0</v>
      </c>
      <c r="L1611" t="n">
        <v>0</v>
      </c>
      <c r="M1611" t="n">
        <v>0</v>
      </c>
      <c r="N1611" t="n">
        <v>0</v>
      </c>
      <c r="O1611" t="n">
        <v>0</v>
      </c>
      <c r="P1611" t="n">
        <v>0</v>
      </c>
      <c r="Q1611" t="n">
        <v>0</v>
      </c>
      <c r="R1611" s="2" t="inlineStr"/>
    </row>
    <row r="1612" ht="15" customHeight="1">
      <c r="A1612" t="inlineStr">
        <is>
          <t>A 52308-2022</t>
        </is>
      </c>
      <c r="B1612" s="1" t="n">
        <v>44873</v>
      </c>
      <c r="C1612" s="1" t="n">
        <v>45952</v>
      </c>
      <c r="D1612" t="inlineStr">
        <is>
          <t>VÄSTRA GÖTALANDS LÄN</t>
        </is>
      </c>
      <c r="E1612" t="inlineStr">
        <is>
          <t>BORÅS</t>
        </is>
      </c>
      <c r="G1612" t="n">
        <v>1.6</v>
      </c>
      <c r="H1612" t="n">
        <v>0</v>
      </c>
      <c r="I1612" t="n">
        <v>0</v>
      </c>
      <c r="J1612" t="n">
        <v>0</v>
      </c>
      <c r="K1612" t="n">
        <v>0</v>
      </c>
      <c r="L1612" t="n">
        <v>0</v>
      </c>
      <c r="M1612" t="n">
        <v>0</v>
      </c>
      <c r="N1612" t="n">
        <v>0</v>
      </c>
      <c r="O1612" t="n">
        <v>0</v>
      </c>
      <c r="P1612" t="n">
        <v>0</v>
      </c>
      <c r="Q1612" t="n">
        <v>0</v>
      </c>
      <c r="R1612" s="2" t="inlineStr"/>
    </row>
    <row r="1613" ht="15" customHeight="1">
      <c r="A1613" t="inlineStr">
        <is>
          <t>A 7063-2021</t>
        </is>
      </c>
      <c r="B1613" s="1" t="n">
        <v>44237</v>
      </c>
      <c r="C1613" s="1" t="n">
        <v>45952</v>
      </c>
      <c r="D1613" t="inlineStr">
        <is>
          <t>VÄSTRA GÖTALANDS LÄN</t>
        </is>
      </c>
      <c r="E1613" t="inlineStr">
        <is>
          <t>BORÅS</t>
        </is>
      </c>
      <c r="G1613" t="n">
        <v>1.1</v>
      </c>
      <c r="H1613" t="n">
        <v>0</v>
      </c>
      <c r="I1613" t="n">
        <v>0</v>
      </c>
      <c r="J1613" t="n">
        <v>0</v>
      </c>
      <c r="K1613" t="n">
        <v>0</v>
      </c>
      <c r="L1613" t="n">
        <v>0</v>
      </c>
      <c r="M1613" t="n">
        <v>0</v>
      </c>
      <c r="N1613" t="n">
        <v>0</v>
      </c>
      <c r="O1613" t="n">
        <v>0</v>
      </c>
      <c r="P1613" t="n">
        <v>0</v>
      </c>
      <c r="Q1613" t="n">
        <v>0</v>
      </c>
      <c r="R1613" s="2" t="inlineStr"/>
    </row>
    <row r="1614" ht="15" customHeight="1">
      <c r="A1614" t="inlineStr">
        <is>
          <t>A 16499-2021</t>
        </is>
      </c>
      <c r="B1614" s="1" t="n">
        <v>44293</v>
      </c>
      <c r="C1614" s="1" t="n">
        <v>45952</v>
      </c>
      <c r="D1614" t="inlineStr">
        <is>
          <t>VÄSTRA GÖTALANDS LÄN</t>
        </is>
      </c>
      <c r="E1614" t="inlineStr">
        <is>
          <t>BENGTSFORS</t>
        </is>
      </c>
      <c r="G1614" t="n">
        <v>1.7</v>
      </c>
      <c r="H1614" t="n">
        <v>0</v>
      </c>
      <c r="I1614" t="n">
        <v>0</v>
      </c>
      <c r="J1614" t="n">
        <v>0</v>
      </c>
      <c r="K1614" t="n">
        <v>0</v>
      </c>
      <c r="L1614" t="n">
        <v>0</v>
      </c>
      <c r="M1614" t="n">
        <v>0</v>
      </c>
      <c r="N1614" t="n">
        <v>0</v>
      </c>
      <c r="O1614" t="n">
        <v>0</v>
      </c>
      <c r="P1614" t="n">
        <v>0</v>
      </c>
      <c r="Q1614" t="n">
        <v>0</v>
      </c>
      <c r="R1614" s="2" t="inlineStr"/>
    </row>
    <row r="1615" ht="15" customHeight="1">
      <c r="A1615" t="inlineStr">
        <is>
          <t>A 21947-2021</t>
        </is>
      </c>
      <c r="B1615" s="1" t="n">
        <v>44322.96021990741</v>
      </c>
      <c r="C1615" s="1" t="n">
        <v>45952</v>
      </c>
      <c r="D1615" t="inlineStr">
        <is>
          <t>VÄSTRA GÖTALANDS LÄN</t>
        </is>
      </c>
      <c r="E1615" t="inlineStr">
        <is>
          <t>GULLSPÅNG</t>
        </is>
      </c>
      <c r="G1615" t="n">
        <v>1.7</v>
      </c>
      <c r="H1615" t="n">
        <v>0</v>
      </c>
      <c r="I1615" t="n">
        <v>0</v>
      </c>
      <c r="J1615" t="n">
        <v>0</v>
      </c>
      <c r="K1615" t="n">
        <v>0</v>
      </c>
      <c r="L1615" t="n">
        <v>0</v>
      </c>
      <c r="M1615" t="n">
        <v>0</v>
      </c>
      <c r="N1615" t="n">
        <v>0</v>
      </c>
      <c r="O1615" t="n">
        <v>0</v>
      </c>
      <c r="P1615" t="n">
        <v>0</v>
      </c>
      <c r="Q1615" t="n">
        <v>0</v>
      </c>
      <c r="R1615" s="2" t="inlineStr"/>
    </row>
    <row r="1616" ht="15" customHeight="1">
      <c r="A1616" t="inlineStr">
        <is>
          <t>A 33547-2022</t>
        </is>
      </c>
      <c r="B1616" s="1" t="n">
        <v>44789.37310185185</v>
      </c>
      <c r="C1616" s="1" t="n">
        <v>45952</v>
      </c>
      <c r="D1616" t="inlineStr">
        <is>
          <t>VÄSTRA GÖTALANDS LÄN</t>
        </is>
      </c>
      <c r="E1616" t="inlineStr">
        <is>
          <t>TROLLHÄTTAN</t>
        </is>
      </c>
      <c r="G1616" t="n">
        <v>0.5</v>
      </c>
      <c r="H1616" t="n">
        <v>0</v>
      </c>
      <c r="I1616" t="n">
        <v>0</v>
      </c>
      <c r="J1616" t="n">
        <v>0</v>
      </c>
      <c r="K1616" t="n">
        <v>0</v>
      </c>
      <c r="L1616" t="n">
        <v>0</v>
      </c>
      <c r="M1616" t="n">
        <v>0</v>
      </c>
      <c r="N1616" t="n">
        <v>0</v>
      </c>
      <c r="O1616" t="n">
        <v>0</v>
      </c>
      <c r="P1616" t="n">
        <v>0</v>
      </c>
      <c r="Q1616" t="n">
        <v>0</v>
      </c>
      <c r="R1616" s="2" t="inlineStr"/>
    </row>
    <row r="1617" ht="15" customHeight="1">
      <c r="A1617" t="inlineStr">
        <is>
          <t>A 41312-2021</t>
        </is>
      </c>
      <c r="B1617" s="1" t="n">
        <v>44424.57387731481</v>
      </c>
      <c r="C1617" s="1" t="n">
        <v>45952</v>
      </c>
      <c r="D1617" t="inlineStr">
        <is>
          <t>VÄSTRA GÖTALANDS LÄN</t>
        </is>
      </c>
      <c r="E1617" t="inlineStr">
        <is>
          <t>STENUNGSUND</t>
        </is>
      </c>
      <c r="G1617" t="n">
        <v>1.5</v>
      </c>
      <c r="H1617" t="n">
        <v>0</v>
      </c>
      <c r="I1617" t="n">
        <v>0</v>
      </c>
      <c r="J1617" t="n">
        <v>0</v>
      </c>
      <c r="K1617" t="n">
        <v>0</v>
      </c>
      <c r="L1617" t="n">
        <v>0</v>
      </c>
      <c r="M1617" t="n">
        <v>0</v>
      </c>
      <c r="N1617" t="n">
        <v>0</v>
      </c>
      <c r="O1617" t="n">
        <v>0</v>
      </c>
      <c r="P1617" t="n">
        <v>0</v>
      </c>
      <c r="Q1617" t="n">
        <v>0</v>
      </c>
      <c r="R1617" s="2" t="inlineStr"/>
    </row>
    <row r="1618" ht="15" customHeight="1">
      <c r="A1618" t="inlineStr">
        <is>
          <t>A 56922-2020</t>
        </is>
      </c>
      <c r="B1618" s="1" t="n">
        <v>44138</v>
      </c>
      <c r="C1618" s="1" t="n">
        <v>45952</v>
      </c>
      <c r="D1618" t="inlineStr">
        <is>
          <t>VÄSTRA GÖTALANDS LÄN</t>
        </is>
      </c>
      <c r="E1618" t="inlineStr">
        <is>
          <t>SVENLJUNGA</t>
        </is>
      </c>
      <c r="G1618" t="n">
        <v>1.2</v>
      </c>
      <c r="H1618" t="n">
        <v>0</v>
      </c>
      <c r="I1618" t="n">
        <v>0</v>
      </c>
      <c r="J1618" t="n">
        <v>0</v>
      </c>
      <c r="K1618" t="n">
        <v>0</v>
      </c>
      <c r="L1618" t="n">
        <v>0</v>
      </c>
      <c r="M1618" t="n">
        <v>0</v>
      </c>
      <c r="N1618" t="n">
        <v>0</v>
      </c>
      <c r="O1618" t="n">
        <v>0</v>
      </c>
      <c r="P1618" t="n">
        <v>0</v>
      </c>
      <c r="Q1618" t="n">
        <v>0</v>
      </c>
      <c r="R1618" s="2" t="inlineStr"/>
    </row>
    <row r="1619" ht="15" customHeight="1">
      <c r="A1619" t="inlineStr">
        <is>
          <t>A 56940-2020</t>
        </is>
      </c>
      <c r="B1619" s="1" t="n">
        <v>44137</v>
      </c>
      <c r="C1619" s="1" t="n">
        <v>45952</v>
      </c>
      <c r="D1619" t="inlineStr">
        <is>
          <t>VÄSTRA GÖTALANDS LÄN</t>
        </is>
      </c>
      <c r="E1619" t="inlineStr">
        <is>
          <t>TÖREBODA</t>
        </is>
      </c>
      <c r="G1619" t="n">
        <v>1.1</v>
      </c>
      <c r="H1619" t="n">
        <v>0</v>
      </c>
      <c r="I1619" t="n">
        <v>0</v>
      </c>
      <c r="J1619" t="n">
        <v>0</v>
      </c>
      <c r="K1619" t="n">
        <v>0</v>
      </c>
      <c r="L1619" t="n">
        <v>0</v>
      </c>
      <c r="M1619" t="n">
        <v>0</v>
      </c>
      <c r="N1619" t="n">
        <v>0</v>
      </c>
      <c r="O1619" t="n">
        <v>0</v>
      </c>
      <c r="P1619" t="n">
        <v>0</v>
      </c>
      <c r="Q1619" t="n">
        <v>0</v>
      </c>
      <c r="R1619" s="2" t="inlineStr"/>
    </row>
    <row r="1620" ht="15" customHeight="1">
      <c r="A1620" t="inlineStr">
        <is>
          <t>A 56953-2020</t>
        </is>
      </c>
      <c r="B1620" s="1" t="n">
        <v>44137</v>
      </c>
      <c r="C1620" s="1" t="n">
        <v>45952</v>
      </c>
      <c r="D1620" t="inlineStr">
        <is>
          <t>VÄSTRA GÖTALANDS LÄN</t>
        </is>
      </c>
      <c r="E1620" t="inlineStr">
        <is>
          <t>BORÅS</t>
        </is>
      </c>
      <c r="G1620" t="n">
        <v>6.6</v>
      </c>
      <c r="H1620" t="n">
        <v>0</v>
      </c>
      <c r="I1620" t="n">
        <v>0</v>
      </c>
      <c r="J1620" t="n">
        <v>0</v>
      </c>
      <c r="K1620" t="n">
        <v>0</v>
      </c>
      <c r="L1620" t="n">
        <v>0</v>
      </c>
      <c r="M1620" t="n">
        <v>0</v>
      </c>
      <c r="N1620" t="n">
        <v>0</v>
      </c>
      <c r="O1620" t="n">
        <v>0</v>
      </c>
      <c r="P1620" t="n">
        <v>0</v>
      </c>
      <c r="Q1620" t="n">
        <v>0</v>
      </c>
      <c r="R1620" s="2" t="inlineStr"/>
    </row>
    <row r="1621" ht="15" customHeight="1">
      <c r="A1621" t="inlineStr">
        <is>
          <t>A 56954-2020</t>
        </is>
      </c>
      <c r="B1621" s="1" t="n">
        <v>44137</v>
      </c>
      <c r="C1621" s="1" t="n">
        <v>45952</v>
      </c>
      <c r="D1621" t="inlineStr">
        <is>
          <t>VÄSTRA GÖTALANDS LÄN</t>
        </is>
      </c>
      <c r="E1621" t="inlineStr">
        <is>
          <t>VARA</t>
        </is>
      </c>
      <c r="G1621" t="n">
        <v>3</v>
      </c>
      <c r="H1621" t="n">
        <v>0</v>
      </c>
      <c r="I1621" t="n">
        <v>0</v>
      </c>
      <c r="J1621" t="n">
        <v>0</v>
      </c>
      <c r="K1621" t="n">
        <v>0</v>
      </c>
      <c r="L1621" t="n">
        <v>0</v>
      </c>
      <c r="M1621" t="n">
        <v>0</v>
      </c>
      <c r="N1621" t="n">
        <v>0</v>
      </c>
      <c r="O1621" t="n">
        <v>0</v>
      </c>
      <c r="P1621" t="n">
        <v>0</v>
      </c>
      <c r="Q1621" t="n">
        <v>0</v>
      </c>
      <c r="R1621" s="2" t="inlineStr"/>
    </row>
    <row r="1622" ht="15" customHeight="1">
      <c r="A1622" t="inlineStr">
        <is>
          <t>A 36501-2022</t>
        </is>
      </c>
      <c r="B1622" s="1" t="n">
        <v>44804.47979166666</v>
      </c>
      <c r="C1622" s="1" t="n">
        <v>45952</v>
      </c>
      <c r="D1622" t="inlineStr">
        <is>
          <t>VÄSTRA GÖTALANDS LÄN</t>
        </is>
      </c>
      <c r="E1622" t="inlineStr">
        <is>
          <t>TRANEMO</t>
        </is>
      </c>
      <c r="G1622" t="n">
        <v>0.2</v>
      </c>
      <c r="H1622" t="n">
        <v>0</v>
      </c>
      <c r="I1622" t="n">
        <v>0</v>
      </c>
      <c r="J1622" t="n">
        <v>0</v>
      </c>
      <c r="K1622" t="n">
        <v>0</v>
      </c>
      <c r="L1622" t="n">
        <v>0</v>
      </c>
      <c r="M1622" t="n">
        <v>0</v>
      </c>
      <c r="N1622" t="n">
        <v>0</v>
      </c>
      <c r="O1622" t="n">
        <v>0</v>
      </c>
      <c r="P1622" t="n">
        <v>0</v>
      </c>
      <c r="Q1622" t="n">
        <v>0</v>
      </c>
      <c r="R1622" s="2" t="inlineStr"/>
    </row>
    <row r="1623" ht="15" customHeight="1">
      <c r="A1623" t="inlineStr">
        <is>
          <t>A 24700-2022</t>
        </is>
      </c>
      <c r="B1623" s="1" t="n">
        <v>44727.77521990741</v>
      </c>
      <c r="C1623" s="1" t="n">
        <v>45952</v>
      </c>
      <c r="D1623" t="inlineStr">
        <is>
          <t>VÄSTRA GÖTALANDS LÄN</t>
        </is>
      </c>
      <c r="E1623" t="inlineStr">
        <is>
          <t>SVENLJUNGA</t>
        </is>
      </c>
      <c r="G1623" t="n">
        <v>0.5</v>
      </c>
      <c r="H1623" t="n">
        <v>0</v>
      </c>
      <c r="I1623" t="n">
        <v>0</v>
      </c>
      <c r="J1623" t="n">
        <v>0</v>
      </c>
      <c r="K1623" t="n">
        <v>0</v>
      </c>
      <c r="L1623" t="n">
        <v>0</v>
      </c>
      <c r="M1623" t="n">
        <v>0</v>
      </c>
      <c r="N1623" t="n">
        <v>0</v>
      </c>
      <c r="O1623" t="n">
        <v>0</v>
      </c>
      <c r="P1623" t="n">
        <v>0</v>
      </c>
      <c r="Q1623" t="n">
        <v>0</v>
      </c>
      <c r="R1623" s="2" t="inlineStr"/>
    </row>
    <row r="1624" ht="15" customHeight="1">
      <c r="A1624" t="inlineStr">
        <is>
          <t>A 2966-2021</t>
        </is>
      </c>
      <c r="B1624" s="1" t="n">
        <v>44216</v>
      </c>
      <c r="C1624" s="1" t="n">
        <v>45952</v>
      </c>
      <c r="D1624" t="inlineStr">
        <is>
          <t>VÄSTRA GÖTALANDS LÄN</t>
        </is>
      </c>
      <c r="E1624" t="inlineStr">
        <is>
          <t>GULLSPÅNG</t>
        </is>
      </c>
      <c r="G1624" t="n">
        <v>1.3</v>
      </c>
      <c r="H1624" t="n">
        <v>0</v>
      </c>
      <c r="I1624" t="n">
        <v>0</v>
      </c>
      <c r="J1624" t="n">
        <v>0</v>
      </c>
      <c r="K1624" t="n">
        <v>0</v>
      </c>
      <c r="L1624" t="n">
        <v>0</v>
      </c>
      <c r="M1624" t="n">
        <v>0</v>
      </c>
      <c r="N1624" t="n">
        <v>0</v>
      </c>
      <c r="O1624" t="n">
        <v>0</v>
      </c>
      <c r="P1624" t="n">
        <v>0</v>
      </c>
      <c r="Q1624" t="n">
        <v>0</v>
      </c>
      <c r="R1624" s="2" t="inlineStr"/>
    </row>
    <row r="1625" ht="15" customHeight="1">
      <c r="A1625" t="inlineStr">
        <is>
          <t>A 46424-2021</t>
        </is>
      </c>
      <c r="B1625" s="1" t="n">
        <v>44442</v>
      </c>
      <c r="C1625" s="1" t="n">
        <v>45952</v>
      </c>
      <c r="D1625" t="inlineStr">
        <is>
          <t>VÄSTRA GÖTALANDS LÄN</t>
        </is>
      </c>
      <c r="E1625" t="inlineStr">
        <is>
          <t>VÄNERSBORG</t>
        </is>
      </c>
      <c r="G1625" t="n">
        <v>4</v>
      </c>
      <c r="H1625" t="n">
        <v>0</v>
      </c>
      <c r="I1625" t="n">
        <v>0</v>
      </c>
      <c r="J1625" t="n">
        <v>0</v>
      </c>
      <c r="K1625" t="n">
        <v>0</v>
      </c>
      <c r="L1625" t="n">
        <v>0</v>
      </c>
      <c r="M1625" t="n">
        <v>0</v>
      </c>
      <c r="N1625" t="n">
        <v>0</v>
      </c>
      <c r="O1625" t="n">
        <v>0</v>
      </c>
      <c r="P1625" t="n">
        <v>0</v>
      </c>
      <c r="Q1625" t="n">
        <v>0</v>
      </c>
      <c r="R1625" s="2" t="inlineStr"/>
    </row>
    <row r="1626" ht="15" customHeight="1">
      <c r="A1626" t="inlineStr">
        <is>
          <t>A 14349-2021</t>
        </is>
      </c>
      <c r="B1626" s="1" t="n">
        <v>44278</v>
      </c>
      <c r="C1626" s="1" t="n">
        <v>45952</v>
      </c>
      <c r="D1626" t="inlineStr">
        <is>
          <t>VÄSTRA GÖTALANDS LÄN</t>
        </is>
      </c>
      <c r="E1626" t="inlineStr">
        <is>
          <t>HÄRRYDA</t>
        </is>
      </c>
      <c r="G1626" t="n">
        <v>1</v>
      </c>
      <c r="H1626" t="n">
        <v>0</v>
      </c>
      <c r="I1626" t="n">
        <v>0</v>
      </c>
      <c r="J1626" t="n">
        <v>0</v>
      </c>
      <c r="K1626" t="n">
        <v>0</v>
      </c>
      <c r="L1626" t="n">
        <v>0</v>
      </c>
      <c r="M1626" t="n">
        <v>0</v>
      </c>
      <c r="N1626" t="n">
        <v>0</v>
      </c>
      <c r="O1626" t="n">
        <v>0</v>
      </c>
      <c r="P1626" t="n">
        <v>0</v>
      </c>
      <c r="Q1626" t="n">
        <v>0</v>
      </c>
      <c r="R1626" s="2" t="inlineStr"/>
    </row>
    <row r="1627" ht="15" customHeight="1">
      <c r="A1627" t="inlineStr">
        <is>
          <t>A 27849-2021</t>
        </is>
      </c>
      <c r="B1627" s="1" t="n">
        <v>44354.60260416667</v>
      </c>
      <c r="C1627" s="1" t="n">
        <v>45952</v>
      </c>
      <c r="D1627" t="inlineStr">
        <is>
          <t>VÄSTRA GÖTALANDS LÄN</t>
        </is>
      </c>
      <c r="E1627" t="inlineStr">
        <is>
          <t>HJO</t>
        </is>
      </c>
      <c r="G1627" t="n">
        <v>1.4</v>
      </c>
      <c r="H1627" t="n">
        <v>0</v>
      </c>
      <c r="I1627" t="n">
        <v>0</v>
      </c>
      <c r="J1627" t="n">
        <v>0</v>
      </c>
      <c r="K1627" t="n">
        <v>0</v>
      </c>
      <c r="L1627" t="n">
        <v>0</v>
      </c>
      <c r="M1627" t="n">
        <v>0</v>
      </c>
      <c r="N1627" t="n">
        <v>0</v>
      </c>
      <c r="O1627" t="n">
        <v>0</v>
      </c>
      <c r="P1627" t="n">
        <v>0</v>
      </c>
      <c r="Q1627" t="n">
        <v>0</v>
      </c>
      <c r="R1627" s="2" t="inlineStr"/>
    </row>
    <row r="1628" ht="15" customHeight="1">
      <c r="A1628" t="inlineStr">
        <is>
          <t>A 64165-2020</t>
        </is>
      </c>
      <c r="B1628" s="1" t="n">
        <v>44167</v>
      </c>
      <c r="C1628" s="1" t="n">
        <v>45952</v>
      </c>
      <c r="D1628" t="inlineStr">
        <is>
          <t>VÄSTRA GÖTALANDS LÄN</t>
        </is>
      </c>
      <c r="E1628" t="inlineStr">
        <is>
          <t>BORÅS</t>
        </is>
      </c>
      <c r="G1628" t="n">
        <v>4</v>
      </c>
      <c r="H1628" t="n">
        <v>0</v>
      </c>
      <c r="I1628" t="n">
        <v>0</v>
      </c>
      <c r="J1628" t="n">
        <v>0</v>
      </c>
      <c r="K1628" t="n">
        <v>0</v>
      </c>
      <c r="L1628" t="n">
        <v>0</v>
      </c>
      <c r="M1628" t="n">
        <v>0</v>
      </c>
      <c r="N1628" t="n">
        <v>0</v>
      </c>
      <c r="O1628" t="n">
        <v>0</v>
      </c>
      <c r="P1628" t="n">
        <v>0</v>
      </c>
      <c r="Q1628" t="n">
        <v>0</v>
      </c>
      <c r="R1628" s="2" t="inlineStr"/>
    </row>
    <row r="1629" ht="15" customHeight="1">
      <c r="A1629" t="inlineStr">
        <is>
          <t>A 64168-2020</t>
        </is>
      </c>
      <c r="B1629" s="1" t="n">
        <v>44167</v>
      </c>
      <c r="C1629" s="1" t="n">
        <v>45952</v>
      </c>
      <c r="D1629" t="inlineStr">
        <is>
          <t>VÄSTRA GÖTALANDS LÄN</t>
        </is>
      </c>
      <c r="E1629" t="inlineStr">
        <is>
          <t>BORÅS</t>
        </is>
      </c>
      <c r="G1629" t="n">
        <v>1.2</v>
      </c>
      <c r="H1629" t="n">
        <v>0</v>
      </c>
      <c r="I1629" t="n">
        <v>0</v>
      </c>
      <c r="J1629" t="n">
        <v>0</v>
      </c>
      <c r="K1629" t="n">
        <v>0</v>
      </c>
      <c r="L1629" t="n">
        <v>0</v>
      </c>
      <c r="M1629" t="n">
        <v>0</v>
      </c>
      <c r="N1629" t="n">
        <v>0</v>
      </c>
      <c r="O1629" t="n">
        <v>0</v>
      </c>
      <c r="P1629" t="n">
        <v>0</v>
      </c>
      <c r="Q1629" t="n">
        <v>0</v>
      </c>
      <c r="R1629" s="2" t="inlineStr"/>
    </row>
    <row r="1630" ht="15" customHeight="1">
      <c r="A1630" t="inlineStr">
        <is>
          <t>A 30950-2021</t>
        </is>
      </c>
      <c r="B1630" s="1" t="n">
        <v>44365.70123842593</v>
      </c>
      <c r="C1630" s="1" t="n">
        <v>45952</v>
      </c>
      <c r="D1630" t="inlineStr">
        <is>
          <t>VÄSTRA GÖTALANDS LÄN</t>
        </is>
      </c>
      <c r="E1630" t="inlineStr">
        <is>
          <t>LILLA EDET</t>
        </is>
      </c>
      <c r="G1630" t="n">
        <v>4.3</v>
      </c>
      <c r="H1630" t="n">
        <v>0</v>
      </c>
      <c r="I1630" t="n">
        <v>0</v>
      </c>
      <c r="J1630" t="n">
        <v>0</v>
      </c>
      <c r="K1630" t="n">
        <v>0</v>
      </c>
      <c r="L1630" t="n">
        <v>0</v>
      </c>
      <c r="M1630" t="n">
        <v>0</v>
      </c>
      <c r="N1630" t="n">
        <v>0</v>
      </c>
      <c r="O1630" t="n">
        <v>0</v>
      </c>
      <c r="P1630" t="n">
        <v>0</v>
      </c>
      <c r="Q1630" t="n">
        <v>0</v>
      </c>
      <c r="R1630" s="2" t="inlineStr"/>
    </row>
    <row r="1631" ht="15" customHeight="1">
      <c r="A1631" t="inlineStr">
        <is>
          <t>A 30951-2021</t>
        </is>
      </c>
      <c r="B1631" s="1" t="n">
        <v>44365.70269675926</v>
      </c>
      <c r="C1631" s="1" t="n">
        <v>45952</v>
      </c>
      <c r="D1631" t="inlineStr">
        <is>
          <t>VÄSTRA GÖTALANDS LÄN</t>
        </is>
      </c>
      <c r="E1631" t="inlineStr">
        <is>
          <t>LILLA EDET</t>
        </is>
      </c>
      <c r="G1631" t="n">
        <v>0.9</v>
      </c>
      <c r="H1631" t="n">
        <v>0</v>
      </c>
      <c r="I1631" t="n">
        <v>0</v>
      </c>
      <c r="J1631" t="n">
        <v>0</v>
      </c>
      <c r="K1631" t="n">
        <v>0</v>
      </c>
      <c r="L1631" t="n">
        <v>0</v>
      </c>
      <c r="M1631" t="n">
        <v>0</v>
      </c>
      <c r="N1631" t="n">
        <v>0</v>
      </c>
      <c r="O1631" t="n">
        <v>0</v>
      </c>
      <c r="P1631" t="n">
        <v>0</v>
      </c>
      <c r="Q1631" t="n">
        <v>0</v>
      </c>
      <c r="R1631" s="2" t="inlineStr"/>
    </row>
    <row r="1632" ht="15" customHeight="1">
      <c r="A1632" t="inlineStr">
        <is>
          <t>A 64890-2020</t>
        </is>
      </c>
      <c r="B1632" s="1" t="n">
        <v>44171</v>
      </c>
      <c r="C1632" s="1" t="n">
        <v>45952</v>
      </c>
      <c r="D1632" t="inlineStr">
        <is>
          <t>VÄSTRA GÖTALANDS LÄN</t>
        </is>
      </c>
      <c r="E1632" t="inlineStr">
        <is>
          <t>BENGTSFORS</t>
        </is>
      </c>
      <c r="G1632" t="n">
        <v>4.6</v>
      </c>
      <c r="H1632" t="n">
        <v>0</v>
      </c>
      <c r="I1632" t="n">
        <v>0</v>
      </c>
      <c r="J1632" t="n">
        <v>0</v>
      </c>
      <c r="K1632" t="n">
        <v>0</v>
      </c>
      <c r="L1632" t="n">
        <v>0</v>
      </c>
      <c r="M1632" t="n">
        <v>0</v>
      </c>
      <c r="N1632" t="n">
        <v>0</v>
      </c>
      <c r="O1632" t="n">
        <v>0</v>
      </c>
      <c r="P1632" t="n">
        <v>0</v>
      </c>
      <c r="Q1632" t="n">
        <v>0</v>
      </c>
      <c r="R1632" s="2" t="inlineStr"/>
    </row>
    <row r="1633" ht="15" customHeight="1">
      <c r="A1633" t="inlineStr">
        <is>
          <t>A 10724-2021</t>
        </is>
      </c>
      <c r="B1633" s="1" t="n">
        <v>44258</v>
      </c>
      <c r="C1633" s="1" t="n">
        <v>45952</v>
      </c>
      <c r="D1633" t="inlineStr">
        <is>
          <t>VÄSTRA GÖTALANDS LÄN</t>
        </is>
      </c>
      <c r="E1633" t="inlineStr">
        <is>
          <t>SVENLJUNGA</t>
        </is>
      </c>
      <c r="G1633" t="n">
        <v>1.2</v>
      </c>
      <c r="H1633" t="n">
        <v>0</v>
      </c>
      <c r="I1633" t="n">
        <v>0</v>
      </c>
      <c r="J1633" t="n">
        <v>0</v>
      </c>
      <c r="K1633" t="n">
        <v>0</v>
      </c>
      <c r="L1633" t="n">
        <v>0</v>
      </c>
      <c r="M1633" t="n">
        <v>0</v>
      </c>
      <c r="N1633" t="n">
        <v>0</v>
      </c>
      <c r="O1633" t="n">
        <v>0</v>
      </c>
      <c r="P1633" t="n">
        <v>0</v>
      </c>
      <c r="Q1633" t="n">
        <v>0</v>
      </c>
      <c r="R1633" s="2" t="inlineStr"/>
    </row>
    <row r="1634" ht="15" customHeight="1">
      <c r="A1634" t="inlineStr">
        <is>
          <t>A 30935-2021</t>
        </is>
      </c>
      <c r="B1634" s="1" t="n">
        <v>44365</v>
      </c>
      <c r="C1634" s="1" t="n">
        <v>45952</v>
      </c>
      <c r="D1634" t="inlineStr">
        <is>
          <t>VÄSTRA GÖTALANDS LÄN</t>
        </is>
      </c>
      <c r="E1634" t="inlineStr">
        <is>
          <t>BENGTSFORS</t>
        </is>
      </c>
      <c r="G1634" t="n">
        <v>2.6</v>
      </c>
      <c r="H1634" t="n">
        <v>0</v>
      </c>
      <c r="I1634" t="n">
        <v>0</v>
      </c>
      <c r="J1634" t="n">
        <v>0</v>
      </c>
      <c r="K1634" t="n">
        <v>0</v>
      </c>
      <c r="L1634" t="n">
        <v>0</v>
      </c>
      <c r="M1634" t="n">
        <v>0</v>
      </c>
      <c r="N1634" t="n">
        <v>0</v>
      </c>
      <c r="O1634" t="n">
        <v>0</v>
      </c>
      <c r="P1634" t="n">
        <v>0</v>
      </c>
      <c r="Q1634" t="n">
        <v>0</v>
      </c>
      <c r="R1634" s="2" t="inlineStr"/>
    </row>
    <row r="1635" ht="15" customHeight="1">
      <c r="A1635" t="inlineStr">
        <is>
          <t>A 2366-2021</t>
        </is>
      </c>
      <c r="B1635" s="1" t="n">
        <v>44214.43467592593</v>
      </c>
      <c r="C1635" s="1" t="n">
        <v>45952</v>
      </c>
      <c r="D1635" t="inlineStr">
        <is>
          <t>VÄSTRA GÖTALANDS LÄN</t>
        </is>
      </c>
      <c r="E1635" t="inlineStr">
        <is>
          <t>TRANEMO</t>
        </is>
      </c>
      <c r="G1635" t="n">
        <v>1</v>
      </c>
      <c r="H1635" t="n">
        <v>0</v>
      </c>
      <c r="I1635" t="n">
        <v>0</v>
      </c>
      <c r="J1635" t="n">
        <v>0</v>
      </c>
      <c r="K1635" t="n">
        <v>0</v>
      </c>
      <c r="L1635" t="n">
        <v>0</v>
      </c>
      <c r="M1635" t="n">
        <v>0</v>
      </c>
      <c r="N1635" t="n">
        <v>0</v>
      </c>
      <c r="O1635" t="n">
        <v>0</v>
      </c>
      <c r="P1635" t="n">
        <v>0</v>
      </c>
      <c r="Q1635" t="n">
        <v>0</v>
      </c>
      <c r="R1635" s="2" t="inlineStr"/>
    </row>
    <row r="1636" ht="15" customHeight="1">
      <c r="A1636" t="inlineStr">
        <is>
          <t>A 69067-2020</t>
        </is>
      </c>
      <c r="B1636" s="1" t="n">
        <v>44188</v>
      </c>
      <c r="C1636" s="1" t="n">
        <v>45952</v>
      </c>
      <c r="D1636" t="inlineStr">
        <is>
          <t>VÄSTRA GÖTALANDS LÄN</t>
        </is>
      </c>
      <c r="E1636" t="inlineStr">
        <is>
          <t>BORÅS</t>
        </is>
      </c>
      <c r="G1636" t="n">
        <v>1.8</v>
      </c>
      <c r="H1636" t="n">
        <v>0</v>
      </c>
      <c r="I1636" t="n">
        <v>0</v>
      </c>
      <c r="J1636" t="n">
        <v>0</v>
      </c>
      <c r="K1636" t="n">
        <v>0</v>
      </c>
      <c r="L1636" t="n">
        <v>0</v>
      </c>
      <c r="M1636" t="n">
        <v>0</v>
      </c>
      <c r="N1636" t="n">
        <v>0</v>
      </c>
      <c r="O1636" t="n">
        <v>0</v>
      </c>
      <c r="P1636" t="n">
        <v>0</v>
      </c>
      <c r="Q1636" t="n">
        <v>0</v>
      </c>
      <c r="R1636" s="2" t="inlineStr"/>
    </row>
    <row r="1637" ht="15" customHeight="1">
      <c r="A1637" t="inlineStr">
        <is>
          <t>A 42869-2021</t>
        </is>
      </c>
      <c r="B1637" s="1" t="n">
        <v>44428</v>
      </c>
      <c r="C1637" s="1" t="n">
        <v>45952</v>
      </c>
      <c r="D1637" t="inlineStr">
        <is>
          <t>VÄSTRA GÖTALANDS LÄN</t>
        </is>
      </c>
      <c r="E1637" t="inlineStr">
        <is>
          <t>BENGTSFORS</t>
        </is>
      </c>
      <c r="F1637" t="inlineStr">
        <is>
          <t>Kyrkan</t>
        </is>
      </c>
      <c r="G1637" t="n">
        <v>2.5</v>
      </c>
      <c r="H1637" t="n">
        <v>0</v>
      </c>
      <c r="I1637" t="n">
        <v>0</v>
      </c>
      <c r="J1637" t="n">
        <v>0</v>
      </c>
      <c r="K1637" t="n">
        <v>0</v>
      </c>
      <c r="L1637" t="n">
        <v>0</v>
      </c>
      <c r="M1637" t="n">
        <v>0</v>
      </c>
      <c r="N1637" t="n">
        <v>0</v>
      </c>
      <c r="O1637" t="n">
        <v>0</v>
      </c>
      <c r="P1637" t="n">
        <v>0</v>
      </c>
      <c r="Q1637" t="n">
        <v>0</v>
      </c>
      <c r="R1637" s="2" t="inlineStr"/>
    </row>
    <row r="1638" ht="15" customHeight="1">
      <c r="A1638" t="inlineStr">
        <is>
          <t>A 40807-2021</t>
        </is>
      </c>
      <c r="B1638" s="1" t="n">
        <v>44421</v>
      </c>
      <c r="C1638" s="1" t="n">
        <v>45952</v>
      </c>
      <c r="D1638" t="inlineStr">
        <is>
          <t>VÄSTRA GÖTALANDS LÄN</t>
        </is>
      </c>
      <c r="E1638" t="inlineStr">
        <is>
          <t>TRANEMO</t>
        </is>
      </c>
      <c r="F1638" t="inlineStr">
        <is>
          <t>Kyrkan</t>
        </is>
      </c>
      <c r="G1638" t="n">
        <v>1.1</v>
      </c>
      <c r="H1638" t="n">
        <v>0</v>
      </c>
      <c r="I1638" t="n">
        <v>0</v>
      </c>
      <c r="J1638" t="n">
        <v>0</v>
      </c>
      <c r="K1638" t="n">
        <v>0</v>
      </c>
      <c r="L1638" t="n">
        <v>0</v>
      </c>
      <c r="M1638" t="n">
        <v>0</v>
      </c>
      <c r="N1638" t="n">
        <v>0</v>
      </c>
      <c r="O1638" t="n">
        <v>0</v>
      </c>
      <c r="P1638" t="n">
        <v>0</v>
      </c>
      <c r="Q1638" t="n">
        <v>0</v>
      </c>
      <c r="R1638" s="2" t="inlineStr"/>
    </row>
    <row r="1639" ht="15" customHeight="1">
      <c r="A1639" t="inlineStr">
        <is>
          <t>A 70931-2021</t>
        </is>
      </c>
      <c r="B1639" s="1" t="n">
        <v>44538.48643518519</v>
      </c>
      <c r="C1639" s="1" t="n">
        <v>45952</v>
      </c>
      <c r="D1639" t="inlineStr">
        <is>
          <t>VÄSTRA GÖTALANDS LÄN</t>
        </is>
      </c>
      <c r="E1639" t="inlineStr">
        <is>
          <t>BORÅS</t>
        </is>
      </c>
      <c r="F1639" t="inlineStr">
        <is>
          <t>Kommuner</t>
        </is>
      </c>
      <c r="G1639" t="n">
        <v>2.9</v>
      </c>
      <c r="H1639" t="n">
        <v>0</v>
      </c>
      <c r="I1639" t="n">
        <v>0</v>
      </c>
      <c r="J1639" t="n">
        <v>0</v>
      </c>
      <c r="K1639" t="n">
        <v>0</v>
      </c>
      <c r="L1639" t="n">
        <v>0</v>
      </c>
      <c r="M1639" t="n">
        <v>0</v>
      </c>
      <c r="N1639" t="n">
        <v>0</v>
      </c>
      <c r="O1639" t="n">
        <v>0</v>
      </c>
      <c r="P1639" t="n">
        <v>0</v>
      </c>
      <c r="Q1639" t="n">
        <v>0</v>
      </c>
      <c r="R1639" s="2" t="inlineStr"/>
    </row>
    <row r="1640" ht="15" customHeight="1">
      <c r="A1640" t="inlineStr">
        <is>
          <t>A 43733-2021</t>
        </is>
      </c>
      <c r="B1640" s="1" t="n">
        <v>44433</v>
      </c>
      <c r="C1640" s="1" t="n">
        <v>45952</v>
      </c>
      <c r="D1640" t="inlineStr">
        <is>
          <t>VÄSTRA GÖTALANDS LÄN</t>
        </is>
      </c>
      <c r="E1640" t="inlineStr">
        <is>
          <t>FALKÖPING</t>
        </is>
      </c>
      <c r="G1640" t="n">
        <v>2.2</v>
      </c>
      <c r="H1640" t="n">
        <v>0</v>
      </c>
      <c r="I1640" t="n">
        <v>0</v>
      </c>
      <c r="J1640" t="n">
        <v>0</v>
      </c>
      <c r="K1640" t="n">
        <v>0</v>
      </c>
      <c r="L1640" t="n">
        <v>0</v>
      </c>
      <c r="M1640" t="n">
        <v>0</v>
      </c>
      <c r="N1640" t="n">
        <v>0</v>
      </c>
      <c r="O1640" t="n">
        <v>0</v>
      </c>
      <c r="P1640" t="n">
        <v>0</v>
      </c>
      <c r="Q1640" t="n">
        <v>0</v>
      </c>
      <c r="R1640" s="2" t="inlineStr"/>
    </row>
    <row r="1641" ht="15" customHeight="1">
      <c r="A1641" t="inlineStr">
        <is>
          <t>A 47173-2021</t>
        </is>
      </c>
      <c r="B1641" s="1" t="n">
        <v>44447.0432175926</v>
      </c>
      <c r="C1641" s="1" t="n">
        <v>45952</v>
      </c>
      <c r="D1641" t="inlineStr">
        <is>
          <t>VÄSTRA GÖTALANDS LÄN</t>
        </is>
      </c>
      <c r="E1641" t="inlineStr">
        <is>
          <t>GULLSPÅNG</t>
        </is>
      </c>
      <c r="G1641" t="n">
        <v>1.1</v>
      </c>
      <c r="H1641" t="n">
        <v>0</v>
      </c>
      <c r="I1641" t="n">
        <v>0</v>
      </c>
      <c r="J1641" t="n">
        <v>0</v>
      </c>
      <c r="K1641" t="n">
        <v>0</v>
      </c>
      <c r="L1641" t="n">
        <v>0</v>
      </c>
      <c r="M1641" t="n">
        <v>0</v>
      </c>
      <c r="N1641" t="n">
        <v>0</v>
      </c>
      <c r="O1641" t="n">
        <v>0</v>
      </c>
      <c r="P1641" t="n">
        <v>0</v>
      </c>
      <c r="Q1641" t="n">
        <v>0</v>
      </c>
      <c r="R1641" s="2" t="inlineStr"/>
    </row>
    <row r="1642" ht="15" customHeight="1">
      <c r="A1642" t="inlineStr">
        <is>
          <t>A 47186-2021</t>
        </is>
      </c>
      <c r="B1642" s="1" t="n">
        <v>44447.30947916667</v>
      </c>
      <c r="C1642" s="1" t="n">
        <v>45952</v>
      </c>
      <c r="D1642" t="inlineStr">
        <is>
          <t>VÄSTRA GÖTALANDS LÄN</t>
        </is>
      </c>
      <c r="E1642" t="inlineStr">
        <is>
          <t>HERRLJUNGA</t>
        </is>
      </c>
      <c r="G1642" t="n">
        <v>5.2</v>
      </c>
      <c r="H1642" t="n">
        <v>0</v>
      </c>
      <c r="I1642" t="n">
        <v>0</v>
      </c>
      <c r="J1642" t="n">
        <v>0</v>
      </c>
      <c r="K1642" t="n">
        <v>0</v>
      </c>
      <c r="L1642" t="n">
        <v>0</v>
      </c>
      <c r="M1642" t="n">
        <v>0</v>
      </c>
      <c r="N1642" t="n">
        <v>0</v>
      </c>
      <c r="O1642" t="n">
        <v>0</v>
      </c>
      <c r="P1642" t="n">
        <v>0</v>
      </c>
      <c r="Q1642" t="n">
        <v>0</v>
      </c>
      <c r="R1642" s="2" t="inlineStr"/>
    </row>
    <row r="1643" ht="15" customHeight="1">
      <c r="A1643" t="inlineStr">
        <is>
          <t>A 36402-2022</t>
        </is>
      </c>
      <c r="B1643" s="1" t="n">
        <v>44804</v>
      </c>
      <c r="C1643" s="1" t="n">
        <v>45952</v>
      </c>
      <c r="D1643" t="inlineStr">
        <is>
          <t>VÄSTRA GÖTALANDS LÄN</t>
        </is>
      </c>
      <c r="E1643" t="inlineStr">
        <is>
          <t>TIBRO</t>
        </is>
      </c>
      <c r="F1643" t="inlineStr">
        <is>
          <t>Sveaskog</t>
        </is>
      </c>
      <c r="G1643" t="n">
        <v>2.4</v>
      </c>
      <c r="H1643" t="n">
        <v>0</v>
      </c>
      <c r="I1643" t="n">
        <v>0</v>
      </c>
      <c r="J1643" t="n">
        <v>0</v>
      </c>
      <c r="K1643" t="n">
        <v>0</v>
      </c>
      <c r="L1643" t="n">
        <v>0</v>
      </c>
      <c r="M1643" t="n">
        <v>0</v>
      </c>
      <c r="N1643" t="n">
        <v>0</v>
      </c>
      <c r="O1643" t="n">
        <v>0</v>
      </c>
      <c r="P1643" t="n">
        <v>0</v>
      </c>
      <c r="Q1643" t="n">
        <v>0</v>
      </c>
      <c r="R1643" s="2" t="inlineStr"/>
    </row>
    <row r="1644" ht="15" customHeight="1">
      <c r="A1644" t="inlineStr">
        <is>
          <t>A 10729-2022</t>
        </is>
      </c>
      <c r="B1644" s="1" t="n">
        <v>44627</v>
      </c>
      <c r="C1644" s="1" t="n">
        <v>45952</v>
      </c>
      <c r="D1644" t="inlineStr">
        <is>
          <t>VÄSTRA GÖTALANDS LÄN</t>
        </is>
      </c>
      <c r="E1644" t="inlineStr">
        <is>
          <t>LILLA EDET</t>
        </is>
      </c>
      <c r="G1644" t="n">
        <v>0.2</v>
      </c>
      <c r="H1644" t="n">
        <v>0</v>
      </c>
      <c r="I1644" t="n">
        <v>0</v>
      </c>
      <c r="J1644" t="n">
        <v>0</v>
      </c>
      <c r="K1644" t="n">
        <v>0</v>
      </c>
      <c r="L1644" t="n">
        <v>0</v>
      </c>
      <c r="M1644" t="n">
        <v>0</v>
      </c>
      <c r="N1644" t="n">
        <v>0</v>
      </c>
      <c r="O1644" t="n">
        <v>0</v>
      </c>
      <c r="P1644" t="n">
        <v>0</v>
      </c>
      <c r="Q1644" t="n">
        <v>0</v>
      </c>
      <c r="R1644" s="2" t="inlineStr"/>
    </row>
    <row r="1645" ht="15" customHeight="1">
      <c r="A1645" t="inlineStr">
        <is>
          <t>A 39570-2021</t>
        </is>
      </c>
      <c r="B1645" s="1" t="n">
        <v>44416</v>
      </c>
      <c r="C1645" s="1" t="n">
        <v>45952</v>
      </c>
      <c r="D1645" t="inlineStr">
        <is>
          <t>VÄSTRA GÖTALANDS LÄN</t>
        </is>
      </c>
      <c r="E1645" t="inlineStr">
        <is>
          <t>MARK</t>
        </is>
      </c>
      <c r="G1645" t="n">
        <v>0.5</v>
      </c>
      <c r="H1645" t="n">
        <v>0</v>
      </c>
      <c r="I1645" t="n">
        <v>0</v>
      </c>
      <c r="J1645" t="n">
        <v>0</v>
      </c>
      <c r="K1645" t="n">
        <v>0</v>
      </c>
      <c r="L1645" t="n">
        <v>0</v>
      </c>
      <c r="M1645" t="n">
        <v>0</v>
      </c>
      <c r="N1645" t="n">
        <v>0</v>
      </c>
      <c r="O1645" t="n">
        <v>0</v>
      </c>
      <c r="P1645" t="n">
        <v>0</v>
      </c>
      <c r="Q1645" t="n">
        <v>0</v>
      </c>
      <c r="R1645" s="2" t="inlineStr"/>
    </row>
    <row r="1646" ht="15" customHeight="1">
      <c r="A1646" t="inlineStr">
        <is>
          <t>A 58506-2021</t>
        </is>
      </c>
      <c r="B1646" s="1" t="n">
        <v>44488</v>
      </c>
      <c r="C1646" s="1" t="n">
        <v>45952</v>
      </c>
      <c r="D1646" t="inlineStr">
        <is>
          <t>VÄSTRA GÖTALANDS LÄN</t>
        </is>
      </c>
      <c r="E1646" t="inlineStr">
        <is>
          <t>BENGTSFORS</t>
        </is>
      </c>
      <c r="G1646" t="n">
        <v>1.7</v>
      </c>
      <c r="H1646" t="n">
        <v>0</v>
      </c>
      <c r="I1646" t="n">
        <v>0</v>
      </c>
      <c r="J1646" t="n">
        <v>0</v>
      </c>
      <c r="K1646" t="n">
        <v>0</v>
      </c>
      <c r="L1646" t="n">
        <v>0</v>
      </c>
      <c r="M1646" t="n">
        <v>0</v>
      </c>
      <c r="N1646" t="n">
        <v>0</v>
      </c>
      <c r="O1646" t="n">
        <v>0</v>
      </c>
      <c r="P1646" t="n">
        <v>0</v>
      </c>
      <c r="Q1646" t="n">
        <v>0</v>
      </c>
      <c r="R1646" s="2" t="inlineStr"/>
    </row>
    <row r="1647" ht="15" customHeight="1">
      <c r="A1647" t="inlineStr">
        <is>
          <t>A 57805-2021</t>
        </is>
      </c>
      <c r="B1647" s="1" t="n">
        <v>44484</v>
      </c>
      <c r="C1647" s="1" t="n">
        <v>45952</v>
      </c>
      <c r="D1647" t="inlineStr">
        <is>
          <t>VÄSTRA GÖTALANDS LÄN</t>
        </is>
      </c>
      <c r="E1647" t="inlineStr">
        <is>
          <t>MELLERUD</t>
        </is>
      </c>
      <c r="G1647" t="n">
        <v>11.3</v>
      </c>
      <c r="H1647" t="n">
        <v>0</v>
      </c>
      <c r="I1647" t="n">
        <v>0</v>
      </c>
      <c r="J1647" t="n">
        <v>0</v>
      </c>
      <c r="K1647" t="n">
        <v>0</v>
      </c>
      <c r="L1647" t="n">
        <v>0</v>
      </c>
      <c r="M1647" t="n">
        <v>0</v>
      </c>
      <c r="N1647" t="n">
        <v>0</v>
      </c>
      <c r="O1647" t="n">
        <v>0</v>
      </c>
      <c r="P1647" t="n">
        <v>0</v>
      </c>
      <c r="Q1647" t="n">
        <v>0</v>
      </c>
      <c r="R1647" s="2" t="inlineStr"/>
    </row>
    <row r="1648" ht="15" customHeight="1">
      <c r="A1648" t="inlineStr">
        <is>
          <t>A 18837-2022</t>
        </is>
      </c>
      <c r="B1648" s="1" t="n">
        <v>44690</v>
      </c>
      <c r="C1648" s="1" t="n">
        <v>45952</v>
      </c>
      <c r="D1648" t="inlineStr">
        <is>
          <t>VÄSTRA GÖTALANDS LÄN</t>
        </is>
      </c>
      <c r="E1648" t="inlineStr">
        <is>
          <t>DALS-ED</t>
        </is>
      </c>
      <c r="G1648" t="n">
        <v>4.7</v>
      </c>
      <c r="H1648" t="n">
        <v>0</v>
      </c>
      <c r="I1648" t="n">
        <v>0</v>
      </c>
      <c r="J1648" t="n">
        <v>0</v>
      </c>
      <c r="K1648" t="n">
        <v>0</v>
      </c>
      <c r="L1648" t="n">
        <v>0</v>
      </c>
      <c r="M1648" t="n">
        <v>0</v>
      </c>
      <c r="N1648" t="n">
        <v>0</v>
      </c>
      <c r="O1648" t="n">
        <v>0</v>
      </c>
      <c r="P1648" t="n">
        <v>0</v>
      </c>
      <c r="Q1648" t="n">
        <v>0</v>
      </c>
      <c r="R1648" s="2" t="inlineStr"/>
    </row>
    <row r="1649" ht="15" customHeight="1">
      <c r="A1649" t="inlineStr">
        <is>
          <t>A 224-2022</t>
        </is>
      </c>
      <c r="B1649" s="1" t="n">
        <v>44564</v>
      </c>
      <c r="C1649" s="1" t="n">
        <v>45952</v>
      </c>
      <c r="D1649" t="inlineStr">
        <is>
          <t>VÄSTRA GÖTALANDS LÄN</t>
        </is>
      </c>
      <c r="E1649" t="inlineStr">
        <is>
          <t>BENGTSFORS</t>
        </is>
      </c>
      <c r="G1649" t="n">
        <v>5.1</v>
      </c>
      <c r="H1649" t="n">
        <v>0</v>
      </c>
      <c r="I1649" t="n">
        <v>0</v>
      </c>
      <c r="J1649" t="n">
        <v>0</v>
      </c>
      <c r="K1649" t="n">
        <v>0</v>
      </c>
      <c r="L1649" t="n">
        <v>0</v>
      </c>
      <c r="M1649" t="n">
        <v>0</v>
      </c>
      <c r="N1649" t="n">
        <v>0</v>
      </c>
      <c r="O1649" t="n">
        <v>0</v>
      </c>
      <c r="P1649" t="n">
        <v>0</v>
      </c>
      <c r="Q1649" t="n">
        <v>0</v>
      </c>
      <c r="R1649" s="2" t="inlineStr"/>
    </row>
    <row r="1650" ht="15" customHeight="1">
      <c r="A1650" t="inlineStr">
        <is>
          <t>A 10578-2021</t>
        </is>
      </c>
      <c r="B1650" s="1" t="n">
        <v>44258.45496527778</v>
      </c>
      <c r="C1650" s="1" t="n">
        <v>45952</v>
      </c>
      <c r="D1650" t="inlineStr">
        <is>
          <t>VÄSTRA GÖTALANDS LÄN</t>
        </is>
      </c>
      <c r="E1650" t="inlineStr">
        <is>
          <t>LYSEKIL</t>
        </is>
      </c>
      <c r="G1650" t="n">
        <v>1.6</v>
      </c>
      <c r="H1650" t="n">
        <v>0</v>
      </c>
      <c r="I1650" t="n">
        <v>0</v>
      </c>
      <c r="J1650" t="n">
        <v>0</v>
      </c>
      <c r="K1650" t="n">
        <v>0</v>
      </c>
      <c r="L1650" t="n">
        <v>0</v>
      </c>
      <c r="M1650" t="n">
        <v>0</v>
      </c>
      <c r="N1650" t="n">
        <v>0</v>
      </c>
      <c r="O1650" t="n">
        <v>0</v>
      </c>
      <c r="P1650" t="n">
        <v>0</v>
      </c>
      <c r="Q1650" t="n">
        <v>0</v>
      </c>
      <c r="R1650" s="2" t="inlineStr"/>
    </row>
    <row r="1651" ht="15" customHeight="1">
      <c r="A1651" t="inlineStr">
        <is>
          <t>A 63734-2021</t>
        </is>
      </c>
      <c r="B1651" s="1" t="n">
        <v>44508</v>
      </c>
      <c r="C1651" s="1" t="n">
        <v>45952</v>
      </c>
      <c r="D1651" t="inlineStr">
        <is>
          <t>VÄSTRA GÖTALANDS LÄN</t>
        </is>
      </c>
      <c r="E1651" t="inlineStr">
        <is>
          <t>BENGTSFORS</t>
        </is>
      </c>
      <c r="G1651" t="n">
        <v>1.1</v>
      </c>
      <c r="H1651" t="n">
        <v>0</v>
      </c>
      <c r="I1651" t="n">
        <v>0</v>
      </c>
      <c r="J1651" t="n">
        <v>0</v>
      </c>
      <c r="K1651" t="n">
        <v>0</v>
      </c>
      <c r="L1651" t="n">
        <v>0</v>
      </c>
      <c r="M1651" t="n">
        <v>0</v>
      </c>
      <c r="N1651" t="n">
        <v>0</v>
      </c>
      <c r="O1651" t="n">
        <v>0</v>
      </c>
      <c r="P1651" t="n">
        <v>0</v>
      </c>
      <c r="Q1651" t="n">
        <v>0</v>
      </c>
      <c r="R1651" s="2" t="inlineStr"/>
    </row>
    <row r="1652" ht="15" customHeight="1">
      <c r="A1652" t="inlineStr">
        <is>
          <t>A 70018-2021</t>
        </is>
      </c>
      <c r="B1652" s="1" t="n">
        <v>44533.45332175926</v>
      </c>
      <c r="C1652" s="1" t="n">
        <v>45952</v>
      </c>
      <c r="D1652" t="inlineStr">
        <is>
          <t>VÄSTRA GÖTALANDS LÄN</t>
        </is>
      </c>
      <c r="E1652" t="inlineStr">
        <is>
          <t>ULRICEHAMN</t>
        </is>
      </c>
      <c r="G1652" t="n">
        <v>1.2</v>
      </c>
      <c r="H1652" t="n">
        <v>0</v>
      </c>
      <c r="I1652" t="n">
        <v>0</v>
      </c>
      <c r="J1652" t="n">
        <v>0</v>
      </c>
      <c r="K1652" t="n">
        <v>0</v>
      </c>
      <c r="L1652" t="n">
        <v>0</v>
      </c>
      <c r="M1652" t="n">
        <v>0</v>
      </c>
      <c r="N1652" t="n">
        <v>0</v>
      </c>
      <c r="O1652" t="n">
        <v>0</v>
      </c>
      <c r="P1652" t="n">
        <v>0</v>
      </c>
      <c r="Q1652" t="n">
        <v>0</v>
      </c>
      <c r="R1652" s="2" t="inlineStr"/>
    </row>
    <row r="1653" ht="15" customHeight="1">
      <c r="A1653" t="inlineStr">
        <is>
          <t>A 23970-2021</t>
        </is>
      </c>
      <c r="B1653" s="1" t="n">
        <v>44335</v>
      </c>
      <c r="C1653" s="1" t="n">
        <v>45952</v>
      </c>
      <c r="D1653" t="inlineStr">
        <is>
          <t>VÄSTRA GÖTALANDS LÄN</t>
        </is>
      </c>
      <c r="E1653" t="inlineStr">
        <is>
          <t>MELLERUD</t>
        </is>
      </c>
      <c r="G1653" t="n">
        <v>0.7</v>
      </c>
      <c r="H1653" t="n">
        <v>0</v>
      </c>
      <c r="I1653" t="n">
        <v>0</v>
      </c>
      <c r="J1653" t="n">
        <v>0</v>
      </c>
      <c r="K1653" t="n">
        <v>0</v>
      </c>
      <c r="L1653" t="n">
        <v>0</v>
      </c>
      <c r="M1653" t="n">
        <v>0</v>
      </c>
      <c r="N1653" t="n">
        <v>0</v>
      </c>
      <c r="O1653" t="n">
        <v>0</v>
      </c>
      <c r="P1653" t="n">
        <v>0</v>
      </c>
      <c r="Q1653" t="n">
        <v>0</v>
      </c>
      <c r="R1653" s="2" t="inlineStr"/>
    </row>
    <row r="1654" ht="15" customHeight="1">
      <c r="A1654" t="inlineStr">
        <is>
          <t>A 23973-2021</t>
        </is>
      </c>
      <c r="B1654" s="1" t="n">
        <v>44335</v>
      </c>
      <c r="C1654" s="1" t="n">
        <v>45952</v>
      </c>
      <c r="D1654" t="inlineStr">
        <is>
          <t>VÄSTRA GÖTALANDS LÄN</t>
        </is>
      </c>
      <c r="E1654" t="inlineStr">
        <is>
          <t>MELLERUD</t>
        </is>
      </c>
      <c r="G1654" t="n">
        <v>1.8</v>
      </c>
      <c r="H1654" t="n">
        <v>0</v>
      </c>
      <c r="I1654" t="n">
        <v>0</v>
      </c>
      <c r="J1654" t="n">
        <v>0</v>
      </c>
      <c r="K1654" t="n">
        <v>0</v>
      </c>
      <c r="L1654" t="n">
        <v>0</v>
      </c>
      <c r="M1654" t="n">
        <v>0</v>
      </c>
      <c r="N1654" t="n">
        <v>0</v>
      </c>
      <c r="O1654" t="n">
        <v>0</v>
      </c>
      <c r="P1654" t="n">
        <v>0</v>
      </c>
      <c r="Q1654" t="n">
        <v>0</v>
      </c>
      <c r="R1654" s="2" t="inlineStr"/>
    </row>
    <row r="1655" ht="15" customHeight="1">
      <c r="A1655" t="inlineStr">
        <is>
          <t>A 29336-2022</t>
        </is>
      </c>
      <c r="B1655" s="1" t="n">
        <v>44752.80542824074</v>
      </c>
      <c r="C1655" s="1" t="n">
        <v>45952</v>
      </c>
      <c r="D1655" t="inlineStr">
        <is>
          <t>VÄSTRA GÖTALANDS LÄN</t>
        </is>
      </c>
      <c r="E1655" t="inlineStr">
        <is>
          <t>MELLERUD</t>
        </is>
      </c>
      <c r="G1655" t="n">
        <v>1.7</v>
      </c>
      <c r="H1655" t="n">
        <v>0</v>
      </c>
      <c r="I1655" t="n">
        <v>0</v>
      </c>
      <c r="J1655" t="n">
        <v>0</v>
      </c>
      <c r="K1655" t="n">
        <v>0</v>
      </c>
      <c r="L1655" t="n">
        <v>0</v>
      </c>
      <c r="M1655" t="n">
        <v>0</v>
      </c>
      <c r="N1655" t="n">
        <v>0</v>
      </c>
      <c r="O1655" t="n">
        <v>0</v>
      </c>
      <c r="P1655" t="n">
        <v>0</v>
      </c>
      <c r="Q1655" t="n">
        <v>0</v>
      </c>
      <c r="R1655" s="2" t="inlineStr"/>
    </row>
    <row r="1656" ht="15" customHeight="1">
      <c r="A1656" t="inlineStr">
        <is>
          <t>A 29368-2022</t>
        </is>
      </c>
      <c r="B1656" s="1" t="n">
        <v>44753</v>
      </c>
      <c r="C1656" s="1" t="n">
        <v>45952</v>
      </c>
      <c r="D1656" t="inlineStr">
        <is>
          <t>VÄSTRA GÖTALANDS LÄN</t>
        </is>
      </c>
      <c r="E1656" t="inlineStr">
        <is>
          <t>VÄNERSBORG</t>
        </is>
      </c>
      <c r="F1656" t="inlineStr">
        <is>
          <t>Sveaskog</t>
        </is>
      </c>
      <c r="G1656" t="n">
        <v>8.199999999999999</v>
      </c>
      <c r="H1656" t="n">
        <v>0</v>
      </c>
      <c r="I1656" t="n">
        <v>0</v>
      </c>
      <c r="J1656" t="n">
        <v>0</v>
      </c>
      <c r="K1656" t="n">
        <v>0</v>
      </c>
      <c r="L1656" t="n">
        <v>0</v>
      </c>
      <c r="M1656" t="n">
        <v>0</v>
      </c>
      <c r="N1656" t="n">
        <v>0</v>
      </c>
      <c r="O1656" t="n">
        <v>0</v>
      </c>
      <c r="P1656" t="n">
        <v>0</v>
      </c>
      <c r="Q1656" t="n">
        <v>0</v>
      </c>
      <c r="R1656" s="2" t="inlineStr"/>
    </row>
    <row r="1657" ht="15" customHeight="1">
      <c r="A1657" t="inlineStr">
        <is>
          <t>A 70044-2021</t>
        </is>
      </c>
      <c r="B1657" s="1" t="n">
        <v>44533.47378472222</v>
      </c>
      <c r="C1657" s="1" t="n">
        <v>45952</v>
      </c>
      <c r="D1657" t="inlineStr">
        <is>
          <t>VÄSTRA GÖTALANDS LÄN</t>
        </is>
      </c>
      <c r="E1657" t="inlineStr">
        <is>
          <t>ULRICEHAMN</t>
        </is>
      </c>
      <c r="G1657" t="n">
        <v>1.1</v>
      </c>
      <c r="H1657" t="n">
        <v>0</v>
      </c>
      <c r="I1657" t="n">
        <v>0</v>
      </c>
      <c r="J1657" t="n">
        <v>0</v>
      </c>
      <c r="K1657" t="n">
        <v>0</v>
      </c>
      <c r="L1657" t="n">
        <v>0</v>
      </c>
      <c r="M1657" t="n">
        <v>0</v>
      </c>
      <c r="N1657" t="n">
        <v>0</v>
      </c>
      <c r="O1657" t="n">
        <v>0</v>
      </c>
      <c r="P1657" t="n">
        <v>0</v>
      </c>
      <c r="Q1657" t="n">
        <v>0</v>
      </c>
      <c r="R1657" s="2" t="inlineStr"/>
    </row>
    <row r="1658" ht="15" customHeight="1">
      <c r="A1658" t="inlineStr">
        <is>
          <t>A 64140-2021</t>
        </is>
      </c>
      <c r="B1658" s="1" t="n">
        <v>44510</v>
      </c>
      <c r="C1658" s="1" t="n">
        <v>45952</v>
      </c>
      <c r="D1658" t="inlineStr">
        <is>
          <t>VÄSTRA GÖTALANDS LÄN</t>
        </is>
      </c>
      <c r="E1658" t="inlineStr">
        <is>
          <t>MARK</t>
        </is>
      </c>
      <c r="G1658" t="n">
        <v>3.1</v>
      </c>
      <c r="H1658" t="n">
        <v>0</v>
      </c>
      <c r="I1658" t="n">
        <v>0</v>
      </c>
      <c r="J1658" t="n">
        <v>0</v>
      </c>
      <c r="K1658" t="n">
        <v>0</v>
      </c>
      <c r="L1658" t="n">
        <v>0</v>
      </c>
      <c r="M1658" t="n">
        <v>0</v>
      </c>
      <c r="N1658" t="n">
        <v>0</v>
      </c>
      <c r="O1658" t="n">
        <v>0</v>
      </c>
      <c r="P1658" t="n">
        <v>0</v>
      </c>
      <c r="Q1658" t="n">
        <v>0</v>
      </c>
      <c r="R1658" s="2" t="inlineStr"/>
    </row>
    <row r="1659" ht="15" customHeight="1">
      <c r="A1659" t="inlineStr">
        <is>
          <t>A 64223-2021</t>
        </is>
      </c>
      <c r="B1659" s="1" t="n">
        <v>44510</v>
      </c>
      <c r="C1659" s="1" t="n">
        <v>45952</v>
      </c>
      <c r="D1659" t="inlineStr">
        <is>
          <t>VÄSTRA GÖTALANDS LÄN</t>
        </is>
      </c>
      <c r="E1659" t="inlineStr">
        <is>
          <t>BORÅS</t>
        </is>
      </c>
      <c r="G1659" t="n">
        <v>5</v>
      </c>
      <c r="H1659" t="n">
        <v>0</v>
      </c>
      <c r="I1659" t="n">
        <v>0</v>
      </c>
      <c r="J1659" t="n">
        <v>0</v>
      </c>
      <c r="K1659" t="n">
        <v>0</v>
      </c>
      <c r="L1659" t="n">
        <v>0</v>
      </c>
      <c r="M1659" t="n">
        <v>0</v>
      </c>
      <c r="N1659" t="n">
        <v>0</v>
      </c>
      <c r="O1659" t="n">
        <v>0</v>
      </c>
      <c r="P1659" t="n">
        <v>0</v>
      </c>
      <c r="Q1659" t="n">
        <v>0</v>
      </c>
      <c r="R1659" s="2" t="inlineStr"/>
    </row>
    <row r="1660" ht="15" customHeight="1">
      <c r="A1660" t="inlineStr">
        <is>
          <t>A 3179-2022</t>
        </is>
      </c>
      <c r="B1660" s="1" t="n">
        <v>44582.61788194445</v>
      </c>
      <c r="C1660" s="1" t="n">
        <v>45952</v>
      </c>
      <c r="D1660" t="inlineStr">
        <is>
          <t>VÄSTRA GÖTALANDS LÄN</t>
        </is>
      </c>
      <c r="E1660" t="inlineStr">
        <is>
          <t>ALE</t>
        </is>
      </c>
      <c r="G1660" t="n">
        <v>2.9</v>
      </c>
      <c r="H1660" t="n">
        <v>0</v>
      </c>
      <c r="I1660" t="n">
        <v>0</v>
      </c>
      <c r="J1660" t="n">
        <v>0</v>
      </c>
      <c r="K1660" t="n">
        <v>0</v>
      </c>
      <c r="L1660" t="n">
        <v>0</v>
      </c>
      <c r="M1660" t="n">
        <v>0</v>
      </c>
      <c r="N1660" t="n">
        <v>0</v>
      </c>
      <c r="O1660" t="n">
        <v>0</v>
      </c>
      <c r="P1660" t="n">
        <v>0</v>
      </c>
      <c r="Q1660" t="n">
        <v>0</v>
      </c>
      <c r="R1660" s="2" t="inlineStr"/>
    </row>
    <row r="1661" ht="15" customHeight="1">
      <c r="A1661" t="inlineStr">
        <is>
          <t>A 1316-2022</t>
        </is>
      </c>
      <c r="B1661" s="1" t="n">
        <v>44572.73967592593</v>
      </c>
      <c r="C1661" s="1" t="n">
        <v>45952</v>
      </c>
      <c r="D1661" t="inlineStr">
        <is>
          <t>VÄSTRA GÖTALANDS LÄN</t>
        </is>
      </c>
      <c r="E1661" t="inlineStr">
        <is>
          <t>BENGTSFORS</t>
        </is>
      </c>
      <c r="G1661" t="n">
        <v>1.6</v>
      </c>
      <c r="H1661" t="n">
        <v>0</v>
      </c>
      <c r="I1661" t="n">
        <v>0</v>
      </c>
      <c r="J1661" t="n">
        <v>0</v>
      </c>
      <c r="K1661" t="n">
        <v>0</v>
      </c>
      <c r="L1661" t="n">
        <v>0</v>
      </c>
      <c r="M1661" t="n">
        <v>0</v>
      </c>
      <c r="N1661" t="n">
        <v>0</v>
      </c>
      <c r="O1661" t="n">
        <v>0</v>
      </c>
      <c r="P1661" t="n">
        <v>0</v>
      </c>
      <c r="Q1661" t="n">
        <v>0</v>
      </c>
      <c r="R1661" s="2" t="inlineStr"/>
    </row>
    <row r="1662" ht="15" customHeight="1">
      <c r="A1662" t="inlineStr">
        <is>
          <t>A 58933-2021</t>
        </is>
      </c>
      <c r="B1662" s="1" t="n">
        <v>44489.87993055556</v>
      </c>
      <c r="C1662" s="1" t="n">
        <v>45952</v>
      </c>
      <c r="D1662" t="inlineStr">
        <is>
          <t>VÄSTRA GÖTALANDS LÄN</t>
        </is>
      </c>
      <c r="E1662" t="inlineStr">
        <is>
          <t>UDDEVALLA</t>
        </is>
      </c>
      <c r="G1662" t="n">
        <v>0.8</v>
      </c>
      <c r="H1662" t="n">
        <v>0</v>
      </c>
      <c r="I1662" t="n">
        <v>0</v>
      </c>
      <c r="J1662" t="n">
        <v>0</v>
      </c>
      <c r="K1662" t="n">
        <v>0</v>
      </c>
      <c r="L1662" t="n">
        <v>0</v>
      </c>
      <c r="M1662" t="n">
        <v>0</v>
      </c>
      <c r="N1662" t="n">
        <v>0</v>
      </c>
      <c r="O1662" t="n">
        <v>0</v>
      </c>
      <c r="P1662" t="n">
        <v>0</v>
      </c>
      <c r="Q1662" t="n">
        <v>0</v>
      </c>
      <c r="R1662" s="2" t="inlineStr"/>
    </row>
    <row r="1663" ht="15" customHeight="1">
      <c r="A1663" t="inlineStr">
        <is>
          <t>A 37256-2021</t>
        </is>
      </c>
      <c r="B1663" s="1" t="n">
        <v>44397.3240162037</v>
      </c>
      <c r="C1663" s="1" t="n">
        <v>45952</v>
      </c>
      <c r="D1663" t="inlineStr">
        <is>
          <t>VÄSTRA GÖTALANDS LÄN</t>
        </is>
      </c>
      <c r="E1663" t="inlineStr">
        <is>
          <t>MARK</t>
        </is>
      </c>
      <c r="G1663" t="n">
        <v>1.4</v>
      </c>
      <c r="H1663" t="n">
        <v>0</v>
      </c>
      <c r="I1663" t="n">
        <v>0</v>
      </c>
      <c r="J1663" t="n">
        <v>0</v>
      </c>
      <c r="K1663" t="n">
        <v>0</v>
      </c>
      <c r="L1663" t="n">
        <v>0</v>
      </c>
      <c r="M1663" t="n">
        <v>0</v>
      </c>
      <c r="N1663" t="n">
        <v>0</v>
      </c>
      <c r="O1663" t="n">
        <v>0</v>
      </c>
      <c r="P1663" t="n">
        <v>0</v>
      </c>
      <c r="Q1663" t="n">
        <v>0</v>
      </c>
      <c r="R1663" s="2" t="inlineStr"/>
    </row>
    <row r="1664" ht="15" customHeight="1">
      <c r="A1664" t="inlineStr">
        <is>
          <t>A 37257-2021</t>
        </is>
      </c>
      <c r="B1664" s="1" t="n">
        <v>44397.3242824074</v>
      </c>
      <c r="C1664" s="1" t="n">
        <v>45952</v>
      </c>
      <c r="D1664" t="inlineStr">
        <is>
          <t>VÄSTRA GÖTALANDS LÄN</t>
        </is>
      </c>
      <c r="E1664" t="inlineStr">
        <is>
          <t>MARK</t>
        </is>
      </c>
      <c r="G1664" t="n">
        <v>1.2</v>
      </c>
      <c r="H1664" t="n">
        <v>0</v>
      </c>
      <c r="I1664" t="n">
        <v>0</v>
      </c>
      <c r="J1664" t="n">
        <v>0</v>
      </c>
      <c r="K1664" t="n">
        <v>0</v>
      </c>
      <c r="L1664" t="n">
        <v>0</v>
      </c>
      <c r="M1664" t="n">
        <v>0</v>
      </c>
      <c r="N1664" t="n">
        <v>0</v>
      </c>
      <c r="O1664" t="n">
        <v>0</v>
      </c>
      <c r="P1664" t="n">
        <v>0</v>
      </c>
      <c r="Q1664" t="n">
        <v>0</v>
      </c>
      <c r="R1664" s="2" t="inlineStr"/>
    </row>
    <row r="1665" ht="15" customHeight="1">
      <c r="A1665" t="inlineStr">
        <is>
          <t>A 4766-2021</t>
        </is>
      </c>
      <c r="B1665" s="1" t="n">
        <v>44225</v>
      </c>
      <c r="C1665" s="1" t="n">
        <v>45952</v>
      </c>
      <c r="D1665" t="inlineStr">
        <is>
          <t>VÄSTRA GÖTALANDS LÄN</t>
        </is>
      </c>
      <c r="E1665" t="inlineStr">
        <is>
          <t>TROLLHÄTTAN</t>
        </is>
      </c>
      <c r="G1665" t="n">
        <v>0.7</v>
      </c>
      <c r="H1665" t="n">
        <v>0</v>
      </c>
      <c r="I1665" t="n">
        <v>0</v>
      </c>
      <c r="J1665" t="n">
        <v>0</v>
      </c>
      <c r="K1665" t="n">
        <v>0</v>
      </c>
      <c r="L1665" t="n">
        <v>0</v>
      </c>
      <c r="M1665" t="n">
        <v>0</v>
      </c>
      <c r="N1665" t="n">
        <v>0</v>
      </c>
      <c r="O1665" t="n">
        <v>0</v>
      </c>
      <c r="P1665" t="n">
        <v>0</v>
      </c>
      <c r="Q1665" t="n">
        <v>0</v>
      </c>
      <c r="R1665" s="2" t="inlineStr"/>
    </row>
    <row r="1666" ht="15" customHeight="1">
      <c r="A1666" t="inlineStr">
        <is>
          <t>A 47616-2022</t>
        </is>
      </c>
      <c r="B1666" s="1" t="n">
        <v>44854</v>
      </c>
      <c r="C1666" s="1" t="n">
        <v>45952</v>
      </c>
      <c r="D1666" t="inlineStr">
        <is>
          <t>VÄSTRA GÖTALANDS LÄN</t>
        </is>
      </c>
      <c r="E1666" t="inlineStr">
        <is>
          <t>BORÅS</t>
        </is>
      </c>
      <c r="G1666" t="n">
        <v>0.7</v>
      </c>
      <c r="H1666" t="n">
        <v>0</v>
      </c>
      <c r="I1666" t="n">
        <v>0</v>
      </c>
      <c r="J1666" t="n">
        <v>0</v>
      </c>
      <c r="K1666" t="n">
        <v>0</v>
      </c>
      <c r="L1666" t="n">
        <v>0</v>
      </c>
      <c r="M1666" t="n">
        <v>0</v>
      </c>
      <c r="N1666" t="n">
        <v>0</v>
      </c>
      <c r="O1666" t="n">
        <v>0</v>
      </c>
      <c r="P1666" t="n">
        <v>0</v>
      </c>
      <c r="Q1666" t="n">
        <v>0</v>
      </c>
      <c r="R1666" s="2" t="inlineStr"/>
    </row>
    <row r="1667" ht="15" customHeight="1">
      <c r="A1667" t="inlineStr">
        <is>
          <t>A 22499-2022</t>
        </is>
      </c>
      <c r="B1667" s="1" t="n">
        <v>44713.65042824074</v>
      </c>
      <c r="C1667" s="1" t="n">
        <v>45952</v>
      </c>
      <c r="D1667" t="inlineStr">
        <is>
          <t>VÄSTRA GÖTALANDS LÄN</t>
        </is>
      </c>
      <c r="E1667" t="inlineStr">
        <is>
          <t>ULRICEHAMN</t>
        </is>
      </c>
      <c r="G1667" t="n">
        <v>0.8</v>
      </c>
      <c r="H1667" t="n">
        <v>0</v>
      </c>
      <c r="I1667" t="n">
        <v>0</v>
      </c>
      <c r="J1667" t="n">
        <v>0</v>
      </c>
      <c r="K1667" t="n">
        <v>0</v>
      </c>
      <c r="L1667" t="n">
        <v>0</v>
      </c>
      <c r="M1667" t="n">
        <v>0</v>
      </c>
      <c r="N1667" t="n">
        <v>0</v>
      </c>
      <c r="O1667" t="n">
        <v>0</v>
      </c>
      <c r="P1667" t="n">
        <v>0</v>
      </c>
      <c r="Q1667" t="n">
        <v>0</v>
      </c>
      <c r="R1667" s="2" t="inlineStr"/>
    </row>
    <row r="1668" ht="15" customHeight="1">
      <c r="A1668" t="inlineStr">
        <is>
          <t>A 68333-2021</t>
        </is>
      </c>
      <c r="B1668" s="1" t="n">
        <v>44527</v>
      </c>
      <c r="C1668" s="1" t="n">
        <v>45952</v>
      </c>
      <c r="D1668" t="inlineStr">
        <is>
          <t>VÄSTRA GÖTALANDS LÄN</t>
        </is>
      </c>
      <c r="E1668" t="inlineStr">
        <is>
          <t>MUNKEDAL</t>
        </is>
      </c>
      <c r="G1668" t="n">
        <v>2</v>
      </c>
      <c r="H1668" t="n">
        <v>0</v>
      </c>
      <c r="I1668" t="n">
        <v>0</v>
      </c>
      <c r="J1668" t="n">
        <v>0</v>
      </c>
      <c r="K1668" t="n">
        <v>0</v>
      </c>
      <c r="L1668" t="n">
        <v>0</v>
      </c>
      <c r="M1668" t="n">
        <v>0</v>
      </c>
      <c r="N1668" t="n">
        <v>0</v>
      </c>
      <c r="O1668" t="n">
        <v>0</v>
      </c>
      <c r="P1668" t="n">
        <v>0</v>
      </c>
      <c r="Q1668" t="n">
        <v>0</v>
      </c>
      <c r="R1668" s="2" t="inlineStr"/>
    </row>
    <row r="1669" ht="15" customHeight="1">
      <c r="A1669" t="inlineStr">
        <is>
          <t>A 3372-2022</t>
        </is>
      </c>
      <c r="B1669" s="1" t="n">
        <v>44585</v>
      </c>
      <c r="C1669" s="1" t="n">
        <v>45952</v>
      </c>
      <c r="D1669" t="inlineStr">
        <is>
          <t>VÄSTRA GÖTALANDS LÄN</t>
        </is>
      </c>
      <c r="E1669" t="inlineStr">
        <is>
          <t>STRÖMSTAD</t>
        </is>
      </c>
      <c r="G1669" t="n">
        <v>2.9</v>
      </c>
      <c r="H1669" t="n">
        <v>0</v>
      </c>
      <c r="I1669" t="n">
        <v>0</v>
      </c>
      <c r="J1669" t="n">
        <v>0</v>
      </c>
      <c r="K1669" t="n">
        <v>0</v>
      </c>
      <c r="L1669" t="n">
        <v>0</v>
      </c>
      <c r="M1669" t="n">
        <v>0</v>
      </c>
      <c r="N1669" t="n">
        <v>0</v>
      </c>
      <c r="O1669" t="n">
        <v>0</v>
      </c>
      <c r="P1669" t="n">
        <v>0</v>
      </c>
      <c r="Q1669" t="n">
        <v>0</v>
      </c>
      <c r="R1669" s="2" t="inlineStr"/>
    </row>
    <row r="1670" ht="15" customHeight="1">
      <c r="A1670" t="inlineStr">
        <is>
          <t>A 58213-2021</t>
        </is>
      </c>
      <c r="B1670" s="1" t="n">
        <v>44487</v>
      </c>
      <c r="C1670" s="1" t="n">
        <v>45952</v>
      </c>
      <c r="D1670" t="inlineStr">
        <is>
          <t>VÄSTRA GÖTALANDS LÄN</t>
        </is>
      </c>
      <c r="E1670" t="inlineStr">
        <is>
          <t>DALS-ED</t>
        </is>
      </c>
      <c r="G1670" t="n">
        <v>5.7</v>
      </c>
      <c r="H1670" t="n">
        <v>0</v>
      </c>
      <c r="I1670" t="n">
        <v>0</v>
      </c>
      <c r="J1670" t="n">
        <v>0</v>
      </c>
      <c r="K1670" t="n">
        <v>0</v>
      </c>
      <c r="L1670" t="n">
        <v>0</v>
      </c>
      <c r="M1670" t="n">
        <v>0</v>
      </c>
      <c r="N1670" t="n">
        <v>0</v>
      </c>
      <c r="O1670" t="n">
        <v>0</v>
      </c>
      <c r="P1670" t="n">
        <v>0</v>
      </c>
      <c r="Q1670" t="n">
        <v>0</v>
      </c>
      <c r="R1670" s="2" t="inlineStr"/>
    </row>
    <row r="1671" ht="15" customHeight="1">
      <c r="A1671" t="inlineStr">
        <is>
          <t>A 60207-2020</t>
        </is>
      </c>
      <c r="B1671" s="1" t="n">
        <v>44152</v>
      </c>
      <c r="C1671" s="1" t="n">
        <v>45952</v>
      </c>
      <c r="D1671" t="inlineStr">
        <is>
          <t>VÄSTRA GÖTALANDS LÄN</t>
        </is>
      </c>
      <c r="E1671" t="inlineStr">
        <is>
          <t>MUNKEDAL</t>
        </is>
      </c>
      <c r="G1671" t="n">
        <v>1</v>
      </c>
      <c r="H1671" t="n">
        <v>0</v>
      </c>
      <c r="I1671" t="n">
        <v>0</v>
      </c>
      <c r="J1671" t="n">
        <v>0</v>
      </c>
      <c r="K1671" t="n">
        <v>0</v>
      </c>
      <c r="L1671" t="n">
        <v>0</v>
      </c>
      <c r="M1671" t="n">
        <v>0</v>
      </c>
      <c r="N1671" t="n">
        <v>0</v>
      </c>
      <c r="O1671" t="n">
        <v>0</v>
      </c>
      <c r="P1671" t="n">
        <v>0</v>
      </c>
      <c r="Q1671" t="n">
        <v>0</v>
      </c>
      <c r="R1671" s="2" t="inlineStr"/>
    </row>
    <row r="1672" ht="15" customHeight="1">
      <c r="A1672" t="inlineStr">
        <is>
          <t>A 54448-2021</t>
        </is>
      </c>
      <c r="B1672" s="1" t="n">
        <v>44473.45759259259</v>
      </c>
      <c r="C1672" s="1" t="n">
        <v>45952</v>
      </c>
      <c r="D1672" t="inlineStr">
        <is>
          <t>VÄSTRA GÖTALANDS LÄN</t>
        </is>
      </c>
      <c r="E1672" t="inlineStr">
        <is>
          <t>ESSUNGA</t>
        </is>
      </c>
      <c r="G1672" t="n">
        <v>1.7</v>
      </c>
      <c r="H1672" t="n">
        <v>0</v>
      </c>
      <c r="I1672" t="n">
        <v>0</v>
      </c>
      <c r="J1672" t="n">
        <v>0</v>
      </c>
      <c r="K1672" t="n">
        <v>0</v>
      </c>
      <c r="L1672" t="n">
        <v>0</v>
      </c>
      <c r="M1672" t="n">
        <v>0</v>
      </c>
      <c r="N1672" t="n">
        <v>0</v>
      </c>
      <c r="O1672" t="n">
        <v>0</v>
      </c>
      <c r="P1672" t="n">
        <v>0</v>
      </c>
      <c r="Q1672" t="n">
        <v>0</v>
      </c>
      <c r="R1672" s="2" t="inlineStr"/>
    </row>
    <row r="1673" ht="15" customHeight="1">
      <c r="A1673" t="inlineStr">
        <is>
          <t>A 42438-2022</t>
        </is>
      </c>
      <c r="B1673" s="1" t="n">
        <v>44831.4771412037</v>
      </c>
      <c r="C1673" s="1" t="n">
        <v>45952</v>
      </c>
      <c r="D1673" t="inlineStr">
        <is>
          <t>VÄSTRA GÖTALANDS LÄN</t>
        </is>
      </c>
      <c r="E1673" t="inlineStr">
        <is>
          <t>VARA</t>
        </is>
      </c>
      <c r="G1673" t="n">
        <v>5.3</v>
      </c>
      <c r="H1673" t="n">
        <v>0</v>
      </c>
      <c r="I1673" t="n">
        <v>0</v>
      </c>
      <c r="J1673" t="n">
        <v>0</v>
      </c>
      <c r="K1673" t="n">
        <v>0</v>
      </c>
      <c r="L1673" t="n">
        <v>0</v>
      </c>
      <c r="M1673" t="n">
        <v>0</v>
      </c>
      <c r="N1673" t="n">
        <v>0</v>
      </c>
      <c r="O1673" t="n">
        <v>0</v>
      </c>
      <c r="P1673" t="n">
        <v>0</v>
      </c>
      <c r="Q1673" t="n">
        <v>0</v>
      </c>
      <c r="R1673" s="2" t="inlineStr"/>
    </row>
    <row r="1674" ht="15" customHeight="1">
      <c r="A1674" t="inlineStr">
        <is>
          <t>A 21335-2022</t>
        </is>
      </c>
      <c r="B1674" s="1" t="n">
        <v>44705</v>
      </c>
      <c r="C1674" s="1" t="n">
        <v>45952</v>
      </c>
      <c r="D1674" t="inlineStr">
        <is>
          <t>VÄSTRA GÖTALANDS LÄN</t>
        </is>
      </c>
      <c r="E1674" t="inlineStr">
        <is>
          <t>LIDKÖPING</t>
        </is>
      </c>
      <c r="G1674" t="n">
        <v>1.8</v>
      </c>
      <c r="H1674" t="n">
        <v>0</v>
      </c>
      <c r="I1674" t="n">
        <v>0</v>
      </c>
      <c r="J1674" t="n">
        <v>0</v>
      </c>
      <c r="K1674" t="n">
        <v>0</v>
      </c>
      <c r="L1674" t="n">
        <v>0</v>
      </c>
      <c r="M1674" t="n">
        <v>0</v>
      </c>
      <c r="N1674" t="n">
        <v>0</v>
      </c>
      <c r="O1674" t="n">
        <v>0</v>
      </c>
      <c r="P1674" t="n">
        <v>0</v>
      </c>
      <c r="Q1674" t="n">
        <v>0</v>
      </c>
      <c r="R1674" s="2" t="inlineStr"/>
    </row>
    <row r="1675" ht="15" customHeight="1">
      <c r="A1675" t="inlineStr">
        <is>
          <t>A 44055-2021</t>
        </is>
      </c>
      <c r="B1675" s="1" t="n">
        <v>44434</v>
      </c>
      <c r="C1675" s="1" t="n">
        <v>45952</v>
      </c>
      <c r="D1675" t="inlineStr">
        <is>
          <t>VÄSTRA GÖTALANDS LÄN</t>
        </is>
      </c>
      <c r="E1675" t="inlineStr">
        <is>
          <t>GULLSPÅNG</t>
        </is>
      </c>
      <c r="G1675" t="n">
        <v>2</v>
      </c>
      <c r="H1675" t="n">
        <v>0</v>
      </c>
      <c r="I1675" t="n">
        <v>0</v>
      </c>
      <c r="J1675" t="n">
        <v>0</v>
      </c>
      <c r="K1675" t="n">
        <v>0</v>
      </c>
      <c r="L1675" t="n">
        <v>0</v>
      </c>
      <c r="M1675" t="n">
        <v>0</v>
      </c>
      <c r="N1675" t="n">
        <v>0</v>
      </c>
      <c r="O1675" t="n">
        <v>0</v>
      </c>
      <c r="P1675" t="n">
        <v>0</v>
      </c>
      <c r="Q1675" t="n">
        <v>0</v>
      </c>
      <c r="R1675" s="2" t="inlineStr"/>
    </row>
    <row r="1676" ht="15" customHeight="1">
      <c r="A1676" t="inlineStr">
        <is>
          <t>A 44094-2021</t>
        </is>
      </c>
      <c r="B1676" s="1" t="n">
        <v>44434.59706018519</v>
      </c>
      <c r="C1676" s="1" t="n">
        <v>45952</v>
      </c>
      <c r="D1676" t="inlineStr">
        <is>
          <t>VÄSTRA GÖTALANDS LÄN</t>
        </is>
      </c>
      <c r="E1676" t="inlineStr">
        <is>
          <t>TRANEMO</t>
        </is>
      </c>
      <c r="G1676" t="n">
        <v>1.1</v>
      </c>
      <c r="H1676" t="n">
        <v>0</v>
      </c>
      <c r="I1676" t="n">
        <v>0</v>
      </c>
      <c r="J1676" t="n">
        <v>0</v>
      </c>
      <c r="K1676" t="n">
        <v>0</v>
      </c>
      <c r="L1676" t="n">
        <v>0</v>
      </c>
      <c r="M1676" t="n">
        <v>0</v>
      </c>
      <c r="N1676" t="n">
        <v>0</v>
      </c>
      <c r="O1676" t="n">
        <v>0</v>
      </c>
      <c r="P1676" t="n">
        <v>0</v>
      </c>
      <c r="Q1676" t="n">
        <v>0</v>
      </c>
      <c r="R1676" s="2" t="inlineStr"/>
    </row>
    <row r="1677" ht="15" customHeight="1">
      <c r="A1677" t="inlineStr">
        <is>
          <t>A 64927-2021</t>
        </is>
      </c>
      <c r="B1677" s="1" t="n">
        <v>44512</v>
      </c>
      <c r="C1677" s="1" t="n">
        <v>45952</v>
      </c>
      <c r="D1677" t="inlineStr">
        <is>
          <t>VÄSTRA GÖTALANDS LÄN</t>
        </is>
      </c>
      <c r="E1677" t="inlineStr">
        <is>
          <t>TIDAHOLM</t>
        </is>
      </c>
      <c r="G1677" t="n">
        <v>4.5</v>
      </c>
      <c r="H1677" t="n">
        <v>0</v>
      </c>
      <c r="I1677" t="n">
        <v>0</v>
      </c>
      <c r="J1677" t="n">
        <v>0</v>
      </c>
      <c r="K1677" t="n">
        <v>0</v>
      </c>
      <c r="L1677" t="n">
        <v>0</v>
      </c>
      <c r="M1677" t="n">
        <v>0</v>
      </c>
      <c r="N1677" t="n">
        <v>0</v>
      </c>
      <c r="O1677" t="n">
        <v>0</v>
      </c>
      <c r="P1677" t="n">
        <v>0</v>
      </c>
      <c r="Q1677" t="n">
        <v>0</v>
      </c>
      <c r="R1677" s="2" t="inlineStr"/>
    </row>
    <row r="1678" ht="15" customHeight="1">
      <c r="A1678" t="inlineStr">
        <is>
          <t>A 64930-2021</t>
        </is>
      </c>
      <c r="B1678" s="1" t="n">
        <v>44512</v>
      </c>
      <c r="C1678" s="1" t="n">
        <v>45952</v>
      </c>
      <c r="D1678" t="inlineStr">
        <is>
          <t>VÄSTRA GÖTALANDS LÄN</t>
        </is>
      </c>
      <c r="E1678" t="inlineStr">
        <is>
          <t>TIDAHOLM</t>
        </is>
      </c>
      <c r="G1678" t="n">
        <v>3.7</v>
      </c>
      <c r="H1678" t="n">
        <v>0</v>
      </c>
      <c r="I1678" t="n">
        <v>0</v>
      </c>
      <c r="J1678" t="n">
        <v>0</v>
      </c>
      <c r="K1678" t="n">
        <v>0</v>
      </c>
      <c r="L1678" t="n">
        <v>0</v>
      </c>
      <c r="M1678" t="n">
        <v>0</v>
      </c>
      <c r="N1678" t="n">
        <v>0</v>
      </c>
      <c r="O1678" t="n">
        <v>0</v>
      </c>
      <c r="P1678" t="n">
        <v>0</v>
      </c>
      <c r="Q1678" t="n">
        <v>0</v>
      </c>
      <c r="R1678" s="2" t="inlineStr"/>
    </row>
    <row r="1679" ht="15" customHeight="1">
      <c r="A1679" t="inlineStr">
        <is>
          <t>A 15262-2022</t>
        </is>
      </c>
      <c r="B1679" s="1" t="n">
        <v>44659</v>
      </c>
      <c r="C1679" s="1" t="n">
        <v>45952</v>
      </c>
      <c r="D1679" t="inlineStr">
        <is>
          <t>VÄSTRA GÖTALANDS LÄN</t>
        </is>
      </c>
      <c r="E1679" t="inlineStr">
        <is>
          <t>SVENLJUNGA</t>
        </is>
      </c>
      <c r="G1679" t="n">
        <v>13.4</v>
      </c>
      <c r="H1679" t="n">
        <v>0</v>
      </c>
      <c r="I1679" t="n">
        <v>0</v>
      </c>
      <c r="J1679" t="n">
        <v>0</v>
      </c>
      <c r="K1679" t="n">
        <v>0</v>
      </c>
      <c r="L1679" t="n">
        <v>0</v>
      </c>
      <c r="M1679" t="n">
        <v>0</v>
      </c>
      <c r="N1679" t="n">
        <v>0</v>
      </c>
      <c r="O1679" t="n">
        <v>0</v>
      </c>
      <c r="P1679" t="n">
        <v>0</v>
      </c>
      <c r="Q1679" t="n">
        <v>0</v>
      </c>
      <c r="R1679" s="2" t="inlineStr"/>
    </row>
    <row r="1680" ht="15" customHeight="1">
      <c r="A1680" t="inlineStr">
        <is>
          <t>A 30774-2022</t>
        </is>
      </c>
      <c r="B1680" s="1" t="n">
        <v>44764</v>
      </c>
      <c r="C1680" s="1" t="n">
        <v>45952</v>
      </c>
      <c r="D1680" t="inlineStr">
        <is>
          <t>VÄSTRA GÖTALANDS LÄN</t>
        </is>
      </c>
      <c r="E1680" t="inlineStr">
        <is>
          <t>BOLLEBYGD</t>
        </is>
      </c>
      <c r="G1680" t="n">
        <v>0.4</v>
      </c>
      <c r="H1680" t="n">
        <v>0</v>
      </c>
      <c r="I1680" t="n">
        <v>0</v>
      </c>
      <c r="J1680" t="n">
        <v>0</v>
      </c>
      <c r="K1680" t="n">
        <v>0</v>
      </c>
      <c r="L1680" t="n">
        <v>0</v>
      </c>
      <c r="M1680" t="n">
        <v>0</v>
      </c>
      <c r="N1680" t="n">
        <v>0</v>
      </c>
      <c r="O1680" t="n">
        <v>0</v>
      </c>
      <c r="P1680" t="n">
        <v>0</v>
      </c>
      <c r="Q1680" t="n">
        <v>0</v>
      </c>
      <c r="R1680" s="2" t="inlineStr"/>
    </row>
    <row r="1681" ht="15" customHeight="1">
      <c r="A1681" t="inlineStr">
        <is>
          <t>A 48636-2022</t>
        </is>
      </c>
      <c r="B1681" s="1" t="n">
        <v>44855</v>
      </c>
      <c r="C1681" s="1" t="n">
        <v>45952</v>
      </c>
      <c r="D1681" t="inlineStr">
        <is>
          <t>VÄSTRA GÖTALANDS LÄN</t>
        </is>
      </c>
      <c r="E1681" t="inlineStr">
        <is>
          <t>GULLSPÅNG</t>
        </is>
      </c>
      <c r="G1681" t="n">
        <v>5.8</v>
      </c>
      <c r="H1681" t="n">
        <v>0</v>
      </c>
      <c r="I1681" t="n">
        <v>0</v>
      </c>
      <c r="J1681" t="n">
        <v>0</v>
      </c>
      <c r="K1681" t="n">
        <v>0</v>
      </c>
      <c r="L1681" t="n">
        <v>0</v>
      </c>
      <c r="M1681" t="n">
        <v>0</v>
      </c>
      <c r="N1681" t="n">
        <v>0</v>
      </c>
      <c r="O1681" t="n">
        <v>0</v>
      </c>
      <c r="P1681" t="n">
        <v>0</v>
      </c>
      <c r="Q1681" t="n">
        <v>0</v>
      </c>
      <c r="R1681" s="2" t="inlineStr"/>
    </row>
    <row r="1682" ht="15" customHeight="1">
      <c r="A1682" t="inlineStr">
        <is>
          <t>A 50987-2022</t>
        </is>
      </c>
      <c r="B1682" s="1" t="n">
        <v>44867.89589120371</v>
      </c>
      <c r="C1682" s="1" t="n">
        <v>45952</v>
      </c>
      <c r="D1682" t="inlineStr">
        <is>
          <t>VÄSTRA GÖTALANDS LÄN</t>
        </is>
      </c>
      <c r="E1682" t="inlineStr">
        <is>
          <t>VARA</t>
        </is>
      </c>
      <c r="G1682" t="n">
        <v>2</v>
      </c>
      <c r="H1682" t="n">
        <v>0</v>
      </c>
      <c r="I1682" t="n">
        <v>0</v>
      </c>
      <c r="J1682" t="n">
        <v>0</v>
      </c>
      <c r="K1682" t="n">
        <v>0</v>
      </c>
      <c r="L1682" t="n">
        <v>0</v>
      </c>
      <c r="M1682" t="n">
        <v>0</v>
      </c>
      <c r="N1682" t="n">
        <v>0</v>
      </c>
      <c r="O1682" t="n">
        <v>0</v>
      </c>
      <c r="P1682" t="n">
        <v>0</v>
      </c>
      <c r="Q1682" t="n">
        <v>0</v>
      </c>
      <c r="R1682" s="2" t="inlineStr"/>
    </row>
    <row r="1683" ht="15" customHeight="1">
      <c r="A1683" t="inlineStr">
        <is>
          <t>A 38954-2022</t>
        </is>
      </c>
      <c r="B1683" s="1" t="n">
        <v>44816.70112268518</v>
      </c>
      <c r="C1683" s="1" t="n">
        <v>45952</v>
      </c>
      <c r="D1683" t="inlineStr">
        <is>
          <t>VÄSTRA GÖTALANDS LÄN</t>
        </is>
      </c>
      <c r="E1683" t="inlineStr">
        <is>
          <t>MARK</t>
        </is>
      </c>
      <c r="G1683" t="n">
        <v>0.8</v>
      </c>
      <c r="H1683" t="n">
        <v>0</v>
      </c>
      <c r="I1683" t="n">
        <v>0</v>
      </c>
      <c r="J1683" t="n">
        <v>0</v>
      </c>
      <c r="K1683" t="n">
        <v>0</v>
      </c>
      <c r="L1683" t="n">
        <v>0</v>
      </c>
      <c r="M1683" t="n">
        <v>0</v>
      </c>
      <c r="N1683" t="n">
        <v>0</v>
      </c>
      <c r="O1683" t="n">
        <v>0</v>
      </c>
      <c r="P1683" t="n">
        <v>0</v>
      </c>
      <c r="Q1683" t="n">
        <v>0</v>
      </c>
      <c r="R1683" s="2" t="inlineStr"/>
    </row>
    <row r="1684" ht="15" customHeight="1">
      <c r="A1684" t="inlineStr">
        <is>
          <t>A 51403-2022</t>
        </is>
      </c>
      <c r="B1684" s="1" t="n">
        <v>44866</v>
      </c>
      <c r="C1684" s="1" t="n">
        <v>45952</v>
      </c>
      <c r="D1684" t="inlineStr">
        <is>
          <t>VÄSTRA GÖTALANDS LÄN</t>
        </is>
      </c>
      <c r="E1684" t="inlineStr">
        <is>
          <t>BENGTSFORS</t>
        </is>
      </c>
      <c r="F1684" t="inlineStr">
        <is>
          <t>Kyrkan</t>
        </is>
      </c>
      <c r="G1684" t="n">
        <v>6</v>
      </c>
      <c r="H1684" t="n">
        <v>0</v>
      </c>
      <c r="I1684" t="n">
        <v>0</v>
      </c>
      <c r="J1684" t="n">
        <v>0</v>
      </c>
      <c r="K1684" t="n">
        <v>0</v>
      </c>
      <c r="L1684" t="n">
        <v>0</v>
      </c>
      <c r="M1684" t="n">
        <v>0</v>
      </c>
      <c r="N1684" t="n">
        <v>0</v>
      </c>
      <c r="O1684" t="n">
        <v>0</v>
      </c>
      <c r="P1684" t="n">
        <v>0</v>
      </c>
      <c r="Q1684" t="n">
        <v>0</v>
      </c>
      <c r="R1684" s="2" t="inlineStr"/>
    </row>
    <row r="1685" ht="15" customHeight="1">
      <c r="A1685" t="inlineStr">
        <is>
          <t>A 58421-2020</t>
        </is>
      </c>
      <c r="B1685" s="1" t="n">
        <v>44144</v>
      </c>
      <c r="C1685" s="1" t="n">
        <v>45952</v>
      </c>
      <c r="D1685" t="inlineStr">
        <is>
          <t>VÄSTRA GÖTALANDS LÄN</t>
        </is>
      </c>
      <c r="E1685" t="inlineStr">
        <is>
          <t>GULLSPÅNG</t>
        </is>
      </c>
      <c r="G1685" t="n">
        <v>7.8</v>
      </c>
      <c r="H1685" t="n">
        <v>0</v>
      </c>
      <c r="I1685" t="n">
        <v>0</v>
      </c>
      <c r="J1685" t="n">
        <v>0</v>
      </c>
      <c r="K1685" t="n">
        <v>0</v>
      </c>
      <c r="L1685" t="n">
        <v>0</v>
      </c>
      <c r="M1685" t="n">
        <v>0</v>
      </c>
      <c r="N1685" t="n">
        <v>0</v>
      </c>
      <c r="O1685" t="n">
        <v>0</v>
      </c>
      <c r="P1685" t="n">
        <v>0</v>
      </c>
      <c r="Q1685" t="n">
        <v>0</v>
      </c>
      <c r="R1685" s="2" t="inlineStr"/>
    </row>
    <row r="1686" ht="15" customHeight="1">
      <c r="A1686" t="inlineStr">
        <is>
          <t>A 58478-2020</t>
        </is>
      </c>
      <c r="B1686" s="1" t="n">
        <v>44145</v>
      </c>
      <c r="C1686" s="1" t="n">
        <v>45952</v>
      </c>
      <c r="D1686" t="inlineStr">
        <is>
          <t>VÄSTRA GÖTALANDS LÄN</t>
        </is>
      </c>
      <c r="E1686" t="inlineStr">
        <is>
          <t>LYSEKIL</t>
        </is>
      </c>
      <c r="G1686" t="n">
        <v>4.5</v>
      </c>
      <c r="H1686" t="n">
        <v>0</v>
      </c>
      <c r="I1686" t="n">
        <v>0</v>
      </c>
      <c r="J1686" t="n">
        <v>0</v>
      </c>
      <c r="K1686" t="n">
        <v>0</v>
      </c>
      <c r="L1686" t="n">
        <v>0</v>
      </c>
      <c r="M1686" t="n">
        <v>0</v>
      </c>
      <c r="N1686" t="n">
        <v>0</v>
      </c>
      <c r="O1686" t="n">
        <v>0</v>
      </c>
      <c r="P1686" t="n">
        <v>0</v>
      </c>
      <c r="Q1686" t="n">
        <v>0</v>
      </c>
      <c r="R1686" s="2" t="inlineStr"/>
    </row>
    <row r="1687" ht="15" customHeight="1">
      <c r="A1687" t="inlineStr">
        <is>
          <t>A 13542-2021</t>
        </is>
      </c>
      <c r="B1687" s="1" t="n">
        <v>44273</v>
      </c>
      <c r="C1687" s="1" t="n">
        <v>45952</v>
      </c>
      <c r="D1687" t="inlineStr">
        <is>
          <t>VÄSTRA GÖTALANDS LÄN</t>
        </is>
      </c>
      <c r="E1687" t="inlineStr">
        <is>
          <t>TIDAHOLM</t>
        </is>
      </c>
      <c r="G1687" t="n">
        <v>3.4</v>
      </c>
      <c r="H1687" t="n">
        <v>0</v>
      </c>
      <c r="I1687" t="n">
        <v>0</v>
      </c>
      <c r="J1687" t="n">
        <v>0</v>
      </c>
      <c r="K1687" t="n">
        <v>0</v>
      </c>
      <c r="L1687" t="n">
        <v>0</v>
      </c>
      <c r="M1687" t="n">
        <v>0</v>
      </c>
      <c r="N1687" t="n">
        <v>0</v>
      </c>
      <c r="O1687" t="n">
        <v>0</v>
      </c>
      <c r="P1687" t="n">
        <v>0</v>
      </c>
      <c r="Q1687" t="n">
        <v>0</v>
      </c>
      <c r="R1687" s="2" t="inlineStr"/>
    </row>
    <row r="1688" ht="15" customHeight="1">
      <c r="A1688" t="inlineStr">
        <is>
          <t>A 36744-2022</t>
        </is>
      </c>
      <c r="B1688" s="1" t="n">
        <v>44805</v>
      </c>
      <c r="C1688" s="1" t="n">
        <v>45952</v>
      </c>
      <c r="D1688" t="inlineStr">
        <is>
          <t>VÄSTRA GÖTALANDS LÄN</t>
        </is>
      </c>
      <c r="E1688" t="inlineStr">
        <is>
          <t>LIDKÖPING</t>
        </is>
      </c>
      <c r="G1688" t="n">
        <v>0.8</v>
      </c>
      <c r="H1688" t="n">
        <v>0</v>
      </c>
      <c r="I1688" t="n">
        <v>0</v>
      </c>
      <c r="J1688" t="n">
        <v>0</v>
      </c>
      <c r="K1688" t="n">
        <v>0</v>
      </c>
      <c r="L1688" t="n">
        <v>0</v>
      </c>
      <c r="M1688" t="n">
        <v>0</v>
      </c>
      <c r="N1688" t="n">
        <v>0</v>
      </c>
      <c r="O1688" t="n">
        <v>0</v>
      </c>
      <c r="P1688" t="n">
        <v>0</v>
      </c>
      <c r="Q1688" t="n">
        <v>0</v>
      </c>
      <c r="R1688" s="2" t="inlineStr"/>
    </row>
    <row r="1689" ht="15" customHeight="1">
      <c r="A1689" t="inlineStr">
        <is>
          <t>A 57203-2020</t>
        </is>
      </c>
      <c r="B1689" s="1" t="n">
        <v>44139</v>
      </c>
      <c r="C1689" s="1" t="n">
        <v>45952</v>
      </c>
      <c r="D1689" t="inlineStr">
        <is>
          <t>VÄSTRA GÖTALANDS LÄN</t>
        </is>
      </c>
      <c r="E1689" t="inlineStr">
        <is>
          <t>ALINGSÅS</t>
        </is>
      </c>
      <c r="G1689" t="n">
        <v>2.3</v>
      </c>
      <c r="H1689" t="n">
        <v>0</v>
      </c>
      <c r="I1689" t="n">
        <v>0</v>
      </c>
      <c r="J1689" t="n">
        <v>0</v>
      </c>
      <c r="K1689" t="n">
        <v>0</v>
      </c>
      <c r="L1689" t="n">
        <v>0</v>
      </c>
      <c r="M1689" t="n">
        <v>0</v>
      </c>
      <c r="N1689" t="n">
        <v>0</v>
      </c>
      <c r="O1689" t="n">
        <v>0</v>
      </c>
      <c r="P1689" t="n">
        <v>0</v>
      </c>
      <c r="Q1689" t="n">
        <v>0</v>
      </c>
      <c r="R1689" s="2" t="inlineStr"/>
    </row>
    <row r="1690" ht="15" customHeight="1">
      <c r="A1690" t="inlineStr">
        <is>
          <t>A 42585-2022</t>
        </is>
      </c>
      <c r="B1690" s="1" t="n">
        <v>44831.70172453704</v>
      </c>
      <c r="C1690" s="1" t="n">
        <v>45952</v>
      </c>
      <c r="D1690" t="inlineStr">
        <is>
          <t>VÄSTRA GÖTALANDS LÄN</t>
        </is>
      </c>
      <c r="E1690" t="inlineStr">
        <is>
          <t>MUNKEDAL</t>
        </is>
      </c>
      <c r="G1690" t="n">
        <v>2.7</v>
      </c>
      <c r="H1690" t="n">
        <v>0</v>
      </c>
      <c r="I1690" t="n">
        <v>0</v>
      </c>
      <c r="J1690" t="n">
        <v>0</v>
      </c>
      <c r="K1690" t="n">
        <v>0</v>
      </c>
      <c r="L1690" t="n">
        <v>0</v>
      </c>
      <c r="M1690" t="n">
        <v>0</v>
      </c>
      <c r="N1690" t="n">
        <v>0</v>
      </c>
      <c r="O1690" t="n">
        <v>0</v>
      </c>
      <c r="P1690" t="n">
        <v>0</v>
      </c>
      <c r="Q1690" t="n">
        <v>0</v>
      </c>
      <c r="R1690" s="2" t="inlineStr"/>
    </row>
    <row r="1691" ht="15" customHeight="1">
      <c r="A1691" t="inlineStr">
        <is>
          <t>A 65749-2020</t>
        </is>
      </c>
      <c r="B1691" s="1" t="n">
        <v>44174</v>
      </c>
      <c r="C1691" s="1" t="n">
        <v>45952</v>
      </c>
      <c r="D1691" t="inlineStr">
        <is>
          <t>VÄSTRA GÖTALANDS LÄN</t>
        </is>
      </c>
      <c r="E1691" t="inlineStr">
        <is>
          <t>SVENLJUNGA</t>
        </is>
      </c>
      <c r="G1691" t="n">
        <v>11.9</v>
      </c>
      <c r="H1691" t="n">
        <v>0</v>
      </c>
      <c r="I1691" t="n">
        <v>0</v>
      </c>
      <c r="J1691" t="n">
        <v>0</v>
      </c>
      <c r="K1691" t="n">
        <v>0</v>
      </c>
      <c r="L1691" t="n">
        <v>0</v>
      </c>
      <c r="M1691" t="n">
        <v>0</v>
      </c>
      <c r="N1691" t="n">
        <v>0</v>
      </c>
      <c r="O1691" t="n">
        <v>0</v>
      </c>
      <c r="P1691" t="n">
        <v>0</v>
      </c>
      <c r="Q1691" t="n">
        <v>0</v>
      </c>
      <c r="R1691" s="2" t="inlineStr"/>
    </row>
    <row r="1692" ht="15" customHeight="1">
      <c r="A1692" t="inlineStr">
        <is>
          <t>A 65624-2021</t>
        </is>
      </c>
      <c r="B1692" s="1" t="n">
        <v>44516</v>
      </c>
      <c r="C1692" s="1" t="n">
        <v>45952</v>
      </c>
      <c r="D1692" t="inlineStr">
        <is>
          <t>VÄSTRA GÖTALANDS LÄN</t>
        </is>
      </c>
      <c r="E1692" t="inlineStr">
        <is>
          <t>ALINGSÅS</t>
        </is>
      </c>
      <c r="G1692" t="n">
        <v>1.8</v>
      </c>
      <c r="H1692" t="n">
        <v>0</v>
      </c>
      <c r="I1692" t="n">
        <v>0</v>
      </c>
      <c r="J1692" t="n">
        <v>0</v>
      </c>
      <c r="K1692" t="n">
        <v>0</v>
      </c>
      <c r="L1692" t="n">
        <v>0</v>
      </c>
      <c r="M1692" t="n">
        <v>0</v>
      </c>
      <c r="N1692" t="n">
        <v>0</v>
      </c>
      <c r="O1692" t="n">
        <v>0</v>
      </c>
      <c r="P1692" t="n">
        <v>0</v>
      </c>
      <c r="Q1692" t="n">
        <v>0</v>
      </c>
      <c r="R1692" s="2" t="inlineStr"/>
    </row>
    <row r="1693" ht="15" customHeight="1">
      <c r="A1693" t="inlineStr">
        <is>
          <t>A 43847-2022</t>
        </is>
      </c>
      <c r="B1693" s="1" t="n">
        <v>44838</v>
      </c>
      <c r="C1693" s="1" t="n">
        <v>45952</v>
      </c>
      <c r="D1693" t="inlineStr">
        <is>
          <t>VÄSTRA GÖTALANDS LÄN</t>
        </is>
      </c>
      <c r="E1693" t="inlineStr">
        <is>
          <t>KUNGÄLV</t>
        </is>
      </c>
      <c r="G1693" t="n">
        <v>0.6</v>
      </c>
      <c r="H1693" t="n">
        <v>0</v>
      </c>
      <c r="I1693" t="n">
        <v>0</v>
      </c>
      <c r="J1693" t="n">
        <v>0</v>
      </c>
      <c r="K1693" t="n">
        <v>0</v>
      </c>
      <c r="L1693" t="n">
        <v>0</v>
      </c>
      <c r="M1693" t="n">
        <v>0</v>
      </c>
      <c r="N1693" t="n">
        <v>0</v>
      </c>
      <c r="O1693" t="n">
        <v>0</v>
      </c>
      <c r="P1693" t="n">
        <v>0</v>
      </c>
      <c r="Q1693" t="n">
        <v>0</v>
      </c>
      <c r="R1693" s="2" t="inlineStr"/>
    </row>
    <row r="1694" ht="15" customHeight="1">
      <c r="A1694" t="inlineStr">
        <is>
          <t>A 15392-2022</t>
        </is>
      </c>
      <c r="B1694" s="1" t="n">
        <v>44659</v>
      </c>
      <c r="C1694" s="1" t="n">
        <v>45952</v>
      </c>
      <c r="D1694" t="inlineStr">
        <is>
          <t>VÄSTRA GÖTALANDS LÄN</t>
        </is>
      </c>
      <c r="E1694" t="inlineStr">
        <is>
          <t>HERRLJUNGA</t>
        </is>
      </c>
      <c r="G1694" t="n">
        <v>1.2</v>
      </c>
      <c r="H1694" t="n">
        <v>0</v>
      </c>
      <c r="I1694" t="n">
        <v>0</v>
      </c>
      <c r="J1694" t="n">
        <v>0</v>
      </c>
      <c r="K1694" t="n">
        <v>0</v>
      </c>
      <c r="L1694" t="n">
        <v>0</v>
      </c>
      <c r="M1694" t="n">
        <v>0</v>
      </c>
      <c r="N1694" t="n">
        <v>0</v>
      </c>
      <c r="O1694" t="n">
        <v>0</v>
      </c>
      <c r="P1694" t="n">
        <v>0</v>
      </c>
      <c r="Q1694" t="n">
        <v>0</v>
      </c>
      <c r="R1694" s="2" t="inlineStr"/>
    </row>
    <row r="1695" ht="15" customHeight="1">
      <c r="A1695" t="inlineStr">
        <is>
          <t>A 31303-2022</t>
        </is>
      </c>
      <c r="B1695" s="1" t="n">
        <v>44773</v>
      </c>
      <c r="C1695" s="1" t="n">
        <v>45952</v>
      </c>
      <c r="D1695" t="inlineStr">
        <is>
          <t>VÄSTRA GÖTALANDS LÄN</t>
        </is>
      </c>
      <c r="E1695" t="inlineStr">
        <is>
          <t>ALINGSÅS</t>
        </is>
      </c>
      <c r="G1695" t="n">
        <v>0.6</v>
      </c>
      <c r="H1695" t="n">
        <v>0</v>
      </c>
      <c r="I1695" t="n">
        <v>0</v>
      </c>
      <c r="J1695" t="n">
        <v>0</v>
      </c>
      <c r="K1695" t="n">
        <v>0</v>
      </c>
      <c r="L1695" t="n">
        <v>0</v>
      </c>
      <c r="M1695" t="n">
        <v>0</v>
      </c>
      <c r="N1695" t="n">
        <v>0</v>
      </c>
      <c r="O1695" t="n">
        <v>0</v>
      </c>
      <c r="P1695" t="n">
        <v>0</v>
      </c>
      <c r="Q1695" t="n">
        <v>0</v>
      </c>
      <c r="R1695" s="2" t="inlineStr"/>
    </row>
    <row r="1696" ht="15" customHeight="1">
      <c r="A1696" t="inlineStr">
        <is>
          <t>A 17032-2021</t>
        </is>
      </c>
      <c r="B1696" s="1" t="n">
        <v>44295.6893287037</v>
      </c>
      <c r="C1696" s="1" t="n">
        <v>45952</v>
      </c>
      <c r="D1696" t="inlineStr">
        <is>
          <t>VÄSTRA GÖTALANDS LÄN</t>
        </is>
      </c>
      <c r="E1696" t="inlineStr">
        <is>
          <t>HERRLJUNGA</t>
        </is>
      </c>
      <c r="G1696" t="n">
        <v>7.1</v>
      </c>
      <c r="H1696" t="n">
        <v>0</v>
      </c>
      <c r="I1696" t="n">
        <v>0</v>
      </c>
      <c r="J1696" t="n">
        <v>0</v>
      </c>
      <c r="K1696" t="n">
        <v>0</v>
      </c>
      <c r="L1696" t="n">
        <v>0</v>
      </c>
      <c r="M1696" t="n">
        <v>0</v>
      </c>
      <c r="N1696" t="n">
        <v>0</v>
      </c>
      <c r="O1696" t="n">
        <v>0</v>
      </c>
      <c r="P1696" t="n">
        <v>0</v>
      </c>
      <c r="Q1696" t="n">
        <v>0</v>
      </c>
      <c r="R1696" s="2" t="inlineStr"/>
    </row>
    <row r="1697" ht="15" customHeight="1">
      <c r="A1697" t="inlineStr">
        <is>
          <t>A 46713-2022</t>
        </is>
      </c>
      <c r="B1697" s="1" t="n">
        <v>44851.3972337963</v>
      </c>
      <c r="C1697" s="1" t="n">
        <v>45952</v>
      </c>
      <c r="D1697" t="inlineStr">
        <is>
          <t>VÄSTRA GÖTALANDS LÄN</t>
        </is>
      </c>
      <c r="E1697" t="inlineStr">
        <is>
          <t>VARA</t>
        </is>
      </c>
      <c r="G1697" t="n">
        <v>15.7</v>
      </c>
      <c r="H1697" t="n">
        <v>0</v>
      </c>
      <c r="I1697" t="n">
        <v>0</v>
      </c>
      <c r="J1697" t="n">
        <v>0</v>
      </c>
      <c r="K1697" t="n">
        <v>0</v>
      </c>
      <c r="L1697" t="n">
        <v>0</v>
      </c>
      <c r="M1697" t="n">
        <v>0</v>
      </c>
      <c r="N1697" t="n">
        <v>0</v>
      </c>
      <c r="O1697" t="n">
        <v>0</v>
      </c>
      <c r="P1697" t="n">
        <v>0</v>
      </c>
      <c r="Q1697" t="n">
        <v>0</v>
      </c>
      <c r="R1697" s="2" t="inlineStr"/>
    </row>
    <row r="1698" ht="15" customHeight="1">
      <c r="A1698" t="inlineStr">
        <is>
          <t>A 52243-2022</t>
        </is>
      </c>
      <c r="B1698" s="1" t="n">
        <v>44873.60039351852</v>
      </c>
      <c r="C1698" s="1" t="n">
        <v>45952</v>
      </c>
      <c r="D1698" t="inlineStr">
        <is>
          <t>VÄSTRA GÖTALANDS LÄN</t>
        </is>
      </c>
      <c r="E1698" t="inlineStr">
        <is>
          <t>MELLERUD</t>
        </is>
      </c>
      <c r="G1698" t="n">
        <v>0.4</v>
      </c>
      <c r="H1698" t="n">
        <v>0</v>
      </c>
      <c r="I1698" t="n">
        <v>0</v>
      </c>
      <c r="J1698" t="n">
        <v>0</v>
      </c>
      <c r="K1698" t="n">
        <v>0</v>
      </c>
      <c r="L1698" t="n">
        <v>0</v>
      </c>
      <c r="M1698" t="n">
        <v>0</v>
      </c>
      <c r="N1698" t="n">
        <v>0</v>
      </c>
      <c r="O1698" t="n">
        <v>0</v>
      </c>
      <c r="P1698" t="n">
        <v>0</v>
      </c>
      <c r="Q1698" t="n">
        <v>0</v>
      </c>
      <c r="R1698" s="2" t="inlineStr"/>
    </row>
    <row r="1699" ht="15" customHeight="1">
      <c r="A1699" t="inlineStr">
        <is>
          <t>A 48733-2022</t>
        </is>
      </c>
      <c r="B1699" s="1" t="n">
        <v>44859</v>
      </c>
      <c r="C1699" s="1" t="n">
        <v>45952</v>
      </c>
      <c r="D1699" t="inlineStr">
        <is>
          <t>VÄSTRA GÖTALANDS LÄN</t>
        </is>
      </c>
      <c r="E1699" t="inlineStr">
        <is>
          <t>GÖTENE</t>
        </is>
      </c>
      <c r="G1699" t="n">
        <v>0.7</v>
      </c>
      <c r="H1699" t="n">
        <v>0</v>
      </c>
      <c r="I1699" t="n">
        <v>0</v>
      </c>
      <c r="J1699" t="n">
        <v>0</v>
      </c>
      <c r="K1699" t="n">
        <v>0</v>
      </c>
      <c r="L1699" t="n">
        <v>0</v>
      </c>
      <c r="M1699" t="n">
        <v>0</v>
      </c>
      <c r="N1699" t="n">
        <v>0</v>
      </c>
      <c r="O1699" t="n">
        <v>0</v>
      </c>
      <c r="P1699" t="n">
        <v>0</v>
      </c>
      <c r="Q1699" t="n">
        <v>0</v>
      </c>
      <c r="R1699" s="2" t="inlineStr"/>
    </row>
    <row r="1700" ht="15" customHeight="1">
      <c r="A1700" t="inlineStr">
        <is>
          <t>A 53758-2022</t>
        </is>
      </c>
      <c r="B1700" s="1" t="n">
        <v>44880</v>
      </c>
      <c r="C1700" s="1" t="n">
        <v>45952</v>
      </c>
      <c r="D1700" t="inlineStr">
        <is>
          <t>VÄSTRA GÖTALANDS LÄN</t>
        </is>
      </c>
      <c r="E1700" t="inlineStr">
        <is>
          <t>MARIESTAD</t>
        </is>
      </c>
      <c r="G1700" t="n">
        <v>0.5</v>
      </c>
      <c r="H1700" t="n">
        <v>0</v>
      </c>
      <c r="I1700" t="n">
        <v>0</v>
      </c>
      <c r="J1700" t="n">
        <v>0</v>
      </c>
      <c r="K1700" t="n">
        <v>0</v>
      </c>
      <c r="L1700" t="n">
        <v>0</v>
      </c>
      <c r="M1700" t="n">
        <v>0</v>
      </c>
      <c r="N1700" t="n">
        <v>0</v>
      </c>
      <c r="O1700" t="n">
        <v>0</v>
      </c>
      <c r="P1700" t="n">
        <v>0</v>
      </c>
      <c r="Q1700" t="n">
        <v>0</v>
      </c>
      <c r="R1700" s="2" t="inlineStr"/>
    </row>
    <row r="1701" ht="15" customHeight="1">
      <c r="A1701" t="inlineStr">
        <is>
          <t>A 44320-2022</t>
        </is>
      </c>
      <c r="B1701" s="1" t="n">
        <v>44839</v>
      </c>
      <c r="C1701" s="1" t="n">
        <v>45952</v>
      </c>
      <c r="D1701" t="inlineStr">
        <is>
          <t>VÄSTRA GÖTALANDS LÄN</t>
        </is>
      </c>
      <c r="E1701" t="inlineStr">
        <is>
          <t>BENGTSFORS</t>
        </is>
      </c>
      <c r="G1701" t="n">
        <v>0.6</v>
      </c>
      <c r="H1701" t="n">
        <v>0</v>
      </c>
      <c r="I1701" t="n">
        <v>0</v>
      </c>
      <c r="J1701" t="n">
        <v>0</v>
      </c>
      <c r="K1701" t="n">
        <v>0</v>
      </c>
      <c r="L1701" t="n">
        <v>0</v>
      </c>
      <c r="M1701" t="n">
        <v>0</v>
      </c>
      <c r="N1701" t="n">
        <v>0</v>
      </c>
      <c r="O1701" t="n">
        <v>0</v>
      </c>
      <c r="P1701" t="n">
        <v>0</v>
      </c>
      <c r="Q1701" t="n">
        <v>0</v>
      </c>
      <c r="R1701" s="2" t="inlineStr"/>
    </row>
    <row r="1702" ht="15" customHeight="1">
      <c r="A1702" t="inlineStr">
        <is>
          <t>A 51900-2021</t>
        </is>
      </c>
      <c r="B1702" s="1" t="n">
        <v>44462.90412037037</v>
      </c>
      <c r="C1702" s="1" t="n">
        <v>45952</v>
      </c>
      <c r="D1702" t="inlineStr">
        <is>
          <t>VÄSTRA GÖTALANDS LÄN</t>
        </is>
      </c>
      <c r="E1702" t="inlineStr">
        <is>
          <t>LERUM</t>
        </is>
      </c>
      <c r="G1702" t="n">
        <v>3.1</v>
      </c>
      <c r="H1702" t="n">
        <v>0</v>
      </c>
      <c r="I1702" t="n">
        <v>0</v>
      </c>
      <c r="J1702" t="n">
        <v>0</v>
      </c>
      <c r="K1702" t="n">
        <v>0</v>
      </c>
      <c r="L1702" t="n">
        <v>0</v>
      </c>
      <c r="M1702" t="n">
        <v>0</v>
      </c>
      <c r="N1702" t="n">
        <v>0</v>
      </c>
      <c r="O1702" t="n">
        <v>0</v>
      </c>
      <c r="P1702" t="n">
        <v>0</v>
      </c>
      <c r="Q1702" t="n">
        <v>0</v>
      </c>
      <c r="R1702" s="2" t="inlineStr"/>
    </row>
    <row r="1703" ht="15" customHeight="1">
      <c r="A1703" t="inlineStr">
        <is>
          <t>A 26926-2022</t>
        </is>
      </c>
      <c r="B1703" s="1" t="n">
        <v>44740</v>
      </c>
      <c r="C1703" s="1" t="n">
        <v>45952</v>
      </c>
      <c r="D1703" t="inlineStr">
        <is>
          <t>VÄSTRA GÖTALANDS LÄN</t>
        </is>
      </c>
      <c r="E1703" t="inlineStr">
        <is>
          <t>STRÖMSTAD</t>
        </is>
      </c>
      <c r="G1703" t="n">
        <v>2.3</v>
      </c>
      <c r="H1703" t="n">
        <v>0</v>
      </c>
      <c r="I1703" t="n">
        <v>0</v>
      </c>
      <c r="J1703" t="n">
        <v>0</v>
      </c>
      <c r="K1703" t="n">
        <v>0</v>
      </c>
      <c r="L1703" t="n">
        <v>0</v>
      </c>
      <c r="M1703" t="n">
        <v>0</v>
      </c>
      <c r="N1703" t="n">
        <v>0</v>
      </c>
      <c r="O1703" t="n">
        <v>0</v>
      </c>
      <c r="P1703" t="n">
        <v>0</v>
      </c>
      <c r="Q1703" t="n">
        <v>0</v>
      </c>
      <c r="R1703" s="2" t="inlineStr"/>
    </row>
    <row r="1704" ht="15" customHeight="1">
      <c r="A1704" t="inlineStr">
        <is>
          <t>A 44507-2022</t>
        </is>
      </c>
      <c r="B1704" s="1" t="n">
        <v>44840.4175</v>
      </c>
      <c r="C1704" s="1" t="n">
        <v>45952</v>
      </c>
      <c r="D1704" t="inlineStr">
        <is>
          <t>VÄSTRA GÖTALANDS LÄN</t>
        </is>
      </c>
      <c r="E1704" t="inlineStr">
        <is>
          <t>GÖTENE</t>
        </is>
      </c>
      <c r="G1704" t="n">
        <v>0.6</v>
      </c>
      <c r="H1704" t="n">
        <v>0</v>
      </c>
      <c r="I1704" t="n">
        <v>0</v>
      </c>
      <c r="J1704" t="n">
        <v>0</v>
      </c>
      <c r="K1704" t="n">
        <v>0</v>
      </c>
      <c r="L1704" t="n">
        <v>0</v>
      </c>
      <c r="M1704" t="n">
        <v>0</v>
      </c>
      <c r="N1704" t="n">
        <v>0</v>
      </c>
      <c r="O1704" t="n">
        <v>0</v>
      </c>
      <c r="P1704" t="n">
        <v>0</v>
      </c>
      <c r="Q1704" t="n">
        <v>0</v>
      </c>
      <c r="R1704" s="2" t="inlineStr"/>
    </row>
    <row r="1705" ht="15" customHeight="1">
      <c r="A1705" t="inlineStr">
        <is>
          <t>A 40651-2022</t>
        </is>
      </c>
      <c r="B1705" s="1" t="n">
        <v>44824.34898148148</v>
      </c>
      <c r="C1705" s="1" t="n">
        <v>45952</v>
      </c>
      <c r="D1705" t="inlineStr">
        <is>
          <t>VÄSTRA GÖTALANDS LÄN</t>
        </is>
      </c>
      <c r="E1705" t="inlineStr">
        <is>
          <t>SVENLJUNGA</t>
        </is>
      </c>
      <c r="G1705" t="n">
        <v>1.6</v>
      </c>
      <c r="H1705" t="n">
        <v>0</v>
      </c>
      <c r="I1705" t="n">
        <v>0</v>
      </c>
      <c r="J1705" t="n">
        <v>0</v>
      </c>
      <c r="K1705" t="n">
        <v>0</v>
      </c>
      <c r="L1705" t="n">
        <v>0</v>
      </c>
      <c r="M1705" t="n">
        <v>0</v>
      </c>
      <c r="N1705" t="n">
        <v>0</v>
      </c>
      <c r="O1705" t="n">
        <v>0</v>
      </c>
      <c r="P1705" t="n">
        <v>0</v>
      </c>
      <c r="Q1705" t="n">
        <v>0</v>
      </c>
      <c r="R1705" s="2" t="inlineStr"/>
    </row>
    <row r="1706" ht="15" customHeight="1">
      <c r="A1706" t="inlineStr">
        <is>
          <t>A 37425-2022</t>
        </is>
      </c>
      <c r="B1706" s="1" t="n">
        <v>44809</v>
      </c>
      <c r="C1706" s="1" t="n">
        <v>45952</v>
      </c>
      <c r="D1706" t="inlineStr">
        <is>
          <t>VÄSTRA GÖTALANDS LÄN</t>
        </is>
      </c>
      <c r="E1706" t="inlineStr">
        <is>
          <t>ÅMÅL</t>
        </is>
      </c>
      <c r="G1706" t="n">
        <v>0.8</v>
      </c>
      <c r="H1706" t="n">
        <v>0</v>
      </c>
      <c r="I1706" t="n">
        <v>0</v>
      </c>
      <c r="J1706" t="n">
        <v>0</v>
      </c>
      <c r="K1706" t="n">
        <v>0</v>
      </c>
      <c r="L1706" t="n">
        <v>0</v>
      </c>
      <c r="M1706" t="n">
        <v>0</v>
      </c>
      <c r="N1706" t="n">
        <v>0</v>
      </c>
      <c r="O1706" t="n">
        <v>0</v>
      </c>
      <c r="P1706" t="n">
        <v>0</v>
      </c>
      <c r="Q1706" t="n">
        <v>0</v>
      </c>
      <c r="R1706" s="2" t="inlineStr"/>
    </row>
    <row r="1707" ht="15" customHeight="1">
      <c r="A1707" t="inlineStr">
        <is>
          <t>A 44601-2022</t>
        </is>
      </c>
      <c r="B1707" s="1" t="n">
        <v>44840.54688657408</v>
      </c>
      <c r="C1707" s="1" t="n">
        <v>45952</v>
      </c>
      <c r="D1707" t="inlineStr">
        <is>
          <t>VÄSTRA GÖTALANDS LÄN</t>
        </is>
      </c>
      <c r="E1707" t="inlineStr">
        <is>
          <t>GRÄSTORP</t>
        </is>
      </c>
      <c r="G1707" t="n">
        <v>0.8</v>
      </c>
      <c r="H1707" t="n">
        <v>0</v>
      </c>
      <c r="I1707" t="n">
        <v>0</v>
      </c>
      <c r="J1707" t="n">
        <v>0</v>
      </c>
      <c r="K1707" t="n">
        <v>0</v>
      </c>
      <c r="L1707" t="n">
        <v>0</v>
      </c>
      <c r="M1707" t="n">
        <v>0</v>
      </c>
      <c r="N1707" t="n">
        <v>0</v>
      </c>
      <c r="O1707" t="n">
        <v>0</v>
      </c>
      <c r="P1707" t="n">
        <v>0</v>
      </c>
      <c r="Q1707" t="n">
        <v>0</v>
      </c>
      <c r="R1707" s="2" t="inlineStr"/>
    </row>
    <row r="1708" ht="15" customHeight="1">
      <c r="A1708" t="inlineStr">
        <is>
          <t>A 54943-2021</t>
        </is>
      </c>
      <c r="B1708" s="1" t="n">
        <v>44474.4628125</v>
      </c>
      <c r="C1708" s="1" t="n">
        <v>45952</v>
      </c>
      <c r="D1708" t="inlineStr">
        <is>
          <t>VÄSTRA GÖTALANDS LÄN</t>
        </is>
      </c>
      <c r="E1708" t="inlineStr">
        <is>
          <t>MARK</t>
        </is>
      </c>
      <c r="G1708" t="n">
        <v>1.5</v>
      </c>
      <c r="H1708" t="n">
        <v>0</v>
      </c>
      <c r="I1708" t="n">
        <v>0</v>
      </c>
      <c r="J1708" t="n">
        <v>0</v>
      </c>
      <c r="K1708" t="n">
        <v>0</v>
      </c>
      <c r="L1708" t="n">
        <v>0</v>
      </c>
      <c r="M1708" t="n">
        <v>0</v>
      </c>
      <c r="N1708" t="n">
        <v>0</v>
      </c>
      <c r="O1708" t="n">
        <v>0</v>
      </c>
      <c r="P1708" t="n">
        <v>0</v>
      </c>
      <c r="Q1708" t="n">
        <v>0</v>
      </c>
      <c r="R1708" s="2" t="inlineStr"/>
    </row>
    <row r="1709" ht="15" customHeight="1">
      <c r="A1709" t="inlineStr">
        <is>
          <t>A 57952-2020</t>
        </is>
      </c>
      <c r="B1709" s="1" t="n">
        <v>44142</v>
      </c>
      <c r="C1709" s="1" t="n">
        <v>45952</v>
      </c>
      <c r="D1709" t="inlineStr">
        <is>
          <t>VÄSTRA GÖTALANDS LÄN</t>
        </is>
      </c>
      <c r="E1709" t="inlineStr">
        <is>
          <t>FALKÖPING</t>
        </is>
      </c>
      <c r="G1709" t="n">
        <v>4.1</v>
      </c>
      <c r="H1709" t="n">
        <v>0</v>
      </c>
      <c r="I1709" t="n">
        <v>0</v>
      </c>
      <c r="J1709" t="n">
        <v>0</v>
      </c>
      <c r="K1709" t="n">
        <v>0</v>
      </c>
      <c r="L1709" t="n">
        <v>0</v>
      </c>
      <c r="M1709" t="n">
        <v>0</v>
      </c>
      <c r="N1709" t="n">
        <v>0</v>
      </c>
      <c r="O1709" t="n">
        <v>0</v>
      </c>
      <c r="P1709" t="n">
        <v>0</v>
      </c>
      <c r="Q1709" t="n">
        <v>0</v>
      </c>
      <c r="R1709" s="2" t="inlineStr"/>
    </row>
    <row r="1710" ht="15" customHeight="1">
      <c r="A1710" t="inlineStr">
        <is>
          <t>A 57953-2020</t>
        </is>
      </c>
      <c r="B1710" s="1" t="n">
        <v>44142</v>
      </c>
      <c r="C1710" s="1" t="n">
        <v>45952</v>
      </c>
      <c r="D1710" t="inlineStr">
        <is>
          <t>VÄSTRA GÖTALANDS LÄN</t>
        </is>
      </c>
      <c r="E1710" t="inlineStr">
        <is>
          <t>FALKÖPING</t>
        </is>
      </c>
      <c r="G1710" t="n">
        <v>4</v>
      </c>
      <c r="H1710" t="n">
        <v>0</v>
      </c>
      <c r="I1710" t="n">
        <v>0</v>
      </c>
      <c r="J1710" t="n">
        <v>0</v>
      </c>
      <c r="K1710" t="n">
        <v>0</v>
      </c>
      <c r="L1710" t="n">
        <v>0</v>
      </c>
      <c r="M1710" t="n">
        <v>0</v>
      </c>
      <c r="N1710" t="n">
        <v>0</v>
      </c>
      <c r="O1710" t="n">
        <v>0</v>
      </c>
      <c r="P1710" t="n">
        <v>0</v>
      </c>
      <c r="Q1710" t="n">
        <v>0</v>
      </c>
      <c r="R1710" s="2" t="inlineStr"/>
    </row>
    <row r="1711" ht="15" customHeight="1">
      <c r="A1711" t="inlineStr">
        <is>
          <t>A 16898-2021</t>
        </is>
      </c>
      <c r="B1711" s="1" t="n">
        <v>44295</v>
      </c>
      <c r="C1711" s="1" t="n">
        <v>45952</v>
      </c>
      <c r="D1711" t="inlineStr">
        <is>
          <t>VÄSTRA GÖTALANDS LÄN</t>
        </is>
      </c>
      <c r="E1711" t="inlineStr">
        <is>
          <t>MARK</t>
        </is>
      </c>
      <c r="G1711" t="n">
        <v>2.6</v>
      </c>
      <c r="H1711" t="n">
        <v>0</v>
      </c>
      <c r="I1711" t="n">
        <v>0</v>
      </c>
      <c r="J1711" t="n">
        <v>0</v>
      </c>
      <c r="K1711" t="n">
        <v>0</v>
      </c>
      <c r="L1711" t="n">
        <v>0</v>
      </c>
      <c r="M1711" t="n">
        <v>0</v>
      </c>
      <c r="N1711" t="n">
        <v>0</v>
      </c>
      <c r="O1711" t="n">
        <v>0</v>
      </c>
      <c r="P1711" t="n">
        <v>0</v>
      </c>
      <c r="Q1711" t="n">
        <v>0</v>
      </c>
      <c r="R1711" s="2" t="inlineStr"/>
    </row>
    <row r="1712" ht="15" customHeight="1">
      <c r="A1712" t="inlineStr">
        <is>
          <t>A 53549-2022</t>
        </is>
      </c>
      <c r="B1712" s="1" t="n">
        <v>44879.6300462963</v>
      </c>
      <c r="C1712" s="1" t="n">
        <v>45952</v>
      </c>
      <c r="D1712" t="inlineStr">
        <is>
          <t>VÄSTRA GÖTALANDS LÄN</t>
        </is>
      </c>
      <c r="E1712" t="inlineStr">
        <is>
          <t>MELLERUD</t>
        </is>
      </c>
      <c r="G1712" t="n">
        <v>1.1</v>
      </c>
      <c r="H1712" t="n">
        <v>0</v>
      </c>
      <c r="I1712" t="n">
        <v>0</v>
      </c>
      <c r="J1712" t="n">
        <v>0</v>
      </c>
      <c r="K1712" t="n">
        <v>0</v>
      </c>
      <c r="L1712" t="n">
        <v>0</v>
      </c>
      <c r="M1712" t="n">
        <v>0</v>
      </c>
      <c r="N1712" t="n">
        <v>0</v>
      </c>
      <c r="O1712" t="n">
        <v>0</v>
      </c>
      <c r="P1712" t="n">
        <v>0</v>
      </c>
      <c r="Q1712" t="n">
        <v>0</v>
      </c>
      <c r="R1712" s="2" t="inlineStr"/>
    </row>
    <row r="1713" ht="15" customHeight="1">
      <c r="A1713" t="inlineStr">
        <is>
          <t>A 61046-2021</t>
        </is>
      </c>
      <c r="B1713" s="1" t="n">
        <v>44497</v>
      </c>
      <c r="C1713" s="1" t="n">
        <v>45952</v>
      </c>
      <c r="D1713" t="inlineStr">
        <is>
          <t>VÄSTRA GÖTALANDS LÄN</t>
        </is>
      </c>
      <c r="E1713" t="inlineStr">
        <is>
          <t>SVENLJUNGA</t>
        </is>
      </c>
      <c r="G1713" t="n">
        <v>2.8</v>
      </c>
      <c r="H1713" t="n">
        <v>0</v>
      </c>
      <c r="I1713" t="n">
        <v>0</v>
      </c>
      <c r="J1713" t="n">
        <v>0</v>
      </c>
      <c r="K1713" t="n">
        <v>0</v>
      </c>
      <c r="L1713" t="n">
        <v>0</v>
      </c>
      <c r="M1713" t="n">
        <v>0</v>
      </c>
      <c r="N1713" t="n">
        <v>0</v>
      </c>
      <c r="O1713" t="n">
        <v>0</v>
      </c>
      <c r="P1713" t="n">
        <v>0</v>
      </c>
      <c r="Q1713" t="n">
        <v>0</v>
      </c>
      <c r="R1713" s="2" t="inlineStr"/>
    </row>
    <row r="1714" ht="15" customHeight="1">
      <c r="A1714" t="inlineStr">
        <is>
          <t>A 47234-2022</t>
        </is>
      </c>
      <c r="B1714" s="1" t="n">
        <v>44852</v>
      </c>
      <c r="C1714" s="1" t="n">
        <v>45952</v>
      </c>
      <c r="D1714" t="inlineStr">
        <is>
          <t>VÄSTRA GÖTALANDS LÄN</t>
        </is>
      </c>
      <c r="E1714" t="inlineStr">
        <is>
          <t>ALINGSÅS</t>
        </is>
      </c>
      <c r="G1714" t="n">
        <v>0.8</v>
      </c>
      <c r="H1714" t="n">
        <v>0</v>
      </c>
      <c r="I1714" t="n">
        <v>0</v>
      </c>
      <c r="J1714" t="n">
        <v>0</v>
      </c>
      <c r="K1714" t="n">
        <v>0</v>
      </c>
      <c r="L1714" t="n">
        <v>0</v>
      </c>
      <c r="M1714" t="n">
        <v>0</v>
      </c>
      <c r="N1714" t="n">
        <v>0</v>
      </c>
      <c r="O1714" t="n">
        <v>0</v>
      </c>
      <c r="P1714" t="n">
        <v>0</v>
      </c>
      <c r="Q1714" t="n">
        <v>0</v>
      </c>
      <c r="R1714" s="2" t="inlineStr"/>
    </row>
    <row r="1715" ht="15" customHeight="1">
      <c r="A1715" t="inlineStr">
        <is>
          <t>A 61069-2021</t>
        </is>
      </c>
      <c r="B1715" s="1" t="n">
        <v>44497.82625</v>
      </c>
      <c r="C1715" s="1" t="n">
        <v>45952</v>
      </c>
      <c r="D1715" t="inlineStr">
        <is>
          <t>VÄSTRA GÖTALANDS LÄN</t>
        </is>
      </c>
      <c r="E1715" t="inlineStr">
        <is>
          <t>ULRICEHAMN</t>
        </is>
      </c>
      <c r="G1715" t="n">
        <v>2</v>
      </c>
      <c r="H1715" t="n">
        <v>0</v>
      </c>
      <c r="I1715" t="n">
        <v>0</v>
      </c>
      <c r="J1715" t="n">
        <v>0</v>
      </c>
      <c r="K1715" t="n">
        <v>0</v>
      </c>
      <c r="L1715" t="n">
        <v>0</v>
      </c>
      <c r="M1715" t="n">
        <v>0</v>
      </c>
      <c r="N1715" t="n">
        <v>0</v>
      </c>
      <c r="O1715" t="n">
        <v>0</v>
      </c>
      <c r="P1715" t="n">
        <v>0</v>
      </c>
      <c r="Q1715" t="n">
        <v>0</v>
      </c>
      <c r="R1715" s="2" t="inlineStr"/>
    </row>
    <row r="1716" ht="15" customHeight="1">
      <c r="A1716" t="inlineStr">
        <is>
          <t>A 60337-2021</t>
        </is>
      </c>
      <c r="B1716" s="1" t="n">
        <v>44496</v>
      </c>
      <c r="C1716" s="1" t="n">
        <v>45952</v>
      </c>
      <c r="D1716" t="inlineStr">
        <is>
          <t>VÄSTRA GÖTALANDS LÄN</t>
        </is>
      </c>
      <c r="E1716" t="inlineStr">
        <is>
          <t>SVENLJUNGA</t>
        </is>
      </c>
      <c r="G1716" t="n">
        <v>9.800000000000001</v>
      </c>
      <c r="H1716" t="n">
        <v>0</v>
      </c>
      <c r="I1716" t="n">
        <v>0</v>
      </c>
      <c r="J1716" t="n">
        <v>0</v>
      </c>
      <c r="K1716" t="n">
        <v>0</v>
      </c>
      <c r="L1716" t="n">
        <v>0</v>
      </c>
      <c r="M1716" t="n">
        <v>0</v>
      </c>
      <c r="N1716" t="n">
        <v>0</v>
      </c>
      <c r="O1716" t="n">
        <v>0</v>
      </c>
      <c r="P1716" t="n">
        <v>0</v>
      </c>
      <c r="Q1716" t="n">
        <v>0</v>
      </c>
      <c r="R1716" s="2" t="inlineStr"/>
    </row>
    <row r="1717" ht="15" customHeight="1">
      <c r="A1717" t="inlineStr">
        <is>
          <t>A 60444-2021</t>
        </is>
      </c>
      <c r="B1717" s="1" t="n">
        <v>44496.43965277778</v>
      </c>
      <c r="C1717" s="1" t="n">
        <v>45952</v>
      </c>
      <c r="D1717" t="inlineStr">
        <is>
          <t>VÄSTRA GÖTALANDS LÄN</t>
        </is>
      </c>
      <c r="E1717" t="inlineStr">
        <is>
          <t>FÄRGELANDA</t>
        </is>
      </c>
      <c r="G1717" t="n">
        <v>1.8</v>
      </c>
      <c r="H1717" t="n">
        <v>0</v>
      </c>
      <c r="I1717" t="n">
        <v>0</v>
      </c>
      <c r="J1717" t="n">
        <v>0</v>
      </c>
      <c r="K1717" t="n">
        <v>0</v>
      </c>
      <c r="L1717" t="n">
        <v>0</v>
      </c>
      <c r="M1717" t="n">
        <v>0</v>
      </c>
      <c r="N1717" t="n">
        <v>0</v>
      </c>
      <c r="O1717" t="n">
        <v>0</v>
      </c>
      <c r="P1717" t="n">
        <v>0</v>
      </c>
      <c r="Q1717" t="n">
        <v>0</v>
      </c>
      <c r="R1717" s="2" t="inlineStr"/>
    </row>
    <row r="1718" ht="15" customHeight="1">
      <c r="A1718" t="inlineStr">
        <is>
          <t>A 37196-2022</t>
        </is>
      </c>
      <c r="B1718" s="1" t="n">
        <v>44806.63174768518</v>
      </c>
      <c r="C1718" s="1" t="n">
        <v>45952</v>
      </c>
      <c r="D1718" t="inlineStr">
        <is>
          <t>VÄSTRA GÖTALANDS LÄN</t>
        </is>
      </c>
      <c r="E1718" t="inlineStr">
        <is>
          <t>BENGTSFORS</t>
        </is>
      </c>
      <c r="G1718" t="n">
        <v>0.9</v>
      </c>
      <c r="H1718" t="n">
        <v>0</v>
      </c>
      <c r="I1718" t="n">
        <v>0</v>
      </c>
      <c r="J1718" t="n">
        <v>0</v>
      </c>
      <c r="K1718" t="n">
        <v>0</v>
      </c>
      <c r="L1718" t="n">
        <v>0</v>
      </c>
      <c r="M1718" t="n">
        <v>0</v>
      </c>
      <c r="N1718" t="n">
        <v>0</v>
      </c>
      <c r="O1718" t="n">
        <v>0</v>
      </c>
      <c r="P1718" t="n">
        <v>0</v>
      </c>
      <c r="Q1718" t="n">
        <v>0</v>
      </c>
      <c r="R1718" s="2" t="inlineStr"/>
    </row>
    <row r="1719" ht="15" customHeight="1">
      <c r="A1719" t="inlineStr">
        <is>
          <t>A 37214-2022</t>
        </is>
      </c>
      <c r="B1719" s="1" t="n">
        <v>44806</v>
      </c>
      <c r="C1719" s="1" t="n">
        <v>45952</v>
      </c>
      <c r="D1719" t="inlineStr">
        <is>
          <t>VÄSTRA GÖTALANDS LÄN</t>
        </is>
      </c>
      <c r="E1719" t="inlineStr">
        <is>
          <t>GRÄSTORP</t>
        </is>
      </c>
      <c r="G1719" t="n">
        <v>4.8</v>
      </c>
      <c r="H1719" t="n">
        <v>0</v>
      </c>
      <c r="I1719" t="n">
        <v>0</v>
      </c>
      <c r="J1719" t="n">
        <v>0</v>
      </c>
      <c r="K1719" t="n">
        <v>0</v>
      </c>
      <c r="L1719" t="n">
        <v>0</v>
      </c>
      <c r="M1719" t="n">
        <v>0</v>
      </c>
      <c r="N1719" t="n">
        <v>0</v>
      </c>
      <c r="O1719" t="n">
        <v>0</v>
      </c>
      <c r="P1719" t="n">
        <v>0</v>
      </c>
      <c r="Q1719" t="n">
        <v>0</v>
      </c>
      <c r="R1719" s="2" t="inlineStr"/>
    </row>
    <row r="1720" ht="15" customHeight="1">
      <c r="A1720" t="inlineStr">
        <is>
          <t>A 63485-2021</t>
        </is>
      </c>
      <c r="B1720" s="1" t="n">
        <v>44508.61591435185</v>
      </c>
      <c r="C1720" s="1" t="n">
        <v>45952</v>
      </c>
      <c r="D1720" t="inlineStr">
        <is>
          <t>VÄSTRA GÖTALANDS LÄN</t>
        </is>
      </c>
      <c r="E1720" t="inlineStr">
        <is>
          <t>BENGTSFORS</t>
        </is>
      </c>
      <c r="G1720" t="n">
        <v>5.1</v>
      </c>
      <c r="H1720" t="n">
        <v>0</v>
      </c>
      <c r="I1720" t="n">
        <v>0</v>
      </c>
      <c r="J1720" t="n">
        <v>0</v>
      </c>
      <c r="K1720" t="n">
        <v>0</v>
      </c>
      <c r="L1720" t="n">
        <v>0</v>
      </c>
      <c r="M1720" t="n">
        <v>0</v>
      </c>
      <c r="N1720" t="n">
        <v>0</v>
      </c>
      <c r="O1720" t="n">
        <v>0</v>
      </c>
      <c r="P1720" t="n">
        <v>0</v>
      </c>
      <c r="Q1720" t="n">
        <v>0</v>
      </c>
      <c r="R1720" s="2" t="inlineStr"/>
    </row>
    <row r="1721" ht="15" customHeight="1">
      <c r="A1721" t="inlineStr">
        <is>
          <t>A 62646-2020</t>
        </is>
      </c>
      <c r="B1721" s="1" t="n">
        <v>44161</v>
      </c>
      <c r="C1721" s="1" t="n">
        <v>45952</v>
      </c>
      <c r="D1721" t="inlineStr">
        <is>
          <t>VÄSTRA GÖTALANDS LÄN</t>
        </is>
      </c>
      <c r="E1721" t="inlineStr">
        <is>
          <t>ULRICEHAMN</t>
        </is>
      </c>
      <c r="G1721" t="n">
        <v>1.4</v>
      </c>
      <c r="H1721" t="n">
        <v>0</v>
      </c>
      <c r="I1721" t="n">
        <v>0</v>
      </c>
      <c r="J1721" t="n">
        <v>0</v>
      </c>
      <c r="K1721" t="n">
        <v>0</v>
      </c>
      <c r="L1721" t="n">
        <v>0</v>
      </c>
      <c r="M1721" t="n">
        <v>0</v>
      </c>
      <c r="N1721" t="n">
        <v>0</v>
      </c>
      <c r="O1721" t="n">
        <v>0</v>
      </c>
      <c r="P1721" t="n">
        <v>0</v>
      </c>
      <c r="Q1721" t="n">
        <v>0</v>
      </c>
      <c r="R1721" s="2" t="inlineStr"/>
    </row>
    <row r="1722" ht="15" customHeight="1">
      <c r="A1722" t="inlineStr">
        <is>
          <t>A 33114-2022</t>
        </is>
      </c>
      <c r="B1722" s="1" t="n">
        <v>44785.51939814815</v>
      </c>
      <c r="C1722" s="1" t="n">
        <v>45952</v>
      </c>
      <c r="D1722" t="inlineStr">
        <is>
          <t>VÄSTRA GÖTALANDS LÄN</t>
        </is>
      </c>
      <c r="E1722" t="inlineStr">
        <is>
          <t>KARLSBORG</t>
        </is>
      </c>
      <c r="F1722" t="inlineStr">
        <is>
          <t>Sveaskog</t>
        </is>
      </c>
      <c r="G1722" t="n">
        <v>0.7</v>
      </c>
      <c r="H1722" t="n">
        <v>0</v>
      </c>
      <c r="I1722" t="n">
        <v>0</v>
      </c>
      <c r="J1722" t="n">
        <v>0</v>
      </c>
      <c r="K1722" t="n">
        <v>0</v>
      </c>
      <c r="L1722" t="n">
        <v>0</v>
      </c>
      <c r="M1722" t="n">
        <v>0</v>
      </c>
      <c r="N1722" t="n">
        <v>0</v>
      </c>
      <c r="O1722" t="n">
        <v>0</v>
      </c>
      <c r="P1722" t="n">
        <v>0</v>
      </c>
      <c r="Q1722" t="n">
        <v>0</v>
      </c>
      <c r="R1722" s="2" t="inlineStr"/>
    </row>
    <row r="1723" ht="15" customHeight="1">
      <c r="A1723" t="inlineStr">
        <is>
          <t>A 33685-2022</t>
        </is>
      </c>
      <c r="B1723" s="1" t="n">
        <v>44789.66380787037</v>
      </c>
      <c r="C1723" s="1" t="n">
        <v>45952</v>
      </c>
      <c r="D1723" t="inlineStr">
        <is>
          <t>VÄSTRA GÖTALANDS LÄN</t>
        </is>
      </c>
      <c r="E1723" t="inlineStr">
        <is>
          <t>SVENLJUNGA</t>
        </is>
      </c>
      <c r="G1723" t="n">
        <v>0.3</v>
      </c>
      <c r="H1723" t="n">
        <v>0</v>
      </c>
      <c r="I1723" t="n">
        <v>0</v>
      </c>
      <c r="J1723" t="n">
        <v>0</v>
      </c>
      <c r="K1723" t="n">
        <v>0</v>
      </c>
      <c r="L1723" t="n">
        <v>0</v>
      </c>
      <c r="M1723" t="n">
        <v>0</v>
      </c>
      <c r="N1723" t="n">
        <v>0</v>
      </c>
      <c r="O1723" t="n">
        <v>0</v>
      </c>
      <c r="P1723" t="n">
        <v>0</v>
      </c>
      <c r="Q1723" t="n">
        <v>0</v>
      </c>
      <c r="R1723" s="2" t="inlineStr"/>
    </row>
    <row r="1724" ht="15" customHeight="1">
      <c r="A1724" t="inlineStr">
        <is>
          <t>A 48115-2022</t>
        </is>
      </c>
      <c r="B1724" s="1" t="n">
        <v>44857</v>
      </c>
      <c r="C1724" s="1" t="n">
        <v>45952</v>
      </c>
      <c r="D1724" t="inlineStr">
        <is>
          <t>VÄSTRA GÖTALANDS LÄN</t>
        </is>
      </c>
      <c r="E1724" t="inlineStr">
        <is>
          <t>VÄNERSBORG</t>
        </is>
      </c>
      <c r="G1724" t="n">
        <v>23.4</v>
      </c>
      <c r="H1724" t="n">
        <v>0</v>
      </c>
      <c r="I1724" t="n">
        <v>0</v>
      </c>
      <c r="J1724" t="n">
        <v>0</v>
      </c>
      <c r="K1724" t="n">
        <v>0</v>
      </c>
      <c r="L1724" t="n">
        <v>0</v>
      </c>
      <c r="M1724" t="n">
        <v>0</v>
      </c>
      <c r="N1724" t="n">
        <v>0</v>
      </c>
      <c r="O1724" t="n">
        <v>0</v>
      </c>
      <c r="P1724" t="n">
        <v>0</v>
      </c>
      <c r="Q1724" t="n">
        <v>0</v>
      </c>
      <c r="R1724" s="2" t="inlineStr"/>
    </row>
    <row r="1725" ht="15" customHeight="1">
      <c r="A1725" t="inlineStr">
        <is>
          <t>A 50007-2022</t>
        </is>
      </c>
      <c r="B1725" s="1" t="n">
        <v>44865.43612268518</v>
      </c>
      <c r="C1725" s="1" t="n">
        <v>45952</v>
      </c>
      <c r="D1725" t="inlineStr">
        <is>
          <t>VÄSTRA GÖTALANDS LÄN</t>
        </is>
      </c>
      <c r="E1725" t="inlineStr">
        <is>
          <t>STRÖMSTAD</t>
        </is>
      </c>
      <c r="G1725" t="n">
        <v>8.4</v>
      </c>
      <c r="H1725" t="n">
        <v>0</v>
      </c>
      <c r="I1725" t="n">
        <v>0</v>
      </c>
      <c r="J1725" t="n">
        <v>0</v>
      </c>
      <c r="K1725" t="n">
        <v>0</v>
      </c>
      <c r="L1725" t="n">
        <v>0</v>
      </c>
      <c r="M1725" t="n">
        <v>0</v>
      </c>
      <c r="N1725" t="n">
        <v>0</v>
      </c>
      <c r="O1725" t="n">
        <v>0</v>
      </c>
      <c r="P1725" t="n">
        <v>0</v>
      </c>
      <c r="Q1725" t="n">
        <v>0</v>
      </c>
      <c r="R1725" s="2" t="inlineStr"/>
    </row>
    <row r="1726" ht="15" customHeight="1">
      <c r="A1726" t="inlineStr">
        <is>
          <t>A 46930-2022</t>
        </is>
      </c>
      <c r="B1726" s="1" t="n">
        <v>44851.74130787037</v>
      </c>
      <c r="C1726" s="1" t="n">
        <v>45952</v>
      </c>
      <c r="D1726" t="inlineStr">
        <is>
          <t>VÄSTRA GÖTALANDS LÄN</t>
        </is>
      </c>
      <c r="E1726" t="inlineStr">
        <is>
          <t>VARA</t>
        </is>
      </c>
      <c r="G1726" t="n">
        <v>0.4</v>
      </c>
      <c r="H1726" t="n">
        <v>0</v>
      </c>
      <c r="I1726" t="n">
        <v>0</v>
      </c>
      <c r="J1726" t="n">
        <v>0</v>
      </c>
      <c r="K1726" t="n">
        <v>0</v>
      </c>
      <c r="L1726" t="n">
        <v>0</v>
      </c>
      <c r="M1726" t="n">
        <v>0</v>
      </c>
      <c r="N1726" t="n">
        <v>0</v>
      </c>
      <c r="O1726" t="n">
        <v>0</v>
      </c>
      <c r="P1726" t="n">
        <v>0</v>
      </c>
      <c r="Q1726" t="n">
        <v>0</v>
      </c>
      <c r="R1726" s="2" t="inlineStr"/>
    </row>
    <row r="1727" ht="15" customHeight="1">
      <c r="A1727" t="inlineStr">
        <is>
          <t>A 61185-2021</t>
        </is>
      </c>
      <c r="B1727" s="1" t="n">
        <v>44498.46320601852</v>
      </c>
      <c r="C1727" s="1" t="n">
        <v>45952</v>
      </c>
      <c r="D1727" t="inlineStr">
        <is>
          <t>VÄSTRA GÖTALANDS LÄN</t>
        </is>
      </c>
      <c r="E1727" t="inlineStr">
        <is>
          <t>SVENLJUNGA</t>
        </is>
      </c>
      <c r="G1727" t="n">
        <v>1.6</v>
      </c>
      <c r="H1727" t="n">
        <v>0</v>
      </c>
      <c r="I1727" t="n">
        <v>0</v>
      </c>
      <c r="J1727" t="n">
        <v>0</v>
      </c>
      <c r="K1727" t="n">
        <v>0</v>
      </c>
      <c r="L1727" t="n">
        <v>0</v>
      </c>
      <c r="M1727" t="n">
        <v>0</v>
      </c>
      <c r="N1727" t="n">
        <v>0</v>
      </c>
      <c r="O1727" t="n">
        <v>0</v>
      </c>
      <c r="P1727" t="n">
        <v>0</v>
      </c>
      <c r="Q1727" t="n">
        <v>0</v>
      </c>
      <c r="R1727" s="2" t="inlineStr"/>
    </row>
    <row r="1728" ht="15" customHeight="1">
      <c r="A1728" t="inlineStr">
        <is>
          <t>A 51214-2022</t>
        </is>
      </c>
      <c r="B1728" s="1" t="n">
        <v>44865</v>
      </c>
      <c r="C1728" s="1" t="n">
        <v>45952</v>
      </c>
      <c r="D1728" t="inlineStr">
        <is>
          <t>VÄSTRA GÖTALANDS LÄN</t>
        </is>
      </c>
      <c r="E1728" t="inlineStr">
        <is>
          <t>DALS-ED</t>
        </is>
      </c>
      <c r="F1728" t="inlineStr">
        <is>
          <t>Kyrkan</t>
        </is>
      </c>
      <c r="G1728" t="n">
        <v>3</v>
      </c>
      <c r="H1728" t="n">
        <v>0</v>
      </c>
      <c r="I1728" t="n">
        <v>0</v>
      </c>
      <c r="J1728" t="n">
        <v>0</v>
      </c>
      <c r="K1728" t="n">
        <v>0</v>
      </c>
      <c r="L1728" t="n">
        <v>0</v>
      </c>
      <c r="M1728" t="n">
        <v>0</v>
      </c>
      <c r="N1728" t="n">
        <v>0</v>
      </c>
      <c r="O1728" t="n">
        <v>0</v>
      </c>
      <c r="P1728" t="n">
        <v>0</v>
      </c>
      <c r="Q1728" t="n">
        <v>0</v>
      </c>
      <c r="R1728" s="2" t="inlineStr"/>
    </row>
    <row r="1729" ht="15" customHeight="1">
      <c r="A1729" t="inlineStr">
        <is>
          <t>A 59498-2020</t>
        </is>
      </c>
      <c r="B1729" s="1" t="n">
        <v>44148</v>
      </c>
      <c r="C1729" s="1" t="n">
        <v>45952</v>
      </c>
      <c r="D1729" t="inlineStr">
        <is>
          <t>VÄSTRA GÖTALANDS LÄN</t>
        </is>
      </c>
      <c r="E1729" t="inlineStr">
        <is>
          <t>SKARA</t>
        </is>
      </c>
      <c r="G1729" t="n">
        <v>2.2</v>
      </c>
      <c r="H1729" t="n">
        <v>0</v>
      </c>
      <c r="I1729" t="n">
        <v>0</v>
      </c>
      <c r="J1729" t="n">
        <v>0</v>
      </c>
      <c r="K1729" t="n">
        <v>0</v>
      </c>
      <c r="L1729" t="n">
        <v>0</v>
      </c>
      <c r="M1729" t="n">
        <v>0</v>
      </c>
      <c r="N1729" t="n">
        <v>0</v>
      </c>
      <c r="O1729" t="n">
        <v>0</v>
      </c>
      <c r="P1729" t="n">
        <v>0</v>
      </c>
      <c r="Q1729" t="n">
        <v>0</v>
      </c>
      <c r="R1729" s="2" t="inlineStr"/>
    </row>
    <row r="1730" ht="15" customHeight="1">
      <c r="A1730" t="inlineStr">
        <is>
          <t>A 15583-2021</t>
        </is>
      </c>
      <c r="B1730" s="1" t="n">
        <v>44285.64561342593</v>
      </c>
      <c r="C1730" s="1" t="n">
        <v>45952</v>
      </c>
      <c r="D1730" t="inlineStr">
        <is>
          <t>VÄSTRA GÖTALANDS LÄN</t>
        </is>
      </c>
      <c r="E1730" t="inlineStr">
        <is>
          <t>BORÅS</t>
        </is>
      </c>
      <c r="G1730" t="n">
        <v>1.7</v>
      </c>
      <c r="H1730" t="n">
        <v>0</v>
      </c>
      <c r="I1730" t="n">
        <v>0</v>
      </c>
      <c r="J1730" t="n">
        <v>0</v>
      </c>
      <c r="K1730" t="n">
        <v>0</v>
      </c>
      <c r="L1730" t="n">
        <v>0</v>
      </c>
      <c r="M1730" t="n">
        <v>0</v>
      </c>
      <c r="N1730" t="n">
        <v>0</v>
      </c>
      <c r="O1730" t="n">
        <v>0</v>
      </c>
      <c r="P1730" t="n">
        <v>0</v>
      </c>
      <c r="Q1730" t="n">
        <v>0</v>
      </c>
      <c r="R1730" s="2" t="inlineStr"/>
    </row>
    <row r="1731" ht="15" customHeight="1">
      <c r="A1731" t="inlineStr">
        <is>
          <t>A 66050-2020</t>
        </is>
      </c>
      <c r="B1731" s="1" t="n">
        <v>44175</v>
      </c>
      <c r="C1731" s="1" t="n">
        <v>45952</v>
      </c>
      <c r="D1731" t="inlineStr">
        <is>
          <t>VÄSTRA GÖTALANDS LÄN</t>
        </is>
      </c>
      <c r="E1731" t="inlineStr">
        <is>
          <t>TÖREBODA</t>
        </is>
      </c>
      <c r="G1731" t="n">
        <v>0.7</v>
      </c>
      <c r="H1731" t="n">
        <v>0</v>
      </c>
      <c r="I1731" t="n">
        <v>0</v>
      </c>
      <c r="J1731" t="n">
        <v>0</v>
      </c>
      <c r="K1731" t="n">
        <v>0</v>
      </c>
      <c r="L1731" t="n">
        <v>0</v>
      </c>
      <c r="M1731" t="n">
        <v>0</v>
      </c>
      <c r="N1731" t="n">
        <v>0</v>
      </c>
      <c r="O1731" t="n">
        <v>0</v>
      </c>
      <c r="P1731" t="n">
        <v>0</v>
      </c>
      <c r="Q1731" t="n">
        <v>0</v>
      </c>
      <c r="R1731" s="2" t="inlineStr"/>
    </row>
    <row r="1732" ht="15" customHeight="1">
      <c r="A1732" t="inlineStr">
        <is>
          <t>A 212-2021</t>
        </is>
      </c>
      <c r="B1732" s="1" t="n">
        <v>44200</v>
      </c>
      <c r="C1732" s="1" t="n">
        <v>45952</v>
      </c>
      <c r="D1732" t="inlineStr">
        <is>
          <t>VÄSTRA GÖTALANDS LÄN</t>
        </is>
      </c>
      <c r="E1732" t="inlineStr">
        <is>
          <t>BOLLEBYGD</t>
        </is>
      </c>
      <c r="G1732" t="n">
        <v>2.9</v>
      </c>
      <c r="H1732" t="n">
        <v>0</v>
      </c>
      <c r="I1732" t="n">
        <v>0</v>
      </c>
      <c r="J1732" t="n">
        <v>0</v>
      </c>
      <c r="K1732" t="n">
        <v>0</v>
      </c>
      <c r="L1732" t="n">
        <v>0</v>
      </c>
      <c r="M1732" t="n">
        <v>0</v>
      </c>
      <c r="N1732" t="n">
        <v>0</v>
      </c>
      <c r="O1732" t="n">
        <v>0</v>
      </c>
      <c r="P1732" t="n">
        <v>0</v>
      </c>
      <c r="Q1732" t="n">
        <v>0</v>
      </c>
      <c r="R1732" s="2" t="inlineStr"/>
    </row>
    <row r="1733" ht="15" customHeight="1">
      <c r="A1733" t="inlineStr">
        <is>
          <t>A 43568-2022</t>
        </is>
      </c>
      <c r="B1733" s="1" t="n">
        <v>44834</v>
      </c>
      <c r="C1733" s="1" t="n">
        <v>45952</v>
      </c>
      <c r="D1733" t="inlineStr">
        <is>
          <t>VÄSTRA GÖTALANDS LÄN</t>
        </is>
      </c>
      <c r="E1733" t="inlineStr">
        <is>
          <t>SKÖVDE</t>
        </is>
      </c>
      <c r="F1733" t="inlineStr">
        <is>
          <t>Kommuner</t>
        </is>
      </c>
      <c r="G1733" t="n">
        <v>3.9</v>
      </c>
      <c r="H1733" t="n">
        <v>0</v>
      </c>
      <c r="I1733" t="n">
        <v>0</v>
      </c>
      <c r="J1733" t="n">
        <v>0</v>
      </c>
      <c r="K1733" t="n">
        <v>0</v>
      </c>
      <c r="L1733" t="n">
        <v>0</v>
      </c>
      <c r="M1733" t="n">
        <v>0</v>
      </c>
      <c r="N1733" t="n">
        <v>0</v>
      </c>
      <c r="O1733" t="n">
        <v>0</v>
      </c>
      <c r="P1733" t="n">
        <v>0</v>
      </c>
      <c r="Q1733" t="n">
        <v>0</v>
      </c>
      <c r="R1733" s="2" t="inlineStr"/>
    </row>
    <row r="1734" ht="15" customHeight="1">
      <c r="A1734" t="inlineStr">
        <is>
          <t>A 29383-2021</t>
        </is>
      </c>
      <c r="B1734" s="1" t="n">
        <v>44361.47685185185</v>
      </c>
      <c r="C1734" s="1" t="n">
        <v>45952</v>
      </c>
      <c r="D1734" t="inlineStr">
        <is>
          <t>VÄSTRA GÖTALANDS LÄN</t>
        </is>
      </c>
      <c r="E1734" t="inlineStr">
        <is>
          <t>VÄNERSBORG</t>
        </is>
      </c>
      <c r="G1734" t="n">
        <v>0.4</v>
      </c>
      <c r="H1734" t="n">
        <v>0</v>
      </c>
      <c r="I1734" t="n">
        <v>0</v>
      </c>
      <c r="J1734" t="n">
        <v>0</v>
      </c>
      <c r="K1734" t="n">
        <v>0</v>
      </c>
      <c r="L1734" t="n">
        <v>0</v>
      </c>
      <c r="M1734" t="n">
        <v>0</v>
      </c>
      <c r="N1734" t="n">
        <v>0</v>
      </c>
      <c r="O1734" t="n">
        <v>0</v>
      </c>
      <c r="P1734" t="n">
        <v>0</v>
      </c>
      <c r="Q1734" t="n">
        <v>0</v>
      </c>
      <c r="R1734" s="2" t="inlineStr"/>
    </row>
    <row r="1735" ht="15" customHeight="1">
      <c r="A1735" t="inlineStr">
        <is>
          <t>A 4058-2021</t>
        </is>
      </c>
      <c r="B1735" s="1" t="n">
        <v>44222.6453125</v>
      </c>
      <c r="C1735" s="1" t="n">
        <v>45952</v>
      </c>
      <c r="D1735" t="inlineStr">
        <is>
          <t>VÄSTRA GÖTALANDS LÄN</t>
        </is>
      </c>
      <c r="E1735" t="inlineStr">
        <is>
          <t>VARA</t>
        </is>
      </c>
      <c r="G1735" t="n">
        <v>0.6</v>
      </c>
      <c r="H1735" t="n">
        <v>0</v>
      </c>
      <c r="I1735" t="n">
        <v>0</v>
      </c>
      <c r="J1735" t="n">
        <v>0</v>
      </c>
      <c r="K1735" t="n">
        <v>0</v>
      </c>
      <c r="L1735" t="n">
        <v>0</v>
      </c>
      <c r="M1735" t="n">
        <v>0</v>
      </c>
      <c r="N1735" t="n">
        <v>0</v>
      </c>
      <c r="O1735" t="n">
        <v>0</v>
      </c>
      <c r="P1735" t="n">
        <v>0</v>
      </c>
      <c r="Q1735" t="n">
        <v>0</v>
      </c>
      <c r="R1735" s="2" t="inlineStr"/>
    </row>
    <row r="1736" ht="15" customHeight="1">
      <c r="A1736" t="inlineStr">
        <is>
          <t>A 25552-2021</t>
        </is>
      </c>
      <c r="B1736" s="1" t="n">
        <v>44342</v>
      </c>
      <c r="C1736" s="1" t="n">
        <v>45952</v>
      </c>
      <c r="D1736" t="inlineStr">
        <is>
          <t>VÄSTRA GÖTALANDS LÄN</t>
        </is>
      </c>
      <c r="E1736" t="inlineStr">
        <is>
          <t>VARA</t>
        </is>
      </c>
      <c r="G1736" t="n">
        <v>4.1</v>
      </c>
      <c r="H1736" t="n">
        <v>0</v>
      </c>
      <c r="I1736" t="n">
        <v>0</v>
      </c>
      <c r="J1736" t="n">
        <v>0</v>
      </c>
      <c r="K1736" t="n">
        <v>0</v>
      </c>
      <c r="L1736" t="n">
        <v>0</v>
      </c>
      <c r="M1736" t="n">
        <v>0</v>
      </c>
      <c r="N1736" t="n">
        <v>0</v>
      </c>
      <c r="O1736" t="n">
        <v>0</v>
      </c>
      <c r="P1736" t="n">
        <v>0</v>
      </c>
      <c r="Q1736" t="n">
        <v>0</v>
      </c>
      <c r="R1736" s="2" t="inlineStr"/>
    </row>
    <row r="1737" ht="15" customHeight="1">
      <c r="A1737" t="inlineStr">
        <is>
          <t>A 25631-2021</t>
        </is>
      </c>
      <c r="B1737" s="1" t="n">
        <v>44343.5096412037</v>
      </c>
      <c r="C1737" s="1" t="n">
        <v>45952</v>
      </c>
      <c r="D1737" t="inlineStr">
        <is>
          <t>VÄSTRA GÖTALANDS LÄN</t>
        </is>
      </c>
      <c r="E1737" t="inlineStr">
        <is>
          <t>LILLA EDET</t>
        </is>
      </c>
      <c r="G1737" t="n">
        <v>11.7</v>
      </c>
      <c r="H1737" t="n">
        <v>0</v>
      </c>
      <c r="I1737" t="n">
        <v>0</v>
      </c>
      <c r="J1737" t="n">
        <v>0</v>
      </c>
      <c r="K1737" t="n">
        <v>0</v>
      </c>
      <c r="L1737" t="n">
        <v>0</v>
      </c>
      <c r="M1737" t="n">
        <v>0</v>
      </c>
      <c r="N1737" t="n">
        <v>0</v>
      </c>
      <c r="O1737" t="n">
        <v>0</v>
      </c>
      <c r="P1737" t="n">
        <v>0</v>
      </c>
      <c r="Q1737" t="n">
        <v>0</v>
      </c>
      <c r="R1737" s="2" t="inlineStr"/>
    </row>
    <row r="1738" ht="15" customHeight="1">
      <c r="A1738" t="inlineStr">
        <is>
          <t>A 3847-2022</t>
        </is>
      </c>
      <c r="B1738" s="1" t="n">
        <v>44587</v>
      </c>
      <c r="C1738" s="1" t="n">
        <v>45952</v>
      </c>
      <c r="D1738" t="inlineStr">
        <is>
          <t>VÄSTRA GÖTALANDS LÄN</t>
        </is>
      </c>
      <c r="E1738" t="inlineStr">
        <is>
          <t>TIDAHOLM</t>
        </is>
      </c>
      <c r="G1738" t="n">
        <v>0.6</v>
      </c>
      <c r="H1738" t="n">
        <v>0</v>
      </c>
      <c r="I1738" t="n">
        <v>0</v>
      </c>
      <c r="J1738" t="n">
        <v>0</v>
      </c>
      <c r="K1738" t="n">
        <v>0</v>
      </c>
      <c r="L1738" t="n">
        <v>0</v>
      </c>
      <c r="M1738" t="n">
        <v>0</v>
      </c>
      <c r="N1738" t="n">
        <v>0</v>
      </c>
      <c r="O1738" t="n">
        <v>0</v>
      </c>
      <c r="P1738" t="n">
        <v>0</v>
      </c>
      <c r="Q1738" t="n">
        <v>0</v>
      </c>
      <c r="R1738" s="2" t="inlineStr"/>
    </row>
    <row r="1739" ht="15" customHeight="1">
      <c r="A1739" t="inlineStr">
        <is>
          <t>A 330-2021</t>
        </is>
      </c>
      <c r="B1739" s="1" t="n">
        <v>44200</v>
      </c>
      <c r="C1739" s="1" t="n">
        <v>45952</v>
      </c>
      <c r="D1739" t="inlineStr">
        <is>
          <t>VÄSTRA GÖTALANDS LÄN</t>
        </is>
      </c>
      <c r="E1739" t="inlineStr">
        <is>
          <t>STRÖMSTAD</t>
        </is>
      </c>
      <c r="G1739" t="n">
        <v>2.3</v>
      </c>
      <c r="H1739" t="n">
        <v>0</v>
      </c>
      <c r="I1739" t="n">
        <v>0</v>
      </c>
      <c r="J1739" t="n">
        <v>0</v>
      </c>
      <c r="K1739" t="n">
        <v>0</v>
      </c>
      <c r="L1739" t="n">
        <v>0</v>
      </c>
      <c r="M1739" t="n">
        <v>0</v>
      </c>
      <c r="N1739" t="n">
        <v>0</v>
      </c>
      <c r="O1739" t="n">
        <v>0</v>
      </c>
      <c r="P1739" t="n">
        <v>0</v>
      </c>
      <c r="Q1739" t="n">
        <v>0</v>
      </c>
      <c r="R1739" s="2" t="inlineStr"/>
    </row>
    <row r="1740" ht="15" customHeight="1">
      <c r="A1740" t="inlineStr">
        <is>
          <t>A 29334-2021</t>
        </is>
      </c>
      <c r="B1740" s="1" t="n">
        <v>44361.44</v>
      </c>
      <c r="C1740" s="1" t="n">
        <v>45952</v>
      </c>
      <c r="D1740" t="inlineStr">
        <is>
          <t>VÄSTRA GÖTALANDS LÄN</t>
        </is>
      </c>
      <c r="E1740" t="inlineStr">
        <is>
          <t>TANUM</t>
        </is>
      </c>
      <c r="G1740" t="n">
        <v>3.5</v>
      </c>
      <c r="H1740" t="n">
        <v>0</v>
      </c>
      <c r="I1740" t="n">
        <v>0</v>
      </c>
      <c r="J1740" t="n">
        <v>0</v>
      </c>
      <c r="K1740" t="n">
        <v>0</v>
      </c>
      <c r="L1740" t="n">
        <v>0</v>
      </c>
      <c r="M1740" t="n">
        <v>0</v>
      </c>
      <c r="N1740" t="n">
        <v>0</v>
      </c>
      <c r="O1740" t="n">
        <v>0</v>
      </c>
      <c r="P1740" t="n">
        <v>0</v>
      </c>
      <c r="Q1740" t="n">
        <v>0</v>
      </c>
      <c r="R1740" s="2" t="inlineStr"/>
    </row>
    <row r="1741" ht="15" customHeight="1">
      <c r="A1741" t="inlineStr">
        <is>
          <t>A 65747-2020</t>
        </is>
      </c>
      <c r="B1741" s="1" t="n">
        <v>44174</v>
      </c>
      <c r="C1741" s="1" t="n">
        <v>45952</v>
      </c>
      <c r="D1741" t="inlineStr">
        <is>
          <t>VÄSTRA GÖTALANDS LÄN</t>
        </is>
      </c>
      <c r="E1741" t="inlineStr">
        <is>
          <t>BENGTSFORS</t>
        </is>
      </c>
      <c r="G1741" t="n">
        <v>0.9</v>
      </c>
      <c r="H1741" t="n">
        <v>0</v>
      </c>
      <c r="I1741" t="n">
        <v>0</v>
      </c>
      <c r="J1741" t="n">
        <v>0</v>
      </c>
      <c r="K1741" t="n">
        <v>0</v>
      </c>
      <c r="L1741" t="n">
        <v>0</v>
      </c>
      <c r="M1741" t="n">
        <v>0</v>
      </c>
      <c r="N1741" t="n">
        <v>0</v>
      </c>
      <c r="O1741" t="n">
        <v>0</v>
      </c>
      <c r="P1741" t="n">
        <v>0</v>
      </c>
      <c r="Q1741" t="n">
        <v>0</v>
      </c>
      <c r="R1741" s="2" t="inlineStr"/>
    </row>
    <row r="1742" ht="15" customHeight="1">
      <c r="A1742" t="inlineStr">
        <is>
          <t>A 69871-2021</t>
        </is>
      </c>
      <c r="B1742" s="1" t="n">
        <v>44532.78952546296</v>
      </c>
      <c r="C1742" s="1" t="n">
        <v>45952</v>
      </c>
      <c r="D1742" t="inlineStr">
        <is>
          <t>VÄSTRA GÖTALANDS LÄN</t>
        </is>
      </c>
      <c r="E1742" t="inlineStr">
        <is>
          <t>SVENLJUNGA</t>
        </is>
      </c>
      <c r="G1742" t="n">
        <v>2.3</v>
      </c>
      <c r="H1742" t="n">
        <v>0</v>
      </c>
      <c r="I1742" t="n">
        <v>0</v>
      </c>
      <c r="J1742" t="n">
        <v>0</v>
      </c>
      <c r="K1742" t="n">
        <v>0</v>
      </c>
      <c r="L1742" t="n">
        <v>0</v>
      </c>
      <c r="M1742" t="n">
        <v>0</v>
      </c>
      <c r="N1742" t="n">
        <v>0</v>
      </c>
      <c r="O1742" t="n">
        <v>0</v>
      </c>
      <c r="P1742" t="n">
        <v>0</v>
      </c>
      <c r="Q1742" t="n">
        <v>0</v>
      </c>
      <c r="R1742" s="2" t="inlineStr"/>
    </row>
    <row r="1743" ht="15" customHeight="1">
      <c r="A1743" t="inlineStr">
        <is>
          <t>A 43709-2022</t>
        </is>
      </c>
      <c r="B1743" s="1" t="n">
        <v>44836</v>
      </c>
      <c r="C1743" s="1" t="n">
        <v>45952</v>
      </c>
      <c r="D1743" t="inlineStr">
        <is>
          <t>VÄSTRA GÖTALANDS LÄN</t>
        </is>
      </c>
      <c r="E1743" t="inlineStr">
        <is>
          <t>KUNGÄLV</t>
        </is>
      </c>
      <c r="G1743" t="n">
        <v>3.5</v>
      </c>
      <c r="H1743" t="n">
        <v>0</v>
      </c>
      <c r="I1743" t="n">
        <v>0</v>
      </c>
      <c r="J1743" t="n">
        <v>0</v>
      </c>
      <c r="K1743" t="n">
        <v>0</v>
      </c>
      <c r="L1743" t="n">
        <v>0</v>
      </c>
      <c r="M1743" t="n">
        <v>0</v>
      </c>
      <c r="N1743" t="n">
        <v>0</v>
      </c>
      <c r="O1743" t="n">
        <v>0</v>
      </c>
      <c r="P1743" t="n">
        <v>0</v>
      </c>
      <c r="Q1743" t="n">
        <v>0</v>
      </c>
      <c r="R1743" s="2" t="inlineStr"/>
    </row>
    <row r="1744" ht="15" customHeight="1">
      <c r="A1744" t="inlineStr">
        <is>
          <t>A 10296-2021</t>
        </is>
      </c>
      <c r="B1744" s="1" t="n">
        <v>44257</v>
      </c>
      <c r="C1744" s="1" t="n">
        <v>45952</v>
      </c>
      <c r="D1744" t="inlineStr">
        <is>
          <t>VÄSTRA GÖTALANDS LÄN</t>
        </is>
      </c>
      <c r="E1744" t="inlineStr">
        <is>
          <t>TIBRO</t>
        </is>
      </c>
      <c r="G1744" t="n">
        <v>1</v>
      </c>
      <c r="H1744" t="n">
        <v>0</v>
      </c>
      <c r="I1744" t="n">
        <v>0</v>
      </c>
      <c r="J1744" t="n">
        <v>0</v>
      </c>
      <c r="K1744" t="n">
        <v>0</v>
      </c>
      <c r="L1744" t="n">
        <v>0</v>
      </c>
      <c r="M1744" t="n">
        <v>0</v>
      </c>
      <c r="N1744" t="n">
        <v>0</v>
      </c>
      <c r="O1744" t="n">
        <v>0</v>
      </c>
      <c r="P1744" t="n">
        <v>0</v>
      </c>
      <c r="Q1744" t="n">
        <v>0</v>
      </c>
      <c r="R1744" s="2" t="inlineStr"/>
    </row>
    <row r="1745" ht="15" customHeight="1">
      <c r="A1745" t="inlineStr">
        <is>
          <t>A 10249-2021</t>
        </is>
      </c>
      <c r="B1745" s="1" t="n">
        <v>44256</v>
      </c>
      <c r="C1745" s="1" t="n">
        <v>45952</v>
      </c>
      <c r="D1745" t="inlineStr">
        <is>
          <t>VÄSTRA GÖTALANDS LÄN</t>
        </is>
      </c>
      <c r="E1745" t="inlineStr">
        <is>
          <t>STRÖMSTAD</t>
        </is>
      </c>
      <c r="G1745" t="n">
        <v>3.5</v>
      </c>
      <c r="H1745" t="n">
        <v>0</v>
      </c>
      <c r="I1745" t="n">
        <v>0</v>
      </c>
      <c r="J1745" t="n">
        <v>0</v>
      </c>
      <c r="K1745" t="n">
        <v>0</v>
      </c>
      <c r="L1745" t="n">
        <v>0</v>
      </c>
      <c r="M1745" t="n">
        <v>0</v>
      </c>
      <c r="N1745" t="n">
        <v>0</v>
      </c>
      <c r="O1745" t="n">
        <v>0</v>
      </c>
      <c r="P1745" t="n">
        <v>0</v>
      </c>
      <c r="Q1745" t="n">
        <v>0</v>
      </c>
      <c r="R1745" s="2" t="inlineStr"/>
    </row>
    <row r="1746" ht="15" customHeight="1">
      <c r="A1746" t="inlineStr">
        <is>
          <t>A 3378-2021</t>
        </is>
      </c>
      <c r="B1746" s="1" t="n">
        <v>44218</v>
      </c>
      <c r="C1746" s="1" t="n">
        <v>45952</v>
      </c>
      <c r="D1746" t="inlineStr">
        <is>
          <t>VÄSTRA GÖTALANDS LÄN</t>
        </is>
      </c>
      <c r="E1746" t="inlineStr">
        <is>
          <t>ULRICEHAMN</t>
        </is>
      </c>
      <c r="G1746" t="n">
        <v>3.1</v>
      </c>
      <c r="H1746" t="n">
        <v>0</v>
      </c>
      <c r="I1746" t="n">
        <v>0</v>
      </c>
      <c r="J1746" t="n">
        <v>0</v>
      </c>
      <c r="K1746" t="n">
        <v>0</v>
      </c>
      <c r="L1746" t="n">
        <v>0</v>
      </c>
      <c r="M1746" t="n">
        <v>0</v>
      </c>
      <c r="N1746" t="n">
        <v>0</v>
      </c>
      <c r="O1746" t="n">
        <v>0</v>
      </c>
      <c r="P1746" t="n">
        <v>0</v>
      </c>
      <c r="Q1746" t="n">
        <v>0</v>
      </c>
      <c r="R1746" s="2" t="inlineStr"/>
    </row>
    <row r="1747" ht="15" customHeight="1">
      <c r="A1747" t="inlineStr">
        <is>
          <t>A 789-2022</t>
        </is>
      </c>
      <c r="B1747" s="1" t="n">
        <v>44570.89018518518</v>
      </c>
      <c r="C1747" s="1" t="n">
        <v>45952</v>
      </c>
      <c r="D1747" t="inlineStr">
        <is>
          <t>VÄSTRA GÖTALANDS LÄN</t>
        </is>
      </c>
      <c r="E1747" t="inlineStr">
        <is>
          <t>BOLLEBYGD</t>
        </is>
      </c>
      <c r="G1747" t="n">
        <v>0.4</v>
      </c>
      <c r="H1747" t="n">
        <v>0</v>
      </c>
      <c r="I1747" t="n">
        <v>0</v>
      </c>
      <c r="J1747" t="n">
        <v>0</v>
      </c>
      <c r="K1747" t="n">
        <v>0</v>
      </c>
      <c r="L1747" t="n">
        <v>0</v>
      </c>
      <c r="M1747" t="n">
        <v>0</v>
      </c>
      <c r="N1747" t="n">
        <v>0</v>
      </c>
      <c r="O1747" t="n">
        <v>0</v>
      </c>
      <c r="P1747" t="n">
        <v>0</v>
      </c>
      <c r="Q1747" t="n">
        <v>0</v>
      </c>
      <c r="R1747" s="2" t="inlineStr"/>
    </row>
    <row r="1748" ht="15" customHeight="1">
      <c r="A1748" t="inlineStr">
        <is>
          <t>A 3562-2022</t>
        </is>
      </c>
      <c r="B1748" s="1" t="n">
        <v>44585</v>
      </c>
      <c r="C1748" s="1" t="n">
        <v>45952</v>
      </c>
      <c r="D1748" t="inlineStr">
        <is>
          <t>VÄSTRA GÖTALANDS LÄN</t>
        </is>
      </c>
      <c r="E1748" t="inlineStr">
        <is>
          <t>UDDEVALLA</t>
        </is>
      </c>
      <c r="G1748" t="n">
        <v>2.8</v>
      </c>
      <c r="H1748" t="n">
        <v>0</v>
      </c>
      <c r="I1748" t="n">
        <v>0</v>
      </c>
      <c r="J1748" t="n">
        <v>0</v>
      </c>
      <c r="K1748" t="n">
        <v>0</v>
      </c>
      <c r="L1748" t="n">
        <v>0</v>
      </c>
      <c r="M1748" t="n">
        <v>0</v>
      </c>
      <c r="N1748" t="n">
        <v>0</v>
      </c>
      <c r="O1748" t="n">
        <v>0</v>
      </c>
      <c r="P1748" t="n">
        <v>0</v>
      </c>
      <c r="Q1748" t="n">
        <v>0</v>
      </c>
      <c r="R1748" s="2" t="inlineStr"/>
    </row>
    <row r="1749" ht="15" customHeight="1">
      <c r="A1749" t="inlineStr">
        <is>
          <t>A 45804-2022</t>
        </is>
      </c>
      <c r="B1749" s="1" t="n">
        <v>44846.46372685185</v>
      </c>
      <c r="C1749" s="1" t="n">
        <v>45952</v>
      </c>
      <c r="D1749" t="inlineStr">
        <is>
          <t>VÄSTRA GÖTALANDS LÄN</t>
        </is>
      </c>
      <c r="E1749" t="inlineStr">
        <is>
          <t>ÅMÅL</t>
        </is>
      </c>
      <c r="G1749" t="n">
        <v>0.5</v>
      </c>
      <c r="H1749" t="n">
        <v>0</v>
      </c>
      <c r="I1749" t="n">
        <v>0</v>
      </c>
      <c r="J1749" t="n">
        <v>0</v>
      </c>
      <c r="K1749" t="n">
        <v>0</v>
      </c>
      <c r="L1749" t="n">
        <v>0</v>
      </c>
      <c r="M1749" t="n">
        <v>0</v>
      </c>
      <c r="N1749" t="n">
        <v>0</v>
      </c>
      <c r="O1749" t="n">
        <v>0</v>
      </c>
      <c r="P1749" t="n">
        <v>0</v>
      </c>
      <c r="Q1749" t="n">
        <v>0</v>
      </c>
      <c r="R1749" s="2" t="inlineStr"/>
    </row>
    <row r="1750" ht="15" customHeight="1">
      <c r="A1750" t="inlineStr">
        <is>
          <t>A 42951-2022</t>
        </is>
      </c>
      <c r="B1750" s="1" t="n">
        <v>44832</v>
      </c>
      <c r="C1750" s="1" t="n">
        <v>45952</v>
      </c>
      <c r="D1750" t="inlineStr">
        <is>
          <t>VÄSTRA GÖTALANDS LÄN</t>
        </is>
      </c>
      <c r="E1750" t="inlineStr">
        <is>
          <t>DALS-ED</t>
        </is>
      </c>
      <c r="F1750" t="inlineStr">
        <is>
          <t>Kyrkan</t>
        </is>
      </c>
      <c r="G1750" t="n">
        <v>7.9</v>
      </c>
      <c r="H1750" t="n">
        <v>0</v>
      </c>
      <c r="I1750" t="n">
        <v>0</v>
      </c>
      <c r="J1750" t="n">
        <v>0</v>
      </c>
      <c r="K1750" t="n">
        <v>0</v>
      </c>
      <c r="L1750" t="n">
        <v>0</v>
      </c>
      <c r="M1750" t="n">
        <v>0</v>
      </c>
      <c r="N1750" t="n">
        <v>0</v>
      </c>
      <c r="O1750" t="n">
        <v>0</v>
      </c>
      <c r="P1750" t="n">
        <v>0</v>
      </c>
      <c r="Q1750" t="n">
        <v>0</v>
      </c>
      <c r="R1750" s="2" t="inlineStr"/>
    </row>
    <row r="1751" ht="15" customHeight="1">
      <c r="A1751" t="inlineStr">
        <is>
          <t>A 64466-2021</t>
        </is>
      </c>
      <c r="B1751" s="1" t="n">
        <v>44511.53631944444</v>
      </c>
      <c r="C1751" s="1" t="n">
        <v>45952</v>
      </c>
      <c r="D1751" t="inlineStr">
        <is>
          <t>VÄSTRA GÖTALANDS LÄN</t>
        </is>
      </c>
      <c r="E1751" t="inlineStr">
        <is>
          <t>BORÅS</t>
        </is>
      </c>
      <c r="G1751" t="n">
        <v>0.7</v>
      </c>
      <c r="H1751" t="n">
        <v>0</v>
      </c>
      <c r="I1751" t="n">
        <v>0</v>
      </c>
      <c r="J1751" t="n">
        <v>0</v>
      </c>
      <c r="K1751" t="n">
        <v>0</v>
      </c>
      <c r="L1751" t="n">
        <v>0</v>
      </c>
      <c r="M1751" t="n">
        <v>0</v>
      </c>
      <c r="N1751" t="n">
        <v>0</v>
      </c>
      <c r="O1751" t="n">
        <v>0</v>
      </c>
      <c r="P1751" t="n">
        <v>0</v>
      </c>
      <c r="Q1751" t="n">
        <v>0</v>
      </c>
      <c r="R1751" s="2" t="inlineStr"/>
    </row>
    <row r="1752" ht="15" customHeight="1">
      <c r="A1752" t="inlineStr">
        <is>
          <t>A 4626-2021</t>
        </is>
      </c>
      <c r="B1752" s="1" t="n">
        <v>44224</v>
      </c>
      <c r="C1752" s="1" t="n">
        <v>45952</v>
      </c>
      <c r="D1752" t="inlineStr">
        <is>
          <t>VÄSTRA GÖTALANDS LÄN</t>
        </is>
      </c>
      <c r="E1752" t="inlineStr">
        <is>
          <t>BENGTSFORS</t>
        </is>
      </c>
      <c r="G1752" t="n">
        <v>2</v>
      </c>
      <c r="H1752" t="n">
        <v>0</v>
      </c>
      <c r="I1752" t="n">
        <v>0</v>
      </c>
      <c r="J1752" t="n">
        <v>0</v>
      </c>
      <c r="K1752" t="n">
        <v>0</v>
      </c>
      <c r="L1752" t="n">
        <v>0</v>
      </c>
      <c r="M1752" t="n">
        <v>0</v>
      </c>
      <c r="N1752" t="n">
        <v>0</v>
      </c>
      <c r="O1752" t="n">
        <v>0</v>
      </c>
      <c r="P1752" t="n">
        <v>0</v>
      </c>
      <c r="Q1752" t="n">
        <v>0</v>
      </c>
      <c r="R1752" s="2" t="inlineStr"/>
    </row>
    <row r="1753" ht="15" customHeight="1">
      <c r="A1753" t="inlineStr">
        <is>
          <t>A 64485-2021</t>
        </is>
      </c>
      <c r="B1753" s="1" t="n">
        <v>44511.56693287037</v>
      </c>
      <c r="C1753" s="1" t="n">
        <v>45952</v>
      </c>
      <c r="D1753" t="inlineStr">
        <is>
          <t>VÄSTRA GÖTALANDS LÄN</t>
        </is>
      </c>
      <c r="E1753" t="inlineStr">
        <is>
          <t>STRÖMSTAD</t>
        </is>
      </c>
      <c r="G1753" t="n">
        <v>0.2</v>
      </c>
      <c r="H1753" t="n">
        <v>0</v>
      </c>
      <c r="I1753" t="n">
        <v>0</v>
      </c>
      <c r="J1753" t="n">
        <v>0</v>
      </c>
      <c r="K1753" t="n">
        <v>0</v>
      </c>
      <c r="L1753" t="n">
        <v>0</v>
      </c>
      <c r="M1753" t="n">
        <v>0</v>
      </c>
      <c r="N1753" t="n">
        <v>0</v>
      </c>
      <c r="O1753" t="n">
        <v>0</v>
      </c>
      <c r="P1753" t="n">
        <v>0</v>
      </c>
      <c r="Q1753" t="n">
        <v>0</v>
      </c>
      <c r="R1753" s="2" t="inlineStr"/>
    </row>
    <row r="1754" ht="15" customHeight="1">
      <c r="A1754" t="inlineStr">
        <is>
          <t>A 4816-2021</t>
        </is>
      </c>
      <c r="B1754" s="1" t="n">
        <v>44225</v>
      </c>
      <c r="C1754" s="1" t="n">
        <v>45952</v>
      </c>
      <c r="D1754" t="inlineStr">
        <is>
          <t>VÄSTRA GÖTALANDS LÄN</t>
        </is>
      </c>
      <c r="E1754" t="inlineStr">
        <is>
          <t>VÄNERSBORG</t>
        </is>
      </c>
      <c r="F1754" t="inlineStr">
        <is>
          <t>Bergvik skog väst AB</t>
        </is>
      </c>
      <c r="G1754" t="n">
        <v>5.2</v>
      </c>
      <c r="H1754" t="n">
        <v>0</v>
      </c>
      <c r="I1754" t="n">
        <v>0</v>
      </c>
      <c r="J1754" t="n">
        <v>0</v>
      </c>
      <c r="K1754" t="n">
        <v>0</v>
      </c>
      <c r="L1754" t="n">
        <v>0</v>
      </c>
      <c r="M1754" t="n">
        <v>0</v>
      </c>
      <c r="N1754" t="n">
        <v>0</v>
      </c>
      <c r="O1754" t="n">
        <v>0</v>
      </c>
      <c r="P1754" t="n">
        <v>0</v>
      </c>
      <c r="Q1754" t="n">
        <v>0</v>
      </c>
      <c r="R1754" s="2" t="inlineStr"/>
    </row>
    <row r="1755" ht="15" customHeight="1">
      <c r="A1755" t="inlineStr">
        <is>
          <t>A 7641-2021</t>
        </is>
      </c>
      <c r="B1755" s="1" t="n">
        <v>44242</v>
      </c>
      <c r="C1755" s="1" t="n">
        <v>45952</v>
      </c>
      <c r="D1755" t="inlineStr">
        <is>
          <t>VÄSTRA GÖTALANDS LÄN</t>
        </is>
      </c>
      <c r="E1755" t="inlineStr">
        <is>
          <t>SVENLJUNGA</t>
        </is>
      </c>
      <c r="G1755" t="n">
        <v>1.4</v>
      </c>
      <c r="H1755" t="n">
        <v>0</v>
      </c>
      <c r="I1755" t="n">
        <v>0</v>
      </c>
      <c r="J1755" t="n">
        <v>0</v>
      </c>
      <c r="K1755" t="n">
        <v>0</v>
      </c>
      <c r="L1755" t="n">
        <v>0</v>
      </c>
      <c r="M1755" t="n">
        <v>0</v>
      </c>
      <c r="N1755" t="n">
        <v>0</v>
      </c>
      <c r="O1755" t="n">
        <v>0</v>
      </c>
      <c r="P1755" t="n">
        <v>0</v>
      </c>
      <c r="Q1755" t="n">
        <v>0</v>
      </c>
      <c r="R1755" s="2" t="inlineStr"/>
    </row>
    <row r="1756" ht="15" customHeight="1">
      <c r="A1756" t="inlineStr">
        <is>
          <t>A 62028-2020</t>
        </is>
      </c>
      <c r="B1756" s="1" t="n">
        <v>44159.55524305555</v>
      </c>
      <c r="C1756" s="1" t="n">
        <v>45952</v>
      </c>
      <c r="D1756" t="inlineStr">
        <is>
          <t>VÄSTRA GÖTALANDS LÄN</t>
        </is>
      </c>
      <c r="E1756" t="inlineStr">
        <is>
          <t>FALKÖPING</t>
        </is>
      </c>
      <c r="G1756" t="n">
        <v>0.7</v>
      </c>
      <c r="H1756" t="n">
        <v>0</v>
      </c>
      <c r="I1756" t="n">
        <v>0</v>
      </c>
      <c r="J1756" t="n">
        <v>0</v>
      </c>
      <c r="K1756" t="n">
        <v>0</v>
      </c>
      <c r="L1756" t="n">
        <v>0</v>
      </c>
      <c r="M1756" t="n">
        <v>0</v>
      </c>
      <c r="N1756" t="n">
        <v>0</v>
      </c>
      <c r="O1756" t="n">
        <v>0</v>
      </c>
      <c r="P1756" t="n">
        <v>0</v>
      </c>
      <c r="Q1756" t="n">
        <v>0</v>
      </c>
      <c r="R1756" s="2" t="inlineStr"/>
    </row>
    <row r="1757" ht="15" customHeight="1">
      <c r="A1757" t="inlineStr">
        <is>
          <t>A 64132-2020</t>
        </is>
      </c>
      <c r="B1757" s="1" t="n">
        <v>44167</v>
      </c>
      <c r="C1757" s="1" t="n">
        <v>45952</v>
      </c>
      <c r="D1757" t="inlineStr">
        <is>
          <t>VÄSTRA GÖTALANDS LÄN</t>
        </is>
      </c>
      <c r="E1757" t="inlineStr">
        <is>
          <t>HÄRRYDA</t>
        </is>
      </c>
      <c r="G1757" t="n">
        <v>7.6</v>
      </c>
      <c r="H1757" t="n">
        <v>0</v>
      </c>
      <c r="I1757" t="n">
        <v>0</v>
      </c>
      <c r="J1757" t="n">
        <v>0</v>
      </c>
      <c r="K1757" t="n">
        <v>0</v>
      </c>
      <c r="L1757" t="n">
        <v>0</v>
      </c>
      <c r="M1757" t="n">
        <v>0</v>
      </c>
      <c r="N1757" t="n">
        <v>0</v>
      </c>
      <c r="O1757" t="n">
        <v>0</v>
      </c>
      <c r="P1757" t="n">
        <v>0</v>
      </c>
      <c r="Q1757" t="n">
        <v>0</v>
      </c>
      <c r="R1757" s="2" t="inlineStr"/>
    </row>
    <row r="1758" ht="15" customHeight="1">
      <c r="A1758" t="inlineStr">
        <is>
          <t>A 69071-2021</t>
        </is>
      </c>
      <c r="B1758" s="1" t="n">
        <v>44530</v>
      </c>
      <c r="C1758" s="1" t="n">
        <v>45952</v>
      </c>
      <c r="D1758" t="inlineStr">
        <is>
          <t>VÄSTRA GÖTALANDS LÄN</t>
        </is>
      </c>
      <c r="E1758" t="inlineStr">
        <is>
          <t>TRANEMO</t>
        </is>
      </c>
      <c r="G1758" t="n">
        <v>2.2</v>
      </c>
      <c r="H1758" t="n">
        <v>0</v>
      </c>
      <c r="I1758" t="n">
        <v>0</v>
      </c>
      <c r="J1758" t="n">
        <v>0</v>
      </c>
      <c r="K1758" t="n">
        <v>0</v>
      </c>
      <c r="L1758" t="n">
        <v>0</v>
      </c>
      <c r="M1758" t="n">
        <v>0</v>
      </c>
      <c r="N1758" t="n">
        <v>0</v>
      </c>
      <c r="O1758" t="n">
        <v>0</v>
      </c>
      <c r="P1758" t="n">
        <v>0</v>
      </c>
      <c r="Q1758" t="n">
        <v>0</v>
      </c>
      <c r="R1758" s="2" t="inlineStr"/>
    </row>
    <row r="1759" ht="15" customHeight="1">
      <c r="A1759" t="inlineStr">
        <is>
          <t>A 29504-2021</t>
        </is>
      </c>
      <c r="B1759" s="1" t="n">
        <v>44361</v>
      </c>
      <c r="C1759" s="1" t="n">
        <v>45952</v>
      </c>
      <c r="D1759" t="inlineStr">
        <is>
          <t>VÄSTRA GÖTALANDS LÄN</t>
        </is>
      </c>
      <c r="E1759" t="inlineStr">
        <is>
          <t>TANUM</t>
        </is>
      </c>
      <c r="G1759" t="n">
        <v>1.4</v>
      </c>
      <c r="H1759" t="n">
        <v>0</v>
      </c>
      <c r="I1759" t="n">
        <v>0</v>
      </c>
      <c r="J1759" t="n">
        <v>0</v>
      </c>
      <c r="K1759" t="n">
        <v>0</v>
      </c>
      <c r="L1759" t="n">
        <v>0</v>
      </c>
      <c r="M1759" t="n">
        <v>0</v>
      </c>
      <c r="N1759" t="n">
        <v>0</v>
      </c>
      <c r="O1759" t="n">
        <v>0</v>
      </c>
      <c r="P1759" t="n">
        <v>0</v>
      </c>
      <c r="Q1759" t="n">
        <v>0</v>
      </c>
      <c r="R1759" s="2" t="inlineStr"/>
    </row>
    <row r="1760" ht="15" customHeight="1">
      <c r="A1760" t="inlineStr">
        <is>
          <t>A 29537-2021</t>
        </is>
      </c>
      <c r="B1760" s="1" t="n">
        <v>44361</v>
      </c>
      <c r="C1760" s="1" t="n">
        <v>45952</v>
      </c>
      <c r="D1760" t="inlineStr">
        <is>
          <t>VÄSTRA GÖTALANDS LÄN</t>
        </is>
      </c>
      <c r="E1760" t="inlineStr">
        <is>
          <t>MARIESTAD</t>
        </is>
      </c>
      <c r="G1760" t="n">
        <v>1.3</v>
      </c>
      <c r="H1760" t="n">
        <v>0</v>
      </c>
      <c r="I1760" t="n">
        <v>0</v>
      </c>
      <c r="J1760" t="n">
        <v>0</v>
      </c>
      <c r="K1760" t="n">
        <v>0</v>
      </c>
      <c r="L1760" t="n">
        <v>0</v>
      </c>
      <c r="M1760" t="n">
        <v>0</v>
      </c>
      <c r="N1760" t="n">
        <v>0</v>
      </c>
      <c r="O1760" t="n">
        <v>0</v>
      </c>
      <c r="P1760" t="n">
        <v>0</v>
      </c>
      <c r="Q1760" t="n">
        <v>0</v>
      </c>
      <c r="R1760" s="2" t="inlineStr"/>
    </row>
    <row r="1761" ht="15" customHeight="1">
      <c r="A1761" t="inlineStr">
        <is>
          <t>A 67835-2020</t>
        </is>
      </c>
      <c r="B1761" s="1" t="n">
        <v>44182</v>
      </c>
      <c r="C1761" s="1" t="n">
        <v>45952</v>
      </c>
      <c r="D1761" t="inlineStr">
        <is>
          <t>VÄSTRA GÖTALANDS LÄN</t>
        </is>
      </c>
      <c r="E1761" t="inlineStr">
        <is>
          <t>BOLLEBYGD</t>
        </is>
      </c>
      <c r="G1761" t="n">
        <v>6</v>
      </c>
      <c r="H1761" t="n">
        <v>0</v>
      </c>
      <c r="I1761" t="n">
        <v>0</v>
      </c>
      <c r="J1761" t="n">
        <v>0</v>
      </c>
      <c r="K1761" t="n">
        <v>0</v>
      </c>
      <c r="L1761" t="n">
        <v>0</v>
      </c>
      <c r="M1761" t="n">
        <v>0</v>
      </c>
      <c r="N1761" t="n">
        <v>0</v>
      </c>
      <c r="O1761" t="n">
        <v>0</v>
      </c>
      <c r="P1761" t="n">
        <v>0</v>
      </c>
      <c r="Q1761" t="n">
        <v>0</v>
      </c>
      <c r="R1761" s="2" t="inlineStr"/>
    </row>
    <row r="1762" ht="15" customHeight="1">
      <c r="A1762" t="inlineStr">
        <is>
          <t>A 25890-2021</t>
        </is>
      </c>
      <c r="B1762" s="1" t="n">
        <v>44344.38766203704</v>
      </c>
      <c r="C1762" s="1" t="n">
        <v>45952</v>
      </c>
      <c r="D1762" t="inlineStr">
        <is>
          <t>VÄSTRA GÖTALANDS LÄN</t>
        </is>
      </c>
      <c r="E1762" t="inlineStr">
        <is>
          <t>SVENLJUNGA</t>
        </is>
      </c>
      <c r="G1762" t="n">
        <v>1.7</v>
      </c>
      <c r="H1762" t="n">
        <v>0</v>
      </c>
      <c r="I1762" t="n">
        <v>0</v>
      </c>
      <c r="J1762" t="n">
        <v>0</v>
      </c>
      <c r="K1762" t="n">
        <v>0</v>
      </c>
      <c r="L1762" t="n">
        <v>0</v>
      </c>
      <c r="M1762" t="n">
        <v>0</v>
      </c>
      <c r="N1762" t="n">
        <v>0</v>
      </c>
      <c r="O1762" t="n">
        <v>0</v>
      </c>
      <c r="P1762" t="n">
        <v>0</v>
      </c>
      <c r="Q1762" t="n">
        <v>0</v>
      </c>
      <c r="R1762" s="2" t="inlineStr"/>
    </row>
    <row r="1763" ht="15" customHeight="1">
      <c r="A1763" t="inlineStr">
        <is>
          <t>A 45980-2022</t>
        </is>
      </c>
      <c r="B1763" s="1" t="n">
        <v>44846</v>
      </c>
      <c r="C1763" s="1" t="n">
        <v>45952</v>
      </c>
      <c r="D1763" t="inlineStr">
        <is>
          <t>VÄSTRA GÖTALANDS LÄN</t>
        </is>
      </c>
      <c r="E1763" t="inlineStr">
        <is>
          <t>HJO</t>
        </is>
      </c>
      <c r="G1763" t="n">
        <v>0.1</v>
      </c>
      <c r="H1763" t="n">
        <v>0</v>
      </c>
      <c r="I1763" t="n">
        <v>0</v>
      </c>
      <c r="J1763" t="n">
        <v>0</v>
      </c>
      <c r="K1763" t="n">
        <v>0</v>
      </c>
      <c r="L1763" t="n">
        <v>0</v>
      </c>
      <c r="M1763" t="n">
        <v>0</v>
      </c>
      <c r="N1763" t="n">
        <v>0</v>
      </c>
      <c r="O1763" t="n">
        <v>0</v>
      </c>
      <c r="P1763" t="n">
        <v>0</v>
      </c>
      <c r="Q1763" t="n">
        <v>0</v>
      </c>
      <c r="R1763" s="2" t="inlineStr"/>
    </row>
    <row r="1764" ht="15" customHeight="1">
      <c r="A1764" t="inlineStr">
        <is>
          <t>A 69099-2020</t>
        </is>
      </c>
      <c r="B1764" s="1" t="n">
        <v>44188</v>
      </c>
      <c r="C1764" s="1" t="n">
        <v>45952</v>
      </c>
      <c r="D1764" t="inlineStr">
        <is>
          <t>VÄSTRA GÖTALANDS LÄN</t>
        </is>
      </c>
      <c r="E1764" t="inlineStr">
        <is>
          <t>VARA</t>
        </is>
      </c>
      <c r="G1764" t="n">
        <v>5.1</v>
      </c>
      <c r="H1764" t="n">
        <v>0</v>
      </c>
      <c r="I1764" t="n">
        <v>0</v>
      </c>
      <c r="J1764" t="n">
        <v>0</v>
      </c>
      <c r="K1764" t="n">
        <v>0</v>
      </c>
      <c r="L1764" t="n">
        <v>0</v>
      </c>
      <c r="M1764" t="n">
        <v>0</v>
      </c>
      <c r="N1764" t="n">
        <v>0</v>
      </c>
      <c r="O1764" t="n">
        <v>0</v>
      </c>
      <c r="P1764" t="n">
        <v>0</v>
      </c>
      <c r="Q1764" t="n">
        <v>0</v>
      </c>
      <c r="R1764" s="2" t="inlineStr"/>
    </row>
    <row r="1765" ht="15" customHeight="1">
      <c r="A1765" t="inlineStr">
        <is>
          <t>A 186-2022</t>
        </is>
      </c>
      <c r="B1765" s="1" t="n">
        <v>44563</v>
      </c>
      <c r="C1765" s="1" t="n">
        <v>45952</v>
      </c>
      <c r="D1765" t="inlineStr">
        <is>
          <t>VÄSTRA GÖTALANDS LÄN</t>
        </is>
      </c>
      <c r="E1765" t="inlineStr">
        <is>
          <t>MUNKEDAL</t>
        </is>
      </c>
      <c r="G1765" t="n">
        <v>0.7</v>
      </c>
      <c r="H1765" t="n">
        <v>0</v>
      </c>
      <c r="I1765" t="n">
        <v>0</v>
      </c>
      <c r="J1765" t="n">
        <v>0</v>
      </c>
      <c r="K1765" t="n">
        <v>0</v>
      </c>
      <c r="L1765" t="n">
        <v>0</v>
      </c>
      <c r="M1765" t="n">
        <v>0</v>
      </c>
      <c r="N1765" t="n">
        <v>0</v>
      </c>
      <c r="O1765" t="n">
        <v>0</v>
      </c>
      <c r="P1765" t="n">
        <v>0</v>
      </c>
      <c r="Q1765" t="n">
        <v>0</v>
      </c>
      <c r="R1765" s="2" t="inlineStr"/>
    </row>
    <row r="1766" ht="15" customHeight="1">
      <c r="A1766" t="inlineStr">
        <is>
          <t>A 2569-2022</t>
        </is>
      </c>
      <c r="B1766" s="1" t="n">
        <v>44579</v>
      </c>
      <c r="C1766" s="1" t="n">
        <v>45952</v>
      </c>
      <c r="D1766" t="inlineStr">
        <is>
          <t>VÄSTRA GÖTALANDS LÄN</t>
        </is>
      </c>
      <c r="E1766" t="inlineStr">
        <is>
          <t>GULLSPÅNG</t>
        </is>
      </c>
      <c r="G1766" t="n">
        <v>0.8</v>
      </c>
      <c r="H1766" t="n">
        <v>0</v>
      </c>
      <c r="I1766" t="n">
        <v>0</v>
      </c>
      <c r="J1766" t="n">
        <v>0</v>
      </c>
      <c r="K1766" t="n">
        <v>0</v>
      </c>
      <c r="L1766" t="n">
        <v>0</v>
      </c>
      <c r="M1766" t="n">
        <v>0</v>
      </c>
      <c r="N1766" t="n">
        <v>0</v>
      </c>
      <c r="O1766" t="n">
        <v>0</v>
      </c>
      <c r="P1766" t="n">
        <v>0</v>
      </c>
      <c r="Q1766" t="n">
        <v>0</v>
      </c>
      <c r="R1766" s="2" t="inlineStr"/>
    </row>
    <row r="1767" ht="15" customHeight="1">
      <c r="A1767" t="inlineStr">
        <is>
          <t>A 2634-2022</t>
        </is>
      </c>
      <c r="B1767" s="1" t="n">
        <v>44580.49329861111</v>
      </c>
      <c r="C1767" s="1" t="n">
        <v>45952</v>
      </c>
      <c r="D1767" t="inlineStr">
        <is>
          <t>VÄSTRA GÖTALANDS LÄN</t>
        </is>
      </c>
      <c r="E1767" t="inlineStr">
        <is>
          <t>MUNKEDAL</t>
        </is>
      </c>
      <c r="G1767" t="n">
        <v>2.6</v>
      </c>
      <c r="H1767" t="n">
        <v>0</v>
      </c>
      <c r="I1767" t="n">
        <v>0</v>
      </c>
      <c r="J1767" t="n">
        <v>0</v>
      </c>
      <c r="K1767" t="n">
        <v>0</v>
      </c>
      <c r="L1767" t="n">
        <v>0</v>
      </c>
      <c r="M1767" t="n">
        <v>0</v>
      </c>
      <c r="N1767" t="n">
        <v>0</v>
      </c>
      <c r="O1767" t="n">
        <v>0</v>
      </c>
      <c r="P1767" t="n">
        <v>0</v>
      </c>
      <c r="Q1767" t="n">
        <v>0</v>
      </c>
      <c r="R1767" s="2" t="inlineStr"/>
    </row>
    <row r="1768" ht="15" customHeight="1">
      <c r="A1768" t="inlineStr">
        <is>
          <t>A 561-2022</t>
        </is>
      </c>
      <c r="B1768" s="1" t="n">
        <v>44566</v>
      </c>
      <c r="C1768" s="1" t="n">
        <v>45952</v>
      </c>
      <c r="D1768" t="inlineStr">
        <is>
          <t>VÄSTRA GÖTALANDS LÄN</t>
        </is>
      </c>
      <c r="E1768" t="inlineStr">
        <is>
          <t>GÖTENE</t>
        </is>
      </c>
      <c r="G1768" t="n">
        <v>4.6</v>
      </c>
      <c r="H1768" t="n">
        <v>0</v>
      </c>
      <c r="I1768" t="n">
        <v>0</v>
      </c>
      <c r="J1768" t="n">
        <v>0</v>
      </c>
      <c r="K1768" t="n">
        <v>0</v>
      </c>
      <c r="L1768" t="n">
        <v>0</v>
      </c>
      <c r="M1768" t="n">
        <v>0</v>
      </c>
      <c r="N1768" t="n">
        <v>0</v>
      </c>
      <c r="O1768" t="n">
        <v>0</v>
      </c>
      <c r="P1768" t="n">
        <v>0</v>
      </c>
      <c r="Q1768" t="n">
        <v>0</v>
      </c>
      <c r="R1768" s="2" t="inlineStr"/>
    </row>
    <row r="1769" ht="15" customHeight="1">
      <c r="A1769" t="inlineStr">
        <is>
          <t>A 564-2022</t>
        </is>
      </c>
      <c r="B1769" s="1" t="n">
        <v>44566.74335648148</v>
      </c>
      <c r="C1769" s="1" t="n">
        <v>45952</v>
      </c>
      <c r="D1769" t="inlineStr">
        <is>
          <t>VÄSTRA GÖTALANDS LÄN</t>
        </is>
      </c>
      <c r="E1769" t="inlineStr">
        <is>
          <t>ORUST</t>
        </is>
      </c>
      <c r="G1769" t="n">
        <v>0.9</v>
      </c>
      <c r="H1769" t="n">
        <v>0</v>
      </c>
      <c r="I1769" t="n">
        <v>0</v>
      </c>
      <c r="J1769" t="n">
        <v>0</v>
      </c>
      <c r="K1769" t="n">
        <v>0</v>
      </c>
      <c r="L1769" t="n">
        <v>0</v>
      </c>
      <c r="M1769" t="n">
        <v>0</v>
      </c>
      <c r="N1769" t="n">
        <v>0</v>
      </c>
      <c r="O1769" t="n">
        <v>0</v>
      </c>
      <c r="P1769" t="n">
        <v>0</v>
      </c>
      <c r="Q1769" t="n">
        <v>0</v>
      </c>
      <c r="R1769" s="2" t="inlineStr"/>
    </row>
    <row r="1770" ht="15" customHeight="1">
      <c r="A1770" t="inlineStr">
        <is>
          <t>A 61103-2020</t>
        </is>
      </c>
      <c r="B1770" s="1" t="n">
        <v>44154.82197916666</v>
      </c>
      <c r="C1770" s="1" t="n">
        <v>45952</v>
      </c>
      <c r="D1770" t="inlineStr">
        <is>
          <t>VÄSTRA GÖTALANDS LÄN</t>
        </is>
      </c>
      <c r="E1770" t="inlineStr">
        <is>
          <t>HERRLJUNGA</t>
        </is>
      </c>
      <c r="G1770" t="n">
        <v>0.7</v>
      </c>
      <c r="H1770" t="n">
        <v>0</v>
      </c>
      <c r="I1770" t="n">
        <v>0</v>
      </c>
      <c r="J1770" t="n">
        <v>0</v>
      </c>
      <c r="K1770" t="n">
        <v>0</v>
      </c>
      <c r="L1770" t="n">
        <v>0</v>
      </c>
      <c r="M1770" t="n">
        <v>0</v>
      </c>
      <c r="N1770" t="n">
        <v>0</v>
      </c>
      <c r="O1770" t="n">
        <v>0</v>
      </c>
      <c r="P1770" t="n">
        <v>0</v>
      </c>
      <c r="Q1770" t="n">
        <v>0</v>
      </c>
      <c r="R1770" s="2" t="inlineStr"/>
    </row>
    <row r="1771" ht="15" customHeight="1">
      <c r="A1771" t="inlineStr">
        <is>
          <t>A 59651-2020</t>
        </is>
      </c>
      <c r="B1771" s="1" t="n">
        <v>44151</v>
      </c>
      <c r="C1771" s="1" t="n">
        <v>45952</v>
      </c>
      <c r="D1771" t="inlineStr">
        <is>
          <t>VÄSTRA GÖTALANDS LÄN</t>
        </is>
      </c>
      <c r="E1771" t="inlineStr">
        <is>
          <t>GÖTENE</t>
        </is>
      </c>
      <c r="G1771" t="n">
        <v>2</v>
      </c>
      <c r="H1771" t="n">
        <v>0</v>
      </c>
      <c r="I1771" t="n">
        <v>0</v>
      </c>
      <c r="J1771" t="n">
        <v>0</v>
      </c>
      <c r="K1771" t="n">
        <v>0</v>
      </c>
      <c r="L1771" t="n">
        <v>0</v>
      </c>
      <c r="M1771" t="n">
        <v>0</v>
      </c>
      <c r="N1771" t="n">
        <v>0</v>
      </c>
      <c r="O1771" t="n">
        <v>0</v>
      </c>
      <c r="P1771" t="n">
        <v>0</v>
      </c>
      <c r="Q1771" t="n">
        <v>0</v>
      </c>
      <c r="R1771" s="2" t="inlineStr"/>
    </row>
    <row r="1772" ht="15" customHeight="1">
      <c r="A1772" t="inlineStr">
        <is>
          <t>A 65329-2021</t>
        </is>
      </c>
      <c r="B1772" s="1" t="n">
        <v>44515</v>
      </c>
      <c r="C1772" s="1" t="n">
        <v>45952</v>
      </c>
      <c r="D1772" t="inlineStr">
        <is>
          <t>VÄSTRA GÖTALANDS LÄN</t>
        </is>
      </c>
      <c r="E1772" t="inlineStr">
        <is>
          <t>HJO</t>
        </is>
      </c>
      <c r="G1772" t="n">
        <v>1.2</v>
      </c>
      <c r="H1772" t="n">
        <v>0</v>
      </c>
      <c r="I1772" t="n">
        <v>0</v>
      </c>
      <c r="J1772" t="n">
        <v>0</v>
      </c>
      <c r="K1772" t="n">
        <v>0</v>
      </c>
      <c r="L1772" t="n">
        <v>0</v>
      </c>
      <c r="M1772" t="n">
        <v>0</v>
      </c>
      <c r="N1772" t="n">
        <v>0</v>
      </c>
      <c r="O1772" t="n">
        <v>0</v>
      </c>
      <c r="P1772" t="n">
        <v>0</v>
      </c>
      <c r="Q1772" t="n">
        <v>0</v>
      </c>
      <c r="R1772" s="2" t="inlineStr"/>
    </row>
    <row r="1773" ht="15" customHeight="1">
      <c r="A1773" t="inlineStr">
        <is>
          <t>A 608-2022</t>
        </is>
      </c>
      <c r="B1773" s="1" t="n">
        <v>44567</v>
      </c>
      <c r="C1773" s="1" t="n">
        <v>45952</v>
      </c>
      <c r="D1773" t="inlineStr">
        <is>
          <t>VÄSTRA GÖTALANDS LÄN</t>
        </is>
      </c>
      <c r="E1773" t="inlineStr">
        <is>
          <t>SKÖVDE</t>
        </is>
      </c>
      <c r="G1773" t="n">
        <v>0.4</v>
      </c>
      <c r="H1773" t="n">
        <v>0</v>
      </c>
      <c r="I1773" t="n">
        <v>0</v>
      </c>
      <c r="J1773" t="n">
        <v>0</v>
      </c>
      <c r="K1773" t="n">
        <v>0</v>
      </c>
      <c r="L1773" t="n">
        <v>0</v>
      </c>
      <c r="M1773" t="n">
        <v>0</v>
      </c>
      <c r="N1773" t="n">
        <v>0</v>
      </c>
      <c r="O1773" t="n">
        <v>0</v>
      </c>
      <c r="P1773" t="n">
        <v>0</v>
      </c>
      <c r="Q1773" t="n">
        <v>0</v>
      </c>
      <c r="R1773" s="2" t="inlineStr"/>
    </row>
    <row r="1774" ht="15" customHeight="1">
      <c r="A1774" t="inlineStr">
        <is>
          <t>A 408-2022</t>
        </is>
      </c>
      <c r="B1774" s="1" t="n">
        <v>44565.72142361111</v>
      </c>
      <c r="C1774" s="1" t="n">
        <v>45952</v>
      </c>
      <c r="D1774" t="inlineStr">
        <is>
          <t>VÄSTRA GÖTALANDS LÄN</t>
        </is>
      </c>
      <c r="E1774" t="inlineStr">
        <is>
          <t>ULRICEHAMN</t>
        </is>
      </c>
      <c r="G1774" t="n">
        <v>0.7</v>
      </c>
      <c r="H1774" t="n">
        <v>0</v>
      </c>
      <c r="I1774" t="n">
        <v>0</v>
      </c>
      <c r="J1774" t="n">
        <v>0</v>
      </c>
      <c r="K1774" t="n">
        <v>0</v>
      </c>
      <c r="L1774" t="n">
        <v>0</v>
      </c>
      <c r="M1774" t="n">
        <v>0</v>
      </c>
      <c r="N1774" t="n">
        <v>0</v>
      </c>
      <c r="O1774" t="n">
        <v>0</v>
      </c>
      <c r="P1774" t="n">
        <v>0</v>
      </c>
      <c r="Q1774" t="n">
        <v>0</v>
      </c>
      <c r="R1774" s="2" t="inlineStr"/>
    </row>
    <row r="1775" ht="15" customHeight="1">
      <c r="A1775" t="inlineStr">
        <is>
          <t>A 9322-2022</t>
        </is>
      </c>
      <c r="B1775" s="1" t="n">
        <v>44616</v>
      </c>
      <c r="C1775" s="1" t="n">
        <v>45952</v>
      </c>
      <c r="D1775" t="inlineStr">
        <is>
          <t>VÄSTRA GÖTALANDS LÄN</t>
        </is>
      </c>
      <c r="E1775" t="inlineStr">
        <is>
          <t>TRANEMO</t>
        </is>
      </c>
      <c r="G1775" t="n">
        <v>1.2</v>
      </c>
      <c r="H1775" t="n">
        <v>0</v>
      </c>
      <c r="I1775" t="n">
        <v>0</v>
      </c>
      <c r="J1775" t="n">
        <v>0</v>
      </c>
      <c r="K1775" t="n">
        <v>0</v>
      </c>
      <c r="L1775" t="n">
        <v>0</v>
      </c>
      <c r="M1775" t="n">
        <v>0</v>
      </c>
      <c r="N1775" t="n">
        <v>0</v>
      </c>
      <c r="O1775" t="n">
        <v>0</v>
      </c>
      <c r="P1775" t="n">
        <v>0</v>
      </c>
      <c r="Q1775" t="n">
        <v>0</v>
      </c>
      <c r="R1775" s="2" t="inlineStr"/>
    </row>
    <row r="1776" ht="15" customHeight="1">
      <c r="A1776" t="inlineStr">
        <is>
          <t>A 63643-2020</t>
        </is>
      </c>
      <c r="B1776" s="1" t="n">
        <v>44161</v>
      </c>
      <c r="C1776" s="1" t="n">
        <v>45952</v>
      </c>
      <c r="D1776" t="inlineStr">
        <is>
          <t>VÄSTRA GÖTALANDS LÄN</t>
        </is>
      </c>
      <c r="E1776" t="inlineStr">
        <is>
          <t>ULRICEHAMN</t>
        </is>
      </c>
      <c r="G1776" t="n">
        <v>1.2</v>
      </c>
      <c r="H1776" t="n">
        <v>0</v>
      </c>
      <c r="I1776" t="n">
        <v>0</v>
      </c>
      <c r="J1776" t="n">
        <v>0</v>
      </c>
      <c r="K1776" t="n">
        <v>0</v>
      </c>
      <c r="L1776" t="n">
        <v>0</v>
      </c>
      <c r="M1776" t="n">
        <v>0</v>
      </c>
      <c r="N1776" t="n">
        <v>0</v>
      </c>
      <c r="O1776" t="n">
        <v>0</v>
      </c>
      <c r="P1776" t="n">
        <v>0</v>
      </c>
      <c r="Q1776" t="n">
        <v>0</v>
      </c>
      <c r="R1776" s="2" t="inlineStr"/>
    </row>
    <row r="1777" ht="15" customHeight="1">
      <c r="A1777" t="inlineStr">
        <is>
          <t>A 7422-2021</t>
        </is>
      </c>
      <c r="B1777" s="1" t="n">
        <v>44239</v>
      </c>
      <c r="C1777" s="1" t="n">
        <v>45952</v>
      </c>
      <c r="D1777" t="inlineStr">
        <is>
          <t>VÄSTRA GÖTALANDS LÄN</t>
        </is>
      </c>
      <c r="E1777" t="inlineStr">
        <is>
          <t>MELLERUD</t>
        </is>
      </c>
      <c r="G1777" t="n">
        <v>0.8</v>
      </c>
      <c r="H1777" t="n">
        <v>0</v>
      </c>
      <c r="I1777" t="n">
        <v>0</v>
      </c>
      <c r="J1777" t="n">
        <v>0</v>
      </c>
      <c r="K1777" t="n">
        <v>0</v>
      </c>
      <c r="L1777" t="n">
        <v>0</v>
      </c>
      <c r="M1777" t="n">
        <v>0</v>
      </c>
      <c r="N1777" t="n">
        <v>0</v>
      </c>
      <c r="O1777" t="n">
        <v>0</v>
      </c>
      <c r="P1777" t="n">
        <v>0</v>
      </c>
      <c r="Q1777" t="n">
        <v>0</v>
      </c>
      <c r="R1777" s="2" t="inlineStr"/>
    </row>
    <row r="1778" ht="15" customHeight="1">
      <c r="A1778" t="inlineStr">
        <is>
          <t>A 72362-2021</t>
        </is>
      </c>
      <c r="B1778" s="1" t="n">
        <v>44544</v>
      </c>
      <c r="C1778" s="1" t="n">
        <v>45952</v>
      </c>
      <c r="D1778" t="inlineStr">
        <is>
          <t>VÄSTRA GÖTALANDS LÄN</t>
        </is>
      </c>
      <c r="E1778" t="inlineStr">
        <is>
          <t>BORÅS</t>
        </is>
      </c>
      <c r="G1778" t="n">
        <v>1</v>
      </c>
      <c r="H1778" t="n">
        <v>0</v>
      </c>
      <c r="I1778" t="n">
        <v>0</v>
      </c>
      <c r="J1778" t="n">
        <v>0</v>
      </c>
      <c r="K1778" t="n">
        <v>0</v>
      </c>
      <c r="L1778" t="n">
        <v>0</v>
      </c>
      <c r="M1778" t="n">
        <v>0</v>
      </c>
      <c r="N1778" t="n">
        <v>0</v>
      </c>
      <c r="O1778" t="n">
        <v>0</v>
      </c>
      <c r="P1778" t="n">
        <v>0</v>
      </c>
      <c r="Q1778" t="n">
        <v>0</v>
      </c>
      <c r="R1778" s="2" t="inlineStr"/>
    </row>
    <row r="1779" ht="15" customHeight="1">
      <c r="A1779" t="inlineStr">
        <is>
          <t>A 2723-2021</t>
        </is>
      </c>
      <c r="B1779" s="1" t="n">
        <v>44215</v>
      </c>
      <c r="C1779" s="1" t="n">
        <v>45952</v>
      </c>
      <c r="D1779" t="inlineStr">
        <is>
          <t>VÄSTRA GÖTALANDS LÄN</t>
        </is>
      </c>
      <c r="E1779" t="inlineStr">
        <is>
          <t>BENGTSFORS</t>
        </is>
      </c>
      <c r="G1779" t="n">
        <v>1.7</v>
      </c>
      <c r="H1779" t="n">
        <v>0</v>
      </c>
      <c r="I1779" t="n">
        <v>0</v>
      </c>
      <c r="J1779" t="n">
        <v>0</v>
      </c>
      <c r="K1779" t="n">
        <v>0</v>
      </c>
      <c r="L1779" t="n">
        <v>0</v>
      </c>
      <c r="M1779" t="n">
        <v>0</v>
      </c>
      <c r="N1779" t="n">
        <v>0</v>
      </c>
      <c r="O1779" t="n">
        <v>0</v>
      </c>
      <c r="P1779" t="n">
        <v>0</v>
      </c>
      <c r="Q1779" t="n">
        <v>0</v>
      </c>
      <c r="R1779" s="2" t="inlineStr"/>
    </row>
    <row r="1780" ht="15" customHeight="1">
      <c r="A1780" t="inlineStr">
        <is>
          <t>A 35897-2021</t>
        </is>
      </c>
      <c r="B1780" s="1" t="n">
        <v>44387</v>
      </c>
      <c r="C1780" s="1" t="n">
        <v>45952</v>
      </c>
      <c r="D1780" t="inlineStr">
        <is>
          <t>VÄSTRA GÖTALANDS LÄN</t>
        </is>
      </c>
      <c r="E1780" t="inlineStr">
        <is>
          <t>FÄRGELANDA</t>
        </is>
      </c>
      <c r="G1780" t="n">
        <v>0.6</v>
      </c>
      <c r="H1780" t="n">
        <v>0</v>
      </c>
      <c r="I1780" t="n">
        <v>0</v>
      </c>
      <c r="J1780" t="n">
        <v>0</v>
      </c>
      <c r="K1780" t="n">
        <v>0</v>
      </c>
      <c r="L1780" t="n">
        <v>0</v>
      </c>
      <c r="M1780" t="n">
        <v>0</v>
      </c>
      <c r="N1780" t="n">
        <v>0</v>
      </c>
      <c r="O1780" t="n">
        <v>0</v>
      </c>
      <c r="P1780" t="n">
        <v>0</v>
      </c>
      <c r="Q1780" t="n">
        <v>0</v>
      </c>
      <c r="R1780" s="2" t="inlineStr"/>
    </row>
    <row r="1781" ht="15" customHeight="1">
      <c r="A1781" t="inlineStr">
        <is>
          <t>A 54486-2022</t>
        </is>
      </c>
      <c r="B1781" s="1" t="n">
        <v>44882.67047453704</v>
      </c>
      <c r="C1781" s="1" t="n">
        <v>45952</v>
      </c>
      <c r="D1781" t="inlineStr">
        <is>
          <t>VÄSTRA GÖTALANDS LÄN</t>
        </is>
      </c>
      <c r="E1781" t="inlineStr">
        <is>
          <t>ULRICEHAMN</t>
        </is>
      </c>
      <c r="G1781" t="n">
        <v>0.7</v>
      </c>
      <c r="H1781" t="n">
        <v>0</v>
      </c>
      <c r="I1781" t="n">
        <v>0</v>
      </c>
      <c r="J1781" t="n">
        <v>0</v>
      </c>
      <c r="K1781" t="n">
        <v>0</v>
      </c>
      <c r="L1781" t="n">
        <v>0</v>
      </c>
      <c r="M1781" t="n">
        <v>0</v>
      </c>
      <c r="N1781" t="n">
        <v>0</v>
      </c>
      <c r="O1781" t="n">
        <v>0</v>
      </c>
      <c r="P1781" t="n">
        <v>0</v>
      </c>
      <c r="Q1781" t="n">
        <v>0</v>
      </c>
      <c r="R1781" s="2" t="inlineStr"/>
    </row>
    <row r="1782" ht="15" customHeight="1">
      <c r="A1782" t="inlineStr">
        <is>
          <t>A 56095-2022</t>
        </is>
      </c>
      <c r="B1782" s="1" t="n">
        <v>44889.64608796296</v>
      </c>
      <c r="C1782" s="1" t="n">
        <v>45952</v>
      </c>
      <c r="D1782" t="inlineStr">
        <is>
          <t>VÄSTRA GÖTALANDS LÄN</t>
        </is>
      </c>
      <c r="E1782" t="inlineStr">
        <is>
          <t>TIDAHOLM</t>
        </is>
      </c>
      <c r="G1782" t="n">
        <v>3.4</v>
      </c>
      <c r="H1782" t="n">
        <v>0</v>
      </c>
      <c r="I1782" t="n">
        <v>0</v>
      </c>
      <c r="J1782" t="n">
        <v>0</v>
      </c>
      <c r="K1782" t="n">
        <v>0</v>
      </c>
      <c r="L1782" t="n">
        <v>0</v>
      </c>
      <c r="M1782" t="n">
        <v>0</v>
      </c>
      <c r="N1782" t="n">
        <v>0</v>
      </c>
      <c r="O1782" t="n">
        <v>0</v>
      </c>
      <c r="P1782" t="n">
        <v>0</v>
      </c>
      <c r="Q1782" t="n">
        <v>0</v>
      </c>
      <c r="R1782" s="2" t="inlineStr"/>
    </row>
    <row r="1783" ht="15" customHeight="1">
      <c r="A1783" t="inlineStr">
        <is>
          <t>A 30997-2021</t>
        </is>
      </c>
      <c r="B1783" s="1" t="n">
        <v>44366.58707175926</v>
      </c>
      <c r="C1783" s="1" t="n">
        <v>45952</v>
      </c>
      <c r="D1783" t="inlineStr">
        <is>
          <t>VÄSTRA GÖTALANDS LÄN</t>
        </is>
      </c>
      <c r="E1783" t="inlineStr">
        <is>
          <t>TRANEMO</t>
        </is>
      </c>
      <c r="G1783" t="n">
        <v>0.6</v>
      </c>
      <c r="H1783" t="n">
        <v>0</v>
      </c>
      <c r="I1783" t="n">
        <v>0</v>
      </c>
      <c r="J1783" t="n">
        <v>0</v>
      </c>
      <c r="K1783" t="n">
        <v>0</v>
      </c>
      <c r="L1783" t="n">
        <v>0</v>
      </c>
      <c r="M1783" t="n">
        <v>0</v>
      </c>
      <c r="N1783" t="n">
        <v>0</v>
      </c>
      <c r="O1783" t="n">
        <v>0</v>
      </c>
      <c r="P1783" t="n">
        <v>0</v>
      </c>
      <c r="Q1783" t="n">
        <v>0</v>
      </c>
      <c r="R1783" s="2" t="inlineStr"/>
    </row>
    <row r="1784" ht="15" customHeight="1">
      <c r="A1784" t="inlineStr">
        <is>
          <t>A 29824-2021</t>
        </is>
      </c>
      <c r="B1784" s="1" t="n">
        <v>44362.621875</v>
      </c>
      <c r="C1784" s="1" t="n">
        <v>45952</v>
      </c>
      <c r="D1784" t="inlineStr">
        <is>
          <t>VÄSTRA GÖTALANDS LÄN</t>
        </is>
      </c>
      <c r="E1784" t="inlineStr">
        <is>
          <t>ALINGSÅS</t>
        </is>
      </c>
      <c r="G1784" t="n">
        <v>1.3</v>
      </c>
      <c r="H1784" t="n">
        <v>0</v>
      </c>
      <c r="I1784" t="n">
        <v>0</v>
      </c>
      <c r="J1784" t="n">
        <v>0</v>
      </c>
      <c r="K1784" t="n">
        <v>0</v>
      </c>
      <c r="L1784" t="n">
        <v>0</v>
      </c>
      <c r="M1784" t="n">
        <v>0</v>
      </c>
      <c r="N1784" t="n">
        <v>0</v>
      </c>
      <c r="O1784" t="n">
        <v>0</v>
      </c>
      <c r="P1784" t="n">
        <v>0</v>
      </c>
      <c r="Q1784" t="n">
        <v>0</v>
      </c>
      <c r="R1784" s="2" t="inlineStr"/>
    </row>
    <row r="1785" ht="15" customHeight="1">
      <c r="A1785" t="inlineStr">
        <is>
          <t>A 31002-2021</t>
        </is>
      </c>
      <c r="B1785" s="1" t="n">
        <v>44366</v>
      </c>
      <c r="C1785" s="1" t="n">
        <v>45952</v>
      </c>
      <c r="D1785" t="inlineStr">
        <is>
          <t>VÄSTRA GÖTALANDS LÄN</t>
        </is>
      </c>
      <c r="E1785" t="inlineStr">
        <is>
          <t>TRANEMO</t>
        </is>
      </c>
      <c r="G1785" t="n">
        <v>3.7</v>
      </c>
      <c r="H1785" t="n">
        <v>0</v>
      </c>
      <c r="I1785" t="n">
        <v>0</v>
      </c>
      <c r="J1785" t="n">
        <v>0</v>
      </c>
      <c r="K1785" t="n">
        <v>0</v>
      </c>
      <c r="L1785" t="n">
        <v>0</v>
      </c>
      <c r="M1785" t="n">
        <v>0</v>
      </c>
      <c r="N1785" t="n">
        <v>0</v>
      </c>
      <c r="O1785" t="n">
        <v>0</v>
      </c>
      <c r="P1785" t="n">
        <v>0</v>
      </c>
      <c r="Q1785" t="n">
        <v>0</v>
      </c>
      <c r="R1785" s="2" t="inlineStr"/>
    </row>
    <row r="1786" ht="15" customHeight="1">
      <c r="A1786" t="inlineStr">
        <is>
          <t>A 10622-2021</t>
        </is>
      </c>
      <c r="B1786" s="1" t="n">
        <v>44258</v>
      </c>
      <c r="C1786" s="1" t="n">
        <v>45952</v>
      </c>
      <c r="D1786" t="inlineStr">
        <is>
          <t>VÄSTRA GÖTALANDS LÄN</t>
        </is>
      </c>
      <c r="E1786" t="inlineStr">
        <is>
          <t>BENGTSFORS</t>
        </is>
      </c>
      <c r="G1786" t="n">
        <v>10.7</v>
      </c>
      <c r="H1786" t="n">
        <v>0</v>
      </c>
      <c r="I1786" t="n">
        <v>0</v>
      </c>
      <c r="J1786" t="n">
        <v>0</v>
      </c>
      <c r="K1786" t="n">
        <v>0</v>
      </c>
      <c r="L1786" t="n">
        <v>0</v>
      </c>
      <c r="M1786" t="n">
        <v>0</v>
      </c>
      <c r="N1786" t="n">
        <v>0</v>
      </c>
      <c r="O1786" t="n">
        <v>0</v>
      </c>
      <c r="P1786" t="n">
        <v>0</v>
      </c>
      <c r="Q1786" t="n">
        <v>0</v>
      </c>
      <c r="R1786" s="2" t="inlineStr"/>
    </row>
    <row r="1787" ht="15" customHeight="1">
      <c r="A1787" t="inlineStr">
        <is>
          <t>A 62176-2020</t>
        </is>
      </c>
      <c r="B1787" s="1" t="n">
        <v>44159</v>
      </c>
      <c r="C1787" s="1" t="n">
        <v>45952</v>
      </c>
      <c r="D1787" t="inlineStr">
        <is>
          <t>VÄSTRA GÖTALANDS LÄN</t>
        </is>
      </c>
      <c r="E1787" t="inlineStr">
        <is>
          <t>GULLSPÅNG</t>
        </is>
      </c>
      <c r="G1787" t="n">
        <v>2</v>
      </c>
      <c r="H1787" t="n">
        <v>0</v>
      </c>
      <c r="I1787" t="n">
        <v>0</v>
      </c>
      <c r="J1787" t="n">
        <v>0</v>
      </c>
      <c r="K1787" t="n">
        <v>0</v>
      </c>
      <c r="L1787" t="n">
        <v>0</v>
      </c>
      <c r="M1787" t="n">
        <v>0</v>
      </c>
      <c r="N1787" t="n">
        <v>0</v>
      </c>
      <c r="O1787" t="n">
        <v>0</v>
      </c>
      <c r="P1787" t="n">
        <v>0</v>
      </c>
      <c r="Q1787" t="n">
        <v>0</v>
      </c>
      <c r="R1787" s="2" t="inlineStr"/>
    </row>
    <row r="1788" ht="15" customHeight="1">
      <c r="A1788" t="inlineStr">
        <is>
          <t>A 3253-2022</t>
        </is>
      </c>
      <c r="B1788" s="1" t="n">
        <v>44583.48859953704</v>
      </c>
      <c r="C1788" s="1" t="n">
        <v>45952</v>
      </c>
      <c r="D1788" t="inlineStr">
        <is>
          <t>VÄSTRA GÖTALANDS LÄN</t>
        </is>
      </c>
      <c r="E1788" t="inlineStr">
        <is>
          <t>TRANEMO</t>
        </is>
      </c>
      <c r="G1788" t="n">
        <v>0.8</v>
      </c>
      <c r="H1788" t="n">
        <v>0</v>
      </c>
      <c r="I1788" t="n">
        <v>0</v>
      </c>
      <c r="J1788" t="n">
        <v>0</v>
      </c>
      <c r="K1788" t="n">
        <v>0</v>
      </c>
      <c r="L1788" t="n">
        <v>0</v>
      </c>
      <c r="M1788" t="n">
        <v>0</v>
      </c>
      <c r="N1788" t="n">
        <v>0</v>
      </c>
      <c r="O1788" t="n">
        <v>0</v>
      </c>
      <c r="P1788" t="n">
        <v>0</v>
      </c>
      <c r="Q1788" t="n">
        <v>0</v>
      </c>
      <c r="R1788" s="2" t="inlineStr"/>
    </row>
    <row r="1789" ht="15" customHeight="1">
      <c r="A1789" t="inlineStr">
        <is>
          <t>A 10722-2021</t>
        </is>
      </c>
      <c r="B1789" s="1" t="n">
        <v>44258</v>
      </c>
      <c r="C1789" s="1" t="n">
        <v>45952</v>
      </c>
      <c r="D1789" t="inlineStr">
        <is>
          <t>VÄSTRA GÖTALANDS LÄN</t>
        </is>
      </c>
      <c r="E1789" t="inlineStr">
        <is>
          <t>MARK</t>
        </is>
      </c>
      <c r="G1789" t="n">
        <v>2.9</v>
      </c>
      <c r="H1789" t="n">
        <v>0</v>
      </c>
      <c r="I1789" t="n">
        <v>0</v>
      </c>
      <c r="J1789" t="n">
        <v>0</v>
      </c>
      <c r="K1789" t="n">
        <v>0</v>
      </c>
      <c r="L1789" t="n">
        <v>0</v>
      </c>
      <c r="M1789" t="n">
        <v>0</v>
      </c>
      <c r="N1789" t="n">
        <v>0</v>
      </c>
      <c r="O1789" t="n">
        <v>0</v>
      </c>
      <c r="P1789" t="n">
        <v>0</v>
      </c>
      <c r="Q1789" t="n">
        <v>0</v>
      </c>
      <c r="R1789" s="2" t="inlineStr"/>
    </row>
    <row r="1790" ht="15" customHeight="1">
      <c r="A1790" t="inlineStr">
        <is>
          <t>A 478-2022</t>
        </is>
      </c>
      <c r="B1790" s="1" t="n">
        <v>44566</v>
      </c>
      <c r="C1790" s="1" t="n">
        <v>45952</v>
      </c>
      <c r="D1790" t="inlineStr">
        <is>
          <t>VÄSTRA GÖTALANDS LÄN</t>
        </is>
      </c>
      <c r="E1790" t="inlineStr">
        <is>
          <t>FÄRGELANDA</t>
        </is>
      </c>
      <c r="G1790" t="n">
        <v>0.4</v>
      </c>
      <c r="H1790" t="n">
        <v>0</v>
      </c>
      <c r="I1790" t="n">
        <v>0</v>
      </c>
      <c r="J1790" t="n">
        <v>0</v>
      </c>
      <c r="K1790" t="n">
        <v>0</v>
      </c>
      <c r="L1790" t="n">
        <v>0</v>
      </c>
      <c r="M1790" t="n">
        <v>0</v>
      </c>
      <c r="N1790" t="n">
        <v>0</v>
      </c>
      <c r="O1790" t="n">
        <v>0</v>
      </c>
      <c r="P1790" t="n">
        <v>0</v>
      </c>
      <c r="Q1790" t="n">
        <v>0</v>
      </c>
      <c r="R1790" s="2" t="inlineStr"/>
    </row>
    <row r="1791" ht="15" customHeight="1">
      <c r="A1791" t="inlineStr">
        <is>
          <t>A 17812-2021</t>
        </is>
      </c>
      <c r="B1791" s="1" t="n">
        <v>44300</v>
      </c>
      <c r="C1791" s="1" t="n">
        <v>45952</v>
      </c>
      <c r="D1791" t="inlineStr">
        <is>
          <t>VÄSTRA GÖTALANDS LÄN</t>
        </is>
      </c>
      <c r="E1791" t="inlineStr">
        <is>
          <t>TIDAHOLM</t>
        </is>
      </c>
      <c r="G1791" t="n">
        <v>1.6</v>
      </c>
      <c r="H1791" t="n">
        <v>0</v>
      </c>
      <c r="I1791" t="n">
        <v>0</v>
      </c>
      <c r="J1791" t="n">
        <v>0</v>
      </c>
      <c r="K1791" t="n">
        <v>0</v>
      </c>
      <c r="L1791" t="n">
        <v>0</v>
      </c>
      <c r="M1791" t="n">
        <v>0</v>
      </c>
      <c r="N1791" t="n">
        <v>0</v>
      </c>
      <c r="O1791" t="n">
        <v>0</v>
      </c>
      <c r="P1791" t="n">
        <v>0</v>
      </c>
      <c r="Q1791" t="n">
        <v>0</v>
      </c>
      <c r="R1791" s="2" t="inlineStr"/>
    </row>
    <row r="1792" ht="15" customHeight="1">
      <c r="A1792" t="inlineStr">
        <is>
          <t>A 2671-2021</t>
        </is>
      </c>
      <c r="B1792" s="1" t="n">
        <v>44215</v>
      </c>
      <c r="C1792" s="1" t="n">
        <v>45952</v>
      </c>
      <c r="D1792" t="inlineStr">
        <is>
          <t>VÄSTRA GÖTALANDS LÄN</t>
        </is>
      </c>
      <c r="E1792" t="inlineStr">
        <is>
          <t>FALKÖPING</t>
        </is>
      </c>
      <c r="G1792" t="n">
        <v>0.9</v>
      </c>
      <c r="H1792" t="n">
        <v>0</v>
      </c>
      <c r="I1792" t="n">
        <v>0</v>
      </c>
      <c r="J1792" t="n">
        <v>0</v>
      </c>
      <c r="K1792" t="n">
        <v>0</v>
      </c>
      <c r="L1792" t="n">
        <v>0</v>
      </c>
      <c r="M1792" t="n">
        <v>0</v>
      </c>
      <c r="N1792" t="n">
        <v>0</v>
      </c>
      <c r="O1792" t="n">
        <v>0</v>
      </c>
      <c r="P1792" t="n">
        <v>0</v>
      </c>
      <c r="Q1792" t="n">
        <v>0</v>
      </c>
      <c r="R1792" s="2" t="inlineStr"/>
    </row>
    <row r="1793" ht="15" customHeight="1">
      <c r="A1793" t="inlineStr">
        <is>
          <t>A 16430-2021</t>
        </is>
      </c>
      <c r="B1793" s="1" t="n">
        <v>44293</v>
      </c>
      <c r="C1793" s="1" t="n">
        <v>45952</v>
      </c>
      <c r="D1793" t="inlineStr">
        <is>
          <t>VÄSTRA GÖTALANDS LÄN</t>
        </is>
      </c>
      <c r="E1793" t="inlineStr">
        <is>
          <t>LIDKÖPING</t>
        </is>
      </c>
      <c r="G1793" t="n">
        <v>1</v>
      </c>
      <c r="H1793" t="n">
        <v>0</v>
      </c>
      <c r="I1793" t="n">
        <v>0</v>
      </c>
      <c r="J1793" t="n">
        <v>0</v>
      </c>
      <c r="K1793" t="n">
        <v>0</v>
      </c>
      <c r="L1793" t="n">
        <v>0</v>
      </c>
      <c r="M1793" t="n">
        <v>0</v>
      </c>
      <c r="N1793" t="n">
        <v>0</v>
      </c>
      <c r="O1793" t="n">
        <v>0</v>
      </c>
      <c r="P1793" t="n">
        <v>0</v>
      </c>
      <c r="Q1793" t="n">
        <v>0</v>
      </c>
      <c r="R1793" s="2" t="inlineStr"/>
    </row>
    <row r="1794" ht="15" customHeight="1">
      <c r="A1794" t="inlineStr">
        <is>
          <t>A 12052-2021</t>
        </is>
      </c>
      <c r="B1794" s="1" t="n">
        <v>44266</v>
      </c>
      <c r="C1794" s="1" t="n">
        <v>45952</v>
      </c>
      <c r="D1794" t="inlineStr">
        <is>
          <t>VÄSTRA GÖTALANDS LÄN</t>
        </is>
      </c>
      <c r="E1794" t="inlineStr">
        <is>
          <t>DALS-ED</t>
        </is>
      </c>
      <c r="G1794" t="n">
        <v>2.1</v>
      </c>
      <c r="H1794" t="n">
        <v>0</v>
      </c>
      <c r="I1794" t="n">
        <v>0</v>
      </c>
      <c r="J1794" t="n">
        <v>0</v>
      </c>
      <c r="K1794" t="n">
        <v>0</v>
      </c>
      <c r="L1794" t="n">
        <v>0</v>
      </c>
      <c r="M1794" t="n">
        <v>0</v>
      </c>
      <c r="N1794" t="n">
        <v>0</v>
      </c>
      <c r="O1794" t="n">
        <v>0</v>
      </c>
      <c r="P1794" t="n">
        <v>0</v>
      </c>
      <c r="Q1794" t="n">
        <v>0</v>
      </c>
      <c r="R1794" s="2" t="inlineStr"/>
    </row>
    <row r="1795" ht="15" customHeight="1">
      <c r="A1795" t="inlineStr">
        <is>
          <t>A 17452-2021</t>
        </is>
      </c>
      <c r="B1795" s="1" t="n">
        <v>44299</v>
      </c>
      <c r="C1795" s="1" t="n">
        <v>45952</v>
      </c>
      <c r="D1795" t="inlineStr">
        <is>
          <t>VÄSTRA GÖTALANDS LÄN</t>
        </is>
      </c>
      <c r="E1795" t="inlineStr">
        <is>
          <t>FÄRGELANDA</t>
        </is>
      </c>
      <c r="G1795" t="n">
        <v>1.2</v>
      </c>
      <c r="H1795" t="n">
        <v>0</v>
      </c>
      <c r="I1795" t="n">
        <v>0</v>
      </c>
      <c r="J1795" t="n">
        <v>0</v>
      </c>
      <c r="K1795" t="n">
        <v>0</v>
      </c>
      <c r="L1795" t="n">
        <v>0</v>
      </c>
      <c r="M1795" t="n">
        <v>0</v>
      </c>
      <c r="N1795" t="n">
        <v>0</v>
      </c>
      <c r="O1795" t="n">
        <v>0</v>
      </c>
      <c r="P1795" t="n">
        <v>0</v>
      </c>
      <c r="Q1795" t="n">
        <v>0</v>
      </c>
      <c r="R1795" s="2" t="inlineStr"/>
    </row>
    <row r="1796" ht="15" customHeight="1">
      <c r="A1796" t="inlineStr">
        <is>
          <t>A 33259-2021</t>
        </is>
      </c>
      <c r="B1796" s="1" t="n">
        <v>44377</v>
      </c>
      <c r="C1796" s="1" t="n">
        <v>45952</v>
      </c>
      <c r="D1796" t="inlineStr">
        <is>
          <t>VÄSTRA GÖTALANDS LÄN</t>
        </is>
      </c>
      <c r="E1796" t="inlineStr">
        <is>
          <t>TANUM</t>
        </is>
      </c>
      <c r="G1796" t="n">
        <v>2.1</v>
      </c>
      <c r="H1796" t="n">
        <v>0</v>
      </c>
      <c r="I1796" t="n">
        <v>0</v>
      </c>
      <c r="J1796" t="n">
        <v>0</v>
      </c>
      <c r="K1796" t="n">
        <v>0</v>
      </c>
      <c r="L1796" t="n">
        <v>0</v>
      </c>
      <c r="M1796" t="n">
        <v>0</v>
      </c>
      <c r="N1796" t="n">
        <v>0</v>
      </c>
      <c r="O1796" t="n">
        <v>0</v>
      </c>
      <c r="P1796" t="n">
        <v>0</v>
      </c>
      <c r="Q1796" t="n">
        <v>0</v>
      </c>
      <c r="R1796" s="2" t="inlineStr"/>
    </row>
    <row r="1797" ht="15" customHeight="1">
      <c r="A1797" t="inlineStr">
        <is>
          <t>A 64568-2020</t>
        </is>
      </c>
      <c r="B1797" s="1" t="n">
        <v>44169</v>
      </c>
      <c r="C1797" s="1" t="n">
        <v>45952</v>
      </c>
      <c r="D1797" t="inlineStr">
        <is>
          <t>VÄSTRA GÖTALANDS LÄN</t>
        </is>
      </c>
      <c r="E1797" t="inlineStr">
        <is>
          <t>GÖTENE</t>
        </is>
      </c>
      <c r="F1797" t="inlineStr">
        <is>
          <t>Sveaskog</t>
        </is>
      </c>
      <c r="G1797" t="n">
        <v>0.7</v>
      </c>
      <c r="H1797" t="n">
        <v>0</v>
      </c>
      <c r="I1797" t="n">
        <v>0</v>
      </c>
      <c r="J1797" t="n">
        <v>0</v>
      </c>
      <c r="K1797" t="n">
        <v>0</v>
      </c>
      <c r="L1797" t="n">
        <v>0</v>
      </c>
      <c r="M1797" t="n">
        <v>0</v>
      </c>
      <c r="N1797" t="n">
        <v>0</v>
      </c>
      <c r="O1797" t="n">
        <v>0</v>
      </c>
      <c r="P1797" t="n">
        <v>0</v>
      </c>
      <c r="Q1797" t="n">
        <v>0</v>
      </c>
      <c r="R1797" s="2" t="inlineStr"/>
    </row>
    <row r="1798" ht="15" customHeight="1">
      <c r="A1798" t="inlineStr">
        <is>
          <t>A 41122-2021</t>
        </is>
      </c>
      <c r="B1798" s="1" t="n">
        <v>44423.6921875</v>
      </c>
      <c r="C1798" s="1" t="n">
        <v>45952</v>
      </c>
      <c r="D1798" t="inlineStr">
        <is>
          <t>VÄSTRA GÖTALANDS LÄN</t>
        </is>
      </c>
      <c r="E1798" t="inlineStr">
        <is>
          <t>TRANEMO</t>
        </is>
      </c>
      <c r="G1798" t="n">
        <v>4.1</v>
      </c>
      <c r="H1798" t="n">
        <v>0</v>
      </c>
      <c r="I1798" t="n">
        <v>0</v>
      </c>
      <c r="J1798" t="n">
        <v>0</v>
      </c>
      <c r="K1798" t="n">
        <v>0</v>
      </c>
      <c r="L1798" t="n">
        <v>0</v>
      </c>
      <c r="M1798" t="n">
        <v>0</v>
      </c>
      <c r="N1798" t="n">
        <v>0</v>
      </c>
      <c r="O1798" t="n">
        <v>0</v>
      </c>
      <c r="P1798" t="n">
        <v>0</v>
      </c>
      <c r="Q1798" t="n">
        <v>0</v>
      </c>
      <c r="R1798" s="2" t="inlineStr"/>
    </row>
    <row r="1799" ht="15" customHeight="1">
      <c r="A1799" t="inlineStr">
        <is>
          <t>A 2687-2021</t>
        </is>
      </c>
      <c r="B1799" s="1" t="n">
        <v>44215.53665509259</v>
      </c>
      <c r="C1799" s="1" t="n">
        <v>45952</v>
      </c>
      <c r="D1799" t="inlineStr">
        <is>
          <t>VÄSTRA GÖTALANDS LÄN</t>
        </is>
      </c>
      <c r="E1799" t="inlineStr">
        <is>
          <t>VÅRGÅRDA</t>
        </is>
      </c>
      <c r="G1799" t="n">
        <v>1.2</v>
      </c>
      <c r="H1799" t="n">
        <v>0</v>
      </c>
      <c r="I1799" t="n">
        <v>0</v>
      </c>
      <c r="J1799" t="n">
        <v>0</v>
      </c>
      <c r="K1799" t="n">
        <v>0</v>
      </c>
      <c r="L1799" t="n">
        <v>0</v>
      </c>
      <c r="M1799" t="n">
        <v>0</v>
      </c>
      <c r="N1799" t="n">
        <v>0</v>
      </c>
      <c r="O1799" t="n">
        <v>0</v>
      </c>
      <c r="P1799" t="n">
        <v>0</v>
      </c>
      <c r="Q1799" t="n">
        <v>0</v>
      </c>
      <c r="R1799" s="2" t="inlineStr"/>
    </row>
    <row r="1800" ht="15" customHeight="1">
      <c r="A1800" t="inlineStr">
        <is>
          <t>A 17757-2021</t>
        </is>
      </c>
      <c r="B1800" s="1" t="n">
        <v>44299</v>
      </c>
      <c r="C1800" s="1" t="n">
        <v>45952</v>
      </c>
      <c r="D1800" t="inlineStr">
        <is>
          <t>VÄSTRA GÖTALANDS LÄN</t>
        </is>
      </c>
      <c r="E1800" t="inlineStr">
        <is>
          <t>VARA</t>
        </is>
      </c>
      <c r="G1800" t="n">
        <v>0.3</v>
      </c>
      <c r="H1800" t="n">
        <v>0</v>
      </c>
      <c r="I1800" t="n">
        <v>0</v>
      </c>
      <c r="J1800" t="n">
        <v>0</v>
      </c>
      <c r="K1800" t="n">
        <v>0</v>
      </c>
      <c r="L1800" t="n">
        <v>0</v>
      </c>
      <c r="M1800" t="n">
        <v>0</v>
      </c>
      <c r="N1800" t="n">
        <v>0</v>
      </c>
      <c r="O1800" t="n">
        <v>0</v>
      </c>
      <c r="P1800" t="n">
        <v>0</v>
      </c>
      <c r="Q1800" t="n">
        <v>0</v>
      </c>
      <c r="R1800" s="2" t="inlineStr"/>
    </row>
    <row r="1801" ht="15" customHeight="1">
      <c r="A1801" t="inlineStr">
        <is>
          <t>A 11768-2021</t>
        </is>
      </c>
      <c r="B1801" s="1" t="n">
        <v>44265.43287037037</v>
      </c>
      <c r="C1801" s="1" t="n">
        <v>45952</v>
      </c>
      <c r="D1801" t="inlineStr">
        <is>
          <t>VÄSTRA GÖTALANDS LÄN</t>
        </is>
      </c>
      <c r="E1801" t="inlineStr">
        <is>
          <t>FÄRGELANDA</t>
        </is>
      </c>
      <c r="F1801" t="inlineStr">
        <is>
          <t>Kommuner</t>
        </is>
      </c>
      <c r="G1801" t="n">
        <v>0.4</v>
      </c>
      <c r="H1801" t="n">
        <v>0</v>
      </c>
      <c r="I1801" t="n">
        <v>0</v>
      </c>
      <c r="J1801" t="n">
        <v>0</v>
      </c>
      <c r="K1801" t="n">
        <v>0</v>
      </c>
      <c r="L1801" t="n">
        <v>0</v>
      </c>
      <c r="M1801" t="n">
        <v>0</v>
      </c>
      <c r="N1801" t="n">
        <v>0</v>
      </c>
      <c r="O1801" t="n">
        <v>0</v>
      </c>
      <c r="P1801" t="n">
        <v>0</v>
      </c>
      <c r="Q1801" t="n">
        <v>0</v>
      </c>
      <c r="R1801" s="2" t="inlineStr"/>
    </row>
    <row r="1802" ht="15" customHeight="1">
      <c r="A1802" t="inlineStr">
        <is>
          <t>A 13366-2021</t>
        </is>
      </c>
      <c r="B1802" s="1" t="n">
        <v>44273.39503472222</v>
      </c>
      <c r="C1802" s="1" t="n">
        <v>45952</v>
      </c>
      <c r="D1802" t="inlineStr">
        <is>
          <t>VÄSTRA GÖTALANDS LÄN</t>
        </is>
      </c>
      <c r="E1802" t="inlineStr">
        <is>
          <t>MARK</t>
        </is>
      </c>
      <c r="G1802" t="n">
        <v>2.6</v>
      </c>
      <c r="H1802" t="n">
        <v>0</v>
      </c>
      <c r="I1802" t="n">
        <v>0</v>
      </c>
      <c r="J1802" t="n">
        <v>0</v>
      </c>
      <c r="K1802" t="n">
        <v>0</v>
      </c>
      <c r="L1802" t="n">
        <v>0</v>
      </c>
      <c r="M1802" t="n">
        <v>0</v>
      </c>
      <c r="N1802" t="n">
        <v>0</v>
      </c>
      <c r="O1802" t="n">
        <v>0</v>
      </c>
      <c r="P1802" t="n">
        <v>0</v>
      </c>
      <c r="Q1802" t="n">
        <v>0</v>
      </c>
      <c r="R1802" s="2" t="inlineStr"/>
    </row>
    <row r="1803" ht="15" customHeight="1">
      <c r="A1803" t="inlineStr">
        <is>
          <t>A 17180-2021</t>
        </is>
      </c>
      <c r="B1803" s="1" t="n">
        <v>44298.46679398148</v>
      </c>
      <c r="C1803" s="1" t="n">
        <v>45952</v>
      </c>
      <c r="D1803" t="inlineStr">
        <is>
          <t>VÄSTRA GÖTALANDS LÄN</t>
        </is>
      </c>
      <c r="E1803" t="inlineStr">
        <is>
          <t>LILLA EDET</t>
        </is>
      </c>
      <c r="G1803" t="n">
        <v>5</v>
      </c>
      <c r="H1803" t="n">
        <v>0</v>
      </c>
      <c r="I1803" t="n">
        <v>0</v>
      </c>
      <c r="J1803" t="n">
        <v>0</v>
      </c>
      <c r="K1803" t="n">
        <v>0</v>
      </c>
      <c r="L1803" t="n">
        <v>0</v>
      </c>
      <c r="M1803" t="n">
        <v>0</v>
      </c>
      <c r="N1803" t="n">
        <v>0</v>
      </c>
      <c r="O1803" t="n">
        <v>0</v>
      </c>
      <c r="P1803" t="n">
        <v>0</v>
      </c>
      <c r="Q1803" t="n">
        <v>0</v>
      </c>
      <c r="R1803" s="2" t="inlineStr"/>
    </row>
    <row r="1804" ht="15" customHeight="1">
      <c r="A1804" t="inlineStr">
        <is>
          <t>A 17193-2021</t>
        </is>
      </c>
      <c r="B1804" s="1" t="n">
        <v>44298.47568287037</v>
      </c>
      <c r="C1804" s="1" t="n">
        <v>45952</v>
      </c>
      <c r="D1804" t="inlineStr">
        <is>
          <t>VÄSTRA GÖTALANDS LÄN</t>
        </is>
      </c>
      <c r="E1804" t="inlineStr">
        <is>
          <t>DALS-ED</t>
        </is>
      </c>
      <c r="G1804" t="n">
        <v>1.5</v>
      </c>
      <c r="H1804" t="n">
        <v>0</v>
      </c>
      <c r="I1804" t="n">
        <v>0</v>
      </c>
      <c r="J1804" t="n">
        <v>0</v>
      </c>
      <c r="K1804" t="n">
        <v>0</v>
      </c>
      <c r="L1804" t="n">
        <v>0</v>
      </c>
      <c r="M1804" t="n">
        <v>0</v>
      </c>
      <c r="N1804" t="n">
        <v>0</v>
      </c>
      <c r="O1804" t="n">
        <v>0</v>
      </c>
      <c r="P1804" t="n">
        <v>0</v>
      </c>
      <c r="Q1804" t="n">
        <v>0</v>
      </c>
      <c r="R1804" s="2" t="inlineStr"/>
    </row>
    <row r="1805" ht="15" customHeight="1">
      <c r="A1805" t="inlineStr">
        <is>
          <t>A 55330-2022</t>
        </is>
      </c>
      <c r="B1805" s="1" t="n">
        <v>44887.43643518518</v>
      </c>
      <c r="C1805" s="1" t="n">
        <v>45952</v>
      </c>
      <c r="D1805" t="inlineStr">
        <is>
          <t>VÄSTRA GÖTALANDS LÄN</t>
        </is>
      </c>
      <c r="E1805" t="inlineStr">
        <is>
          <t>BORÅS</t>
        </is>
      </c>
      <c r="G1805" t="n">
        <v>3</v>
      </c>
      <c r="H1805" t="n">
        <v>0</v>
      </c>
      <c r="I1805" t="n">
        <v>0</v>
      </c>
      <c r="J1805" t="n">
        <v>0</v>
      </c>
      <c r="K1805" t="n">
        <v>0</v>
      </c>
      <c r="L1805" t="n">
        <v>0</v>
      </c>
      <c r="M1805" t="n">
        <v>0</v>
      </c>
      <c r="N1805" t="n">
        <v>0</v>
      </c>
      <c r="O1805" t="n">
        <v>0</v>
      </c>
      <c r="P1805" t="n">
        <v>0</v>
      </c>
      <c r="Q1805" t="n">
        <v>0</v>
      </c>
      <c r="R1805" s="2" t="inlineStr"/>
    </row>
    <row r="1806" ht="15" customHeight="1">
      <c r="A1806" t="inlineStr">
        <is>
          <t>A 55376-2022</t>
        </is>
      </c>
      <c r="B1806" s="1" t="n">
        <v>44887.52715277778</v>
      </c>
      <c r="C1806" s="1" t="n">
        <v>45952</v>
      </c>
      <c r="D1806" t="inlineStr">
        <is>
          <t>VÄSTRA GÖTALANDS LÄN</t>
        </is>
      </c>
      <c r="E1806" t="inlineStr">
        <is>
          <t>TRANEMO</t>
        </is>
      </c>
      <c r="G1806" t="n">
        <v>0.7</v>
      </c>
      <c r="H1806" t="n">
        <v>0</v>
      </c>
      <c r="I1806" t="n">
        <v>0</v>
      </c>
      <c r="J1806" t="n">
        <v>0</v>
      </c>
      <c r="K1806" t="n">
        <v>0</v>
      </c>
      <c r="L1806" t="n">
        <v>0</v>
      </c>
      <c r="M1806" t="n">
        <v>0</v>
      </c>
      <c r="N1806" t="n">
        <v>0</v>
      </c>
      <c r="O1806" t="n">
        <v>0</v>
      </c>
      <c r="P1806" t="n">
        <v>0</v>
      </c>
      <c r="Q1806" t="n">
        <v>0</v>
      </c>
      <c r="R1806" s="2" t="inlineStr"/>
    </row>
    <row r="1807" ht="15" customHeight="1">
      <c r="A1807" t="inlineStr">
        <is>
          <t>A 54871-2022</t>
        </is>
      </c>
      <c r="B1807" s="1" t="n">
        <v>44886.31664351852</v>
      </c>
      <c r="C1807" s="1" t="n">
        <v>45952</v>
      </c>
      <c r="D1807" t="inlineStr">
        <is>
          <t>VÄSTRA GÖTALANDS LÄN</t>
        </is>
      </c>
      <c r="E1807" t="inlineStr">
        <is>
          <t>BORÅS</t>
        </is>
      </c>
      <c r="G1807" t="n">
        <v>1.5</v>
      </c>
      <c r="H1807" t="n">
        <v>0</v>
      </c>
      <c r="I1807" t="n">
        <v>0</v>
      </c>
      <c r="J1807" t="n">
        <v>0</v>
      </c>
      <c r="K1807" t="n">
        <v>0</v>
      </c>
      <c r="L1807" t="n">
        <v>0</v>
      </c>
      <c r="M1807" t="n">
        <v>0</v>
      </c>
      <c r="N1807" t="n">
        <v>0</v>
      </c>
      <c r="O1807" t="n">
        <v>0</v>
      </c>
      <c r="P1807" t="n">
        <v>0</v>
      </c>
      <c r="Q1807" t="n">
        <v>0</v>
      </c>
      <c r="R1807" s="2" t="inlineStr"/>
    </row>
    <row r="1808" ht="15" customHeight="1">
      <c r="A1808" t="inlineStr">
        <is>
          <t>A 18195-2021</t>
        </is>
      </c>
      <c r="B1808" s="1" t="n">
        <v>44302</v>
      </c>
      <c r="C1808" s="1" t="n">
        <v>45952</v>
      </c>
      <c r="D1808" t="inlineStr">
        <is>
          <t>VÄSTRA GÖTALANDS LÄN</t>
        </is>
      </c>
      <c r="E1808" t="inlineStr">
        <is>
          <t>BENGTSFORS</t>
        </is>
      </c>
      <c r="G1808" t="n">
        <v>3.2</v>
      </c>
      <c r="H1808" t="n">
        <v>0</v>
      </c>
      <c r="I1808" t="n">
        <v>0</v>
      </c>
      <c r="J1808" t="n">
        <v>0</v>
      </c>
      <c r="K1808" t="n">
        <v>0</v>
      </c>
      <c r="L1808" t="n">
        <v>0</v>
      </c>
      <c r="M1808" t="n">
        <v>0</v>
      </c>
      <c r="N1808" t="n">
        <v>0</v>
      </c>
      <c r="O1808" t="n">
        <v>0</v>
      </c>
      <c r="P1808" t="n">
        <v>0</v>
      </c>
      <c r="Q1808" t="n">
        <v>0</v>
      </c>
      <c r="R1808" s="2" t="inlineStr"/>
    </row>
    <row r="1809" ht="15" customHeight="1">
      <c r="A1809" t="inlineStr">
        <is>
          <t>A 60662-2020</t>
        </is>
      </c>
      <c r="B1809" s="1" t="n">
        <v>44152</v>
      </c>
      <c r="C1809" s="1" t="n">
        <v>45952</v>
      </c>
      <c r="D1809" t="inlineStr">
        <is>
          <t>VÄSTRA GÖTALANDS LÄN</t>
        </is>
      </c>
      <c r="E1809" t="inlineStr">
        <is>
          <t>VÅRGÅRDA</t>
        </is>
      </c>
      <c r="G1809" t="n">
        <v>1.2</v>
      </c>
      <c r="H1809" t="n">
        <v>0</v>
      </c>
      <c r="I1809" t="n">
        <v>0</v>
      </c>
      <c r="J1809" t="n">
        <v>0</v>
      </c>
      <c r="K1809" t="n">
        <v>0</v>
      </c>
      <c r="L1809" t="n">
        <v>0</v>
      </c>
      <c r="M1809" t="n">
        <v>0</v>
      </c>
      <c r="N1809" t="n">
        <v>0</v>
      </c>
      <c r="O1809" t="n">
        <v>0</v>
      </c>
      <c r="P1809" t="n">
        <v>0</v>
      </c>
      <c r="Q1809" t="n">
        <v>0</v>
      </c>
      <c r="R1809" s="2" t="inlineStr"/>
    </row>
    <row r="1810" ht="15" customHeight="1">
      <c r="A1810" t="inlineStr">
        <is>
          <t>A 40627-2021</t>
        </is>
      </c>
      <c r="B1810" s="1" t="n">
        <v>44420</v>
      </c>
      <c r="C1810" s="1" t="n">
        <v>45952</v>
      </c>
      <c r="D1810" t="inlineStr">
        <is>
          <t>VÄSTRA GÖTALANDS LÄN</t>
        </is>
      </c>
      <c r="E1810" t="inlineStr">
        <is>
          <t>TIDAHOLM</t>
        </is>
      </c>
      <c r="F1810" t="inlineStr">
        <is>
          <t>Sveaskog</t>
        </is>
      </c>
      <c r="G1810" t="n">
        <v>1.4</v>
      </c>
      <c r="H1810" t="n">
        <v>0</v>
      </c>
      <c r="I1810" t="n">
        <v>0</v>
      </c>
      <c r="J1810" t="n">
        <v>0</v>
      </c>
      <c r="K1810" t="n">
        <v>0</v>
      </c>
      <c r="L1810" t="n">
        <v>0</v>
      </c>
      <c r="M1810" t="n">
        <v>0</v>
      </c>
      <c r="N1810" t="n">
        <v>0</v>
      </c>
      <c r="O1810" t="n">
        <v>0</v>
      </c>
      <c r="P1810" t="n">
        <v>0</v>
      </c>
      <c r="Q1810" t="n">
        <v>0</v>
      </c>
      <c r="R1810" s="2" t="inlineStr"/>
    </row>
    <row r="1811" ht="15" customHeight="1">
      <c r="A1811" t="inlineStr">
        <is>
          <t>A 50370-2021</t>
        </is>
      </c>
      <c r="B1811" s="1" t="n">
        <v>44456</v>
      </c>
      <c r="C1811" s="1" t="n">
        <v>45952</v>
      </c>
      <c r="D1811" t="inlineStr">
        <is>
          <t>VÄSTRA GÖTALANDS LÄN</t>
        </is>
      </c>
      <c r="E1811" t="inlineStr">
        <is>
          <t>MELLERUD</t>
        </is>
      </c>
      <c r="G1811" t="n">
        <v>2.4</v>
      </c>
      <c r="H1811" t="n">
        <v>0</v>
      </c>
      <c r="I1811" t="n">
        <v>0</v>
      </c>
      <c r="J1811" t="n">
        <v>0</v>
      </c>
      <c r="K1811" t="n">
        <v>0</v>
      </c>
      <c r="L1811" t="n">
        <v>0</v>
      </c>
      <c r="M1811" t="n">
        <v>0</v>
      </c>
      <c r="N1811" t="n">
        <v>0</v>
      </c>
      <c r="O1811" t="n">
        <v>0</v>
      </c>
      <c r="P1811" t="n">
        <v>0</v>
      </c>
      <c r="Q1811" t="n">
        <v>0</v>
      </c>
      <c r="R1811" s="2" t="inlineStr"/>
    </row>
    <row r="1812" ht="15" customHeight="1">
      <c r="A1812" t="inlineStr">
        <is>
          <t>A 11200-2021</t>
        </is>
      </c>
      <c r="B1812" s="1" t="n">
        <v>44263</v>
      </c>
      <c r="C1812" s="1" t="n">
        <v>45952</v>
      </c>
      <c r="D1812" t="inlineStr">
        <is>
          <t>VÄSTRA GÖTALANDS LÄN</t>
        </is>
      </c>
      <c r="E1812" t="inlineStr">
        <is>
          <t>TÖREBODA</t>
        </is>
      </c>
      <c r="G1812" t="n">
        <v>0.5</v>
      </c>
      <c r="H1812" t="n">
        <v>0</v>
      </c>
      <c r="I1812" t="n">
        <v>0</v>
      </c>
      <c r="J1812" t="n">
        <v>0</v>
      </c>
      <c r="K1812" t="n">
        <v>0</v>
      </c>
      <c r="L1812" t="n">
        <v>0</v>
      </c>
      <c r="M1812" t="n">
        <v>0</v>
      </c>
      <c r="N1812" t="n">
        <v>0</v>
      </c>
      <c r="O1812" t="n">
        <v>0</v>
      </c>
      <c r="P1812" t="n">
        <v>0</v>
      </c>
      <c r="Q1812" t="n">
        <v>0</v>
      </c>
      <c r="R1812" s="2" t="inlineStr"/>
    </row>
    <row r="1813" ht="15" customHeight="1">
      <c r="A1813" t="inlineStr">
        <is>
          <t>A 12846-2021</t>
        </is>
      </c>
      <c r="B1813" s="1" t="n">
        <v>44270</v>
      </c>
      <c r="C1813" s="1" t="n">
        <v>45952</v>
      </c>
      <c r="D1813" t="inlineStr">
        <is>
          <t>VÄSTRA GÖTALANDS LÄN</t>
        </is>
      </c>
      <c r="E1813" t="inlineStr">
        <is>
          <t>GRÄSTORP</t>
        </is>
      </c>
      <c r="G1813" t="n">
        <v>1.7</v>
      </c>
      <c r="H1813" t="n">
        <v>0</v>
      </c>
      <c r="I1813" t="n">
        <v>0</v>
      </c>
      <c r="J1813" t="n">
        <v>0</v>
      </c>
      <c r="K1813" t="n">
        <v>0</v>
      </c>
      <c r="L1813" t="n">
        <v>0</v>
      </c>
      <c r="M1813" t="n">
        <v>0</v>
      </c>
      <c r="N1813" t="n">
        <v>0</v>
      </c>
      <c r="O1813" t="n">
        <v>0</v>
      </c>
      <c r="P1813" t="n">
        <v>0</v>
      </c>
      <c r="Q1813" t="n">
        <v>0</v>
      </c>
      <c r="R1813" s="2" t="inlineStr"/>
    </row>
    <row r="1814" ht="15" customHeight="1">
      <c r="A1814" t="inlineStr">
        <is>
          <t>A 18086-2022</t>
        </is>
      </c>
      <c r="B1814" s="1" t="n">
        <v>44684</v>
      </c>
      <c r="C1814" s="1" t="n">
        <v>45952</v>
      </c>
      <c r="D1814" t="inlineStr">
        <is>
          <t>VÄSTRA GÖTALANDS LÄN</t>
        </is>
      </c>
      <c r="E1814" t="inlineStr">
        <is>
          <t>FÄRGELANDA</t>
        </is>
      </c>
      <c r="G1814" t="n">
        <v>0.5</v>
      </c>
      <c r="H1814" t="n">
        <v>0</v>
      </c>
      <c r="I1814" t="n">
        <v>0</v>
      </c>
      <c r="J1814" t="n">
        <v>0</v>
      </c>
      <c r="K1814" t="n">
        <v>0</v>
      </c>
      <c r="L1814" t="n">
        <v>0</v>
      </c>
      <c r="M1814" t="n">
        <v>0</v>
      </c>
      <c r="N1814" t="n">
        <v>0</v>
      </c>
      <c r="O1814" t="n">
        <v>0</v>
      </c>
      <c r="P1814" t="n">
        <v>0</v>
      </c>
      <c r="Q1814" t="n">
        <v>0</v>
      </c>
      <c r="R1814" s="2" t="inlineStr"/>
    </row>
    <row r="1815" ht="15" customHeight="1">
      <c r="A1815" t="inlineStr">
        <is>
          <t>A 13411-2022</t>
        </is>
      </c>
      <c r="B1815" s="1" t="n">
        <v>44645.54630787037</v>
      </c>
      <c r="C1815" s="1" t="n">
        <v>45952</v>
      </c>
      <c r="D1815" t="inlineStr">
        <is>
          <t>VÄSTRA GÖTALANDS LÄN</t>
        </is>
      </c>
      <c r="E1815" t="inlineStr">
        <is>
          <t>LERUM</t>
        </is>
      </c>
      <c r="G1815" t="n">
        <v>4</v>
      </c>
      <c r="H1815" t="n">
        <v>0</v>
      </c>
      <c r="I1815" t="n">
        <v>0</v>
      </c>
      <c r="J1815" t="n">
        <v>0</v>
      </c>
      <c r="K1815" t="n">
        <v>0</v>
      </c>
      <c r="L1815" t="n">
        <v>0</v>
      </c>
      <c r="M1815" t="n">
        <v>0</v>
      </c>
      <c r="N1815" t="n">
        <v>0</v>
      </c>
      <c r="O1815" t="n">
        <v>0</v>
      </c>
      <c r="P1815" t="n">
        <v>0</v>
      </c>
      <c r="Q1815" t="n">
        <v>0</v>
      </c>
      <c r="R1815" s="2" t="inlineStr"/>
    </row>
    <row r="1816" ht="15" customHeight="1">
      <c r="A1816" t="inlineStr">
        <is>
          <t>A 14349-2021</t>
        </is>
      </c>
      <c r="B1816" s="1" t="n">
        <v>44278</v>
      </c>
      <c r="C1816" s="1" t="n">
        <v>45952</v>
      </c>
      <c r="D1816" t="inlineStr">
        <is>
          <t>VÄSTRA GÖTALANDS LÄN</t>
        </is>
      </c>
      <c r="E1816" t="inlineStr">
        <is>
          <t>HÄRRYDA</t>
        </is>
      </c>
      <c r="G1816" t="n">
        <v>1.2</v>
      </c>
      <c r="H1816" t="n">
        <v>0</v>
      </c>
      <c r="I1816" t="n">
        <v>0</v>
      </c>
      <c r="J1816" t="n">
        <v>0</v>
      </c>
      <c r="K1816" t="n">
        <v>0</v>
      </c>
      <c r="L1816" t="n">
        <v>0</v>
      </c>
      <c r="M1816" t="n">
        <v>0</v>
      </c>
      <c r="N1816" t="n">
        <v>0</v>
      </c>
      <c r="O1816" t="n">
        <v>0</v>
      </c>
      <c r="P1816" t="n">
        <v>0</v>
      </c>
      <c r="Q1816" t="n">
        <v>0</v>
      </c>
      <c r="R1816" s="2" t="inlineStr"/>
    </row>
    <row r="1817" ht="15" customHeight="1">
      <c r="A1817" t="inlineStr">
        <is>
          <t>A 12631-2022</t>
        </is>
      </c>
      <c r="B1817" s="1" t="n">
        <v>44641.43099537037</v>
      </c>
      <c r="C1817" s="1" t="n">
        <v>45952</v>
      </c>
      <c r="D1817" t="inlineStr">
        <is>
          <t>VÄSTRA GÖTALANDS LÄN</t>
        </is>
      </c>
      <c r="E1817" t="inlineStr">
        <is>
          <t>ESSUNGA</t>
        </is>
      </c>
      <c r="G1817" t="n">
        <v>2</v>
      </c>
      <c r="H1817" t="n">
        <v>0</v>
      </c>
      <c r="I1817" t="n">
        <v>0</v>
      </c>
      <c r="J1817" t="n">
        <v>0</v>
      </c>
      <c r="K1817" t="n">
        <v>0</v>
      </c>
      <c r="L1817" t="n">
        <v>0</v>
      </c>
      <c r="M1817" t="n">
        <v>0</v>
      </c>
      <c r="N1817" t="n">
        <v>0</v>
      </c>
      <c r="O1817" t="n">
        <v>0</v>
      </c>
      <c r="P1817" t="n">
        <v>0</v>
      </c>
      <c r="Q1817" t="n">
        <v>0</v>
      </c>
      <c r="R1817" s="2" t="inlineStr"/>
    </row>
    <row r="1818" ht="15" customHeight="1">
      <c r="A1818" t="inlineStr">
        <is>
          <t>A 45210-2021</t>
        </is>
      </c>
      <c r="B1818" s="1" t="n">
        <v>44439.56074074074</v>
      </c>
      <c r="C1818" s="1" t="n">
        <v>45952</v>
      </c>
      <c r="D1818" t="inlineStr">
        <is>
          <t>VÄSTRA GÖTALANDS LÄN</t>
        </is>
      </c>
      <c r="E1818" t="inlineStr">
        <is>
          <t>SVENLJUNGA</t>
        </is>
      </c>
      <c r="G1818" t="n">
        <v>11.7</v>
      </c>
      <c r="H1818" t="n">
        <v>0</v>
      </c>
      <c r="I1818" t="n">
        <v>0</v>
      </c>
      <c r="J1818" t="n">
        <v>0</v>
      </c>
      <c r="K1818" t="n">
        <v>0</v>
      </c>
      <c r="L1818" t="n">
        <v>0</v>
      </c>
      <c r="M1818" t="n">
        <v>0</v>
      </c>
      <c r="N1818" t="n">
        <v>0</v>
      </c>
      <c r="O1818" t="n">
        <v>0</v>
      </c>
      <c r="P1818" t="n">
        <v>0</v>
      </c>
      <c r="Q1818" t="n">
        <v>0</v>
      </c>
      <c r="R1818" s="2" t="inlineStr"/>
    </row>
    <row r="1819" ht="15" customHeight="1">
      <c r="A1819" t="inlineStr">
        <is>
          <t>A 18124-2022</t>
        </is>
      </c>
      <c r="B1819" s="1" t="n">
        <v>44684</v>
      </c>
      <c r="C1819" s="1" t="n">
        <v>45952</v>
      </c>
      <c r="D1819" t="inlineStr">
        <is>
          <t>VÄSTRA GÖTALANDS LÄN</t>
        </is>
      </c>
      <c r="E1819" t="inlineStr">
        <is>
          <t>GÖTENE</t>
        </is>
      </c>
      <c r="G1819" t="n">
        <v>1.1</v>
      </c>
      <c r="H1819" t="n">
        <v>0</v>
      </c>
      <c r="I1819" t="n">
        <v>0</v>
      </c>
      <c r="J1819" t="n">
        <v>0</v>
      </c>
      <c r="K1819" t="n">
        <v>0</v>
      </c>
      <c r="L1819" t="n">
        <v>0</v>
      </c>
      <c r="M1819" t="n">
        <v>0</v>
      </c>
      <c r="N1819" t="n">
        <v>0</v>
      </c>
      <c r="O1819" t="n">
        <v>0</v>
      </c>
      <c r="P1819" t="n">
        <v>0</v>
      </c>
      <c r="Q1819" t="n">
        <v>0</v>
      </c>
      <c r="R1819" s="2" t="inlineStr"/>
    </row>
    <row r="1820" ht="15" customHeight="1">
      <c r="A1820" t="inlineStr">
        <is>
          <t>A 18139-2022</t>
        </is>
      </c>
      <c r="B1820" s="1" t="n">
        <v>44684.5827662037</v>
      </c>
      <c r="C1820" s="1" t="n">
        <v>45952</v>
      </c>
      <c r="D1820" t="inlineStr">
        <is>
          <t>VÄSTRA GÖTALANDS LÄN</t>
        </is>
      </c>
      <c r="E1820" t="inlineStr">
        <is>
          <t>MARK</t>
        </is>
      </c>
      <c r="G1820" t="n">
        <v>2.2</v>
      </c>
      <c r="H1820" t="n">
        <v>0</v>
      </c>
      <c r="I1820" t="n">
        <v>0</v>
      </c>
      <c r="J1820" t="n">
        <v>0</v>
      </c>
      <c r="K1820" t="n">
        <v>0</v>
      </c>
      <c r="L1820" t="n">
        <v>0</v>
      </c>
      <c r="M1820" t="n">
        <v>0</v>
      </c>
      <c r="N1820" t="n">
        <v>0</v>
      </c>
      <c r="O1820" t="n">
        <v>0</v>
      </c>
      <c r="P1820" t="n">
        <v>0</v>
      </c>
      <c r="Q1820" t="n">
        <v>0</v>
      </c>
      <c r="R1820" s="2" t="inlineStr"/>
    </row>
    <row r="1821" ht="15" customHeight="1">
      <c r="A1821" t="inlineStr">
        <is>
          <t>A 67873-2020</t>
        </is>
      </c>
      <c r="B1821" s="1" t="n">
        <v>44182</v>
      </c>
      <c r="C1821" s="1" t="n">
        <v>45952</v>
      </c>
      <c r="D1821" t="inlineStr">
        <is>
          <t>VÄSTRA GÖTALANDS LÄN</t>
        </is>
      </c>
      <c r="E1821" t="inlineStr">
        <is>
          <t>DALS-ED</t>
        </is>
      </c>
      <c r="G1821" t="n">
        <v>0.6</v>
      </c>
      <c r="H1821" t="n">
        <v>0</v>
      </c>
      <c r="I1821" t="n">
        <v>0</v>
      </c>
      <c r="J1821" t="n">
        <v>0</v>
      </c>
      <c r="K1821" t="n">
        <v>0</v>
      </c>
      <c r="L1821" t="n">
        <v>0</v>
      </c>
      <c r="M1821" t="n">
        <v>0</v>
      </c>
      <c r="N1821" t="n">
        <v>0</v>
      </c>
      <c r="O1821" t="n">
        <v>0</v>
      </c>
      <c r="P1821" t="n">
        <v>0</v>
      </c>
      <c r="Q1821" t="n">
        <v>0</v>
      </c>
      <c r="R1821" s="2" t="inlineStr"/>
    </row>
    <row r="1822" ht="15" customHeight="1">
      <c r="A1822" t="inlineStr">
        <is>
          <t>A 30060-2021</t>
        </is>
      </c>
      <c r="B1822" s="1" t="n">
        <v>44363.47837962963</v>
      </c>
      <c r="C1822" s="1" t="n">
        <v>45952</v>
      </c>
      <c r="D1822" t="inlineStr">
        <is>
          <t>VÄSTRA GÖTALANDS LÄN</t>
        </is>
      </c>
      <c r="E1822" t="inlineStr">
        <is>
          <t>SKARA</t>
        </is>
      </c>
      <c r="G1822" t="n">
        <v>1.4</v>
      </c>
      <c r="H1822" t="n">
        <v>0</v>
      </c>
      <c r="I1822" t="n">
        <v>0</v>
      </c>
      <c r="J1822" t="n">
        <v>0</v>
      </c>
      <c r="K1822" t="n">
        <v>0</v>
      </c>
      <c r="L1822" t="n">
        <v>0</v>
      </c>
      <c r="M1822" t="n">
        <v>0</v>
      </c>
      <c r="N1822" t="n">
        <v>0</v>
      </c>
      <c r="O1822" t="n">
        <v>0</v>
      </c>
      <c r="P1822" t="n">
        <v>0</v>
      </c>
      <c r="Q1822" t="n">
        <v>0</v>
      </c>
      <c r="R1822" s="2" t="inlineStr"/>
    </row>
    <row r="1823" ht="15" customHeight="1">
      <c r="A1823" t="inlineStr">
        <is>
          <t>A 17771-2021</t>
        </is>
      </c>
      <c r="B1823" s="1" t="n">
        <v>44300</v>
      </c>
      <c r="C1823" s="1" t="n">
        <v>45952</v>
      </c>
      <c r="D1823" t="inlineStr">
        <is>
          <t>VÄSTRA GÖTALANDS LÄN</t>
        </is>
      </c>
      <c r="E1823" t="inlineStr">
        <is>
          <t>FALKÖPING</t>
        </is>
      </c>
      <c r="G1823" t="n">
        <v>3.9</v>
      </c>
      <c r="H1823" t="n">
        <v>0</v>
      </c>
      <c r="I1823" t="n">
        <v>0</v>
      </c>
      <c r="J1823" t="n">
        <v>0</v>
      </c>
      <c r="K1823" t="n">
        <v>0</v>
      </c>
      <c r="L1823" t="n">
        <v>0</v>
      </c>
      <c r="M1823" t="n">
        <v>0</v>
      </c>
      <c r="N1823" t="n">
        <v>0</v>
      </c>
      <c r="O1823" t="n">
        <v>0</v>
      </c>
      <c r="P1823" t="n">
        <v>0</v>
      </c>
      <c r="Q1823" t="n">
        <v>0</v>
      </c>
      <c r="R1823" s="2" t="inlineStr"/>
    </row>
    <row r="1824" ht="15" customHeight="1">
      <c r="A1824" t="inlineStr">
        <is>
          <t>A 24637-2022</t>
        </is>
      </c>
      <c r="B1824" s="1" t="n">
        <v>44727</v>
      </c>
      <c r="C1824" s="1" t="n">
        <v>45952</v>
      </c>
      <c r="D1824" t="inlineStr">
        <is>
          <t>VÄSTRA GÖTALANDS LÄN</t>
        </is>
      </c>
      <c r="E1824" t="inlineStr">
        <is>
          <t>BOLLEBYGD</t>
        </is>
      </c>
      <c r="F1824" t="inlineStr">
        <is>
          <t>Kommuner</t>
        </is>
      </c>
      <c r="G1824" t="n">
        <v>0.7</v>
      </c>
      <c r="H1824" t="n">
        <v>0</v>
      </c>
      <c r="I1824" t="n">
        <v>0</v>
      </c>
      <c r="J1824" t="n">
        <v>0</v>
      </c>
      <c r="K1824" t="n">
        <v>0</v>
      </c>
      <c r="L1824" t="n">
        <v>0</v>
      </c>
      <c r="M1824" t="n">
        <v>0</v>
      </c>
      <c r="N1824" t="n">
        <v>0</v>
      </c>
      <c r="O1824" t="n">
        <v>0</v>
      </c>
      <c r="P1824" t="n">
        <v>0</v>
      </c>
      <c r="Q1824" t="n">
        <v>0</v>
      </c>
      <c r="R1824" s="2" t="inlineStr"/>
    </row>
    <row r="1825" ht="15" customHeight="1">
      <c r="A1825" t="inlineStr">
        <is>
          <t>A 1326-2021</t>
        </is>
      </c>
      <c r="B1825" s="1" t="n">
        <v>44208</v>
      </c>
      <c r="C1825" s="1" t="n">
        <v>45952</v>
      </c>
      <c r="D1825" t="inlineStr">
        <is>
          <t>VÄSTRA GÖTALANDS LÄN</t>
        </is>
      </c>
      <c r="E1825" t="inlineStr">
        <is>
          <t>MARK</t>
        </is>
      </c>
      <c r="G1825" t="n">
        <v>13.1</v>
      </c>
      <c r="H1825" t="n">
        <v>0</v>
      </c>
      <c r="I1825" t="n">
        <v>0</v>
      </c>
      <c r="J1825" t="n">
        <v>0</v>
      </c>
      <c r="K1825" t="n">
        <v>0</v>
      </c>
      <c r="L1825" t="n">
        <v>0</v>
      </c>
      <c r="M1825" t="n">
        <v>0</v>
      </c>
      <c r="N1825" t="n">
        <v>0</v>
      </c>
      <c r="O1825" t="n">
        <v>0</v>
      </c>
      <c r="P1825" t="n">
        <v>0</v>
      </c>
      <c r="Q1825" t="n">
        <v>0</v>
      </c>
      <c r="R1825" s="2" t="inlineStr"/>
    </row>
    <row r="1826" ht="15" customHeight="1">
      <c r="A1826" t="inlineStr">
        <is>
          <t>A 10766-2021</t>
        </is>
      </c>
      <c r="B1826" s="1" t="n">
        <v>44259</v>
      </c>
      <c r="C1826" s="1" t="n">
        <v>45952</v>
      </c>
      <c r="D1826" t="inlineStr">
        <is>
          <t>VÄSTRA GÖTALANDS LÄN</t>
        </is>
      </c>
      <c r="E1826" t="inlineStr">
        <is>
          <t>UDDEVALLA</t>
        </is>
      </c>
      <c r="G1826" t="n">
        <v>2.9</v>
      </c>
      <c r="H1826" t="n">
        <v>0</v>
      </c>
      <c r="I1826" t="n">
        <v>0</v>
      </c>
      <c r="J1826" t="n">
        <v>0</v>
      </c>
      <c r="K1826" t="n">
        <v>0</v>
      </c>
      <c r="L1826" t="n">
        <v>0</v>
      </c>
      <c r="M1826" t="n">
        <v>0</v>
      </c>
      <c r="N1826" t="n">
        <v>0</v>
      </c>
      <c r="O1826" t="n">
        <v>0</v>
      </c>
      <c r="P1826" t="n">
        <v>0</v>
      </c>
      <c r="Q1826" t="n">
        <v>0</v>
      </c>
      <c r="R1826" s="2" t="inlineStr"/>
    </row>
    <row r="1827" ht="15" customHeight="1">
      <c r="A1827" t="inlineStr">
        <is>
          <t>A 21447-2022</t>
        </is>
      </c>
      <c r="B1827" s="1" t="n">
        <v>44706.3594212963</v>
      </c>
      <c r="C1827" s="1" t="n">
        <v>45952</v>
      </c>
      <c r="D1827" t="inlineStr">
        <is>
          <t>VÄSTRA GÖTALANDS LÄN</t>
        </is>
      </c>
      <c r="E1827" t="inlineStr">
        <is>
          <t>SVENLJUNGA</t>
        </is>
      </c>
      <c r="G1827" t="n">
        <v>2.2</v>
      </c>
      <c r="H1827" t="n">
        <v>0</v>
      </c>
      <c r="I1827" t="n">
        <v>0</v>
      </c>
      <c r="J1827" t="n">
        <v>0</v>
      </c>
      <c r="K1827" t="n">
        <v>0</v>
      </c>
      <c r="L1827" t="n">
        <v>0</v>
      </c>
      <c r="M1827" t="n">
        <v>0</v>
      </c>
      <c r="N1827" t="n">
        <v>0</v>
      </c>
      <c r="O1827" t="n">
        <v>0</v>
      </c>
      <c r="P1827" t="n">
        <v>0</v>
      </c>
      <c r="Q1827" t="n">
        <v>0</v>
      </c>
      <c r="R1827" s="2" t="inlineStr"/>
    </row>
    <row r="1828" ht="15" customHeight="1">
      <c r="A1828" t="inlineStr">
        <is>
          <t>A 64403-2020</t>
        </is>
      </c>
      <c r="B1828" s="1" t="n">
        <v>44168</v>
      </c>
      <c r="C1828" s="1" t="n">
        <v>45952</v>
      </c>
      <c r="D1828" t="inlineStr">
        <is>
          <t>VÄSTRA GÖTALANDS LÄN</t>
        </is>
      </c>
      <c r="E1828" t="inlineStr">
        <is>
          <t>GULLSPÅNG</t>
        </is>
      </c>
      <c r="G1828" t="n">
        <v>1.4</v>
      </c>
      <c r="H1828" t="n">
        <v>0</v>
      </c>
      <c r="I1828" t="n">
        <v>0</v>
      </c>
      <c r="J1828" t="n">
        <v>0</v>
      </c>
      <c r="K1828" t="n">
        <v>0</v>
      </c>
      <c r="L1828" t="n">
        <v>0</v>
      </c>
      <c r="M1828" t="n">
        <v>0</v>
      </c>
      <c r="N1828" t="n">
        <v>0</v>
      </c>
      <c r="O1828" t="n">
        <v>0</v>
      </c>
      <c r="P1828" t="n">
        <v>0</v>
      </c>
      <c r="Q1828" t="n">
        <v>0</v>
      </c>
      <c r="R1828" s="2" t="inlineStr"/>
    </row>
    <row r="1829" ht="15" customHeight="1">
      <c r="A1829" t="inlineStr">
        <is>
          <t>A 2718-2021</t>
        </is>
      </c>
      <c r="B1829" s="1" t="n">
        <v>44215</v>
      </c>
      <c r="C1829" s="1" t="n">
        <v>45952</v>
      </c>
      <c r="D1829" t="inlineStr">
        <is>
          <t>VÄSTRA GÖTALANDS LÄN</t>
        </is>
      </c>
      <c r="E1829" t="inlineStr">
        <is>
          <t>BORÅS</t>
        </is>
      </c>
      <c r="G1829" t="n">
        <v>3.8</v>
      </c>
      <c r="H1829" t="n">
        <v>0</v>
      </c>
      <c r="I1829" t="n">
        <v>0</v>
      </c>
      <c r="J1829" t="n">
        <v>0</v>
      </c>
      <c r="K1829" t="n">
        <v>0</v>
      </c>
      <c r="L1829" t="n">
        <v>0</v>
      </c>
      <c r="M1829" t="n">
        <v>0</v>
      </c>
      <c r="N1829" t="n">
        <v>0</v>
      </c>
      <c r="O1829" t="n">
        <v>0</v>
      </c>
      <c r="P1829" t="n">
        <v>0</v>
      </c>
      <c r="Q1829" t="n">
        <v>0</v>
      </c>
      <c r="R1829" s="2" t="inlineStr"/>
    </row>
    <row r="1830" ht="15" customHeight="1">
      <c r="A1830" t="inlineStr">
        <is>
          <t>A 5011-2021</t>
        </is>
      </c>
      <c r="B1830" s="1" t="n">
        <v>44228.45335648148</v>
      </c>
      <c r="C1830" s="1" t="n">
        <v>45952</v>
      </c>
      <c r="D1830" t="inlineStr">
        <is>
          <t>VÄSTRA GÖTALANDS LÄN</t>
        </is>
      </c>
      <c r="E1830" t="inlineStr">
        <is>
          <t>FALKÖPING</t>
        </is>
      </c>
      <c r="G1830" t="n">
        <v>1.7</v>
      </c>
      <c r="H1830" t="n">
        <v>0</v>
      </c>
      <c r="I1830" t="n">
        <v>0</v>
      </c>
      <c r="J1830" t="n">
        <v>0</v>
      </c>
      <c r="K1830" t="n">
        <v>0</v>
      </c>
      <c r="L1830" t="n">
        <v>0</v>
      </c>
      <c r="M1830" t="n">
        <v>0</v>
      </c>
      <c r="N1830" t="n">
        <v>0</v>
      </c>
      <c r="O1830" t="n">
        <v>0</v>
      </c>
      <c r="P1830" t="n">
        <v>0</v>
      </c>
      <c r="Q1830" t="n">
        <v>0</v>
      </c>
      <c r="R1830" s="2" t="inlineStr"/>
    </row>
    <row r="1831" ht="15" customHeight="1">
      <c r="A1831" t="inlineStr">
        <is>
          <t>A 26593-2021</t>
        </is>
      </c>
      <c r="B1831" s="1" t="n">
        <v>44348.60203703704</v>
      </c>
      <c r="C1831" s="1" t="n">
        <v>45952</v>
      </c>
      <c r="D1831" t="inlineStr">
        <is>
          <t>VÄSTRA GÖTALANDS LÄN</t>
        </is>
      </c>
      <c r="E1831" t="inlineStr">
        <is>
          <t>TRANEMO</t>
        </is>
      </c>
      <c r="G1831" t="n">
        <v>0.6</v>
      </c>
      <c r="H1831" t="n">
        <v>0</v>
      </c>
      <c r="I1831" t="n">
        <v>0</v>
      </c>
      <c r="J1831" t="n">
        <v>0</v>
      </c>
      <c r="K1831" t="n">
        <v>0</v>
      </c>
      <c r="L1831" t="n">
        <v>0</v>
      </c>
      <c r="M1831" t="n">
        <v>0</v>
      </c>
      <c r="N1831" t="n">
        <v>0</v>
      </c>
      <c r="O1831" t="n">
        <v>0</v>
      </c>
      <c r="P1831" t="n">
        <v>0</v>
      </c>
      <c r="Q1831" t="n">
        <v>0</v>
      </c>
      <c r="R1831" s="2" t="inlineStr"/>
    </row>
    <row r="1832" ht="15" customHeight="1">
      <c r="A1832" t="inlineStr">
        <is>
          <t>A 26636-2021</t>
        </is>
      </c>
      <c r="B1832" s="1" t="n">
        <v>44348.69945601852</v>
      </c>
      <c r="C1832" s="1" t="n">
        <v>45952</v>
      </c>
      <c r="D1832" t="inlineStr">
        <is>
          <t>VÄSTRA GÖTALANDS LÄN</t>
        </is>
      </c>
      <c r="E1832" t="inlineStr">
        <is>
          <t>ALINGSÅS</t>
        </is>
      </c>
      <c r="G1832" t="n">
        <v>1</v>
      </c>
      <c r="H1832" t="n">
        <v>0</v>
      </c>
      <c r="I1832" t="n">
        <v>0</v>
      </c>
      <c r="J1832" t="n">
        <v>0</v>
      </c>
      <c r="K1832" t="n">
        <v>0</v>
      </c>
      <c r="L1832" t="n">
        <v>0</v>
      </c>
      <c r="M1832" t="n">
        <v>0</v>
      </c>
      <c r="N1832" t="n">
        <v>0</v>
      </c>
      <c r="O1832" t="n">
        <v>0</v>
      </c>
      <c r="P1832" t="n">
        <v>0</v>
      </c>
      <c r="Q1832" t="n">
        <v>0</v>
      </c>
      <c r="R1832" s="2" t="inlineStr"/>
    </row>
    <row r="1833" ht="15" customHeight="1">
      <c r="A1833" t="inlineStr">
        <is>
          <t>A 21774-2021</t>
        </is>
      </c>
      <c r="B1833" s="1" t="n">
        <v>44322</v>
      </c>
      <c r="C1833" s="1" t="n">
        <v>45952</v>
      </c>
      <c r="D1833" t="inlineStr">
        <is>
          <t>VÄSTRA GÖTALANDS LÄN</t>
        </is>
      </c>
      <c r="E1833" t="inlineStr">
        <is>
          <t>FALKÖPING</t>
        </is>
      </c>
      <c r="G1833" t="n">
        <v>4.1</v>
      </c>
      <c r="H1833" t="n">
        <v>0</v>
      </c>
      <c r="I1833" t="n">
        <v>0</v>
      </c>
      <c r="J1833" t="n">
        <v>0</v>
      </c>
      <c r="K1833" t="n">
        <v>0</v>
      </c>
      <c r="L1833" t="n">
        <v>0</v>
      </c>
      <c r="M1833" t="n">
        <v>0</v>
      </c>
      <c r="N1833" t="n">
        <v>0</v>
      </c>
      <c r="O1833" t="n">
        <v>0</v>
      </c>
      <c r="P1833" t="n">
        <v>0</v>
      </c>
      <c r="Q1833" t="n">
        <v>0</v>
      </c>
      <c r="R1833" s="2" t="inlineStr"/>
    </row>
    <row r="1834" ht="15" customHeight="1">
      <c r="A1834" t="inlineStr">
        <is>
          <t>A 3356-2021</t>
        </is>
      </c>
      <c r="B1834" s="1" t="n">
        <v>44218</v>
      </c>
      <c r="C1834" s="1" t="n">
        <v>45952</v>
      </c>
      <c r="D1834" t="inlineStr">
        <is>
          <t>VÄSTRA GÖTALANDS LÄN</t>
        </is>
      </c>
      <c r="E1834" t="inlineStr">
        <is>
          <t>SVENLJUNGA</t>
        </is>
      </c>
      <c r="G1834" t="n">
        <v>1</v>
      </c>
      <c r="H1834" t="n">
        <v>0</v>
      </c>
      <c r="I1834" t="n">
        <v>0</v>
      </c>
      <c r="J1834" t="n">
        <v>0</v>
      </c>
      <c r="K1834" t="n">
        <v>0</v>
      </c>
      <c r="L1834" t="n">
        <v>0</v>
      </c>
      <c r="M1834" t="n">
        <v>0</v>
      </c>
      <c r="N1834" t="n">
        <v>0</v>
      </c>
      <c r="O1834" t="n">
        <v>0</v>
      </c>
      <c r="P1834" t="n">
        <v>0</v>
      </c>
      <c r="Q1834" t="n">
        <v>0</v>
      </c>
      <c r="R1834" s="2" t="inlineStr"/>
    </row>
    <row r="1835" ht="15" customHeight="1">
      <c r="A1835" t="inlineStr">
        <is>
          <t>A 14716-2021</t>
        </is>
      </c>
      <c r="B1835" s="1" t="n">
        <v>44280</v>
      </c>
      <c r="C1835" s="1" t="n">
        <v>45952</v>
      </c>
      <c r="D1835" t="inlineStr">
        <is>
          <t>VÄSTRA GÖTALANDS LÄN</t>
        </is>
      </c>
      <c r="E1835" t="inlineStr">
        <is>
          <t>LILLA EDET</t>
        </is>
      </c>
      <c r="F1835" t="inlineStr">
        <is>
          <t>Kommuner</t>
        </is>
      </c>
      <c r="G1835" t="n">
        <v>2.5</v>
      </c>
      <c r="H1835" t="n">
        <v>0</v>
      </c>
      <c r="I1835" t="n">
        <v>0</v>
      </c>
      <c r="J1835" t="n">
        <v>0</v>
      </c>
      <c r="K1835" t="n">
        <v>0</v>
      </c>
      <c r="L1835" t="n">
        <v>0</v>
      </c>
      <c r="M1835" t="n">
        <v>0</v>
      </c>
      <c r="N1835" t="n">
        <v>0</v>
      </c>
      <c r="O1835" t="n">
        <v>0</v>
      </c>
      <c r="P1835" t="n">
        <v>0</v>
      </c>
      <c r="Q1835" t="n">
        <v>0</v>
      </c>
      <c r="R1835" s="2" t="inlineStr"/>
    </row>
    <row r="1836" ht="15" customHeight="1">
      <c r="A1836" t="inlineStr">
        <is>
          <t>A 47692-2021</t>
        </is>
      </c>
      <c r="B1836" s="1" t="n">
        <v>44448</v>
      </c>
      <c r="C1836" s="1" t="n">
        <v>45952</v>
      </c>
      <c r="D1836" t="inlineStr">
        <is>
          <t>VÄSTRA GÖTALANDS LÄN</t>
        </is>
      </c>
      <c r="E1836" t="inlineStr">
        <is>
          <t>KARLSBORG</t>
        </is>
      </c>
      <c r="G1836" t="n">
        <v>2.7</v>
      </c>
      <c r="H1836" t="n">
        <v>0</v>
      </c>
      <c r="I1836" t="n">
        <v>0</v>
      </c>
      <c r="J1836" t="n">
        <v>0</v>
      </c>
      <c r="K1836" t="n">
        <v>0</v>
      </c>
      <c r="L1836" t="n">
        <v>0</v>
      </c>
      <c r="M1836" t="n">
        <v>0</v>
      </c>
      <c r="N1836" t="n">
        <v>0</v>
      </c>
      <c r="O1836" t="n">
        <v>0</v>
      </c>
      <c r="P1836" t="n">
        <v>0</v>
      </c>
      <c r="Q1836" t="n">
        <v>0</v>
      </c>
      <c r="R1836" s="2" t="inlineStr"/>
    </row>
    <row r="1837" ht="15" customHeight="1">
      <c r="A1837" t="inlineStr">
        <is>
          <t>A 28186-2021</t>
        </is>
      </c>
      <c r="B1837" s="1" t="n">
        <v>44355</v>
      </c>
      <c r="C1837" s="1" t="n">
        <v>45952</v>
      </c>
      <c r="D1837" t="inlineStr">
        <is>
          <t>VÄSTRA GÖTALANDS LÄN</t>
        </is>
      </c>
      <c r="E1837" t="inlineStr">
        <is>
          <t>UDDEVALLA</t>
        </is>
      </c>
      <c r="G1837" t="n">
        <v>9.199999999999999</v>
      </c>
      <c r="H1837" t="n">
        <v>0</v>
      </c>
      <c r="I1837" t="n">
        <v>0</v>
      </c>
      <c r="J1837" t="n">
        <v>0</v>
      </c>
      <c r="K1837" t="n">
        <v>0</v>
      </c>
      <c r="L1837" t="n">
        <v>0</v>
      </c>
      <c r="M1837" t="n">
        <v>0</v>
      </c>
      <c r="N1837" t="n">
        <v>0</v>
      </c>
      <c r="O1837" t="n">
        <v>0</v>
      </c>
      <c r="P1837" t="n">
        <v>0</v>
      </c>
      <c r="Q1837" t="n">
        <v>0</v>
      </c>
      <c r="R1837" s="2" t="inlineStr"/>
    </row>
    <row r="1838" ht="15" customHeight="1">
      <c r="A1838" t="inlineStr">
        <is>
          <t>A 28231-2021</t>
        </is>
      </c>
      <c r="B1838" s="1" t="n">
        <v>44355</v>
      </c>
      <c r="C1838" s="1" t="n">
        <v>45952</v>
      </c>
      <c r="D1838" t="inlineStr">
        <is>
          <t>VÄSTRA GÖTALANDS LÄN</t>
        </is>
      </c>
      <c r="E1838" t="inlineStr">
        <is>
          <t>GÖTENE</t>
        </is>
      </c>
      <c r="G1838" t="n">
        <v>2.4</v>
      </c>
      <c r="H1838" t="n">
        <v>0</v>
      </c>
      <c r="I1838" t="n">
        <v>0</v>
      </c>
      <c r="J1838" t="n">
        <v>0</v>
      </c>
      <c r="K1838" t="n">
        <v>0</v>
      </c>
      <c r="L1838" t="n">
        <v>0</v>
      </c>
      <c r="M1838" t="n">
        <v>0</v>
      </c>
      <c r="N1838" t="n">
        <v>0</v>
      </c>
      <c r="O1838" t="n">
        <v>0</v>
      </c>
      <c r="P1838" t="n">
        <v>0</v>
      </c>
      <c r="Q1838" t="n">
        <v>0</v>
      </c>
      <c r="R1838" s="2" t="inlineStr"/>
    </row>
    <row r="1839" ht="15" customHeight="1">
      <c r="A1839" t="inlineStr">
        <is>
          <t>A 28233-2021</t>
        </is>
      </c>
      <c r="B1839" s="1" t="n">
        <v>44355</v>
      </c>
      <c r="C1839" s="1" t="n">
        <v>45952</v>
      </c>
      <c r="D1839" t="inlineStr">
        <is>
          <t>VÄSTRA GÖTALANDS LÄN</t>
        </is>
      </c>
      <c r="E1839" t="inlineStr">
        <is>
          <t>GÖTENE</t>
        </is>
      </c>
      <c r="G1839" t="n">
        <v>1.3</v>
      </c>
      <c r="H1839" t="n">
        <v>0</v>
      </c>
      <c r="I1839" t="n">
        <v>0</v>
      </c>
      <c r="J1839" t="n">
        <v>0</v>
      </c>
      <c r="K1839" t="n">
        <v>0</v>
      </c>
      <c r="L1839" t="n">
        <v>0</v>
      </c>
      <c r="M1839" t="n">
        <v>0</v>
      </c>
      <c r="N1839" t="n">
        <v>0</v>
      </c>
      <c r="O1839" t="n">
        <v>0</v>
      </c>
      <c r="P1839" t="n">
        <v>0</v>
      </c>
      <c r="Q1839" t="n">
        <v>0</v>
      </c>
      <c r="R1839" s="2" t="inlineStr"/>
    </row>
    <row r="1840" ht="15" customHeight="1">
      <c r="A1840" t="inlineStr">
        <is>
          <t>A 43328-2021</t>
        </is>
      </c>
      <c r="B1840" s="1" t="n">
        <v>44431</v>
      </c>
      <c r="C1840" s="1" t="n">
        <v>45952</v>
      </c>
      <c r="D1840" t="inlineStr">
        <is>
          <t>VÄSTRA GÖTALANDS LÄN</t>
        </is>
      </c>
      <c r="E1840" t="inlineStr">
        <is>
          <t>TIDAHOLM</t>
        </is>
      </c>
      <c r="G1840" t="n">
        <v>0.8</v>
      </c>
      <c r="H1840" t="n">
        <v>0</v>
      </c>
      <c r="I1840" t="n">
        <v>0</v>
      </c>
      <c r="J1840" t="n">
        <v>0</v>
      </c>
      <c r="K1840" t="n">
        <v>0</v>
      </c>
      <c r="L1840" t="n">
        <v>0</v>
      </c>
      <c r="M1840" t="n">
        <v>0</v>
      </c>
      <c r="N1840" t="n">
        <v>0</v>
      </c>
      <c r="O1840" t="n">
        <v>0</v>
      </c>
      <c r="P1840" t="n">
        <v>0</v>
      </c>
      <c r="Q1840" t="n">
        <v>0</v>
      </c>
      <c r="R1840" s="2" t="inlineStr"/>
    </row>
    <row r="1841" ht="15" customHeight="1">
      <c r="A1841" t="inlineStr">
        <is>
          <t>A 23800-2022</t>
        </is>
      </c>
      <c r="B1841" s="1" t="n">
        <v>44722</v>
      </c>
      <c r="C1841" s="1" t="n">
        <v>45952</v>
      </c>
      <c r="D1841" t="inlineStr">
        <is>
          <t>VÄSTRA GÖTALANDS LÄN</t>
        </is>
      </c>
      <c r="E1841" t="inlineStr">
        <is>
          <t>TANUM</t>
        </is>
      </c>
      <c r="G1841" t="n">
        <v>0.2</v>
      </c>
      <c r="H1841" t="n">
        <v>0</v>
      </c>
      <c r="I1841" t="n">
        <v>0</v>
      </c>
      <c r="J1841" t="n">
        <v>0</v>
      </c>
      <c r="K1841" t="n">
        <v>0</v>
      </c>
      <c r="L1841" t="n">
        <v>0</v>
      </c>
      <c r="M1841" t="n">
        <v>0</v>
      </c>
      <c r="N1841" t="n">
        <v>0</v>
      </c>
      <c r="O1841" t="n">
        <v>0</v>
      </c>
      <c r="P1841" t="n">
        <v>0</v>
      </c>
      <c r="Q1841" t="n">
        <v>0</v>
      </c>
      <c r="R1841" s="2" t="inlineStr"/>
    </row>
    <row r="1842" ht="15" customHeight="1">
      <c r="A1842" t="inlineStr">
        <is>
          <t>A 23365-2021</t>
        </is>
      </c>
      <c r="B1842" s="1" t="n">
        <v>44333</v>
      </c>
      <c r="C1842" s="1" t="n">
        <v>45952</v>
      </c>
      <c r="D1842" t="inlineStr">
        <is>
          <t>VÄSTRA GÖTALANDS LÄN</t>
        </is>
      </c>
      <c r="E1842" t="inlineStr">
        <is>
          <t>LYSEKIL</t>
        </is>
      </c>
      <c r="G1842" t="n">
        <v>0.2</v>
      </c>
      <c r="H1842" t="n">
        <v>0</v>
      </c>
      <c r="I1842" t="n">
        <v>0</v>
      </c>
      <c r="J1842" t="n">
        <v>0</v>
      </c>
      <c r="K1842" t="n">
        <v>0</v>
      </c>
      <c r="L1842" t="n">
        <v>0</v>
      </c>
      <c r="M1842" t="n">
        <v>0</v>
      </c>
      <c r="N1842" t="n">
        <v>0</v>
      </c>
      <c r="O1842" t="n">
        <v>0</v>
      </c>
      <c r="P1842" t="n">
        <v>0</v>
      </c>
      <c r="Q1842" t="n">
        <v>0</v>
      </c>
      <c r="R1842" s="2" t="inlineStr"/>
    </row>
    <row r="1843" ht="15" customHeight="1">
      <c r="A1843" t="inlineStr">
        <is>
          <t>A 46068-2021</t>
        </is>
      </c>
      <c r="B1843" s="1" t="n">
        <v>44441</v>
      </c>
      <c r="C1843" s="1" t="n">
        <v>45952</v>
      </c>
      <c r="D1843" t="inlineStr">
        <is>
          <t>VÄSTRA GÖTALANDS LÄN</t>
        </is>
      </c>
      <c r="E1843" t="inlineStr">
        <is>
          <t>MUNKEDAL</t>
        </is>
      </c>
      <c r="G1843" t="n">
        <v>0.7</v>
      </c>
      <c r="H1843" t="n">
        <v>0</v>
      </c>
      <c r="I1843" t="n">
        <v>0</v>
      </c>
      <c r="J1843" t="n">
        <v>0</v>
      </c>
      <c r="K1843" t="n">
        <v>0</v>
      </c>
      <c r="L1843" t="n">
        <v>0</v>
      </c>
      <c r="M1843" t="n">
        <v>0</v>
      </c>
      <c r="N1843" t="n">
        <v>0</v>
      </c>
      <c r="O1843" t="n">
        <v>0</v>
      </c>
      <c r="P1843" t="n">
        <v>0</v>
      </c>
      <c r="Q1843" t="n">
        <v>0</v>
      </c>
      <c r="R1843" s="2" t="inlineStr"/>
    </row>
    <row r="1844" ht="15" customHeight="1">
      <c r="A1844" t="inlineStr">
        <is>
          <t>A 55644-2020</t>
        </is>
      </c>
      <c r="B1844" s="1" t="n">
        <v>44131</v>
      </c>
      <c r="C1844" s="1" t="n">
        <v>45952</v>
      </c>
      <c r="D1844" t="inlineStr">
        <is>
          <t>VÄSTRA GÖTALANDS LÄN</t>
        </is>
      </c>
      <c r="E1844" t="inlineStr">
        <is>
          <t>SKÖVDE</t>
        </is>
      </c>
      <c r="G1844" t="n">
        <v>3.1</v>
      </c>
      <c r="H1844" t="n">
        <v>0</v>
      </c>
      <c r="I1844" t="n">
        <v>0</v>
      </c>
      <c r="J1844" t="n">
        <v>0</v>
      </c>
      <c r="K1844" t="n">
        <v>0</v>
      </c>
      <c r="L1844" t="n">
        <v>0</v>
      </c>
      <c r="M1844" t="n">
        <v>0</v>
      </c>
      <c r="N1844" t="n">
        <v>0</v>
      </c>
      <c r="O1844" t="n">
        <v>0</v>
      </c>
      <c r="P1844" t="n">
        <v>0</v>
      </c>
      <c r="Q1844" t="n">
        <v>0</v>
      </c>
      <c r="R1844" s="2" t="inlineStr"/>
    </row>
    <row r="1845" ht="15" customHeight="1">
      <c r="A1845" t="inlineStr">
        <is>
          <t>A 5159-2021</t>
        </is>
      </c>
      <c r="B1845" s="1" t="n">
        <v>44228.65283564815</v>
      </c>
      <c r="C1845" s="1" t="n">
        <v>45952</v>
      </c>
      <c r="D1845" t="inlineStr">
        <is>
          <t>VÄSTRA GÖTALANDS LÄN</t>
        </is>
      </c>
      <c r="E1845" t="inlineStr">
        <is>
          <t>BENGTSFORS</t>
        </is>
      </c>
      <c r="G1845" t="n">
        <v>1.4</v>
      </c>
      <c r="H1845" t="n">
        <v>0</v>
      </c>
      <c r="I1845" t="n">
        <v>0</v>
      </c>
      <c r="J1845" t="n">
        <v>0</v>
      </c>
      <c r="K1845" t="n">
        <v>0</v>
      </c>
      <c r="L1845" t="n">
        <v>0</v>
      </c>
      <c r="M1845" t="n">
        <v>0</v>
      </c>
      <c r="N1845" t="n">
        <v>0</v>
      </c>
      <c r="O1845" t="n">
        <v>0</v>
      </c>
      <c r="P1845" t="n">
        <v>0</v>
      </c>
      <c r="Q1845" t="n">
        <v>0</v>
      </c>
      <c r="R1845" s="2" t="inlineStr"/>
    </row>
    <row r="1846" ht="15" customHeight="1">
      <c r="A1846" t="inlineStr">
        <is>
          <t>A 30687-2021</t>
        </is>
      </c>
      <c r="B1846" s="1" t="n">
        <v>44365.40762731482</v>
      </c>
      <c r="C1846" s="1" t="n">
        <v>45952</v>
      </c>
      <c r="D1846" t="inlineStr">
        <is>
          <t>VÄSTRA GÖTALANDS LÄN</t>
        </is>
      </c>
      <c r="E1846" t="inlineStr">
        <is>
          <t>SKARA</t>
        </is>
      </c>
      <c r="G1846" t="n">
        <v>0.7</v>
      </c>
      <c r="H1846" t="n">
        <v>0</v>
      </c>
      <c r="I1846" t="n">
        <v>0</v>
      </c>
      <c r="J1846" t="n">
        <v>0</v>
      </c>
      <c r="K1846" t="n">
        <v>0</v>
      </c>
      <c r="L1846" t="n">
        <v>0</v>
      </c>
      <c r="M1846" t="n">
        <v>0</v>
      </c>
      <c r="N1846" t="n">
        <v>0</v>
      </c>
      <c r="O1846" t="n">
        <v>0</v>
      </c>
      <c r="P1846" t="n">
        <v>0</v>
      </c>
      <c r="Q1846" t="n">
        <v>0</v>
      </c>
      <c r="R1846" s="2" t="inlineStr"/>
    </row>
    <row r="1847" ht="15" customHeight="1">
      <c r="A1847" t="inlineStr">
        <is>
          <t>A 63068-2021</t>
        </is>
      </c>
      <c r="B1847" s="1" t="n">
        <v>44505</v>
      </c>
      <c r="C1847" s="1" t="n">
        <v>45952</v>
      </c>
      <c r="D1847" t="inlineStr">
        <is>
          <t>VÄSTRA GÖTALANDS LÄN</t>
        </is>
      </c>
      <c r="E1847" t="inlineStr">
        <is>
          <t>BENGTSFORS</t>
        </is>
      </c>
      <c r="G1847" t="n">
        <v>2.6</v>
      </c>
      <c r="H1847" t="n">
        <v>0</v>
      </c>
      <c r="I1847" t="n">
        <v>0</v>
      </c>
      <c r="J1847" t="n">
        <v>0</v>
      </c>
      <c r="K1847" t="n">
        <v>0</v>
      </c>
      <c r="L1847" t="n">
        <v>0</v>
      </c>
      <c r="M1847" t="n">
        <v>0</v>
      </c>
      <c r="N1847" t="n">
        <v>0</v>
      </c>
      <c r="O1847" t="n">
        <v>0</v>
      </c>
      <c r="P1847" t="n">
        <v>0</v>
      </c>
      <c r="Q1847" t="n">
        <v>0</v>
      </c>
      <c r="R1847" s="2" t="inlineStr"/>
    </row>
    <row r="1848" ht="15" customHeight="1">
      <c r="A1848" t="inlineStr">
        <is>
          <t>A 53672-2021</t>
        </is>
      </c>
      <c r="B1848" s="1" t="n">
        <v>44469.45305555555</v>
      </c>
      <c r="C1848" s="1" t="n">
        <v>45952</v>
      </c>
      <c r="D1848" t="inlineStr">
        <is>
          <t>VÄSTRA GÖTALANDS LÄN</t>
        </is>
      </c>
      <c r="E1848" t="inlineStr">
        <is>
          <t>MELLERUD</t>
        </is>
      </c>
      <c r="G1848" t="n">
        <v>2.7</v>
      </c>
      <c r="H1848" t="n">
        <v>0</v>
      </c>
      <c r="I1848" t="n">
        <v>0</v>
      </c>
      <c r="J1848" t="n">
        <v>0</v>
      </c>
      <c r="K1848" t="n">
        <v>0</v>
      </c>
      <c r="L1848" t="n">
        <v>0</v>
      </c>
      <c r="M1848" t="n">
        <v>0</v>
      </c>
      <c r="N1848" t="n">
        <v>0</v>
      </c>
      <c r="O1848" t="n">
        <v>0</v>
      </c>
      <c r="P1848" t="n">
        <v>0</v>
      </c>
      <c r="Q1848" t="n">
        <v>0</v>
      </c>
      <c r="R1848" s="2" t="inlineStr"/>
    </row>
    <row r="1849" ht="15" customHeight="1">
      <c r="A1849" t="inlineStr">
        <is>
          <t>A 53700-2021</t>
        </is>
      </c>
      <c r="B1849" s="1" t="n">
        <v>44469.47734953704</v>
      </c>
      <c r="C1849" s="1" t="n">
        <v>45952</v>
      </c>
      <c r="D1849" t="inlineStr">
        <is>
          <t>VÄSTRA GÖTALANDS LÄN</t>
        </is>
      </c>
      <c r="E1849" t="inlineStr">
        <is>
          <t>KARLSBORG</t>
        </is>
      </c>
      <c r="G1849" t="n">
        <v>2.4</v>
      </c>
      <c r="H1849" t="n">
        <v>0</v>
      </c>
      <c r="I1849" t="n">
        <v>0</v>
      </c>
      <c r="J1849" t="n">
        <v>0</v>
      </c>
      <c r="K1849" t="n">
        <v>0</v>
      </c>
      <c r="L1849" t="n">
        <v>0</v>
      </c>
      <c r="M1849" t="n">
        <v>0</v>
      </c>
      <c r="N1849" t="n">
        <v>0</v>
      </c>
      <c r="O1849" t="n">
        <v>0</v>
      </c>
      <c r="P1849" t="n">
        <v>0</v>
      </c>
      <c r="Q1849" t="n">
        <v>0</v>
      </c>
      <c r="R1849" s="2" t="inlineStr"/>
    </row>
    <row r="1850" ht="15" customHeight="1">
      <c r="A1850" t="inlineStr">
        <is>
          <t>A 4892-2022</t>
        </is>
      </c>
      <c r="B1850" s="1" t="n">
        <v>44593.37697916666</v>
      </c>
      <c r="C1850" s="1" t="n">
        <v>45952</v>
      </c>
      <c r="D1850" t="inlineStr">
        <is>
          <t>VÄSTRA GÖTALANDS LÄN</t>
        </is>
      </c>
      <c r="E1850" t="inlineStr">
        <is>
          <t>FÄRGELANDA</t>
        </is>
      </c>
      <c r="F1850" t="inlineStr">
        <is>
          <t>Kommuner</t>
        </is>
      </c>
      <c r="G1850" t="n">
        <v>1</v>
      </c>
      <c r="H1850" t="n">
        <v>0</v>
      </c>
      <c r="I1850" t="n">
        <v>0</v>
      </c>
      <c r="J1850" t="n">
        <v>0</v>
      </c>
      <c r="K1850" t="n">
        <v>0</v>
      </c>
      <c r="L1850" t="n">
        <v>0</v>
      </c>
      <c r="M1850" t="n">
        <v>0</v>
      </c>
      <c r="N1850" t="n">
        <v>0</v>
      </c>
      <c r="O1850" t="n">
        <v>0</v>
      </c>
      <c r="P1850" t="n">
        <v>0</v>
      </c>
      <c r="Q1850" t="n">
        <v>0</v>
      </c>
      <c r="R1850" s="2" t="inlineStr"/>
    </row>
    <row r="1851" ht="15" customHeight="1">
      <c r="A1851" t="inlineStr">
        <is>
          <t>A 24151-2022</t>
        </is>
      </c>
      <c r="B1851" s="1" t="n">
        <v>44725</v>
      </c>
      <c r="C1851" s="1" t="n">
        <v>45952</v>
      </c>
      <c r="D1851" t="inlineStr">
        <is>
          <t>VÄSTRA GÖTALANDS LÄN</t>
        </is>
      </c>
      <c r="E1851" t="inlineStr">
        <is>
          <t>MARK</t>
        </is>
      </c>
      <c r="G1851" t="n">
        <v>1.7</v>
      </c>
      <c r="H1851" t="n">
        <v>0</v>
      </c>
      <c r="I1851" t="n">
        <v>0</v>
      </c>
      <c r="J1851" t="n">
        <v>0</v>
      </c>
      <c r="K1851" t="n">
        <v>0</v>
      </c>
      <c r="L1851" t="n">
        <v>0</v>
      </c>
      <c r="M1851" t="n">
        <v>0</v>
      </c>
      <c r="N1851" t="n">
        <v>0</v>
      </c>
      <c r="O1851" t="n">
        <v>0</v>
      </c>
      <c r="P1851" t="n">
        <v>0</v>
      </c>
      <c r="Q1851" t="n">
        <v>0</v>
      </c>
      <c r="R1851" s="2" t="inlineStr"/>
    </row>
    <row r="1852" ht="15" customHeight="1">
      <c r="A1852" t="inlineStr">
        <is>
          <t>A 29341-2022</t>
        </is>
      </c>
      <c r="B1852" s="1" t="n">
        <v>44752.93924768519</v>
      </c>
      <c r="C1852" s="1" t="n">
        <v>45952</v>
      </c>
      <c r="D1852" t="inlineStr">
        <is>
          <t>VÄSTRA GÖTALANDS LÄN</t>
        </is>
      </c>
      <c r="E1852" t="inlineStr">
        <is>
          <t>MELLERUD</t>
        </is>
      </c>
      <c r="G1852" t="n">
        <v>3.9</v>
      </c>
      <c r="H1852" t="n">
        <v>0</v>
      </c>
      <c r="I1852" t="n">
        <v>0</v>
      </c>
      <c r="J1852" t="n">
        <v>0</v>
      </c>
      <c r="K1852" t="n">
        <v>0</v>
      </c>
      <c r="L1852" t="n">
        <v>0</v>
      </c>
      <c r="M1852" t="n">
        <v>0</v>
      </c>
      <c r="N1852" t="n">
        <v>0</v>
      </c>
      <c r="O1852" t="n">
        <v>0</v>
      </c>
      <c r="P1852" t="n">
        <v>0</v>
      </c>
      <c r="Q1852" t="n">
        <v>0</v>
      </c>
      <c r="R1852" s="2" t="inlineStr"/>
    </row>
    <row r="1853" ht="15" customHeight="1">
      <c r="A1853" t="inlineStr">
        <is>
          <t>A 29352-2022</t>
        </is>
      </c>
      <c r="B1853" s="1" t="n">
        <v>44753.35193287037</v>
      </c>
      <c r="C1853" s="1" t="n">
        <v>45952</v>
      </c>
      <c r="D1853" t="inlineStr">
        <is>
          <t>VÄSTRA GÖTALANDS LÄN</t>
        </is>
      </c>
      <c r="E1853" t="inlineStr">
        <is>
          <t>VÄNERSBORG</t>
        </is>
      </c>
      <c r="G1853" t="n">
        <v>0.9</v>
      </c>
      <c r="H1853" t="n">
        <v>0</v>
      </c>
      <c r="I1853" t="n">
        <v>0</v>
      </c>
      <c r="J1853" t="n">
        <v>0</v>
      </c>
      <c r="K1853" t="n">
        <v>0</v>
      </c>
      <c r="L1853" t="n">
        <v>0</v>
      </c>
      <c r="M1853" t="n">
        <v>0</v>
      </c>
      <c r="N1853" t="n">
        <v>0</v>
      </c>
      <c r="O1853" t="n">
        <v>0</v>
      </c>
      <c r="P1853" t="n">
        <v>0</v>
      </c>
      <c r="Q1853" t="n">
        <v>0</v>
      </c>
      <c r="R1853" s="2" t="inlineStr"/>
    </row>
    <row r="1854" ht="15" customHeight="1">
      <c r="A1854" t="inlineStr">
        <is>
          <t>A 54197-2021</t>
        </is>
      </c>
      <c r="B1854" s="1" t="n">
        <v>44470</v>
      </c>
      <c r="C1854" s="1" t="n">
        <v>45952</v>
      </c>
      <c r="D1854" t="inlineStr">
        <is>
          <t>VÄSTRA GÖTALANDS LÄN</t>
        </is>
      </c>
      <c r="E1854" t="inlineStr">
        <is>
          <t>TANUM</t>
        </is>
      </c>
      <c r="G1854" t="n">
        <v>2</v>
      </c>
      <c r="H1854" t="n">
        <v>0</v>
      </c>
      <c r="I1854" t="n">
        <v>0</v>
      </c>
      <c r="J1854" t="n">
        <v>0</v>
      </c>
      <c r="K1854" t="n">
        <v>0</v>
      </c>
      <c r="L1854" t="n">
        <v>0</v>
      </c>
      <c r="M1854" t="n">
        <v>0</v>
      </c>
      <c r="N1854" t="n">
        <v>0</v>
      </c>
      <c r="O1854" t="n">
        <v>0</v>
      </c>
      <c r="P1854" t="n">
        <v>0</v>
      </c>
      <c r="Q1854" t="n">
        <v>0</v>
      </c>
      <c r="R1854" s="2" t="inlineStr"/>
    </row>
    <row r="1855" ht="15" customHeight="1">
      <c r="A1855" t="inlineStr">
        <is>
          <t>A 9528-2022</t>
        </is>
      </c>
      <c r="B1855" s="1" t="n">
        <v>44617</v>
      </c>
      <c r="C1855" s="1" t="n">
        <v>45952</v>
      </c>
      <c r="D1855" t="inlineStr">
        <is>
          <t>VÄSTRA GÖTALANDS LÄN</t>
        </is>
      </c>
      <c r="E1855" t="inlineStr">
        <is>
          <t>LIDKÖPING</t>
        </is>
      </c>
      <c r="G1855" t="n">
        <v>20.3</v>
      </c>
      <c r="H1855" t="n">
        <v>0</v>
      </c>
      <c r="I1855" t="n">
        <v>0</v>
      </c>
      <c r="J1855" t="n">
        <v>0</v>
      </c>
      <c r="K1855" t="n">
        <v>0</v>
      </c>
      <c r="L1855" t="n">
        <v>0</v>
      </c>
      <c r="M1855" t="n">
        <v>0</v>
      </c>
      <c r="N1855" t="n">
        <v>0</v>
      </c>
      <c r="O1855" t="n">
        <v>0</v>
      </c>
      <c r="P1855" t="n">
        <v>0</v>
      </c>
      <c r="Q1855" t="n">
        <v>0</v>
      </c>
      <c r="R1855" s="2" t="inlineStr"/>
    </row>
    <row r="1856" ht="15" customHeight="1">
      <c r="A1856" t="inlineStr">
        <is>
          <t>A 35768-2021</t>
        </is>
      </c>
      <c r="B1856" s="1" t="n">
        <v>44386</v>
      </c>
      <c r="C1856" s="1" t="n">
        <v>45952</v>
      </c>
      <c r="D1856" t="inlineStr">
        <is>
          <t>VÄSTRA GÖTALANDS LÄN</t>
        </is>
      </c>
      <c r="E1856" t="inlineStr">
        <is>
          <t>SKARA</t>
        </is>
      </c>
      <c r="G1856" t="n">
        <v>1.1</v>
      </c>
      <c r="H1856" t="n">
        <v>0</v>
      </c>
      <c r="I1856" t="n">
        <v>0</v>
      </c>
      <c r="J1856" t="n">
        <v>0</v>
      </c>
      <c r="K1856" t="n">
        <v>0</v>
      </c>
      <c r="L1856" t="n">
        <v>0</v>
      </c>
      <c r="M1856" t="n">
        <v>0</v>
      </c>
      <c r="N1856" t="n">
        <v>0</v>
      </c>
      <c r="O1856" t="n">
        <v>0</v>
      </c>
      <c r="P1856" t="n">
        <v>0</v>
      </c>
      <c r="Q1856" t="n">
        <v>0</v>
      </c>
      <c r="R1856" s="2" t="inlineStr"/>
    </row>
    <row r="1857" ht="15" customHeight="1">
      <c r="A1857" t="inlineStr">
        <is>
          <t>A 24135-2022</t>
        </is>
      </c>
      <c r="B1857" s="1" t="n">
        <v>44725</v>
      </c>
      <c r="C1857" s="1" t="n">
        <v>45952</v>
      </c>
      <c r="D1857" t="inlineStr">
        <is>
          <t>VÄSTRA GÖTALANDS LÄN</t>
        </is>
      </c>
      <c r="E1857" t="inlineStr">
        <is>
          <t>SVENLJUNGA</t>
        </is>
      </c>
      <c r="G1857" t="n">
        <v>0.5</v>
      </c>
      <c r="H1857" t="n">
        <v>0</v>
      </c>
      <c r="I1857" t="n">
        <v>0</v>
      </c>
      <c r="J1857" t="n">
        <v>0</v>
      </c>
      <c r="K1857" t="n">
        <v>0</v>
      </c>
      <c r="L1857" t="n">
        <v>0</v>
      </c>
      <c r="M1857" t="n">
        <v>0</v>
      </c>
      <c r="N1857" t="n">
        <v>0</v>
      </c>
      <c r="O1857" t="n">
        <v>0</v>
      </c>
      <c r="P1857" t="n">
        <v>0</v>
      </c>
      <c r="Q1857" t="n">
        <v>0</v>
      </c>
      <c r="R1857" s="2" t="inlineStr"/>
    </row>
    <row r="1858" ht="15" customHeight="1">
      <c r="A1858" t="inlineStr">
        <is>
          <t>A 19714-2021</t>
        </is>
      </c>
      <c r="B1858" s="1" t="n">
        <v>44312</v>
      </c>
      <c r="C1858" s="1" t="n">
        <v>45952</v>
      </c>
      <c r="D1858" t="inlineStr">
        <is>
          <t>VÄSTRA GÖTALANDS LÄN</t>
        </is>
      </c>
      <c r="E1858" t="inlineStr">
        <is>
          <t>TRANEMO</t>
        </is>
      </c>
      <c r="G1858" t="n">
        <v>2.7</v>
      </c>
      <c r="H1858" t="n">
        <v>0</v>
      </c>
      <c r="I1858" t="n">
        <v>0</v>
      </c>
      <c r="J1858" t="n">
        <v>0</v>
      </c>
      <c r="K1858" t="n">
        <v>0</v>
      </c>
      <c r="L1858" t="n">
        <v>0</v>
      </c>
      <c r="M1858" t="n">
        <v>0</v>
      </c>
      <c r="N1858" t="n">
        <v>0</v>
      </c>
      <c r="O1858" t="n">
        <v>0</v>
      </c>
      <c r="P1858" t="n">
        <v>0</v>
      </c>
      <c r="Q1858" t="n">
        <v>0</v>
      </c>
      <c r="R1858" s="2" t="inlineStr"/>
    </row>
    <row r="1859" ht="15" customHeight="1">
      <c r="A1859" t="inlineStr">
        <is>
          <t>A 18287-2021</t>
        </is>
      </c>
      <c r="B1859" s="1" t="n">
        <v>44305</v>
      </c>
      <c r="C1859" s="1" t="n">
        <v>45952</v>
      </c>
      <c r="D1859" t="inlineStr">
        <is>
          <t>VÄSTRA GÖTALANDS LÄN</t>
        </is>
      </c>
      <c r="E1859" t="inlineStr">
        <is>
          <t>MELLERUD</t>
        </is>
      </c>
      <c r="G1859" t="n">
        <v>2.1</v>
      </c>
      <c r="H1859" t="n">
        <v>0</v>
      </c>
      <c r="I1859" t="n">
        <v>0</v>
      </c>
      <c r="J1859" t="n">
        <v>0</v>
      </c>
      <c r="K1859" t="n">
        <v>0</v>
      </c>
      <c r="L1859" t="n">
        <v>0</v>
      </c>
      <c r="M1859" t="n">
        <v>0</v>
      </c>
      <c r="N1859" t="n">
        <v>0</v>
      </c>
      <c r="O1859" t="n">
        <v>0</v>
      </c>
      <c r="P1859" t="n">
        <v>0</v>
      </c>
      <c r="Q1859" t="n">
        <v>0</v>
      </c>
      <c r="R1859" s="2" t="inlineStr"/>
    </row>
    <row r="1860" ht="15" customHeight="1">
      <c r="A1860" t="inlineStr">
        <is>
          <t>A 3244-2022</t>
        </is>
      </c>
      <c r="B1860" s="1" t="n">
        <v>44582</v>
      </c>
      <c r="C1860" s="1" t="n">
        <v>45952</v>
      </c>
      <c r="D1860" t="inlineStr">
        <is>
          <t>VÄSTRA GÖTALANDS LÄN</t>
        </is>
      </c>
      <c r="E1860" t="inlineStr">
        <is>
          <t>STENUNGSUND</t>
        </is>
      </c>
      <c r="G1860" t="n">
        <v>0.8</v>
      </c>
      <c r="H1860" t="n">
        <v>0</v>
      </c>
      <c r="I1860" t="n">
        <v>0</v>
      </c>
      <c r="J1860" t="n">
        <v>0</v>
      </c>
      <c r="K1860" t="n">
        <v>0</v>
      </c>
      <c r="L1860" t="n">
        <v>0</v>
      </c>
      <c r="M1860" t="n">
        <v>0</v>
      </c>
      <c r="N1860" t="n">
        <v>0</v>
      </c>
      <c r="O1860" t="n">
        <v>0</v>
      </c>
      <c r="P1860" t="n">
        <v>0</v>
      </c>
      <c r="Q1860" t="n">
        <v>0</v>
      </c>
      <c r="R1860" s="2" t="inlineStr"/>
    </row>
    <row r="1861" ht="15" customHeight="1">
      <c r="A1861" t="inlineStr">
        <is>
          <t>A 21436-2021</t>
        </is>
      </c>
      <c r="B1861" s="1" t="n">
        <v>44318</v>
      </c>
      <c r="C1861" s="1" t="n">
        <v>45952</v>
      </c>
      <c r="D1861" t="inlineStr">
        <is>
          <t>VÄSTRA GÖTALANDS LÄN</t>
        </is>
      </c>
      <c r="E1861" t="inlineStr">
        <is>
          <t>TIBRO</t>
        </is>
      </c>
      <c r="G1861" t="n">
        <v>0.8</v>
      </c>
      <c r="H1861" t="n">
        <v>0</v>
      </c>
      <c r="I1861" t="n">
        <v>0</v>
      </c>
      <c r="J1861" t="n">
        <v>0</v>
      </c>
      <c r="K1861" t="n">
        <v>0</v>
      </c>
      <c r="L1861" t="n">
        <v>0</v>
      </c>
      <c r="M1861" t="n">
        <v>0</v>
      </c>
      <c r="N1861" t="n">
        <v>0</v>
      </c>
      <c r="O1861" t="n">
        <v>0</v>
      </c>
      <c r="P1861" t="n">
        <v>0</v>
      </c>
      <c r="Q1861" t="n">
        <v>0</v>
      </c>
      <c r="R1861" s="2" t="inlineStr"/>
    </row>
    <row r="1862" ht="15" customHeight="1">
      <c r="A1862" t="inlineStr">
        <is>
          <t>A 48893-2021</t>
        </is>
      </c>
      <c r="B1862" s="1" t="n">
        <v>44452</v>
      </c>
      <c r="C1862" s="1" t="n">
        <v>45952</v>
      </c>
      <c r="D1862" t="inlineStr">
        <is>
          <t>VÄSTRA GÖTALANDS LÄN</t>
        </is>
      </c>
      <c r="E1862" t="inlineStr">
        <is>
          <t>HERRLJUNGA</t>
        </is>
      </c>
      <c r="G1862" t="n">
        <v>1.9</v>
      </c>
      <c r="H1862" t="n">
        <v>0</v>
      </c>
      <c r="I1862" t="n">
        <v>0</v>
      </c>
      <c r="J1862" t="n">
        <v>0</v>
      </c>
      <c r="K1862" t="n">
        <v>0</v>
      </c>
      <c r="L1862" t="n">
        <v>0</v>
      </c>
      <c r="M1862" t="n">
        <v>0</v>
      </c>
      <c r="N1862" t="n">
        <v>0</v>
      </c>
      <c r="O1862" t="n">
        <v>0</v>
      </c>
      <c r="P1862" t="n">
        <v>0</v>
      </c>
      <c r="Q1862" t="n">
        <v>0</v>
      </c>
      <c r="R1862" s="2" t="inlineStr"/>
    </row>
    <row r="1863" ht="15" customHeight="1">
      <c r="A1863" t="inlineStr">
        <is>
          <t>A 33957-2022</t>
        </is>
      </c>
      <c r="B1863" s="1" t="n">
        <v>44790.6769212963</v>
      </c>
      <c r="C1863" s="1" t="n">
        <v>45952</v>
      </c>
      <c r="D1863" t="inlineStr">
        <is>
          <t>VÄSTRA GÖTALANDS LÄN</t>
        </is>
      </c>
      <c r="E1863" t="inlineStr">
        <is>
          <t>HERRLJUNGA</t>
        </is>
      </c>
      <c r="G1863" t="n">
        <v>0.8</v>
      </c>
      <c r="H1863" t="n">
        <v>0</v>
      </c>
      <c r="I1863" t="n">
        <v>0</v>
      </c>
      <c r="J1863" t="n">
        <v>0</v>
      </c>
      <c r="K1863" t="n">
        <v>0</v>
      </c>
      <c r="L1863" t="n">
        <v>0</v>
      </c>
      <c r="M1863" t="n">
        <v>0</v>
      </c>
      <c r="N1863" t="n">
        <v>0</v>
      </c>
      <c r="O1863" t="n">
        <v>0</v>
      </c>
      <c r="P1863" t="n">
        <v>0</v>
      </c>
      <c r="Q1863" t="n">
        <v>0</v>
      </c>
      <c r="R1863" s="2" t="inlineStr"/>
    </row>
    <row r="1864" ht="15" customHeight="1">
      <c r="A1864" t="inlineStr">
        <is>
          <t>A 29755-2021</t>
        </is>
      </c>
      <c r="B1864" s="1" t="n">
        <v>44362</v>
      </c>
      <c r="C1864" s="1" t="n">
        <v>45952</v>
      </c>
      <c r="D1864" t="inlineStr">
        <is>
          <t>VÄSTRA GÖTALANDS LÄN</t>
        </is>
      </c>
      <c r="E1864" t="inlineStr">
        <is>
          <t>VÄNERSBORG</t>
        </is>
      </c>
      <c r="G1864" t="n">
        <v>3.1</v>
      </c>
      <c r="H1864" t="n">
        <v>0</v>
      </c>
      <c r="I1864" t="n">
        <v>0</v>
      </c>
      <c r="J1864" t="n">
        <v>0</v>
      </c>
      <c r="K1864" t="n">
        <v>0</v>
      </c>
      <c r="L1864" t="n">
        <v>0</v>
      </c>
      <c r="M1864" t="n">
        <v>0</v>
      </c>
      <c r="N1864" t="n">
        <v>0</v>
      </c>
      <c r="O1864" t="n">
        <v>0</v>
      </c>
      <c r="P1864" t="n">
        <v>0</v>
      </c>
      <c r="Q1864" t="n">
        <v>0</v>
      </c>
      <c r="R1864" s="2" t="inlineStr"/>
    </row>
    <row r="1865" ht="15" customHeight="1">
      <c r="A1865" t="inlineStr">
        <is>
          <t>A 54376-2020</t>
        </is>
      </c>
      <c r="B1865" s="1" t="n">
        <v>44126</v>
      </c>
      <c r="C1865" s="1" t="n">
        <v>45952</v>
      </c>
      <c r="D1865" t="inlineStr">
        <is>
          <t>VÄSTRA GÖTALANDS LÄN</t>
        </is>
      </c>
      <c r="E1865" t="inlineStr">
        <is>
          <t>TRANEMO</t>
        </is>
      </c>
      <c r="G1865" t="n">
        <v>1.7</v>
      </c>
      <c r="H1865" t="n">
        <v>0</v>
      </c>
      <c r="I1865" t="n">
        <v>0</v>
      </c>
      <c r="J1865" t="n">
        <v>0</v>
      </c>
      <c r="K1865" t="n">
        <v>0</v>
      </c>
      <c r="L1865" t="n">
        <v>0</v>
      </c>
      <c r="M1865" t="n">
        <v>0</v>
      </c>
      <c r="N1865" t="n">
        <v>0</v>
      </c>
      <c r="O1865" t="n">
        <v>0</v>
      </c>
      <c r="P1865" t="n">
        <v>0</v>
      </c>
      <c r="Q1865" t="n">
        <v>0</v>
      </c>
      <c r="R1865" s="2" t="inlineStr"/>
    </row>
    <row r="1866" ht="15" customHeight="1">
      <c r="A1866" t="inlineStr">
        <is>
          <t>A 54433-2020</t>
        </is>
      </c>
      <c r="B1866" s="1" t="n">
        <v>44126.58634259259</v>
      </c>
      <c r="C1866" s="1" t="n">
        <v>45952</v>
      </c>
      <c r="D1866" t="inlineStr">
        <is>
          <t>VÄSTRA GÖTALANDS LÄN</t>
        </is>
      </c>
      <c r="E1866" t="inlineStr">
        <is>
          <t>VÅRGÅRDA</t>
        </is>
      </c>
      <c r="G1866" t="n">
        <v>1.5</v>
      </c>
      <c r="H1866" t="n">
        <v>0</v>
      </c>
      <c r="I1866" t="n">
        <v>0</v>
      </c>
      <c r="J1866" t="n">
        <v>0</v>
      </c>
      <c r="K1866" t="n">
        <v>0</v>
      </c>
      <c r="L1866" t="n">
        <v>0</v>
      </c>
      <c r="M1866" t="n">
        <v>0</v>
      </c>
      <c r="N1866" t="n">
        <v>0</v>
      </c>
      <c r="O1866" t="n">
        <v>0</v>
      </c>
      <c r="P1866" t="n">
        <v>0</v>
      </c>
      <c r="Q1866" t="n">
        <v>0</v>
      </c>
      <c r="R1866" s="2" t="inlineStr"/>
    </row>
    <row r="1867" ht="15" customHeight="1">
      <c r="A1867" t="inlineStr">
        <is>
          <t>A 16663-2021</t>
        </is>
      </c>
      <c r="B1867" s="1" t="n">
        <v>44294</v>
      </c>
      <c r="C1867" s="1" t="n">
        <v>45952</v>
      </c>
      <c r="D1867" t="inlineStr">
        <is>
          <t>VÄSTRA GÖTALANDS LÄN</t>
        </is>
      </c>
      <c r="E1867" t="inlineStr">
        <is>
          <t>GÖTEBORG</t>
        </is>
      </c>
      <c r="G1867" t="n">
        <v>0.3</v>
      </c>
      <c r="H1867" t="n">
        <v>0</v>
      </c>
      <c r="I1867" t="n">
        <v>0</v>
      </c>
      <c r="J1867" t="n">
        <v>0</v>
      </c>
      <c r="K1867" t="n">
        <v>0</v>
      </c>
      <c r="L1867" t="n">
        <v>0</v>
      </c>
      <c r="M1867" t="n">
        <v>0</v>
      </c>
      <c r="N1867" t="n">
        <v>0</v>
      </c>
      <c r="O1867" t="n">
        <v>0</v>
      </c>
      <c r="P1867" t="n">
        <v>0</v>
      </c>
      <c r="Q1867" t="n">
        <v>0</v>
      </c>
      <c r="R1867" s="2" t="inlineStr"/>
    </row>
    <row r="1868" ht="15" customHeight="1">
      <c r="A1868" t="inlineStr">
        <is>
          <t>A 21470-2021</t>
        </is>
      </c>
      <c r="B1868" s="1" t="n">
        <v>44321.48512731482</v>
      </c>
      <c r="C1868" s="1" t="n">
        <v>45952</v>
      </c>
      <c r="D1868" t="inlineStr">
        <is>
          <t>VÄSTRA GÖTALANDS LÄN</t>
        </is>
      </c>
      <c r="E1868" t="inlineStr">
        <is>
          <t>BENGTSFORS</t>
        </is>
      </c>
      <c r="G1868" t="n">
        <v>0.9</v>
      </c>
      <c r="H1868" t="n">
        <v>0</v>
      </c>
      <c r="I1868" t="n">
        <v>0</v>
      </c>
      <c r="J1868" t="n">
        <v>0</v>
      </c>
      <c r="K1868" t="n">
        <v>0</v>
      </c>
      <c r="L1868" t="n">
        <v>0</v>
      </c>
      <c r="M1868" t="n">
        <v>0</v>
      </c>
      <c r="N1868" t="n">
        <v>0</v>
      </c>
      <c r="O1868" t="n">
        <v>0</v>
      </c>
      <c r="P1868" t="n">
        <v>0</v>
      </c>
      <c r="Q1868" t="n">
        <v>0</v>
      </c>
      <c r="R1868" s="2" t="inlineStr"/>
    </row>
    <row r="1869" ht="15" customHeight="1">
      <c r="A1869" t="inlineStr">
        <is>
          <t>A 13413-2021</t>
        </is>
      </c>
      <c r="B1869" s="1" t="n">
        <v>44273</v>
      </c>
      <c r="C1869" s="1" t="n">
        <v>45952</v>
      </c>
      <c r="D1869" t="inlineStr">
        <is>
          <t>VÄSTRA GÖTALANDS LÄN</t>
        </is>
      </c>
      <c r="E1869" t="inlineStr">
        <is>
          <t>DALS-ED</t>
        </is>
      </c>
      <c r="F1869" t="inlineStr">
        <is>
          <t>Övriga Aktiebolag</t>
        </is>
      </c>
      <c r="G1869" t="n">
        <v>4.6</v>
      </c>
      <c r="H1869" t="n">
        <v>0</v>
      </c>
      <c r="I1869" t="n">
        <v>0</v>
      </c>
      <c r="J1869" t="n">
        <v>0</v>
      </c>
      <c r="K1869" t="n">
        <v>0</v>
      </c>
      <c r="L1869" t="n">
        <v>0</v>
      </c>
      <c r="M1869" t="n">
        <v>0</v>
      </c>
      <c r="N1869" t="n">
        <v>0</v>
      </c>
      <c r="O1869" t="n">
        <v>0</v>
      </c>
      <c r="P1869" t="n">
        <v>0</v>
      </c>
      <c r="Q1869" t="n">
        <v>0</v>
      </c>
      <c r="R1869" s="2" t="inlineStr"/>
    </row>
    <row r="1870" ht="15" customHeight="1">
      <c r="A1870" t="inlineStr">
        <is>
          <t>A 13461-2021</t>
        </is>
      </c>
      <c r="B1870" s="1" t="n">
        <v>44273.60354166666</v>
      </c>
      <c r="C1870" s="1" t="n">
        <v>45952</v>
      </c>
      <c r="D1870" t="inlineStr">
        <is>
          <t>VÄSTRA GÖTALANDS LÄN</t>
        </is>
      </c>
      <c r="E1870" t="inlineStr">
        <is>
          <t>TIBRO</t>
        </is>
      </c>
      <c r="G1870" t="n">
        <v>0.9</v>
      </c>
      <c r="H1870" t="n">
        <v>0</v>
      </c>
      <c r="I1870" t="n">
        <v>0</v>
      </c>
      <c r="J1870" t="n">
        <v>0</v>
      </c>
      <c r="K1870" t="n">
        <v>0</v>
      </c>
      <c r="L1870" t="n">
        <v>0</v>
      </c>
      <c r="M1870" t="n">
        <v>0</v>
      </c>
      <c r="N1870" t="n">
        <v>0</v>
      </c>
      <c r="O1870" t="n">
        <v>0</v>
      </c>
      <c r="P1870" t="n">
        <v>0</v>
      </c>
      <c r="Q1870" t="n">
        <v>0</v>
      </c>
      <c r="R1870" s="2" t="inlineStr"/>
    </row>
    <row r="1871" ht="15" customHeight="1">
      <c r="A1871" t="inlineStr">
        <is>
          <t>A 39730-2021</t>
        </is>
      </c>
      <c r="B1871" s="1" t="n">
        <v>44417.48297453704</v>
      </c>
      <c r="C1871" s="1" t="n">
        <v>45952</v>
      </c>
      <c r="D1871" t="inlineStr">
        <is>
          <t>VÄSTRA GÖTALANDS LÄN</t>
        </is>
      </c>
      <c r="E1871" t="inlineStr">
        <is>
          <t>HERRLJUNGA</t>
        </is>
      </c>
      <c r="G1871" t="n">
        <v>2.1</v>
      </c>
      <c r="H1871" t="n">
        <v>0</v>
      </c>
      <c r="I1871" t="n">
        <v>0</v>
      </c>
      <c r="J1871" t="n">
        <v>0</v>
      </c>
      <c r="K1871" t="n">
        <v>0</v>
      </c>
      <c r="L1871" t="n">
        <v>0</v>
      </c>
      <c r="M1871" t="n">
        <v>0</v>
      </c>
      <c r="N1871" t="n">
        <v>0</v>
      </c>
      <c r="O1871" t="n">
        <v>0</v>
      </c>
      <c r="P1871" t="n">
        <v>0</v>
      </c>
      <c r="Q1871" t="n">
        <v>0</v>
      </c>
      <c r="R1871" s="2" t="inlineStr"/>
    </row>
    <row r="1872" ht="15" customHeight="1">
      <c r="A1872" t="inlineStr">
        <is>
          <t>A 35927-2021</t>
        </is>
      </c>
      <c r="B1872" s="1" t="n">
        <v>44388.52203703704</v>
      </c>
      <c r="C1872" s="1" t="n">
        <v>45952</v>
      </c>
      <c r="D1872" t="inlineStr">
        <is>
          <t>VÄSTRA GÖTALANDS LÄN</t>
        </is>
      </c>
      <c r="E1872" t="inlineStr">
        <is>
          <t>STENUNGSUND</t>
        </is>
      </c>
      <c r="G1872" t="n">
        <v>0.9</v>
      </c>
      <c r="H1872" t="n">
        <v>0</v>
      </c>
      <c r="I1872" t="n">
        <v>0</v>
      </c>
      <c r="J1872" t="n">
        <v>0</v>
      </c>
      <c r="K1872" t="n">
        <v>0</v>
      </c>
      <c r="L1872" t="n">
        <v>0</v>
      </c>
      <c r="M1872" t="n">
        <v>0</v>
      </c>
      <c r="N1872" t="n">
        <v>0</v>
      </c>
      <c r="O1872" t="n">
        <v>0</v>
      </c>
      <c r="P1872" t="n">
        <v>0</v>
      </c>
      <c r="Q1872" t="n">
        <v>0</v>
      </c>
      <c r="R1872" s="2" t="inlineStr"/>
    </row>
    <row r="1873" ht="15" customHeight="1">
      <c r="A1873" t="inlineStr">
        <is>
          <t>A 17194-2022</t>
        </is>
      </c>
      <c r="B1873" s="1" t="n">
        <v>44677</v>
      </c>
      <c r="C1873" s="1" t="n">
        <v>45952</v>
      </c>
      <c r="D1873" t="inlineStr">
        <is>
          <t>VÄSTRA GÖTALANDS LÄN</t>
        </is>
      </c>
      <c r="E1873" t="inlineStr">
        <is>
          <t>TROLLHÄTTAN</t>
        </is>
      </c>
      <c r="G1873" t="n">
        <v>2.9</v>
      </c>
      <c r="H1873" t="n">
        <v>0</v>
      </c>
      <c r="I1873" t="n">
        <v>0</v>
      </c>
      <c r="J1873" t="n">
        <v>0</v>
      </c>
      <c r="K1873" t="n">
        <v>0</v>
      </c>
      <c r="L1873" t="n">
        <v>0</v>
      </c>
      <c r="M1873" t="n">
        <v>0</v>
      </c>
      <c r="N1873" t="n">
        <v>0</v>
      </c>
      <c r="O1873" t="n">
        <v>0</v>
      </c>
      <c r="P1873" t="n">
        <v>0</v>
      </c>
      <c r="Q1873" t="n">
        <v>0</v>
      </c>
      <c r="R1873" s="2" t="inlineStr"/>
    </row>
    <row r="1874" ht="15" customHeight="1">
      <c r="A1874" t="inlineStr">
        <is>
          <t>A 17201-2022</t>
        </is>
      </c>
      <c r="B1874" s="1" t="n">
        <v>44677</v>
      </c>
      <c r="C1874" s="1" t="n">
        <v>45952</v>
      </c>
      <c r="D1874" t="inlineStr">
        <is>
          <t>VÄSTRA GÖTALANDS LÄN</t>
        </is>
      </c>
      <c r="E1874" t="inlineStr">
        <is>
          <t>VÅRGÅRDA</t>
        </is>
      </c>
      <c r="G1874" t="n">
        <v>1.6</v>
      </c>
      <c r="H1874" t="n">
        <v>0</v>
      </c>
      <c r="I1874" t="n">
        <v>0</v>
      </c>
      <c r="J1874" t="n">
        <v>0</v>
      </c>
      <c r="K1874" t="n">
        <v>0</v>
      </c>
      <c r="L1874" t="n">
        <v>0</v>
      </c>
      <c r="M1874" t="n">
        <v>0</v>
      </c>
      <c r="N1874" t="n">
        <v>0</v>
      </c>
      <c r="O1874" t="n">
        <v>0</v>
      </c>
      <c r="P1874" t="n">
        <v>0</v>
      </c>
      <c r="Q1874" t="n">
        <v>0</v>
      </c>
      <c r="R1874" s="2" t="inlineStr"/>
    </row>
    <row r="1875" ht="15" customHeight="1">
      <c r="A1875" t="inlineStr">
        <is>
          <t>A 22704-2021</t>
        </is>
      </c>
      <c r="B1875" s="1" t="n">
        <v>44327.60472222222</v>
      </c>
      <c r="C1875" s="1" t="n">
        <v>45952</v>
      </c>
      <c r="D1875" t="inlineStr">
        <is>
          <t>VÄSTRA GÖTALANDS LÄN</t>
        </is>
      </c>
      <c r="E1875" t="inlineStr">
        <is>
          <t>TRANEMO</t>
        </is>
      </c>
      <c r="G1875" t="n">
        <v>1.2</v>
      </c>
      <c r="H1875" t="n">
        <v>0</v>
      </c>
      <c r="I1875" t="n">
        <v>0</v>
      </c>
      <c r="J1875" t="n">
        <v>0</v>
      </c>
      <c r="K1875" t="n">
        <v>0</v>
      </c>
      <c r="L1875" t="n">
        <v>0</v>
      </c>
      <c r="M1875" t="n">
        <v>0</v>
      </c>
      <c r="N1875" t="n">
        <v>0</v>
      </c>
      <c r="O1875" t="n">
        <v>0</v>
      </c>
      <c r="P1875" t="n">
        <v>0</v>
      </c>
      <c r="Q1875" t="n">
        <v>0</v>
      </c>
      <c r="R1875" s="2" t="inlineStr"/>
    </row>
    <row r="1876" ht="15" customHeight="1">
      <c r="A1876" t="inlineStr">
        <is>
          <t>A 17156-2021</t>
        </is>
      </c>
      <c r="B1876" s="1" t="n">
        <v>44298.44777777778</v>
      </c>
      <c r="C1876" s="1" t="n">
        <v>45952</v>
      </c>
      <c r="D1876" t="inlineStr">
        <is>
          <t>VÄSTRA GÖTALANDS LÄN</t>
        </is>
      </c>
      <c r="E1876" t="inlineStr">
        <is>
          <t>DALS-ED</t>
        </is>
      </c>
      <c r="G1876" t="n">
        <v>0.6</v>
      </c>
      <c r="H1876" t="n">
        <v>0</v>
      </c>
      <c r="I1876" t="n">
        <v>0</v>
      </c>
      <c r="J1876" t="n">
        <v>0</v>
      </c>
      <c r="K1876" t="n">
        <v>0</v>
      </c>
      <c r="L1876" t="n">
        <v>0</v>
      </c>
      <c r="M1876" t="n">
        <v>0</v>
      </c>
      <c r="N1876" t="n">
        <v>0</v>
      </c>
      <c r="O1876" t="n">
        <v>0</v>
      </c>
      <c r="P1876" t="n">
        <v>0</v>
      </c>
      <c r="Q1876" t="n">
        <v>0</v>
      </c>
      <c r="R1876" s="2" t="inlineStr"/>
    </row>
    <row r="1877" ht="15" customHeight="1">
      <c r="A1877" t="inlineStr">
        <is>
          <t>A 64871-2021</t>
        </is>
      </c>
      <c r="B1877" s="1" t="n">
        <v>44512</v>
      </c>
      <c r="C1877" s="1" t="n">
        <v>45952</v>
      </c>
      <c r="D1877" t="inlineStr">
        <is>
          <t>VÄSTRA GÖTALANDS LÄN</t>
        </is>
      </c>
      <c r="E1877" t="inlineStr">
        <is>
          <t>TIBRO</t>
        </is>
      </c>
      <c r="G1877" t="n">
        <v>3</v>
      </c>
      <c r="H1877" t="n">
        <v>0</v>
      </c>
      <c r="I1877" t="n">
        <v>0</v>
      </c>
      <c r="J1877" t="n">
        <v>0</v>
      </c>
      <c r="K1877" t="n">
        <v>0</v>
      </c>
      <c r="L1877" t="n">
        <v>0</v>
      </c>
      <c r="M1877" t="n">
        <v>0</v>
      </c>
      <c r="N1877" t="n">
        <v>0</v>
      </c>
      <c r="O1877" t="n">
        <v>0</v>
      </c>
      <c r="P1877" t="n">
        <v>0</v>
      </c>
      <c r="Q1877" t="n">
        <v>0</v>
      </c>
      <c r="R1877" s="2" t="inlineStr"/>
    </row>
    <row r="1878" ht="15" customHeight="1">
      <c r="A1878" t="inlineStr">
        <is>
          <t>A 64926-2021</t>
        </is>
      </c>
      <c r="B1878" s="1" t="n">
        <v>44512</v>
      </c>
      <c r="C1878" s="1" t="n">
        <v>45952</v>
      </c>
      <c r="D1878" t="inlineStr">
        <is>
          <t>VÄSTRA GÖTALANDS LÄN</t>
        </is>
      </c>
      <c r="E1878" t="inlineStr">
        <is>
          <t>TIDAHOLM</t>
        </is>
      </c>
      <c r="G1878" t="n">
        <v>1.7</v>
      </c>
      <c r="H1878" t="n">
        <v>0</v>
      </c>
      <c r="I1878" t="n">
        <v>0</v>
      </c>
      <c r="J1878" t="n">
        <v>0</v>
      </c>
      <c r="K1878" t="n">
        <v>0</v>
      </c>
      <c r="L1878" t="n">
        <v>0</v>
      </c>
      <c r="M1878" t="n">
        <v>0</v>
      </c>
      <c r="N1878" t="n">
        <v>0</v>
      </c>
      <c r="O1878" t="n">
        <v>0</v>
      </c>
      <c r="P1878" t="n">
        <v>0</v>
      </c>
      <c r="Q1878" t="n">
        <v>0</v>
      </c>
      <c r="R1878" s="2" t="inlineStr"/>
    </row>
    <row r="1879" ht="15" customHeight="1">
      <c r="A1879" t="inlineStr">
        <is>
          <t>A 27044-2021</t>
        </is>
      </c>
      <c r="B1879" s="1" t="n">
        <v>44350</v>
      </c>
      <c r="C1879" s="1" t="n">
        <v>45952</v>
      </c>
      <c r="D1879" t="inlineStr">
        <is>
          <t>VÄSTRA GÖTALANDS LÄN</t>
        </is>
      </c>
      <c r="E1879" t="inlineStr">
        <is>
          <t>SVENLJUNGA</t>
        </is>
      </c>
      <c r="F1879" t="inlineStr">
        <is>
          <t>Sveaskog</t>
        </is>
      </c>
      <c r="G1879" t="n">
        <v>0.5</v>
      </c>
      <c r="H1879" t="n">
        <v>0</v>
      </c>
      <c r="I1879" t="n">
        <v>0</v>
      </c>
      <c r="J1879" t="n">
        <v>0</v>
      </c>
      <c r="K1879" t="n">
        <v>0</v>
      </c>
      <c r="L1879" t="n">
        <v>0</v>
      </c>
      <c r="M1879" t="n">
        <v>0</v>
      </c>
      <c r="N1879" t="n">
        <v>0</v>
      </c>
      <c r="O1879" t="n">
        <v>0</v>
      </c>
      <c r="P1879" t="n">
        <v>0</v>
      </c>
      <c r="Q1879" t="n">
        <v>0</v>
      </c>
      <c r="R1879" s="2" t="inlineStr"/>
    </row>
    <row r="1880" ht="15" customHeight="1">
      <c r="A1880" t="inlineStr">
        <is>
          <t>A 58926-2021</t>
        </is>
      </c>
      <c r="B1880" s="1" t="n">
        <v>44489.80715277778</v>
      </c>
      <c r="C1880" s="1" t="n">
        <v>45952</v>
      </c>
      <c r="D1880" t="inlineStr">
        <is>
          <t>VÄSTRA GÖTALANDS LÄN</t>
        </is>
      </c>
      <c r="E1880" t="inlineStr">
        <is>
          <t>HÄRRYDA</t>
        </is>
      </c>
      <c r="G1880" t="n">
        <v>0.4</v>
      </c>
      <c r="H1880" t="n">
        <v>0</v>
      </c>
      <c r="I1880" t="n">
        <v>0</v>
      </c>
      <c r="J1880" t="n">
        <v>0</v>
      </c>
      <c r="K1880" t="n">
        <v>0</v>
      </c>
      <c r="L1880" t="n">
        <v>0</v>
      </c>
      <c r="M1880" t="n">
        <v>0</v>
      </c>
      <c r="N1880" t="n">
        <v>0</v>
      </c>
      <c r="O1880" t="n">
        <v>0</v>
      </c>
      <c r="P1880" t="n">
        <v>0</v>
      </c>
      <c r="Q1880" t="n">
        <v>0</v>
      </c>
      <c r="R1880" s="2" t="inlineStr"/>
    </row>
    <row r="1881" ht="15" customHeight="1">
      <c r="A1881" t="inlineStr">
        <is>
          <t>A 23117-2021</t>
        </is>
      </c>
      <c r="B1881" s="1" t="n">
        <v>44330.6234375</v>
      </c>
      <c r="C1881" s="1" t="n">
        <v>45952</v>
      </c>
      <c r="D1881" t="inlineStr">
        <is>
          <t>VÄSTRA GÖTALANDS LÄN</t>
        </is>
      </c>
      <c r="E1881" t="inlineStr">
        <is>
          <t>FÄRGELANDA</t>
        </is>
      </c>
      <c r="G1881" t="n">
        <v>1.1</v>
      </c>
      <c r="H1881" t="n">
        <v>0</v>
      </c>
      <c r="I1881" t="n">
        <v>0</v>
      </c>
      <c r="J1881" t="n">
        <v>0</v>
      </c>
      <c r="K1881" t="n">
        <v>0</v>
      </c>
      <c r="L1881" t="n">
        <v>0</v>
      </c>
      <c r="M1881" t="n">
        <v>0</v>
      </c>
      <c r="N1881" t="n">
        <v>0</v>
      </c>
      <c r="O1881" t="n">
        <v>0</v>
      </c>
      <c r="P1881" t="n">
        <v>0</v>
      </c>
      <c r="Q1881" t="n">
        <v>0</v>
      </c>
      <c r="R1881" s="2" t="inlineStr"/>
    </row>
    <row r="1882" ht="15" customHeight="1">
      <c r="A1882" t="inlineStr">
        <is>
          <t>A 28649-2021</t>
        </is>
      </c>
      <c r="B1882" s="1" t="n">
        <v>44357</v>
      </c>
      <c r="C1882" s="1" t="n">
        <v>45952</v>
      </c>
      <c r="D1882" t="inlineStr">
        <is>
          <t>VÄSTRA GÖTALANDS LÄN</t>
        </is>
      </c>
      <c r="E1882" t="inlineStr">
        <is>
          <t>FÄRGELANDA</t>
        </is>
      </c>
      <c r="G1882" t="n">
        <v>3.6</v>
      </c>
      <c r="H1882" t="n">
        <v>0</v>
      </c>
      <c r="I1882" t="n">
        <v>0</v>
      </c>
      <c r="J1882" t="n">
        <v>0</v>
      </c>
      <c r="K1882" t="n">
        <v>0</v>
      </c>
      <c r="L1882" t="n">
        <v>0</v>
      </c>
      <c r="M1882" t="n">
        <v>0</v>
      </c>
      <c r="N1882" t="n">
        <v>0</v>
      </c>
      <c r="O1882" t="n">
        <v>0</v>
      </c>
      <c r="P1882" t="n">
        <v>0</v>
      </c>
      <c r="Q1882" t="n">
        <v>0</v>
      </c>
      <c r="R1882" s="2" t="inlineStr"/>
    </row>
    <row r="1883" ht="15" customHeight="1">
      <c r="A1883" t="inlineStr">
        <is>
          <t>A 31559-2021</t>
        </is>
      </c>
      <c r="B1883" s="1" t="n">
        <v>44369</v>
      </c>
      <c r="C1883" s="1" t="n">
        <v>45952</v>
      </c>
      <c r="D1883" t="inlineStr">
        <is>
          <t>VÄSTRA GÖTALANDS LÄN</t>
        </is>
      </c>
      <c r="E1883" t="inlineStr">
        <is>
          <t>GÖTENE</t>
        </is>
      </c>
      <c r="G1883" t="n">
        <v>3</v>
      </c>
      <c r="H1883" t="n">
        <v>0</v>
      </c>
      <c r="I1883" t="n">
        <v>0</v>
      </c>
      <c r="J1883" t="n">
        <v>0</v>
      </c>
      <c r="K1883" t="n">
        <v>0</v>
      </c>
      <c r="L1883" t="n">
        <v>0</v>
      </c>
      <c r="M1883" t="n">
        <v>0</v>
      </c>
      <c r="N1883" t="n">
        <v>0</v>
      </c>
      <c r="O1883" t="n">
        <v>0</v>
      </c>
      <c r="P1883" t="n">
        <v>0</v>
      </c>
      <c r="Q1883" t="n">
        <v>0</v>
      </c>
      <c r="R1883" s="2" t="inlineStr"/>
    </row>
    <row r="1884" ht="15" customHeight="1">
      <c r="A1884" t="inlineStr">
        <is>
          <t>A 16857-2021</t>
        </is>
      </c>
      <c r="B1884" s="1" t="n">
        <v>44295</v>
      </c>
      <c r="C1884" s="1" t="n">
        <v>45952</v>
      </c>
      <c r="D1884" t="inlineStr">
        <is>
          <t>VÄSTRA GÖTALANDS LÄN</t>
        </is>
      </c>
      <c r="E1884" t="inlineStr">
        <is>
          <t>TANUM</t>
        </is>
      </c>
      <c r="G1884" t="n">
        <v>7.9</v>
      </c>
      <c r="H1884" t="n">
        <v>0</v>
      </c>
      <c r="I1884" t="n">
        <v>0</v>
      </c>
      <c r="J1884" t="n">
        <v>0</v>
      </c>
      <c r="K1884" t="n">
        <v>0</v>
      </c>
      <c r="L1884" t="n">
        <v>0</v>
      </c>
      <c r="M1884" t="n">
        <v>0</v>
      </c>
      <c r="N1884" t="n">
        <v>0</v>
      </c>
      <c r="O1884" t="n">
        <v>0</v>
      </c>
      <c r="P1884" t="n">
        <v>0</v>
      </c>
      <c r="Q1884" t="n">
        <v>0</v>
      </c>
      <c r="R1884" s="2" t="inlineStr"/>
    </row>
    <row r="1885" ht="15" customHeight="1">
      <c r="A1885" t="inlineStr">
        <is>
          <t>A 60706-2020</t>
        </is>
      </c>
      <c r="B1885" s="1" t="n">
        <v>44153</v>
      </c>
      <c r="C1885" s="1" t="n">
        <v>45952</v>
      </c>
      <c r="D1885" t="inlineStr">
        <is>
          <t>VÄSTRA GÖTALANDS LÄN</t>
        </is>
      </c>
      <c r="E1885" t="inlineStr">
        <is>
          <t>LERUM</t>
        </is>
      </c>
      <c r="G1885" t="n">
        <v>1.1</v>
      </c>
      <c r="H1885" t="n">
        <v>0</v>
      </c>
      <c r="I1885" t="n">
        <v>0</v>
      </c>
      <c r="J1885" t="n">
        <v>0</v>
      </c>
      <c r="K1885" t="n">
        <v>0</v>
      </c>
      <c r="L1885" t="n">
        <v>0</v>
      </c>
      <c r="M1885" t="n">
        <v>0</v>
      </c>
      <c r="N1885" t="n">
        <v>0</v>
      </c>
      <c r="O1885" t="n">
        <v>0</v>
      </c>
      <c r="P1885" t="n">
        <v>0</v>
      </c>
      <c r="Q1885" t="n">
        <v>0</v>
      </c>
      <c r="R1885" s="2" t="inlineStr"/>
    </row>
    <row r="1886" ht="15" customHeight="1">
      <c r="A1886" t="inlineStr">
        <is>
          <t>A 67265-2020</t>
        </is>
      </c>
      <c r="B1886" s="1" t="n">
        <v>44181</v>
      </c>
      <c r="C1886" s="1" t="n">
        <v>45952</v>
      </c>
      <c r="D1886" t="inlineStr">
        <is>
          <t>VÄSTRA GÖTALANDS LÄN</t>
        </is>
      </c>
      <c r="E1886" t="inlineStr">
        <is>
          <t>UDDEVALLA</t>
        </is>
      </c>
      <c r="G1886" t="n">
        <v>2.2</v>
      </c>
      <c r="H1886" t="n">
        <v>0</v>
      </c>
      <c r="I1886" t="n">
        <v>0</v>
      </c>
      <c r="J1886" t="n">
        <v>0</v>
      </c>
      <c r="K1886" t="n">
        <v>0</v>
      </c>
      <c r="L1886" t="n">
        <v>0</v>
      </c>
      <c r="M1886" t="n">
        <v>0</v>
      </c>
      <c r="N1886" t="n">
        <v>0</v>
      </c>
      <c r="O1886" t="n">
        <v>0</v>
      </c>
      <c r="P1886" t="n">
        <v>0</v>
      </c>
      <c r="Q1886" t="n">
        <v>0</v>
      </c>
      <c r="R1886" s="2" t="inlineStr"/>
    </row>
    <row r="1887" ht="15" customHeight="1">
      <c r="A1887" t="inlineStr">
        <is>
          <t>A 37512-2022</t>
        </is>
      </c>
      <c r="B1887" s="1" t="n">
        <v>44809</v>
      </c>
      <c r="C1887" s="1" t="n">
        <v>45952</v>
      </c>
      <c r="D1887" t="inlineStr">
        <is>
          <t>VÄSTRA GÖTALANDS LÄN</t>
        </is>
      </c>
      <c r="E1887" t="inlineStr">
        <is>
          <t>ALINGSÅS</t>
        </is>
      </c>
      <c r="G1887" t="n">
        <v>0.7</v>
      </c>
      <c r="H1887" t="n">
        <v>0</v>
      </c>
      <c r="I1887" t="n">
        <v>0</v>
      </c>
      <c r="J1887" t="n">
        <v>0</v>
      </c>
      <c r="K1887" t="n">
        <v>0</v>
      </c>
      <c r="L1887" t="n">
        <v>0</v>
      </c>
      <c r="M1887" t="n">
        <v>0</v>
      </c>
      <c r="N1887" t="n">
        <v>0</v>
      </c>
      <c r="O1887" t="n">
        <v>0</v>
      </c>
      <c r="P1887" t="n">
        <v>0</v>
      </c>
      <c r="Q1887" t="n">
        <v>0</v>
      </c>
      <c r="R1887" s="2" t="inlineStr"/>
    </row>
    <row r="1888" ht="15" customHeight="1">
      <c r="A1888" t="inlineStr">
        <is>
          <t>A 27009-2021</t>
        </is>
      </c>
      <c r="B1888" s="1" t="n">
        <v>44350</v>
      </c>
      <c r="C1888" s="1" t="n">
        <v>45952</v>
      </c>
      <c r="D1888" t="inlineStr">
        <is>
          <t>VÄSTRA GÖTALANDS LÄN</t>
        </is>
      </c>
      <c r="E1888" t="inlineStr">
        <is>
          <t>FALKÖPING</t>
        </is>
      </c>
      <c r="G1888" t="n">
        <v>0.3</v>
      </c>
      <c r="H1888" t="n">
        <v>0</v>
      </c>
      <c r="I1888" t="n">
        <v>0</v>
      </c>
      <c r="J1888" t="n">
        <v>0</v>
      </c>
      <c r="K1888" t="n">
        <v>0</v>
      </c>
      <c r="L1888" t="n">
        <v>0</v>
      </c>
      <c r="M1888" t="n">
        <v>0</v>
      </c>
      <c r="N1888" t="n">
        <v>0</v>
      </c>
      <c r="O1888" t="n">
        <v>0</v>
      </c>
      <c r="P1888" t="n">
        <v>0</v>
      </c>
      <c r="Q1888" t="n">
        <v>0</v>
      </c>
      <c r="R1888" s="2" t="inlineStr"/>
    </row>
    <row r="1889" ht="15" customHeight="1">
      <c r="A1889" t="inlineStr">
        <is>
          <t>A 27082-2021</t>
        </is>
      </c>
      <c r="B1889" s="1" t="n">
        <v>44350</v>
      </c>
      <c r="C1889" s="1" t="n">
        <v>45952</v>
      </c>
      <c r="D1889" t="inlineStr">
        <is>
          <t>VÄSTRA GÖTALANDS LÄN</t>
        </is>
      </c>
      <c r="E1889" t="inlineStr">
        <is>
          <t>BENGTSFORS</t>
        </is>
      </c>
      <c r="F1889" t="inlineStr">
        <is>
          <t>Kyrkan</t>
        </is>
      </c>
      <c r="G1889" t="n">
        <v>1.2</v>
      </c>
      <c r="H1889" t="n">
        <v>0</v>
      </c>
      <c r="I1889" t="n">
        <v>0</v>
      </c>
      <c r="J1889" t="n">
        <v>0</v>
      </c>
      <c r="K1889" t="n">
        <v>0</v>
      </c>
      <c r="L1889" t="n">
        <v>0</v>
      </c>
      <c r="M1889" t="n">
        <v>0</v>
      </c>
      <c r="N1889" t="n">
        <v>0</v>
      </c>
      <c r="O1889" t="n">
        <v>0</v>
      </c>
      <c r="P1889" t="n">
        <v>0</v>
      </c>
      <c r="Q1889" t="n">
        <v>0</v>
      </c>
      <c r="R1889" s="2" t="inlineStr"/>
    </row>
    <row r="1890" ht="15" customHeight="1">
      <c r="A1890" t="inlineStr">
        <is>
          <t>A 66638-2020</t>
        </is>
      </c>
      <c r="B1890" s="1" t="n">
        <v>44179</v>
      </c>
      <c r="C1890" s="1" t="n">
        <v>45952</v>
      </c>
      <c r="D1890" t="inlineStr">
        <is>
          <t>VÄSTRA GÖTALANDS LÄN</t>
        </is>
      </c>
      <c r="E1890" t="inlineStr">
        <is>
          <t>TANUM</t>
        </is>
      </c>
      <c r="G1890" t="n">
        <v>3.6</v>
      </c>
      <c r="H1890" t="n">
        <v>0</v>
      </c>
      <c r="I1890" t="n">
        <v>0</v>
      </c>
      <c r="J1890" t="n">
        <v>0</v>
      </c>
      <c r="K1890" t="n">
        <v>0</v>
      </c>
      <c r="L1890" t="n">
        <v>0</v>
      </c>
      <c r="M1890" t="n">
        <v>0</v>
      </c>
      <c r="N1890" t="n">
        <v>0</v>
      </c>
      <c r="O1890" t="n">
        <v>0</v>
      </c>
      <c r="P1890" t="n">
        <v>0</v>
      </c>
      <c r="Q1890" t="n">
        <v>0</v>
      </c>
      <c r="R1890" s="2" t="inlineStr"/>
    </row>
    <row r="1891" ht="15" customHeight="1">
      <c r="A1891" t="inlineStr">
        <is>
          <t>A 27289-2021</t>
        </is>
      </c>
      <c r="B1891" s="1" t="n">
        <v>44351.30972222222</v>
      </c>
      <c r="C1891" s="1" t="n">
        <v>45952</v>
      </c>
      <c r="D1891" t="inlineStr">
        <is>
          <t>VÄSTRA GÖTALANDS LÄN</t>
        </is>
      </c>
      <c r="E1891" t="inlineStr">
        <is>
          <t>TIBRO</t>
        </is>
      </c>
      <c r="G1891" t="n">
        <v>1.2</v>
      </c>
      <c r="H1891" t="n">
        <v>0</v>
      </c>
      <c r="I1891" t="n">
        <v>0</v>
      </c>
      <c r="J1891" t="n">
        <v>0</v>
      </c>
      <c r="K1891" t="n">
        <v>0</v>
      </c>
      <c r="L1891" t="n">
        <v>0</v>
      </c>
      <c r="M1891" t="n">
        <v>0</v>
      </c>
      <c r="N1891" t="n">
        <v>0</v>
      </c>
      <c r="O1891" t="n">
        <v>0</v>
      </c>
      <c r="P1891" t="n">
        <v>0</v>
      </c>
      <c r="Q1891" t="n">
        <v>0</v>
      </c>
      <c r="R1891" s="2" t="inlineStr"/>
    </row>
    <row r="1892" ht="15" customHeight="1">
      <c r="A1892" t="inlineStr">
        <is>
          <t>A 32615-2022</t>
        </is>
      </c>
      <c r="B1892" s="1" t="n">
        <v>44783.45457175926</v>
      </c>
      <c r="C1892" s="1" t="n">
        <v>45952</v>
      </c>
      <c r="D1892" t="inlineStr">
        <is>
          <t>VÄSTRA GÖTALANDS LÄN</t>
        </is>
      </c>
      <c r="E1892" t="inlineStr">
        <is>
          <t>TIDAHOLM</t>
        </is>
      </c>
      <c r="F1892" t="inlineStr">
        <is>
          <t>Sveaskog</t>
        </is>
      </c>
      <c r="G1892" t="n">
        <v>1.6</v>
      </c>
      <c r="H1892" t="n">
        <v>0</v>
      </c>
      <c r="I1892" t="n">
        <v>0</v>
      </c>
      <c r="J1892" t="n">
        <v>0</v>
      </c>
      <c r="K1892" t="n">
        <v>0</v>
      </c>
      <c r="L1892" t="n">
        <v>0</v>
      </c>
      <c r="M1892" t="n">
        <v>0</v>
      </c>
      <c r="N1892" t="n">
        <v>0</v>
      </c>
      <c r="O1892" t="n">
        <v>0</v>
      </c>
      <c r="P1892" t="n">
        <v>0</v>
      </c>
      <c r="Q1892" t="n">
        <v>0</v>
      </c>
      <c r="R1892" s="2" t="inlineStr"/>
    </row>
    <row r="1893" ht="15" customHeight="1">
      <c r="A1893" t="inlineStr">
        <is>
          <t>A 34365-2021</t>
        </is>
      </c>
      <c r="B1893" s="1" t="n">
        <v>44379</v>
      </c>
      <c r="C1893" s="1" t="n">
        <v>45952</v>
      </c>
      <c r="D1893" t="inlineStr">
        <is>
          <t>VÄSTRA GÖTALANDS LÄN</t>
        </is>
      </c>
      <c r="E1893" t="inlineStr">
        <is>
          <t>TROLLHÄTTAN</t>
        </is>
      </c>
      <c r="G1893" t="n">
        <v>5.6</v>
      </c>
      <c r="H1893" t="n">
        <v>0</v>
      </c>
      <c r="I1893" t="n">
        <v>0</v>
      </c>
      <c r="J1893" t="n">
        <v>0</v>
      </c>
      <c r="K1893" t="n">
        <v>0</v>
      </c>
      <c r="L1893" t="n">
        <v>0</v>
      </c>
      <c r="M1893" t="n">
        <v>0</v>
      </c>
      <c r="N1893" t="n">
        <v>0</v>
      </c>
      <c r="O1893" t="n">
        <v>0</v>
      </c>
      <c r="P1893" t="n">
        <v>0</v>
      </c>
      <c r="Q1893" t="n">
        <v>0</v>
      </c>
      <c r="R1893" s="2" t="inlineStr"/>
    </row>
    <row r="1894" ht="15" customHeight="1">
      <c r="A1894" t="inlineStr">
        <is>
          <t>A 18304-2021</t>
        </is>
      </c>
      <c r="B1894" s="1" t="n">
        <v>44305</v>
      </c>
      <c r="C1894" s="1" t="n">
        <v>45952</v>
      </c>
      <c r="D1894" t="inlineStr">
        <is>
          <t>VÄSTRA GÖTALANDS LÄN</t>
        </is>
      </c>
      <c r="E1894" t="inlineStr">
        <is>
          <t>BENGTSFORS</t>
        </is>
      </c>
      <c r="G1894" t="n">
        <v>5.1</v>
      </c>
      <c r="H1894" t="n">
        <v>0</v>
      </c>
      <c r="I1894" t="n">
        <v>0</v>
      </c>
      <c r="J1894" t="n">
        <v>0</v>
      </c>
      <c r="K1894" t="n">
        <v>0</v>
      </c>
      <c r="L1894" t="n">
        <v>0</v>
      </c>
      <c r="M1894" t="n">
        <v>0</v>
      </c>
      <c r="N1894" t="n">
        <v>0</v>
      </c>
      <c r="O1894" t="n">
        <v>0</v>
      </c>
      <c r="P1894" t="n">
        <v>0</v>
      </c>
      <c r="Q1894" t="n">
        <v>0</v>
      </c>
      <c r="R1894" s="2" t="inlineStr"/>
    </row>
    <row r="1895" ht="15" customHeight="1">
      <c r="A1895" t="inlineStr">
        <is>
          <t>A 44703-2021</t>
        </is>
      </c>
      <c r="B1895" s="1" t="n">
        <v>44438</v>
      </c>
      <c r="C1895" s="1" t="n">
        <v>45952</v>
      </c>
      <c r="D1895" t="inlineStr">
        <is>
          <t>VÄSTRA GÖTALANDS LÄN</t>
        </is>
      </c>
      <c r="E1895" t="inlineStr">
        <is>
          <t>BORÅS</t>
        </is>
      </c>
      <c r="G1895" t="n">
        <v>4.8</v>
      </c>
      <c r="H1895" t="n">
        <v>0</v>
      </c>
      <c r="I1895" t="n">
        <v>0</v>
      </c>
      <c r="J1895" t="n">
        <v>0</v>
      </c>
      <c r="K1895" t="n">
        <v>0</v>
      </c>
      <c r="L1895" t="n">
        <v>0</v>
      </c>
      <c r="M1895" t="n">
        <v>0</v>
      </c>
      <c r="N1895" t="n">
        <v>0</v>
      </c>
      <c r="O1895" t="n">
        <v>0</v>
      </c>
      <c r="P1895" t="n">
        <v>0</v>
      </c>
      <c r="Q1895" t="n">
        <v>0</v>
      </c>
      <c r="R1895" s="2" t="inlineStr"/>
    </row>
    <row r="1896" ht="15" customHeight="1">
      <c r="A1896" t="inlineStr">
        <is>
          <t>A 25762-2022</t>
        </is>
      </c>
      <c r="B1896" s="1" t="n">
        <v>44733</v>
      </c>
      <c r="C1896" s="1" t="n">
        <v>45952</v>
      </c>
      <c r="D1896" t="inlineStr">
        <is>
          <t>VÄSTRA GÖTALANDS LÄN</t>
        </is>
      </c>
      <c r="E1896" t="inlineStr">
        <is>
          <t>DALS-ED</t>
        </is>
      </c>
      <c r="G1896" t="n">
        <v>0.8</v>
      </c>
      <c r="H1896" t="n">
        <v>0</v>
      </c>
      <c r="I1896" t="n">
        <v>0</v>
      </c>
      <c r="J1896" t="n">
        <v>0</v>
      </c>
      <c r="K1896" t="n">
        <v>0</v>
      </c>
      <c r="L1896" t="n">
        <v>0</v>
      </c>
      <c r="M1896" t="n">
        <v>0</v>
      </c>
      <c r="N1896" t="n">
        <v>0</v>
      </c>
      <c r="O1896" t="n">
        <v>0</v>
      </c>
      <c r="P1896" t="n">
        <v>0</v>
      </c>
      <c r="Q1896" t="n">
        <v>0</v>
      </c>
      <c r="R1896" s="2" t="inlineStr"/>
    </row>
    <row r="1897" ht="15" customHeight="1">
      <c r="A1897" t="inlineStr">
        <is>
          <t>A 58120-2021</t>
        </is>
      </c>
      <c r="B1897" s="1" t="n">
        <v>44487.55363425926</v>
      </c>
      <c r="C1897" s="1" t="n">
        <v>45952</v>
      </c>
      <c r="D1897" t="inlineStr">
        <is>
          <t>VÄSTRA GÖTALANDS LÄN</t>
        </is>
      </c>
      <c r="E1897" t="inlineStr">
        <is>
          <t>LIDKÖPING</t>
        </is>
      </c>
      <c r="G1897" t="n">
        <v>0.9</v>
      </c>
      <c r="H1897" t="n">
        <v>0</v>
      </c>
      <c r="I1897" t="n">
        <v>0</v>
      </c>
      <c r="J1897" t="n">
        <v>0</v>
      </c>
      <c r="K1897" t="n">
        <v>0</v>
      </c>
      <c r="L1897" t="n">
        <v>0</v>
      </c>
      <c r="M1897" t="n">
        <v>0</v>
      </c>
      <c r="N1897" t="n">
        <v>0</v>
      </c>
      <c r="O1897" t="n">
        <v>0</v>
      </c>
      <c r="P1897" t="n">
        <v>0</v>
      </c>
      <c r="Q1897" t="n">
        <v>0</v>
      </c>
      <c r="R1897" s="2" t="inlineStr"/>
    </row>
    <row r="1898" ht="15" customHeight="1">
      <c r="A1898" t="inlineStr">
        <is>
          <t>A 55091-2021</t>
        </is>
      </c>
      <c r="B1898" s="1" t="n">
        <v>44474</v>
      </c>
      <c r="C1898" s="1" t="n">
        <v>45952</v>
      </c>
      <c r="D1898" t="inlineStr">
        <is>
          <t>VÄSTRA GÖTALANDS LÄN</t>
        </is>
      </c>
      <c r="E1898" t="inlineStr">
        <is>
          <t>HJO</t>
        </is>
      </c>
      <c r="G1898" t="n">
        <v>1.4</v>
      </c>
      <c r="H1898" t="n">
        <v>0</v>
      </c>
      <c r="I1898" t="n">
        <v>0</v>
      </c>
      <c r="J1898" t="n">
        <v>0</v>
      </c>
      <c r="K1898" t="n">
        <v>0</v>
      </c>
      <c r="L1898" t="n">
        <v>0</v>
      </c>
      <c r="M1898" t="n">
        <v>0</v>
      </c>
      <c r="N1898" t="n">
        <v>0</v>
      </c>
      <c r="O1898" t="n">
        <v>0</v>
      </c>
      <c r="P1898" t="n">
        <v>0</v>
      </c>
      <c r="Q1898" t="n">
        <v>0</v>
      </c>
      <c r="R1898" s="2" t="inlineStr"/>
    </row>
    <row r="1899" ht="15" customHeight="1">
      <c r="A1899" t="inlineStr">
        <is>
          <t>A 25807-2022</t>
        </is>
      </c>
      <c r="B1899" s="1" t="n">
        <v>44733.53192129629</v>
      </c>
      <c r="C1899" s="1" t="n">
        <v>45952</v>
      </c>
      <c r="D1899" t="inlineStr">
        <is>
          <t>VÄSTRA GÖTALANDS LÄN</t>
        </is>
      </c>
      <c r="E1899" t="inlineStr">
        <is>
          <t>UDDEVALLA</t>
        </is>
      </c>
      <c r="G1899" t="n">
        <v>6.8</v>
      </c>
      <c r="H1899" t="n">
        <v>0</v>
      </c>
      <c r="I1899" t="n">
        <v>0</v>
      </c>
      <c r="J1899" t="n">
        <v>0</v>
      </c>
      <c r="K1899" t="n">
        <v>0</v>
      </c>
      <c r="L1899" t="n">
        <v>0</v>
      </c>
      <c r="M1899" t="n">
        <v>0</v>
      </c>
      <c r="N1899" t="n">
        <v>0</v>
      </c>
      <c r="O1899" t="n">
        <v>0</v>
      </c>
      <c r="P1899" t="n">
        <v>0</v>
      </c>
      <c r="Q1899" t="n">
        <v>0</v>
      </c>
      <c r="R1899" s="2" t="inlineStr"/>
    </row>
    <row r="1900" ht="15" customHeight="1">
      <c r="A1900" t="inlineStr">
        <is>
          <t>A 25845-2022</t>
        </is>
      </c>
      <c r="B1900" s="1" t="n">
        <v>44733</v>
      </c>
      <c r="C1900" s="1" t="n">
        <v>45952</v>
      </c>
      <c r="D1900" t="inlineStr">
        <is>
          <t>VÄSTRA GÖTALANDS LÄN</t>
        </is>
      </c>
      <c r="E1900" t="inlineStr">
        <is>
          <t>ÅMÅL</t>
        </is>
      </c>
      <c r="G1900" t="n">
        <v>1.4</v>
      </c>
      <c r="H1900" t="n">
        <v>0</v>
      </c>
      <c r="I1900" t="n">
        <v>0</v>
      </c>
      <c r="J1900" t="n">
        <v>0</v>
      </c>
      <c r="K1900" t="n">
        <v>0</v>
      </c>
      <c r="L1900" t="n">
        <v>0</v>
      </c>
      <c r="M1900" t="n">
        <v>0</v>
      </c>
      <c r="N1900" t="n">
        <v>0</v>
      </c>
      <c r="O1900" t="n">
        <v>0</v>
      </c>
      <c r="P1900" t="n">
        <v>0</v>
      </c>
      <c r="Q1900" t="n">
        <v>0</v>
      </c>
      <c r="R1900" s="2" t="inlineStr"/>
    </row>
    <row r="1901" ht="15" customHeight="1">
      <c r="A1901" t="inlineStr">
        <is>
          <t>A 25870-2022</t>
        </is>
      </c>
      <c r="B1901" s="1" t="n">
        <v>44733</v>
      </c>
      <c r="C1901" s="1" t="n">
        <v>45952</v>
      </c>
      <c r="D1901" t="inlineStr">
        <is>
          <t>VÄSTRA GÖTALANDS LÄN</t>
        </is>
      </c>
      <c r="E1901" t="inlineStr">
        <is>
          <t>MARK</t>
        </is>
      </c>
      <c r="G1901" t="n">
        <v>3.3</v>
      </c>
      <c r="H1901" t="n">
        <v>0</v>
      </c>
      <c r="I1901" t="n">
        <v>0</v>
      </c>
      <c r="J1901" t="n">
        <v>0</v>
      </c>
      <c r="K1901" t="n">
        <v>0</v>
      </c>
      <c r="L1901" t="n">
        <v>0</v>
      </c>
      <c r="M1901" t="n">
        <v>0</v>
      </c>
      <c r="N1901" t="n">
        <v>0</v>
      </c>
      <c r="O1901" t="n">
        <v>0</v>
      </c>
      <c r="P1901" t="n">
        <v>0</v>
      </c>
      <c r="Q1901" t="n">
        <v>0</v>
      </c>
      <c r="R1901" s="2" t="inlineStr"/>
    </row>
    <row r="1902" ht="15" customHeight="1">
      <c r="A1902" t="inlineStr">
        <is>
          <t>A 64546-2020</t>
        </is>
      </c>
      <c r="B1902" s="1" t="n">
        <v>44169.36200231482</v>
      </c>
      <c r="C1902" s="1" t="n">
        <v>45952</v>
      </c>
      <c r="D1902" t="inlineStr">
        <is>
          <t>VÄSTRA GÖTALANDS LÄN</t>
        </is>
      </c>
      <c r="E1902" t="inlineStr">
        <is>
          <t>STRÖMSTAD</t>
        </is>
      </c>
      <c r="G1902" t="n">
        <v>1.8</v>
      </c>
      <c r="H1902" t="n">
        <v>0</v>
      </c>
      <c r="I1902" t="n">
        <v>0</v>
      </c>
      <c r="J1902" t="n">
        <v>0</v>
      </c>
      <c r="K1902" t="n">
        <v>0</v>
      </c>
      <c r="L1902" t="n">
        <v>0</v>
      </c>
      <c r="M1902" t="n">
        <v>0</v>
      </c>
      <c r="N1902" t="n">
        <v>0</v>
      </c>
      <c r="O1902" t="n">
        <v>0</v>
      </c>
      <c r="P1902" t="n">
        <v>0</v>
      </c>
      <c r="Q1902" t="n">
        <v>0</v>
      </c>
      <c r="R1902" s="2" t="inlineStr"/>
    </row>
    <row r="1903" ht="15" customHeight="1">
      <c r="A1903" t="inlineStr">
        <is>
          <t>A 42813-2022</t>
        </is>
      </c>
      <c r="B1903" s="1" t="n">
        <v>44832.60121527778</v>
      </c>
      <c r="C1903" s="1" t="n">
        <v>45952</v>
      </c>
      <c r="D1903" t="inlineStr">
        <is>
          <t>VÄSTRA GÖTALANDS LÄN</t>
        </is>
      </c>
      <c r="E1903" t="inlineStr">
        <is>
          <t>BENGTSFORS</t>
        </is>
      </c>
      <c r="G1903" t="n">
        <v>0.7</v>
      </c>
      <c r="H1903" t="n">
        <v>0</v>
      </c>
      <c r="I1903" t="n">
        <v>0</v>
      </c>
      <c r="J1903" t="n">
        <v>0</v>
      </c>
      <c r="K1903" t="n">
        <v>0</v>
      </c>
      <c r="L1903" t="n">
        <v>0</v>
      </c>
      <c r="M1903" t="n">
        <v>0</v>
      </c>
      <c r="N1903" t="n">
        <v>0</v>
      </c>
      <c r="O1903" t="n">
        <v>0</v>
      </c>
      <c r="P1903" t="n">
        <v>0</v>
      </c>
      <c r="Q1903" t="n">
        <v>0</v>
      </c>
      <c r="R1903" s="2" t="inlineStr"/>
    </row>
    <row r="1904" ht="15" customHeight="1">
      <c r="A1904" t="inlineStr">
        <is>
          <t>A 23083-2021</t>
        </is>
      </c>
      <c r="B1904" s="1" t="n">
        <v>44330</v>
      </c>
      <c r="C1904" s="1" t="n">
        <v>45952</v>
      </c>
      <c r="D1904" t="inlineStr">
        <is>
          <t>VÄSTRA GÖTALANDS LÄN</t>
        </is>
      </c>
      <c r="E1904" t="inlineStr">
        <is>
          <t>TROLLHÄTTAN</t>
        </is>
      </c>
      <c r="G1904" t="n">
        <v>1</v>
      </c>
      <c r="H1904" t="n">
        <v>0</v>
      </c>
      <c r="I1904" t="n">
        <v>0</v>
      </c>
      <c r="J1904" t="n">
        <v>0</v>
      </c>
      <c r="K1904" t="n">
        <v>0</v>
      </c>
      <c r="L1904" t="n">
        <v>0</v>
      </c>
      <c r="M1904" t="n">
        <v>0</v>
      </c>
      <c r="N1904" t="n">
        <v>0</v>
      </c>
      <c r="O1904" t="n">
        <v>0</v>
      </c>
      <c r="P1904" t="n">
        <v>0</v>
      </c>
      <c r="Q1904" t="n">
        <v>0</v>
      </c>
      <c r="R1904" s="2" t="inlineStr"/>
    </row>
    <row r="1905" ht="15" customHeight="1">
      <c r="A1905" t="inlineStr">
        <is>
          <t>A 26740-2021</t>
        </is>
      </c>
      <c r="B1905" s="1" t="n">
        <v>44349.40521990741</v>
      </c>
      <c r="C1905" s="1" t="n">
        <v>45952</v>
      </c>
      <c r="D1905" t="inlineStr">
        <is>
          <t>VÄSTRA GÖTALANDS LÄN</t>
        </is>
      </c>
      <c r="E1905" t="inlineStr">
        <is>
          <t>VÄNERSBORG</t>
        </is>
      </c>
      <c r="G1905" t="n">
        <v>10.3</v>
      </c>
      <c r="H1905" t="n">
        <v>0</v>
      </c>
      <c r="I1905" t="n">
        <v>0</v>
      </c>
      <c r="J1905" t="n">
        <v>0</v>
      </c>
      <c r="K1905" t="n">
        <v>0</v>
      </c>
      <c r="L1905" t="n">
        <v>0</v>
      </c>
      <c r="M1905" t="n">
        <v>0</v>
      </c>
      <c r="N1905" t="n">
        <v>0</v>
      </c>
      <c r="O1905" t="n">
        <v>0</v>
      </c>
      <c r="P1905" t="n">
        <v>0</v>
      </c>
      <c r="Q1905" t="n">
        <v>0</v>
      </c>
      <c r="R1905" s="2" t="inlineStr"/>
    </row>
    <row r="1906" ht="15" customHeight="1">
      <c r="A1906" t="inlineStr">
        <is>
          <t>A 39499-2022</t>
        </is>
      </c>
      <c r="B1906" s="1" t="n">
        <v>44818</v>
      </c>
      <c r="C1906" s="1" t="n">
        <v>45952</v>
      </c>
      <c r="D1906" t="inlineStr">
        <is>
          <t>VÄSTRA GÖTALANDS LÄN</t>
        </is>
      </c>
      <c r="E1906" t="inlineStr">
        <is>
          <t>VÅRGÅRDA</t>
        </is>
      </c>
      <c r="G1906" t="n">
        <v>8.300000000000001</v>
      </c>
      <c r="H1906" t="n">
        <v>0</v>
      </c>
      <c r="I1906" t="n">
        <v>0</v>
      </c>
      <c r="J1906" t="n">
        <v>0</v>
      </c>
      <c r="K1906" t="n">
        <v>0</v>
      </c>
      <c r="L1906" t="n">
        <v>0</v>
      </c>
      <c r="M1906" t="n">
        <v>0</v>
      </c>
      <c r="N1906" t="n">
        <v>0</v>
      </c>
      <c r="O1906" t="n">
        <v>0</v>
      </c>
      <c r="P1906" t="n">
        <v>0</v>
      </c>
      <c r="Q1906" t="n">
        <v>0</v>
      </c>
      <c r="R1906" s="2" t="inlineStr"/>
    </row>
    <row r="1907" ht="15" customHeight="1">
      <c r="A1907" t="inlineStr">
        <is>
          <t>A 37330-2022</t>
        </is>
      </c>
      <c r="B1907" s="1" t="n">
        <v>44806</v>
      </c>
      <c r="C1907" s="1" t="n">
        <v>45952</v>
      </c>
      <c r="D1907" t="inlineStr">
        <is>
          <t>VÄSTRA GÖTALANDS LÄN</t>
        </is>
      </c>
      <c r="E1907" t="inlineStr">
        <is>
          <t>MUNKEDAL</t>
        </is>
      </c>
      <c r="F1907" t="inlineStr">
        <is>
          <t>Övriga Aktiebolag</t>
        </is>
      </c>
      <c r="G1907" t="n">
        <v>0.7</v>
      </c>
      <c r="H1907" t="n">
        <v>0</v>
      </c>
      <c r="I1907" t="n">
        <v>0</v>
      </c>
      <c r="J1907" t="n">
        <v>0</v>
      </c>
      <c r="K1907" t="n">
        <v>0</v>
      </c>
      <c r="L1907" t="n">
        <v>0</v>
      </c>
      <c r="M1907" t="n">
        <v>0</v>
      </c>
      <c r="N1907" t="n">
        <v>0</v>
      </c>
      <c r="O1907" t="n">
        <v>0</v>
      </c>
      <c r="P1907" t="n">
        <v>0</v>
      </c>
      <c r="Q1907" t="n">
        <v>0</v>
      </c>
      <c r="R1907" s="2" t="inlineStr"/>
    </row>
    <row r="1908" ht="15" customHeight="1">
      <c r="A1908" t="inlineStr">
        <is>
          <t>A 62034-2021</t>
        </is>
      </c>
      <c r="B1908" s="1" t="n">
        <v>44502.54430555556</v>
      </c>
      <c r="C1908" s="1" t="n">
        <v>45952</v>
      </c>
      <c r="D1908" t="inlineStr">
        <is>
          <t>VÄSTRA GÖTALANDS LÄN</t>
        </is>
      </c>
      <c r="E1908" t="inlineStr">
        <is>
          <t>BORÅS</t>
        </is>
      </c>
      <c r="G1908" t="n">
        <v>0.9</v>
      </c>
      <c r="H1908" t="n">
        <v>0</v>
      </c>
      <c r="I1908" t="n">
        <v>0</v>
      </c>
      <c r="J1908" t="n">
        <v>0</v>
      </c>
      <c r="K1908" t="n">
        <v>0</v>
      </c>
      <c r="L1908" t="n">
        <v>0</v>
      </c>
      <c r="M1908" t="n">
        <v>0</v>
      </c>
      <c r="N1908" t="n">
        <v>0</v>
      </c>
      <c r="O1908" t="n">
        <v>0</v>
      </c>
      <c r="P1908" t="n">
        <v>0</v>
      </c>
      <c r="Q1908" t="n">
        <v>0</v>
      </c>
      <c r="R1908" s="2" t="inlineStr"/>
    </row>
    <row r="1909" ht="15" customHeight="1">
      <c r="A1909" t="inlineStr">
        <is>
          <t>A 67135-2021</t>
        </is>
      </c>
      <c r="B1909" s="1" t="n">
        <v>44523.37583333333</v>
      </c>
      <c r="C1909" s="1" t="n">
        <v>45952</v>
      </c>
      <c r="D1909" t="inlineStr">
        <is>
          <t>VÄSTRA GÖTALANDS LÄN</t>
        </is>
      </c>
      <c r="E1909" t="inlineStr">
        <is>
          <t>SKÖVDE</t>
        </is>
      </c>
      <c r="G1909" t="n">
        <v>1</v>
      </c>
      <c r="H1909" t="n">
        <v>0</v>
      </c>
      <c r="I1909" t="n">
        <v>0</v>
      </c>
      <c r="J1909" t="n">
        <v>0</v>
      </c>
      <c r="K1909" t="n">
        <v>0</v>
      </c>
      <c r="L1909" t="n">
        <v>0</v>
      </c>
      <c r="M1909" t="n">
        <v>0</v>
      </c>
      <c r="N1909" t="n">
        <v>0</v>
      </c>
      <c r="O1909" t="n">
        <v>0</v>
      </c>
      <c r="P1909" t="n">
        <v>0</v>
      </c>
      <c r="Q1909" t="n">
        <v>0</v>
      </c>
      <c r="R1909" s="2" t="inlineStr"/>
    </row>
    <row r="1910" ht="15" customHeight="1">
      <c r="A1910" t="inlineStr">
        <is>
          <t>A 797-2021</t>
        </is>
      </c>
      <c r="B1910" s="1" t="n">
        <v>44204</v>
      </c>
      <c r="C1910" s="1" t="n">
        <v>45952</v>
      </c>
      <c r="D1910" t="inlineStr">
        <is>
          <t>VÄSTRA GÖTALANDS LÄN</t>
        </is>
      </c>
      <c r="E1910" t="inlineStr">
        <is>
          <t>UDDEVALLA</t>
        </is>
      </c>
      <c r="G1910" t="n">
        <v>2.2</v>
      </c>
      <c r="H1910" t="n">
        <v>0</v>
      </c>
      <c r="I1910" t="n">
        <v>0</v>
      </c>
      <c r="J1910" t="n">
        <v>0</v>
      </c>
      <c r="K1910" t="n">
        <v>0</v>
      </c>
      <c r="L1910" t="n">
        <v>0</v>
      </c>
      <c r="M1910" t="n">
        <v>0</v>
      </c>
      <c r="N1910" t="n">
        <v>0</v>
      </c>
      <c r="O1910" t="n">
        <v>0</v>
      </c>
      <c r="P1910" t="n">
        <v>0</v>
      </c>
      <c r="Q1910" t="n">
        <v>0</v>
      </c>
      <c r="R1910" s="2" t="inlineStr"/>
    </row>
    <row r="1911" ht="15" customHeight="1">
      <c r="A1911" t="inlineStr">
        <is>
          <t>A 60765-2020</t>
        </is>
      </c>
      <c r="B1911" s="1" t="n">
        <v>44154</v>
      </c>
      <c r="C1911" s="1" t="n">
        <v>45952</v>
      </c>
      <c r="D1911" t="inlineStr">
        <is>
          <t>VÄSTRA GÖTALANDS LÄN</t>
        </is>
      </c>
      <c r="E1911" t="inlineStr">
        <is>
          <t>TRANEMO</t>
        </is>
      </c>
      <c r="G1911" t="n">
        <v>0.7</v>
      </c>
      <c r="H1911" t="n">
        <v>0</v>
      </c>
      <c r="I1911" t="n">
        <v>0</v>
      </c>
      <c r="J1911" t="n">
        <v>0</v>
      </c>
      <c r="K1911" t="n">
        <v>0</v>
      </c>
      <c r="L1911" t="n">
        <v>0</v>
      </c>
      <c r="M1911" t="n">
        <v>0</v>
      </c>
      <c r="N1911" t="n">
        <v>0</v>
      </c>
      <c r="O1911" t="n">
        <v>0</v>
      </c>
      <c r="P1911" t="n">
        <v>0</v>
      </c>
      <c r="Q1911" t="n">
        <v>0</v>
      </c>
      <c r="R1911" s="2" t="inlineStr"/>
    </row>
    <row r="1912" ht="15" customHeight="1">
      <c r="A1912" t="inlineStr">
        <is>
          <t>A 34490-2021</t>
        </is>
      </c>
      <c r="B1912" s="1" t="n">
        <v>44382.31175925926</v>
      </c>
      <c r="C1912" s="1" t="n">
        <v>45952</v>
      </c>
      <c r="D1912" t="inlineStr">
        <is>
          <t>VÄSTRA GÖTALANDS LÄN</t>
        </is>
      </c>
      <c r="E1912" t="inlineStr">
        <is>
          <t>GÖTENE</t>
        </is>
      </c>
      <c r="G1912" t="n">
        <v>5.4</v>
      </c>
      <c r="H1912" t="n">
        <v>0</v>
      </c>
      <c r="I1912" t="n">
        <v>0</v>
      </c>
      <c r="J1912" t="n">
        <v>0</v>
      </c>
      <c r="K1912" t="n">
        <v>0</v>
      </c>
      <c r="L1912" t="n">
        <v>0</v>
      </c>
      <c r="M1912" t="n">
        <v>0</v>
      </c>
      <c r="N1912" t="n">
        <v>0</v>
      </c>
      <c r="O1912" t="n">
        <v>0</v>
      </c>
      <c r="P1912" t="n">
        <v>0</v>
      </c>
      <c r="Q1912" t="n">
        <v>0</v>
      </c>
      <c r="R1912" s="2" t="inlineStr"/>
    </row>
    <row r="1913" ht="15" customHeight="1">
      <c r="A1913" t="inlineStr">
        <is>
          <t>A 31338-2022</t>
        </is>
      </c>
      <c r="B1913" s="1" t="n">
        <v>44774.48569444445</v>
      </c>
      <c r="C1913" s="1" t="n">
        <v>45952</v>
      </c>
      <c r="D1913" t="inlineStr">
        <is>
          <t>VÄSTRA GÖTALANDS LÄN</t>
        </is>
      </c>
      <c r="E1913" t="inlineStr">
        <is>
          <t>MARK</t>
        </is>
      </c>
      <c r="G1913" t="n">
        <v>0.5</v>
      </c>
      <c r="H1913" t="n">
        <v>0</v>
      </c>
      <c r="I1913" t="n">
        <v>0</v>
      </c>
      <c r="J1913" t="n">
        <v>0</v>
      </c>
      <c r="K1913" t="n">
        <v>0</v>
      </c>
      <c r="L1913" t="n">
        <v>0</v>
      </c>
      <c r="M1913" t="n">
        <v>0</v>
      </c>
      <c r="N1913" t="n">
        <v>0</v>
      </c>
      <c r="O1913" t="n">
        <v>0</v>
      </c>
      <c r="P1913" t="n">
        <v>0</v>
      </c>
      <c r="Q1913" t="n">
        <v>0</v>
      </c>
      <c r="R1913" s="2" t="inlineStr"/>
    </row>
    <row r="1914" ht="15" customHeight="1">
      <c r="A1914" t="inlineStr">
        <is>
          <t>A 30179-2021</t>
        </is>
      </c>
      <c r="B1914" s="1" t="n">
        <v>44363</v>
      </c>
      <c r="C1914" s="1" t="n">
        <v>45952</v>
      </c>
      <c r="D1914" t="inlineStr">
        <is>
          <t>VÄSTRA GÖTALANDS LÄN</t>
        </is>
      </c>
      <c r="E1914" t="inlineStr">
        <is>
          <t>BOLLEBYGD</t>
        </is>
      </c>
      <c r="F1914" t="inlineStr">
        <is>
          <t>Kyrkan</t>
        </is>
      </c>
      <c r="G1914" t="n">
        <v>1</v>
      </c>
      <c r="H1914" t="n">
        <v>0</v>
      </c>
      <c r="I1914" t="n">
        <v>0</v>
      </c>
      <c r="J1914" t="n">
        <v>0</v>
      </c>
      <c r="K1914" t="n">
        <v>0</v>
      </c>
      <c r="L1914" t="n">
        <v>0</v>
      </c>
      <c r="M1914" t="n">
        <v>0</v>
      </c>
      <c r="N1914" t="n">
        <v>0</v>
      </c>
      <c r="O1914" t="n">
        <v>0</v>
      </c>
      <c r="P1914" t="n">
        <v>0</v>
      </c>
      <c r="Q1914" t="n">
        <v>0</v>
      </c>
      <c r="R1914" s="2" t="inlineStr"/>
    </row>
    <row r="1915" ht="15" customHeight="1">
      <c r="A1915" t="inlineStr">
        <is>
          <t>A 34573-2021</t>
        </is>
      </c>
      <c r="B1915" s="1" t="n">
        <v>44382</v>
      </c>
      <c r="C1915" s="1" t="n">
        <v>45952</v>
      </c>
      <c r="D1915" t="inlineStr">
        <is>
          <t>VÄSTRA GÖTALANDS LÄN</t>
        </is>
      </c>
      <c r="E1915" t="inlineStr">
        <is>
          <t>TIDAHOLM</t>
        </is>
      </c>
      <c r="G1915" t="n">
        <v>1</v>
      </c>
      <c r="H1915" t="n">
        <v>0</v>
      </c>
      <c r="I1915" t="n">
        <v>0</v>
      </c>
      <c r="J1915" t="n">
        <v>0</v>
      </c>
      <c r="K1915" t="n">
        <v>0</v>
      </c>
      <c r="L1915" t="n">
        <v>0</v>
      </c>
      <c r="M1915" t="n">
        <v>0</v>
      </c>
      <c r="N1915" t="n">
        <v>0</v>
      </c>
      <c r="O1915" t="n">
        <v>0</v>
      </c>
      <c r="P1915" t="n">
        <v>0</v>
      </c>
      <c r="Q1915" t="n">
        <v>0</v>
      </c>
      <c r="R1915" s="2" t="inlineStr"/>
    </row>
    <row r="1916" ht="15" customHeight="1">
      <c r="A1916" t="inlineStr">
        <is>
          <t>A 987-2021</t>
        </is>
      </c>
      <c r="B1916" s="1" t="n">
        <v>44206</v>
      </c>
      <c r="C1916" s="1" t="n">
        <v>45952</v>
      </c>
      <c r="D1916" t="inlineStr">
        <is>
          <t>VÄSTRA GÖTALANDS LÄN</t>
        </is>
      </c>
      <c r="E1916" t="inlineStr">
        <is>
          <t>FALKÖPING</t>
        </is>
      </c>
      <c r="G1916" t="n">
        <v>1.3</v>
      </c>
      <c r="H1916" t="n">
        <v>0</v>
      </c>
      <c r="I1916" t="n">
        <v>0</v>
      </c>
      <c r="J1916" t="n">
        <v>0</v>
      </c>
      <c r="K1916" t="n">
        <v>0</v>
      </c>
      <c r="L1916" t="n">
        <v>0</v>
      </c>
      <c r="M1916" t="n">
        <v>0</v>
      </c>
      <c r="N1916" t="n">
        <v>0</v>
      </c>
      <c r="O1916" t="n">
        <v>0</v>
      </c>
      <c r="P1916" t="n">
        <v>0</v>
      </c>
      <c r="Q1916" t="n">
        <v>0</v>
      </c>
      <c r="R1916" s="2" t="inlineStr"/>
    </row>
    <row r="1917" ht="15" customHeight="1">
      <c r="A1917" t="inlineStr">
        <is>
          <t>A 26169-2021</t>
        </is>
      </c>
      <c r="B1917" s="1" t="n">
        <v>44347</v>
      </c>
      <c r="C1917" s="1" t="n">
        <v>45952</v>
      </c>
      <c r="D1917" t="inlineStr">
        <is>
          <t>VÄSTRA GÖTALANDS LÄN</t>
        </is>
      </c>
      <c r="E1917" t="inlineStr">
        <is>
          <t>VÅRGÅRDA</t>
        </is>
      </c>
      <c r="G1917" t="n">
        <v>0.8</v>
      </c>
      <c r="H1917" t="n">
        <v>0</v>
      </c>
      <c r="I1917" t="n">
        <v>0</v>
      </c>
      <c r="J1917" t="n">
        <v>0</v>
      </c>
      <c r="K1917" t="n">
        <v>0</v>
      </c>
      <c r="L1917" t="n">
        <v>0</v>
      </c>
      <c r="M1917" t="n">
        <v>0</v>
      </c>
      <c r="N1917" t="n">
        <v>0</v>
      </c>
      <c r="O1917" t="n">
        <v>0</v>
      </c>
      <c r="P1917" t="n">
        <v>0</v>
      </c>
      <c r="Q1917" t="n">
        <v>0</v>
      </c>
      <c r="R1917" s="2" t="inlineStr"/>
    </row>
    <row r="1918" ht="15" customHeight="1">
      <c r="A1918" t="inlineStr">
        <is>
          <t>A 25427-2021</t>
        </is>
      </c>
      <c r="B1918" s="1" t="n">
        <v>44342.65056712963</v>
      </c>
      <c r="C1918" s="1" t="n">
        <v>45952</v>
      </c>
      <c r="D1918" t="inlineStr">
        <is>
          <t>VÄSTRA GÖTALANDS LÄN</t>
        </is>
      </c>
      <c r="E1918" t="inlineStr">
        <is>
          <t>TROLLHÄTTAN</t>
        </is>
      </c>
      <c r="G1918" t="n">
        <v>0.2</v>
      </c>
      <c r="H1918" t="n">
        <v>0</v>
      </c>
      <c r="I1918" t="n">
        <v>0</v>
      </c>
      <c r="J1918" t="n">
        <v>0</v>
      </c>
      <c r="K1918" t="n">
        <v>0</v>
      </c>
      <c r="L1918" t="n">
        <v>0</v>
      </c>
      <c r="M1918" t="n">
        <v>0</v>
      </c>
      <c r="N1918" t="n">
        <v>0</v>
      </c>
      <c r="O1918" t="n">
        <v>0</v>
      </c>
      <c r="P1918" t="n">
        <v>0</v>
      </c>
      <c r="Q1918" t="n">
        <v>0</v>
      </c>
      <c r="R1918" s="2" t="inlineStr"/>
    </row>
    <row r="1919" ht="15" customHeight="1">
      <c r="A1919" t="inlineStr">
        <is>
          <t>A 17391-2021</t>
        </is>
      </c>
      <c r="B1919" s="1" t="n">
        <v>44299.26466435185</v>
      </c>
      <c r="C1919" s="1" t="n">
        <v>45952</v>
      </c>
      <c r="D1919" t="inlineStr">
        <is>
          <t>VÄSTRA GÖTALANDS LÄN</t>
        </is>
      </c>
      <c r="E1919" t="inlineStr">
        <is>
          <t>ULRICEHAMN</t>
        </is>
      </c>
      <c r="G1919" t="n">
        <v>0.8</v>
      </c>
      <c r="H1919" t="n">
        <v>0</v>
      </c>
      <c r="I1919" t="n">
        <v>0</v>
      </c>
      <c r="J1919" t="n">
        <v>0</v>
      </c>
      <c r="K1919" t="n">
        <v>0</v>
      </c>
      <c r="L1919" t="n">
        <v>0</v>
      </c>
      <c r="M1919" t="n">
        <v>0</v>
      </c>
      <c r="N1919" t="n">
        <v>0</v>
      </c>
      <c r="O1919" t="n">
        <v>0</v>
      </c>
      <c r="P1919" t="n">
        <v>0</v>
      </c>
      <c r="Q1919" t="n">
        <v>0</v>
      </c>
      <c r="R1919" s="2" t="inlineStr"/>
    </row>
    <row r="1920" ht="15" customHeight="1">
      <c r="A1920" t="inlineStr">
        <is>
          <t>A 37137-2021</t>
        </is>
      </c>
      <c r="B1920" s="1" t="n">
        <v>44395</v>
      </c>
      <c r="C1920" s="1" t="n">
        <v>45952</v>
      </c>
      <c r="D1920" t="inlineStr">
        <is>
          <t>VÄSTRA GÖTALANDS LÄN</t>
        </is>
      </c>
      <c r="E1920" t="inlineStr">
        <is>
          <t>TANUM</t>
        </is>
      </c>
      <c r="G1920" t="n">
        <v>0.4</v>
      </c>
      <c r="H1920" t="n">
        <v>0</v>
      </c>
      <c r="I1920" t="n">
        <v>0</v>
      </c>
      <c r="J1920" t="n">
        <v>0</v>
      </c>
      <c r="K1920" t="n">
        <v>0</v>
      </c>
      <c r="L1920" t="n">
        <v>0</v>
      </c>
      <c r="M1920" t="n">
        <v>0</v>
      </c>
      <c r="N1920" t="n">
        <v>0</v>
      </c>
      <c r="O1920" t="n">
        <v>0</v>
      </c>
      <c r="P1920" t="n">
        <v>0</v>
      </c>
      <c r="Q1920" t="n">
        <v>0</v>
      </c>
      <c r="R1920" s="2" t="inlineStr"/>
    </row>
    <row r="1921" ht="15" customHeight="1">
      <c r="A1921" t="inlineStr">
        <is>
          <t>A 69296-2020</t>
        </is>
      </c>
      <c r="B1921" s="1" t="n">
        <v>44193</v>
      </c>
      <c r="C1921" s="1" t="n">
        <v>45952</v>
      </c>
      <c r="D1921" t="inlineStr">
        <is>
          <t>VÄSTRA GÖTALANDS LÄN</t>
        </is>
      </c>
      <c r="E1921" t="inlineStr">
        <is>
          <t>MARIESTAD</t>
        </is>
      </c>
      <c r="G1921" t="n">
        <v>0.6</v>
      </c>
      <c r="H1921" t="n">
        <v>0</v>
      </c>
      <c r="I1921" t="n">
        <v>0</v>
      </c>
      <c r="J1921" t="n">
        <v>0</v>
      </c>
      <c r="K1921" t="n">
        <v>0</v>
      </c>
      <c r="L1921" t="n">
        <v>0</v>
      </c>
      <c r="M1921" t="n">
        <v>0</v>
      </c>
      <c r="N1921" t="n">
        <v>0</v>
      </c>
      <c r="O1921" t="n">
        <v>0</v>
      </c>
      <c r="P1921" t="n">
        <v>0</v>
      </c>
      <c r="Q1921" t="n">
        <v>0</v>
      </c>
      <c r="R1921" s="2" t="inlineStr"/>
    </row>
    <row r="1922" ht="15" customHeight="1">
      <c r="A1922" t="inlineStr">
        <is>
          <t>A 537-2021</t>
        </is>
      </c>
      <c r="B1922" s="1" t="n">
        <v>44201</v>
      </c>
      <c r="C1922" s="1" t="n">
        <v>45952</v>
      </c>
      <c r="D1922" t="inlineStr">
        <is>
          <t>VÄSTRA GÖTALANDS LÄN</t>
        </is>
      </c>
      <c r="E1922" t="inlineStr">
        <is>
          <t>SKÖVDE</t>
        </is>
      </c>
      <c r="G1922" t="n">
        <v>5.6</v>
      </c>
      <c r="H1922" t="n">
        <v>0</v>
      </c>
      <c r="I1922" t="n">
        <v>0</v>
      </c>
      <c r="J1922" t="n">
        <v>0</v>
      </c>
      <c r="K1922" t="n">
        <v>0</v>
      </c>
      <c r="L1922" t="n">
        <v>0</v>
      </c>
      <c r="M1922" t="n">
        <v>0</v>
      </c>
      <c r="N1922" t="n">
        <v>0</v>
      </c>
      <c r="O1922" t="n">
        <v>0</v>
      </c>
      <c r="P1922" t="n">
        <v>0</v>
      </c>
      <c r="Q1922" t="n">
        <v>0</v>
      </c>
      <c r="R1922" s="2" t="inlineStr"/>
    </row>
    <row r="1923" ht="15" customHeight="1">
      <c r="A1923" t="inlineStr">
        <is>
          <t>A 32313-2022</t>
        </is>
      </c>
      <c r="B1923" s="1" t="n">
        <v>44781.65829861111</v>
      </c>
      <c r="C1923" s="1" t="n">
        <v>45952</v>
      </c>
      <c r="D1923" t="inlineStr">
        <is>
          <t>VÄSTRA GÖTALANDS LÄN</t>
        </is>
      </c>
      <c r="E1923" t="inlineStr">
        <is>
          <t>DALS-ED</t>
        </is>
      </c>
      <c r="G1923" t="n">
        <v>0.6</v>
      </c>
      <c r="H1923" t="n">
        <v>0</v>
      </c>
      <c r="I1923" t="n">
        <v>0</v>
      </c>
      <c r="J1923" t="n">
        <v>0</v>
      </c>
      <c r="K1923" t="n">
        <v>0</v>
      </c>
      <c r="L1923" t="n">
        <v>0</v>
      </c>
      <c r="M1923" t="n">
        <v>0</v>
      </c>
      <c r="N1923" t="n">
        <v>0</v>
      </c>
      <c r="O1923" t="n">
        <v>0</v>
      </c>
      <c r="P1923" t="n">
        <v>0</v>
      </c>
      <c r="Q1923" t="n">
        <v>0</v>
      </c>
      <c r="R1923" s="2" t="inlineStr"/>
    </row>
    <row r="1924" ht="15" customHeight="1">
      <c r="A1924" t="inlineStr">
        <is>
          <t>A 11667-2021</t>
        </is>
      </c>
      <c r="B1924" s="1" t="n">
        <v>44264</v>
      </c>
      <c r="C1924" s="1" t="n">
        <v>45952</v>
      </c>
      <c r="D1924" t="inlineStr">
        <is>
          <t>VÄSTRA GÖTALANDS LÄN</t>
        </is>
      </c>
      <c r="E1924" t="inlineStr">
        <is>
          <t>MELLERUD</t>
        </is>
      </c>
      <c r="G1924" t="n">
        <v>1.5</v>
      </c>
      <c r="H1924" t="n">
        <v>0</v>
      </c>
      <c r="I1924" t="n">
        <v>0</v>
      </c>
      <c r="J1924" t="n">
        <v>0</v>
      </c>
      <c r="K1924" t="n">
        <v>0</v>
      </c>
      <c r="L1924" t="n">
        <v>0</v>
      </c>
      <c r="M1924" t="n">
        <v>0</v>
      </c>
      <c r="N1924" t="n">
        <v>0</v>
      </c>
      <c r="O1924" t="n">
        <v>0</v>
      </c>
      <c r="P1924" t="n">
        <v>0</v>
      </c>
      <c r="Q1924" t="n">
        <v>0</v>
      </c>
      <c r="R1924" s="2" t="inlineStr"/>
    </row>
    <row r="1925" ht="15" customHeight="1">
      <c r="A1925" t="inlineStr">
        <is>
          <t>A 39818-2021</t>
        </is>
      </c>
      <c r="B1925" s="1" t="n">
        <v>44417</v>
      </c>
      <c r="C1925" s="1" t="n">
        <v>45952</v>
      </c>
      <c r="D1925" t="inlineStr">
        <is>
          <t>VÄSTRA GÖTALANDS LÄN</t>
        </is>
      </c>
      <c r="E1925" t="inlineStr">
        <is>
          <t>BENGTSFORS</t>
        </is>
      </c>
      <c r="G1925" t="n">
        <v>1.2</v>
      </c>
      <c r="H1925" t="n">
        <v>0</v>
      </c>
      <c r="I1925" t="n">
        <v>0</v>
      </c>
      <c r="J1925" t="n">
        <v>0</v>
      </c>
      <c r="K1925" t="n">
        <v>0</v>
      </c>
      <c r="L1925" t="n">
        <v>0</v>
      </c>
      <c r="M1925" t="n">
        <v>0</v>
      </c>
      <c r="N1925" t="n">
        <v>0</v>
      </c>
      <c r="O1925" t="n">
        <v>0</v>
      </c>
      <c r="P1925" t="n">
        <v>0</v>
      </c>
      <c r="Q1925" t="n">
        <v>0</v>
      </c>
      <c r="R1925" s="2" t="inlineStr"/>
    </row>
    <row r="1926" ht="15" customHeight="1">
      <c r="A1926" t="inlineStr">
        <is>
          <t>A 72532-2021</t>
        </is>
      </c>
      <c r="B1926" s="1" t="n">
        <v>44546.38177083333</v>
      </c>
      <c r="C1926" s="1" t="n">
        <v>45952</v>
      </c>
      <c r="D1926" t="inlineStr">
        <is>
          <t>VÄSTRA GÖTALANDS LÄN</t>
        </is>
      </c>
      <c r="E1926" t="inlineStr">
        <is>
          <t>TÖREBODA</t>
        </is>
      </c>
      <c r="G1926" t="n">
        <v>0.5</v>
      </c>
      <c r="H1926" t="n">
        <v>0</v>
      </c>
      <c r="I1926" t="n">
        <v>0</v>
      </c>
      <c r="J1926" t="n">
        <v>0</v>
      </c>
      <c r="K1926" t="n">
        <v>0</v>
      </c>
      <c r="L1926" t="n">
        <v>0</v>
      </c>
      <c r="M1926" t="n">
        <v>0</v>
      </c>
      <c r="N1926" t="n">
        <v>0</v>
      </c>
      <c r="O1926" t="n">
        <v>0</v>
      </c>
      <c r="P1926" t="n">
        <v>0</v>
      </c>
      <c r="Q1926" t="n">
        <v>0</v>
      </c>
      <c r="R1926" s="2" t="inlineStr"/>
    </row>
    <row r="1927" ht="15" customHeight="1">
      <c r="A1927" t="inlineStr">
        <is>
          <t>A 39842-2021</t>
        </is>
      </c>
      <c r="B1927" s="1" t="n">
        <v>44417.63443287037</v>
      </c>
      <c r="C1927" s="1" t="n">
        <v>45952</v>
      </c>
      <c r="D1927" t="inlineStr">
        <is>
          <t>VÄSTRA GÖTALANDS LÄN</t>
        </is>
      </c>
      <c r="E1927" t="inlineStr">
        <is>
          <t>ÅMÅL</t>
        </is>
      </c>
      <c r="G1927" t="n">
        <v>0.6</v>
      </c>
      <c r="H1927" t="n">
        <v>0</v>
      </c>
      <c r="I1927" t="n">
        <v>0</v>
      </c>
      <c r="J1927" t="n">
        <v>0</v>
      </c>
      <c r="K1927" t="n">
        <v>0</v>
      </c>
      <c r="L1927" t="n">
        <v>0</v>
      </c>
      <c r="M1927" t="n">
        <v>0</v>
      </c>
      <c r="N1927" t="n">
        <v>0</v>
      </c>
      <c r="O1927" t="n">
        <v>0</v>
      </c>
      <c r="P1927" t="n">
        <v>0</v>
      </c>
      <c r="Q1927" t="n">
        <v>0</v>
      </c>
      <c r="R1927" s="2" t="inlineStr"/>
    </row>
    <row r="1928" ht="15" customHeight="1">
      <c r="A1928" t="inlineStr">
        <is>
          <t>A 60863-2020</t>
        </is>
      </c>
      <c r="B1928" s="1" t="n">
        <v>44154</v>
      </c>
      <c r="C1928" s="1" t="n">
        <v>45952</v>
      </c>
      <c r="D1928" t="inlineStr">
        <is>
          <t>VÄSTRA GÖTALANDS LÄN</t>
        </is>
      </c>
      <c r="E1928" t="inlineStr">
        <is>
          <t>ULRICEHAMN</t>
        </is>
      </c>
      <c r="G1928" t="n">
        <v>2.4</v>
      </c>
      <c r="H1928" t="n">
        <v>0</v>
      </c>
      <c r="I1928" t="n">
        <v>0</v>
      </c>
      <c r="J1928" t="n">
        <v>0</v>
      </c>
      <c r="K1928" t="n">
        <v>0</v>
      </c>
      <c r="L1928" t="n">
        <v>0</v>
      </c>
      <c r="M1928" t="n">
        <v>0</v>
      </c>
      <c r="N1928" t="n">
        <v>0</v>
      </c>
      <c r="O1928" t="n">
        <v>0</v>
      </c>
      <c r="P1928" t="n">
        <v>0</v>
      </c>
      <c r="Q1928" t="n">
        <v>0</v>
      </c>
      <c r="R1928" s="2" t="inlineStr"/>
    </row>
    <row r="1929" ht="15" customHeight="1">
      <c r="A1929" t="inlineStr">
        <is>
          <t>A 67970-2020</t>
        </is>
      </c>
      <c r="B1929" s="1" t="n">
        <v>44182</v>
      </c>
      <c r="C1929" s="1" t="n">
        <v>45952</v>
      </c>
      <c r="D1929" t="inlineStr">
        <is>
          <t>VÄSTRA GÖTALANDS LÄN</t>
        </is>
      </c>
      <c r="E1929" t="inlineStr">
        <is>
          <t>KARLSBORG</t>
        </is>
      </c>
      <c r="G1929" t="n">
        <v>0.5</v>
      </c>
      <c r="H1929" t="n">
        <v>0</v>
      </c>
      <c r="I1929" t="n">
        <v>0</v>
      </c>
      <c r="J1929" t="n">
        <v>0</v>
      </c>
      <c r="K1929" t="n">
        <v>0</v>
      </c>
      <c r="L1929" t="n">
        <v>0</v>
      </c>
      <c r="M1929" t="n">
        <v>0</v>
      </c>
      <c r="N1929" t="n">
        <v>0</v>
      </c>
      <c r="O1929" t="n">
        <v>0</v>
      </c>
      <c r="P1929" t="n">
        <v>0</v>
      </c>
      <c r="Q1929" t="n">
        <v>0</v>
      </c>
      <c r="R1929" s="2" t="inlineStr"/>
    </row>
    <row r="1930" ht="15" customHeight="1">
      <c r="A1930" t="inlineStr">
        <is>
          <t>A 8412-2021</t>
        </is>
      </c>
      <c r="B1930" s="1" t="n">
        <v>44245</v>
      </c>
      <c r="C1930" s="1" t="n">
        <v>45952</v>
      </c>
      <c r="D1930" t="inlineStr">
        <is>
          <t>VÄSTRA GÖTALANDS LÄN</t>
        </is>
      </c>
      <c r="E1930" t="inlineStr">
        <is>
          <t>BENGTSFORS</t>
        </is>
      </c>
      <c r="G1930" t="n">
        <v>0.8</v>
      </c>
      <c r="H1930" t="n">
        <v>0</v>
      </c>
      <c r="I1930" t="n">
        <v>0</v>
      </c>
      <c r="J1930" t="n">
        <v>0</v>
      </c>
      <c r="K1930" t="n">
        <v>0</v>
      </c>
      <c r="L1930" t="n">
        <v>0</v>
      </c>
      <c r="M1930" t="n">
        <v>0</v>
      </c>
      <c r="N1930" t="n">
        <v>0</v>
      </c>
      <c r="O1930" t="n">
        <v>0</v>
      </c>
      <c r="P1930" t="n">
        <v>0</v>
      </c>
      <c r="Q1930" t="n">
        <v>0</v>
      </c>
      <c r="R1930" s="2" t="inlineStr"/>
    </row>
    <row r="1931" ht="15" customHeight="1">
      <c r="A1931" t="inlineStr">
        <is>
          <t>A 36106-2021</t>
        </is>
      </c>
      <c r="B1931" s="1" t="n">
        <v>44389</v>
      </c>
      <c r="C1931" s="1" t="n">
        <v>45952</v>
      </c>
      <c r="D1931" t="inlineStr">
        <is>
          <t>VÄSTRA GÖTALANDS LÄN</t>
        </is>
      </c>
      <c r="E1931" t="inlineStr">
        <is>
          <t>ALINGSÅS</t>
        </is>
      </c>
      <c r="F1931" t="inlineStr">
        <is>
          <t>Allmännings- och besparingsskogar</t>
        </is>
      </c>
      <c r="G1931" t="n">
        <v>1.4</v>
      </c>
      <c r="H1931" t="n">
        <v>0</v>
      </c>
      <c r="I1931" t="n">
        <v>0</v>
      </c>
      <c r="J1931" t="n">
        <v>0</v>
      </c>
      <c r="K1931" t="n">
        <v>0</v>
      </c>
      <c r="L1931" t="n">
        <v>0</v>
      </c>
      <c r="M1931" t="n">
        <v>0</v>
      </c>
      <c r="N1931" t="n">
        <v>0</v>
      </c>
      <c r="O1931" t="n">
        <v>0</v>
      </c>
      <c r="P1931" t="n">
        <v>0</v>
      </c>
      <c r="Q1931" t="n">
        <v>0</v>
      </c>
      <c r="R1931" s="2" t="inlineStr"/>
    </row>
    <row r="1932" ht="15" customHeight="1">
      <c r="A1932" t="inlineStr">
        <is>
          <t>A 44488-2021</t>
        </is>
      </c>
      <c r="B1932" s="1" t="n">
        <v>44435.59436342592</v>
      </c>
      <c r="C1932" s="1" t="n">
        <v>45952</v>
      </c>
      <c r="D1932" t="inlineStr">
        <is>
          <t>VÄSTRA GÖTALANDS LÄN</t>
        </is>
      </c>
      <c r="E1932" t="inlineStr">
        <is>
          <t>TRANEMO</t>
        </is>
      </c>
      <c r="G1932" t="n">
        <v>1.6</v>
      </c>
      <c r="H1932" t="n">
        <v>0</v>
      </c>
      <c r="I1932" t="n">
        <v>0</v>
      </c>
      <c r="J1932" t="n">
        <v>0</v>
      </c>
      <c r="K1932" t="n">
        <v>0</v>
      </c>
      <c r="L1932" t="n">
        <v>0</v>
      </c>
      <c r="M1932" t="n">
        <v>0</v>
      </c>
      <c r="N1932" t="n">
        <v>0</v>
      </c>
      <c r="O1932" t="n">
        <v>0</v>
      </c>
      <c r="P1932" t="n">
        <v>0</v>
      </c>
      <c r="Q1932" t="n">
        <v>0</v>
      </c>
      <c r="R1932" s="2" t="inlineStr"/>
    </row>
    <row r="1933" ht="15" customHeight="1">
      <c r="A1933" t="inlineStr">
        <is>
          <t>A 46870-2021</t>
        </is>
      </c>
      <c r="B1933" s="1" t="n">
        <v>44446</v>
      </c>
      <c r="C1933" s="1" t="n">
        <v>45952</v>
      </c>
      <c r="D1933" t="inlineStr">
        <is>
          <t>VÄSTRA GÖTALANDS LÄN</t>
        </is>
      </c>
      <c r="E1933" t="inlineStr">
        <is>
          <t>VÄNERSBORG</t>
        </is>
      </c>
      <c r="F1933" t="inlineStr">
        <is>
          <t>Sveaskog</t>
        </is>
      </c>
      <c r="G1933" t="n">
        <v>9</v>
      </c>
      <c r="H1933" t="n">
        <v>0</v>
      </c>
      <c r="I1933" t="n">
        <v>0</v>
      </c>
      <c r="J1933" t="n">
        <v>0</v>
      </c>
      <c r="K1933" t="n">
        <v>0</v>
      </c>
      <c r="L1933" t="n">
        <v>0</v>
      </c>
      <c r="M1933" t="n">
        <v>0</v>
      </c>
      <c r="N1933" t="n">
        <v>0</v>
      </c>
      <c r="O1933" t="n">
        <v>0</v>
      </c>
      <c r="P1933" t="n">
        <v>0</v>
      </c>
      <c r="Q1933" t="n">
        <v>0</v>
      </c>
      <c r="R1933" s="2" t="inlineStr"/>
    </row>
    <row r="1934" ht="15" customHeight="1">
      <c r="A1934" t="inlineStr">
        <is>
          <t>A 35673-2021</t>
        </is>
      </c>
      <c r="B1934" s="1" t="n">
        <v>44386</v>
      </c>
      <c r="C1934" s="1" t="n">
        <v>45952</v>
      </c>
      <c r="D1934" t="inlineStr">
        <is>
          <t>VÄSTRA GÖTALANDS LÄN</t>
        </is>
      </c>
      <c r="E1934" t="inlineStr">
        <is>
          <t>GULLSPÅNG</t>
        </is>
      </c>
      <c r="G1934" t="n">
        <v>1.4</v>
      </c>
      <c r="H1934" t="n">
        <v>0</v>
      </c>
      <c r="I1934" t="n">
        <v>0</v>
      </c>
      <c r="J1934" t="n">
        <v>0</v>
      </c>
      <c r="K1934" t="n">
        <v>0</v>
      </c>
      <c r="L1934" t="n">
        <v>0</v>
      </c>
      <c r="M1934" t="n">
        <v>0</v>
      </c>
      <c r="N1934" t="n">
        <v>0</v>
      </c>
      <c r="O1934" t="n">
        <v>0</v>
      </c>
      <c r="P1934" t="n">
        <v>0</v>
      </c>
      <c r="Q1934" t="n">
        <v>0</v>
      </c>
      <c r="R1934" s="2" t="inlineStr"/>
    </row>
    <row r="1935" ht="15" customHeight="1">
      <c r="A1935" t="inlineStr">
        <is>
          <t>A 69116-2020</t>
        </is>
      </c>
      <c r="B1935" s="1" t="n">
        <v>44188</v>
      </c>
      <c r="C1935" s="1" t="n">
        <v>45952</v>
      </c>
      <c r="D1935" t="inlineStr">
        <is>
          <t>VÄSTRA GÖTALANDS LÄN</t>
        </is>
      </c>
      <c r="E1935" t="inlineStr">
        <is>
          <t>FÄRGELANDA</t>
        </is>
      </c>
      <c r="G1935" t="n">
        <v>4.4</v>
      </c>
      <c r="H1935" t="n">
        <v>0</v>
      </c>
      <c r="I1935" t="n">
        <v>0</v>
      </c>
      <c r="J1935" t="n">
        <v>0</v>
      </c>
      <c r="K1935" t="n">
        <v>0</v>
      </c>
      <c r="L1935" t="n">
        <v>0</v>
      </c>
      <c r="M1935" t="n">
        <v>0</v>
      </c>
      <c r="N1935" t="n">
        <v>0</v>
      </c>
      <c r="O1935" t="n">
        <v>0</v>
      </c>
      <c r="P1935" t="n">
        <v>0</v>
      </c>
      <c r="Q1935" t="n">
        <v>0</v>
      </c>
      <c r="R1935" s="2" t="inlineStr"/>
    </row>
    <row r="1936" ht="15" customHeight="1">
      <c r="A1936" t="inlineStr">
        <is>
          <t>A 30220-2021</t>
        </is>
      </c>
      <c r="B1936" s="1" t="n">
        <v>44363.67822916667</v>
      </c>
      <c r="C1936" s="1" t="n">
        <v>45952</v>
      </c>
      <c r="D1936" t="inlineStr">
        <is>
          <t>VÄSTRA GÖTALANDS LÄN</t>
        </is>
      </c>
      <c r="E1936" t="inlineStr">
        <is>
          <t>TROLLHÄTTAN</t>
        </is>
      </c>
      <c r="G1936" t="n">
        <v>0.6</v>
      </c>
      <c r="H1936" t="n">
        <v>0</v>
      </c>
      <c r="I1936" t="n">
        <v>0</v>
      </c>
      <c r="J1936" t="n">
        <v>0</v>
      </c>
      <c r="K1936" t="n">
        <v>0</v>
      </c>
      <c r="L1936" t="n">
        <v>0</v>
      </c>
      <c r="M1936" t="n">
        <v>0</v>
      </c>
      <c r="N1936" t="n">
        <v>0</v>
      </c>
      <c r="O1936" t="n">
        <v>0</v>
      </c>
      <c r="P1936" t="n">
        <v>0</v>
      </c>
      <c r="Q1936" t="n">
        <v>0</v>
      </c>
      <c r="R1936" s="2" t="inlineStr"/>
    </row>
    <row r="1937" ht="15" customHeight="1">
      <c r="A1937" t="inlineStr">
        <is>
          <t>A 35968-2021</t>
        </is>
      </c>
      <c r="B1937" s="1" t="n">
        <v>44389</v>
      </c>
      <c r="C1937" s="1" t="n">
        <v>45952</v>
      </c>
      <c r="D1937" t="inlineStr">
        <is>
          <t>VÄSTRA GÖTALANDS LÄN</t>
        </is>
      </c>
      <c r="E1937" t="inlineStr">
        <is>
          <t>TANUM</t>
        </is>
      </c>
      <c r="G1937" t="n">
        <v>3.7</v>
      </c>
      <c r="H1937" t="n">
        <v>0</v>
      </c>
      <c r="I1937" t="n">
        <v>0</v>
      </c>
      <c r="J1937" t="n">
        <v>0</v>
      </c>
      <c r="K1937" t="n">
        <v>0</v>
      </c>
      <c r="L1937" t="n">
        <v>0</v>
      </c>
      <c r="M1937" t="n">
        <v>0</v>
      </c>
      <c r="N1937" t="n">
        <v>0</v>
      </c>
      <c r="O1937" t="n">
        <v>0</v>
      </c>
      <c r="P1937" t="n">
        <v>0</v>
      </c>
      <c r="Q1937" t="n">
        <v>0</v>
      </c>
      <c r="R1937" s="2" t="inlineStr"/>
    </row>
    <row r="1938" ht="15" customHeight="1">
      <c r="A1938" t="inlineStr">
        <is>
          <t>A 72651-2021</t>
        </is>
      </c>
      <c r="B1938" s="1" t="n">
        <v>44546</v>
      </c>
      <c r="C1938" s="1" t="n">
        <v>45952</v>
      </c>
      <c r="D1938" t="inlineStr">
        <is>
          <t>VÄSTRA GÖTALANDS LÄN</t>
        </is>
      </c>
      <c r="E1938" t="inlineStr">
        <is>
          <t>MARIESTAD</t>
        </is>
      </c>
      <c r="G1938" t="n">
        <v>0.5</v>
      </c>
      <c r="H1938" t="n">
        <v>0</v>
      </c>
      <c r="I1938" t="n">
        <v>0</v>
      </c>
      <c r="J1938" t="n">
        <v>0</v>
      </c>
      <c r="K1938" t="n">
        <v>0</v>
      </c>
      <c r="L1938" t="n">
        <v>0</v>
      </c>
      <c r="M1938" t="n">
        <v>0</v>
      </c>
      <c r="N1938" t="n">
        <v>0</v>
      </c>
      <c r="O1938" t="n">
        <v>0</v>
      </c>
      <c r="P1938" t="n">
        <v>0</v>
      </c>
      <c r="Q1938" t="n">
        <v>0</v>
      </c>
      <c r="R1938" s="2" t="inlineStr"/>
    </row>
    <row r="1939" ht="15" customHeight="1">
      <c r="A1939" t="inlineStr">
        <is>
          <t>A 799-2022</t>
        </is>
      </c>
      <c r="B1939" s="1" t="n">
        <v>44571</v>
      </c>
      <c r="C1939" s="1" t="n">
        <v>45952</v>
      </c>
      <c r="D1939" t="inlineStr">
        <is>
          <t>VÄSTRA GÖTALANDS LÄN</t>
        </is>
      </c>
      <c r="E1939" t="inlineStr">
        <is>
          <t>VÅRGÅRDA</t>
        </is>
      </c>
      <c r="G1939" t="n">
        <v>0.8</v>
      </c>
      <c r="H1939" t="n">
        <v>0</v>
      </c>
      <c r="I1939" t="n">
        <v>0</v>
      </c>
      <c r="J1939" t="n">
        <v>0</v>
      </c>
      <c r="K1939" t="n">
        <v>0</v>
      </c>
      <c r="L1939" t="n">
        <v>0</v>
      </c>
      <c r="M1939" t="n">
        <v>0</v>
      </c>
      <c r="N1939" t="n">
        <v>0</v>
      </c>
      <c r="O1939" t="n">
        <v>0</v>
      </c>
      <c r="P1939" t="n">
        <v>0</v>
      </c>
      <c r="Q1939" t="n">
        <v>0</v>
      </c>
      <c r="R1939" s="2" t="inlineStr"/>
    </row>
    <row r="1940" ht="15" customHeight="1">
      <c r="A1940" t="inlineStr">
        <is>
          <t>A 39441-2021</t>
        </is>
      </c>
      <c r="B1940" s="1" t="n">
        <v>44414</v>
      </c>
      <c r="C1940" s="1" t="n">
        <v>45952</v>
      </c>
      <c r="D1940" t="inlineStr">
        <is>
          <t>VÄSTRA GÖTALANDS LÄN</t>
        </is>
      </c>
      <c r="E1940" t="inlineStr">
        <is>
          <t>MUNKEDAL</t>
        </is>
      </c>
      <c r="G1940" t="n">
        <v>1.3</v>
      </c>
      <c r="H1940" t="n">
        <v>0</v>
      </c>
      <c r="I1940" t="n">
        <v>0</v>
      </c>
      <c r="J1940" t="n">
        <v>0</v>
      </c>
      <c r="K1940" t="n">
        <v>0</v>
      </c>
      <c r="L1940" t="n">
        <v>0</v>
      </c>
      <c r="M1940" t="n">
        <v>0</v>
      </c>
      <c r="N1940" t="n">
        <v>0</v>
      </c>
      <c r="O1940" t="n">
        <v>0</v>
      </c>
      <c r="P1940" t="n">
        <v>0</v>
      </c>
      <c r="Q1940" t="n">
        <v>0</v>
      </c>
      <c r="R1940" s="2" t="inlineStr"/>
    </row>
    <row r="1941" ht="15" customHeight="1">
      <c r="A1941" t="inlineStr">
        <is>
          <t>A 34658-2021</t>
        </is>
      </c>
      <c r="B1941" s="1" t="n">
        <v>44382</v>
      </c>
      <c r="C1941" s="1" t="n">
        <v>45952</v>
      </c>
      <c r="D1941" t="inlineStr">
        <is>
          <t>VÄSTRA GÖTALANDS LÄN</t>
        </is>
      </c>
      <c r="E1941" t="inlineStr">
        <is>
          <t>SKARA</t>
        </is>
      </c>
      <c r="G1941" t="n">
        <v>1.1</v>
      </c>
      <c r="H1941" t="n">
        <v>0</v>
      </c>
      <c r="I1941" t="n">
        <v>0</v>
      </c>
      <c r="J1941" t="n">
        <v>0</v>
      </c>
      <c r="K1941" t="n">
        <v>0</v>
      </c>
      <c r="L1941" t="n">
        <v>0</v>
      </c>
      <c r="M1941" t="n">
        <v>0</v>
      </c>
      <c r="N1941" t="n">
        <v>0</v>
      </c>
      <c r="O1941" t="n">
        <v>0</v>
      </c>
      <c r="P1941" t="n">
        <v>0</v>
      </c>
      <c r="Q1941" t="n">
        <v>0</v>
      </c>
      <c r="R1941" s="2" t="inlineStr"/>
    </row>
    <row r="1942" ht="15" customHeight="1">
      <c r="A1942" t="inlineStr">
        <is>
          <t>A 37755-2021</t>
        </is>
      </c>
      <c r="B1942" s="1" t="n">
        <v>44400</v>
      </c>
      <c r="C1942" s="1" t="n">
        <v>45952</v>
      </c>
      <c r="D1942" t="inlineStr">
        <is>
          <t>VÄSTRA GÖTALANDS LÄN</t>
        </is>
      </c>
      <c r="E1942" t="inlineStr">
        <is>
          <t>MARK</t>
        </is>
      </c>
      <c r="G1942" t="n">
        <v>3.6</v>
      </c>
      <c r="H1942" t="n">
        <v>0</v>
      </c>
      <c r="I1942" t="n">
        <v>0</v>
      </c>
      <c r="J1942" t="n">
        <v>0</v>
      </c>
      <c r="K1942" t="n">
        <v>0</v>
      </c>
      <c r="L1942" t="n">
        <v>0</v>
      </c>
      <c r="M1942" t="n">
        <v>0</v>
      </c>
      <c r="N1942" t="n">
        <v>0</v>
      </c>
      <c r="O1942" t="n">
        <v>0</v>
      </c>
      <c r="P1942" t="n">
        <v>0</v>
      </c>
      <c r="Q1942" t="n">
        <v>0</v>
      </c>
      <c r="R1942" s="2" t="inlineStr"/>
    </row>
    <row r="1943" ht="15" customHeight="1">
      <c r="A1943" t="inlineStr">
        <is>
          <t>A 37857-2021</t>
        </is>
      </c>
      <c r="B1943" s="1" t="n">
        <v>44403</v>
      </c>
      <c r="C1943" s="1" t="n">
        <v>45952</v>
      </c>
      <c r="D1943" t="inlineStr">
        <is>
          <t>VÄSTRA GÖTALANDS LÄN</t>
        </is>
      </c>
      <c r="E1943" t="inlineStr">
        <is>
          <t>BENGTSFORS</t>
        </is>
      </c>
      <c r="G1943" t="n">
        <v>2.1</v>
      </c>
      <c r="H1943" t="n">
        <v>0</v>
      </c>
      <c r="I1943" t="n">
        <v>0</v>
      </c>
      <c r="J1943" t="n">
        <v>0</v>
      </c>
      <c r="K1943" t="n">
        <v>0</v>
      </c>
      <c r="L1943" t="n">
        <v>0</v>
      </c>
      <c r="M1943" t="n">
        <v>0</v>
      </c>
      <c r="N1943" t="n">
        <v>0</v>
      </c>
      <c r="O1943" t="n">
        <v>0</v>
      </c>
      <c r="P1943" t="n">
        <v>0</v>
      </c>
      <c r="Q1943" t="n">
        <v>0</v>
      </c>
      <c r="R1943" s="2" t="inlineStr"/>
    </row>
    <row r="1944" ht="15" customHeight="1">
      <c r="A1944" t="inlineStr">
        <is>
          <t>A 72686-2021</t>
        </is>
      </c>
      <c r="B1944" s="1" t="n">
        <v>44546.65344907407</v>
      </c>
      <c r="C1944" s="1" t="n">
        <v>45952</v>
      </c>
      <c r="D1944" t="inlineStr">
        <is>
          <t>VÄSTRA GÖTALANDS LÄN</t>
        </is>
      </c>
      <c r="E1944" t="inlineStr">
        <is>
          <t>TIDAHOLM</t>
        </is>
      </c>
      <c r="G1944" t="n">
        <v>2.2</v>
      </c>
      <c r="H1944" t="n">
        <v>0</v>
      </c>
      <c r="I1944" t="n">
        <v>0</v>
      </c>
      <c r="J1944" t="n">
        <v>0</v>
      </c>
      <c r="K1944" t="n">
        <v>0</v>
      </c>
      <c r="L1944" t="n">
        <v>0</v>
      </c>
      <c r="M1944" t="n">
        <v>0</v>
      </c>
      <c r="N1944" t="n">
        <v>0</v>
      </c>
      <c r="O1944" t="n">
        <v>0</v>
      </c>
      <c r="P1944" t="n">
        <v>0</v>
      </c>
      <c r="Q1944" t="n">
        <v>0</v>
      </c>
      <c r="R1944" s="2" t="inlineStr"/>
    </row>
    <row r="1945" ht="15" customHeight="1">
      <c r="A1945" t="inlineStr">
        <is>
          <t>A 73823-2021</t>
        </is>
      </c>
      <c r="B1945" s="1" t="n">
        <v>44552</v>
      </c>
      <c r="C1945" s="1" t="n">
        <v>45952</v>
      </c>
      <c r="D1945" t="inlineStr">
        <is>
          <t>VÄSTRA GÖTALANDS LÄN</t>
        </is>
      </c>
      <c r="E1945" t="inlineStr">
        <is>
          <t>ULRICEHAMN</t>
        </is>
      </c>
      <c r="G1945" t="n">
        <v>4</v>
      </c>
      <c r="H1945" t="n">
        <v>0</v>
      </c>
      <c r="I1945" t="n">
        <v>0</v>
      </c>
      <c r="J1945" t="n">
        <v>0</v>
      </c>
      <c r="K1945" t="n">
        <v>0</v>
      </c>
      <c r="L1945" t="n">
        <v>0</v>
      </c>
      <c r="M1945" t="n">
        <v>0</v>
      </c>
      <c r="N1945" t="n">
        <v>0</v>
      </c>
      <c r="O1945" t="n">
        <v>0</v>
      </c>
      <c r="P1945" t="n">
        <v>0</v>
      </c>
      <c r="Q1945" t="n">
        <v>0</v>
      </c>
      <c r="R1945" s="2" t="inlineStr"/>
    </row>
    <row r="1946" ht="15" customHeight="1">
      <c r="A1946" t="inlineStr">
        <is>
          <t>A 1105-2022</t>
        </is>
      </c>
      <c r="B1946" s="1" t="n">
        <v>44572.31209490741</v>
      </c>
      <c r="C1946" s="1" t="n">
        <v>45952</v>
      </c>
      <c r="D1946" t="inlineStr">
        <is>
          <t>VÄSTRA GÖTALANDS LÄN</t>
        </is>
      </c>
      <c r="E1946" t="inlineStr">
        <is>
          <t>ALINGSÅS</t>
        </is>
      </c>
      <c r="G1946" t="n">
        <v>0.2</v>
      </c>
      <c r="H1946" t="n">
        <v>0</v>
      </c>
      <c r="I1946" t="n">
        <v>0</v>
      </c>
      <c r="J1946" t="n">
        <v>0</v>
      </c>
      <c r="K1946" t="n">
        <v>0</v>
      </c>
      <c r="L1946" t="n">
        <v>0</v>
      </c>
      <c r="M1946" t="n">
        <v>0</v>
      </c>
      <c r="N1946" t="n">
        <v>0</v>
      </c>
      <c r="O1946" t="n">
        <v>0</v>
      </c>
      <c r="P1946" t="n">
        <v>0</v>
      </c>
      <c r="Q1946" t="n">
        <v>0</v>
      </c>
      <c r="R1946" s="2" t="inlineStr"/>
    </row>
    <row r="1947" ht="15" customHeight="1">
      <c r="A1947" t="inlineStr">
        <is>
          <t>A 10-2022</t>
        </is>
      </c>
      <c r="B1947" s="1" t="n">
        <v>44563.73993055556</v>
      </c>
      <c r="C1947" s="1" t="n">
        <v>45952</v>
      </c>
      <c r="D1947" t="inlineStr">
        <is>
          <t>VÄSTRA GÖTALANDS LÄN</t>
        </is>
      </c>
      <c r="E1947" t="inlineStr">
        <is>
          <t>VÄNERSBORG</t>
        </is>
      </c>
      <c r="G1947" t="n">
        <v>1.8</v>
      </c>
      <c r="H1947" t="n">
        <v>0</v>
      </c>
      <c r="I1947" t="n">
        <v>0</v>
      </c>
      <c r="J1947" t="n">
        <v>0</v>
      </c>
      <c r="K1947" t="n">
        <v>0</v>
      </c>
      <c r="L1947" t="n">
        <v>0</v>
      </c>
      <c r="M1947" t="n">
        <v>0</v>
      </c>
      <c r="N1947" t="n">
        <v>0</v>
      </c>
      <c r="O1947" t="n">
        <v>0</v>
      </c>
      <c r="P1947" t="n">
        <v>0</v>
      </c>
      <c r="Q1947" t="n">
        <v>0</v>
      </c>
      <c r="R1947" s="2" t="inlineStr"/>
    </row>
    <row r="1948" ht="15" customHeight="1">
      <c r="A1948" t="inlineStr">
        <is>
          <t>A 73-2022</t>
        </is>
      </c>
      <c r="B1948" s="1" t="n">
        <v>44564.46929398148</v>
      </c>
      <c r="C1948" s="1" t="n">
        <v>45952</v>
      </c>
      <c r="D1948" t="inlineStr">
        <is>
          <t>VÄSTRA GÖTALANDS LÄN</t>
        </is>
      </c>
      <c r="E1948" t="inlineStr">
        <is>
          <t>MELLERUD</t>
        </is>
      </c>
      <c r="G1948" t="n">
        <v>3.8</v>
      </c>
      <c r="H1948" t="n">
        <v>0</v>
      </c>
      <c r="I1948" t="n">
        <v>0</v>
      </c>
      <c r="J1948" t="n">
        <v>0</v>
      </c>
      <c r="K1948" t="n">
        <v>0</v>
      </c>
      <c r="L1948" t="n">
        <v>0</v>
      </c>
      <c r="M1948" t="n">
        <v>0</v>
      </c>
      <c r="N1948" t="n">
        <v>0</v>
      </c>
      <c r="O1948" t="n">
        <v>0</v>
      </c>
      <c r="P1948" t="n">
        <v>0</v>
      </c>
      <c r="Q1948" t="n">
        <v>0</v>
      </c>
      <c r="R1948" s="2" t="inlineStr"/>
    </row>
    <row r="1949" ht="15" customHeight="1">
      <c r="A1949" t="inlineStr">
        <is>
          <t>A 67772-2020</t>
        </is>
      </c>
      <c r="B1949" s="1" t="n">
        <v>44181</v>
      </c>
      <c r="C1949" s="1" t="n">
        <v>45952</v>
      </c>
      <c r="D1949" t="inlineStr">
        <is>
          <t>VÄSTRA GÖTALANDS LÄN</t>
        </is>
      </c>
      <c r="E1949" t="inlineStr">
        <is>
          <t>LIDKÖPING</t>
        </is>
      </c>
      <c r="G1949" t="n">
        <v>0.1</v>
      </c>
      <c r="H1949" t="n">
        <v>0</v>
      </c>
      <c r="I1949" t="n">
        <v>0</v>
      </c>
      <c r="J1949" t="n">
        <v>0</v>
      </c>
      <c r="K1949" t="n">
        <v>0</v>
      </c>
      <c r="L1949" t="n">
        <v>0</v>
      </c>
      <c r="M1949" t="n">
        <v>0</v>
      </c>
      <c r="N1949" t="n">
        <v>0</v>
      </c>
      <c r="O1949" t="n">
        <v>0</v>
      </c>
      <c r="P1949" t="n">
        <v>0</v>
      </c>
      <c r="Q1949" t="n">
        <v>0</v>
      </c>
      <c r="R1949" s="2" t="inlineStr"/>
    </row>
    <row r="1950" ht="15" customHeight="1">
      <c r="A1950" t="inlineStr">
        <is>
          <t>A 33528-2021</t>
        </is>
      </c>
      <c r="B1950" s="1" t="n">
        <v>44377.80355324074</v>
      </c>
      <c r="C1950" s="1" t="n">
        <v>45952</v>
      </c>
      <c r="D1950" t="inlineStr">
        <is>
          <t>VÄSTRA GÖTALANDS LÄN</t>
        </is>
      </c>
      <c r="E1950" t="inlineStr">
        <is>
          <t>LILLA EDET</t>
        </is>
      </c>
      <c r="G1950" t="n">
        <v>0.7</v>
      </c>
      <c r="H1950" t="n">
        <v>0</v>
      </c>
      <c r="I1950" t="n">
        <v>0</v>
      </c>
      <c r="J1950" t="n">
        <v>0</v>
      </c>
      <c r="K1950" t="n">
        <v>0</v>
      </c>
      <c r="L1950" t="n">
        <v>0</v>
      </c>
      <c r="M1950" t="n">
        <v>0</v>
      </c>
      <c r="N1950" t="n">
        <v>0</v>
      </c>
      <c r="O1950" t="n">
        <v>0</v>
      </c>
      <c r="P1950" t="n">
        <v>0</v>
      </c>
      <c r="Q1950" t="n">
        <v>0</v>
      </c>
      <c r="R1950" s="2" t="inlineStr"/>
    </row>
    <row r="1951" ht="15" customHeight="1">
      <c r="A1951" t="inlineStr">
        <is>
          <t>A 52505-2022</t>
        </is>
      </c>
      <c r="B1951" s="1" t="n">
        <v>44874.53378472223</v>
      </c>
      <c r="C1951" s="1" t="n">
        <v>45952</v>
      </c>
      <c r="D1951" t="inlineStr">
        <is>
          <t>VÄSTRA GÖTALANDS LÄN</t>
        </is>
      </c>
      <c r="E1951" t="inlineStr">
        <is>
          <t>MARK</t>
        </is>
      </c>
      <c r="G1951" t="n">
        <v>0.6</v>
      </c>
      <c r="H1951" t="n">
        <v>0</v>
      </c>
      <c r="I1951" t="n">
        <v>0</v>
      </c>
      <c r="J1951" t="n">
        <v>0</v>
      </c>
      <c r="K1951" t="n">
        <v>0</v>
      </c>
      <c r="L1951" t="n">
        <v>0</v>
      </c>
      <c r="M1951" t="n">
        <v>0</v>
      </c>
      <c r="N1951" t="n">
        <v>0</v>
      </c>
      <c r="O1951" t="n">
        <v>0</v>
      </c>
      <c r="P1951" t="n">
        <v>0</v>
      </c>
      <c r="Q1951" t="n">
        <v>0</v>
      </c>
      <c r="R1951" s="2" t="inlineStr"/>
    </row>
    <row r="1952" ht="15" customHeight="1">
      <c r="A1952" t="inlineStr">
        <is>
          <t>A 47306-2021</t>
        </is>
      </c>
      <c r="B1952" s="1" t="n">
        <v>44447</v>
      </c>
      <c r="C1952" s="1" t="n">
        <v>45952</v>
      </c>
      <c r="D1952" t="inlineStr">
        <is>
          <t>VÄSTRA GÖTALANDS LÄN</t>
        </is>
      </c>
      <c r="E1952" t="inlineStr">
        <is>
          <t>BORÅS</t>
        </is>
      </c>
      <c r="G1952" t="n">
        <v>3.9</v>
      </c>
      <c r="H1952" t="n">
        <v>0</v>
      </c>
      <c r="I1952" t="n">
        <v>0</v>
      </c>
      <c r="J1952" t="n">
        <v>0</v>
      </c>
      <c r="K1952" t="n">
        <v>0</v>
      </c>
      <c r="L1952" t="n">
        <v>0</v>
      </c>
      <c r="M1952" t="n">
        <v>0</v>
      </c>
      <c r="N1952" t="n">
        <v>0</v>
      </c>
      <c r="O1952" t="n">
        <v>0</v>
      </c>
      <c r="P1952" t="n">
        <v>0</v>
      </c>
      <c r="Q1952" t="n">
        <v>0</v>
      </c>
      <c r="R1952" s="2" t="inlineStr"/>
    </row>
    <row r="1953" ht="15" customHeight="1">
      <c r="A1953" t="inlineStr">
        <is>
          <t>A 69554-2020</t>
        </is>
      </c>
      <c r="B1953" s="1" t="n">
        <v>44194</v>
      </c>
      <c r="C1953" s="1" t="n">
        <v>45952</v>
      </c>
      <c r="D1953" t="inlineStr">
        <is>
          <t>VÄSTRA GÖTALANDS LÄN</t>
        </is>
      </c>
      <c r="E1953" t="inlineStr">
        <is>
          <t>TROLLHÄTTAN</t>
        </is>
      </c>
      <c r="G1953" t="n">
        <v>3</v>
      </c>
      <c r="H1953" t="n">
        <v>0</v>
      </c>
      <c r="I1953" t="n">
        <v>0</v>
      </c>
      <c r="J1953" t="n">
        <v>0</v>
      </c>
      <c r="K1953" t="n">
        <v>0</v>
      </c>
      <c r="L1953" t="n">
        <v>0</v>
      </c>
      <c r="M1953" t="n">
        <v>0</v>
      </c>
      <c r="N1953" t="n">
        <v>0</v>
      </c>
      <c r="O1953" t="n">
        <v>0</v>
      </c>
      <c r="P1953" t="n">
        <v>0</v>
      </c>
      <c r="Q1953" t="n">
        <v>0</v>
      </c>
      <c r="R1953" s="2" t="inlineStr"/>
    </row>
    <row r="1954" ht="15" customHeight="1">
      <c r="A1954" t="inlineStr">
        <is>
          <t>A 33678-2021</t>
        </is>
      </c>
      <c r="B1954" s="1" t="n">
        <v>44378.41319444445</v>
      </c>
      <c r="C1954" s="1" t="n">
        <v>45952</v>
      </c>
      <c r="D1954" t="inlineStr">
        <is>
          <t>VÄSTRA GÖTALANDS LÄN</t>
        </is>
      </c>
      <c r="E1954" t="inlineStr">
        <is>
          <t>VARA</t>
        </is>
      </c>
      <c r="G1954" t="n">
        <v>1.2</v>
      </c>
      <c r="H1954" t="n">
        <v>0</v>
      </c>
      <c r="I1954" t="n">
        <v>0</v>
      </c>
      <c r="J1954" t="n">
        <v>0</v>
      </c>
      <c r="K1954" t="n">
        <v>0</v>
      </c>
      <c r="L1954" t="n">
        <v>0</v>
      </c>
      <c r="M1954" t="n">
        <v>0</v>
      </c>
      <c r="N1954" t="n">
        <v>0</v>
      </c>
      <c r="O1954" t="n">
        <v>0</v>
      </c>
      <c r="P1954" t="n">
        <v>0</v>
      </c>
      <c r="Q1954" t="n">
        <v>0</v>
      </c>
      <c r="R1954" s="2" t="inlineStr"/>
    </row>
    <row r="1955" ht="15" customHeight="1">
      <c r="A1955" t="inlineStr">
        <is>
          <t>A 34030-2021</t>
        </is>
      </c>
      <c r="B1955" s="1" t="n">
        <v>44378</v>
      </c>
      <c r="C1955" s="1" t="n">
        <v>45952</v>
      </c>
      <c r="D1955" t="inlineStr">
        <is>
          <t>VÄSTRA GÖTALANDS LÄN</t>
        </is>
      </c>
      <c r="E1955" t="inlineStr">
        <is>
          <t>DALS-ED</t>
        </is>
      </c>
      <c r="G1955" t="n">
        <v>3.5</v>
      </c>
      <c r="H1955" t="n">
        <v>0</v>
      </c>
      <c r="I1955" t="n">
        <v>0</v>
      </c>
      <c r="J1955" t="n">
        <v>0</v>
      </c>
      <c r="K1955" t="n">
        <v>0</v>
      </c>
      <c r="L1955" t="n">
        <v>0</v>
      </c>
      <c r="M1955" t="n">
        <v>0</v>
      </c>
      <c r="N1955" t="n">
        <v>0</v>
      </c>
      <c r="O1955" t="n">
        <v>0</v>
      </c>
      <c r="P1955" t="n">
        <v>0</v>
      </c>
      <c r="Q1955" t="n">
        <v>0</v>
      </c>
      <c r="R1955" s="2" t="inlineStr"/>
    </row>
    <row r="1956" ht="15" customHeight="1">
      <c r="A1956" t="inlineStr">
        <is>
          <t>A 55476-2021</t>
        </is>
      </c>
      <c r="B1956" s="1" t="n">
        <v>44475</v>
      </c>
      <c r="C1956" s="1" t="n">
        <v>45952</v>
      </c>
      <c r="D1956" t="inlineStr">
        <is>
          <t>VÄSTRA GÖTALANDS LÄN</t>
        </is>
      </c>
      <c r="E1956" t="inlineStr">
        <is>
          <t>BORÅS</t>
        </is>
      </c>
      <c r="G1956" t="n">
        <v>0.9</v>
      </c>
      <c r="H1956" t="n">
        <v>0</v>
      </c>
      <c r="I1956" t="n">
        <v>0</v>
      </c>
      <c r="J1956" t="n">
        <v>0</v>
      </c>
      <c r="K1956" t="n">
        <v>0</v>
      </c>
      <c r="L1956" t="n">
        <v>0</v>
      </c>
      <c r="M1956" t="n">
        <v>0</v>
      </c>
      <c r="N1956" t="n">
        <v>0</v>
      </c>
      <c r="O1956" t="n">
        <v>0</v>
      </c>
      <c r="P1956" t="n">
        <v>0</v>
      </c>
      <c r="Q1956" t="n">
        <v>0</v>
      </c>
      <c r="R1956" s="2" t="inlineStr"/>
    </row>
    <row r="1957" ht="15" customHeight="1">
      <c r="A1957" t="inlineStr">
        <is>
          <t>A 35810-2021</t>
        </is>
      </c>
      <c r="B1957" s="1" t="n">
        <v>44386</v>
      </c>
      <c r="C1957" s="1" t="n">
        <v>45952</v>
      </c>
      <c r="D1957" t="inlineStr">
        <is>
          <t>VÄSTRA GÖTALANDS LÄN</t>
        </is>
      </c>
      <c r="E1957" t="inlineStr">
        <is>
          <t>ORUST</t>
        </is>
      </c>
      <c r="G1957" t="n">
        <v>4</v>
      </c>
      <c r="H1957" t="n">
        <v>0</v>
      </c>
      <c r="I1957" t="n">
        <v>0</v>
      </c>
      <c r="J1957" t="n">
        <v>0</v>
      </c>
      <c r="K1957" t="n">
        <v>0</v>
      </c>
      <c r="L1957" t="n">
        <v>0</v>
      </c>
      <c r="M1957" t="n">
        <v>0</v>
      </c>
      <c r="N1957" t="n">
        <v>0</v>
      </c>
      <c r="O1957" t="n">
        <v>0</v>
      </c>
      <c r="P1957" t="n">
        <v>0</v>
      </c>
      <c r="Q1957" t="n">
        <v>0</v>
      </c>
      <c r="R1957" s="2" t="inlineStr"/>
    </row>
    <row r="1958" ht="15" customHeight="1">
      <c r="A1958" t="inlineStr">
        <is>
          <t>A 38992-2021</t>
        </is>
      </c>
      <c r="B1958" s="1" t="n">
        <v>44411</v>
      </c>
      <c r="C1958" s="1" t="n">
        <v>45952</v>
      </c>
      <c r="D1958" t="inlineStr">
        <is>
          <t>VÄSTRA GÖTALANDS LÄN</t>
        </is>
      </c>
      <c r="E1958" t="inlineStr">
        <is>
          <t>MUNKEDAL</t>
        </is>
      </c>
      <c r="G1958" t="n">
        <v>2.3</v>
      </c>
      <c r="H1958" t="n">
        <v>0</v>
      </c>
      <c r="I1958" t="n">
        <v>0</v>
      </c>
      <c r="J1958" t="n">
        <v>0</v>
      </c>
      <c r="K1958" t="n">
        <v>0</v>
      </c>
      <c r="L1958" t="n">
        <v>0</v>
      </c>
      <c r="M1958" t="n">
        <v>0</v>
      </c>
      <c r="N1958" t="n">
        <v>0</v>
      </c>
      <c r="O1958" t="n">
        <v>0</v>
      </c>
      <c r="P1958" t="n">
        <v>0</v>
      </c>
      <c r="Q1958" t="n">
        <v>0</v>
      </c>
      <c r="R1958" s="2" t="inlineStr"/>
    </row>
    <row r="1959" ht="15" customHeight="1">
      <c r="A1959" t="inlineStr">
        <is>
          <t>A 44821-2021</t>
        </is>
      </c>
      <c r="B1959" s="1" t="n">
        <v>44438.53459490741</v>
      </c>
      <c r="C1959" s="1" t="n">
        <v>45952</v>
      </c>
      <c r="D1959" t="inlineStr">
        <is>
          <t>VÄSTRA GÖTALANDS LÄN</t>
        </is>
      </c>
      <c r="E1959" t="inlineStr">
        <is>
          <t>MARIESTAD</t>
        </is>
      </c>
      <c r="G1959" t="n">
        <v>1.5</v>
      </c>
      <c r="H1959" t="n">
        <v>0</v>
      </c>
      <c r="I1959" t="n">
        <v>0</v>
      </c>
      <c r="J1959" t="n">
        <v>0</v>
      </c>
      <c r="K1959" t="n">
        <v>0</v>
      </c>
      <c r="L1959" t="n">
        <v>0</v>
      </c>
      <c r="M1959" t="n">
        <v>0</v>
      </c>
      <c r="N1959" t="n">
        <v>0</v>
      </c>
      <c r="O1959" t="n">
        <v>0</v>
      </c>
      <c r="P1959" t="n">
        <v>0</v>
      </c>
      <c r="Q1959" t="n">
        <v>0</v>
      </c>
      <c r="R1959" s="2" t="inlineStr"/>
    </row>
    <row r="1960" ht="15" customHeight="1">
      <c r="A1960" t="inlineStr">
        <is>
          <t>A 44833-2021</t>
        </is>
      </c>
      <c r="B1960" s="1" t="n">
        <v>44438.55181712963</v>
      </c>
      <c r="C1960" s="1" t="n">
        <v>45952</v>
      </c>
      <c r="D1960" t="inlineStr">
        <is>
          <t>VÄSTRA GÖTALANDS LÄN</t>
        </is>
      </c>
      <c r="E1960" t="inlineStr">
        <is>
          <t>MELLERUD</t>
        </is>
      </c>
      <c r="G1960" t="n">
        <v>7</v>
      </c>
      <c r="H1960" t="n">
        <v>0</v>
      </c>
      <c r="I1960" t="n">
        <v>0</v>
      </c>
      <c r="J1960" t="n">
        <v>0</v>
      </c>
      <c r="K1960" t="n">
        <v>0</v>
      </c>
      <c r="L1960" t="n">
        <v>0</v>
      </c>
      <c r="M1960" t="n">
        <v>0</v>
      </c>
      <c r="N1960" t="n">
        <v>0</v>
      </c>
      <c r="O1960" t="n">
        <v>0</v>
      </c>
      <c r="P1960" t="n">
        <v>0</v>
      </c>
      <c r="Q1960" t="n">
        <v>0</v>
      </c>
      <c r="R1960" s="2" t="inlineStr"/>
    </row>
    <row r="1961" ht="15" customHeight="1">
      <c r="A1961" t="inlineStr">
        <is>
          <t>A 56157-2021</t>
        </is>
      </c>
      <c r="B1961" s="1" t="n">
        <v>44477.65078703704</v>
      </c>
      <c r="C1961" s="1" t="n">
        <v>45952</v>
      </c>
      <c r="D1961" t="inlineStr">
        <is>
          <t>VÄSTRA GÖTALANDS LÄN</t>
        </is>
      </c>
      <c r="E1961" t="inlineStr">
        <is>
          <t>GÖTENE</t>
        </is>
      </c>
      <c r="G1961" t="n">
        <v>1.3</v>
      </c>
      <c r="H1961" t="n">
        <v>0</v>
      </c>
      <c r="I1961" t="n">
        <v>0</v>
      </c>
      <c r="J1961" t="n">
        <v>0</v>
      </c>
      <c r="K1961" t="n">
        <v>0</v>
      </c>
      <c r="L1961" t="n">
        <v>0</v>
      </c>
      <c r="M1961" t="n">
        <v>0</v>
      </c>
      <c r="N1961" t="n">
        <v>0</v>
      </c>
      <c r="O1961" t="n">
        <v>0</v>
      </c>
      <c r="P1961" t="n">
        <v>0</v>
      </c>
      <c r="Q1961" t="n">
        <v>0</v>
      </c>
      <c r="R1961" s="2" t="inlineStr"/>
    </row>
    <row r="1962" ht="15" customHeight="1">
      <c r="A1962" t="inlineStr">
        <is>
          <t>A 50532-2021</t>
        </is>
      </c>
      <c r="B1962" s="1" t="n">
        <v>44459.60774305555</v>
      </c>
      <c r="C1962" s="1" t="n">
        <v>45952</v>
      </c>
      <c r="D1962" t="inlineStr">
        <is>
          <t>VÄSTRA GÖTALANDS LÄN</t>
        </is>
      </c>
      <c r="E1962" t="inlineStr">
        <is>
          <t>SVENLJUNGA</t>
        </is>
      </c>
      <c r="G1962" t="n">
        <v>2.2</v>
      </c>
      <c r="H1962" t="n">
        <v>0</v>
      </c>
      <c r="I1962" t="n">
        <v>0</v>
      </c>
      <c r="J1962" t="n">
        <v>0</v>
      </c>
      <c r="K1962" t="n">
        <v>0</v>
      </c>
      <c r="L1962" t="n">
        <v>0</v>
      </c>
      <c r="M1962" t="n">
        <v>0</v>
      </c>
      <c r="N1962" t="n">
        <v>0</v>
      </c>
      <c r="O1962" t="n">
        <v>0</v>
      </c>
      <c r="P1962" t="n">
        <v>0</v>
      </c>
      <c r="Q1962" t="n">
        <v>0</v>
      </c>
      <c r="R1962" s="2" t="inlineStr"/>
    </row>
    <row r="1963" ht="15" customHeight="1">
      <c r="A1963" t="inlineStr">
        <is>
          <t>A 50551-2021</t>
        </is>
      </c>
      <c r="B1963" s="1" t="n">
        <v>44459</v>
      </c>
      <c r="C1963" s="1" t="n">
        <v>45952</v>
      </c>
      <c r="D1963" t="inlineStr">
        <is>
          <t>VÄSTRA GÖTALANDS LÄN</t>
        </is>
      </c>
      <c r="E1963" t="inlineStr">
        <is>
          <t>TANUM</t>
        </is>
      </c>
      <c r="G1963" t="n">
        <v>0.5</v>
      </c>
      <c r="H1963" t="n">
        <v>0</v>
      </c>
      <c r="I1963" t="n">
        <v>0</v>
      </c>
      <c r="J1963" t="n">
        <v>0</v>
      </c>
      <c r="K1963" t="n">
        <v>0</v>
      </c>
      <c r="L1963" t="n">
        <v>0</v>
      </c>
      <c r="M1963" t="n">
        <v>0</v>
      </c>
      <c r="N1963" t="n">
        <v>0</v>
      </c>
      <c r="O1963" t="n">
        <v>0</v>
      </c>
      <c r="P1963" t="n">
        <v>0</v>
      </c>
      <c r="Q1963" t="n">
        <v>0</v>
      </c>
      <c r="R1963" s="2" t="inlineStr"/>
    </row>
    <row r="1964" ht="15" customHeight="1">
      <c r="A1964" t="inlineStr">
        <is>
          <t>A 62339-2021</t>
        </is>
      </c>
      <c r="B1964" s="1" t="n">
        <v>44503</v>
      </c>
      <c r="C1964" s="1" t="n">
        <v>45952</v>
      </c>
      <c r="D1964" t="inlineStr">
        <is>
          <t>VÄSTRA GÖTALANDS LÄN</t>
        </is>
      </c>
      <c r="E1964" t="inlineStr">
        <is>
          <t>TÖREBODA</t>
        </is>
      </c>
      <c r="G1964" t="n">
        <v>5.1</v>
      </c>
      <c r="H1964" t="n">
        <v>0</v>
      </c>
      <c r="I1964" t="n">
        <v>0</v>
      </c>
      <c r="J1964" t="n">
        <v>0</v>
      </c>
      <c r="K1964" t="n">
        <v>0</v>
      </c>
      <c r="L1964" t="n">
        <v>0</v>
      </c>
      <c r="M1964" t="n">
        <v>0</v>
      </c>
      <c r="N1964" t="n">
        <v>0</v>
      </c>
      <c r="O1964" t="n">
        <v>0</v>
      </c>
      <c r="P1964" t="n">
        <v>0</v>
      </c>
      <c r="Q1964" t="n">
        <v>0</v>
      </c>
      <c r="R1964" s="2" t="inlineStr"/>
    </row>
    <row r="1965" ht="15" customHeight="1">
      <c r="A1965" t="inlineStr">
        <is>
          <t>A 50459-2021</t>
        </is>
      </c>
      <c r="B1965" s="1" t="n">
        <v>44459.53096064815</v>
      </c>
      <c r="C1965" s="1" t="n">
        <v>45952</v>
      </c>
      <c r="D1965" t="inlineStr">
        <is>
          <t>VÄSTRA GÖTALANDS LÄN</t>
        </is>
      </c>
      <c r="E1965" t="inlineStr">
        <is>
          <t>DALS-ED</t>
        </is>
      </c>
      <c r="G1965" t="n">
        <v>1.3</v>
      </c>
      <c r="H1965" t="n">
        <v>0</v>
      </c>
      <c r="I1965" t="n">
        <v>0</v>
      </c>
      <c r="J1965" t="n">
        <v>0</v>
      </c>
      <c r="K1965" t="n">
        <v>0</v>
      </c>
      <c r="L1965" t="n">
        <v>0</v>
      </c>
      <c r="M1965" t="n">
        <v>0</v>
      </c>
      <c r="N1965" t="n">
        <v>0</v>
      </c>
      <c r="O1965" t="n">
        <v>0</v>
      </c>
      <c r="P1965" t="n">
        <v>0</v>
      </c>
      <c r="Q1965" t="n">
        <v>0</v>
      </c>
      <c r="R1965" s="2" t="inlineStr"/>
    </row>
    <row r="1966" ht="15" customHeight="1">
      <c r="A1966" t="inlineStr">
        <is>
          <t>A 41156-2021</t>
        </is>
      </c>
      <c r="B1966" s="1" t="n">
        <v>44421</v>
      </c>
      <c r="C1966" s="1" t="n">
        <v>45952</v>
      </c>
      <c r="D1966" t="inlineStr">
        <is>
          <t>VÄSTRA GÖTALANDS LÄN</t>
        </is>
      </c>
      <c r="E1966" t="inlineStr">
        <is>
          <t>SKÖVDE</t>
        </is>
      </c>
      <c r="G1966" t="n">
        <v>4</v>
      </c>
      <c r="H1966" t="n">
        <v>0</v>
      </c>
      <c r="I1966" t="n">
        <v>0</v>
      </c>
      <c r="J1966" t="n">
        <v>0</v>
      </c>
      <c r="K1966" t="n">
        <v>0</v>
      </c>
      <c r="L1966" t="n">
        <v>0</v>
      </c>
      <c r="M1966" t="n">
        <v>0</v>
      </c>
      <c r="N1966" t="n">
        <v>0</v>
      </c>
      <c r="O1966" t="n">
        <v>0</v>
      </c>
      <c r="P1966" t="n">
        <v>0</v>
      </c>
      <c r="Q1966" t="n">
        <v>0</v>
      </c>
      <c r="R1966" s="2" t="inlineStr"/>
    </row>
    <row r="1967" ht="15" customHeight="1">
      <c r="A1967" t="inlineStr">
        <is>
          <t>A 6063-2022</t>
        </is>
      </c>
      <c r="B1967" s="1" t="n">
        <v>44599</v>
      </c>
      <c r="C1967" s="1" t="n">
        <v>45952</v>
      </c>
      <c r="D1967" t="inlineStr">
        <is>
          <t>VÄSTRA GÖTALANDS LÄN</t>
        </is>
      </c>
      <c r="E1967" t="inlineStr">
        <is>
          <t>UDDEVALLA</t>
        </is>
      </c>
      <c r="G1967" t="n">
        <v>14.4</v>
      </c>
      <c r="H1967" t="n">
        <v>0</v>
      </c>
      <c r="I1967" t="n">
        <v>0</v>
      </c>
      <c r="J1967" t="n">
        <v>0</v>
      </c>
      <c r="K1967" t="n">
        <v>0</v>
      </c>
      <c r="L1967" t="n">
        <v>0</v>
      </c>
      <c r="M1967" t="n">
        <v>0</v>
      </c>
      <c r="N1967" t="n">
        <v>0</v>
      </c>
      <c r="O1967" t="n">
        <v>0</v>
      </c>
      <c r="P1967" t="n">
        <v>0</v>
      </c>
      <c r="Q1967" t="n">
        <v>0</v>
      </c>
      <c r="R1967" s="2" t="inlineStr"/>
    </row>
    <row r="1968" ht="15" customHeight="1">
      <c r="A1968" t="inlineStr">
        <is>
          <t>A 12903-2021</t>
        </is>
      </c>
      <c r="B1968" s="1" t="n">
        <v>44271.47305555556</v>
      </c>
      <c r="C1968" s="1" t="n">
        <v>45952</v>
      </c>
      <c r="D1968" t="inlineStr">
        <is>
          <t>VÄSTRA GÖTALANDS LÄN</t>
        </is>
      </c>
      <c r="E1968" t="inlineStr">
        <is>
          <t>VÅRGÅRDA</t>
        </is>
      </c>
      <c r="G1968" t="n">
        <v>1.1</v>
      </c>
      <c r="H1968" t="n">
        <v>0</v>
      </c>
      <c r="I1968" t="n">
        <v>0</v>
      </c>
      <c r="J1968" t="n">
        <v>0</v>
      </c>
      <c r="K1968" t="n">
        <v>0</v>
      </c>
      <c r="L1968" t="n">
        <v>0</v>
      </c>
      <c r="M1968" t="n">
        <v>0</v>
      </c>
      <c r="N1968" t="n">
        <v>0</v>
      </c>
      <c r="O1968" t="n">
        <v>0</v>
      </c>
      <c r="P1968" t="n">
        <v>0</v>
      </c>
      <c r="Q1968" t="n">
        <v>0</v>
      </c>
      <c r="R1968" s="2" t="inlineStr"/>
    </row>
    <row r="1969" ht="15" customHeight="1">
      <c r="A1969" t="inlineStr">
        <is>
          <t>A 12906-2021</t>
        </is>
      </c>
      <c r="B1969" s="1" t="n">
        <v>44271.47340277778</v>
      </c>
      <c r="C1969" s="1" t="n">
        <v>45952</v>
      </c>
      <c r="D1969" t="inlineStr">
        <is>
          <t>VÄSTRA GÖTALANDS LÄN</t>
        </is>
      </c>
      <c r="E1969" t="inlineStr">
        <is>
          <t>HÄRRYDA</t>
        </is>
      </c>
      <c r="G1969" t="n">
        <v>0.5</v>
      </c>
      <c r="H1969" t="n">
        <v>0</v>
      </c>
      <c r="I1969" t="n">
        <v>0</v>
      </c>
      <c r="J1969" t="n">
        <v>0</v>
      </c>
      <c r="K1969" t="n">
        <v>0</v>
      </c>
      <c r="L1969" t="n">
        <v>0</v>
      </c>
      <c r="M1969" t="n">
        <v>0</v>
      </c>
      <c r="N1969" t="n">
        <v>0</v>
      </c>
      <c r="O1969" t="n">
        <v>0</v>
      </c>
      <c r="P1969" t="n">
        <v>0</v>
      </c>
      <c r="Q1969" t="n">
        <v>0</v>
      </c>
      <c r="R1969" s="2" t="inlineStr"/>
    </row>
    <row r="1970" ht="15" customHeight="1">
      <c r="A1970" t="inlineStr">
        <is>
          <t>A 37804-2021</t>
        </is>
      </c>
      <c r="B1970" s="1" t="n">
        <v>44402</v>
      </c>
      <c r="C1970" s="1" t="n">
        <v>45952</v>
      </c>
      <c r="D1970" t="inlineStr">
        <is>
          <t>VÄSTRA GÖTALANDS LÄN</t>
        </is>
      </c>
      <c r="E1970" t="inlineStr">
        <is>
          <t>ÅMÅL</t>
        </is>
      </c>
      <c r="G1970" t="n">
        <v>0.6</v>
      </c>
      <c r="H1970" t="n">
        <v>0</v>
      </c>
      <c r="I1970" t="n">
        <v>0</v>
      </c>
      <c r="J1970" t="n">
        <v>0</v>
      </c>
      <c r="K1970" t="n">
        <v>0</v>
      </c>
      <c r="L1970" t="n">
        <v>0</v>
      </c>
      <c r="M1970" t="n">
        <v>0</v>
      </c>
      <c r="N1970" t="n">
        <v>0</v>
      </c>
      <c r="O1970" t="n">
        <v>0</v>
      </c>
      <c r="P1970" t="n">
        <v>0</v>
      </c>
      <c r="Q1970" t="n">
        <v>0</v>
      </c>
      <c r="R1970" s="2" t="inlineStr"/>
    </row>
    <row r="1971" ht="15" customHeight="1">
      <c r="A1971" t="inlineStr">
        <is>
          <t>A 20138-2021</t>
        </is>
      </c>
      <c r="B1971" s="1" t="n">
        <v>44314.4852662037</v>
      </c>
      <c r="C1971" s="1" t="n">
        <v>45952</v>
      </c>
      <c r="D1971" t="inlineStr">
        <is>
          <t>VÄSTRA GÖTALANDS LÄN</t>
        </is>
      </c>
      <c r="E1971" t="inlineStr">
        <is>
          <t>VÄNERSBORG</t>
        </is>
      </c>
      <c r="G1971" t="n">
        <v>2.7</v>
      </c>
      <c r="H1971" t="n">
        <v>0</v>
      </c>
      <c r="I1971" t="n">
        <v>0</v>
      </c>
      <c r="J1971" t="n">
        <v>0</v>
      </c>
      <c r="K1971" t="n">
        <v>0</v>
      </c>
      <c r="L1971" t="n">
        <v>0</v>
      </c>
      <c r="M1971" t="n">
        <v>0</v>
      </c>
      <c r="N1971" t="n">
        <v>0</v>
      </c>
      <c r="O1971" t="n">
        <v>0</v>
      </c>
      <c r="P1971" t="n">
        <v>0</v>
      </c>
      <c r="Q1971" t="n">
        <v>0</v>
      </c>
      <c r="R1971" s="2" t="inlineStr"/>
    </row>
    <row r="1972" ht="15" customHeight="1">
      <c r="A1972" t="inlineStr">
        <is>
          <t>A 12204-2021</t>
        </is>
      </c>
      <c r="B1972" s="1" t="n">
        <v>44266.65212962963</v>
      </c>
      <c r="C1972" s="1" t="n">
        <v>45952</v>
      </c>
      <c r="D1972" t="inlineStr">
        <is>
          <t>VÄSTRA GÖTALANDS LÄN</t>
        </is>
      </c>
      <c r="E1972" t="inlineStr">
        <is>
          <t>KARLSBORG</t>
        </is>
      </c>
      <c r="G1972" t="n">
        <v>0.5</v>
      </c>
      <c r="H1972" t="n">
        <v>0</v>
      </c>
      <c r="I1972" t="n">
        <v>0</v>
      </c>
      <c r="J1972" t="n">
        <v>0</v>
      </c>
      <c r="K1972" t="n">
        <v>0</v>
      </c>
      <c r="L1972" t="n">
        <v>0</v>
      </c>
      <c r="M1972" t="n">
        <v>0</v>
      </c>
      <c r="N1972" t="n">
        <v>0</v>
      </c>
      <c r="O1972" t="n">
        <v>0</v>
      </c>
      <c r="P1972" t="n">
        <v>0</v>
      </c>
      <c r="Q1972" t="n">
        <v>0</v>
      </c>
      <c r="R1972" s="2" t="inlineStr"/>
    </row>
    <row r="1973" ht="15" customHeight="1">
      <c r="A1973" t="inlineStr">
        <is>
          <t>A 46851-2021</t>
        </is>
      </c>
      <c r="B1973" s="1" t="n">
        <v>44446</v>
      </c>
      <c r="C1973" s="1" t="n">
        <v>45952</v>
      </c>
      <c r="D1973" t="inlineStr">
        <is>
          <t>VÄSTRA GÖTALANDS LÄN</t>
        </is>
      </c>
      <c r="E1973" t="inlineStr">
        <is>
          <t>FÄRGELANDA</t>
        </is>
      </c>
      <c r="G1973" t="n">
        <v>3.2</v>
      </c>
      <c r="H1973" t="n">
        <v>0</v>
      </c>
      <c r="I1973" t="n">
        <v>0</v>
      </c>
      <c r="J1973" t="n">
        <v>0</v>
      </c>
      <c r="K1973" t="n">
        <v>0</v>
      </c>
      <c r="L1973" t="n">
        <v>0</v>
      </c>
      <c r="M1973" t="n">
        <v>0</v>
      </c>
      <c r="N1973" t="n">
        <v>0</v>
      </c>
      <c r="O1973" t="n">
        <v>0</v>
      </c>
      <c r="P1973" t="n">
        <v>0</v>
      </c>
      <c r="Q1973" t="n">
        <v>0</v>
      </c>
      <c r="R1973" s="2" t="inlineStr"/>
    </row>
    <row r="1974" ht="15" customHeight="1">
      <c r="A1974" t="inlineStr">
        <is>
          <t>A 37813-2021</t>
        </is>
      </c>
      <c r="B1974" s="1" t="n">
        <v>44402</v>
      </c>
      <c r="C1974" s="1" t="n">
        <v>45952</v>
      </c>
      <c r="D1974" t="inlineStr">
        <is>
          <t>VÄSTRA GÖTALANDS LÄN</t>
        </is>
      </c>
      <c r="E1974" t="inlineStr">
        <is>
          <t>ÅMÅL</t>
        </is>
      </c>
      <c r="G1974" t="n">
        <v>0.2</v>
      </c>
      <c r="H1974" t="n">
        <v>0</v>
      </c>
      <c r="I1974" t="n">
        <v>0</v>
      </c>
      <c r="J1974" t="n">
        <v>0</v>
      </c>
      <c r="K1974" t="n">
        <v>0</v>
      </c>
      <c r="L1974" t="n">
        <v>0</v>
      </c>
      <c r="M1974" t="n">
        <v>0</v>
      </c>
      <c r="N1974" t="n">
        <v>0</v>
      </c>
      <c r="O1974" t="n">
        <v>0</v>
      </c>
      <c r="P1974" t="n">
        <v>0</v>
      </c>
      <c r="Q1974" t="n">
        <v>0</v>
      </c>
      <c r="R1974" s="2" t="inlineStr"/>
    </row>
    <row r="1975" ht="15" customHeight="1">
      <c r="A1975" t="inlineStr">
        <is>
          <t>A 37814-2021</t>
        </is>
      </c>
      <c r="B1975" s="1" t="n">
        <v>44402</v>
      </c>
      <c r="C1975" s="1" t="n">
        <v>45952</v>
      </c>
      <c r="D1975" t="inlineStr">
        <is>
          <t>VÄSTRA GÖTALANDS LÄN</t>
        </is>
      </c>
      <c r="E1975" t="inlineStr">
        <is>
          <t>ÅMÅL</t>
        </is>
      </c>
      <c r="G1975" t="n">
        <v>0.8</v>
      </c>
      <c r="H1975" t="n">
        <v>0</v>
      </c>
      <c r="I1975" t="n">
        <v>0</v>
      </c>
      <c r="J1975" t="n">
        <v>0</v>
      </c>
      <c r="K1975" t="n">
        <v>0</v>
      </c>
      <c r="L1975" t="n">
        <v>0</v>
      </c>
      <c r="M1975" t="n">
        <v>0</v>
      </c>
      <c r="N1975" t="n">
        <v>0</v>
      </c>
      <c r="O1975" t="n">
        <v>0</v>
      </c>
      <c r="P1975" t="n">
        <v>0</v>
      </c>
      <c r="Q1975" t="n">
        <v>0</v>
      </c>
      <c r="R1975" s="2" t="inlineStr"/>
    </row>
    <row r="1976" ht="15" customHeight="1">
      <c r="A1976" t="inlineStr">
        <is>
          <t>A 6668-2021</t>
        </is>
      </c>
      <c r="B1976" s="1" t="n">
        <v>44236</v>
      </c>
      <c r="C1976" s="1" t="n">
        <v>45952</v>
      </c>
      <c r="D1976" t="inlineStr">
        <is>
          <t>VÄSTRA GÖTALANDS LÄN</t>
        </is>
      </c>
      <c r="E1976" t="inlineStr">
        <is>
          <t>DALS-ED</t>
        </is>
      </c>
      <c r="G1976" t="n">
        <v>5.2</v>
      </c>
      <c r="H1976" t="n">
        <v>0</v>
      </c>
      <c r="I1976" t="n">
        <v>0</v>
      </c>
      <c r="J1976" t="n">
        <v>0</v>
      </c>
      <c r="K1976" t="n">
        <v>0</v>
      </c>
      <c r="L1976" t="n">
        <v>0</v>
      </c>
      <c r="M1976" t="n">
        <v>0</v>
      </c>
      <c r="N1976" t="n">
        <v>0</v>
      </c>
      <c r="O1976" t="n">
        <v>0</v>
      </c>
      <c r="P1976" t="n">
        <v>0</v>
      </c>
      <c r="Q1976" t="n">
        <v>0</v>
      </c>
      <c r="R1976" s="2" t="inlineStr"/>
    </row>
    <row r="1977" ht="15" customHeight="1">
      <c r="A1977" t="inlineStr">
        <is>
          <t>A 3865-2022</t>
        </is>
      </c>
      <c r="B1977" s="1" t="n">
        <v>44587</v>
      </c>
      <c r="C1977" s="1" t="n">
        <v>45952</v>
      </c>
      <c r="D1977" t="inlineStr">
        <is>
          <t>VÄSTRA GÖTALANDS LÄN</t>
        </is>
      </c>
      <c r="E1977" t="inlineStr">
        <is>
          <t>VARA</t>
        </is>
      </c>
      <c r="G1977" t="n">
        <v>6</v>
      </c>
      <c r="H1977" t="n">
        <v>0</v>
      </c>
      <c r="I1977" t="n">
        <v>0</v>
      </c>
      <c r="J1977" t="n">
        <v>0</v>
      </c>
      <c r="K1977" t="n">
        <v>0</v>
      </c>
      <c r="L1977" t="n">
        <v>0</v>
      </c>
      <c r="M1977" t="n">
        <v>0</v>
      </c>
      <c r="N1977" t="n">
        <v>0</v>
      </c>
      <c r="O1977" t="n">
        <v>0</v>
      </c>
      <c r="P1977" t="n">
        <v>0</v>
      </c>
      <c r="Q1977" t="n">
        <v>0</v>
      </c>
      <c r="R1977" s="2" t="inlineStr"/>
    </row>
    <row r="1978" ht="15" customHeight="1">
      <c r="A1978" t="inlineStr">
        <is>
          <t>A 48340-2022</t>
        </is>
      </c>
      <c r="B1978" s="1" t="n">
        <v>44858.56366898148</v>
      </c>
      <c r="C1978" s="1" t="n">
        <v>45952</v>
      </c>
      <c r="D1978" t="inlineStr">
        <is>
          <t>VÄSTRA GÖTALANDS LÄN</t>
        </is>
      </c>
      <c r="E1978" t="inlineStr">
        <is>
          <t>FÄRGELANDA</t>
        </is>
      </c>
      <c r="G1978" t="n">
        <v>1.2</v>
      </c>
      <c r="H1978" t="n">
        <v>0</v>
      </c>
      <c r="I1978" t="n">
        <v>0</v>
      </c>
      <c r="J1978" t="n">
        <v>0</v>
      </c>
      <c r="K1978" t="n">
        <v>0</v>
      </c>
      <c r="L1978" t="n">
        <v>0</v>
      </c>
      <c r="M1978" t="n">
        <v>0</v>
      </c>
      <c r="N1978" t="n">
        <v>0</v>
      </c>
      <c r="O1978" t="n">
        <v>0</v>
      </c>
      <c r="P1978" t="n">
        <v>0</v>
      </c>
      <c r="Q1978" t="n">
        <v>0</v>
      </c>
      <c r="R1978" s="2" t="inlineStr"/>
    </row>
    <row r="1979" ht="15" customHeight="1">
      <c r="A1979" t="inlineStr">
        <is>
          <t>A 36167-2021</t>
        </is>
      </c>
      <c r="B1979" s="1" t="n">
        <v>44386</v>
      </c>
      <c r="C1979" s="1" t="n">
        <v>45952</v>
      </c>
      <c r="D1979" t="inlineStr">
        <is>
          <t>VÄSTRA GÖTALANDS LÄN</t>
        </is>
      </c>
      <c r="E1979" t="inlineStr">
        <is>
          <t>DALS-ED</t>
        </is>
      </c>
      <c r="F1979" t="inlineStr">
        <is>
          <t>Kyrkan</t>
        </is>
      </c>
      <c r="G1979" t="n">
        <v>5.4</v>
      </c>
      <c r="H1979" t="n">
        <v>0</v>
      </c>
      <c r="I1979" t="n">
        <v>0</v>
      </c>
      <c r="J1979" t="n">
        <v>0</v>
      </c>
      <c r="K1979" t="n">
        <v>0</v>
      </c>
      <c r="L1979" t="n">
        <v>0</v>
      </c>
      <c r="M1979" t="n">
        <v>0</v>
      </c>
      <c r="N1979" t="n">
        <v>0</v>
      </c>
      <c r="O1979" t="n">
        <v>0</v>
      </c>
      <c r="P1979" t="n">
        <v>0</v>
      </c>
      <c r="Q1979" t="n">
        <v>0</v>
      </c>
      <c r="R1979" s="2" t="inlineStr"/>
    </row>
    <row r="1980" ht="15" customHeight="1">
      <c r="A1980" t="inlineStr">
        <is>
          <t>A 46998-2022</t>
        </is>
      </c>
      <c r="B1980" s="1" t="n">
        <v>44852.25016203704</v>
      </c>
      <c r="C1980" s="1" t="n">
        <v>45952</v>
      </c>
      <c r="D1980" t="inlineStr">
        <is>
          <t>VÄSTRA GÖTALANDS LÄN</t>
        </is>
      </c>
      <c r="E1980" t="inlineStr">
        <is>
          <t>HJO</t>
        </is>
      </c>
      <c r="G1980" t="n">
        <v>0.5</v>
      </c>
      <c r="H1980" t="n">
        <v>0</v>
      </c>
      <c r="I1980" t="n">
        <v>0</v>
      </c>
      <c r="J1980" t="n">
        <v>0</v>
      </c>
      <c r="K1980" t="n">
        <v>0</v>
      </c>
      <c r="L1980" t="n">
        <v>0</v>
      </c>
      <c r="M1980" t="n">
        <v>0</v>
      </c>
      <c r="N1980" t="n">
        <v>0</v>
      </c>
      <c r="O1980" t="n">
        <v>0</v>
      </c>
      <c r="P1980" t="n">
        <v>0</v>
      </c>
      <c r="Q1980" t="n">
        <v>0</v>
      </c>
      <c r="R1980" s="2" t="inlineStr"/>
    </row>
    <row r="1981" ht="15" customHeight="1">
      <c r="A1981" t="inlineStr">
        <is>
          <t>A 62536-2021</t>
        </is>
      </c>
      <c r="B1981" s="1" t="n">
        <v>44503</v>
      </c>
      <c r="C1981" s="1" t="n">
        <v>45952</v>
      </c>
      <c r="D1981" t="inlineStr">
        <is>
          <t>VÄSTRA GÖTALANDS LÄN</t>
        </is>
      </c>
      <c r="E1981" t="inlineStr">
        <is>
          <t>ESSUNGA</t>
        </is>
      </c>
      <c r="G1981" t="n">
        <v>5.1</v>
      </c>
      <c r="H1981" t="n">
        <v>0</v>
      </c>
      <c r="I1981" t="n">
        <v>0</v>
      </c>
      <c r="J1981" t="n">
        <v>0</v>
      </c>
      <c r="K1981" t="n">
        <v>0</v>
      </c>
      <c r="L1981" t="n">
        <v>0</v>
      </c>
      <c r="M1981" t="n">
        <v>0</v>
      </c>
      <c r="N1981" t="n">
        <v>0</v>
      </c>
      <c r="O1981" t="n">
        <v>0</v>
      </c>
      <c r="P1981" t="n">
        <v>0</v>
      </c>
      <c r="Q1981" t="n">
        <v>0</v>
      </c>
      <c r="R1981" s="2" t="inlineStr"/>
    </row>
    <row r="1982" ht="15" customHeight="1">
      <c r="A1982" t="inlineStr">
        <is>
          <t>A 33940-2021</t>
        </is>
      </c>
      <c r="B1982" s="1" t="n">
        <v>44378.80239583334</v>
      </c>
      <c r="C1982" s="1" t="n">
        <v>45952</v>
      </c>
      <c r="D1982" t="inlineStr">
        <is>
          <t>VÄSTRA GÖTALANDS LÄN</t>
        </is>
      </c>
      <c r="E1982" t="inlineStr">
        <is>
          <t>SKARA</t>
        </is>
      </c>
      <c r="G1982" t="n">
        <v>1.3</v>
      </c>
      <c r="H1982" t="n">
        <v>0</v>
      </c>
      <c r="I1982" t="n">
        <v>0</v>
      </c>
      <c r="J1982" t="n">
        <v>0</v>
      </c>
      <c r="K1982" t="n">
        <v>0</v>
      </c>
      <c r="L1982" t="n">
        <v>0</v>
      </c>
      <c r="M1982" t="n">
        <v>0</v>
      </c>
      <c r="N1982" t="n">
        <v>0</v>
      </c>
      <c r="O1982" t="n">
        <v>0</v>
      </c>
      <c r="P1982" t="n">
        <v>0</v>
      </c>
      <c r="Q1982" t="n">
        <v>0</v>
      </c>
      <c r="R1982" s="2" t="inlineStr"/>
    </row>
    <row r="1983" ht="15" customHeight="1">
      <c r="A1983" t="inlineStr">
        <is>
          <t>A 6190-2022</t>
        </is>
      </c>
      <c r="B1983" s="1" t="n">
        <v>44600</v>
      </c>
      <c r="C1983" s="1" t="n">
        <v>45952</v>
      </c>
      <c r="D1983" t="inlineStr">
        <is>
          <t>VÄSTRA GÖTALANDS LÄN</t>
        </is>
      </c>
      <c r="E1983" t="inlineStr">
        <is>
          <t>ÅMÅL</t>
        </is>
      </c>
      <c r="G1983" t="n">
        <v>4.4</v>
      </c>
      <c r="H1983" t="n">
        <v>0</v>
      </c>
      <c r="I1983" t="n">
        <v>0</v>
      </c>
      <c r="J1983" t="n">
        <v>0</v>
      </c>
      <c r="K1983" t="n">
        <v>0</v>
      </c>
      <c r="L1983" t="n">
        <v>0</v>
      </c>
      <c r="M1983" t="n">
        <v>0</v>
      </c>
      <c r="N1983" t="n">
        <v>0</v>
      </c>
      <c r="O1983" t="n">
        <v>0</v>
      </c>
      <c r="P1983" t="n">
        <v>0</v>
      </c>
      <c r="Q1983" t="n">
        <v>0</v>
      </c>
      <c r="R1983" s="2" t="inlineStr"/>
    </row>
    <row r="1984" ht="15" customHeight="1">
      <c r="A1984" t="inlineStr">
        <is>
          <t>A 54521-2021</t>
        </is>
      </c>
      <c r="B1984" s="1" t="n">
        <v>44473.53315972222</v>
      </c>
      <c r="C1984" s="1" t="n">
        <v>45952</v>
      </c>
      <c r="D1984" t="inlineStr">
        <is>
          <t>VÄSTRA GÖTALANDS LÄN</t>
        </is>
      </c>
      <c r="E1984" t="inlineStr">
        <is>
          <t>ESSUNGA</t>
        </is>
      </c>
      <c r="G1984" t="n">
        <v>2.8</v>
      </c>
      <c r="H1984" t="n">
        <v>0</v>
      </c>
      <c r="I1984" t="n">
        <v>0</v>
      </c>
      <c r="J1984" t="n">
        <v>0</v>
      </c>
      <c r="K1984" t="n">
        <v>0</v>
      </c>
      <c r="L1984" t="n">
        <v>0</v>
      </c>
      <c r="M1984" t="n">
        <v>0</v>
      </c>
      <c r="N1984" t="n">
        <v>0</v>
      </c>
      <c r="O1984" t="n">
        <v>0</v>
      </c>
      <c r="P1984" t="n">
        <v>0</v>
      </c>
      <c r="Q1984" t="n">
        <v>0</v>
      </c>
      <c r="R1984" s="2" t="inlineStr"/>
    </row>
    <row r="1985" ht="15" customHeight="1">
      <c r="A1985" t="inlineStr">
        <is>
          <t>A 54621-2021</t>
        </is>
      </c>
      <c r="B1985" s="1" t="n">
        <v>44473</v>
      </c>
      <c r="C1985" s="1" t="n">
        <v>45952</v>
      </c>
      <c r="D1985" t="inlineStr">
        <is>
          <t>VÄSTRA GÖTALANDS LÄN</t>
        </is>
      </c>
      <c r="E1985" t="inlineStr">
        <is>
          <t>TÖREBODA</t>
        </is>
      </c>
      <c r="G1985" t="n">
        <v>6.4</v>
      </c>
      <c r="H1985" t="n">
        <v>0</v>
      </c>
      <c r="I1985" t="n">
        <v>0</v>
      </c>
      <c r="J1985" t="n">
        <v>0</v>
      </c>
      <c r="K1985" t="n">
        <v>0</v>
      </c>
      <c r="L1985" t="n">
        <v>0</v>
      </c>
      <c r="M1985" t="n">
        <v>0</v>
      </c>
      <c r="N1985" t="n">
        <v>0</v>
      </c>
      <c r="O1985" t="n">
        <v>0</v>
      </c>
      <c r="P1985" t="n">
        <v>0</v>
      </c>
      <c r="Q1985" t="n">
        <v>0</v>
      </c>
      <c r="R1985" s="2" t="inlineStr"/>
    </row>
    <row r="1986" ht="15" customHeight="1">
      <c r="A1986" t="inlineStr">
        <is>
          <t>A 47091-2021</t>
        </is>
      </c>
      <c r="B1986" s="1" t="n">
        <v>44446</v>
      </c>
      <c r="C1986" s="1" t="n">
        <v>45952</v>
      </c>
      <c r="D1986" t="inlineStr">
        <is>
          <t>VÄSTRA GÖTALANDS LÄN</t>
        </is>
      </c>
      <c r="E1986" t="inlineStr">
        <is>
          <t>BENGTSFORS</t>
        </is>
      </c>
      <c r="G1986" t="n">
        <v>1.3</v>
      </c>
      <c r="H1986" t="n">
        <v>0</v>
      </c>
      <c r="I1986" t="n">
        <v>0</v>
      </c>
      <c r="J1986" t="n">
        <v>0</v>
      </c>
      <c r="K1986" t="n">
        <v>0</v>
      </c>
      <c r="L1986" t="n">
        <v>0</v>
      </c>
      <c r="M1986" t="n">
        <v>0</v>
      </c>
      <c r="N1986" t="n">
        <v>0</v>
      </c>
      <c r="O1986" t="n">
        <v>0</v>
      </c>
      <c r="P1986" t="n">
        <v>0</v>
      </c>
      <c r="Q1986" t="n">
        <v>0</v>
      </c>
      <c r="R1986" s="2" t="inlineStr"/>
    </row>
    <row r="1987" ht="15" customHeight="1">
      <c r="A1987" t="inlineStr">
        <is>
          <t>A 39105-2021</t>
        </is>
      </c>
      <c r="B1987" s="1" t="n">
        <v>44412</v>
      </c>
      <c r="C1987" s="1" t="n">
        <v>45952</v>
      </c>
      <c r="D1987" t="inlineStr">
        <is>
          <t>VÄSTRA GÖTALANDS LÄN</t>
        </is>
      </c>
      <c r="E1987" t="inlineStr">
        <is>
          <t>BENGTSFORS</t>
        </is>
      </c>
      <c r="G1987" t="n">
        <v>1.2</v>
      </c>
      <c r="H1987" t="n">
        <v>0</v>
      </c>
      <c r="I1987" t="n">
        <v>0</v>
      </c>
      <c r="J1987" t="n">
        <v>0</v>
      </c>
      <c r="K1987" t="n">
        <v>0</v>
      </c>
      <c r="L1987" t="n">
        <v>0</v>
      </c>
      <c r="M1987" t="n">
        <v>0</v>
      </c>
      <c r="N1987" t="n">
        <v>0</v>
      </c>
      <c r="O1987" t="n">
        <v>0</v>
      </c>
      <c r="P1987" t="n">
        <v>0</v>
      </c>
      <c r="Q1987" t="n">
        <v>0</v>
      </c>
      <c r="R1987" s="2" t="inlineStr"/>
    </row>
    <row r="1988" ht="15" customHeight="1">
      <c r="A1988" t="inlineStr">
        <is>
          <t>A 59336-2021</t>
        </is>
      </c>
      <c r="B1988" s="1" t="n">
        <v>44491</v>
      </c>
      <c r="C1988" s="1" t="n">
        <v>45952</v>
      </c>
      <c r="D1988" t="inlineStr">
        <is>
          <t>VÄSTRA GÖTALANDS LÄN</t>
        </is>
      </c>
      <c r="E1988" t="inlineStr">
        <is>
          <t>BORÅS</t>
        </is>
      </c>
      <c r="G1988" t="n">
        <v>2.6</v>
      </c>
      <c r="H1988" t="n">
        <v>0</v>
      </c>
      <c r="I1988" t="n">
        <v>0</v>
      </c>
      <c r="J1988" t="n">
        <v>0</v>
      </c>
      <c r="K1988" t="n">
        <v>0</v>
      </c>
      <c r="L1988" t="n">
        <v>0</v>
      </c>
      <c r="M1988" t="n">
        <v>0</v>
      </c>
      <c r="N1988" t="n">
        <v>0</v>
      </c>
      <c r="O1988" t="n">
        <v>0</v>
      </c>
      <c r="P1988" t="n">
        <v>0</v>
      </c>
      <c r="Q1988" t="n">
        <v>0</v>
      </c>
      <c r="R1988" s="2" t="inlineStr"/>
    </row>
    <row r="1989" ht="15" customHeight="1">
      <c r="A1989" t="inlineStr">
        <is>
          <t>A 61896-2021</t>
        </is>
      </c>
      <c r="B1989" s="1" t="n">
        <v>44499</v>
      </c>
      <c r="C1989" s="1" t="n">
        <v>45952</v>
      </c>
      <c r="D1989" t="inlineStr">
        <is>
          <t>VÄSTRA GÖTALANDS LÄN</t>
        </is>
      </c>
      <c r="E1989" t="inlineStr">
        <is>
          <t>STRÖMSTAD</t>
        </is>
      </c>
      <c r="G1989" t="n">
        <v>2.5</v>
      </c>
      <c r="H1989" t="n">
        <v>0</v>
      </c>
      <c r="I1989" t="n">
        <v>0</v>
      </c>
      <c r="J1989" t="n">
        <v>0</v>
      </c>
      <c r="K1989" t="n">
        <v>0</v>
      </c>
      <c r="L1989" t="n">
        <v>0</v>
      </c>
      <c r="M1989" t="n">
        <v>0</v>
      </c>
      <c r="N1989" t="n">
        <v>0</v>
      </c>
      <c r="O1989" t="n">
        <v>0</v>
      </c>
      <c r="P1989" t="n">
        <v>0</v>
      </c>
      <c r="Q1989" t="n">
        <v>0</v>
      </c>
      <c r="R1989" s="2" t="inlineStr"/>
    </row>
    <row r="1990" ht="15" customHeight="1">
      <c r="A1990" t="inlineStr">
        <is>
          <t>A 48259-2021</t>
        </is>
      </c>
      <c r="B1990" s="1" t="n">
        <v>44449.66033564815</v>
      </c>
      <c r="C1990" s="1" t="n">
        <v>45952</v>
      </c>
      <c r="D1990" t="inlineStr">
        <is>
          <t>VÄSTRA GÖTALANDS LÄN</t>
        </is>
      </c>
      <c r="E1990" t="inlineStr">
        <is>
          <t>HERRLJUNGA</t>
        </is>
      </c>
      <c r="G1990" t="n">
        <v>0.8</v>
      </c>
      <c r="H1990" t="n">
        <v>0</v>
      </c>
      <c r="I1990" t="n">
        <v>0</v>
      </c>
      <c r="J1990" t="n">
        <v>0</v>
      </c>
      <c r="K1990" t="n">
        <v>0</v>
      </c>
      <c r="L1990" t="n">
        <v>0</v>
      </c>
      <c r="M1990" t="n">
        <v>0</v>
      </c>
      <c r="N1990" t="n">
        <v>0</v>
      </c>
      <c r="O1990" t="n">
        <v>0</v>
      </c>
      <c r="P1990" t="n">
        <v>0</v>
      </c>
      <c r="Q1990" t="n">
        <v>0</v>
      </c>
      <c r="R1990" s="2" t="inlineStr"/>
    </row>
    <row r="1991" ht="15" customHeight="1">
      <c r="A1991" t="inlineStr">
        <is>
          <t>A 34000-2021</t>
        </is>
      </c>
      <c r="B1991" s="1" t="n">
        <v>44379.32055555555</v>
      </c>
      <c r="C1991" s="1" t="n">
        <v>45952</v>
      </c>
      <c r="D1991" t="inlineStr">
        <is>
          <t>VÄSTRA GÖTALANDS LÄN</t>
        </is>
      </c>
      <c r="E1991" t="inlineStr">
        <is>
          <t>GRÄSTORP</t>
        </is>
      </c>
      <c r="G1991" t="n">
        <v>0.5</v>
      </c>
      <c r="H1991" t="n">
        <v>0</v>
      </c>
      <c r="I1991" t="n">
        <v>0</v>
      </c>
      <c r="J1991" t="n">
        <v>0</v>
      </c>
      <c r="K1991" t="n">
        <v>0</v>
      </c>
      <c r="L1991" t="n">
        <v>0</v>
      </c>
      <c r="M1991" t="n">
        <v>0</v>
      </c>
      <c r="N1991" t="n">
        <v>0</v>
      </c>
      <c r="O1991" t="n">
        <v>0</v>
      </c>
      <c r="P1991" t="n">
        <v>0</v>
      </c>
      <c r="Q1991" t="n">
        <v>0</v>
      </c>
      <c r="R1991" s="2" t="inlineStr"/>
    </row>
    <row r="1992" ht="15" customHeight="1">
      <c r="A1992" t="inlineStr">
        <is>
          <t>A 45044-2021</t>
        </is>
      </c>
      <c r="B1992" s="1" t="n">
        <v>44439</v>
      </c>
      <c r="C1992" s="1" t="n">
        <v>45952</v>
      </c>
      <c r="D1992" t="inlineStr">
        <is>
          <t>VÄSTRA GÖTALANDS LÄN</t>
        </is>
      </c>
      <c r="E1992" t="inlineStr">
        <is>
          <t>ORUST</t>
        </is>
      </c>
      <c r="G1992" t="n">
        <v>3.1</v>
      </c>
      <c r="H1992" t="n">
        <v>0</v>
      </c>
      <c r="I1992" t="n">
        <v>0</v>
      </c>
      <c r="J1992" t="n">
        <v>0</v>
      </c>
      <c r="K1992" t="n">
        <v>0</v>
      </c>
      <c r="L1992" t="n">
        <v>0</v>
      </c>
      <c r="M1992" t="n">
        <v>0</v>
      </c>
      <c r="N1992" t="n">
        <v>0</v>
      </c>
      <c r="O1992" t="n">
        <v>0</v>
      </c>
      <c r="P1992" t="n">
        <v>0</v>
      </c>
      <c r="Q1992" t="n">
        <v>0</v>
      </c>
      <c r="R1992" s="2" t="inlineStr"/>
    </row>
    <row r="1993" ht="15" customHeight="1">
      <c r="A1993" t="inlineStr">
        <is>
          <t>A 45103-2021</t>
        </is>
      </c>
      <c r="B1993" s="1" t="n">
        <v>44439.41456018519</v>
      </c>
      <c r="C1993" s="1" t="n">
        <v>45952</v>
      </c>
      <c r="D1993" t="inlineStr">
        <is>
          <t>VÄSTRA GÖTALANDS LÄN</t>
        </is>
      </c>
      <c r="E1993" t="inlineStr">
        <is>
          <t>GULLSPÅNG</t>
        </is>
      </c>
      <c r="G1993" t="n">
        <v>2.1</v>
      </c>
      <c r="H1993" t="n">
        <v>0</v>
      </c>
      <c r="I1993" t="n">
        <v>0</v>
      </c>
      <c r="J1993" t="n">
        <v>0</v>
      </c>
      <c r="K1993" t="n">
        <v>0</v>
      </c>
      <c r="L1993" t="n">
        <v>0</v>
      </c>
      <c r="M1993" t="n">
        <v>0</v>
      </c>
      <c r="N1993" t="n">
        <v>0</v>
      </c>
      <c r="O1993" t="n">
        <v>0</v>
      </c>
      <c r="P1993" t="n">
        <v>0</v>
      </c>
      <c r="Q1993" t="n">
        <v>0</v>
      </c>
      <c r="R1993" s="2" t="inlineStr"/>
    </row>
    <row r="1994" ht="15" customHeight="1">
      <c r="A1994" t="inlineStr">
        <is>
          <t>A 32829-2021</t>
        </is>
      </c>
      <c r="B1994" s="1" t="n">
        <v>44375</v>
      </c>
      <c r="C1994" s="1" t="n">
        <v>45952</v>
      </c>
      <c r="D1994" t="inlineStr">
        <is>
          <t>VÄSTRA GÖTALANDS LÄN</t>
        </is>
      </c>
      <c r="E1994" t="inlineStr">
        <is>
          <t>TRANEMO</t>
        </is>
      </c>
      <c r="G1994" t="n">
        <v>5.1</v>
      </c>
      <c r="H1994" t="n">
        <v>0</v>
      </c>
      <c r="I1994" t="n">
        <v>0</v>
      </c>
      <c r="J1994" t="n">
        <v>0</v>
      </c>
      <c r="K1994" t="n">
        <v>0</v>
      </c>
      <c r="L1994" t="n">
        <v>0</v>
      </c>
      <c r="M1994" t="n">
        <v>0</v>
      </c>
      <c r="N1994" t="n">
        <v>0</v>
      </c>
      <c r="O1994" t="n">
        <v>0</v>
      </c>
      <c r="P1994" t="n">
        <v>0</v>
      </c>
      <c r="Q1994" t="n">
        <v>0</v>
      </c>
      <c r="R1994" s="2" t="inlineStr"/>
    </row>
    <row r="1995" ht="15" customHeight="1">
      <c r="A1995" t="inlineStr">
        <is>
          <t>A 43715-2022</t>
        </is>
      </c>
      <c r="B1995" s="1" t="n">
        <v>44837.66451388889</v>
      </c>
      <c r="C1995" s="1" t="n">
        <v>45952</v>
      </c>
      <c r="D1995" t="inlineStr">
        <is>
          <t>VÄSTRA GÖTALANDS LÄN</t>
        </is>
      </c>
      <c r="E1995" t="inlineStr">
        <is>
          <t>TANUM</t>
        </is>
      </c>
      <c r="G1995" t="n">
        <v>2.3</v>
      </c>
      <c r="H1995" t="n">
        <v>0</v>
      </c>
      <c r="I1995" t="n">
        <v>0</v>
      </c>
      <c r="J1995" t="n">
        <v>0</v>
      </c>
      <c r="K1995" t="n">
        <v>0</v>
      </c>
      <c r="L1995" t="n">
        <v>0</v>
      </c>
      <c r="M1995" t="n">
        <v>0</v>
      </c>
      <c r="N1995" t="n">
        <v>0</v>
      </c>
      <c r="O1995" t="n">
        <v>0</v>
      </c>
      <c r="P1995" t="n">
        <v>0</v>
      </c>
      <c r="Q1995" t="n">
        <v>0</v>
      </c>
      <c r="R1995" s="2" t="inlineStr"/>
    </row>
    <row r="1996" ht="15" customHeight="1">
      <c r="A1996" t="inlineStr">
        <is>
          <t>A 59512-2021</t>
        </is>
      </c>
      <c r="B1996" s="1" t="n">
        <v>44491</v>
      </c>
      <c r="C1996" s="1" t="n">
        <v>45952</v>
      </c>
      <c r="D1996" t="inlineStr">
        <is>
          <t>VÄSTRA GÖTALANDS LÄN</t>
        </is>
      </c>
      <c r="E1996" t="inlineStr">
        <is>
          <t>ULRICEHAMN</t>
        </is>
      </c>
      <c r="G1996" t="n">
        <v>1.3</v>
      </c>
      <c r="H1996" t="n">
        <v>0</v>
      </c>
      <c r="I1996" t="n">
        <v>0</v>
      </c>
      <c r="J1996" t="n">
        <v>0</v>
      </c>
      <c r="K1996" t="n">
        <v>0</v>
      </c>
      <c r="L1996" t="n">
        <v>0</v>
      </c>
      <c r="M1996" t="n">
        <v>0</v>
      </c>
      <c r="N1996" t="n">
        <v>0</v>
      </c>
      <c r="O1996" t="n">
        <v>0</v>
      </c>
      <c r="P1996" t="n">
        <v>0</v>
      </c>
      <c r="Q1996" t="n">
        <v>0</v>
      </c>
      <c r="R1996" s="2" t="inlineStr"/>
    </row>
    <row r="1997" ht="15" customHeight="1">
      <c r="A1997" t="inlineStr">
        <is>
          <t>A 47187-2021</t>
        </is>
      </c>
      <c r="B1997" s="1" t="n">
        <v>44447</v>
      </c>
      <c r="C1997" s="1" t="n">
        <v>45952</v>
      </c>
      <c r="D1997" t="inlineStr">
        <is>
          <t>VÄSTRA GÖTALANDS LÄN</t>
        </is>
      </c>
      <c r="E1997" t="inlineStr">
        <is>
          <t>ALINGSÅS</t>
        </is>
      </c>
      <c r="G1997" t="n">
        <v>1.1</v>
      </c>
      <c r="H1997" t="n">
        <v>0</v>
      </c>
      <c r="I1997" t="n">
        <v>0</v>
      </c>
      <c r="J1997" t="n">
        <v>0</v>
      </c>
      <c r="K1997" t="n">
        <v>0</v>
      </c>
      <c r="L1997" t="n">
        <v>0</v>
      </c>
      <c r="M1997" t="n">
        <v>0</v>
      </c>
      <c r="N1997" t="n">
        <v>0</v>
      </c>
      <c r="O1997" t="n">
        <v>0</v>
      </c>
      <c r="P1997" t="n">
        <v>0</v>
      </c>
      <c r="Q1997" t="n">
        <v>0</v>
      </c>
      <c r="R1997" s="2" t="inlineStr"/>
    </row>
    <row r="1998" ht="15" customHeight="1">
      <c r="A1998" t="inlineStr">
        <is>
          <t>A 47189-2021</t>
        </is>
      </c>
      <c r="B1998" s="1" t="n">
        <v>44447.31424768519</v>
      </c>
      <c r="C1998" s="1" t="n">
        <v>45952</v>
      </c>
      <c r="D1998" t="inlineStr">
        <is>
          <t>VÄSTRA GÖTALANDS LÄN</t>
        </is>
      </c>
      <c r="E1998" t="inlineStr">
        <is>
          <t>SVENLJUNGA</t>
        </is>
      </c>
      <c r="G1998" t="n">
        <v>0.7</v>
      </c>
      <c r="H1998" t="n">
        <v>0</v>
      </c>
      <c r="I1998" t="n">
        <v>0</v>
      </c>
      <c r="J1998" t="n">
        <v>0</v>
      </c>
      <c r="K1998" t="n">
        <v>0</v>
      </c>
      <c r="L1998" t="n">
        <v>0</v>
      </c>
      <c r="M1998" t="n">
        <v>0</v>
      </c>
      <c r="N1998" t="n">
        <v>0</v>
      </c>
      <c r="O1998" t="n">
        <v>0</v>
      </c>
      <c r="P1998" t="n">
        <v>0</v>
      </c>
      <c r="Q1998" t="n">
        <v>0</v>
      </c>
      <c r="R1998" s="2" t="inlineStr"/>
    </row>
    <row r="1999" ht="15" customHeight="1">
      <c r="A1999" t="inlineStr">
        <is>
          <t>A 47193-2021</t>
        </is>
      </c>
      <c r="B1999" s="1" t="n">
        <v>44447.32269675926</v>
      </c>
      <c r="C1999" s="1" t="n">
        <v>45952</v>
      </c>
      <c r="D1999" t="inlineStr">
        <is>
          <t>VÄSTRA GÖTALANDS LÄN</t>
        </is>
      </c>
      <c r="E1999" t="inlineStr">
        <is>
          <t>MARIESTAD</t>
        </is>
      </c>
      <c r="G1999" t="n">
        <v>0.7</v>
      </c>
      <c r="H1999" t="n">
        <v>0</v>
      </c>
      <c r="I1999" t="n">
        <v>0</v>
      </c>
      <c r="J1999" t="n">
        <v>0</v>
      </c>
      <c r="K1999" t="n">
        <v>0</v>
      </c>
      <c r="L1999" t="n">
        <v>0</v>
      </c>
      <c r="M1999" t="n">
        <v>0</v>
      </c>
      <c r="N1999" t="n">
        <v>0</v>
      </c>
      <c r="O1999" t="n">
        <v>0</v>
      </c>
      <c r="P1999" t="n">
        <v>0</v>
      </c>
      <c r="Q1999" t="n">
        <v>0</v>
      </c>
      <c r="R1999" s="2" t="inlineStr"/>
    </row>
    <row r="2000" ht="15" customHeight="1">
      <c r="A2000" t="inlineStr">
        <is>
          <t>A 47284-2021</t>
        </is>
      </c>
      <c r="B2000" s="1" t="n">
        <v>44447</v>
      </c>
      <c r="C2000" s="1" t="n">
        <v>45952</v>
      </c>
      <c r="D2000" t="inlineStr">
        <is>
          <t>VÄSTRA GÖTALANDS LÄN</t>
        </is>
      </c>
      <c r="E2000" t="inlineStr">
        <is>
          <t>HERRLJUNGA</t>
        </is>
      </c>
      <c r="G2000" t="n">
        <v>2.2</v>
      </c>
      <c r="H2000" t="n">
        <v>0</v>
      </c>
      <c r="I2000" t="n">
        <v>0</v>
      </c>
      <c r="J2000" t="n">
        <v>0</v>
      </c>
      <c r="K2000" t="n">
        <v>0</v>
      </c>
      <c r="L2000" t="n">
        <v>0</v>
      </c>
      <c r="M2000" t="n">
        <v>0</v>
      </c>
      <c r="N2000" t="n">
        <v>0</v>
      </c>
      <c r="O2000" t="n">
        <v>0</v>
      </c>
      <c r="P2000" t="n">
        <v>0</v>
      </c>
      <c r="Q2000" t="n">
        <v>0</v>
      </c>
      <c r="R2000" s="2" t="inlineStr"/>
    </row>
    <row r="2001" ht="15" customHeight="1">
      <c r="A2001" t="inlineStr">
        <is>
          <t>A 48658-2021</t>
        </is>
      </c>
      <c r="B2001" s="1" t="n">
        <v>44452</v>
      </c>
      <c r="C2001" s="1" t="n">
        <v>45952</v>
      </c>
      <c r="D2001" t="inlineStr">
        <is>
          <t>VÄSTRA GÖTALANDS LÄN</t>
        </is>
      </c>
      <c r="E2001" t="inlineStr">
        <is>
          <t>DALS-ED</t>
        </is>
      </c>
      <c r="G2001" t="n">
        <v>1</v>
      </c>
      <c r="H2001" t="n">
        <v>0</v>
      </c>
      <c r="I2001" t="n">
        <v>0</v>
      </c>
      <c r="J2001" t="n">
        <v>0</v>
      </c>
      <c r="K2001" t="n">
        <v>0</v>
      </c>
      <c r="L2001" t="n">
        <v>0</v>
      </c>
      <c r="M2001" t="n">
        <v>0</v>
      </c>
      <c r="N2001" t="n">
        <v>0</v>
      </c>
      <c r="O2001" t="n">
        <v>0</v>
      </c>
      <c r="P2001" t="n">
        <v>0</v>
      </c>
      <c r="Q2001" t="n">
        <v>0</v>
      </c>
      <c r="R2001" s="2" t="inlineStr"/>
    </row>
    <row r="2002" ht="15" customHeight="1">
      <c r="A2002" t="inlineStr">
        <is>
          <t>A 49597-2021</t>
        </is>
      </c>
      <c r="B2002" s="1" t="n">
        <v>44455.40453703704</v>
      </c>
      <c r="C2002" s="1" t="n">
        <v>45952</v>
      </c>
      <c r="D2002" t="inlineStr">
        <is>
          <t>VÄSTRA GÖTALANDS LÄN</t>
        </is>
      </c>
      <c r="E2002" t="inlineStr">
        <is>
          <t>HERRLJUNGA</t>
        </is>
      </c>
      <c r="G2002" t="n">
        <v>0.5</v>
      </c>
      <c r="H2002" t="n">
        <v>0</v>
      </c>
      <c r="I2002" t="n">
        <v>0</v>
      </c>
      <c r="J2002" t="n">
        <v>0</v>
      </c>
      <c r="K2002" t="n">
        <v>0</v>
      </c>
      <c r="L2002" t="n">
        <v>0</v>
      </c>
      <c r="M2002" t="n">
        <v>0</v>
      </c>
      <c r="N2002" t="n">
        <v>0</v>
      </c>
      <c r="O2002" t="n">
        <v>0</v>
      </c>
      <c r="P2002" t="n">
        <v>0</v>
      </c>
      <c r="Q2002" t="n">
        <v>0</v>
      </c>
      <c r="R2002" s="2" t="inlineStr"/>
    </row>
    <row r="2003" ht="15" customHeight="1">
      <c r="A2003" t="inlineStr">
        <is>
          <t>A 12543-2021</t>
        </is>
      </c>
      <c r="B2003" s="1" t="n">
        <v>44270.30571759259</v>
      </c>
      <c r="C2003" s="1" t="n">
        <v>45952</v>
      </c>
      <c r="D2003" t="inlineStr">
        <is>
          <t>VÄSTRA GÖTALANDS LÄN</t>
        </is>
      </c>
      <c r="E2003" t="inlineStr">
        <is>
          <t>TRANEMO</t>
        </is>
      </c>
      <c r="G2003" t="n">
        <v>0.8</v>
      </c>
      <c r="H2003" t="n">
        <v>0</v>
      </c>
      <c r="I2003" t="n">
        <v>0</v>
      </c>
      <c r="J2003" t="n">
        <v>0</v>
      </c>
      <c r="K2003" t="n">
        <v>0</v>
      </c>
      <c r="L2003" t="n">
        <v>0</v>
      </c>
      <c r="M2003" t="n">
        <v>0</v>
      </c>
      <c r="N2003" t="n">
        <v>0</v>
      </c>
      <c r="O2003" t="n">
        <v>0</v>
      </c>
      <c r="P2003" t="n">
        <v>0</v>
      </c>
      <c r="Q2003" t="n">
        <v>0</v>
      </c>
      <c r="R2003" s="2" t="inlineStr"/>
    </row>
    <row r="2004" ht="15" customHeight="1">
      <c r="A2004" t="inlineStr">
        <is>
          <t>A 12548-2021</t>
        </is>
      </c>
      <c r="B2004" s="1" t="n">
        <v>44270</v>
      </c>
      <c r="C2004" s="1" t="n">
        <v>45952</v>
      </c>
      <c r="D2004" t="inlineStr">
        <is>
          <t>VÄSTRA GÖTALANDS LÄN</t>
        </is>
      </c>
      <c r="E2004" t="inlineStr">
        <is>
          <t>TRANEMO</t>
        </is>
      </c>
      <c r="G2004" t="n">
        <v>0.8</v>
      </c>
      <c r="H2004" t="n">
        <v>0</v>
      </c>
      <c r="I2004" t="n">
        <v>0</v>
      </c>
      <c r="J2004" t="n">
        <v>0</v>
      </c>
      <c r="K2004" t="n">
        <v>0</v>
      </c>
      <c r="L2004" t="n">
        <v>0</v>
      </c>
      <c r="M2004" t="n">
        <v>0</v>
      </c>
      <c r="N2004" t="n">
        <v>0</v>
      </c>
      <c r="O2004" t="n">
        <v>0</v>
      </c>
      <c r="P2004" t="n">
        <v>0</v>
      </c>
      <c r="Q2004" t="n">
        <v>0</v>
      </c>
      <c r="R2004" s="2" t="inlineStr"/>
    </row>
    <row r="2005" ht="15" customHeight="1">
      <c r="A2005" t="inlineStr">
        <is>
          <t>A 11029-2021</t>
        </is>
      </c>
      <c r="B2005" s="1" t="n">
        <v>44260.52445601852</v>
      </c>
      <c r="C2005" s="1" t="n">
        <v>45952</v>
      </c>
      <c r="D2005" t="inlineStr">
        <is>
          <t>VÄSTRA GÖTALANDS LÄN</t>
        </is>
      </c>
      <c r="E2005" t="inlineStr">
        <is>
          <t>MARIESTAD</t>
        </is>
      </c>
      <c r="G2005" t="n">
        <v>1.7</v>
      </c>
      <c r="H2005" t="n">
        <v>0</v>
      </c>
      <c r="I2005" t="n">
        <v>0</v>
      </c>
      <c r="J2005" t="n">
        <v>0</v>
      </c>
      <c r="K2005" t="n">
        <v>0</v>
      </c>
      <c r="L2005" t="n">
        <v>0</v>
      </c>
      <c r="M2005" t="n">
        <v>0</v>
      </c>
      <c r="N2005" t="n">
        <v>0</v>
      </c>
      <c r="O2005" t="n">
        <v>0</v>
      </c>
      <c r="P2005" t="n">
        <v>0</v>
      </c>
      <c r="Q2005" t="n">
        <v>0</v>
      </c>
      <c r="R2005" s="2" t="inlineStr"/>
    </row>
    <row r="2006" ht="15" customHeight="1">
      <c r="A2006" t="inlineStr">
        <is>
          <t>A 41630-2021</t>
        </is>
      </c>
      <c r="B2006" s="1" t="n">
        <v>44425.45646990741</v>
      </c>
      <c r="C2006" s="1" t="n">
        <v>45952</v>
      </c>
      <c r="D2006" t="inlineStr">
        <is>
          <t>VÄSTRA GÖTALANDS LÄN</t>
        </is>
      </c>
      <c r="E2006" t="inlineStr">
        <is>
          <t>LILLA EDET</t>
        </is>
      </c>
      <c r="G2006" t="n">
        <v>3.1</v>
      </c>
      <c r="H2006" t="n">
        <v>0</v>
      </c>
      <c r="I2006" t="n">
        <v>0</v>
      </c>
      <c r="J2006" t="n">
        <v>0</v>
      </c>
      <c r="K2006" t="n">
        <v>0</v>
      </c>
      <c r="L2006" t="n">
        <v>0</v>
      </c>
      <c r="M2006" t="n">
        <v>0</v>
      </c>
      <c r="N2006" t="n">
        <v>0</v>
      </c>
      <c r="O2006" t="n">
        <v>0</v>
      </c>
      <c r="P2006" t="n">
        <v>0</v>
      </c>
      <c r="Q2006" t="n">
        <v>0</v>
      </c>
      <c r="R2006" s="2" t="inlineStr"/>
    </row>
    <row r="2007" ht="15" customHeight="1">
      <c r="A2007" t="inlineStr">
        <is>
          <t>A 58099-2020</t>
        </is>
      </c>
      <c r="B2007" s="1" t="n">
        <v>44144</v>
      </c>
      <c r="C2007" s="1" t="n">
        <v>45952</v>
      </c>
      <c r="D2007" t="inlineStr">
        <is>
          <t>VÄSTRA GÖTALANDS LÄN</t>
        </is>
      </c>
      <c r="E2007" t="inlineStr">
        <is>
          <t>ALE</t>
        </is>
      </c>
      <c r="G2007" t="n">
        <v>4.6</v>
      </c>
      <c r="H2007" t="n">
        <v>0</v>
      </c>
      <c r="I2007" t="n">
        <v>0</v>
      </c>
      <c r="J2007" t="n">
        <v>0</v>
      </c>
      <c r="K2007" t="n">
        <v>0</v>
      </c>
      <c r="L2007" t="n">
        <v>0</v>
      </c>
      <c r="M2007" t="n">
        <v>0</v>
      </c>
      <c r="N2007" t="n">
        <v>0</v>
      </c>
      <c r="O2007" t="n">
        <v>0</v>
      </c>
      <c r="P2007" t="n">
        <v>0</v>
      </c>
      <c r="Q2007" t="n">
        <v>0</v>
      </c>
      <c r="R2007" s="2" t="inlineStr"/>
    </row>
    <row r="2008" ht="15" customHeight="1">
      <c r="A2008" t="inlineStr">
        <is>
          <t>A 16246-2021</t>
        </is>
      </c>
      <c r="B2008" s="1" t="n">
        <v>44292.56182870371</v>
      </c>
      <c r="C2008" s="1" t="n">
        <v>45952</v>
      </c>
      <c r="D2008" t="inlineStr">
        <is>
          <t>VÄSTRA GÖTALANDS LÄN</t>
        </is>
      </c>
      <c r="E2008" t="inlineStr">
        <is>
          <t>BORÅS</t>
        </is>
      </c>
      <c r="G2008" t="n">
        <v>2.7</v>
      </c>
      <c r="H2008" t="n">
        <v>0</v>
      </c>
      <c r="I2008" t="n">
        <v>0</v>
      </c>
      <c r="J2008" t="n">
        <v>0</v>
      </c>
      <c r="K2008" t="n">
        <v>0</v>
      </c>
      <c r="L2008" t="n">
        <v>0</v>
      </c>
      <c r="M2008" t="n">
        <v>0</v>
      </c>
      <c r="N2008" t="n">
        <v>0</v>
      </c>
      <c r="O2008" t="n">
        <v>0</v>
      </c>
      <c r="P2008" t="n">
        <v>0</v>
      </c>
      <c r="Q2008" t="n">
        <v>0</v>
      </c>
      <c r="R2008" s="2" t="inlineStr"/>
    </row>
    <row r="2009" ht="15" customHeight="1">
      <c r="A2009" t="inlineStr">
        <is>
          <t>A 11934-2021</t>
        </is>
      </c>
      <c r="B2009" s="1" t="n">
        <v>44265</v>
      </c>
      <c r="C2009" s="1" t="n">
        <v>45952</v>
      </c>
      <c r="D2009" t="inlineStr">
        <is>
          <t>VÄSTRA GÖTALANDS LÄN</t>
        </is>
      </c>
      <c r="E2009" t="inlineStr">
        <is>
          <t>SKARA</t>
        </is>
      </c>
      <c r="G2009" t="n">
        <v>4.2</v>
      </c>
      <c r="H2009" t="n">
        <v>0</v>
      </c>
      <c r="I2009" t="n">
        <v>0</v>
      </c>
      <c r="J2009" t="n">
        <v>0</v>
      </c>
      <c r="K2009" t="n">
        <v>0</v>
      </c>
      <c r="L2009" t="n">
        <v>0</v>
      </c>
      <c r="M2009" t="n">
        <v>0</v>
      </c>
      <c r="N2009" t="n">
        <v>0</v>
      </c>
      <c r="O2009" t="n">
        <v>0</v>
      </c>
      <c r="P2009" t="n">
        <v>0</v>
      </c>
      <c r="Q2009" t="n">
        <v>0</v>
      </c>
      <c r="R2009" s="2" t="inlineStr"/>
    </row>
    <row r="2010" ht="15" customHeight="1">
      <c r="A2010" t="inlineStr">
        <is>
          <t>A 37787-2021</t>
        </is>
      </c>
      <c r="B2010" s="1" t="n">
        <v>44401</v>
      </c>
      <c r="C2010" s="1" t="n">
        <v>45952</v>
      </c>
      <c r="D2010" t="inlineStr">
        <is>
          <t>VÄSTRA GÖTALANDS LÄN</t>
        </is>
      </c>
      <c r="E2010" t="inlineStr">
        <is>
          <t>ÅMÅL</t>
        </is>
      </c>
      <c r="G2010" t="n">
        <v>1.1</v>
      </c>
      <c r="H2010" t="n">
        <v>0</v>
      </c>
      <c r="I2010" t="n">
        <v>0</v>
      </c>
      <c r="J2010" t="n">
        <v>0</v>
      </c>
      <c r="K2010" t="n">
        <v>0</v>
      </c>
      <c r="L2010" t="n">
        <v>0</v>
      </c>
      <c r="M2010" t="n">
        <v>0</v>
      </c>
      <c r="N2010" t="n">
        <v>0</v>
      </c>
      <c r="O2010" t="n">
        <v>0</v>
      </c>
      <c r="P2010" t="n">
        <v>0</v>
      </c>
      <c r="Q2010" t="n">
        <v>0</v>
      </c>
      <c r="R2010" s="2" t="inlineStr"/>
    </row>
    <row r="2011" ht="15" customHeight="1">
      <c r="A2011" t="inlineStr">
        <is>
          <t>A 51986-2021</t>
        </is>
      </c>
      <c r="B2011" s="1" t="n">
        <v>44463</v>
      </c>
      <c r="C2011" s="1" t="n">
        <v>45952</v>
      </c>
      <c r="D2011" t="inlineStr">
        <is>
          <t>VÄSTRA GÖTALANDS LÄN</t>
        </is>
      </c>
      <c r="E2011" t="inlineStr">
        <is>
          <t>BORÅS</t>
        </is>
      </c>
      <c r="G2011" t="n">
        <v>2.9</v>
      </c>
      <c r="H2011" t="n">
        <v>0</v>
      </c>
      <c r="I2011" t="n">
        <v>0</v>
      </c>
      <c r="J2011" t="n">
        <v>0</v>
      </c>
      <c r="K2011" t="n">
        <v>0</v>
      </c>
      <c r="L2011" t="n">
        <v>0</v>
      </c>
      <c r="M2011" t="n">
        <v>0</v>
      </c>
      <c r="N2011" t="n">
        <v>0</v>
      </c>
      <c r="O2011" t="n">
        <v>0</v>
      </c>
      <c r="P2011" t="n">
        <v>0</v>
      </c>
      <c r="Q2011" t="n">
        <v>0</v>
      </c>
      <c r="R2011" s="2" t="inlineStr"/>
    </row>
    <row r="2012" ht="15" customHeight="1">
      <c r="A2012" t="inlineStr">
        <is>
          <t>A 61943-2021</t>
        </is>
      </c>
      <c r="B2012" s="1" t="n">
        <v>44502.41795138889</v>
      </c>
      <c r="C2012" s="1" t="n">
        <v>45952</v>
      </c>
      <c r="D2012" t="inlineStr">
        <is>
          <t>VÄSTRA GÖTALANDS LÄN</t>
        </is>
      </c>
      <c r="E2012" t="inlineStr">
        <is>
          <t>BOLLEBYGD</t>
        </is>
      </c>
      <c r="G2012" t="n">
        <v>0.9</v>
      </c>
      <c r="H2012" t="n">
        <v>0</v>
      </c>
      <c r="I2012" t="n">
        <v>0</v>
      </c>
      <c r="J2012" t="n">
        <v>0</v>
      </c>
      <c r="K2012" t="n">
        <v>0</v>
      </c>
      <c r="L2012" t="n">
        <v>0</v>
      </c>
      <c r="M2012" t="n">
        <v>0</v>
      </c>
      <c r="N2012" t="n">
        <v>0</v>
      </c>
      <c r="O2012" t="n">
        <v>0</v>
      </c>
      <c r="P2012" t="n">
        <v>0</v>
      </c>
      <c r="Q2012" t="n">
        <v>0</v>
      </c>
      <c r="R2012" s="2" t="inlineStr"/>
    </row>
    <row r="2013" ht="15" customHeight="1">
      <c r="A2013" t="inlineStr">
        <is>
          <t>A 61994-2021</t>
        </is>
      </c>
      <c r="B2013" s="1" t="n">
        <v>44502</v>
      </c>
      <c r="C2013" s="1" t="n">
        <v>45952</v>
      </c>
      <c r="D2013" t="inlineStr">
        <is>
          <t>VÄSTRA GÖTALANDS LÄN</t>
        </is>
      </c>
      <c r="E2013" t="inlineStr">
        <is>
          <t>TRANEMO</t>
        </is>
      </c>
      <c r="F2013" t="inlineStr">
        <is>
          <t>Sveaskog</t>
        </is>
      </c>
      <c r="G2013" t="n">
        <v>0.8</v>
      </c>
      <c r="H2013" t="n">
        <v>0</v>
      </c>
      <c r="I2013" t="n">
        <v>0</v>
      </c>
      <c r="J2013" t="n">
        <v>0</v>
      </c>
      <c r="K2013" t="n">
        <v>0</v>
      </c>
      <c r="L2013" t="n">
        <v>0</v>
      </c>
      <c r="M2013" t="n">
        <v>0</v>
      </c>
      <c r="N2013" t="n">
        <v>0</v>
      </c>
      <c r="O2013" t="n">
        <v>0</v>
      </c>
      <c r="P2013" t="n">
        <v>0</v>
      </c>
      <c r="Q2013" t="n">
        <v>0</v>
      </c>
      <c r="R2013" s="2" t="inlineStr"/>
    </row>
    <row r="2014" ht="15" customHeight="1">
      <c r="A2014" t="inlineStr">
        <is>
          <t>A 62049-2021</t>
        </is>
      </c>
      <c r="B2014" s="1" t="n">
        <v>44501</v>
      </c>
      <c r="C2014" s="1" t="n">
        <v>45952</v>
      </c>
      <c r="D2014" t="inlineStr">
        <is>
          <t>VÄSTRA GÖTALANDS LÄN</t>
        </is>
      </c>
      <c r="E2014" t="inlineStr">
        <is>
          <t>VÅRGÅRDA</t>
        </is>
      </c>
      <c r="G2014" t="n">
        <v>0.9</v>
      </c>
      <c r="H2014" t="n">
        <v>0</v>
      </c>
      <c r="I2014" t="n">
        <v>0</v>
      </c>
      <c r="J2014" t="n">
        <v>0</v>
      </c>
      <c r="K2014" t="n">
        <v>0</v>
      </c>
      <c r="L2014" t="n">
        <v>0</v>
      </c>
      <c r="M2014" t="n">
        <v>0</v>
      </c>
      <c r="N2014" t="n">
        <v>0</v>
      </c>
      <c r="O2014" t="n">
        <v>0</v>
      </c>
      <c r="P2014" t="n">
        <v>0</v>
      </c>
      <c r="Q2014" t="n">
        <v>0</v>
      </c>
      <c r="R2014" s="2" t="inlineStr"/>
    </row>
    <row r="2015" ht="15" customHeight="1">
      <c r="A2015" t="inlineStr">
        <is>
          <t>A 53204-2021</t>
        </is>
      </c>
      <c r="B2015" s="1" t="n">
        <v>44468</v>
      </c>
      <c r="C2015" s="1" t="n">
        <v>45952</v>
      </c>
      <c r="D2015" t="inlineStr">
        <is>
          <t>VÄSTRA GÖTALANDS LÄN</t>
        </is>
      </c>
      <c r="E2015" t="inlineStr">
        <is>
          <t>HÄRRYDA</t>
        </is>
      </c>
      <c r="G2015" t="n">
        <v>1.5</v>
      </c>
      <c r="H2015" t="n">
        <v>0</v>
      </c>
      <c r="I2015" t="n">
        <v>0</v>
      </c>
      <c r="J2015" t="n">
        <v>0</v>
      </c>
      <c r="K2015" t="n">
        <v>0</v>
      </c>
      <c r="L2015" t="n">
        <v>0</v>
      </c>
      <c r="M2015" t="n">
        <v>0</v>
      </c>
      <c r="N2015" t="n">
        <v>0</v>
      </c>
      <c r="O2015" t="n">
        <v>0</v>
      </c>
      <c r="P2015" t="n">
        <v>0</v>
      </c>
      <c r="Q2015" t="n">
        <v>0</v>
      </c>
      <c r="R2015" s="2" t="inlineStr"/>
    </row>
    <row r="2016" ht="15" customHeight="1">
      <c r="A2016" t="inlineStr">
        <is>
          <t>A 58141-2020</t>
        </is>
      </c>
      <c r="B2016" s="1" t="n">
        <v>44144</v>
      </c>
      <c r="C2016" s="1" t="n">
        <v>45952</v>
      </c>
      <c r="D2016" t="inlineStr">
        <is>
          <t>VÄSTRA GÖTALANDS LÄN</t>
        </is>
      </c>
      <c r="E2016" t="inlineStr">
        <is>
          <t>LILLA EDET</t>
        </is>
      </c>
      <c r="G2016" t="n">
        <v>4.9</v>
      </c>
      <c r="H2016" t="n">
        <v>0</v>
      </c>
      <c r="I2016" t="n">
        <v>0</v>
      </c>
      <c r="J2016" t="n">
        <v>0</v>
      </c>
      <c r="K2016" t="n">
        <v>0</v>
      </c>
      <c r="L2016" t="n">
        <v>0</v>
      </c>
      <c r="M2016" t="n">
        <v>0</v>
      </c>
      <c r="N2016" t="n">
        <v>0</v>
      </c>
      <c r="O2016" t="n">
        <v>0</v>
      </c>
      <c r="P2016" t="n">
        <v>0</v>
      </c>
      <c r="Q2016" t="n">
        <v>0</v>
      </c>
      <c r="R2016" s="2" t="inlineStr"/>
    </row>
    <row r="2017" ht="15" customHeight="1">
      <c r="A2017" t="inlineStr">
        <is>
          <t>A 46825-2021</t>
        </is>
      </c>
      <c r="B2017" s="1" t="n">
        <v>44446</v>
      </c>
      <c r="C2017" s="1" t="n">
        <v>45952</v>
      </c>
      <c r="D2017" t="inlineStr">
        <is>
          <t>VÄSTRA GÖTALANDS LÄN</t>
        </is>
      </c>
      <c r="E2017" t="inlineStr">
        <is>
          <t>BENGTSFORS</t>
        </is>
      </c>
      <c r="G2017" t="n">
        <v>8.6</v>
      </c>
      <c r="H2017" t="n">
        <v>0</v>
      </c>
      <c r="I2017" t="n">
        <v>0</v>
      </c>
      <c r="J2017" t="n">
        <v>0</v>
      </c>
      <c r="K2017" t="n">
        <v>0</v>
      </c>
      <c r="L2017" t="n">
        <v>0</v>
      </c>
      <c r="M2017" t="n">
        <v>0</v>
      </c>
      <c r="N2017" t="n">
        <v>0</v>
      </c>
      <c r="O2017" t="n">
        <v>0</v>
      </c>
      <c r="P2017" t="n">
        <v>0</v>
      </c>
      <c r="Q2017" t="n">
        <v>0</v>
      </c>
      <c r="R2017" s="2" t="inlineStr"/>
    </row>
    <row r="2018" ht="15" customHeight="1">
      <c r="A2018" t="inlineStr">
        <is>
          <t>A 57-2022</t>
        </is>
      </c>
      <c r="B2018" s="1" t="n">
        <v>44564</v>
      </c>
      <c r="C2018" s="1" t="n">
        <v>45952</v>
      </c>
      <c r="D2018" t="inlineStr">
        <is>
          <t>VÄSTRA GÖTALANDS LÄN</t>
        </is>
      </c>
      <c r="E2018" t="inlineStr">
        <is>
          <t>MARK</t>
        </is>
      </c>
      <c r="G2018" t="n">
        <v>1.1</v>
      </c>
      <c r="H2018" t="n">
        <v>0</v>
      </c>
      <c r="I2018" t="n">
        <v>0</v>
      </c>
      <c r="J2018" t="n">
        <v>0</v>
      </c>
      <c r="K2018" t="n">
        <v>0</v>
      </c>
      <c r="L2018" t="n">
        <v>0</v>
      </c>
      <c r="M2018" t="n">
        <v>0</v>
      </c>
      <c r="N2018" t="n">
        <v>0</v>
      </c>
      <c r="O2018" t="n">
        <v>0</v>
      </c>
      <c r="P2018" t="n">
        <v>0</v>
      </c>
      <c r="Q2018" t="n">
        <v>0</v>
      </c>
      <c r="R2018" s="2" t="inlineStr"/>
    </row>
    <row r="2019" ht="15" customHeight="1">
      <c r="A2019" t="inlineStr">
        <is>
          <t>A 8466-2021</t>
        </is>
      </c>
      <c r="B2019" s="1" t="n">
        <v>44245</v>
      </c>
      <c r="C2019" s="1" t="n">
        <v>45952</v>
      </c>
      <c r="D2019" t="inlineStr">
        <is>
          <t>VÄSTRA GÖTALANDS LÄN</t>
        </is>
      </c>
      <c r="E2019" t="inlineStr">
        <is>
          <t>SKARA</t>
        </is>
      </c>
      <c r="G2019" t="n">
        <v>0.3</v>
      </c>
      <c r="H2019" t="n">
        <v>0</v>
      </c>
      <c r="I2019" t="n">
        <v>0</v>
      </c>
      <c r="J2019" t="n">
        <v>0</v>
      </c>
      <c r="K2019" t="n">
        <v>0</v>
      </c>
      <c r="L2019" t="n">
        <v>0</v>
      </c>
      <c r="M2019" t="n">
        <v>0</v>
      </c>
      <c r="N2019" t="n">
        <v>0</v>
      </c>
      <c r="O2019" t="n">
        <v>0</v>
      </c>
      <c r="P2019" t="n">
        <v>0</v>
      </c>
      <c r="Q2019" t="n">
        <v>0</v>
      </c>
      <c r="R2019" s="2" t="inlineStr"/>
    </row>
    <row r="2020" ht="15" customHeight="1">
      <c r="A2020" t="inlineStr">
        <is>
          <t>A 63943-2020</t>
        </is>
      </c>
      <c r="B2020" s="1" t="n">
        <v>44167</v>
      </c>
      <c r="C2020" s="1" t="n">
        <v>45952</v>
      </c>
      <c r="D2020" t="inlineStr">
        <is>
          <t>VÄSTRA GÖTALANDS LÄN</t>
        </is>
      </c>
      <c r="E2020" t="inlineStr">
        <is>
          <t>GÖTENE</t>
        </is>
      </c>
      <c r="F2020" t="inlineStr">
        <is>
          <t>Sveaskog</t>
        </is>
      </c>
      <c r="G2020" t="n">
        <v>1.5</v>
      </c>
      <c r="H2020" t="n">
        <v>0</v>
      </c>
      <c r="I2020" t="n">
        <v>0</v>
      </c>
      <c r="J2020" t="n">
        <v>0</v>
      </c>
      <c r="K2020" t="n">
        <v>0</v>
      </c>
      <c r="L2020" t="n">
        <v>0</v>
      </c>
      <c r="M2020" t="n">
        <v>0</v>
      </c>
      <c r="N2020" t="n">
        <v>0</v>
      </c>
      <c r="O2020" t="n">
        <v>0</v>
      </c>
      <c r="P2020" t="n">
        <v>0</v>
      </c>
      <c r="Q2020" t="n">
        <v>0</v>
      </c>
      <c r="R2020" s="2" t="inlineStr"/>
    </row>
    <row r="2021" ht="15" customHeight="1">
      <c r="A2021" t="inlineStr">
        <is>
          <t>A 58301-2021</t>
        </is>
      </c>
      <c r="B2021" s="1" t="n">
        <v>44488</v>
      </c>
      <c r="C2021" s="1" t="n">
        <v>45952</v>
      </c>
      <c r="D2021" t="inlineStr">
        <is>
          <t>VÄSTRA GÖTALANDS LÄN</t>
        </is>
      </c>
      <c r="E2021" t="inlineStr">
        <is>
          <t>VÄNERSBORG</t>
        </is>
      </c>
      <c r="G2021" t="n">
        <v>2.5</v>
      </c>
      <c r="H2021" t="n">
        <v>0</v>
      </c>
      <c r="I2021" t="n">
        <v>0</v>
      </c>
      <c r="J2021" t="n">
        <v>0</v>
      </c>
      <c r="K2021" t="n">
        <v>0</v>
      </c>
      <c r="L2021" t="n">
        <v>0</v>
      </c>
      <c r="M2021" t="n">
        <v>0</v>
      </c>
      <c r="N2021" t="n">
        <v>0</v>
      </c>
      <c r="O2021" t="n">
        <v>0</v>
      </c>
      <c r="P2021" t="n">
        <v>0</v>
      </c>
      <c r="Q2021" t="n">
        <v>0</v>
      </c>
      <c r="R2021" s="2" t="inlineStr"/>
    </row>
    <row r="2022" ht="15" customHeight="1">
      <c r="A2022" t="inlineStr">
        <is>
          <t>A 60967-2021</t>
        </is>
      </c>
      <c r="B2022" s="1" t="n">
        <v>44497</v>
      </c>
      <c r="C2022" s="1" t="n">
        <v>45952</v>
      </c>
      <c r="D2022" t="inlineStr">
        <is>
          <t>VÄSTRA GÖTALANDS LÄN</t>
        </is>
      </c>
      <c r="E2022" t="inlineStr">
        <is>
          <t>MARK</t>
        </is>
      </c>
      <c r="F2022" t="inlineStr">
        <is>
          <t>Kyrkan</t>
        </is>
      </c>
      <c r="G2022" t="n">
        <v>6.3</v>
      </c>
      <c r="H2022" t="n">
        <v>0</v>
      </c>
      <c r="I2022" t="n">
        <v>0</v>
      </c>
      <c r="J2022" t="n">
        <v>0</v>
      </c>
      <c r="K2022" t="n">
        <v>0</v>
      </c>
      <c r="L2022" t="n">
        <v>0</v>
      </c>
      <c r="M2022" t="n">
        <v>0</v>
      </c>
      <c r="N2022" t="n">
        <v>0</v>
      </c>
      <c r="O2022" t="n">
        <v>0</v>
      </c>
      <c r="P2022" t="n">
        <v>0</v>
      </c>
      <c r="Q2022" t="n">
        <v>0</v>
      </c>
      <c r="R2022" s="2" t="inlineStr"/>
    </row>
    <row r="2023" ht="15" customHeight="1">
      <c r="A2023" t="inlineStr">
        <is>
          <t>A 7769-2021</t>
        </is>
      </c>
      <c r="B2023" s="1" t="n">
        <v>44242</v>
      </c>
      <c r="C2023" s="1" t="n">
        <v>45952</v>
      </c>
      <c r="D2023" t="inlineStr">
        <is>
          <t>VÄSTRA GÖTALANDS LÄN</t>
        </is>
      </c>
      <c r="E2023" t="inlineStr">
        <is>
          <t>HERRLJUNGA</t>
        </is>
      </c>
      <c r="G2023" t="n">
        <v>2</v>
      </c>
      <c r="H2023" t="n">
        <v>0</v>
      </c>
      <c r="I2023" t="n">
        <v>0</v>
      </c>
      <c r="J2023" t="n">
        <v>0</v>
      </c>
      <c r="K2023" t="n">
        <v>0</v>
      </c>
      <c r="L2023" t="n">
        <v>0</v>
      </c>
      <c r="M2023" t="n">
        <v>0</v>
      </c>
      <c r="N2023" t="n">
        <v>0</v>
      </c>
      <c r="O2023" t="n">
        <v>0</v>
      </c>
      <c r="P2023" t="n">
        <v>0</v>
      </c>
      <c r="Q2023" t="n">
        <v>0</v>
      </c>
      <c r="R2023" s="2" t="inlineStr"/>
    </row>
    <row r="2024" ht="15" customHeight="1">
      <c r="A2024" t="inlineStr">
        <is>
          <t>A 7810-2021</t>
        </is>
      </c>
      <c r="B2024" s="1" t="n">
        <v>44242.61493055556</v>
      </c>
      <c r="C2024" s="1" t="n">
        <v>45952</v>
      </c>
      <c r="D2024" t="inlineStr">
        <is>
          <t>VÄSTRA GÖTALANDS LÄN</t>
        </is>
      </c>
      <c r="E2024" t="inlineStr">
        <is>
          <t>FÄRGELANDA</t>
        </is>
      </c>
      <c r="G2024" t="n">
        <v>11.5</v>
      </c>
      <c r="H2024" t="n">
        <v>0</v>
      </c>
      <c r="I2024" t="n">
        <v>0</v>
      </c>
      <c r="J2024" t="n">
        <v>0</v>
      </c>
      <c r="K2024" t="n">
        <v>0</v>
      </c>
      <c r="L2024" t="n">
        <v>0</v>
      </c>
      <c r="M2024" t="n">
        <v>0</v>
      </c>
      <c r="N2024" t="n">
        <v>0</v>
      </c>
      <c r="O2024" t="n">
        <v>0</v>
      </c>
      <c r="P2024" t="n">
        <v>0</v>
      </c>
      <c r="Q2024" t="n">
        <v>0</v>
      </c>
      <c r="R2024" s="2" t="inlineStr"/>
    </row>
    <row r="2025" ht="15" customHeight="1">
      <c r="A2025" t="inlineStr">
        <is>
          <t>A 38054-2021</t>
        </is>
      </c>
      <c r="B2025" s="1" t="n">
        <v>44404</v>
      </c>
      <c r="C2025" s="1" t="n">
        <v>45952</v>
      </c>
      <c r="D2025" t="inlineStr">
        <is>
          <t>VÄSTRA GÖTALANDS LÄN</t>
        </is>
      </c>
      <c r="E2025" t="inlineStr">
        <is>
          <t>MARIESTAD</t>
        </is>
      </c>
      <c r="G2025" t="n">
        <v>1.8</v>
      </c>
      <c r="H2025" t="n">
        <v>0</v>
      </c>
      <c r="I2025" t="n">
        <v>0</v>
      </c>
      <c r="J2025" t="n">
        <v>0</v>
      </c>
      <c r="K2025" t="n">
        <v>0</v>
      </c>
      <c r="L2025" t="n">
        <v>0</v>
      </c>
      <c r="M2025" t="n">
        <v>0</v>
      </c>
      <c r="N2025" t="n">
        <v>0</v>
      </c>
      <c r="O2025" t="n">
        <v>0</v>
      </c>
      <c r="P2025" t="n">
        <v>0</v>
      </c>
      <c r="Q2025" t="n">
        <v>0</v>
      </c>
      <c r="R2025" s="2" t="inlineStr"/>
    </row>
    <row r="2026" ht="15" customHeight="1">
      <c r="A2026" t="inlineStr">
        <is>
          <t>A 30191-2021</t>
        </is>
      </c>
      <c r="B2026" s="1" t="n">
        <v>44363</v>
      </c>
      <c r="C2026" s="1" t="n">
        <v>45952</v>
      </c>
      <c r="D2026" t="inlineStr">
        <is>
          <t>VÄSTRA GÖTALANDS LÄN</t>
        </is>
      </c>
      <c r="E2026" t="inlineStr">
        <is>
          <t>MARK</t>
        </is>
      </c>
      <c r="F2026" t="inlineStr">
        <is>
          <t>Kyrkan</t>
        </is>
      </c>
      <c r="G2026" t="n">
        <v>6</v>
      </c>
      <c r="H2026" t="n">
        <v>0</v>
      </c>
      <c r="I2026" t="n">
        <v>0</v>
      </c>
      <c r="J2026" t="n">
        <v>0</v>
      </c>
      <c r="K2026" t="n">
        <v>0</v>
      </c>
      <c r="L2026" t="n">
        <v>0</v>
      </c>
      <c r="M2026" t="n">
        <v>0</v>
      </c>
      <c r="N2026" t="n">
        <v>0</v>
      </c>
      <c r="O2026" t="n">
        <v>0</v>
      </c>
      <c r="P2026" t="n">
        <v>0</v>
      </c>
      <c r="Q2026" t="n">
        <v>0</v>
      </c>
      <c r="R2026" s="2" t="inlineStr"/>
    </row>
    <row r="2027" ht="15" customHeight="1">
      <c r="A2027" t="inlineStr">
        <is>
          <t>A 34863-2021</t>
        </is>
      </c>
      <c r="B2027" s="1" t="n">
        <v>44383.43858796296</v>
      </c>
      <c r="C2027" s="1" t="n">
        <v>45952</v>
      </c>
      <c r="D2027" t="inlineStr">
        <is>
          <t>VÄSTRA GÖTALANDS LÄN</t>
        </is>
      </c>
      <c r="E2027" t="inlineStr">
        <is>
          <t>BENGTSFORS</t>
        </is>
      </c>
      <c r="G2027" t="n">
        <v>0.5</v>
      </c>
      <c r="H2027" t="n">
        <v>0</v>
      </c>
      <c r="I2027" t="n">
        <v>0</v>
      </c>
      <c r="J2027" t="n">
        <v>0</v>
      </c>
      <c r="K2027" t="n">
        <v>0</v>
      </c>
      <c r="L2027" t="n">
        <v>0</v>
      </c>
      <c r="M2027" t="n">
        <v>0</v>
      </c>
      <c r="N2027" t="n">
        <v>0</v>
      </c>
      <c r="O2027" t="n">
        <v>0</v>
      </c>
      <c r="P2027" t="n">
        <v>0</v>
      </c>
      <c r="Q2027" t="n">
        <v>0</v>
      </c>
      <c r="R2027" s="2" t="inlineStr"/>
    </row>
    <row r="2028" ht="15" customHeight="1">
      <c r="A2028" t="inlineStr">
        <is>
          <t>A 54964-2021</t>
        </is>
      </c>
      <c r="B2028" s="1" t="n">
        <v>44474</v>
      </c>
      <c r="C2028" s="1" t="n">
        <v>45952</v>
      </c>
      <c r="D2028" t="inlineStr">
        <is>
          <t>VÄSTRA GÖTALANDS LÄN</t>
        </is>
      </c>
      <c r="E2028" t="inlineStr">
        <is>
          <t>VARA</t>
        </is>
      </c>
      <c r="G2028" t="n">
        <v>1.5</v>
      </c>
      <c r="H2028" t="n">
        <v>0</v>
      </c>
      <c r="I2028" t="n">
        <v>0</v>
      </c>
      <c r="J2028" t="n">
        <v>0</v>
      </c>
      <c r="K2028" t="n">
        <v>0</v>
      </c>
      <c r="L2028" t="n">
        <v>0</v>
      </c>
      <c r="M2028" t="n">
        <v>0</v>
      </c>
      <c r="N2028" t="n">
        <v>0</v>
      </c>
      <c r="O2028" t="n">
        <v>0</v>
      </c>
      <c r="P2028" t="n">
        <v>0</v>
      </c>
      <c r="Q2028" t="n">
        <v>0</v>
      </c>
      <c r="R2028" s="2" t="inlineStr"/>
    </row>
    <row r="2029" ht="15" customHeight="1">
      <c r="A2029" t="inlineStr">
        <is>
          <t>A 54610-2020</t>
        </is>
      </c>
      <c r="B2029" s="1" t="n">
        <v>44127</v>
      </c>
      <c r="C2029" s="1" t="n">
        <v>45952</v>
      </c>
      <c r="D2029" t="inlineStr">
        <is>
          <t>VÄSTRA GÖTALANDS LÄN</t>
        </is>
      </c>
      <c r="E2029" t="inlineStr">
        <is>
          <t>SVENLJUNGA</t>
        </is>
      </c>
      <c r="G2029" t="n">
        <v>7.3</v>
      </c>
      <c r="H2029" t="n">
        <v>0</v>
      </c>
      <c r="I2029" t="n">
        <v>0</v>
      </c>
      <c r="J2029" t="n">
        <v>0</v>
      </c>
      <c r="K2029" t="n">
        <v>0</v>
      </c>
      <c r="L2029" t="n">
        <v>0</v>
      </c>
      <c r="M2029" t="n">
        <v>0</v>
      </c>
      <c r="N2029" t="n">
        <v>0</v>
      </c>
      <c r="O2029" t="n">
        <v>0</v>
      </c>
      <c r="P2029" t="n">
        <v>0</v>
      </c>
      <c r="Q2029" t="n">
        <v>0</v>
      </c>
      <c r="R2029" s="2" t="inlineStr"/>
    </row>
    <row r="2030" ht="15" customHeight="1">
      <c r="A2030" t="inlineStr">
        <is>
          <t>A 14708-2021</t>
        </is>
      </c>
      <c r="B2030" s="1" t="n">
        <v>44280</v>
      </c>
      <c r="C2030" s="1" t="n">
        <v>45952</v>
      </c>
      <c r="D2030" t="inlineStr">
        <is>
          <t>VÄSTRA GÖTALANDS LÄN</t>
        </is>
      </c>
      <c r="E2030" t="inlineStr">
        <is>
          <t>VÄNERSBORG</t>
        </is>
      </c>
      <c r="G2030" t="n">
        <v>0.9</v>
      </c>
      <c r="H2030" t="n">
        <v>0</v>
      </c>
      <c r="I2030" t="n">
        <v>0</v>
      </c>
      <c r="J2030" t="n">
        <v>0</v>
      </c>
      <c r="K2030" t="n">
        <v>0</v>
      </c>
      <c r="L2030" t="n">
        <v>0</v>
      </c>
      <c r="M2030" t="n">
        <v>0</v>
      </c>
      <c r="N2030" t="n">
        <v>0</v>
      </c>
      <c r="O2030" t="n">
        <v>0</v>
      </c>
      <c r="P2030" t="n">
        <v>0</v>
      </c>
      <c r="Q2030" t="n">
        <v>0</v>
      </c>
      <c r="R2030" s="2" t="inlineStr"/>
    </row>
    <row r="2031" ht="15" customHeight="1">
      <c r="A2031" t="inlineStr">
        <is>
          <t>A 52971-2021</t>
        </is>
      </c>
      <c r="B2031" s="1" t="n">
        <v>44467.62484953704</v>
      </c>
      <c r="C2031" s="1" t="n">
        <v>45952</v>
      </c>
      <c r="D2031" t="inlineStr">
        <is>
          <t>VÄSTRA GÖTALANDS LÄN</t>
        </is>
      </c>
      <c r="E2031" t="inlineStr">
        <is>
          <t>SKARA</t>
        </is>
      </c>
      <c r="G2031" t="n">
        <v>0.7</v>
      </c>
      <c r="H2031" t="n">
        <v>0</v>
      </c>
      <c r="I2031" t="n">
        <v>0</v>
      </c>
      <c r="J2031" t="n">
        <v>0</v>
      </c>
      <c r="K2031" t="n">
        <v>0</v>
      </c>
      <c r="L2031" t="n">
        <v>0</v>
      </c>
      <c r="M2031" t="n">
        <v>0</v>
      </c>
      <c r="N2031" t="n">
        <v>0</v>
      </c>
      <c r="O2031" t="n">
        <v>0</v>
      </c>
      <c r="P2031" t="n">
        <v>0</v>
      </c>
      <c r="Q2031" t="n">
        <v>0</v>
      </c>
      <c r="R2031" s="2" t="inlineStr"/>
    </row>
    <row r="2032" ht="15" customHeight="1">
      <c r="A2032" t="inlineStr">
        <is>
          <t>A 50694-2021</t>
        </is>
      </c>
      <c r="B2032" s="1" t="n">
        <v>44460</v>
      </c>
      <c r="C2032" s="1" t="n">
        <v>45952</v>
      </c>
      <c r="D2032" t="inlineStr">
        <is>
          <t>VÄSTRA GÖTALANDS LÄN</t>
        </is>
      </c>
      <c r="E2032" t="inlineStr">
        <is>
          <t>MELLERUD</t>
        </is>
      </c>
      <c r="G2032" t="n">
        <v>1.2</v>
      </c>
      <c r="H2032" t="n">
        <v>0</v>
      </c>
      <c r="I2032" t="n">
        <v>0</v>
      </c>
      <c r="J2032" t="n">
        <v>0</v>
      </c>
      <c r="K2032" t="n">
        <v>0</v>
      </c>
      <c r="L2032" t="n">
        <v>0</v>
      </c>
      <c r="M2032" t="n">
        <v>0</v>
      </c>
      <c r="N2032" t="n">
        <v>0</v>
      </c>
      <c r="O2032" t="n">
        <v>0</v>
      </c>
      <c r="P2032" t="n">
        <v>0</v>
      </c>
      <c r="Q2032" t="n">
        <v>0</v>
      </c>
      <c r="R2032" s="2" t="inlineStr"/>
    </row>
    <row r="2033" ht="15" customHeight="1">
      <c r="A2033" t="inlineStr">
        <is>
          <t>A 53779-2021</t>
        </is>
      </c>
      <c r="B2033" s="1" t="n">
        <v>44467</v>
      </c>
      <c r="C2033" s="1" t="n">
        <v>45952</v>
      </c>
      <c r="D2033" t="inlineStr">
        <is>
          <t>VÄSTRA GÖTALANDS LÄN</t>
        </is>
      </c>
      <c r="E2033" t="inlineStr">
        <is>
          <t>MARK</t>
        </is>
      </c>
      <c r="G2033" t="n">
        <v>8</v>
      </c>
      <c r="H2033" t="n">
        <v>0</v>
      </c>
      <c r="I2033" t="n">
        <v>0</v>
      </c>
      <c r="J2033" t="n">
        <v>0</v>
      </c>
      <c r="K2033" t="n">
        <v>0</v>
      </c>
      <c r="L2033" t="n">
        <v>0</v>
      </c>
      <c r="M2033" t="n">
        <v>0</v>
      </c>
      <c r="N2033" t="n">
        <v>0</v>
      </c>
      <c r="O2033" t="n">
        <v>0</v>
      </c>
      <c r="P2033" t="n">
        <v>0</v>
      </c>
      <c r="Q2033" t="n">
        <v>0</v>
      </c>
      <c r="R2033" s="2" t="inlineStr"/>
    </row>
    <row r="2034" ht="15" customHeight="1">
      <c r="A2034" t="inlineStr">
        <is>
          <t>A 49082-2021</t>
        </is>
      </c>
      <c r="B2034" s="1" t="n">
        <v>44453</v>
      </c>
      <c r="C2034" s="1" t="n">
        <v>45952</v>
      </c>
      <c r="D2034" t="inlineStr">
        <is>
          <t>VÄSTRA GÖTALANDS LÄN</t>
        </is>
      </c>
      <c r="E2034" t="inlineStr">
        <is>
          <t>SVENLJUNGA</t>
        </is>
      </c>
      <c r="G2034" t="n">
        <v>0.7</v>
      </c>
      <c r="H2034" t="n">
        <v>0</v>
      </c>
      <c r="I2034" t="n">
        <v>0</v>
      </c>
      <c r="J2034" t="n">
        <v>0</v>
      </c>
      <c r="K2034" t="n">
        <v>0</v>
      </c>
      <c r="L2034" t="n">
        <v>0</v>
      </c>
      <c r="M2034" t="n">
        <v>0</v>
      </c>
      <c r="N2034" t="n">
        <v>0</v>
      </c>
      <c r="O2034" t="n">
        <v>0</v>
      </c>
      <c r="P2034" t="n">
        <v>0</v>
      </c>
      <c r="Q2034" t="n">
        <v>0</v>
      </c>
      <c r="R2034" s="2" t="inlineStr"/>
    </row>
    <row r="2035" ht="15" customHeight="1">
      <c r="A2035" t="inlineStr">
        <is>
          <t>A 49106-2021</t>
        </is>
      </c>
      <c r="B2035" s="1" t="n">
        <v>44453.69256944444</v>
      </c>
      <c r="C2035" s="1" t="n">
        <v>45952</v>
      </c>
      <c r="D2035" t="inlineStr">
        <is>
          <t>VÄSTRA GÖTALANDS LÄN</t>
        </is>
      </c>
      <c r="E2035" t="inlineStr">
        <is>
          <t>MARIESTAD</t>
        </is>
      </c>
      <c r="G2035" t="n">
        <v>1.3</v>
      </c>
      <c r="H2035" t="n">
        <v>0</v>
      </c>
      <c r="I2035" t="n">
        <v>0</v>
      </c>
      <c r="J2035" t="n">
        <v>0</v>
      </c>
      <c r="K2035" t="n">
        <v>0</v>
      </c>
      <c r="L2035" t="n">
        <v>0</v>
      </c>
      <c r="M2035" t="n">
        <v>0</v>
      </c>
      <c r="N2035" t="n">
        <v>0</v>
      </c>
      <c r="O2035" t="n">
        <v>0</v>
      </c>
      <c r="P2035" t="n">
        <v>0</v>
      </c>
      <c r="Q2035" t="n">
        <v>0</v>
      </c>
      <c r="R2035" s="2" t="inlineStr"/>
    </row>
    <row r="2036" ht="15" customHeight="1">
      <c r="A2036" t="inlineStr">
        <is>
          <t>A 57990-2021</t>
        </is>
      </c>
      <c r="B2036" s="1" t="n">
        <v>44487.40418981481</v>
      </c>
      <c r="C2036" s="1" t="n">
        <v>45952</v>
      </c>
      <c r="D2036" t="inlineStr">
        <is>
          <t>VÄSTRA GÖTALANDS LÄN</t>
        </is>
      </c>
      <c r="E2036" t="inlineStr">
        <is>
          <t>LIDKÖPING</t>
        </is>
      </c>
      <c r="G2036" t="n">
        <v>1.4</v>
      </c>
      <c r="H2036" t="n">
        <v>0</v>
      </c>
      <c r="I2036" t="n">
        <v>0</v>
      </c>
      <c r="J2036" t="n">
        <v>0</v>
      </c>
      <c r="K2036" t="n">
        <v>0</v>
      </c>
      <c r="L2036" t="n">
        <v>0</v>
      </c>
      <c r="M2036" t="n">
        <v>0</v>
      </c>
      <c r="N2036" t="n">
        <v>0</v>
      </c>
      <c r="O2036" t="n">
        <v>0</v>
      </c>
      <c r="P2036" t="n">
        <v>0</v>
      </c>
      <c r="Q2036" t="n">
        <v>0</v>
      </c>
      <c r="R2036" s="2" t="inlineStr"/>
    </row>
    <row r="2037" ht="15" customHeight="1">
      <c r="A2037" t="inlineStr">
        <is>
          <t>A 58009-2021</t>
        </is>
      </c>
      <c r="B2037" s="1" t="n">
        <v>44456</v>
      </c>
      <c r="C2037" s="1" t="n">
        <v>45952</v>
      </c>
      <c r="D2037" t="inlineStr">
        <is>
          <t>VÄSTRA GÖTALANDS LÄN</t>
        </is>
      </c>
      <c r="E2037" t="inlineStr">
        <is>
          <t>TIDAHOLM</t>
        </is>
      </c>
      <c r="G2037" t="n">
        <v>0.5</v>
      </c>
      <c r="H2037" t="n">
        <v>0</v>
      </c>
      <c r="I2037" t="n">
        <v>0</v>
      </c>
      <c r="J2037" t="n">
        <v>0</v>
      </c>
      <c r="K2037" t="n">
        <v>0</v>
      </c>
      <c r="L2037" t="n">
        <v>0</v>
      </c>
      <c r="M2037" t="n">
        <v>0</v>
      </c>
      <c r="N2037" t="n">
        <v>0</v>
      </c>
      <c r="O2037" t="n">
        <v>0</v>
      </c>
      <c r="P2037" t="n">
        <v>0</v>
      </c>
      <c r="Q2037" t="n">
        <v>0</v>
      </c>
      <c r="R2037" s="2" t="inlineStr"/>
    </row>
    <row r="2038" ht="15" customHeight="1">
      <c r="A2038" t="inlineStr">
        <is>
          <t>A 55791-2022</t>
        </is>
      </c>
      <c r="B2038" s="1" t="n">
        <v>44888.63157407408</v>
      </c>
      <c r="C2038" s="1" t="n">
        <v>45952</v>
      </c>
      <c r="D2038" t="inlineStr">
        <is>
          <t>VÄSTRA GÖTALANDS LÄN</t>
        </is>
      </c>
      <c r="E2038" t="inlineStr">
        <is>
          <t>ORUST</t>
        </is>
      </c>
      <c r="G2038" t="n">
        <v>4.2</v>
      </c>
      <c r="H2038" t="n">
        <v>0</v>
      </c>
      <c r="I2038" t="n">
        <v>0</v>
      </c>
      <c r="J2038" t="n">
        <v>0</v>
      </c>
      <c r="K2038" t="n">
        <v>0</v>
      </c>
      <c r="L2038" t="n">
        <v>0</v>
      </c>
      <c r="M2038" t="n">
        <v>0</v>
      </c>
      <c r="N2038" t="n">
        <v>0</v>
      </c>
      <c r="O2038" t="n">
        <v>0</v>
      </c>
      <c r="P2038" t="n">
        <v>0</v>
      </c>
      <c r="Q2038" t="n">
        <v>0</v>
      </c>
      <c r="R2038" s="2" t="inlineStr"/>
    </row>
    <row r="2039" ht="15" customHeight="1">
      <c r="A2039" t="inlineStr">
        <is>
          <t>A 58030-2021</t>
        </is>
      </c>
      <c r="B2039" s="1" t="n">
        <v>44475</v>
      </c>
      <c r="C2039" s="1" t="n">
        <v>45952</v>
      </c>
      <c r="D2039" t="inlineStr">
        <is>
          <t>VÄSTRA GÖTALANDS LÄN</t>
        </is>
      </c>
      <c r="E2039" t="inlineStr">
        <is>
          <t>MARK</t>
        </is>
      </c>
      <c r="G2039" t="n">
        <v>6.3</v>
      </c>
      <c r="H2039" t="n">
        <v>0</v>
      </c>
      <c r="I2039" t="n">
        <v>0</v>
      </c>
      <c r="J2039" t="n">
        <v>0</v>
      </c>
      <c r="K2039" t="n">
        <v>0</v>
      </c>
      <c r="L2039" t="n">
        <v>0</v>
      </c>
      <c r="M2039" t="n">
        <v>0</v>
      </c>
      <c r="N2039" t="n">
        <v>0</v>
      </c>
      <c r="O2039" t="n">
        <v>0</v>
      </c>
      <c r="P2039" t="n">
        <v>0</v>
      </c>
      <c r="Q2039" t="n">
        <v>0</v>
      </c>
      <c r="R2039" s="2" t="inlineStr"/>
    </row>
    <row r="2040" ht="15" customHeight="1">
      <c r="A2040" t="inlineStr">
        <is>
          <t>A 53617-2021</t>
        </is>
      </c>
      <c r="B2040" s="1" t="n">
        <v>44469.38113425926</v>
      </c>
      <c r="C2040" s="1" t="n">
        <v>45952</v>
      </c>
      <c r="D2040" t="inlineStr">
        <is>
          <t>VÄSTRA GÖTALANDS LÄN</t>
        </is>
      </c>
      <c r="E2040" t="inlineStr">
        <is>
          <t>ULRICEHAMN</t>
        </is>
      </c>
      <c r="G2040" t="n">
        <v>4.7</v>
      </c>
      <c r="H2040" t="n">
        <v>0</v>
      </c>
      <c r="I2040" t="n">
        <v>0</v>
      </c>
      <c r="J2040" t="n">
        <v>0</v>
      </c>
      <c r="K2040" t="n">
        <v>0</v>
      </c>
      <c r="L2040" t="n">
        <v>0</v>
      </c>
      <c r="M2040" t="n">
        <v>0</v>
      </c>
      <c r="N2040" t="n">
        <v>0</v>
      </c>
      <c r="O2040" t="n">
        <v>0</v>
      </c>
      <c r="P2040" t="n">
        <v>0</v>
      </c>
      <c r="Q2040" t="n">
        <v>0</v>
      </c>
      <c r="R2040" s="2" t="inlineStr"/>
    </row>
    <row r="2041" ht="15" customHeight="1">
      <c r="A2041" t="inlineStr">
        <is>
          <t>A 62992-2021</t>
        </is>
      </c>
      <c r="B2041" s="1" t="n">
        <v>44504</v>
      </c>
      <c r="C2041" s="1" t="n">
        <v>45952</v>
      </c>
      <c r="D2041" t="inlineStr">
        <is>
          <t>VÄSTRA GÖTALANDS LÄN</t>
        </is>
      </c>
      <c r="E2041" t="inlineStr">
        <is>
          <t>VARA</t>
        </is>
      </c>
      <c r="G2041" t="n">
        <v>0.7</v>
      </c>
      <c r="H2041" t="n">
        <v>0</v>
      </c>
      <c r="I2041" t="n">
        <v>0</v>
      </c>
      <c r="J2041" t="n">
        <v>0</v>
      </c>
      <c r="K2041" t="n">
        <v>0</v>
      </c>
      <c r="L2041" t="n">
        <v>0</v>
      </c>
      <c r="M2041" t="n">
        <v>0</v>
      </c>
      <c r="N2041" t="n">
        <v>0</v>
      </c>
      <c r="O2041" t="n">
        <v>0</v>
      </c>
      <c r="P2041" t="n">
        <v>0</v>
      </c>
      <c r="Q2041" t="n">
        <v>0</v>
      </c>
      <c r="R2041" s="2" t="inlineStr"/>
    </row>
    <row r="2042" ht="15" customHeight="1">
      <c r="A2042" t="inlineStr">
        <is>
          <t>A 15737-2021</t>
        </is>
      </c>
      <c r="B2042" s="1" t="n">
        <v>44286</v>
      </c>
      <c r="C2042" s="1" t="n">
        <v>45952</v>
      </c>
      <c r="D2042" t="inlineStr">
        <is>
          <t>VÄSTRA GÖTALANDS LÄN</t>
        </is>
      </c>
      <c r="E2042" t="inlineStr">
        <is>
          <t>TIDAHOLM</t>
        </is>
      </c>
      <c r="G2042" t="n">
        <v>0.7</v>
      </c>
      <c r="H2042" t="n">
        <v>0</v>
      </c>
      <c r="I2042" t="n">
        <v>0</v>
      </c>
      <c r="J2042" t="n">
        <v>0</v>
      </c>
      <c r="K2042" t="n">
        <v>0</v>
      </c>
      <c r="L2042" t="n">
        <v>0</v>
      </c>
      <c r="M2042" t="n">
        <v>0</v>
      </c>
      <c r="N2042" t="n">
        <v>0</v>
      </c>
      <c r="O2042" t="n">
        <v>0</v>
      </c>
      <c r="P2042" t="n">
        <v>0</v>
      </c>
      <c r="Q2042" t="n">
        <v>0</v>
      </c>
      <c r="R2042" s="2" t="inlineStr"/>
    </row>
    <row r="2043" ht="15" customHeight="1">
      <c r="A2043" t="inlineStr">
        <is>
          <t>A 59767-2021</t>
        </is>
      </c>
      <c r="B2043" s="1" t="n">
        <v>44494</v>
      </c>
      <c r="C2043" s="1" t="n">
        <v>45952</v>
      </c>
      <c r="D2043" t="inlineStr">
        <is>
          <t>VÄSTRA GÖTALANDS LÄN</t>
        </is>
      </c>
      <c r="E2043" t="inlineStr">
        <is>
          <t>HÄRRYDA</t>
        </is>
      </c>
      <c r="G2043" t="n">
        <v>6</v>
      </c>
      <c r="H2043" t="n">
        <v>0</v>
      </c>
      <c r="I2043" t="n">
        <v>0</v>
      </c>
      <c r="J2043" t="n">
        <v>0</v>
      </c>
      <c r="K2043" t="n">
        <v>0</v>
      </c>
      <c r="L2043" t="n">
        <v>0</v>
      </c>
      <c r="M2043" t="n">
        <v>0</v>
      </c>
      <c r="N2043" t="n">
        <v>0</v>
      </c>
      <c r="O2043" t="n">
        <v>0</v>
      </c>
      <c r="P2043" t="n">
        <v>0</v>
      </c>
      <c r="Q2043" t="n">
        <v>0</v>
      </c>
      <c r="R2043" s="2" t="inlineStr"/>
    </row>
    <row r="2044" ht="15" customHeight="1">
      <c r="A2044" t="inlineStr">
        <is>
          <t>A 15620-2021</t>
        </is>
      </c>
      <c r="B2044" s="1" t="n">
        <v>44285</v>
      </c>
      <c r="C2044" s="1" t="n">
        <v>45952</v>
      </c>
      <c r="D2044" t="inlineStr">
        <is>
          <t>VÄSTRA GÖTALANDS LÄN</t>
        </is>
      </c>
      <c r="E2044" t="inlineStr">
        <is>
          <t>KARLSBORG</t>
        </is>
      </c>
      <c r="G2044" t="n">
        <v>1.2</v>
      </c>
      <c r="H2044" t="n">
        <v>0</v>
      </c>
      <c r="I2044" t="n">
        <v>0</v>
      </c>
      <c r="J2044" t="n">
        <v>0</v>
      </c>
      <c r="K2044" t="n">
        <v>0</v>
      </c>
      <c r="L2044" t="n">
        <v>0</v>
      </c>
      <c r="M2044" t="n">
        <v>0</v>
      </c>
      <c r="N2044" t="n">
        <v>0</v>
      </c>
      <c r="O2044" t="n">
        <v>0</v>
      </c>
      <c r="P2044" t="n">
        <v>0</v>
      </c>
      <c r="Q2044" t="n">
        <v>0</v>
      </c>
      <c r="R2044" s="2" t="inlineStr"/>
    </row>
    <row r="2045" ht="15" customHeight="1">
      <c r="A2045" t="inlineStr">
        <is>
          <t>A 47048-2021</t>
        </is>
      </c>
      <c r="B2045" s="1" t="n">
        <v>44446</v>
      </c>
      <c r="C2045" s="1" t="n">
        <v>45952</v>
      </c>
      <c r="D2045" t="inlineStr">
        <is>
          <t>VÄSTRA GÖTALANDS LÄN</t>
        </is>
      </c>
      <c r="E2045" t="inlineStr">
        <is>
          <t>LIDKÖPING</t>
        </is>
      </c>
      <c r="G2045" t="n">
        <v>1.3</v>
      </c>
      <c r="H2045" t="n">
        <v>0</v>
      </c>
      <c r="I2045" t="n">
        <v>0</v>
      </c>
      <c r="J2045" t="n">
        <v>0</v>
      </c>
      <c r="K2045" t="n">
        <v>0</v>
      </c>
      <c r="L2045" t="n">
        <v>0</v>
      </c>
      <c r="M2045" t="n">
        <v>0</v>
      </c>
      <c r="N2045" t="n">
        <v>0</v>
      </c>
      <c r="O2045" t="n">
        <v>0</v>
      </c>
      <c r="P2045" t="n">
        <v>0</v>
      </c>
      <c r="Q2045" t="n">
        <v>0</v>
      </c>
      <c r="R2045" s="2" t="inlineStr"/>
    </row>
    <row r="2046" ht="15" customHeight="1">
      <c r="A2046" t="inlineStr">
        <is>
          <t>A 59945-2021</t>
        </is>
      </c>
      <c r="B2046" s="1" t="n">
        <v>44494</v>
      </c>
      <c r="C2046" s="1" t="n">
        <v>45952</v>
      </c>
      <c r="D2046" t="inlineStr">
        <is>
          <t>VÄSTRA GÖTALANDS LÄN</t>
        </is>
      </c>
      <c r="E2046" t="inlineStr">
        <is>
          <t>TÖREBODA</t>
        </is>
      </c>
      <c r="G2046" t="n">
        <v>1.1</v>
      </c>
      <c r="H2046" t="n">
        <v>0</v>
      </c>
      <c r="I2046" t="n">
        <v>0</v>
      </c>
      <c r="J2046" t="n">
        <v>0</v>
      </c>
      <c r="K2046" t="n">
        <v>0</v>
      </c>
      <c r="L2046" t="n">
        <v>0</v>
      </c>
      <c r="M2046" t="n">
        <v>0</v>
      </c>
      <c r="N2046" t="n">
        <v>0</v>
      </c>
      <c r="O2046" t="n">
        <v>0</v>
      </c>
      <c r="P2046" t="n">
        <v>0</v>
      </c>
      <c r="Q2046" t="n">
        <v>0</v>
      </c>
      <c r="R2046" s="2" t="inlineStr"/>
    </row>
    <row r="2047" ht="15" customHeight="1">
      <c r="A2047" t="inlineStr">
        <is>
          <t>A 66110-2020</t>
        </is>
      </c>
      <c r="B2047" s="1" t="n">
        <v>44175.59787037037</v>
      </c>
      <c r="C2047" s="1" t="n">
        <v>45952</v>
      </c>
      <c r="D2047" t="inlineStr">
        <is>
          <t>VÄSTRA GÖTALANDS LÄN</t>
        </is>
      </c>
      <c r="E2047" t="inlineStr">
        <is>
          <t>VÅRGÅRDA</t>
        </is>
      </c>
      <c r="G2047" t="n">
        <v>0.8</v>
      </c>
      <c r="H2047" t="n">
        <v>0</v>
      </c>
      <c r="I2047" t="n">
        <v>0</v>
      </c>
      <c r="J2047" t="n">
        <v>0</v>
      </c>
      <c r="K2047" t="n">
        <v>0</v>
      </c>
      <c r="L2047" t="n">
        <v>0</v>
      </c>
      <c r="M2047" t="n">
        <v>0</v>
      </c>
      <c r="N2047" t="n">
        <v>0</v>
      </c>
      <c r="O2047" t="n">
        <v>0</v>
      </c>
      <c r="P2047" t="n">
        <v>0</v>
      </c>
      <c r="Q2047" t="n">
        <v>0</v>
      </c>
      <c r="R2047" s="2" t="inlineStr"/>
    </row>
    <row r="2048" ht="15" customHeight="1">
      <c r="A2048" t="inlineStr">
        <is>
          <t>A 67111-2021</t>
        </is>
      </c>
      <c r="B2048" s="1" t="n">
        <v>44523.31064814814</v>
      </c>
      <c r="C2048" s="1" t="n">
        <v>45952</v>
      </c>
      <c r="D2048" t="inlineStr">
        <is>
          <t>VÄSTRA GÖTALANDS LÄN</t>
        </is>
      </c>
      <c r="E2048" t="inlineStr">
        <is>
          <t>BORÅS</t>
        </is>
      </c>
      <c r="G2048" t="n">
        <v>0.6</v>
      </c>
      <c r="H2048" t="n">
        <v>0</v>
      </c>
      <c r="I2048" t="n">
        <v>0</v>
      </c>
      <c r="J2048" t="n">
        <v>0</v>
      </c>
      <c r="K2048" t="n">
        <v>0</v>
      </c>
      <c r="L2048" t="n">
        <v>0</v>
      </c>
      <c r="M2048" t="n">
        <v>0</v>
      </c>
      <c r="N2048" t="n">
        <v>0</v>
      </c>
      <c r="O2048" t="n">
        <v>0</v>
      </c>
      <c r="P2048" t="n">
        <v>0</v>
      </c>
      <c r="Q2048" t="n">
        <v>0</v>
      </c>
      <c r="R2048" s="2" t="inlineStr"/>
    </row>
    <row r="2049" ht="15" customHeight="1">
      <c r="A2049" t="inlineStr">
        <is>
          <t>A 60892-2020</t>
        </is>
      </c>
      <c r="B2049" s="1" t="n">
        <v>44153</v>
      </c>
      <c r="C2049" s="1" t="n">
        <v>45952</v>
      </c>
      <c r="D2049" t="inlineStr">
        <is>
          <t>VÄSTRA GÖTALANDS LÄN</t>
        </is>
      </c>
      <c r="E2049" t="inlineStr">
        <is>
          <t>STENUNGSUND</t>
        </is>
      </c>
      <c r="G2049" t="n">
        <v>1.4</v>
      </c>
      <c r="H2049" t="n">
        <v>0</v>
      </c>
      <c r="I2049" t="n">
        <v>0</v>
      </c>
      <c r="J2049" t="n">
        <v>0</v>
      </c>
      <c r="K2049" t="n">
        <v>0</v>
      </c>
      <c r="L2049" t="n">
        <v>0</v>
      </c>
      <c r="M2049" t="n">
        <v>0</v>
      </c>
      <c r="N2049" t="n">
        <v>0</v>
      </c>
      <c r="O2049" t="n">
        <v>0</v>
      </c>
      <c r="P2049" t="n">
        <v>0</v>
      </c>
      <c r="Q2049" t="n">
        <v>0</v>
      </c>
      <c r="R2049" s="2" t="inlineStr"/>
    </row>
    <row r="2050" ht="15" customHeight="1">
      <c r="A2050" t="inlineStr">
        <is>
          <t>A 25929-2021</t>
        </is>
      </c>
      <c r="B2050" s="1" t="n">
        <v>44344</v>
      </c>
      <c r="C2050" s="1" t="n">
        <v>45952</v>
      </c>
      <c r="D2050" t="inlineStr">
        <is>
          <t>VÄSTRA GÖTALANDS LÄN</t>
        </is>
      </c>
      <c r="E2050" t="inlineStr">
        <is>
          <t>SVENLJUNGA</t>
        </is>
      </c>
      <c r="F2050" t="inlineStr">
        <is>
          <t>Sveaskog</t>
        </is>
      </c>
      <c r="G2050" t="n">
        <v>8.5</v>
      </c>
      <c r="H2050" t="n">
        <v>0</v>
      </c>
      <c r="I2050" t="n">
        <v>0</v>
      </c>
      <c r="J2050" t="n">
        <v>0</v>
      </c>
      <c r="K2050" t="n">
        <v>0</v>
      </c>
      <c r="L2050" t="n">
        <v>0</v>
      </c>
      <c r="M2050" t="n">
        <v>0</v>
      </c>
      <c r="N2050" t="n">
        <v>0</v>
      </c>
      <c r="O2050" t="n">
        <v>0</v>
      </c>
      <c r="P2050" t="n">
        <v>0</v>
      </c>
      <c r="Q2050" t="n">
        <v>0</v>
      </c>
      <c r="R2050" s="2" t="inlineStr"/>
    </row>
    <row r="2051" ht="15" customHeight="1">
      <c r="A2051" t="inlineStr">
        <is>
          <t>A 51172-2021</t>
        </is>
      </c>
      <c r="B2051" s="1" t="n">
        <v>44461</v>
      </c>
      <c r="C2051" s="1" t="n">
        <v>45952</v>
      </c>
      <c r="D2051" t="inlineStr">
        <is>
          <t>VÄSTRA GÖTALANDS LÄN</t>
        </is>
      </c>
      <c r="E2051" t="inlineStr">
        <is>
          <t>TROLLHÄTTAN</t>
        </is>
      </c>
      <c r="G2051" t="n">
        <v>7.7</v>
      </c>
      <c r="H2051" t="n">
        <v>0</v>
      </c>
      <c r="I2051" t="n">
        <v>0</v>
      </c>
      <c r="J2051" t="n">
        <v>0</v>
      </c>
      <c r="K2051" t="n">
        <v>0</v>
      </c>
      <c r="L2051" t="n">
        <v>0</v>
      </c>
      <c r="M2051" t="n">
        <v>0</v>
      </c>
      <c r="N2051" t="n">
        <v>0</v>
      </c>
      <c r="O2051" t="n">
        <v>0</v>
      </c>
      <c r="P2051" t="n">
        <v>0</v>
      </c>
      <c r="Q2051" t="n">
        <v>0</v>
      </c>
      <c r="R2051" s="2" t="inlineStr"/>
    </row>
    <row r="2052" ht="15" customHeight="1">
      <c r="A2052" t="inlineStr">
        <is>
          <t>A 55826-2021</t>
        </is>
      </c>
      <c r="B2052" s="1" t="n">
        <v>44476.61636574074</v>
      </c>
      <c r="C2052" s="1" t="n">
        <v>45952</v>
      </c>
      <c r="D2052" t="inlineStr">
        <is>
          <t>VÄSTRA GÖTALANDS LÄN</t>
        </is>
      </c>
      <c r="E2052" t="inlineStr">
        <is>
          <t>HERRLJUNGA</t>
        </is>
      </c>
      <c r="G2052" t="n">
        <v>3.1</v>
      </c>
      <c r="H2052" t="n">
        <v>0</v>
      </c>
      <c r="I2052" t="n">
        <v>0</v>
      </c>
      <c r="J2052" t="n">
        <v>0</v>
      </c>
      <c r="K2052" t="n">
        <v>0</v>
      </c>
      <c r="L2052" t="n">
        <v>0</v>
      </c>
      <c r="M2052" t="n">
        <v>0</v>
      </c>
      <c r="N2052" t="n">
        <v>0</v>
      </c>
      <c r="O2052" t="n">
        <v>0</v>
      </c>
      <c r="P2052" t="n">
        <v>0</v>
      </c>
      <c r="Q2052" t="n">
        <v>0</v>
      </c>
      <c r="R2052" s="2" t="inlineStr"/>
    </row>
    <row r="2053" ht="15" customHeight="1">
      <c r="A2053" t="inlineStr">
        <is>
          <t>A 59872-2021</t>
        </is>
      </c>
      <c r="B2053" s="1" t="n">
        <v>44494</v>
      </c>
      <c r="C2053" s="1" t="n">
        <v>45952</v>
      </c>
      <c r="D2053" t="inlineStr">
        <is>
          <t>VÄSTRA GÖTALANDS LÄN</t>
        </is>
      </c>
      <c r="E2053" t="inlineStr">
        <is>
          <t>STRÖMSTAD</t>
        </is>
      </c>
      <c r="G2053" t="n">
        <v>3.9</v>
      </c>
      <c r="H2053" t="n">
        <v>0</v>
      </c>
      <c r="I2053" t="n">
        <v>0</v>
      </c>
      <c r="J2053" t="n">
        <v>0</v>
      </c>
      <c r="K2053" t="n">
        <v>0</v>
      </c>
      <c r="L2053" t="n">
        <v>0</v>
      </c>
      <c r="M2053" t="n">
        <v>0</v>
      </c>
      <c r="N2053" t="n">
        <v>0</v>
      </c>
      <c r="O2053" t="n">
        <v>0</v>
      </c>
      <c r="P2053" t="n">
        <v>0</v>
      </c>
      <c r="Q2053" t="n">
        <v>0</v>
      </c>
      <c r="R2053" s="2" t="inlineStr"/>
    </row>
    <row r="2054" ht="15" customHeight="1">
      <c r="A2054" t="inlineStr">
        <is>
          <t>A 60283-2021</t>
        </is>
      </c>
      <c r="B2054" s="1" t="n">
        <v>44495.71494212963</v>
      </c>
      <c r="C2054" s="1" t="n">
        <v>45952</v>
      </c>
      <c r="D2054" t="inlineStr">
        <is>
          <t>VÄSTRA GÖTALANDS LÄN</t>
        </is>
      </c>
      <c r="E2054" t="inlineStr">
        <is>
          <t>TRANEMO</t>
        </is>
      </c>
      <c r="G2054" t="n">
        <v>0.5</v>
      </c>
      <c r="H2054" t="n">
        <v>0</v>
      </c>
      <c r="I2054" t="n">
        <v>0</v>
      </c>
      <c r="J2054" t="n">
        <v>0</v>
      </c>
      <c r="K2054" t="n">
        <v>0</v>
      </c>
      <c r="L2054" t="n">
        <v>0</v>
      </c>
      <c r="M2054" t="n">
        <v>0</v>
      </c>
      <c r="N2054" t="n">
        <v>0</v>
      </c>
      <c r="O2054" t="n">
        <v>0</v>
      </c>
      <c r="P2054" t="n">
        <v>0</v>
      </c>
      <c r="Q2054" t="n">
        <v>0</v>
      </c>
      <c r="R2054" s="2" t="inlineStr"/>
    </row>
    <row r="2055" ht="15" customHeight="1">
      <c r="A2055" t="inlineStr">
        <is>
          <t>A 25892-2021</t>
        </is>
      </c>
      <c r="B2055" s="1" t="n">
        <v>44344.39458333333</v>
      </c>
      <c r="C2055" s="1" t="n">
        <v>45952</v>
      </c>
      <c r="D2055" t="inlineStr">
        <is>
          <t>VÄSTRA GÖTALANDS LÄN</t>
        </is>
      </c>
      <c r="E2055" t="inlineStr">
        <is>
          <t>UDDEVALLA</t>
        </is>
      </c>
      <c r="G2055" t="n">
        <v>0.6</v>
      </c>
      <c r="H2055" t="n">
        <v>0</v>
      </c>
      <c r="I2055" t="n">
        <v>0</v>
      </c>
      <c r="J2055" t="n">
        <v>0</v>
      </c>
      <c r="K2055" t="n">
        <v>0</v>
      </c>
      <c r="L2055" t="n">
        <v>0</v>
      </c>
      <c r="M2055" t="n">
        <v>0</v>
      </c>
      <c r="N2055" t="n">
        <v>0</v>
      </c>
      <c r="O2055" t="n">
        <v>0</v>
      </c>
      <c r="P2055" t="n">
        <v>0</v>
      </c>
      <c r="Q2055" t="n">
        <v>0</v>
      </c>
      <c r="R2055" s="2" t="inlineStr"/>
    </row>
    <row r="2056" ht="15" customHeight="1">
      <c r="A2056" t="inlineStr">
        <is>
          <t>A 3461-2022</t>
        </is>
      </c>
      <c r="B2056" s="1" t="n">
        <v>44585</v>
      </c>
      <c r="C2056" s="1" t="n">
        <v>45952</v>
      </c>
      <c r="D2056" t="inlineStr">
        <is>
          <t>VÄSTRA GÖTALANDS LÄN</t>
        </is>
      </c>
      <c r="E2056" t="inlineStr">
        <is>
          <t>TRANEMO</t>
        </is>
      </c>
      <c r="F2056" t="inlineStr">
        <is>
          <t>Kyrkan</t>
        </is>
      </c>
      <c r="G2056" t="n">
        <v>2.4</v>
      </c>
      <c r="H2056" t="n">
        <v>0</v>
      </c>
      <c r="I2056" t="n">
        <v>0</v>
      </c>
      <c r="J2056" t="n">
        <v>0</v>
      </c>
      <c r="K2056" t="n">
        <v>0</v>
      </c>
      <c r="L2056" t="n">
        <v>0</v>
      </c>
      <c r="M2056" t="n">
        <v>0</v>
      </c>
      <c r="N2056" t="n">
        <v>0</v>
      </c>
      <c r="O2056" t="n">
        <v>0</v>
      </c>
      <c r="P2056" t="n">
        <v>0</v>
      </c>
      <c r="Q2056" t="n">
        <v>0</v>
      </c>
      <c r="R2056" s="2" t="inlineStr"/>
    </row>
    <row r="2057" ht="15" customHeight="1">
      <c r="A2057" t="inlineStr">
        <is>
          <t>A 3465-2022</t>
        </is>
      </c>
      <c r="B2057" s="1" t="n">
        <v>44585</v>
      </c>
      <c r="C2057" s="1" t="n">
        <v>45952</v>
      </c>
      <c r="D2057" t="inlineStr">
        <is>
          <t>VÄSTRA GÖTALANDS LÄN</t>
        </is>
      </c>
      <c r="E2057" t="inlineStr">
        <is>
          <t>VÄNERSBORG</t>
        </is>
      </c>
      <c r="G2057" t="n">
        <v>3.6</v>
      </c>
      <c r="H2057" t="n">
        <v>0</v>
      </c>
      <c r="I2057" t="n">
        <v>0</v>
      </c>
      <c r="J2057" t="n">
        <v>0</v>
      </c>
      <c r="K2057" t="n">
        <v>0</v>
      </c>
      <c r="L2057" t="n">
        <v>0</v>
      </c>
      <c r="M2057" t="n">
        <v>0</v>
      </c>
      <c r="N2057" t="n">
        <v>0</v>
      </c>
      <c r="O2057" t="n">
        <v>0</v>
      </c>
      <c r="P2057" t="n">
        <v>0</v>
      </c>
      <c r="Q2057" t="n">
        <v>0</v>
      </c>
      <c r="R2057" s="2" t="inlineStr"/>
    </row>
    <row r="2058" ht="15" customHeight="1">
      <c r="A2058" t="inlineStr">
        <is>
          <t>A 25267-2021</t>
        </is>
      </c>
      <c r="B2058" s="1" t="n">
        <v>44342.44517361111</v>
      </c>
      <c r="C2058" s="1" t="n">
        <v>45952</v>
      </c>
      <c r="D2058" t="inlineStr">
        <is>
          <t>VÄSTRA GÖTALANDS LÄN</t>
        </is>
      </c>
      <c r="E2058" t="inlineStr">
        <is>
          <t>HÄRRYDA</t>
        </is>
      </c>
      <c r="G2058" t="n">
        <v>1.2</v>
      </c>
      <c r="H2058" t="n">
        <v>0</v>
      </c>
      <c r="I2058" t="n">
        <v>0</v>
      </c>
      <c r="J2058" t="n">
        <v>0</v>
      </c>
      <c r="K2058" t="n">
        <v>0</v>
      </c>
      <c r="L2058" t="n">
        <v>0</v>
      </c>
      <c r="M2058" t="n">
        <v>0</v>
      </c>
      <c r="N2058" t="n">
        <v>0</v>
      </c>
      <c r="O2058" t="n">
        <v>0</v>
      </c>
      <c r="P2058" t="n">
        <v>0</v>
      </c>
      <c r="Q2058" t="n">
        <v>0</v>
      </c>
      <c r="R2058" s="2" t="inlineStr"/>
    </row>
    <row r="2059" ht="15" customHeight="1">
      <c r="A2059" t="inlineStr">
        <is>
          <t>A 21052-2021</t>
        </is>
      </c>
      <c r="B2059" s="1" t="n">
        <v>44319</v>
      </c>
      <c r="C2059" s="1" t="n">
        <v>45952</v>
      </c>
      <c r="D2059" t="inlineStr">
        <is>
          <t>VÄSTRA GÖTALANDS LÄN</t>
        </is>
      </c>
      <c r="E2059" t="inlineStr">
        <is>
          <t>ÅMÅL</t>
        </is>
      </c>
      <c r="G2059" t="n">
        <v>3.3</v>
      </c>
      <c r="H2059" t="n">
        <v>0</v>
      </c>
      <c r="I2059" t="n">
        <v>0</v>
      </c>
      <c r="J2059" t="n">
        <v>0</v>
      </c>
      <c r="K2059" t="n">
        <v>0</v>
      </c>
      <c r="L2059" t="n">
        <v>0</v>
      </c>
      <c r="M2059" t="n">
        <v>0</v>
      </c>
      <c r="N2059" t="n">
        <v>0</v>
      </c>
      <c r="O2059" t="n">
        <v>0</v>
      </c>
      <c r="P2059" t="n">
        <v>0</v>
      </c>
      <c r="Q2059" t="n">
        <v>0</v>
      </c>
      <c r="R2059" s="2" t="inlineStr"/>
    </row>
    <row r="2060" ht="15" customHeight="1">
      <c r="A2060" t="inlineStr">
        <is>
          <t>A 66018-2021</t>
        </is>
      </c>
      <c r="B2060" s="1" t="n">
        <v>44517</v>
      </c>
      <c r="C2060" s="1" t="n">
        <v>45952</v>
      </c>
      <c r="D2060" t="inlineStr">
        <is>
          <t>VÄSTRA GÖTALANDS LÄN</t>
        </is>
      </c>
      <c r="E2060" t="inlineStr">
        <is>
          <t>SVENLJUNGA</t>
        </is>
      </c>
      <c r="G2060" t="n">
        <v>10</v>
      </c>
      <c r="H2060" t="n">
        <v>0</v>
      </c>
      <c r="I2060" t="n">
        <v>0</v>
      </c>
      <c r="J2060" t="n">
        <v>0</v>
      </c>
      <c r="K2060" t="n">
        <v>0</v>
      </c>
      <c r="L2060" t="n">
        <v>0</v>
      </c>
      <c r="M2060" t="n">
        <v>0</v>
      </c>
      <c r="N2060" t="n">
        <v>0</v>
      </c>
      <c r="O2060" t="n">
        <v>0</v>
      </c>
      <c r="P2060" t="n">
        <v>0</v>
      </c>
      <c r="Q2060" t="n">
        <v>0</v>
      </c>
      <c r="R2060" s="2" t="inlineStr"/>
    </row>
    <row r="2061" ht="15" customHeight="1">
      <c r="A2061" t="inlineStr">
        <is>
          <t>A 65194-2020</t>
        </is>
      </c>
      <c r="B2061" s="1" t="n">
        <v>44169</v>
      </c>
      <c r="C2061" s="1" t="n">
        <v>45952</v>
      </c>
      <c r="D2061" t="inlineStr">
        <is>
          <t>VÄSTRA GÖTALANDS LÄN</t>
        </is>
      </c>
      <c r="E2061" t="inlineStr">
        <is>
          <t>UDDEVALLA</t>
        </is>
      </c>
      <c r="G2061" t="n">
        <v>3.4</v>
      </c>
      <c r="H2061" t="n">
        <v>0</v>
      </c>
      <c r="I2061" t="n">
        <v>0</v>
      </c>
      <c r="J2061" t="n">
        <v>0</v>
      </c>
      <c r="K2061" t="n">
        <v>0</v>
      </c>
      <c r="L2061" t="n">
        <v>0</v>
      </c>
      <c r="M2061" t="n">
        <v>0</v>
      </c>
      <c r="N2061" t="n">
        <v>0</v>
      </c>
      <c r="O2061" t="n">
        <v>0</v>
      </c>
      <c r="P2061" t="n">
        <v>0</v>
      </c>
      <c r="Q2061" t="n">
        <v>0</v>
      </c>
      <c r="R2061" s="2" t="inlineStr"/>
    </row>
    <row r="2062" ht="15" customHeight="1">
      <c r="A2062" t="inlineStr">
        <is>
          <t>A 51573-2021</t>
        </is>
      </c>
      <c r="B2062" s="1" t="n">
        <v>44462</v>
      </c>
      <c r="C2062" s="1" t="n">
        <v>45952</v>
      </c>
      <c r="D2062" t="inlineStr">
        <is>
          <t>VÄSTRA GÖTALANDS LÄN</t>
        </is>
      </c>
      <c r="E2062" t="inlineStr">
        <is>
          <t>ULRICEHAMN</t>
        </is>
      </c>
      <c r="G2062" t="n">
        <v>1.6</v>
      </c>
      <c r="H2062" t="n">
        <v>0</v>
      </c>
      <c r="I2062" t="n">
        <v>0</v>
      </c>
      <c r="J2062" t="n">
        <v>0</v>
      </c>
      <c r="K2062" t="n">
        <v>0</v>
      </c>
      <c r="L2062" t="n">
        <v>0</v>
      </c>
      <c r="M2062" t="n">
        <v>0</v>
      </c>
      <c r="N2062" t="n">
        <v>0</v>
      </c>
      <c r="O2062" t="n">
        <v>0</v>
      </c>
      <c r="P2062" t="n">
        <v>0</v>
      </c>
      <c r="Q2062" t="n">
        <v>0</v>
      </c>
      <c r="R2062" s="2" t="inlineStr"/>
    </row>
    <row r="2063" ht="15" customHeight="1">
      <c r="A2063" t="inlineStr">
        <is>
          <t>A 19941-2021</t>
        </is>
      </c>
      <c r="B2063" s="1" t="n">
        <v>44313</v>
      </c>
      <c r="C2063" s="1" t="n">
        <v>45952</v>
      </c>
      <c r="D2063" t="inlineStr">
        <is>
          <t>VÄSTRA GÖTALANDS LÄN</t>
        </is>
      </c>
      <c r="E2063" t="inlineStr">
        <is>
          <t>HERRLJUNGA</t>
        </is>
      </c>
      <c r="G2063" t="n">
        <v>4.7</v>
      </c>
      <c r="H2063" t="n">
        <v>0</v>
      </c>
      <c r="I2063" t="n">
        <v>0</v>
      </c>
      <c r="J2063" t="n">
        <v>0</v>
      </c>
      <c r="K2063" t="n">
        <v>0</v>
      </c>
      <c r="L2063" t="n">
        <v>0</v>
      </c>
      <c r="M2063" t="n">
        <v>0</v>
      </c>
      <c r="N2063" t="n">
        <v>0</v>
      </c>
      <c r="O2063" t="n">
        <v>0</v>
      </c>
      <c r="P2063" t="n">
        <v>0</v>
      </c>
      <c r="Q2063" t="n">
        <v>0</v>
      </c>
      <c r="R2063" s="2" t="inlineStr"/>
    </row>
    <row r="2064" ht="15" customHeight="1">
      <c r="A2064" t="inlineStr">
        <is>
          <t>A 58043-2021</t>
        </is>
      </c>
      <c r="B2064" s="1" t="n">
        <v>44475</v>
      </c>
      <c r="C2064" s="1" t="n">
        <v>45952</v>
      </c>
      <c r="D2064" t="inlineStr">
        <is>
          <t>VÄSTRA GÖTALANDS LÄN</t>
        </is>
      </c>
      <c r="E2064" t="inlineStr">
        <is>
          <t>MARK</t>
        </is>
      </c>
      <c r="G2064" t="n">
        <v>1.9</v>
      </c>
      <c r="H2064" t="n">
        <v>0</v>
      </c>
      <c r="I2064" t="n">
        <v>0</v>
      </c>
      <c r="J2064" t="n">
        <v>0</v>
      </c>
      <c r="K2064" t="n">
        <v>0</v>
      </c>
      <c r="L2064" t="n">
        <v>0</v>
      </c>
      <c r="M2064" t="n">
        <v>0</v>
      </c>
      <c r="N2064" t="n">
        <v>0</v>
      </c>
      <c r="O2064" t="n">
        <v>0</v>
      </c>
      <c r="P2064" t="n">
        <v>0</v>
      </c>
      <c r="Q2064" t="n">
        <v>0</v>
      </c>
      <c r="R2064" s="2" t="inlineStr"/>
    </row>
    <row r="2065" ht="15" customHeight="1">
      <c r="A2065" t="inlineStr">
        <is>
          <t>A 5594-2022</t>
        </is>
      </c>
      <c r="B2065" s="1" t="n">
        <v>44595</v>
      </c>
      <c r="C2065" s="1" t="n">
        <v>45952</v>
      </c>
      <c r="D2065" t="inlineStr">
        <is>
          <t>VÄSTRA GÖTALANDS LÄN</t>
        </is>
      </c>
      <c r="E2065" t="inlineStr">
        <is>
          <t>SKARA</t>
        </is>
      </c>
      <c r="G2065" t="n">
        <v>2</v>
      </c>
      <c r="H2065" t="n">
        <v>0</v>
      </c>
      <c r="I2065" t="n">
        <v>0</v>
      </c>
      <c r="J2065" t="n">
        <v>0</v>
      </c>
      <c r="K2065" t="n">
        <v>0</v>
      </c>
      <c r="L2065" t="n">
        <v>0</v>
      </c>
      <c r="M2065" t="n">
        <v>0</v>
      </c>
      <c r="N2065" t="n">
        <v>0</v>
      </c>
      <c r="O2065" t="n">
        <v>0</v>
      </c>
      <c r="P2065" t="n">
        <v>0</v>
      </c>
      <c r="Q2065" t="n">
        <v>0</v>
      </c>
      <c r="R2065" s="2" t="inlineStr"/>
    </row>
    <row r="2066" ht="15" customHeight="1">
      <c r="A2066" t="inlineStr">
        <is>
          <t>A 60402-2021</t>
        </is>
      </c>
      <c r="B2066" s="1" t="n">
        <v>44496.38925925926</v>
      </c>
      <c r="C2066" s="1" t="n">
        <v>45952</v>
      </c>
      <c r="D2066" t="inlineStr">
        <is>
          <t>VÄSTRA GÖTALANDS LÄN</t>
        </is>
      </c>
      <c r="E2066" t="inlineStr">
        <is>
          <t>HERRLJUNGA</t>
        </is>
      </c>
      <c r="G2066" t="n">
        <v>1.6</v>
      </c>
      <c r="H2066" t="n">
        <v>0</v>
      </c>
      <c r="I2066" t="n">
        <v>0</v>
      </c>
      <c r="J2066" t="n">
        <v>0</v>
      </c>
      <c r="K2066" t="n">
        <v>0</v>
      </c>
      <c r="L2066" t="n">
        <v>0</v>
      </c>
      <c r="M2066" t="n">
        <v>0</v>
      </c>
      <c r="N2066" t="n">
        <v>0</v>
      </c>
      <c r="O2066" t="n">
        <v>0</v>
      </c>
      <c r="P2066" t="n">
        <v>0</v>
      </c>
      <c r="Q2066" t="n">
        <v>0</v>
      </c>
      <c r="R2066" s="2" t="inlineStr"/>
    </row>
    <row r="2067" ht="15" customHeight="1">
      <c r="A2067" t="inlineStr">
        <is>
          <t>A 60335-2021</t>
        </is>
      </c>
      <c r="B2067" s="1" t="n">
        <v>44496.26841435185</v>
      </c>
      <c r="C2067" s="1" t="n">
        <v>45952</v>
      </c>
      <c r="D2067" t="inlineStr">
        <is>
          <t>VÄSTRA GÖTALANDS LÄN</t>
        </is>
      </c>
      <c r="E2067" t="inlineStr">
        <is>
          <t>MARIESTAD</t>
        </is>
      </c>
      <c r="F2067" t="inlineStr">
        <is>
          <t>Sveaskog</t>
        </is>
      </c>
      <c r="G2067" t="n">
        <v>1.5</v>
      </c>
      <c r="H2067" t="n">
        <v>0</v>
      </c>
      <c r="I2067" t="n">
        <v>0</v>
      </c>
      <c r="J2067" t="n">
        <v>0</v>
      </c>
      <c r="K2067" t="n">
        <v>0</v>
      </c>
      <c r="L2067" t="n">
        <v>0</v>
      </c>
      <c r="M2067" t="n">
        <v>0</v>
      </c>
      <c r="N2067" t="n">
        <v>0</v>
      </c>
      <c r="O2067" t="n">
        <v>0</v>
      </c>
      <c r="P2067" t="n">
        <v>0</v>
      </c>
      <c r="Q2067" t="n">
        <v>0</v>
      </c>
      <c r="R2067" s="2" t="inlineStr"/>
    </row>
    <row r="2068" ht="15" customHeight="1">
      <c r="A2068" t="inlineStr">
        <is>
          <t>A 49719-2021</t>
        </is>
      </c>
      <c r="B2068" s="1" t="n">
        <v>44455.51653935185</v>
      </c>
      <c r="C2068" s="1" t="n">
        <v>45952</v>
      </c>
      <c r="D2068" t="inlineStr">
        <is>
          <t>VÄSTRA GÖTALANDS LÄN</t>
        </is>
      </c>
      <c r="E2068" t="inlineStr">
        <is>
          <t>VÅRGÅRDA</t>
        </is>
      </c>
      <c r="G2068" t="n">
        <v>0.8</v>
      </c>
      <c r="H2068" t="n">
        <v>0</v>
      </c>
      <c r="I2068" t="n">
        <v>0</v>
      </c>
      <c r="J2068" t="n">
        <v>0</v>
      </c>
      <c r="K2068" t="n">
        <v>0</v>
      </c>
      <c r="L2068" t="n">
        <v>0</v>
      </c>
      <c r="M2068" t="n">
        <v>0</v>
      </c>
      <c r="N2068" t="n">
        <v>0</v>
      </c>
      <c r="O2068" t="n">
        <v>0</v>
      </c>
      <c r="P2068" t="n">
        <v>0</v>
      </c>
      <c r="Q2068" t="n">
        <v>0</v>
      </c>
      <c r="R2068" s="2" t="inlineStr"/>
    </row>
    <row r="2069" ht="15" customHeight="1">
      <c r="A2069" t="inlineStr">
        <is>
          <t>A 49747-2021</t>
        </is>
      </c>
      <c r="B2069" s="1" t="n">
        <v>44453</v>
      </c>
      <c r="C2069" s="1" t="n">
        <v>45952</v>
      </c>
      <c r="D2069" t="inlineStr">
        <is>
          <t>VÄSTRA GÖTALANDS LÄN</t>
        </is>
      </c>
      <c r="E2069" t="inlineStr">
        <is>
          <t>BENGTSFORS</t>
        </is>
      </c>
      <c r="G2069" t="n">
        <v>5.1</v>
      </c>
      <c r="H2069" t="n">
        <v>0</v>
      </c>
      <c r="I2069" t="n">
        <v>0</v>
      </c>
      <c r="J2069" t="n">
        <v>0</v>
      </c>
      <c r="K2069" t="n">
        <v>0</v>
      </c>
      <c r="L2069" t="n">
        <v>0</v>
      </c>
      <c r="M2069" t="n">
        <v>0</v>
      </c>
      <c r="N2069" t="n">
        <v>0</v>
      </c>
      <c r="O2069" t="n">
        <v>0</v>
      </c>
      <c r="P2069" t="n">
        <v>0</v>
      </c>
      <c r="Q2069" t="n">
        <v>0</v>
      </c>
      <c r="R2069" s="2" t="inlineStr"/>
    </row>
    <row r="2070" ht="15" customHeight="1">
      <c r="A2070" t="inlineStr">
        <is>
          <t>A 63141-2021</t>
        </is>
      </c>
      <c r="B2070" s="1" t="n">
        <v>44505.79013888889</v>
      </c>
      <c r="C2070" s="1" t="n">
        <v>45952</v>
      </c>
      <c r="D2070" t="inlineStr">
        <is>
          <t>VÄSTRA GÖTALANDS LÄN</t>
        </is>
      </c>
      <c r="E2070" t="inlineStr">
        <is>
          <t>ORUST</t>
        </is>
      </c>
      <c r="G2070" t="n">
        <v>1.6</v>
      </c>
      <c r="H2070" t="n">
        <v>0</v>
      </c>
      <c r="I2070" t="n">
        <v>0</v>
      </c>
      <c r="J2070" t="n">
        <v>0</v>
      </c>
      <c r="K2070" t="n">
        <v>0</v>
      </c>
      <c r="L2070" t="n">
        <v>0</v>
      </c>
      <c r="M2070" t="n">
        <v>0</v>
      </c>
      <c r="N2070" t="n">
        <v>0</v>
      </c>
      <c r="O2070" t="n">
        <v>0</v>
      </c>
      <c r="P2070" t="n">
        <v>0</v>
      </c>
      <c r="Q2070" t="n">
        <v>0</v>
      </c>
      <c r="R2070" s="2" t="inlineStr"/>
    </row>
    <row r="2071" ht="15" customHeight="1">
      <c r="A2071" t="inlineStr">
        <is>
          <t>A 63170-2021</t>
        </is>
      </c>
      <c r="B2071" s="1" t="n">
        <v>44506</v>
      </c>
      <c r="C2071" s="1" t="n">
        <v>45952</v>
      </c>
      <c r="D2071" t="inlineStr">
        <is>
          <t>VÄSTRA GÖTALANDS LÄN</t>
        </is>
      </c>
      <c r="E2071" t="inlineStr">
        <is>
          <t>ULRICEHAMN</t>
        </is>
      </c>
      <c r="G2071" t="n">
        <v>2.8</v>
      </c>
      <c r="H2071" t="n">
        <v>0</v>
      </c>
      <c r="I2071" t="n">
        <v>0</v>
      </c>
      <c r="J2071" t="n">
        <v>0</v>
      </c>
      <c r="K2071" t="n">
        <v>0</v>
      </c>
      <c r="L2071" t="n">
        <v>0</v>
      </c>
      <c r="M2071" t="n">
        <v>0</v>
      </c>
      <c r="N2071" t="n">
        <v>0</v>
      </c>
      <c r="O2071" t="n">
        <v>0</v>
      </c>
      <c r="P2071" t="n">
        <v>0</v>
      </c>
      <c r="Q2071" t="n">
        <v>0</v>
      </c>
      <c r="R2071" s="2" t="inlineStr"/>
    </row>
    <row r="2072" ht="15" customHeight="1">
      <c r="A2072" t="inlineStr">
        <is>
          <t>A 63198-2021</t>
        </is>
      </c>
      <c r="B2072" s="1" t="n">
        <v>44507</v>
      </c>
      <c r="C2072" s="1" t="n">
        <v>45952</v>
      </c>
      <c r="D2072" t="inlineStr">
        <is>
          <t>VÄSTRA GÖTALANDS LÄN</t>
        </is>
      </c>
      <c r="E2072" t="inlineStr">
        <is>
          <t>GÖTENE</t>
        </is>
      </c>
      <c r="G2072" t="n">
        <v>0.6</v>
      </c>
      <c r="H2072" t="n">
        <v>0</v>
      </c>
      <c r="I2072" t="n">
        <v>0</v>
      </c>
      <c r="J2072" t="n">
        <v>0</v>
      </c>
      <c r="K2072" t="n">
        <v>0</v>
      </c>
      <c r="L2072" t="n">
        <v>0</v>
      </c>
      <c r="M2072" t="n">
        <v>0</v>
      </c>
      <c r="N2072" t="n">
        <v>0</v>
      </c>
      <c r="O2072" t="n">
        <v>0</v>
      </c>
      <c r="P2072" t="n">
        <v>0</v>
      </c>
      <c r="Q2072" t="n">
        <v>0</v>
      </c>
      <c r="R2072" s="2" t="inlineStr"/>
    </row>
    <row r="2073" ht="15" customHeight="1">
      <c r="A2073" t="inlineStr">
        <is>
          <t>A 68243-2021</t>
        </is>
      </c>
      <c r="B2073" s="1" t="n">
        <v>44525</v>
      </c>
      <c r="C2073" s="1" t="n">
        <v>45952</v>
      </c>
      <c r="D2073" t="inlineStr">
        <is>
          <t>VÄSTRA GÖTALANDS LÄN</t>
        </is>
      </c>
      <c r="E2073" t="inlineStr">
        <is>
          <t>STRÖMSTAD</t>
        </is>
      </c>
      <c r="G2073" t="n">
        <v>2.4</v>
      </c>
      <c r="H2073" t="n">
        <v>0</v>
      </c>
      <c r="I2073" t="n">
        <v>0</v>
      </c>
      <c r="J2073" t="n">
        <v>0</v>
      </c>
      <c r="K2073" t="n">
        <v>0</v>
      </c>
      <c r="L2073" t="n">
        <v>0</v>
      </c>
      <c r="M2073" t="n">
        <v>0</v>
      </c>
      <c r="N2073" t="n">
        <v>0</v>
      </c>
      <c r="O2073" t="n">
        <v>0</v>
      </c>
      <c r="P2073" t="n">
        <v>0</v>
      </c>
      <c r="Q2073" t="n">
        <v>0</v>
      </c>
      <c r="R2073" s="2" t="inlineStr"/>
    </row>
    <row r="2074" ht="15" customHeight="1">
      <c r="A2074" t="inlineStr">
        <is>
          <t>A 27387-2021</t>
        </is>
      </c>
      <c r="B2074" s="1" t="n">
        <v>44351</v>
      </c>
      <c r="C2074" s="1" t="n">
        <v>45952</v>
      </c>
      <c r="D2074" t="inlineStr">
        <is>
          <t>VÄSTRA GÖTALANDS LÄN</t>
        </is>
      </c>
      <c r="E2074" t="inlineStr">
        <is>
          <t>MUNKEDAL</t>
        </is>
      </c>
      <c r="G2074" t="n">
        <v>1.2</v>
      </c>
      <c r="H2074" t="n">
        <v>0</v>
      </c>
      <c r="I2074" t="n">
        <v>0</v>
      </c>
      <c r="J2074" t="n">
        <v>0</v>
      </c>
      <c r="K2074" t="n">
        <v>0</v>
      </c>
      <c r="L2074" t="n">
        <v>0</v>
      </c>
      <c r="M2074" t="n">
        <v>0</v>
      </c>
      <c r="N2074" t="n">
        <v>0</v>
      </c>
      <c r="O2074" t="n">
        <v>0</v>
      </c>
      <c r="P2074" t="n">
        <v>0</v>
      </c>
      <c r="Q2074" t="n">
        <v>0</v>
      </c>
      <c r="R2074" s="2" t="inlineStr"/>
    </row>
    <row r="2075" ht="15" customHeight="1">
      <c r="A2075" t="inlineStr">
        <is>
          <t>A 27632-2021</t>
        </is>
      </c>
      <c r="B2075" s="1" t="n">
        <v>44354.35579861111</v>
      </c>
      <c r="C2075" s="1" t="n">
        <v>45952</v>
      </c>
      <c r="D2075" t="inlineStr">
        <is>
          <t>VÄSTRA GÖTALANDS LÄN</t>
        </is>
      </c>
      <c r="E2075" t="inlineStr">
        <is>
          <t>MUNKEDAL</t>
        </is>
      </c>
      <c r="G2075" t="n">
        <v>2.2</v>
      </c>
      <c r="H2075" t="n">
        <v>0</v>
      </c>
      <c r="I2075" t="n">
        <v>0</v>
      </c>
      <c r="J2075" t="n">
        <v>0</v>
      </c>
      <c r="K2075" t="n">
        <v>0</v>
      </c>
      <c r="L2075" t="n">
        <v>0</v>
      </c>
      <c r="M2075" t="n">
        <v>0</v>
      </c>
      <c r="N2075" t="n">
        <v>0</v>
      </c>
      <c r="O2075" t="n">
        <v>0</v>
      </c>
      <c r="P2075" t="n">
        <v>0</v>
      </c>
      <c r="Q2075" t="n">
        <v>0</v>
      </c>
      <c r="R2075" s="2" t="inlineStr"/>
    </row>
    <row r="2076" ht="15" customHeight="1">
      <c r="A2076" t="inlineStr">
        <is>
          <t>A 27635-2021</t>
        </is>
      </c>
      <c r="B2076" s="1" t="n">
        <v>44354</v>
      </c>
      <c r="C2076" s="1" t="n">
        <v>45952</v>
      </c>
      <c r="D2076" t="inlineStr">
        <is>
          <t>VÄSTRA GÖTALANDS LÄN</t>
        </is>
      </c>
      <c r="E2076" t="inlineStr">
        <is>
          <t>GRÄSTORP</t>
        </is>
      </c>
      <c r="G2076" t="n">
        <v>1.3</v>
      </c>
      <c r="H2076" t="n">
        <v>0</v>
      </c>
      <c r="I2076" t="n">
        <v>0</v>
      </c>
      <c r="J2076" t="n">
        <v>0</v>
      </c>
      <c r="K2076" t="n">
        <v>0</v>
      </c>
      <c r="L2076" t="n">
        <v>0</v>
      </c>
      <c r="M2076" t="n">
        <v>0</v>
      </c>
      <c r="N2076" t="n">
        <v>0</v>
      </c>
      <c r="O2076" t="n">
        <v>0</v>
      </c>
      <c r="P2076" t="n">
        <v>0</v>
      </c>
      <c r="Q2076" t="n">
        <v>0</v>
      </c>
      <c r="R2076" s="2" t="inlineStr"/>
    </row>
    <row r="2077" ht="15" customHeight="1">
      <c r="A2077" t="inlineStr">
        <is>
          <t>A 23230-2021</t>
        </is>
      </c>
      <c r="B2077" s="1" t="n">
        <v>44332</v>
      </c>
      <c r="C2077" s="1" t="n">
        <v>45952</v>
      </c>
      <c r="D2077" t="inlineStr">
        <is>
          <t>VÄSTRA GÖTALANDS LÄN</t>
        </is>
      </c>
      <c r="E2077" t="inlineStr">
        <is>
          <t>FALKÖPING</t>
        </is>
      </c>
      <c r="G2077" t="n">
        <v>1.7</v>
      </c>
      <c r="H2077" t="n">
        <v>0</v>
      </c>
      <c r="I2077" t="n">
        <v>0</v>
      </c>
      <c r="J2077" t="n">
        <v>0</v>
      </c>
      <c r="K2077" t="n">
        <v>0</v>
      </c>
      <c r="L2077" t="n">
        <v>0</v>
      </c>
      <c r="M2077" t="n">
        <v>0</v>
      </c>
      <c r="N2077" t="n">
        <v>0</v>
      </c>
      <c r="O2077" t="n">
        <v>0</v>
      </c>
      <c r="P2077" t="n">
        <v>0</v>
      </c>
      <c r="Q2077" t="n">
        <v>0</v>
      </c>
      <c r="R2077" s="2" t="inlineStr"/>
    </row>
    <row r="2078" ht="15" customHeight="1">
      <c r="A2078" t="inlineStr">
        <is>
          <t>A 366-2021</t>
        </is>
      </c>
      <c r="B2078" s="1" t="n">
        <v>44201</v>
      </c>
      <c r="C2078" s="1" t="n">
        <v>45952</v>
      </c>
      <c r="D2078" t="inlineStr">
        <is>
          <t>VÄSTRA GÖTALANDS LÄN</t>
        </is>
      </c>
      <c r="E2078" t="inlineStr">
        <is>
          <t>HERRLJUNGA</t>
        </is>
      </c>
      <c r="G2078" t="n">
        <v>3.6</v>
      </c>
      <c r="H2078" t="n">
        <v>0</v>
      </c>
      <c r="I2078" t="n">
        <v>0</v>
      </c>
      <c r="J2078" t="n">
        <v>0</v>
      </c>
      <c r="K2078" t="n">
        <v>0</v>
      </c>
      <c r="L2078" t="n">
        <v>0</v>
      </c>
      <c r="M2078" t="n">
        <v>0</v>
      </c>
      <c r="N2078" t="n">
        <v>0</v>
      </c>
      <c r="O2078" t="n">
        <v>0</v>
      </c>
      <c r="P2078" t="n">
        <v>0</v>
      </c>
      <c r="Q2078" t="n">
        <v>0</v>
      </c>
      <c r="R2078" s="2" t="inlineStr"/>
    </row>
    <row r="2079" ht="15" customHeight="1">
      <c r="A2079" t="inlineStr">
        <is>
          <t>A 33-2022</t>
        </is>
      </c>
      <c r="B2079" s="1" t="n">
        <v>44564.36203703703</v>
      </c>
      <c r="C2079" s="1" t="n">
        <v>45952</v>
      </c>
      <c r="D2079" t="inlineStr">
        <is>
          <t>VÄSTRA GÖTALANDS LÄN</t>
        </is>
      </c>
      <c r="E2079" t="inlineStr">
        <is>
          <t>MARK</t>
        </is>
      </c>
      <c r="G2079" t="n">
        <v>0.9</v>
      </c>
      <c r="H2079" t="n">
        <v>0</v>
      </c>
      <c r="I2079" t="n">
        <v>0</v>
      </c>
      <c r="J2079" t="n">
        <v>0</v>
      </c>
      <c r="K2079" t="n">
        <v>0</v>
      </c>
      <c r="L2079" t="n">
        <v>0</v>
      </c>
      <c r="M2079" t="n">
        <v>0</v>
      </c>
      <c r="N2079" t="n">
        <v>0</v>
      </c>
      <c r="O2079" t="n">
        <v>0</v>
      </c>
      <c r="P2079" t="n">
        <v>0</v>
      </c>
      <c r="Q2079" t="n">
        <v>0</v>
      </c>
      <c r="R2079" s="2" t="inlineStr"/>
    </row>
    <row r="2080" ht="15" customHeight="1">
      <c r="A2080" t="inlineStr">
        <is>
          <t>A 70755-2021</t>
        </is>
      </c>
      <c r="B2080" s="1" t="n">
        <v>44537.6525462963</v>
      </c>
      <c r="C2080" s="1" t="n">
        <v>45952</v>
      </c>
      <c r="D2080" t="inlineStr">
        <is>
          <t>VÄSTRA GÖTALANDS LÄN</t>
        </is>
      </c>
      <c r="E2080" t="inlineStr">
        <is>
          <t>TRANEMO</t>
        </is>
      </c>
      <c r="G2080" t="n">
        <v>1.2</v>
      </c>
      <c r="H2080" t="n">
        <v>0</v>
      </c>
      <c r="I2080" t="n">
        <v>0</v>
      </c>
      <c r="J2080" t="n">
        <v>0</v>
      </c>
      <c r="K2080" t="n">
        <v>0</v>
      </c>
      <c r="L2080" t="n">
        <v>0</v>
      </c>
      <c r="M2080" t="n">
        <v>0</v>
      </c>
      <c r="N2080" t="n">
        <v>0</v>
      </c>
      <c r="O2080" t="n">
        <v>0</v>
      </c>
      <c r="P2080" t="n">
        <v>0</v>
      </c>
      <c r="Q2080" t="n">
        <v>0</v>
      </c>
      <c r="R2080" s="2" t="inlineStr"/>
    </row>
    <row r="2081" ht="15" customHeight="1">
      <c r="A2081" t="inlineStr">
        <is>
          <t>A 60681-2021</t>
        </is>
      </c>
      <c r="B2081" s="1" t="n">
        <v>44496.65423611111</v>
      </c>
      <c r="C2081" s="1" t="n">
        <v>45952</v>
      </c>
      <c r="D2081" t="inlineStr">
        <is>
          <t>VÄSTRA GÖTALANDS LÄN</t>
        </is>
      </c>
      <c r="E2081" t="inlineStr">
        <is>
          <t>GULLSPÅNG</t>
        </is>
      </c>
      <c r="G2081" t="n">
        <v>0.6</v>
      </c>
      <c r="H2081" t="n">
        <v>0</v>
      </c>
      <c r="I2081" t="n">
        <v>0</v>
      </c>
      <c r="J2081" t="n">
        <v>0</v>
      </c>
      <c r="K2081" t="n">
        <v>0</v>
      </c>
      <c r="L2081" t="n">
        <v>0</v>
      </c>
      <c r="M2081" t="n">
        <v>0</v>
      </c>
      <c r="N2081" t="n">
        <v>0</v>
      </c>
      <c r="O2081" t="n">
        <v>0</v>
      </c>
      <c r="P2081" t="n">
        <v>0</v>
      </c>
      <c r="Q2081" t="n">
        <v>0</v>
      </c>
      <c r="R2081" s="2" t="inlineStr"/>
    </row>
    <row r="2082" ht="15" customHeight="1">
      <c r="A2082" t="inlineStr">
        <is>
          <t>A 26187-2022</t>
        </is>
      </c>
      <c r="B2082" s="1" t="n">
        <v>44735</v>
      </c>
      <c r="C2082" s="1" t="n">
        <v>45952</v>
      </c>
      <c r="D2082" t="inlineStr">
        <is>
          <t>VÄSTRA GÖTALANDS LÄN</t>
        </is>
      </c>
      <c r="E2082" t="inlineStr">
        <is>
          <t>TANUM</t>
        </is>
      </c>
      <c r="G2082" t="n">
        <v>2.4</v>
      </c>
      <c r="H2082" t="n">
        <v>0</v>
      </c>
      <c r="I2082" t="n">
        <v>0</v>
      </c>
      <c r="J2082" t="n">
        <v>0</v>
      </c>
      <c r="K2082" t="n">
        <v>0</v>
      </c>
      <c r="L2082" t="n">
        <v>0</v>
      </c>
      <c r="M2082" t="n">
        <v>0</v>
      </c>
      <c r="N2082" t="n">
        <v>0</v>
      </c>
      <c r="O2082" t="n">
        <v>0</v>
      </c>
      <c r="P2082" t="n">
        <v>0</v>
      </c>
      <c r="Q2082" t="n">
        <v>0</v>
      </c>
      <c r="R2082" s="2" t="inlineStr"/>
    </row>
    <row r="2083" ht="15" customHeight="1">
      <c r="A2083" t="inlineStr">
        <is>
          <t>A 62365-2021</t>
        </is>
      </c>
      <c r="B2083" s="1" t="n">
        <v>44503.46024305555</v>
      </c>
      <c r="C2083" s="1" t="n">
        <v>45952</v>
      </c>
      <c r="D2083" t="inlineStr">
        <is>
          <t>VÄSTRA GÖTALANDS LÄN</t>
        </is>
      </c>
      <c r="E2083" t="inlineStr">
        <is>
          <t>FALKÖPING</t>
        </is>
      </c>
      <c r="G2083" t="n">
        <v>1.2</v>
      </c>
      <c r="H2083" t="n">
        <v>0</v>
      </c>
      <c r="I2083" t="n">
        <v>0</v>
      </c>
      <c r="J2083" t="n">
        <v>0</v>
      </c>
      <c r="K2083" t="n">
        <v>0</v>
      </c>
      <c r="L2083" t="n">
        <v>0</v>
      </c>
      <c r="M2083" t="n">
        <v>0</v>
      </c>
      <c r="N2083" t="n">
        <v>0</v>
      </c>
      <c r="O2083" t="n">
        <v>0</v>
      </c>
      <c r="P2083" t="n">
        <v>0</v>
      </c>
      <c r="Q2083" t="n">
        <v>0</v>
      </c>
      <c r="R2083" s="2" t="inlineStr"/>
    </row>
    <row r="2084" ht="15" customHeight="1">
      <c r="A2084" t="inlineStr">
        <is>
          <t>A 63182-2021</t>
        </is>
      </c>
      <c r="B2084" s="1" t="n">
        <v>44507</v>
      </c>
      <c r="C2084" s="1" t="n">
        <v>45952</v>
      </c>
      <c r="D2084" t="inlineStr">
        <is>
          <t>VÄSTRA GÖTALANDS LÄN</t>
        </is>
      </c>
      <c r="E2084" t="inlineStr">
        <is>
          <t>TÖREBODA</t>
        </is>
      </c>
      <c r="G2084" t="n">
        <v>1.4</v>
      </c>
      <c r="H2084" t="n">
        <v>0</v>
      </c>
      <c r="I2084" t="n">
        <v>0</v>
      </c>
      <c r="J2084" t="n">
        <v>0</v>
      </c>
      <c r="K2084" t="n">
        <v>0</v>
      </c>
      <c r="L2084" t="n">
        <v>0</v>
      </c>
      <c r="M2084" t="n">
        <v>0</v>
      </c>
      <c r="N2084" t="n">
        <v>0</v>
      </c>
      <c r="O2084" t="n">
        <v>0</v>
      </c>
      <c r="P2084" t="n">
        <v>0</v>
      </c>
      <c r="Q2084" t="n">
        <v>0</v>
      </c>
      <c r="R2084" s="2" t="inlineStr"/>
    </row>
    <row r="2085" ht="15" customHeight="1">
      <c r="A2085" t="inlineStr">
        <is>
          <t>A 65566-2020</t>
        </is>
      </c>
      <c r="B2085" s="1" t="n">
        <v>44173</v>
      </c>
      <c r="C2085" s="1" t="n">
        <v>45952</v>
      </c>
      <c r="D2085" t="inlineStr">
        <is>
          <t>VÄSTRA GÖTALANDS LÄN</t>
        </is>
      </c>
      <c r="E2085" t="inlineStr">
        <is>
          <t>BOLLEBYGD</t>
        </is>
      </c>
      <c r="F2085" t="inlineStr">
        <is>
          <t>Kommuner</t>
        </is>
      </c>
      <c r="G2085" t="n">
        <v>0.8</v>
      </c>
      <c r="H2085" t="n">
        <v>0</v>
      </c>
      <c r="I2085" t="n">
        <v>0</v>
      </c>
      <c r="J2085" t="n">
        <v>0</v>
      </c>
      <c r="K2085" t="n">
        <v>0</v>
      </c>
      <c r="L2085" t="n">
        <v>0</v>
      </c>
      <c r="M2085" t="n">
        <v>0</v>
      </c>
      <c r="N2085" t="n">
        <v>0</v>
      </c>
      <c r="O2085" t="n">
        <v>0</v>
      </c>
      <c r="P2085" t="n">
        <v>0</v>
      </c>
      <c r="Q2085" t="n">
        <v>0</v>
      </c>
      <c r="R2085" s="2" t="inlineStr"/>
    </row>
    <row r="2086" ht="15" customHeight="1">
      <c r="A2086" t="inlineStr">
        <is>
          <t>A 24474-2021</t>
        </is>
      </c>
      <c r="B2086" s="1" t="n">
        <v>44337</v>
      </c>
      <c r="C2086" s="1" t="n">
        <v>45952</v>
      </c>
      <c r="D2086" t="inlineStr">
        <is>
          <t>VÄSTRA GÖTALANDS LÄN</t>
        </is>
      </c>
      <c r="E2086" t="inlineStr">
        <is>
          <t>SVENLJUNGA</t>
        </is>
      </c>
      <c r="G2086" t="n">
        <v>5.5</v>
      </c>
      <c r="H2086" t="n">
        <v>0</v>
      </c>
      <c r="I2086" t="n">
        <v>0</v>
      </c>
      <c r="J2086" t="n">
        <v>0</v>
      </c>
      <c r="K2086" t="n">
        <v>0</v>
      </c>
      <c r="L2086" t="n">
        <v>0</v>
      </c>
      <c r="M2086" t="n">
        <v>0</v>
      </c>
      <c r="N2086" t="n">
        <v>0</v>
      </c>
      <c r="O2086" t="n">
        <v>0</v>
      </c>
      <c r="P2086" t="n">
        <v>0</v>
      </c>
      <c r="Q2086" t="n">
        <v>0</v>
      </c>
      <c r="R2086" s="2" t="inlineStr"/>
    </row>
    <row r="2087" ht="15" customHeight="1">
      <c r="A2087" t="inlineStr">
        <is>
          <t>A 21463-2021</t>
        </is>
      </c>
      <c r="B2087" s="1" t="n">
        <v>44321.48224537037</v>
      </c>
      <c r="C2087" s="1" t="n">
        <v>45952</v>
      </c>
      <c r="D2087" t="inlineStr">
        <is>
          <t>VÄSTRA GÖTALANDS LÄN</t>
        </is>
      </c>
      <c r="E2087" t="inlineStr">
        <is>
          <t>BENGTSFORS</t>
        </is>
      </c>
      <c r="G2087" t="n">
        <v>1.4</v>
      </c>
      <c r="H2087" t="n">
        <v>0</v>
      </c>
      <c r="I2087" t="n">
        <v>0</v>
      </c>
      <c r="J2087" t="n">
        <v>0</v>
      </c>
      <c r="K2087" t="n">
        <v>0</v>
      </c>
      <c r="L2087" t="n">
        <v>0</v>
      </c>
      <c r="M2087" t="n">
        <v>0</v>
      </c>
      <c r="N2087" t="n">
        <v>0</v>
      </c>
      <c r="O2087" t="n">
        <v>0</v>
      </c>
      <c r="P2087" t="n">
        <v>0</v>
      </c>
      <c r="Q2087" t="n">
        <v>0</v>
      </c>
      <c r="R2087" s="2" t="inlineStr"/>
    </row>
    <row r="2088" ht="15" customHeight="1">
      <c r="A2088" t="inlineStr">
        <is>
          <t>A 26592-2021</t>
        </is>
      </c>
      <c r="B2088" s="1" t="n">
        <v>44348</v>
      </c>
      <c r="C2088" s="1" t="n">
        <v>45952</v>
      </c>
      <c r="D2088" t="inlineStr">
        <is>
          <t>VÄSTRA GÖTALANDS LÄN</t>
        </is>
      </c>
      <c r="E2088" t="inlineStr">
        <is>
          <t>TRANEMO</t>
        </is>
      </c>
      <c r="G2088" t="n">
        <v>2.9</v>
      </c>
      <c r="H2088" t="n">
        <v>0</v>
      </c>
      <c r="I2088" t="n">
        <v>0</v>
      </c>
      <c r="J2088" t="n">
        <v>0</v>
      </c>
      <c r="K2088" t="n">
        <v>0</v>
      </c>
      <c r="L2088" t="n">
        <v>0</v>
      </c>
      <c r="M2088" t="n">
        <v>0</v>
      </c>
      <c r="N2088" t="n">
        <v>0</v>
      </c>
      <c r="O2088" t="n">
        <v>0</v>
      </c>
      <c r="P2088" t="n">
        <v>0</v>
      </c>
      <c r="Q2088" t="n">
        <v>0</v>
      </c>
      <c r="R2088" s="2" t="inlineStr"/>
    </row>
    <row r="2089" ht="15" customHeight="1">
      <c r="A2089" t="inlineStr">
        <is>
          <t>A 27106-2021</t>
        </is>
      </c>
      <c r="B2089" s="1" t="n">
        <v>44350</v>
      </c>
      <c r="C2089" s="1" t="n">
        <v>45952</v>
      </c>
      <c r="D2089" t="inlineStr">
        <is>
          <t>VÄSTRA GÖTALANDS LÄN</t>
        </is>
      </c>
      <c r="E2089" t="inlineStr">
        <is>
          <t>BORÅS</t>
        </is>
      </c>
      <c r="G2089" t="n">
        <v>3.3</v>
      </c>
      <c r="H2089" t="n">
        <v>0</v>
      </c>
      <c r="I2089" t="n">
        <v>0</v>
      </c>
      <c r="J2089" t="n">
        <v>0</v>
      </c>
      <c r="K2089" t="n">
        <v>0</v>
      </c>
      <c r="L2089" t="n">
        <v>0</v>
      </c>
      <c r="M2089" t="n">
        <v>0</v>
      </c>
      <c r="N2089" t="n">
        <v>0</v>
      </c>
      <c r="O2089" t="n">
        <v>0</v>
      </c>
      <c r="P2089" t="n">
        <v>0</v>
      </c>
      <c r="Q2089" t="n">
        <v>0</v>
      </c>
      <c r="R2089" s="2" t="inlineStr"/>
    </row>
    <row r="2090" ht="15" customHeight="1">
      <c r="A2090" t="inlineStr">
        <is>
          <t>A 55323-2021</t>
        </is>
      </c>
      <c r="B2090" s="1" t="n">
        <v>44475.46502314815</v>
      </c>
      <c r="C2090" s="1" t="n">
        <v>45952</v>
      </c>
      <c r="D2090" t="inlineStr">
        <is>
          <t>VÄSTRA GÖTALANDS LÄN</t>
        </is>
      </c>
      <c r="E2090" t="inlineStr">
        <is>
          <t>SVENLJUNGA</t>
        </is>
      </c>
      <c r="G2090" t="n">
        <v>1.2</v>
      </c>
      <c r="H2090" t="n">
        <v>0</v>
      </c>
      <c r="I2090" t="n">
        <v>0</v>
      </c>
      <c r="J2090" t="n">
        <v>0</v>
      </c>
      <c r="K2090" t="n">
        <v>0</v>
      </c>
      <c r="L2090" t="n">
        <v>0</v>
      </c>
      <c r="M2090" t="n">
        <v>0</v>
      </c>
      <c r="N2090" t="n">
        <v>0</v>
      </c>
      <c r="O2090" t="n">
        <v>0</v>
      </c>
      <c r="P2090" t="n">
        <v>0</v>
      </c>
      <c r="Q2090" t="n">
        <v>0</v>
      </c>
      <c r="R2090" s="2" t="inlineStr"/>
    </row>
    <row r="2091" ht="15" customHeight="1">
      <c r="A2091" t="inlineStr">
        <is>
          <t>A 55332-2021</t>
        </is>
      </c>
      <c r="B2091" s="1" t="n">
        <v>44475.47101851852</v>
      </c>
      <c r="C2091" s="1" t="n">
        <v>45952</v>
      </c>
      <c r="D2091" t="inlineStr">
        <is>
          <t>VÄSTRA GÖTALANDS LÄN</t>
        </is>
      </c>
      <c r="E2091" t="inlineStr">
        <is>
          <t>SVENLJUNGA</t>
        </is>
      </c>
      <c r="G2091" t="n">
        <v>2</v>
      </c>
      <c r="H2091" t="n">
        <v>0</v>
      </c>
      <c r="I2091" t="n">
        <v>0</v>
      </c>
      <c r="J2091" t="n">
        <v>0</v>
      </c>
      <c r="K2091" t="n">
        <v>0</v>
      </c>
      <c r="L2091" t="n">
        <v>0</v>
      </c>
      <c r="M2091" t="n">
        <v>0</v>
      </c>
      <c r="N2091" t="n">
        <v>0</v>
      </c>
      <c r="O2091" t="n">
        <v>0</v>
      </c>
      <c r="P2091" t="n">
        <v>0</v>
      </c>
      <c r="Q2091" t="n">
        <v>0</v>
      </c>
      <c r="R2091" s="2" t="inlineStr"/>
    </row>
    <row r="2092" ht="15" customHeight="1">
      <c r="A2092" t="inlineStr">
        <is>
          <t>A 62530-2020</t>
        </is>
      </c>
      <c r="B2092" s="1" t="n">
        <v>44160</v>
      </c>
      <c r="C2092" s="1" t="n">
        <v>45952</v>
      </c>
      <c r="D2092" t="inlineStr">
        <is>
          <t>VÄSTRA GÖTALANDS LÄN</t>
        </is>
      </c>
      <c r="E2092" t="inlineStr">
        <is>
          <t>BORÅS</t>
        </is>
      </c>
      <c r="G2092" t="n">
        <v>1.5</v>
      </c>
      <c r="H2092" t="n">
        <v>0</v>
      </c>
      <c r="I2092" t="n">
        <v>0</v>
      </c>
      <c r="J2092" t="n">
        <v>0</v>
      </c>
      <c r="K2092" t="n">
        <v>0</v>
      </c>
      <c r="L2092" t="n">
        <v>0</v>
      </c>
      <c r="M2092" t="n">
        <v>0</v>
      </c>
      <c r="N2092" t="n">
        <v>0</v>
      </c>
      <c r="O2092" t="n">
        <v>0</v>
      </c>
      <c r="P2092" t="n">
        <v>0</v>
      </c>
      <c r="Q2092" t="n">
        <v>0</v>
      </c>
      <c r="R2092" s="2" t="inlineStr"/>
    </row>
    <row r="2093" ht="15" customHeight="1">
      <c r="A2093" t="inlineStr">
        <is>
          <t>A 68699-2021</t>
        </is>
      </c>
      <c r="B2093" s="1" t="n">
        <v>44529.66766203703</v>
      </c>
      <c r="C2093" s="1" t="n">
        <v>45952</v>
      </c>
      <c r="D2093" t="inlineStr">
        <is>
          <t>VÄSTRA GÖTALANDS LÄN</t>
        </is>
      </c>
      <c r="E2093" t="inlineStr">
        <is>
          <t>FALKÖPING</t>
        </is>
      </c>
      <c r="G2093" t="n">
        <v>0.7</v>
      </c>
      <c r="H2093" t="n">
        <v>0</v>
      </c>
      <c r="I2093" t="n">
        <v>0</v>
      </c>
      <c r="J2093" t="n">
        <v>0</v>
      </c>
      <c r="K2093" t="n">
        <v>0</v>
      </c>
      <c r="L2093" t="n">
        <v>0</v>
      </c>
      <c r="M2093" t="n">
        <v>0</v>
      </c>
      <c r="N2093" t="n">
        <v>0</v>
      </c>
      <c r="O2093" t="n">
        <v>0</v>
      </c>
      <c r="P2093" t="n">
        <v>0</v>
      </c>
      <c r="Q2093" t="n">
        <v>0</v>
      </c>
      <c r="R2093" s="2" t="inlineStr"/>
    </row>
    <row r="2094" ht="15" customHeight="1">
      <c r="A2094" t="inlineStr">
        <is>
          <t>A 68702-2021</t>
        </is>
      </c>
      <c r="B2094" s="1" t="n">
        <v>44529</v>
      </c>
      <c r="C2094" s="1" t="n">
        <v>45952</v>
      </c>
      <c r="D2094" t="inlineStr">
        <is>
          <t>VÄSTRA GÖTALANDS LÄN</t>
        </is>
      </c>
      <c r="E2094" t="inlineStr">
        <is>
          <t>UDDEVALLA</t>
        </is>
      </c>
      <c r="G2094" t="n">
        <v>1.1</v>
      </c>
      <c r="H2094" t="n">
        <v>0</v>
      </c>
      <c r="I2094" t="n">
        <v>0</v>
      </c>
      <c r="J2094" t="n">
        <v>0</v>
      </c>
      <c r="K2094" t="n">
        <v>0</v>
      </c>
      <c r="L2094" t="n">
        <v>0</v>
      </c>
      <c r="M2094" t="n">
        <v>0</v>
      </c>
      <c r="N2094" t="n">
        <v>0</v>
      </c>
      <c r="O2094" t="n">
        <v>0</v>
      </c>
      <c r="P2094" t="n">
        <v>0</v>
      </c>
      <c r="Q2094" t="n">
        <v>0</v>
      </c>
      <c r="R2094" s="2" t="inlineStr"/>
    </row>
    <row r="2095" ht="15" customHeight="1">
      <c r="A2095" t="inlineStr">
        <is>
          <t>A 180-2022</t>
        </is>
      </c>
      <c r="B2095" s="1" t="n">
        <v>44564</v>
      </c>
      <c r="C2095" s="1" t="n">
        <v>45952</v>
      </c>
      <c r="D2095" t="inlineStr">
        <is>
          <t>VÄSTRA GÖTALANDS LÄN</t>
        </is>
      </c>
      <c r="E2095" t="inlineStr">
        <is>
          <t>VÅRGÅRDA</t>
        </is>
      </c>
      <c r="F2095" t="inlineStr">
        <is>
          <t>Kyrkan</t>
        </is>
      </c>
      <c r="G2095" t="n">
        <v>7.6</v>
      </c>
      <c r="H2095" t="n">
        <v>0</v>
      </c>
      <c r="I2095" t="n">
        <v>0</v>
      </c>
      <c r="J2095" t="n">
        <v>0</v>
      </c>
      <c r="K2095" t="n">
        <v>0</v>
      </c>
      <c r="L2095" t="n">
        <v>0</v>
      </c>
      <c r="M2095" t="n">
        <v>0</v>
      </c>
      <c r="N2095" t="n">
        <v>0</v>
      </c>
      <c r="O2095" t="n">
        <v>0</v>
      </c>
      <c r="P2095" t="n">
        <v>0</v>
      </c>
      <c r="Q2095" t="n">
        <v>0</v>
      </c>
      <c r="R2095" s="2" t="inlineStr"/>
    </row>
    <row r="2096" ht="15" customHeight="1">
      <c r="A2096" t="inlineStr">
        <is>
          <t>A 184-2022</t>
        </is>
      </c>
      <c r="B2096" s="1" t="n">
        <v>44563</v>
      </c>
      <c r="C2096" s="1" t="n">
        <v>45952</v>
      </c>
      <c r="D2096" t="inlineStr">
        <is>
          <t>VÄSTRA GÖTALANDS LÄN</t>
        </is>
      </c>
      <c r="E2096" t="inlineStr">
        <is>
          <t>TANUM</t>
        </is>
      </c>
      <c r="G2096" t="n">
        <v>3</v>
      </c>
      <c r="H2096" t="n">
        <v>0</v>
      </c>
      <c r="I2096" t="n">
        <v>0</v>
      </c>
      <c r="J2096" t="n">
        <v>0</v>
      </c>
      <c r="K2096" t="n">
        <v>0</v>
      </c>
      <c r="L2096" t="n">
        <v>0</v>
      </c>
      <c r="M2096" t="n">
        <v>0</v>
      </c>
      <c r="N2096" t="n">
        <v>0</v>
      </c>
      <c r="O2096" t="n">
        <v>0</v>
      </c>
      <c r="P2096" t="n">
        <v>0</v>
      </c>
      <c r="Q2096" t="n">
        <v>0</v>
      </c>
      <c r="R2096" s="2" t="inlineStr"/>
    </row>
    <row r="2097" ht="15" customHeight="1">
      <c r="A2097" t="inlineStr">
        <is>
          <t>A 19245-2022</t>
        </is>
      </c>
      <c r="B2097" s="1" t="n">
        <v>44692.38447916666</v>
      </c>
      <c r="C2097" s="1" t="n">
        <v>45952</v>
      </c>
      <c r="D2097" t="inlineStr">
        <is>
          <t>VÄSTRA GÖTALANDS LÄN</t>
        </is>
      </c>
      <c r="E2097" t="inlineStr">
        <is>
          <t>SVENLJUNGA</t>
        </is>
      </c>
      <c r="G2097" t="n">
        <v>1</v>
      </c>
      <c r="H2097" t="n">
        <v>0</v>
      </c>
      <c r="I2097" t="n">
        <v>0</v>
      </c>
      <c r="J2097" t="n">
        <v>0</v>
      </c>
      <c r="K2097" t="n">
        <v>0</v>
      </c>
      <c r="L2097" t="n">
        <v>0</v>
      </c>
      <c r="M2097" t="n">
        <v>0</v>
      </c>
      <c r="N2097" t="n">
        <v>0</v>
      </c>
      <c r="O2097" t="n">
        <v>0</v>
      </c>
      <c r="P2097" t="n">
        <v>0</v>
      </c>
      <c r="Q2097" t="n">
        <v>0</v>
      </c>
      <c r="R2097" s="2" t="inlineStr"/>
    </row>
    <row r="2098" ht="15" customHeight="1">
      <c r="A2098" t="inlineStr">
        <is>
          <t>A 19293-2022</t>
        </is>
      </c>
      <c r="B2098" s="1" t="n">
        <v>44692</v>
      </c>
      <c r="C2098" s="1" t="n">
        <v>45952</v>
      </c>
      <c r="D2098" t="inlineStr">
        <is>
          <t>VÄSTRA GÖTALANDS LÄN</t>
        </is>
      </c>
      <c r="E2098" t="inlineStr">
        <is>
          <t>BENGTSFORS</t>
        </is>
      </c>
      <c r="G2098" t="n">
        <v>2.4</v>
      </c>
      <c r="H2098" t="n">
        <v>0</v>
      </c>
      <c r="I2098" t="n">
        <v>0</v>
      </c>
      <c r="J2098" t="n">
        <v>0</v>
      </c>
      <c r="K2098" t="n">
        <v>0</v>
      </c>
      <c r="L2098" t="n">
        <v>0</v>
      </c>
      <c r="M2098" t="n">
        <v>0</v>
      </c>
      <c r="N2098" t="n">
        <v>0</v>
      </c>
      <c r="O2098" t="n">
        <v>0</v>
      </c>
      <c r="P2098" t="n">
        <v>0</v>
      </c>
      <c r="Q2098" t="n">
        <v>0</v>
      </c>
      <c r="R2098" s="2" t="inlineStr"/>
    </row>
    <row r="2099" ht="15" customHeight="1">
      <c r="A2099" t="inlineStr">
        <is>
          <t>A 4422-2022</t>
        </is>
      </c>
      <c r="B2099" s="1" t="n">
        <v>44589</v>
      </c>
      <c r="C2099" s="1" t="n">
        <v>45952</v>
      </c>
      <c r="D2099" t="inlineStr">
        <is>
          <t>VÄSTRA GÖTALANDS LÄN</t>
        </is>
      </c>
      <c r="E2099" t="inlineStr">
        <is>
          <t>TRANEMO</t>
        </is>
      </c>
      <c r="F2099" t="inlineStr">
        <is>
          <t>Kyrkan</t>
        </is>
      </c>
      <c r="G2099" t="n">
        <v>5.5</v>
      </c>
      <c r="H2099" t="n">
        <v>0</v>
      </c>
      <c r="I2099" t="n">
        <v>0</v>
      </c>
      <c r="J2099" t="n">
        <v>0</v>
      </c>
      <c r="K2099" t="n">
        <v>0</v>
      </c>
      <c r="L2099" t="n">
        <v>0</v>
      </c>
      <c r="M2099" t="n">
        <v>0</v>
      </c>
      <c r="N2099" t="n">
        <v>0</v>
      </c>
      <c r="O2099" t="n">
        <v>0</v>
      </c>
      <c r="P2099" t="n">
        <v>0</v>
      </c>
      <c r="Q2099" t="n">
        <v>0</v>
      </c>
      <c r="R2099" s="2" t="inlineStr"/>
    </row>
    <row r="2100" ht="15" customHeight="1">
      <c r="A2100" t="inlineStr">
        <is>
          <t>A 38252-2021</t>
        </is>
      </c>
      <c r="B2100" s="1" t="n">
        <v>44405</v>
      </c>
      <c r="C2100" s="1" t="n">
        <v>45952</v>
      </c>
      <c r="D2100" t="inlineStr">
        <is>
          <t>VÄSTRA GÖTALANDS LÄN</t>
        </is>
      </c>
      <c r="E2100" t="inlineStr">
        <is>
          <t>GÖTENE</t>
        </is>
      </c>
      <c r="G2100" t="n">
        <v>2.5</v>
      </c>
      <c r="H2100" t="n">
        <v>0</v>
      </c>
      <c r="I2100" t="n">
        <v>0</v>
      </c>
      <c r="J2100" t="n">
        <v>0</v>
      </c>
      <c r="K2100" t="n">
        <v>0</v>
      </c>
      <c r="L2100" t="n">
        <v>0</v>
      </c>
      <c r="M2100" t="n">
        <v>0</v>
      </c>
      <c r="N2100" t="n">
        <v>0</v>
      </c>
      <c r="O2100" t="n">
        <v>0</v>
      </c>
      <c r="P2100" t="n">
        <v>0</v>
      </c>
      <c r="Q2100" t="n">
        <v>0</v>
      </c>
      <c r="R2100" s="2" t="inlineStr"/>
    </row>
    <row r="2101" ht="15" customHeight="1">
      <c r="A2101" t="inlineStr">
        <is>
          <t>A 1399-2021</t>
        </is>
      </c>
      <c r="B2101" s="1" t="n">
        <v>44208</v>
      </c>
      <c r="C2101" s="1" t="n">
        <v>45952</v>
      </c>
      <c r="D2101" t="inlineStr">
        <is>
          <t>VÄSTRA GÖTALANDS LÄN</t>
        </is>
      </c>
      <c r="E2101" t="inlineStr">
        <is>
          <t>VARA</t>
        </is>
      </c>
      <c r="G2101" t="n">
        <v>2.3</v>
      </c>
      <c r="H2101" t="n">
        <v>0</v>
      </c>
      <c r="I2101" t="n">
        <v>0</v>
      </c>
      <c r="J2101" t="n">
        <v>0</v>
      </c>
      <c r="K2101" t="n">
        <v>0</v>
      </c>
      <c r="L2101" t="n">
        <v>0</v>
      </c>
      <c r="M2101" t="n">
        <v>0</v>
      </c>
      <c r="N2101" t="n">
        <v>0</v>
      </c>
      <c r="O2101" t="n">
        <v>0</v>
      </c>
      <c r="P2101" t="n">
        <v>0</v>
      </c>
      <c r="Q2101" t="n">
        <v>0</v>
      </c>
      <c r="R2101" s="2" t="inlineStr"/>
    </row>
    <row r="2102" ht="15" customHeight="1">
      <c r="A2102" t="inlineStr">
        <is>
          <t>A 60741-2020</t>
        </is>
      </c>
      <c r="B2102" s="1" t="n">
        <v>44153</v>
      </c>
      <c r="C2102" s="1" t="n">
        <v>45952</v>
      </c>
      <c r="D2102" t="inlineStr">
        <is>
          <t>VÄSTRA GÖTALANDS LÄN</t>
        </is>
      </c>
      <c r="E2102" t="inlineStr">
        <is>
          <t>TRANEMO</t>
        </is>
      </c>
      <c r="G2102" t="n">
        <v>3.8</v>
      </c>
      <c r="H2102" t="n">
        <v>0</v>
      </c>
      <c r="I2102" t="n">
        <v>0</v>
      </c>
      <c r="J2102" t="n">
        <v>0</v>
      </c>
      <c r="K2102" t="n">
        <v>0</v>
      </c>
      <c r="L2102" t="n">
        <v>0</v>
      </c>
      <c r="M2102" t="n">
        <v>0</v>
      </c>
      <c r="N2102" t="n">
        <v>0</v>
      </c>
      <c r="O2102" t="n">
        <v>0</v>
      </c>
      <c r="P2102" t="n">
        <v>0</v>
      </c>
      <c r="Q2102" t="n">
        <v>0</v>
      </c>
      <c r="R2102" s="2" t="inlineStr"/>
    </row>
    <row r="2103" ht="15" customHeight="1">
      <c r="A2103" t="inlineStr">
        <is>
          <t>A 468-2022</t>
        </is>
      </c>
      <c r="B2103" s="1" t="n">
        <v>44566</v>
      </c>
      <c r="C2103" s="1" t="n">
        <v>45952</v>
      </c>
      <c r="D2103" t="inlineStr">
        <is>
          <t>VÄSTRA GÖTALANDS LÄN</t>
        </is>
      </c>
      <c r="E2103" t="inlineStr">
        <is>
          <t>LERUM</t>
        </is>
      </c>
      <c r="G2103" t="n">
        <v>0.3</v>
      </c>
      <c r="H2103" t="n">
        <v>0</v>
      </c>
      <c r="I2103" t="n">
        <v>0</v>
      </c>
      <c r="J2103" t="n">
        <v>0</v>
      </c>
      <c r="K2103" t="n">
        <v>0</v>
      </c>
      <c r="L2103" t="n">
        <v>0</v>
      </c>
      <c r="M2103" t="n">
        <v>0</v>
      </c>
      <c r="N2103" t="n">
        <v>0</v>
      </c>
      <c r="O2103" t="n">
        <v>0</v>
      </c>
      <c r="P2103" t="n">
        <v>0</v>
      </c>
      <c r="Q2103" t="n">
        <v>0</v>
      </c>
      <c r="R2103" s="2" t="inlineStr"/>
    </row>
    <row r="2104" ht="15" customHeight="1">
      <c r="A2104" t="inlineStr">
        <is>
          <t>A 31568-2021</t>
        </is>
      </c>
      <c r="B2104" s="1" t="n">
        <v>44369</v>
      </c>
      <c r="C2104" s="1" t="n">
        <v>45952</v>
      </c>
      <c r="D2104" t="inlineStr">
        <is>
          <t>VÄSTRA GÖTALANDS LÄN</t>
        </is>
      </c>
      <c r="E2104" t="inlineStr">
        <is>
          <t>ALE</t>
        </is>
      </c>
      <c r="G2104" t="n">
        <v>0.5</v>
      </c>
      <c r="H2104" t="n">
        <v>0</v>
      </c>
      <c r="I2104" t="n">
        <v>0</v>
      </c>
      <c r="J2104" t="n">
        <v>0</v>
      </c>
      <c r="K2104" t="n">
        <v>0</v>
      </c>
      <c r="L2104" t="n">
        <v>0</v>
      </c>
      <c r="M2104" t="n">
        <v>0</v>
      </c>
      <c r="N2104" t="n">
        <v>0</v>
      </c>
      <c r="O2104" t="n">
        <v>0</v>
      </c>
      <c r="P2104" t="n">
        <v>0</v>
      </c>
      <c r="Q2104" t="n">
        <v>0</v>
      </c>
      <c r="R2104" s="2" t="inlineStr"/>
    </row>
    <row r="2105" ht="15" customHeight="1">
      <c r="A2105" t="inlineStr">
        <is>
          <t>A 28354-2021</t>
        </is>
      </c>
      <c r="B2105" s="1" t="n">
        <v>44356</v>
      </c>
      <c r="C2105" s="1" t="n">
        <v>45952</v>
      </c>
      <c r="D2105" t="inlineStr">
        <is>
          <t>VÄSTRA GÖTALANDS LÄN</t>
        </is>
      </c>
      <c r="E2105" t="inlineStr">
        <is>
          <t>MUNKEDAL</t>
        </is>
      </c>
      <c r="G2105" t="n">
        <v>1.4</v>
      </c>
      <c r="H2105" t="n">
        <v>0</v>
      </c>
      <c r="I2105" t="n">
        <v>0</v>
      </c>
      <c r="J2105" t="n">
        <v>0</v>
      </c>
      <c r="K2105" t="n">
        <v>0</v>
      </c>
      <c r="L2105" t="n">
        <v>0</v>
      </c>
      <c r="M2105" t="n">
        <v>0</v>
      </c>
      <c r="N2105" t="n">
        <v>0</v>
      </c>
      <c r="O2105" t="n">
        <v>0</v>
      </c>
      <c r="P2105" t="n">
        <v>0</v>
      </c>
      <c r="Q2105" t="n">
        <v>0</v>
      </c>
      <c r="R2105" s="2" t="inlineStr"/>
    </row>
    <row r="2106" ht="15" customHeight="1">
      <c r="A2106" t="inlineStr">
        <is>
          <t>A 35216-2022</t>
        </is>
      </c>
      <c r="B2106" s="1" t="n">
        <v>44797.86921296296</v>
      </c>
      <c r="C2106" s="1" t="n">
        <v>45952</v>
      </c>
      <c r="D2106" t="inlineStr">
        <is>
          <t>VÄSTRA GÖTALANDS LÄN</t>
        </is>
      </c>
      <c r="E2106" t="inlineStr">
        <is>
          <t>HJO</t>
        </is>
      </c>
      <c r="G2106" t="n">
        <v>1.4</v>
      </c>
      <c r="H2106" t="n">
        <v>0</v>
      </c>
      <c r="I2106" t="n">
        <v>0</v>
      </c>
      <c r="J2106" t="n">
        <v>0</v>
      </c>
      <c r="K2106" t="n">
        <v>0</v>
      </c>
      <c r="L2106" t="n">
        <v>0</v>
      </c>
      <c r="M2106" t="n">
        <v>0</v>
      </c>
      <c r="N2106" t="n">
        <v>0</v>
      </c>
      <c r="O2106" t="n">
        <v>0</v>
      </c>
      <c r="P2106" t="n">
        <v>0</v>
      </c>
      <c r="Q2106" t="n">
        <v>0</v>
      </c>
      <c r="R2106" s="2" t="inlineStr"/>
    </row>
    <row r="2107" ht="15" customHeight="1">
      <c r="A2107" t="inlineStr">
        <is>
          <t>A 60849-2021</t>
        </is>
      </c>
      <c r="B2107" s="1" t="n">
        <v>44497.36775462963</v>
      </c>
      <c r="C2107" s="1" t="n">
        <v>45952</v>
      </c>
      <c r="D2107" t="inlineStr">
        <is>
          <t>VÄSTRA GÖTALANDS LÄN</t>
        </is>
      </c>
      <c r="E2107" t="inlineStr">
        <is>
          <t>BENGTSFORS</t>
        </is>
      </c>
      <c r="G2107" t="n">
        <v>7</v>
      </c>
      <c r="H2107" t="n">
        <v>0</v>
      </c>
      <c r="I2107" t="n">
        <v>0</v>
      </c>
      <c r="J2107" t="n">
        <v>0</v>
      </c>
      <c r="K2107" t="n">
        <v>0</v>
      </c>
      <c r="L2107" t="n">
        <v>0</v>
      </c>
      <c r="M2107" t="n">
        <v>0</v>
      </c>
      <c r="N2107" t="n">
        <v>0</v>
      </c>
      <c r="O2107" t="n">
        <v>0</v>
      </c>
      <c r="P2107" t="n">
        <v>0</v>
      </c>
      <c r="Q2107" t="n">
        <v>0</v>
      </c>
      <c r="R2107" s="2" t="inlineStr"/>
    </row>
    <row r="2108" ht="15" customHeight="1">
      <c r="A2108" t="inlineStr">
        <is>
          <t>A 60857-2021</t>
        </is>
      </c>
      <c r="B2108" s="1" t="n">
        <v>44497</v>
      </c>
      <c r="C2108" s="1" t="n">
        <v>45952</v>
      </c>
      <c r="D2108" t="inlineStr">
        <is>
          <t>VÄSTRA GÖTALANDS LÄN</t>
        </is>
      </c>
      <c r="E2108" t="inlineStr">
        <is>
          <t>SVENLJUNGA</t>
        </is>
      </c>
      <c r="G2108" t="n">
        <v>3.8</v>
      </c>
      <c r="H2108" t="n">
        <v>0</v>
      </c>
      <c r="I2108" t="n">
        <v>0</v>
      </c>
      <c r="J2108" t="n">
        <v>0</v>
      </c>
      <c r="K2108" t="n">
        <v>0</v>
      </c>
      <c r="L2108" t="n">
        <v>0</v>
      </c>
      <c r="M2108" t="n">
        <v>0</v>
      </c>
      <c r="N2108" t="n">
        <v>0</v>
      </c>
      <c r="O2108" t="n">
        <v>0</v>
      </c>
      <c r="P2108" t="n">
        <v>0</v>
      </c>
      <c r="Q2108" t="n">
        <v>0</v>
      </c>
      <c r="R2108" s="2" t="inlineStr"/>
    </row>
    <row r="2109" ht="15" customHeight="1">
      <c r="A2109" t="inlineStr">
        <is>
          <t>A 34531-2021</t>
        </is>
      </c>
      <c r="B2109" s="1" t="n">
        <v>44382.40559027778</v>
      </c>
      <c r="C2109" s="1" t="n">
        <v>45952</v>
      </c>
      <c r="D2109" t="inlineStr">
        <is>
          <t>VÄSTRA GÖTALANDS LÄN</t>
        </is>
      </c>
      <c r="E2109" t="inlineStr">
        <is>
          <t>VÅRGÅRDA</t>
        </is>
      </c>
      <c r="G2109" t="n">
        <v>0.6</v>
      </c>
      <c r="H2109" t="n">
        <v>0</v>
      </c>
      <c r="I2109" t="n">
        <v>0</v>
      </c>
      <c r="J2109" t="n">
        <v>0</v>
      </c>
      <c r="K2109" t="n">
        <v>0</v>
      </c>
      <c r="L2109" t="n">
        <v>0</v>
      </c>
      <c r="M2109" t="n">
        <v>0</v>
      </c>
      <c r="N2109" t="n">
        <v>0</v>
      </c>
      <c r="O2109" t="n">
        <v>0</v>
      </c>
      <c r="P2109" t="n">
        <v>0</v>
      </c>
      <c r="Q2109" t="n">
        <v>0</v>
      </c>
      <c r="R2109" s="2" t="inlineStr"/>
    </row>
    <row r="2110" ht="15" customHeight="1">
      <c r="A2110" t="inlineStr">
        <is>
          <t>A 55900-2021</t>
        </is>
      </c>
      <c r="B2110" s="1" t="n">
        <v>44476.85804398148</v>
      </c>
      <c r="C2110" s="1" t="n">
        <v>45952</v>
      </c>
      <c r="D2110" t="inlineStr">
        <is>
          <t>VÄSTRA GÖTALANDS LÄN</t>
        </is>
      </c>
      <c r="E2110" t="inlineStr">
        <is>
          <t>BENGTSFORS</t>
        </is>
      </c>
      <c r="G2110" t="n">
        <v>10.7</v>
      </c>
      <c r="H2110" t="n">
        <v>0</v>
      </c>
      <c r="I2110" t="n">
        <v>0</v>
      </c>
      <c r="J2110" t="n">
        <v>0</v>
      </c>
      <c r="K2110" t="n">
        <v>0</v>
      </c>
      <c r="L2110" t="n">
        <v>0</v>
      </c>
      <c r="M2110" t="n">
        <v>0</v>
      </c>
      <c r="N2110" t="n">
        <v>0</v>
      </c>
      <c r="O2110" t="n">
        <v>0</v>
      </c>
      <c r="P2110" t="n">
        <v>0</v>
      </c>
      <c r="Q2110" t="n">
        <v>0</v>
      </c>
      <c r="R2110" s="2" t="inlineStr"/>
    </row>
    <row r="2111" ht="15" customHeight="1">
      <c r="A2111" t="inlineStr">
        <is>
          <t>A 34656-2021</t>
        </is>
      </c>
      <c r="B2111" s="1" t="n">
        <v>44382</v>
      </c>
      <c r="C2111" s="1" t="n">
        <v>45952</v>
      </c>
      <c r="D2111" t="inlineStr">
        <is>
          <t>VÄSTRA GÖTALANDS LÄN</t>
        </is>
      </c>
      <c r="E2111" t="inlineStr">
        <is>
          <t>SKARA</t>
        </is>
      </c>
      <c r="G2111" t="n">
        <v>2.2</v>
      </c>
      <c r="H2111" t="n">
        <v>0</v>
      </c>
      <c r="I2111" t="n">
        <v>0</v>
      </c>
      <c r="J2111" t="n">
        <v>0</v>
      </c>
      <c r="K2111" t="n">
        <v>0</v>
      </c>
      <c r="L2111" t="n">
        <v>0</v>
      </c>
      <c r="M2111" t="n">
        <v>0</v>
      </c>
      <c r="N2111" t="n">
        <v>0</v>
      </c>
      <c r="O2111" t="n">
        <v>0</v>
      </c>
      <c r="P2111" t="n">
        <v>0</v>
      </c>
      <c r="Q2111" t="n">
        <v>0</v>
      </c>
      <c r="R2111" s="2" t="inlineStr"/>
    </row>
    <row r="2112" ht="15" customHeight="1">
      <c r="A2112" t="inlineStr">
        <is>
          <t>A 60679-2020</t>
        </is>
      </c>
      <c r="B2112" s="1" t="n">
        <v>44153</v>
      </c>
      <c r="C2112" s="1" t="n">
        <v>45952</v>
      </c>
      <c r="D2112" t="inlineStr">
        <is>
          <t>VÄSTRA GÖTALANDS LÄN</t>
        </is>
      </c>
      <c r="E2112" t="inlineStr">
        <is>
          <t>LERUM</t>
        </is>
      </c>
      <c r="G2112" t="n">
        <v>1</v>
      </c>
      <c r="H2112" t="n">
        <v>0</v>
      </c>
      <c r="I2112" t="n">
        <v>0</v>
      </c>
      <c r="J2112" t="n">
        <v>0</v>
      </c>
      <c r="K2112" t="n">
        <v>0</v>
      </c>
      <c r="L2112" t="n">
        <v>0</v>
      </c>
      <c r="M2112" t="n">
        <v>0</v>
      </c>
      <c r="N2112" t="n">
        <v>0</v>
      </c>
      <c r="O2112" t="n">
        <v>0</v>
      </c>
      <c r="P2112" t="n">
        <v>0</v>
      </c>
      <c r="Q2112" t="n">
        <v>0</v>
      </c>
      <c r="R2112" s="2" t="inlineStr"/>
    </row>
    <row r="2113" ht="15" customHeight="1">
      <c r="A2113" t="inlineStr">
        <is>
          <t>A 32049-2021</t>
        </is>
      </c>
      <c r="B2113" s="1" t="n">
        <v>44370.7040625</v>
      </c>
      <c r="C2113" s="1" t="n">
        <v>45952</v>
      </c>
      <c r="D2113" t="inlineStr">
        <is>
          <t>VÄSTRA GÖTALANDS LÄN</t>
        </is>
      </c>
      <c r="E2113" t="inlineStr">
        <is>
          <t>TRANEMO</t>
        </is>
      </c>
      <c r="G2113" t="n">
        <v>1.1</v>
      </c>
      <c r="H2113" t="n">
        <v>0</v>
      </c>
      <c r="I2113" t="n">
        <v>0</v>
      </c>
      <c r="J2113" t="n">
        <v>0</v>
      </c>
      <c r="K2113" t="n">
        <v>0</v>
      </c>
      <c r="L2113" t="n">
        <v>0</v>
      </c>
      <c r="M2113" t="n">
        <v>0</v>
      </c>
      <c r="N2113" t="n">
        <v>0</v>
      </c>
      <c r="O2113" t="n">
        <v>0</v>
      </c>
      <c r="P2113" t="n">
        <v>0</v>
      </c>
      <c r="Q2113" t="n">
        <v>0</v>
      </c>
      <c r="R2113" s="2" t="inlineStr"/>
    </row>
    <row r="2114" ht="15" customHeight="1">
      <c r="A2114" t="inlineStr">
        <is>
          <t>A 7559-2021</t>
        </is>
      </c>
      <c r="B2114" s="1" t="n">
        <v>44239</v>
      </c>
      <c r="C2114" s="1" t="n">
        <v>45952</v>
      </c>
      <c r="D2114" t="inlineStr">
        <is>
          <t>VÄSTRA GÖTALANDS LÄN</t>
        </is>
      </c>
      <c r="E2114" t="inlineStr">
        <is>
          <t>LIDKÖPING</t>
        </is>
      </c>
      <c r="F2114" t="inlineStr">
        <is>
          <t>Sveaskog</t>
        </is>
      </c>
      <c r="G2114" t="n">
        <v>1.5</v>
      </c>
      <c r="H2114" t="n">
        <v>0</v>
      </c>
      <c r="I2114" t="n">
        <v>0</v>
      </c>
      <c r="J2114" t="n">
        <v>0</v>
      </c>
      <c r="K2114" t="n">
        <v>0</v>
      </c>
      <c r="L2114" t="n">
        <v>0</v>
      </c>
      <c r="M2114" t="n">
        <v>0</v>
      </c>
      <c r="N2114" t="n">
        <v>0</v>
      </c>
      <c r="O2114" t="n">
        <v>0</v>
      </c>
      <c r="P2114" t="n">
        <v>0</v>
      </c>
      <c r="Q2114" t="n">
        <v>0</v>
      </c>
      <c r="R2114" s="2" t="inlineStr"/>
    </row>
    <row r="2115" ht="15" customHeight="1">
      <c r="A2115" t="inlineStr">
        <is>
          <t>A 63142-2021</t>
        </is>
      </c>
      <c r="B2115" s="1" t="n">
        <v>44505</v>
      </c>
      <c r="C2115" s="1" t="n">
        <v>45952</v>
      </c>
      <c r="D2115" t="inlineStr">
        <is>
          <t>VÄSTRA GÖTALANDS LÄN</t>
        </is>
      </c>
      <c r="E2115" t="inlineStr">
        <is>
          <t>VÅRGÅRDA</t>
        </is>
      </c>
      <c r="G2115" t="n">
        <v>1.5</v>
      </c>
      <c r="H2115" t="n">
        <v>0</v>
      </c>
      <c r="I2115" t="n">
        <v>0</v>
      </c>
      <c r="J2115" t="n">
        <v>0</v>
      </c>
      <c r="K2115" t="n">
        <v>0</v>
      </c>
      <c r="L2115" t="n">
        <v>0</v>
      </c>
      <c r="M2115" t="n">
        <v>0</v>
      </c>
      <c r="N2115" t="n">
        <v>0</v>
      </c>
      <c r="O2115" t="n">
        <v>0</v>
      </c>
      <c r="P2115" t="n">
        <v>0</v>
      </c>
      <c r="Q2115" t="n">
        <v>0</v>
      </c>
      <c r="R2115" s="2" t="inlineStr"/>
    </row>
    <row r="2116" ht="15" customHeight="1">
      <c r="A2116" t="inlineStr">
        <is>
          <t>A 66466-2020</t>
        </is>
      </c>
      <c r="B2116" s="1" t="n">
        <v>44176</v>
      </c>
      <c r="C2116" s="1" t="n">
        <v>45952</v>
      </c>
      <c r="D2116" t="inlineStr">
        <is>
          <t>VÄSTRA GÖTALANDS LÄN</t>
        </is>
      </c>
      <c r="E2116" t="inlineStr">
        <is>
          <t>ALE</t>
        </is>
      </c>
      <c r="G2116" t="n">
        <v>1.7</v>
      </c>
      <c r="H2116" t="n">
        <v>0</v>
      </c>
      <c r="I2116" t="n">
        <v>0</v>
      </c>
      <c r="J2116" t="n">
        <v>0</v>
      </c>
      <c r="K2116" t="n">
        <v>0</v>
      </c>
      <c r="L2116" t="n">
        <v>0</v>
      </c>
      <c r="M2116" t="n">
        <v>0</v>
      </c>
      <c r="N2116" t="n">
        <v>0</v>
      </c>
      <c r="O2116" t="n">
        <v>0</v>
      </c>
      <c r="P2116" t="n">
        <v>0</v>
      </c>
      <c r="Q2116" t="n">
        <v>0</v>
      </c>
      <c r="R2116" s="2" t="inlineStr"/>
    </row>
    <row r="2117" ht="15" customHeight="1">
      <c r="A2117" t="inlineStr">
        <is>
          <t>A 60208-2020</t>
        </is>
      </c>
      <c r="B2117" s="1" t="n">
        <v>44152</v>
      </c>
      <c r="C2117" s="1" t="n">
        <v>45952</v>
      </c>
      <c r="D2117" t="inlineStr">
        <is>
          <t>VÄSTRA GÖTALANDS LÄN</t>
        </is>
      </c>
      <c r="E2117" t="inlineStr">
        <is>
          <t>BENGTSFORS</t>
        </is>
      </c>
      <c r="G2117" t="n">
        <v>11.7</v>
      </c>
      <c r="H2117" t="n">
        <v>0</v>
      </c>
      <c r="I2117" t="n">
        <v>0</v>
      </c>
      <c r="J2117" t="n">
        <v>0</v>
      </c>
      <c r="K2117" t="n">
        <v>0</v>
      </c>
      <c r="L2117" t="n">
        <v>0</v>
      </c>
      <c r="M2117" t="n">
        <v>0</v>
      </c>
      <c r="N2117" t="n">
        <v>0</v>
      </c>
      <c r="O2117" t="n">
        <v>0</v>
      </c>
      <c r="P2117" t="n">
        <v>0</v>
      </c>
      <c r="Q2117" t="n">
        <v>0</v>
      </c>
      <c r="R2117" s="2" t="inlineStr"/>
    </row>
    <row r="2118" ht="15" customHeight="1">
      <c r="A2118" t="inlineStr">
        <is>
          <t>A 60782-2020</t>
        </is>
      </c>
      <c r="B2118" s="1" t="n">
        <v>44153</v>
      </c>
      <c r="C2118" s="1" t="n">
        <v>45952</v>
      </c>
      <c r="D2118" t="inlineStr">
        <is>
          <t>VÄSTRA GÖTALANDS LÄN</t>
        </is>
      </c>
      <c r="E2118" t="inlineStr">
        <is>
          <t>VARA</t>
        </is>
      </c>
      <c r="G2118" t="n">
        <v>1.4</v>
      </c>
      <c r="H2118" t="n">
        <v>0</v>
      </c>
      <c r="I2118" t="n">
        <v>0</v>
      </c>
      <c r="J2118" t="n">
        <v>0</v>
      </c>
      <c r="K2118" t="n">
        <v>0</v>
      </c>
      <c r="L2118" t="n">
        <v>0</v>
      </c>
      <c r="M2118" t="n">
        <v>0</v>
      </c>
      <c r="N2118" t="n">
        <v>0</v>
      </c>
      <c r="O2118" t="n">
        <v>0</v>
      </c>
      <c r="P2118" t="n">
        <v>0</v>
      </c>
      <c r="Q2118" t="n">
        <v>0</v>
      </c>
      <c r="R2118" s="2" t="inlineStr"/>
    </row>
    <row r="2119" ht="15" customHeight="1">
      <c r="A2119" t="inlineStr">
        <is>
          <t>A 59791-2020</t>
        </is>
      </c>
      <c r="B2119" s="1" t="n">
        <v>44151</v>
      </c>
      <c r="C2119" s="1" t="n">
        <v>45952</v>
      </c>
      <c r="D2119" t="inlineStr">
        <is>
          <t>VÄSTRA GÖTALANDS LÄN</t>
        </is>
      </c>
      <c r="E2119" t="inlineStr">
        <is>
          <t>VARA</t>
        </is>
      </c>
      <c r="G2119" t="n">
        <v>0.9</v>
      </c>
      <c r="H2119" t="n">
        <v>0</v>
      </c>
      <c r="I2119" t="n">
        <v>0</v>
      </c>
      <c r="J2119" t="n">
        <v>0</v>
      </c>
      <c r="K2119" t="n">
        <v>0</v>
      </c>
      <c r="L2119" t="n">
        <v>0</v>
      </c>
      <c r="M2119" t="n">
        <v>0</v>
      </c>
      <c r="N2119" t="n">
        <v>0</v>
      </c>
      <c r="O2119" t="n">
        <v>0</v>
      </c>
      <c r="P2119" t="n">
        <v>0</v>
      </c>
      <c r="Q2119" t="n">
        <v>0</v>
      </c>
      <c r="R2119" s="2" t="inlineStr"/>
    </row>
    <row r="2120" ht="15" customHeight="1">
      <c r="A2120" t="inlineStr">
        <is>
          <t>A 5633-2021</t>
        </is>
      </c>
      <c r="B2120" s="1" t="n">
        <v>44230</v>
      </c>
      <c r="C2120" s="1" t="n">
        <v>45952</v>
      </c>
      <c r="D2120" t="inlineStr">
        <is>
          <t>VÄSTRA GÖTALANDS LÄN</t>
        </is>
      </c>
      <c r="E2120" t="inlineStr">
        <is>
          <t>BOLLEBYGD</t>
        </is>
      </c>
      <c r="G2120" t="n">
        <v>0.6</v>
      </c>
      <c r="H2120" t="n">
        <v>0</v>
      </c>
      <c r="I2120" t="n">
        <v>0</v>
      </c>
      <c r="J2120" t="n">
        <v>0</v>
      </c>
      <c r="K2120" t="n">
        <v>0</v>
      </c>
      <c r="L2120" t="n">
        <v>0</v>
      </c>
      <c r="M2120" t="n">
        <v>0</v>
      </c>
      <c r="N2120" t="n">
        <v>0</v>
      </c>
      <c r="O2120" t="n">
        <v>0</v>
      </c>
      <c r="P2120" t="n">
        <v>0</v>
      </c>
      <c r="Q2120" t="n">
        <v>0</v>
      </c>
      <c r="R2120" s="2" t="inlineStr"/>
    </row>
    <row r="2121" ht="15" customHeight="1">
      <c r="A2121" t="inlineStr">
        <is>
          <t>A 5698-2021</t>
        </is>
      </c>
      <c r="B2121" s="1" t="n">
        <v>44230</v>
      </c>
      <c r="C2121" s="1" t="n">
        <v>45952</v>
      </c>
      <c r="D2121" t="inlineStr">
        <is>
          <t>VÄSTRA GÖTALANDS LÄN</t>
        </is>
      </c>
      <c r="E2121" t="inlineStr">
        <is>
          <t>FALKÖPING</t>
        </is>
      </c>
      <c r="G2121" t="n">
        <v>0.9</v>
      </c>
      <c r="H2121" t="n">
        <v>0</v>
      </c>
      <c r="I2121" t="n">
        <v>0</v>
      </c>
      <c r="J2121" t="n">
        <v>0</v>
      </c>
      <c r="K2121" t="n">
        <v>0</v>
      </c>
      <c r="L2121" t="n">
        <v>0</v>
      </c>
      <c r="M2121" t="n">
        <v>0</v>
      </c>
      <c r="N2121" t="n">
        <v>0</v>
      </c>
      <c r="O2121" t="n">
        <v>0</v>
      </c>
      <c r="P2121" t="n">
        <v>0</v>
      </c>
      <c r="Q2121" t="n">
        <v>0</v>
      </c>
      <c r="R2121" s="2" t="inlineStr"/>
    </row>
    <row r="2122" ht="15" customHeight="1">
      <c r="A2122" t="inlineStr">
        <is>
          <t>A 63823-2020</t>
        </is>
      </c>
      <c r="B2122" s="1" t="n">
        <v>44164</v>
      </c>
      <c r="C2122" s="1" t="n">
        <v>45952</v>
      </c>
      <c r="D2122" t="inlineStr">
        <is>
          <t>VÄSTRA GÖTALANDS LÄN</t>
        </is>
      </c>
      <c r="E2122" t="inlineStr">
        <is>
          <t>LYSEKIL</t>
        </is>
      </c>
      <c r="G2122" t="n">
        <v>0.5</v>
      </c>
      <c r="H2122" t="n">
        <v>0</v>
      </c>
      <c r="I2122" t="n">
        <v>0</v>
      </c>
      <c r="J2122" t="n">
        <v>0</v>
      </c>
      <c r="K2122" t="n">
        <v>0</v>
      </c>
      <c r="L2122" t="n">
        <v>0</v>
      </c>
      <c r="M2122" t="n">
        <v>0</v>
      </c>
      <c r="N2122" t="n">
        <v>0</v>
      </c>
      <c r="O2122" t="n">
        <v>0</v>
      </c>
      <c r="P2122" t="n">
        <v>0</v>
      </c>
      <c r="Q2122" t="n">
        <v>0</v>
      </c>
      <c r="R2122" s="2" t="inlineStr"/>
    </row>
    <row r="2123" ht="15" customHeight="1">
      <c r="A2123" t="inlineStr">
        <is>
          <t>A 64454-2020</t>
        </is>
      </c>
      <c r="B2123" s="1" t="n">
        <v>44168</v>
      </c>
      <c r="C2123" s="1" t="n">
        <v>45952</v>
      </c>
      <c r="D2123" t="inlineStr">
        <is>
          <t>VÄSTRA GÖTALANDS LÄN</t>
        </is>
      </c>
      <c r="E2123" t="inlineStr">
        <is>
          <t>GULLSPÅNG</t>
        </is>
      </c>
      <c r="G2123" t="n">
        <v>0.7</v>
      </c>
      <c r="H2123" t="n">
        <v>0</v>
      </c>
      <c r="I2123" t="n">
        <v>0</v>
      </c>
      <c r="J2123" t="n">
        <v>0</v>
      </c>
      <c r="K2123" t="n">
        <v>0</v>
      </c>
      <c r="L2123" t="n">
        <v>0</v>
      </c>
      <c r="M2123" t="n">
        <v>0</v>
      </c>
      <c r="N2123" t="n">
        <v>0</v>
      </c>
      <c r="O2123" t="n">
        <v>0</v>
      </c>
      <c r="P2123" t="n">
        <v>0</v>
      </c>
      <c r="Q2123" t="n">
        <v>0</v>
      </c>
      <c r="R2123" s="2" t="inlineStr"/>
    </row>
    <row r="2124" ht="15" customHeight="1">
      <c r="A2124" t="inlineStr">
        <is>
          <t>A 68526-2020</t>
        </is>
      </c>
      <c r="B2124" s="1" t="n">
        <v>44186</v>
      </c>
      <c r="C2124" s="1" t="n">
        <v>45952</v>
      </c>
      <c r="D2124" t="inlineStr">
        <is>
          <t>VÄSTRA GÖTALANDS LÄN</t>
        </is>
      </c>
      <c r="E2124" t="inlineStr">
        <is>
          <t>TRANEMO</t>
        </is>
      </c>
      <c r="F2124" t="inlineStr">
        <is>
          <t>Kyrkan</t>
        </is>
      </c>
      <c r="G2124" t="n">
        <v>12</v>
      </c>
      <c r="H2124" t="n">
        <v>0</v>
      </c>
      <c r="I2124" t="n">
        <v>0</v>
      </c>
      <c r="J2124" t="n">
        <v>0</v>
      </c>
      <c r="K2124" t="n">
        <v>0</v>
      </c>
      <c r="L2124" t="n">
        <v>0</v>
      </c>
      <c r="M2124" t="n">
        <v>0</v>
      </c>
      <c r="N2124" t="n">
        <v>0</v>
      </c>
      <c r="O2124" t="n">
        <v>0</v>
      </c>
      <c r="P2124" t="n">
        <v>0</v>
      </c>
      <c r="Q2124" t="n">
        <v>0</v>
      </c>
      <c r="R2124" s="2" t="inlineStr"/>
    </row>
    <row r="2125" ht="15" customHeight="1">
      <c r="A2125" t="inlineStr">
        <is>
          <t>A 9297-2021</t>
        </is>
      </c>
      <c r="B2125" s="1" t="n">
        <v>44250</v>
      </c>
      <c r="C2125" s="1" t="n">
        <v>45952</v>
      </c>
      <c r="D2125" t="inlineStr">
        <is>
          <t>VÄSTRA GÖTALANDS LÄN</t>
        </is>
      </c>
      <c r="E2125" t="inlineStr">
        <is>
          <t>KUNGÄLV</t>
        </is>
      </c>
      <c r="G2125" t="n">
        <v>6.5</v>
      </c>
      <c r="H2125" t="n">
        <v>0</v>
      </c>
      <c r="I2125" t="n">
        <v>0</v>
      </c>
      <c r="J2125" t="n">
        <v>0</v>
      </c>
      <c r="K2125" t="n">
        <v>0</v>
      </c>
      <c r="L2125" t="n">
        <v>0</v>
      </c>
      <c r="M2125" t="n">
        <v>0</v>
      </c>
      <c r="N2125" t="n">
        <v>0</v>
      </c>
      <c r="O2125" t="n">
        <v>0</v>
      </c>
      <c r="P2125" t="n">
        <v>0</v>
      </c>
      <c r="Q2125" t="n">
        <v>0</v>
      </c>
      <c r="R2125" s="2" t="inlineStr"/>
    </row>
    <row r="2126" ht="15" customHeight="1">
      <c r="A2126" t="inlineStr">
        <is>
          <t>A 33963-2022</t>
        </is>
      </c>
      <c r="B2126" s="1" t="n">
        <v>44790.69194444444</v>
      </c>
      <c r="C2126" s="1" t="n">
        <v>45952</v>
      </c>
      <c r="D2126" t="inlineStr">
        <is>
          <t>VÄSTRA GÖTALANDS LÄN</t>
        </is>
      </c>
      <c r="E2126" t="inlineStr">
        <is>
          <t>HERRLJUNGA</t>
        </is>
      </c>
      <c r="G2126" t="n">
        <v>1</v>
      </c>
      <c r="H2126" t="n">
        <v>0</v>
      </c>
      <c r="I2126" t="n">
        <v>0</v>
      </c>
      <c r="J2126" t="n">
        <v>0</v>
      </c>
      <c r="K2126" t="n">
        <v>0</v>
      </c>
      <c r="L2126" t="n">
        <v>0</v>
      </c>
      <c r="M2126" t="n">
        <v>0</v>
      </c>
      <c r="N2126" t="n">
        <v>0</v>
      </c>
      <c r="O2126" t="n">
        <v>0</v>
      </c>
      <c r="P2126" t="n">
        <v>0</v>
      </c>
      <c r="Q2126" t="n">
        <v>0</v>
      </c>
      <c r="R2126" s="2" t="inlineStr"/>
    </row>
    <row r="2127" ht="15" customHeight="1">
      <c r="A2127" t="inlineStr">
        <is>
          <t>A 35089-2021</t>
        </is>
      </c>
      <c r="B2127" s="1" t="n">
        <v>44383</v>
      </c>
      <c r="C2127" s="1" t="n">
        <v>45952</v>
      </c>
      <c r="D2127" t="inlineStr">
        <is>
          <t>VÄSTRA GÖTALANDS LÄN</t>
        </is>
      </c>
      <c r="E2127" t="inlineStr">
        <is>
          <t>BOLLEBYGD</t>
        </is>
      </c>
      <c r="G2127" t="n">
        <v>1.1</v>
      </c>
      <c r="H2127" t="n">
        <v>0</v>
      </c>
      <c r="I2127" t="n">
        <v>0</v>
      </c>
      <c r="J2127" t="n">
        <v>0</v>
      </c>
      <c r="K2127" t="n">
        <v>0</v>
      </c>
      <c r="L2127" t="n">
        <v>0</v>
      </c>
      <c r="M2127" t="n">
        <v>0</v>
      </c>
      <c r="N2127" t="n">
        <v>0</v>
      </c>
      <c r="O2127" t="n">
        <v>0</v>
      </c>
      <c r="P2127" t="n">
        <v>0</v>
      </c>
      <c r="Q2127" t="n">
        <v>0</v>
      </c>
      <c r="R2127" s="2" t="inlineStr"/>
    </row>
    <row r="2128" ht="15" customHeight="1">
      <c r="A2128" t="inlineStr">
        <is>
          <t>A 41536-2021</t>
        </is>
      </c>
      <c r="B2128" s="1" t="n">
        <v>44425.34505787037</v>
      </c>
      <c r="C2128" s="1" t="n">
        <v>45952</v>
      </c>
      <c r="D2128" t="inlineStr">
        <is>
          <t>VÄSTRA GÖTALANDS LÄN</t>
        </is>
      </c>
      <c r="E2128" t="inlineStr">
        <is>
          <t>MARK</t>
        </is>
      </c>
      <c r="G2128" t="n">
        <v>2.3</v>
      </c>
      <c r="H2128" t="n">
        <v>0</v>
      </c>
      <c r="I2128" t="n">
        <v>0</v>
      </c>
      <c r="J2128" t="n">
        <v>0</v>
      </c>
      <c r="K2128" t="n">
        <v>0</v>
      </c>
      <c r="L2128" t="n">
        <v>0</v>
      </c>
      <c r="M2128" t="n">
        <v>0</v>
      </c>
      <c r="N2128" t="n">
        <v>0</v>
      </c>
      <c r="O2128" t="n">
        <v>0</v>
      </c>
      <c r="P2128" t="n">
        <v>0</v>
      </c>
      <c r="Q2128" t="n">
        <v>0</v>
      </c>
      <c r="R2128" s="2" t="inlineStr"/>
    </row>
    <row r="2129" ht="15" customHeight="1">
      <c r="A2129" t="inlineStr">
        <is>
          <t>A 13884-2021</t>
        </is>
      </c>
      <c r="B2129" s="1" t="n">
        <v>44277</v>
      </c>
      <c r="C2129" s="1" t="n">
        <v>45952</v>
      </c>
      <c r="D2129" t="inlineStr">
        <is>
          <t>VÄSTRA GÖTALANDS LÄN</t>
        </is>
      </c>
      <c r="E2129" t="inlineStr">
        <is>
          <t>MUNKEDAL</t>
        </is>
      </c>
      <c r="G2129" t="n">
        <v>5.9</v>
      </c>
      <c r="H2129" t="n">
        <v>0</v>
      </c>
      <c r="I2129" t="n">
        <v>0</v>
      </c>
      <c r="J2129" t="n">
        <v>0</v>
      </c>
      <c r="K2129" t="n">
        <v>0</v>
      </c>
      <c r="L2129" t="n">
        <v>0</v>
      </c>
      <c r="M2129" t="n">
        <v>0</v>
      </c>
      <c r="N2129" t="n">
        <v>0</v>
      </c>
      <c r="O2129" t="n">
        <v>0</v>
      </c>
      <c r="P2129" t="n">
        <v>0</v>
      </c>
      <c r="Q2129" t="n">
        <v>0</v>
      </c>
      <c r="R2129" s="2" t="inlineStr"/>
    </row>
    <row r="2130" ht="15" customHeight="1">
      <c r="A2130" t="inlineStr">
        <is>
          <t>A 63323-2021</t>
        </is>
      </c>
      <c r="B2130" s="1" t="n">
        <v>44506</v>
      </c>
      <c r="C2130" s="1" t="n">
        <v>45952</v>
      </c>
      <c r="D2130" t="inlineStr">
        <is>
          <t>VÄSTRA GÖTALANDS LÄN</t>
        </is>
      </c>
      <c r="E2130" t="inlineStr">
        <is>
          <t>TANUM</t>
        </is>
      </c>
      <c r="G2130" t="n">
        <v>1.3</v>
      </c>
      <c r="H2130" t="n">
        <v>0</v>
      </c>
      <c r="I2130" t="n">
        <v>0</v>
      </c>
      <c r="J2130" t="n">
        <v>0</v>
      </c>
      <c r="K2130" t="n">
        <v>0</v>
      </c>
      <c r="L2130" t="n">
        <v>0</v>
      </c>
      <c r="M2130" t="n">
        <v>0</v>
      </c>
      <c r="N2130" t="n">
        <v>0</v>
      </c>
      <c r="O2130" t="n">
        <v>0</v>
      </c>
      <c r="P2130" t="n">
        <v>0</v>
      </c>
      <c r="Q2130" t="n">
        <v>0</v>
      </c>
      <c r="R2130" s="2" t="inlineStr"/>
    </row>
    <row r="2131" ht="15" customHeight="1">
      <c r="A2131" t="inlineStr">
        <is>
          <t>A 63341-2021</t>
        </is>
      </c>
      <c r="B2131" s="1" t="n">
        <v>44506</v>
      </c>
      <c r="C2131" s="1" t="n">
        <v>45952</v>
      </c>
      <c r="D2131" t="inlineStr">
        <is>
          <t>VÄSTRA GÖTALANDS LÄN</t>
        </is>
      </c>
      <c r="E2131" t="inlineStr">
        <is>
          <t>TANUM</t>
        </is>
      </c>
      <c r="G2131" t="n">
        <v>0.9</v>
      </c>
      <c r="H2131" t="n">
        <v>0</v>
      </c>
      <c r="I2131" t="n">
        <v>0</v>
      </c>
      <c r="J2131" t="n">
        <v>0</v>
      </c>
      <c r="K2131" t="n">
        <v>0</v>
      </c>
      <c r="L2131" t="n">
        <v>0</v>
      </c>
      <c r="M2131" t="n">
        <v>0</v>
      </c>
      <c r="N2131" t="n">
        <v>0</v>
      </c>
      <c r="O2131" t="n">
        <v>0</v>
      </c>
      <c r="P2131" t="n">
        <v>0</v>
      </c>
      <c r="Q2131" t="n">
        <v>0</v>
      </c>
      <c r="R2131" s="2" t="inlineStr"/>
    </row>
    <row r="2132" ht="15" customHeight="1">
      <c r="A2132" t="inlineStr">
        <is>
          <t>A 63370-2021</t>
        </is>
      </c>
      <c r="B2132" s="1" t="n">
        <v>44506</v>
      </c>
      <c r="C2132" s="1" t="n">
        <v>45952</v>
      </c>
      <c r="D2132" t="inlineStr">
        <is>
          <t>VÄSTRA GÖTALANDS LÄN</t>
        </is>
      </c>
      <c r="E2132" t="inlineStr">
        <is>
          <t>TANUM</t>
        </is>
      </c>
      <c r="G2132" t="n">
        <v>0.6</v>
      </c>
      <c r="H2132" t="n">
        <v>0</v>
      </c>
      <c r="I2132" t="n">
        <v>0</v>
      </c>
      <c r="J2132" t="n">
        <v>0</v>
      </c>
      <c r="K2132" t="n">
        <v>0</v>
      </c>
      <c r="L2132" t="n">
        <v>0</v>
      </c>
      <c r="M2132" t="n">
        <v>0</v>
      </c>
      <c r="N2132" t="n">
        <v>0</v>
      </c>
      <c r="O2132" t="n">
        <v>0</v>
      </c>
      <c r="P2132" t="n">
        <v>0</v>
      </c>
      <c r="Q2132" t="n">
        <v>0</v>
      </c>
      <c r="R2132" s="2" t="inlineStr"/>
    </row>
    <row r="2133" ht="15" customHeight="1">
      <c r="A2133" t="inlineStr">
        <is>
          <t>A 54935-2020</t>
        </is>
      </c>
      <c r="B2133" s="1" t="n">
        <v>44127</v>
      </c>
      <c r="C2133" s="1" t="n">
        <v>45952</v>
      </c>
      <c r="D2133" t="inlineStr">
        <is>
          <t>VÄSTRA GÖTALANDS LÄN</t>
        </is>
      </c>
      <c r="E2133" t="inlineStr">
        <is>
          <t>TANUM</t>
        </is>
      </c>
      <c r="G2133" t="n">
        <v>1.6</v>
      </c>
      <c r="H2133" t="n">
        <v>0</v>
      </c>
      <c r="I2133" t="n">
        <v>0</v>
      </c>
      <c r="J2133" t="n">
        <v>0</v>
      </c>
      <c r="K2133" t="n">
        <v>0</v>
      </c>
      <c r="L2133" t="n">
        <v>0</v>
      </c>
      <c r="M2133" t="n">
        <v>0</v>
      </c>
      <c r="N2133" t="n">
        <v>0</v>
      </c>
      <c r="O2133" t="n">
        <v>0</v>
      </c>
      <c r="P2133" t="n">
        <v>0</v>
      </c>
      <c r="Q2133" t="n">
        <v>0</v>
      </c>
      <c r="R2133" s="2" t="inlineStr"/>
    </row>
    <row r="2134" ht="15" customHeight="1">
      <c r="A2134" t="inlineStr">
        <is>
          <t>A 55479-2020</t>
        </is>
      </c>
      <c r="B2134" s="1" t="n">
        <v>44131</v>
      </c>
      <c r="C2134" s="1" t="n">
        <v>45952</v>
      </c>
      <c r="D2134" t="inlineStr">
        <is>
          <t>VÄSTRA GÖTALANDS LÄN</t>
        </is>
      </c>
      <c r="E2134" t="inlineStr">
        <is>
          <t>ALINGSÅS</t>
        </is>
      </c>
      <c r="G2134" t="n">
        <v>0.4</v>
      </c>
      <c r="H2134" t="n">
        <v>0</v>
      </c>
      <c r="I2134" t="n">
        <v>0</v>
      </c>
      <c r="J2134" t="n">
        <v>0</v>
      </c>
      <c r="K2134" t="n">
        <v>0</v>
      </c>
      <c r="L2134" t="n">
        <v>0</v>
      </c>
      <c r="M2134" t="n">
        <v>0</v>
      </c>
      <c r="N2134" t="n">
        <v>0</v>
      </c>
      <c r="O2134" t="n">
        <v>0</v>
      </c>
      <c r="P2134" t="n">
        <v>0</v>
      </c>
      <c r="Q2134" t="n">
        <v>0</v>
      </c>
      <c r="R2134" s="2" t="inlineStr"/>
    </row>
    <row r="2135" ht="15" customHeight="1">
      <c r="A2135" t="inlineStr">
        <is>
          <t>A 55514-2020</t>
        </is>
      </c>
      <c r="B2135" s="1" t="n">
        <v>44131</v>
      </c>
      <c r="C2135" s="1" t="n">
        <v>45952</v>
      </c>
      <c r="D2135" t="inlineStr">
        <is>
          <t>VÄSTRA GÖTALANDS LÄN</t>
        </is>
      </c>
      <c r="E2135" t="inlineStr">
        <is>
          <t>MARK</t>
        </is>
      </c>
      <c r="G2135" t="n">
        <v>1.2</v>
      </c>
      <c r="H2135" t="n">
        <v>0</v>
      </c>
      <c r="I2135" t="n">
        <v>0</v>
      </c>
      <c r="J2135" t="n">
        <v>0</v>
      </c>
      <c r="K2135" t="n">
        <v>0</v>
      </c>
      <c r="L2135" t="n">
        <v>0</v>
      </c>
      <c r="M2135" t="n">
        <v>0</v>
      </c>
      <c r="N2135" t="n">
        <v>0</v>
      </c>
      <c r="O2135" t="n">
        <v>0</v>
      </c>
      <c r="P2135" t="n">
        <v>0</v>
      </c>
      <c r="Q2135" t="n">
        <v>0</v>
      </c>
      <c r="R2135" s="2" t="inlineStr"/>
    </row>
    <row r="2136" ht="15" customHeight="1">
      <c r="A2136" t="inlineStr">
        <is>
          <t>A 55555-2020</t>
        </is>
      </c>
      <c r="B2136" s="1" t="n">
        <v>44131</v>
      </c>
      <c r="C2136" s="1" t="n">
        <v>45952</v>
      </c>
      <c r="D2136" t="inlineStr">
        <is>
          <t>VÄSTRA GÖTALANDS LÄN</t>
        </is>
      </c>
      <c r="E2136" t="inlineStr">
        <is>
          <t>GULLSPÅNG</t>
        </is>
      </c>
      <c r="G2136" t="n">
        <v>1.1</v>
      </c>
      <c r="H2136" t="n">
        <v>0</v>
      </c>
      <c r="I2136" t="n">
        <v>0</v>
      </c>
      <c r="J2136" t="n">
        <v>0</v>
      </c>
      <c r="K2136" t="n">
        <v>0</v>
      </c>
      <c r="L2136" t="n">
        <v>0</v>
      </c>
      <c r="M2136" t="n">
        <v>0</v>
      </c>
      <c r="N2136" t="n">
        <v>0</v>
      </c>
      <c r="O2136" t="n">
        <v>0</v>
      </c>
      <c r="P2136" t="n">
        <v>0</v>
      </c>
      <c r="Q2136" t="n">
        <v>0</v>
      </c>
      <c r="R2136" s="2" t="inlineStr"/>
    </row>
    <row r="2137" ht="15" customHeight="1">
      <c r="A2137" t="inlineStr">
        <is>
          <t>A 55596-2020</t>
        </is>
      </c>
      <c r="B2137" s="1" t="n">
        <v>44131</v>
      </c>
      <c r="C2137" s="1" t="n">
        <v>45952</v>
      </c>
      <c r="D2137" t="inlineStr">
        <is>
          <t>VÄSTRA GÖTALANDS LÄN</t>
        </is>
      </c>
      <c r="E2137" t="inlineStr">
        <is>
          <t>TANUM</t>
        </is>
      </c>
      <c r="G2137" t="n">
        <v>0.9</v>
      </c>
      <c r="H2137" t="n">
        <v>0</v>
      </c>
      <c r="I2137" t="n">
        <v>0</v>
      </c>
      <c r="J2137" t="n">
        <v>0</v>
      </c>
      <c r="K2137" t="n">
        <v>0</v>
      </c>
      <c r="L2137" t="n">
        <v>0</v>
      </c>
      <c r="M2137" t="n">
        <v>0</v>
      </c>
      <c r="N2137" t="n">
        <v>0</v>
      </c>
      <c r="O2137" t="n">
        <v>0</v>
      </c>
      <c r="P2137" t="n">
        <v>0</v>
      </c>
      <c r="Q2137" t="n">
        <v>0</v>
      </c>
      <c r="R2137" s="2" t="inlineStr"/>
    </row>
    <row r="2138" ht="15" customHeight="1">
      <c r="A2138" t="inlineStr">
        <is>
          <t>A 19188-2022</t>
        </is>
      </c>
      <c r="B2138" s="1" t="n">
        <v>44691</v>
      </c>
      <c r="C2138" s="1" t="n">
        <v>45952</v>
      </c>
      <c r="D2138" t="inlineStr">
        <is>
          <t>VÄSTRA GÖTALANDS LÄN</t>
        </is>
      </c>
      <c r="E2138" t="inlineStr">
        <is>
          <t>MUNKEDAL</t>
        </is>
      </c>
      <c r="G2138" t="n">
        <v>0.6</v>
      </c>
      <c r="H2138" t="n">
        <v>0</v>
      </c>
      <c r="I2138" t="n">
        <v>0</v>
      </c>
      <c r="J2138" t="n">
        <v>0</v>
      </c>
      <c r="K2138" t="n">
        <v>0</v>
      </c>
      <c r="L2138" t="n">
        <v>0</v>
      </c>
      <c r="M2138" t="n">
        <v>0</v>
      </c>
      <c r="N2138" t="n">
        <v>0</v>
      </c>
      <c r="O2138" t="n">
        <v>0</v>
      </c>
      <c r="P2138" t="n">
        <v>0</v>
      </c>
      <c r="Q2138" t="n">
        <v>0</v>
      </c>
      <c r="R2138" s="2" t="inlineStr"/>
    </row>
    <row r="2139" ht="15" customHeight="1">
      <c r="A2139" t="inlineStr">
        <is>
          <t>A 6586-2022</t>
        </is>
      </c>
      <c r="B2139" s="1" t="n">
        <v>44601</v>
      </c>
      <c r="C2139" s="1" t="n">
        <v>45952</v>
      </c>
      <c r="D2139" t="inlineStr">
        <is>
          <t>VÄSTRA GÖTALANDS LÄN</t>
        </is>
      </c>
      <c r="E2139" t="inlineStr">
        <is>
          <t>BENGTSFORS</t>
        </is>
      </c>
      <c r="G2139" t="n">
        <v>0.9</v>
      </c>
      <c r="H2139" t="n">
        <v>0</v>
      </c>
      <c r="I2139" t="n">
        <v>0</v>
      </c>
      <c r="J2139" t="n">
        <v>0</v>
      </c>
      <c r="K2139" t="n">
        <v>0</v>
      </c>
      <c r="L2139" t="n">
        <v>0</v>
      </c>
      <c r="M2139" t="n">
        <v>0</v>
      </c>
      <c r="N2139" t="n">
        <v>0</v>
      </c>
      <c r="O2139" t="n">
        <v>0</v>
      </c>
      <c r="P2139" t="n">
        <v>0</v>
      </c>
      <c r="Q2139" t="n">
        <v>0</v>
      </c>
      <c r="R2139" s="2" t="inlineStr"/>
    </row>
    <row r="2140" ht="15" customHeight="1">
      <c r="A2140" t="inlineStr">
        <is>
          <t>A 19835-2022</t>
        </is>
      </c>
      <c r="B2140" s="1" t="n">
        <v>44696</v>
      </c>
      <c r="C2140" s="1" t="n">
        <v>45952</v>
      </c>
      <c r="D2140" t="inlineStr">
        <is>
          <t>VÄSTRA GÖTALANDS LÄN</t>
        </is>
      </c>
      <c r="E2140" t="inlineStr">
        <is>
          <t>MARK</t>
        </is>
      </c>
      <c r="G2140" t="n">
        <v>2.2</v>
      </c>
      <c r="H2140" t="n">
        <v>0</v>
      </c>
      <c r="I2140" t="n">
        <v>0</v>
      </c>
      <c r="J2140" t="n">
        <v>0</v>
      </c>
      <c r="K2140" t="n">
        <v>0</v>
      </c>
      <c r="L2140" t="n">
        <v>0</v>
      </c>
      <c r="M2140" t="n">
        <v>0</v>
      </c>
      <c r="N2140" t="n">
        <v>0</v>
      </c>
      <c r="O2140" t="n">
        <v>0</v>
      </c>
      <c r="P2140" t="n">
        <v>0</v>
      </c>
      <c r="Q2140" t="n">
        <v>0</v>
      </c>
      <c r="R2140" s="2" t="inlineStr"/>
    </row>
    <row r="2141" ht="15" customHeight="1">
      <c r="A2141" t="inlineStr">
        <is>
          <t>A 47508-2021</t>
        </is>
      </c>
      <c r="B2141" s="1" t="n">
        <v>44447.71224537037</v>
      </c>
      <c r="C2141" s="1" t="n">
        <v>45952</v>
      </c>
      <c r="D2141" t="inlineStr">
        <is>
          <t>VÄSTRA GÖTALANDS LÄN</t>
        </is>
      </c>
      <c r="E2141" t="inlineStr">
        <is>
          <t>BORÅS</t>
        </is>
      </c>
      <c r="G2141" t="n">
        <v>2.4</v>
      </c>
      <c r="H2141" t="n">
        <v>0</v>
      </c>
      <c r="I2141" t="n">
        <v>0</v>
      </c>
      <c r="J2141" t="n">
        <v>0</v>
      </c>
      <c r="K2141" t="n">
        <v>0</v>
      </c>
      <c r="L2141" t="n">
        <v>0</v>
      </c>
      <c r="M2141" t="n">
        <v>0</v>
      </c>
      <c r="N2141" t="n">
        <v>0</v>
      </c>
      <c r="O2141" t="n">
        <v>0</v>
      </c>
      <c r="P2141" t="n">
        <v>0</v>
      </c>
      <c r="Q2141" t="n">
        <v>0</v>
      </c>
      <c r="R2141" s="2" t="inlineStr"/>
    </row>
    <row r="2142" ht="15" customHeight="1">
      <c r="A2142" t="inlineStr">
        <is>
          <t>A 19716-2022</t>
        </is>
      </c>
      <c r="B2142" s="1" t="n">
        <v>44694</v>
      </c>
      <c r="C2142" s="1" t="n">
        <v>45952</v>
      </c>
      <c r="D2142" t="inlineStr">
        <is>
          <t>VÄSTRA GÖTALANDS LÄN</t>
        </is>
      </c>
      <c r="E2142" t="inlineStr">
        <is>
          <t>BENGTSFORS</t>
        </is>
      </c>
      <c r="G2142" t="n">
        <v>2.2</v>
      </c>
      <c r="H2142" t="n">
        <v>0</v>
      </c>
      <c r="I2142" t="n">
        <v>0</v>
      </c>
      <c r="J2142" t="n">
        <v>0</v>
      </c>
      <c r="K2142" t="n">
        <v>0</v>
      </c>
      <c r="L2142" t="n">
        <v>0</v>
      </c>
      <c r="M2142" t="n">
        <v>0</v>
      </c>
      <c r="N2142" t="n">
        <v>0</v>
      </c>
      <c r="O2142" t="n">
        <v>0</v>
      </c>
      <c r="P2142" t="n">
        <v>0</v>
      </c>
      <c r="Q2142" t="n">
        <v>0</v>
      </c>
      <c r="R2142" s="2" t="inlineStr"/>
    </row>
    <row r="2143" ht="15" customHeight="1">
      <c r="A2143" t="inlineStr">
        <is>
          <t>A 13969-2021</t>
        </is>
      </c>
      <c r="B2143" s="1" t="n">
        <v>44277</v>
      </c>
      <c r="C2143" s="1" t="n">
        <v>45952</v>
      </c>
      <c r="D2143" t="inlineStr">
        <is>
          <t>VÄSTRA GÖTALANDS LÄN</t>
        </is>
      </c>
      <c r="E2143" t="inlineStr">
        <is>
          <t>MUNKEDAL</t>
        </is>
      </c>
      <c r="G2143" t="n">
        <v>0.8</v>
      </c>
      <c r="H2143" t="n">
        <v>0</v>
      </c>
      <c r="I2143" t="n">
        <v>0</v>
      </c>
      <c r="J2143" t="n">
        <v>0</v>
      </c>
      <c r="K2143" t="n">
        <v>0</v>
      </c>
      <c r="L2143" t="n">
        <v>0</v>
      </c>
      <c r="M2143" t="n">
        <v>0</v>
      </c>
      <c r="N2143" t="n">
        <v>0</v>
      </c>
      <c r="O2143" t="n">
        <v>0</v>
      </c>
      <c r="P2143" t="n">
        <v>0</v>
      </c>
      <c r="Q2143" t="n">
        <v>0</v>
      </c>
      <c r="R2143" s="2" t="inlineStr"/>
    </row>
    <row r="2144" ht="15" customHeight="1">
      <c r="A2144" t="inlineStr">
        <is>
          <t>A 14043-2021</t>
        </is>
      </c>
      <c r="B2144" s="1" t="n">
        <v>44277</v>
      </c>
      <c r="C2144" s="1" t="n">
        <v>45952</v>
      </c>
      <c r="D2144" t="inlineStr">
        <is>
          <t>VÄSTRA GÖTALANDS LÄN</t>
        </is>
      </c>
      <c r="E2144" t="inlineStr">
        <is>
          <t>SKÖVDE</t>
        </is>
      </c>
      <c r="G2144" t="n">
        <v>2.9</v>
      </c>
      <c r="H2144" t="n">
        <v>0</v>
      </c>
      <c r="I2144" t="n">
        <v>0</v>
      </c>
      <c r="J2144" t="n">
        <v>0</v>
      </c>
      <c r="K2144" t="n">
        <v>0</v>
      </c>
      <c r="L2144" t="n">
        <v>0</v>
      </c>
      <c r="M2144" t="n">
        <v>0</v>
      </c>
      <c r="N2144" t="n">
        <v>0</v>
      </c>
      <c r="O2144" t="n">
        <v>0</v>
      </c>
      <c r="P2144" t="n">
        <v>0</v>
      </c>
      <c r="Q2144" t="n">
        <v>0</v>
      </c>
      <c r="R2144" s="2" t="inlineStr"/>
    </row>
    <row r="2145" ht="15" customHeight="1">
      <c r="A2145" t="inlineStr">
        <is>
          <t>A 47504-2021</t>
        </is>
      </c>
      <c r="B2145" s="1" t="n">
        <v>44447.6977662037</v>
      </c>
      <c r="C2145" s="1" t="n">
        <v>45952</v>
      </c>
      <c r="D2145" t="inlineStr">
        <is>
          <t>VÄSTRA GÖTALANDS LÄN</t>
        </is>
      </c>
      <c r="E2145" t="inlineStr">
        <is>
          <t>BORÅS</t>
        </is>
      </c>
      <c r="G2145" t="n">
        <v>1.3</v>
      </c>
      <c r="H2145" t="n">
        <v>0</v>
      </c>
      <c r="I2145" t="n">
        <v>0</v>
      </c>
      <c r="J2145" t="n">
        <v>0</v>
      </c>
      <c r="K2145" t="n">
        <v>0</v>
      </c>
      <c r="L2145" t="n">
        <v>0</v>
      </c>
      <c r="M2145" t="n">
        <v>0</v>
      </c>
      <c r="N2145" t="n">
        <v>0</v>
      </c>
      <c r="O2145" t="n">
        <v>0</v>
      </c>
      <c r="P2145" t="n">
        <v>0</v>
      </c>
      <c r="Q2145" t="n">
        <v>0</v>
      </c>
      <c r="R2145" s="2" t="inlineStr"/>
    </row>
    <row r="2146" ht="15" customHeight="1">
      <c r="A2146" t="inlineStr">
        <is>
          <t>A 50492-2021</t>
        </is>
      </c>
      <c r="B2146" s="1" t="n">
        <v>44459</v>
      </c>
      <c r="C2146" s="1" t="n">
        <v>45952</v>
      </c>
      <c r="D2146" t="inlineStr">
        <is>
          <t>VÄSTRA GÖTALANDS LÄN</t>
        </is>
      </c>
      <c r="E2146" t="inlineStr">
        <is>
          <t>HERRLJUNGA</t>
        </is>
      </c>
      <c r="G2146" t="n">
        <v>5.1</v>
      </c>
      <c r="H2146" t="n">
        <v>0</v>
      </c>
      <c r="I2146" t="n">
        <v>0</v>
      </c>
      <c r="J2146" t="n">
        <v>0</v>
      </c>
      <c r="K2146" t="n">
        <v>0</v>
      </c>
      <c r="L2146" t="n">
        <v>0</v>
      </c>
      <c r="M2146" t="n">
        <v>0</v>
      </c>
      <c r="N2146" t="n">
        <v>0</v>
      </c>
      <c r="O2146" t="n">
        <v>0</v>
      </c>
      <c r="P2146" t="n">
        <v>0</v>
      </c>
      <c r="Q2146" t="n">
        <v>0</v>
      </c>
      <c r="R2146" s="2" t="inlineStr"/>
    </row>
    <row r="2147" ht="15" customHeight="1">
      <c r="A2147" t="inlineStr">
        <is>
          <t>A 6604-2022</t>
        </is>
      </c>
      <c r="B2147" s="1" t="n">
        <v>44601.67113425926</v>
      </c>
      <c r="C2147" s="1" t="n">
        <v>45952</v>
      </c>
      <c r="D2147" t="inlineStr">
        <is>
          <t>VÄSTRA GÖTALANDS LÄN</t>
        </is>
      </c>
      <c r="E2147" t="inlineStr">
        <is>
          <t>HERRLJUNGA</t>
        </is>
      </c>
      <c r="G2147" t="n">
        <v>0.7</v>
      </c>
      <c r="H2147" t="n">
        <v>0</v>
      </c>
      <c r="I2147" t="n">
        <v>0</v>
      </c>
      <c r="J2147" t="n">
        <v>0</v>
      </c>
      <c r="K2147" t="n">
        <v>0</v>
      </c>
      <c r="L2147" t="n">
        <v>0</v>
      </c>
      <c r="M2147" t="n">
        <v>0</v>
      </c>
      <c r="N2147" t="n">
        <v>0</v>
      </c>
      <c r="O2147" t="n">
        <v>0</v>
      </c>
      <c r="P2147" t="n">
        <v>0</v>
      </c>
      <c r="Q2147" t="n">
        <v>0</v>
      </c>
      <c r="R2147" s="2" t="inlineStr"/>
    </row>
    <row r="2148" ht="15" customHeight="1">
      <c r="A2148" t="inlineStr">
        <is>
          <t>A 68500-2020</t>
        </is>
      </c>
      <c r="B2148" s="1" t="n">
        <v>44183</v>
      </c>
      <c r="C2148" s="1" t="n">
        <v>45952</v>
      </c>
      <c r="D2148" t="inlineStr">
        <is>
          <t>VÄSTRA GÖTALANDS LÄN</t>
        </is>
      </c>
      <c r="E2148" t="inlineStr">
        <is>
          <t>LIDKÖPING</t>
        </is>
      </c>
      <c r="G2148" t="n">
        <v>2.1</v>
      </c>
      <c r="H2148" t="n">
        <v>0</v>
      </c>
      <c r="I2148" t="n">
        <v>0</v>
      </c>
      <c r="J2148" t="n">
        <v>0</v>
      </c>
      <c r="K2148" t="n">
        <v>0</v>
      </c>
      <c r="L2148" t="n">
        <v>0</v>
      </c>
      <c r="M2148" t="n">
        <v>0</v>
      </c>
      <c r="N2148" t="n">
        <v>0</v>
      </c>
      <c r="O2148" t="n">
        <v>0</v>
      </c>
      <c r="P2148" t="n">
        <v>0</v>
      </c>
      <c r="Q2148" t="n">
        <v>0</v>
      </c>
      <c r="R2148" s="2" t="inlineStr"/>
    </row>
    <row r="2149" ht="15" customHeight="1">
      <c r="A2149" t="inlineStr">
        <is>
          <t>A 64609-2021</t>
        </is>
      </c>
      <c r="B2149" s="1" t="n">
        <v>44511.74078703704</v>
      </c>
      <c r="C2149" s="1" t="n">
        <v>45952</v>
      </c>
      <c r="D2149" t="inlineStr">
        <is>
          <t>VÄSTRA GÖTALANDS LÄN</t>
        </is>
      </c>
      <c r="E2149" t="inlineStr">
        <is>
          <t>BORÅS</t>
        </is>
      </c>
      <c r="G2149" t="n">
        <v>6.2</v>
      </c>
      <c r="H2149" t="n">
        <v>0</v>
      </c>
      <c r="I2149" t="n">
        <v>0</v>
      </c>
      <c r="J2149" t="n">
        <v>0</v>
      </c>
      <c r="K2149" t="n">
        <v>0</v>
      </c>
      <c r="L2149" t="n">
        <v>0</v>
      </c>
      <c r="M2149" t="n">
        <v>0</v>
      </c>
      <c r="N2149" t="n">
        <v>0</v>
      </c>
      <c r="O2149" t="n">
        <v>0</v>
      </c>
      <c r="P2149" t="n">
        <v>0</v>
      </c>
      <c r="Q2149" t="n">
        <v>0</v>
      </c>
      <c r="R2149" s="2" t="inlineStr"/>
    </row>
    <row r="2150" ht="15" customHeight="1">
      <c r="A2150" t="inlineStr">
        <is>
          <t>A 14359-2022</t>
        </is>
      </c>
      <c r="B2150" s="1" t="n">
        <v>44652.45527777778</v>
      </c>
      <c r="C2150" s="1" t="n">
        <v>45952</v>
      </c>
      <c r="D2150" t="inlineStr">
        <is>
          <t>VÄSTRA GÖTALANDS LÄN</t>
        </is>
      </c>
      <c r="E2150" t="inlineStr">
        <is>
          <t>ALINGSÅS</t>
        </is>
      </c>
      <c r="G2150" t="n">
        <v>0.1</v>
      </c>
      <c r="H2150" t="n">
        <v>0</v>
      </c>
      <c r="I2150" t="n">
        <v>0</v>
      </c>
      <c r="J2150" t="n">
        <v>0</v>
      </c>
      <c r="K2150" t="n">
        <v>0</v>
      </c>
      <c r="L2150" t="n">
        <v>0</v>
      </c>
      <c r="M2150" t="n">
        <v>0</v>
      </c>
      <c r="N2150" t="n">
        <v>0</v>
      </c>
      <c r="O2150" t="n">
        <v>0</v>
      </c>
      <c r="P2150" t="n">
        <v>0</v>
      </c>
      <c r="Q2150" t="n">
        <v>0</v>
      </c>
      <c r="R2150" s="2" t="inlineStr"/>
    </row>
    <row r="2151" ht="15" customHeight="1">
      <c r="A2151" t="inlineStr">
        <is>
          <t>A 11887-2021</t>
        </is>
      </c>
      <c r="B2151" s="1" t="n">
        <v>44265</v>
      </c>
      <c r="C2151" s="1" t="n">
        <v>45952</v>
      </c>
      <c r="D2151" t="inlineStr">
        <is>
          <t>VÄSTRA GÖTALANDS LÄN</t>
        </is>
      </c>
      <c r="E2151" t="inlineStr">
        <is>
          <t>FALKÖPING</t>
        </is>
      </c>
      <c r="G2151" t="n">
        <v>2.1</v>
      </c>
      <c r="H2151" t="n">
        <v>0</v>
      </c>
      <c r="I2151" t="n">
        <v>0</v>
      </c>
      <c r="J2151" t="n">
        <v>0</v>
      </c>
      <c r="K2151" t="n">
        <v>0</v>
      </c>
      <c r="L2151" t="n">
        <v>0</v>
      </c>
      <c r="M2151" t="n">
        <v>0</v>
      </c>
      <c r="N2151" t="n">
        <v>0</v>
      </c>
      <c r="O2151" t="n">
        <v>0</v>
      </c>
      <c r="P2151" t="n">
        <v>0</v>
      </c>
      <c r="Q2151" t="n">
        <v>0</v>
      </c>
      <c r="R2151" s="2" t="inlineStr"/>
    </row>
    <row r="2152" ht="15" customHeight="1">
      <c r="A2152" t="inlineStr">
        <is>
          <t>A 12206-2021</t>
        </is>
      </c>
      <c r="B2152" s="1" t="n">
        <v>44266</v>
      </c>
      <c r="C2152" s="1" t="n">
        <v>45952</v>
      </c>
      <c r="D2152" t="inlineStr">
        <is>
          <t>VÄSTRA GÖTALANDS LÄN</t>
        </is>
      </c>
      <c r="E2152" t="inlineStr">
        <is>
          <t>KARLSBORG</t>
        </is>
      </c>
      <c r="G2152" t="n">
        <v>0.5</v>
      </c>
      <c r="H2152" t="n">
        <v>0</v>
      </c>
      <c r="I2152" t="n">
        <v>0</v>
      </c>
      <c r="J2152" t="n">
        <v>0</v>
      </c>
      <c r="K2152" t="n">
        <v>0</v>
      </c>
      <c r="L2152" t="n">
        <v>0</v>
      </c>
      <c r="M2152" t="n">
        <v>0</v>
      </c>
      <c r="N2152" t="n">
        <v>0</v>
      </c>
      <c r="O2152" t="n">
        <v>0</v>
      </c>
      <c r="P2152" t="n">
        <v>0</v>
      </c>
      <c r="Q2152" t="n">
        <v>0</v>
      </c>
      <c r="R2152" s="2" t="inlineStr"/>
    </row>
    <row r="2153" ht="15" customHeight="1">
      <c r="A2153" t="inlineStr">
        <is>
          <t>A 62257-2020</t>
        </is>
      </c>
      <c r="B2153" s="1" t="n">
        <v>44155</v>
      </c>
      <c r="C2153" s="1" t="n">
        <v>45952</v>
      </c>
      <c r="D2153" t="inlineStr">
        <is>
          <t>VÄSTRA GÖTALANDS LÄN</t>
        </is>
      </c>
      <c r="E2153" t="inlineStr">
        <is>
          <t>MUNKEDAL</t>
        </is>
      </c>
      <c r="F2153" t="inlineStr">
        <is>
          <t>Kommuner</t>
        </is>
      </c>
      <c r="G2153" t="n">
        <v>0.4</v>
      </c>
      <c r="H2153" t="n">
        <v>0</v>
      </c>
      <c r="I2153" t="n">
        <v>0</v>
      </c>
      <c r="J2153" t="n">
        <v>0</v>
      </c>
      <c r="K2153" t="n">
        <v>0</v>
      </c>
      <c r="L2153" t="n">
        <v>0</v>
      </c>
      <c r="M2153" t="n">
        <v>0</v>
      </c>
      <c r="N2153" t="n">
        <v>0</v>
      </c>
      <c r="O2153" t="n">
        <v>0</v>
      </c>
      <c r="P2153" t="n">
        <v>0</v>
      </c>
      <c r="Q2153" t="n">
        <v>0</v>
      </c>
      <c r="R2153" s="2" t="inlineStr"/>
    </row>
    <row r="2154" ht="15" customHeight="1">
      <c r="A2154" t="inlineStr">
        <is>
          <t>A 62319-2020</t>
        </is>
      </c>
      <c r="B2154" s="1" t="n">
        <v>44160</v>
      </c>
      <c r="C2154" s="1" t="n">
        <v>45952</v>
      </c>
      <c r="D2154" t="inlineStr">
        <is>
          <t>VÄSTRA GÖTALANDS LÄN</t>
        </is>
      </c>
      <c r="E2154" t="inlineStr">
        <is>
          <t>ULRICEHAMN</t>
        </is>
      </c>
      <c r="G2154" t="n">
        <v>1.1</v>
      </c>
      <c r="H2154" t="n">
        <v>0</v>
      </c>
      <c r="I2154" t="n">
        <v>0</v>
      </c>
      <c r="J2154" t="n">
        <v>0</v>
      </c>
      <c r="K2154" t="n">
        <v>0</v>
      </c>
      <c r="L2154" t="n">
        <v>0</v>
      </c>
      <c r="M2154" t="n">
        <v>0</v>
      </c>
      <c r="N2154" t="n">
        <v>0</v>
      </c>
      <c r="O2154" t="n">
        <v>0</v>
      </c>
      <c r="P2154" t="n">
        <v>0</v>
      </c>
      <c r="Q2154" t="n">
        <v>0</v>
      </c>
      <c r="R2154" s="2" t="inlineStr"/>
    </row>
    <row r="2155" ht="15" customHeight="1">
      <c r="A2155" t="inlineStr">
        <is>
          <t>A 42501-2021</t>
        </is>
      </c>
      <c r="B2155" s="1" t="n">
        <v>44427</v>
      </c>
      <c r="C2155" s="1" t="n">
        <v>45952</v>
      </c>
      <c r="D2155" t="inlineStr">
        <is>
          <t>VÄSTRA GÖTALANDS LÄN</t>
        </is>
      </c>
      <c r="E2155" t="inlineStr">
        <is>
          <t>KARLSBORG</t>
        </is>
      </c>
      <c r="F2155" t="inlineStr">
        <is>
          <t>Övriga Aktiebolag</t>
        </is>
      </c>
      <c r="G2155" t="n">
        <v>0.8</v>
      </c>
      <c r="H2155" t="n">
        <v>0</v>
      </c>
      <c r="I2155" t="n">
        <v>0</v>
      </c>
      <c r="J2155" t="n">
        <v>0</v>
      </c>
      <c r="K2155" t="n">
        <v>0</v>
      </c>
      <c r="L2155" t="n">
        <v>0</v>
      </c>
      <c r="M2155" t="n">
        <v>0</v>
      </c>
      <c r="N2155" t="n">
        <v>0</v>
      </c>
      <c r="O2155" t="n">
        <v>0</v>
      </c>
      <c r="P2155" t="n">
        <v>0</v>
      </c>
      <c r="Q2155" t="n">
        <v>0</v>
      </c>
      <c r="R2155" s="2" t="inlineStr"/>
    </row>
    <row r="2156" ht="15" customHeight="1">
      <c r="A2156" t="inlineStr">
        <is>
          <t>A 58334-2020</t>
        </is>
      </c>
      <c r="B2156" s="1" t="n">
        <v>44141</v>
      </c>
      <c r="C2156" s="1" t="n">
        <v>45952</v>
      </c>
      <c r="D2156" t="inlineStr">
        <is>
          <t>VÄSTRA GÖTALANDS LÄN</t>
        </is>
      </c>
      <c r="E2156" t="inlineStr">
        <is>
          <t>KUNGÄLV</t>
        </is>
      </c>
      <c r="F2156" t="inlineStr">
        <is>
          <t>Övriga statliga verk och myndigheter</t>
        </is>
      </c>
      <c r="G2156" t="n">
        <v>1.8</v>
      </c>
      <c r="H2156" t="n">
        <v>0</v>
      </c>
      <c r="I2156" t="n">
        <v>0</v>
      </c>
      <c r="J2156" t="n">
        <v>0</v>
      </c>
      <c r="K2156" t="n">
        <v>0</v>
      </c>
      <c r="L2156" t="n">
        <v>0</v>
      </c>
      <c r="M2156" t="n">
        <v>0</v>
      </c>
      <c r="N2156" t="n">
        <v>0</v>
      </c>
      <c r="O2156" t="n">
        <v>0</v>
      </c>
      <c r="P2156" t="n">
        <v>0</v>
      </c>
      <c r="Q2156" t="n">
        <v>0</v>
      </c>
      <c r="R2156" s="2" t="inlineStr"/>
    </row>
    <row r="2157" ht="15" customHeight="1">
      <c r="A2157" t="inlineStr">
        <is>
          <t>A 62345-2020</t>
        </is>
      </c>
      <c r="B2157" s="1" t="n">
        <v>44160</v>
      </c>
      <c r="C2157" s="1" t="n">
        <v>45952</v>
      </c>
      <c r="D2157" t="inlineStr">
        <is>
          <t>VÄSTRA GÖTALANDS LÄN</t>
        </is>
      </c>
      <c r="E2157" t="inlineStr">
        <is>
          <t>GULLSPÅNG</t>
        </is>
      </c>
      <c r="G2157" t="n">
        <v>1</v>
      </c>
      <c r="H2157" t="n">
        <v>0</v>
      </c>
      <c r="I2157" t="n">
        <v>0</v>
      </c>
      <c r="J2157" t="n">
        <v>0</v>
      </c>
      <c r="K2157" t="n">
        <v>0</v>
      </c>
      <c r="L2157" t="n">
        <v>0</v>
      </c>
      <c r="M2157" t="n">
        <v>0</v>
      </c>
      <c r="N2157" t="n">
        <v>0</v>
      </c>
      <c r="O2157" t="n">
        <v>0</v>
      </c>
      <c r="P2157" t="n">
        <v>0</v>
      </c>
      <c r="Q2157" t="n">
        <v>0</v>
      </c>
      <c r="R2157" s="2" t="inlineStr"/>
    </row>
    <row r="2158" ht="15" customHeight="1">
      <c r="A2158" t="inlineStr">
        <is>
          <t>A 47466-2021</t>
        </is>
      </c>
      <c r="B2158" s="1" t="n">
        <v>44447</v>
      </c>
      <c r="C2158" s="1" t="n">
        <v>45952</v>
      </c>
      <c r="D2158" t="inlineStr">
        <is>
          <t>VÄSTRA GÖTALANDS LÄN</t>
        </is>
      </c>
      <c r="E2158" t="inlineStr">
        <is>
          <t>ULRICEHAMN</t>
        </is>
      </c>
      <c r="G2158" t="n">
        <v>7.4</v>
      </c>
      <c r="H2158" t="n">
        <v>0</v>
      </c>
      <c r="I2158" t="n">
        <v>0</v>
      </c>
      <c r="J2158" t="n">
        <v>0</v>
      </c>
      <c r="K2158" t="n">
        <v>0</v>
      </c>
      <c r="L2158" t="n">
        <v>0</v>
      </c>
      <c r="M2158" t="n">
        <v>0</v>
      </c>
      <c r="N2158" t="n">
        <v>0</v>
      </c>
      <c r="O2158" t="n">
        <v>0</v>
      </c>
      <c r="P2158" t="n">
        <v>0</v>
      </c>
      <c r="Q2158" t="n">
        <v>0</v>
      </c>
      <c r="R2158" s="2" t="inlineStr"/>
    </row>
    <row r="2159" ht="15" customHeight="1">
      <c r="A2159" t="inlineStr">
        <is>
          <t>A 1427-2022</t>
        </is>
      </c>
      <c r="B2159" s="1" t="n">
        <v>44573</v>
      </c>
      <c r="C2159" s="1" t="n">
        <v>45952</v>
      </c>
      <c r="D2159" t="inlineStr">
        <is>
          <t>VÄSTRA GÖTALANDS LÄN</t>
        </is>
      </c>
      <c r="E2159" t="inlineStr">
        <is>
          <t>TANUM</t>
        </is>
      </c>
      <c r="G2159" t="n">
        <v>0.6</v>
      </c>
      <c r="H2159" t="n">
        <v>0</v>
      </c>
      <c r="I2159" t="n">
        <v>0</v>
      </c>
      <c r="J2159" t="n">
        <v>0</v>
      </c>
      <c r="K2159" t="n">
        <v>0</v>
      </c>
      <c r="L2159" t="n">
        <v>0</v>
      </c>
      <c r="M2159" t="n">
        <v>0</v>
      </c>
      <c r="N2159" t="n">
        <v>0</v>
      </c>
      <c r="O2159" t="n">
        <v>0</v>
      </c>
      <c r="P2159" t="n">
        <v>0</v>
      </c>
      <c r="Q2159" t="n">
        <v>0</v>
      </c>
      <c r="R2159" s="2" t="inlineStr"/>
    </row>
    <row r="2160" ht="15" customHeight="1">
      <c r="A2160" t="inlineStr">
        <is>
          <t>A 1457-2022</t>
        </is>
      </c>
      <c r="B2160" s="1" t="n">
        <v>44573</v>
      </c>
      <c r="C2160" s="1" t="n">
        <v>45952</v>
      </c>
      <c r="D2160" t="inlineStr">
        <is>
          <t>VÄSTRA GÖTALANDS LÄN</t>
        </is>
      </c>
      <c r="E2160" t="inlineStr">
        <is>
          <t>TIDAHOLM</t>
        </is>
      </c>
      <c r="G2160" t="n">
        <v>2.3</v>
      </c>
      <c r="H2160" t="n">
        <v>0</v>
      </c>
      <c r="I2160" t="n">
        <v>0</v>
      </c>
      <c r="J2160" t="n">
        <v>0</v>
      </c>
      <c r="K2160" t="n">
        <v>0</v>
      </c>
      <c r="L2160" t="n">
        <v>0</v>
      </c>
      <c r="M2160" t="n">
        <v>0</v>
      </c>
      <c r="N2160" t="n">
        <v>0</v>
      </c>
      <c r="O2160" t="n">
        <v>0</v>
      </c>
      <c r="P2160" t="n">
        <v>0</v>
      </c>
      <c r="Q2160" t="n">
        <v>0</v>
      </c>
      <c r="R2160" s="2" t="inlineStr"/>
    </row>
    <row r="2161" ht="15" customHeight="1">
      <c r="A2161" t="inlineStr">
        <is>
          <t>A 25558-2022</t>
        </is>
      </c>
      <c r="B2161" s="1" t="n">
        <v>44732</v>
      </c>
      <c r="C2161" s="1" t="n">
        <v>45952</v>
      </c>
      <c r="D2161" t="inlineStr">
        <is>
          <t>VÄSTRA GÖTALANDS LÄN</t>
        </is>
      </c>
      <c r="E2161" t="inlineStr">
        <is>
          <t>ULRICEHAMN</t>
        </is>
      </c>
      <c r="G2161" t="n">
        <v>2</v>
      </c>
      <c r="H2161" t="n">
        <v>0</v>
      </c>
      <c r="I2161" t="n">
        <v>0</v>
      </c>
      <c r="J2161" t="n">
        <v>0</v>
      </c>
      <c r="K2161" t="n">
        <v>0</v>
      </c>
      <c r="L2161" t="n">
        <v>0</v>
      </c>
      <c r="M2161" t="n">
        <v>0</v>
      </c>
      <c r="N2161" t="n">
        <v>0</v>
      </c>
      <c r="O2161" t="n">
        <v>0</v>
      </c>
      <c r="P2161" t="n">
        <v>0</v>
      </c>
      <c r="Q2161" t="n">
        <v>0</v>
      </c>
      <c r="R2161" s="2" t="inlineStr"/>
    </row>
    <row r="2162" ht="15" customHeight="1">
      <c r="A2162" t="inlineStr">
        <is>
          <t>A 46978-2021</t>
        </is>
      </c>
      <c r="B2162" s="1" t="n">
        <v>44446</v>
      </c>
      <c r="C2162" s="1" t="n">
        <v>45952</v>
      </c>
      <c r="D2162" t="inlineStr">
        <is>
          <t>VÄSTRA GÖTALANDS LÄN</t>
        </is>
      </c>
      <c r="E2162" t="inlineStr">
        <is>
          <t>GÖTENE</t>
        </is>
      </c>
      <c r="G2162" t="n">
        <v>1.2</v>
      </c>
      <c r="H2162" t="n">
        <v>0</v>
      </c>
      <c r="I2162" t="n">
        <v>0</v>
      </c>
      <c r="J2162" t="n">
        <v>0</v>
      </c>
      <c r="K2162" t="n">
        <v>0</v>
      </c>
      <c r="L2162" t="n">
        <v>0</v>
      </c>
      <c r="M2162" t="n">
        <v>0</v>
      </c>
      <c r="N2162" t="n">
        <v>0</v>
      </c>
      <c r="O2162" t="n">
        <v>0</v>
      </c>
      <c r="P2162" t="n">
        <v>0</v>
      </c>
      <c r="Q2162" t="n">
        <v>0</v>
      </c>
      <c r="R2162" s="2" t="inlineStr"/>
    </row>
    <row r="2163" ht="15" customHeight="1">
      <c r="A2163" t="inlineStr">
        <is>
          <t>A 10302-2021</t>
        </is>
      </c>
      <c r="B2163" s="1" t="n">
        <v>44257</v>
      </c>
      <c r="C2163" s="1" t="n">
        <v>45952</v>
      </c>
      <c r="D2163" t="inlineStr">
        <is>
          <t>VÄSTRA GÖTALANDS LÄN</t>
        </is>
      </c>
      <c r="E2163" t="inlineStr">
        <is>
          <t>BOLLEBYGD</t>
        </is>
      </c>
      <c r="G2163" t="n">
        <v>1.5</v>
      </c>
      <c r="H2163" t="n">
        <v>0</v>
      </c>
      <c r="I2163" t="n">
        <v>0</v>
      </c>
      <c r="J2163" t="n">
        <v>0</v>
      </c>
      <c r="K2163" t="n">
        <v>0</v>
      </c>
      <c r="L2163" t="n">
        <v>0</v>
      </c>
      <c r="M2163" t="n">
        <v>0</v>
      </c>
      <c r="N2163" t="n">
        <v>0</v>
      </c>
      <c r="O2163" t="n">
        <v>0</v>
      </c>
      <c r="P2163" t="n">
        <v>0</v>
      </c>
      <c r="Q2163" t="n">
        <v>0</v>
      </c>
      <c r="R2163" s="2" t="inlineStr"/>
    </row>
    <row r="2164" ht="15" customHeight="1">
      <c r="A2164" t="inlineStr">
        <is>
          <t>A 15370-2022</t>
        </is>
      </c>
      <c r="B2164" s="1" t="n">
        <v>44659</v>
      </c>
      <c r="C2164" s="1" t="n">
        <v>45952</v>
      </c>
      <c r="D2164" t="inlineStr">
        <is>
          <t>VÄSTRA GÖTALANDS LÄN</t>
        </is>
      </c>
      <c r="E2164" t="inlineStr">
        <is>
          <t>HERRLJUNGA</t>
        </is>
      </c>
      <c r="G2164" t="n">
        <v>0.6</v>
      </c>
      <c r="H2164" t="n">
        <v>0</v>
      </c>
      <c r="I2164" t="n">
        <v>0</v>
      </c>
      <c r="J2164" t="n">
        <v>0</v>
      </c>
      <c r="K2164" t="n">
        <v>0</v>
      </c>
      <c r="L2164" t="n">
        <v>0</v>
      </c>
      <c r="M2164" t="n">
        <v>0</v>
      </c>
      <c r="N2164" t="n">
        <v>0</v>
      </c>
      <c r="O2164" t="n">
        <v>0</v>
      </c>
      <c r="P2164" t="n">
        <v>0</v>
      </c>
      <c r="Q2164" t="n">
        <v>0</v>
      </c>
      <c r="R2164" s="2" t="inlineStr"/>
    </row>
    <row r="2165" ht="15" customHeight="1">
      <c r="A2165" t="inlineStr">
        <is>
          <t>A 46285-2021</t>
        </is>
      </c>
      <c r="B2165" s="1" t="n">
        <v>44442.58653935185</v>
      </c>
      <c r="C2165" s="1" t="n">
        <v>45952</v>
      </c>
      <c r="D2165" t="inlineStr">
        <is>
          <t>VÄSTRA GÖTALANDS LÄN</t>
        </is>
      </c>
      <c r="E2165" t="inlineStr">
        <is>
          <t>BENGTSFORS</t>
        </is>
      </c>
      <c r="G2165" t="n">
        <v>2.1</v>
      </c>
      <c r="H2165" t="n">
        <v>0</v>
      </c>
      <c r="I2165" t="n">
        <v>0</v>
      </c>
      <c r="J2165" t="n">
        <v>0</v>
      </c>
      <c r="K2165" t="n">
        <v>0</v>
      </c>
      <c r="L2165" t="n">
        <v>0</v>
      </c>
      <c r="M2165" t="n">
        <v>0</v>
      </c>
      <c r="N2165" t="n">
        <v>0</v>
      </c>
      <c r="O2165" t="n">
        <v>0</v>
      </c>
      <c r="P2165" t="n">
        <v>0</v>
      </c>
      <c r="Q2165" t="n">
        <v>0</v>
      </c>
      <c r="R2165" s="2" t="inlineStr"/>
    </row>
    <row r="2166" ht="15" customHeight="1">
      <c r="A2166" t="inlineStr">
        <is>
          <t>A 15006-2022</t>
        </is>
      </c>
      <c r="B2166" s="1" t="n">
        <v>44657</v>
      </c>
      <c r="C2166" s="1" t="n">
        <v>45952</v>
      </c>
      <c r="D2166" t="inlineStr">
        <is>
          <t>VÄSTRA GÖTALANDS LÄN</t>
        </is>
      </c>
      <c r="E2166" t="inlineStr">
        <is>
          <t>ORUST</t>
        </is>
      </c>
      <c r="G2166" t="n">
        <v>1.8</v>
      </c>
      <c r="H2166" t="n">
        <v>0</v>
      </c>
      <c r="I2166" t="n">
        <v>0</v>
      </c>
      <c r="J2166" t="n">
        <v>0</v>
      </c>
      <c r="K2166" t="n">
        <v>0</v>
      </c>
      <c r="L2166" t="n">
        <v>0</v>
      </c>
      <c r="M2166" t="n">
        <v>0</v>
      </c>
      <c r="N2166" t="n">
        <v>0</v>
      </c>
      <c r="O2166" t="n">
        <v>0</v>
      </c>
      <c r="P2166" t="n">
        <v>0</v>
      </c>
      <c r="Q2166" t="n">
        <v>0</v>
      </c>
      <c r="R2166" s="2" t="inlineStr"/>
    </row>
    <row r="2167" ht="15" customHeight="1">
      <c r="A2167" t="inlineStr">
        <is>
          <t>A 15049-2022</t>
        </is>
      </c>
      <c r="B2167" s="1" t="n">
        <v>44657</v>
      </c>
      <c r="C2167" s="1" t="n">
        <v>45952</v>
      </c>
      <c r="D2167" t="inlineStr">
        <is>
          <t>VÄSTRA GÖTALANDS LÄN</t>
        </is>
      </c>
      <c r="E2167" t="inlineStr">
        <is>
          <t>ULRICEHAMN</t>
        </is>
      </c>
      <c r="G2167" t="n">
        <v>0.6</v>
      </c>
      <c r="H2167" t="n">
        <v>0</v>
      </c>
      <c r="I2167" t="n">
        <v>0</v>
      </c>
      <c r="J2167" t="n">
        <v>0</v>
      </c>
      <c r="K2167" t="n">
        <v>0</v>
      </c>
      <c r="L2167" t="n">
        <v>0</v>
      </c>
      <c r="M2167" t="n">
        <v>0</v>
      </c>
      <c r="N2167" t="n">
        <v>0</v>
      </c>
      <c r="O2167" t="n">
        <v>0</v>
      </c>
      <c r="P2167" t="n">
        <v>0</v>
      </c>
      <c r="Q2167" t="n">
        <v>0</v>
      </c>
      <c r="R2167" s="2" t="inlineStr"/>
    </row>
    <row r="2168" ht="15" customHeight="1">
      <c r="A2168" t="inlineStr">
        <is>
          <t>A 33399-2021</t>
        </is>
      </c>
      <c r="B2168" s="1" t="n">
        <v>44377.57690972222</v>
      </c>
      <c r="C2168" s="1" t="n">
        <v>45952</v>
      </c>
      <c r="D2168" t="inlineStr">
        <is>
          <t>VÄSTRA GÖTALANDS LÄN</t>
        </is>
      </c>
      <c r="E2168" t="inlineStr">
        <is>
          <t>ESSUNGA</t>
        </is>
      </c>
      <c r="G2168" t="n">
        <v>1.7</v>
      </c>
      <c r="H2168" t="n">
        <v>0</v>
      </c>
      <c r="I2168" t="n">
        <v>0</v>
      </c>
      <c r="J2168" t="n">
        <v>0</v>
      </c>
      <c r="K2168" t="n">
        <v>0</v>
      </c>
      <c r="L2168" t="n">
        <v>0</v>
      </c>
      <c r="M2168" t="n">
        <v>0</v>
      </c>
      <c r="N2168" t="n">
        <v>0</v>
      </c>
      <c r="O2168" t="n">
        <v>0</v>
      </c>
      <c r="P2168" t="n">
        <v>0</v>
      </c>
      <c r="Q2168" t="n">
        <v>0</v>
      </c>
      <c r="R2168" s="2" t="inlineStr"/>
    </row>
    <row r="2169" ht="15" customHeight="1">
      <c r="A2169" t="inlineStr">
        <is>
          <t>A 34380-2021</t>
        </is>
      </c>
      <c r="B2169" s="1" t="n">
        <v>44379.89332175926</v>
      </c>
      <c r="C2169" s="1" t="n">
        <v>45952</v>
      </c>
      <c r="D2169" t="inlineStr">
        <is>
          <t>VÄSTRA GÖTALANDS LÄN</t>
        </is>
      </c>
      <c r="E2169" t="inlineStr">
        <is>
          <t>VÄNERSBORG</t>
        </is>
      </c>
      <c r="G2169" t="n">
        <v>0.6</v>
      </c>
      <c r="H2169" t="n">
        <v>0</v>
      </c>
      <c r="I2169" t="n">
        <v>0</v>
      </c>
      <c r="J2169" t="n">
        <v>0</v>
      </c>
      <c r="K2169" t="n">
        <v>0</v>
      </c>
      <c r="L2169" t="n">
        <v>0</v>
      </c>
      <c r="M2169" t="n">
        <v>0</v>
      </c>
      <c r="N2169" t="n">
        <v>0</v>
      </c>
      <c r="O2169" t="n">
        <v>0</v>
      </c>
      <c r="P2169" t="n">
        <v>0</v>
      </c>
      <c r="Q2169" t="n">
        <v>0</v>
      </c>
      <c r="R2169" s="2" t="inlineStr"/>
    </row>
    <row r="2170" ht="15" customHeight="1">
      <c r="A2170" t="inlineStr">
        <is>
          <t>A 39016-2021</t>
        </is>
      </c>
      <c r="B2170" s="1" t="n">
        <v>44412</v>
      </c>
      <c r="C2170" s="1" t="n">
        <v>45952</v>
      </c>
      <c r="D2170" t="inlineStr">
        <is>
          <t>VÄSTRA GÖTALANDS LÄN</t>
        </is>
      </c>
      <c r="E2170" t="inlineStr">
        <is>
          <t>DALS-ED</t>
        </is>
      </c>
      <c r="G2170" t="n">
        <v>12.3</v>
      </c>
      <c r="H2170" t="n">
        <v>0</v>
      </c>
      <c r="I2170" t="n">
        <v>0</v>
      </c>
      <c r="J2170" t="n">
        <v>0</v>
      </c>
      <c r="K2170" t="n">
        <v>0</v>
      </c>
      <c r="L2170" t="n">
        <v>0</v>
      </c>
      <c r="M2170" t="n">
        <v>0</v>
      </c>
      <c r="N2170" t="n">
        <v>0</v>
      </c>
      <c r="O2170" t="n">
        <v>0</v>
      </c>
      <c r="P2170" t="n">
        <v>0</v>
      </c>
      <c r="Q2170" t="n">
        <v>0</v>
      </c>
      <c r="R2170" s="2" t="inlineStr"/>
    </row>
    <row r="2171" ht="15" customHeight="1">
      <c r="A2171" t="inlineStr">
        <is>
          <t>A 66534-2020</t>
        </is>
      </c>
      <c r="B2171" s="1" t="n">
        <v>44179</v>
      </c>
      <c r="C2171" s="1" t="n">
        <v>45952</v>
      </c>
      <c r="D2171" t="inlineStr">
        <is>
          <t>VÄSTRA GÖTALANDS LÄN</t>
        </is>
      </c>
      <c r="E2171" t="inlineStr">
        <is>
          <t>TÖREBODA</t>
        </is>
      </c>
      <c r="G2171" t="n">
        <v>1.7</v>
      </c>
      <c r="H2171" t="n">
        <v>0</v>
      </c>
      <c r="I2171" t="n">
        <v>0</v>
      </c>
      <c r="J2171" t="n">
        <v>0</v>
      </c>
      <c r="K2171" t="n">
        <v>0</v>
      </c>
      <c r="L2171" t="n">
        <v>0</v>
      </c>
      <c r="M2171" t="n">
        <v>0</v>
      </c>
      <c r="N2171" t="n">
        <v>0</v>
      </c>
      <c r="O2171" t="n">
        <v>0</v>
      </c>
      <c r="P2171" t="n">
        <v>0</v>
      </c>
      <c r="Q2171" t="n">
        <v>0</v>
      </c>
      <c r="R2171" s="2" t="inlineStr"/>
    </row>
    <row r="2172" ht="15" customHeight="1">
      <c r="A2172" t="inlineStr">
        <is>
          <t>A 18625-2022</t>
        </is>
      </c>
      <c r="B2172" s="1" t="n">
        <v>44687.44456018518</v>
      </c>
      <c r="C2172" s="1" t="n">
        <v>45952</v>
      </c>
      <c r="D2172" t="inlineStr">
        <is>
          <t>VÄSTRA GÖTALANDS LÄN</t>
        </is>
      </c>
      <c r="E2172" t="inlineStr">
        <is>
          <t>KARLSBORG</t>
        </is>
      </c>
      <c r="G2172" t="n">
        <v>0.7</v>
      </c>
      <c r="H2172" t="n">
        <v>0</v>
      </c>
      <c r="I2172" t="n">
        <v>0</v>
      </c>
      <c r="J2172" t="n">
        <v>0</v>
      </c>
      <c r="K2172" t="n">
        <v>0</v>
      </c>
      <c r="L2172" t="n">
        <v>0</v>
      </c>
      <c r="M2172" t="n">
        <v>0</v>
      </c>
      <c r="N2172" t="n">
        <v>0</v>
      </c>
      <c r="O2172" t="n">
        <v>0</v>
      </c>
      <c r="P2172" t="n">
        <v>0</v>
      </c>
      <c r="Q2172" t="n">
        <v>0</v>
      </c>
      <c r="R2172" s="2" t="inlineStr"/>
    </row>
    <row r="2173" ht="15" customHeight="1">
      <c r="A2173" t="inlineStr">
        <is>
          <t>A 30827-2022</t>
        </is>
      </c>
      <c r="B2173" s="1" t="n">
        <v>44758</v>
      </c>
      <c r="C2173" s="1" t="n">
        <v>45952</v>
      </c>
      <c r="D2173" t="inlineStr">
        <is>
          <t>VÄSTRA GÖTALANDS LÄN</t>
        </is>
      </c>
      <c r="E2173" t="inlineStr">
        <is>
          <t>MARIESTAD</t>
        </is>
      </c>
      <c r="G2173" t="n">
        <v>0.7</v>
      </c>
      <c r="H2173" t="n">
        <v>0</v>
      </c>
      <c r="I2173" t="n">
        <v>0</v>
      </c>
      <c r="J2173" t="n">
        <v>0</v>
      </c>
      <c r="K2173" t="n">
        <v>0</v>
      </c>
      <c r="L2173" t="n">
        <v>0</v>
      </c>
      <c r="M2173" t="n">
        <v>0</v>
      </c>
      <c r="N2173" t="n">
        <v>0</v>
      </c>
      <c r="O2173" t="n">
        <v>0</v>
      </c>
      <c r="P2173" t="n">
        <v>0</v>
      </c>
      <c r="Q2173" t="n">
        <v>0</v>
      </c>
      <c r="R2173" s="2" t="inlineStr"/>
    </row>
    <row r="2174" ht="15" customHeight="1">
      <c r="A2174" t="inlineStr">
        <is>
          <t>A 61850-2020</t>
        </is>
      </c>
      <c r="B2174" s="1" t="n">
        <v>44159</v>
      </c>
      <c r="C2174" s="1" t="n">
        <v>45952</v>
      </c>
      <c r="D2174" t="inlineStr">
        <is>
          <t>VÄSTRA GÖTALANDS LÄN</t>
        </is>
      </c>
      <c r="E2174" t="inlineStr">
        <is>
          <t>TÖREBODA</t>
        </is>
      </c>
      <c r="G2174" t="n">
        <v>0.9</v>
      </c>
      <c r="H2174" t="n">
        <v>0</v>
      </c>
      <c r="I2174" t="n">
        <v>0</v>
      </c>
      <c r="J2174" t="n">
        <v>0</v>
      </c>
      <c r="K2174" t="n">
        <v>0</v>
      </c>
      <c r="L2174" t="n">
        <v>0</v>
      </c>
      <c r="M2174" t="n">
        <v>0</v>
      </c>
      <c r="N2174" t="n">
        <v>0</v>
      </c>
      <c r="O2174" t="n">
        <v>0</v>
      </c>
      <c r="P2174" t="n">
        <v>0</v>
      </c>
      <c r="Q2174" t="n">
        <v>0</v>
      </c>
      <c r="R2174" s="2" t="inlineStr"/>
    </row>
    <row r="2175" ht="15" customHeight="1">
      <c r="A2175" t="inlineStr">
        <is>
          <t>A 50202-2021</t>
        </is>
      </c>
      <c r="B2175" s="1" t="n">
        <v>44457</v>
      </c>
      <c r="C2175" s="1" t="n">
        <v>45952</v>
      </c>
      <c r="D2175" t="inlineStr">
        <is>
          <t>VÄSTRA GÖTALANDS LÄN</t>
        </is>
      </c>
      <c r="E2175" t="inlineStr">
        <is>
          <t>STRÖMSTAD</t>
        </is>
      </c>
      <c r="G2175" t="n">
        <v>5.2</v>
      </c>
      <c r="H2175" t="n">
        <v>0</v>
      </c>
      <c r="I2175" t="n">
        <v>0</v>
      </c>
      <c r="J2175" t="n">
        <v>0</v>
      </c>
      <c r="K2175" t="n">
        <v>0</v>
      </c>
      <c r="L2175" t="n">
        <v>0</v>
      </c>
      <c r="M2175" t="n">
        <v>0</v>
      </c>
      <c r="N2175" t="n">
        <v>0</v>
      </c>
      <c r="O2175" t="n">
        <v>0</v>
      </c>
      <c r="P2175" t="n">
        <v>0</v>
      </c>
      <c r="Q2175" t="n">
        <v>0</v>
      </c>
      <c r="R2175" s="2" t="inlineStr"/>
    </row>
    <row r="2176" ht="15" customHeight="1">
      <c r="A2176" t="inlineStr">
        <is>
          <t>A 23074-2021</t>
        </is>
      </c>
      <c r="B2176" s="1" t="n">
        <v>44330.35582175926</v>
      </c>
      <c r="C2176" s="1" t="n">
        <v>45952</v>
      </c>
      <c r="D2176" t="inlineStr">
        <is>
          <t>VÄSTRA GÖTALANDS LÄN</t>
        </is>
      </c>
      <c r="E2176" t="inlineStr">
        <is>
          <t>BORÅS</t>
        </is>
      </c>
      <c r="G2176" t="n">
        <v>3.8</v>
      </c>
      <c r="H2176" t="n">
        <v>0</v>
      </c>
      <c r="I2176" t="n">
        <v>0</v>
      </c>
      <c r="J2176" t="n">
        <v>0</v>
      </c>
      <c r="K2176" t="n">
        <v>0</v>
      </c>
      <c r="L2176" t="n">
        <v>0</v>
      </c>
      <c r="M2176" t="n">
        <v>0</v>
      </c>
      <c r="N2176" t="n">
        <v>0</v>
      </c>
      <c r="O2176" t="n">
        <v>0</v>
      </c>
      <c r="P2176" t="n">
        <v>0</v>
      </c>
      <c r="Q2176" t="n">
        <v>0</v>
      </c>
      <c r="R2176" s="2" t="inlineStr"/>
    </row>
    <row r="2177" ht="15" customHeight="1">
      <c r="A2177" t="inlineStr">
        <is>
          <t>A 16866-2022</t>
        </is>
      </c>
      <c r="B2177" s="1" t="n">
        <v>44675.52387731482</v>
      </c>
      <c r="C2177" s="1" t="n">
        <v>45952</v>
      </c>
      <c r="D2177" t="inlineStr">
        <is>
          <t>VÄSTRA GÖTALANDS LÄN</t>
        </is>
      </c>
      <c r="E2177" t="inlineStr">
        <is>
          <t>TRANEMO</t>
        </is>
      </c>
      <c r="G2177" t="n">
        <v>3.6</v>
      </c>
      <c r="H2177" t="n">
        <v>0</v>
      </c>
      <c r="I2177" t="n">
        <v>0</v>
      </c>
      <c r="J2177" t="n">
        <v>0</v>
      </c>
      <c r="K2177" t="n">
        <v>0</v>
      </c>
      <c r="L2177" t="n">
        <v>0</v>
      </c>
      <c r="M2177" t="n">
        <v>0</v>
      </c>
      <c r="N2177" t="n">
        <v>0</v>
      </c>
      <c r="O2177" t="n">
        <v>0</v>
      </c>
      <c r="P2177" t="n">
        <v>0</v>
      </c>
      <c r="Q2177" t="n">
        <v>0</v>
      </c>
      <c r="R2177" s="2" t="inlineStr"/>
    </row>
    <row r="2178" ht="15" customHeight="1">
      <c r="A2178" t="inlineStr">
        <is>
          <t>A 16935-2022</t>
        </is>
      </c>
      <c r="B2178" s="1" t="n">
        <v>44676.46662037037</v>
      </c>
      <c r="C2178" s="1" t="n">
        <v>45952</v>
      </c>
      <c r="D2178" t="inlineStr">
        <is>
          <t>VÄSTRA GÖTALANDS LÄN</t>
        </is>
      </c>
      <c r="E2178" t="inlineStr">
        <is>
          <t>DALS-ED</t>
        </is>
      </c>
      <c r="G2178" t="n">
        <v>0.7</v>
      </c>
      <c r="H2178" t="n">
        <v>0</v>
      </c>
      <c r="I2178" t="n">
        <v>0</v>
      </c>
      <c r="J2178" t="n">
        <v>0</v>
      </c>
      <c r="K2178" t="n">
        <v>0</v>
      </c>
      <c r="L2178" t="n">
        <v>0</v>
      </c>
      <c r="M2178" t="n">
        <v>0</v>
      </c>
      <c r="N2178" t="n">
        <v>0</v>
      </c>
      <c r="O2178" t="n">
        <v>0</v>
      </c>
      <c r="P2178" t="n">
        <v>0</v>
      </c>
      <c r="Q2178" t="n">
        <v>0</v>
      </c>
      <c r="R2178" s="2" t="inlineStr"/>
    </row>
    <row r="2179" ht="15" customHeight="1">
      <c r="A2179" t="inlineStr">
        <is>
          <t>A 18466-2021</t>
        </is>
      </c>
      <c r="B2179" s="1" t="n">
        <v>44306.27186342593</v>
      </c>
      <c r="C2179" s="1" t="n">
        <v>45952</v>
      </c>
      <c r="D2179" t="inlineStr">
        <is>
          <t>VÄSTRA GÖTALANDS LÄN</t>
        </is>
      </c>
      <c r="E2179" t="inlineStr">
        <is>
          <t>BORÅS</t>
        </is>
      </c>
      <c r="G2179" t="n">
        <v>1</v>
      </c>
      <c r="H2179" t="n">
        <v>0</v>
      </c>
      <c r="I2179" t="n">
        <v>0</v>
      </c>
      <c r="J2179" t="n">
        <v>0</v>
      </c>
      <c r="K2179" t="n">
        <v>0</v>
      </c>
      <c r="L2179" t="n">
        <v>0</v>
      </c>
      <c r="M2179" t="n">
        <v>0</v>
      </c>
      <c r="N2179" t="n">
        <v>0</v>
      </c>
      <c r="O2179" t="n">
        <v>0</v>
      </c>
      <c r="P2179" t="n">
        <v>0</v>
      </c>
      <c r="Q2179" t="n">
        <v>0</v>
      </c>
      <c r="R2179" s="2" t="inlineStr"/>
    </row>
    <row r="2180" ht="15" customHeight="1">
      <c r="A2180" t="inlineStr">
        <is>
          <t>A 12454-2021</t>
        </is>
      </c>
      <c r="B2180" s="1" t="n">
        <v>44267</v>
      </c>
      <c r="C2180" s="1" t="n">
        <v>45952</v>
      </c>
      <c r="D2180" t="inlineStr">
        <is>
          <t>VÄSTRA GÖTALANDS LÄN</t>
        </is>
      </c>
      <c r="E2180" t="inlineStr">
        <is>
          <t>VARA</t>
        </is>
      </c>
      <c r="G2180" t="n">
        <v>0.7</v>
      </c>
      <c r="H2180" t="n">
        <v>0</v>
      </c>
      <c r="I2180" t="n">
        <v>0</v>
      </c>
      <c r="J2180" t="n">
        <v>0</v>
      </c>
      <c r="K2180" t="n">
        <v>0</v>
      </c>
      <c r="L2180" t="n">
        <v>0</v>
      </c>
      <c r="M2180" t="n">
        <v>0</v>
      </c>
      <c r="N2180" t="n">
        <v>0</v>
      </c>
      <c r="O2180" t="n">
        <v>0</v>
      </c>
      <c r="P2180" t="n">
        <v>0</v>
      </c>
      <c r="Q2180" t="n">
        <v>0</v>
      </c>
      <c r="R2180" s="2" t="inlineStr"/>
    </row>
    <row r="2181" ht="15" customHeight="1">
      <c r="A2181" t="inlineStr">
        <is>
          <t>A 46336-2021</t>
        </is>
      </c>
      <c r="B2181" s="1" t="n">
        <v>44442</v>
      </c>
      <c r="C2181" s="1" t="n">
        <v>45952</v>
      </c>
      <c r="D2181" t="inlineStr">
        <is>
          <t>VÄSTRA GÖTALANDS LÄN</t>
        </is>
      </c>
      <c r="E2181" t="inlineStr">
        <is>
          <t>DALS-ED</t>
        </is>
      </c>
      <c r="G2181" t="n">
        <v>3.4</v>
      </c>
      <c r="H2181" t="n">
        <v>0</v>
      </c>
      <c r="I2181" t="n">
        <v>0</v>
      </c>
      <c r="J2181" t="n">
        <v>0</v>
      </c>
      <c r="K2181" t="n">
        <v>0</v>
      </c>
      <c r="L2181" t="n">
        <v>0</v>
      </c>
      <c r="M2181" t="n">
        <v>0</v>
      </c>
      <c r="N2181" t="n">
        <v>0</v>
      </c>
      <c r="O2181" t="n">
        <v>0</v>
      </c>
      <c r="P2181" t="n">
        <v>0</v>
      </c>
      <c r="Q2181" t="n">
        <v>0</v>
      </c>
      <c r="R2181" s="2" t="inlineStr"/>
    </row>
    <row r="2182" ht="15" customHeight="1">
      <c r="A2182" t="inlineStr">
        <is>
          <t>A 46390-2021</t>
        </is>
      </c>
      <c r="B2182" s="1" t="n">
        <v>44443.36594907408</v>
      </c>
      <c r="C2182" s="1" t="n">
        <v>45952</v>
      </c>
      <c r="D2182" t="inlineStr">
        <is>
          <t>VÄSTRA GÖTALANDS LÄN</t>
        </is>
      </c>
      <c r="E2182" t="inlineStr">
        <is>
          <t>SVENLJUNGA</t>
        </is>
      </c>
      <c r="G2182" t="n">
        <v>0.5</v>
      </c>
      <c r="H2182" t="n">
        <v>0</v>
      </c>
      <c r="I2182" t="n">
        <v>0</v>
      </c>
      <c r="J2182" t="n">
        <v>0</v>
      </c>
      <c r="K2182" t="n">
        <v>0</v>
      </c>
      <c r="L2182" t="n">
        <v>0</v>
      </c>
      <c r="M2182" t="n">
        <v>0</v>
      </c>
      <c r="N2182" t="n">
        <v>0</v>
      </c>
      <c r="O2182" t="n">
        <v>0</v>
      </c>
      <c r="P2182" t="n">
        <v>0</v>
      </c>
      <c r="Q2182" t="n">
        <v>0</v>
      </c>
      <c r="R2182" s="2" t="inlineStr"/>
    </row>
    <row r="2183" ht="15" customHeight="1">
      <c r="A2183" t="inlineStr">
        <is>
          <t>A 71863-2021</t>
        </is>
      </c>
      <c r="B2183" s="1" t="n">
        <v>44543</v>
      </c>
      <c r="C2183" s="1" t="n">
        <v>45952</v>
      </c>
      <c r="D2183" t="inlineStr">
        <is>
          <t>VÄSTRA GÖTALANDS LÄN</t>
        </is>
      </c>
      <c r="E2183" t="inlineStr">
        <is>
          <t>ULRICEHAMN</t>
        </is>
      </c>
      <c r="F2183" t="inlineStr">
        <is>
          <t>Sveaskog</t>
        </is>
      </c>
      <c r="G2183" t="n">
        <v>0.4</v>
      </c>
      <c r="H2183" t="n">
        <v>0</v>
      </c>
      <c r="I2183" t="n">
        <v>0</v>
      </c>
      <c r="J2183" t="n">
        <v>0</v>
      </c>
      <c r="K2183" t="n">
        <v>0</v>
      </c>
      <c r="L2183" t="n">
        <v>0</v>
      </c>
      <c r="M2183" t="n">
        <v>0</v>
      </c>
      <c r="N2183" t="n">
        <v>0</v>
      </c>
      <c r="O2183" t="n">
        <v>0</v>
      </c>
      <c r="P2183" t="n">
        <v>0</v>
      </c>
      <c r="Q2183" t="n">
        <v>0</v>
      </c>
      <c r="R2183" s="2" t="inlineStr"/>
    </row>
    <row r="2184" ht="15" customHeight="1">
      <c r="A2184" t="inlineStr">
        <is>
          <t>A 23736-2022</t>
        </is>
      </c>
      <c r="B2184" s="1" t="n">
        <v>44722.35153935185</v>
      </c>
      <c r="C2184" s="1" t="n">
        <v>45952</v>
      </c>
      <c r="D2184" t="inlineStr">
        <is>
          <t>VÄSTRA GÖTALANDS LÄN</t>
        </is>
      </c>
      <c r="E2184" t="inlineStr">
        <is>
          <t>TRANEMO</t>
        </is>
      </c>
      <c r="G2184" t="n">
        <v>1.1</v>
      </c>
      <c r="H2184" t="n">
        <v>0</v>
      </c>
      <c r="I2184" t="n">
        <v>0</v>
      </c>
      <c r="J2184" t="n">
        <v>0</v>
      </c>
      <c r="K2184" t="n">
        <v>0</v>
      </c>
      <c r="L2184" t="n">
        <v>0</v>
      </c>
      <c r="M2184" t="n">
        <v>0</v>
      </c>
      <c r="N2184" t="n">
        <v>0</v>
      </c>
      <c r="O2184" t="n">
        <v>0</v>
      </c>
      <c r="P2184" t="n">
        <v>0</v>
      </c>
      <c r="Q2184" t="n">
        <v>0</v>
      </c>
      <c r="R2184" s="2" t="inlineStr"/>
    </row>
    <row r="2185" ht="15" customHeight="1">
      <c r="A2185" t="inlineStr">
        <is>
          <t>A 2640-2022</t>
        </is>
      </c>
      <c r="B2185" s="1" t="n">
        <v>44580</v>
      </c>
      <c r="C2185" s="1" t="n">
        <v>45952</v>
      </c>
      <c r="D2185" t="inlineStr">
        <is>
          <t>VÄSTRA GÖTALANDS LÄN</t>
        </is>
      </c>
      <c r="E2185" t="inlineStr">
        <is>
          <t>GULLSPÅNG</t>
        </is>
      </c>
      <c r="G2185" t="n">
        <v>0.5</v>
      </c>
      <c r="H2185" t="n">
        <v>0</v>
      </c>
      <c r="I2185" t="n">
        <v>0</v>
      </c>
      <c r="J2185" t="n">
        <v>0</v>
      </c>
      <c r="K2185" t="n">
        <v>0</v>
      </c>
      <c r="L2185" t="n">
        <v>0</v>
      </c>
      <c r="M2185" t="n">
        <v>0</v>
      </c>
      <c r="N2185" t="n">
        <v>0</v>
      </c>
      <c r="O2185" t="n">
        <v>0</v>
      </c>
      <c r="P2185" t="n">
        <v>0</v>
      </c>
      <c r="Q2185" t="n">
        <v>0</v>
      </c>
      <c r="R2185" s="2" t="inlineStr"/>
    </row>
    <row r="2186" ht="15" customHeight="1">
      <c r="A2186" t="inlineStr">
        <is>
          <t>A 8236-2021</t>
        </is>
      </c>
      <c r="B2186" s="1" t="n">
        <v>44244.5500925926</v>
      </c>
      <c r="C2186" s="1" t="n">
        <v>45952</v>
      </c>
      <c r="D2186" t="inlineStr">
        <is>
          <t>VÄSTRA GÖTALANDS LÄN</t>
        </is>
      </c>
      <c r="E2186" t="inlineStr">
        <is>
          <t>HERRLJUNGA</t>
        </is>
      </c>
      <c r="G2186" t="n">
        <v>0.8</v>
      </c>
      <c r="H2186" t="n">
        <v>0</v>
      </c>
      <c r="I2186" t="n">
        <v>0</v>
      </c>
      <c r="J2186" t="n">
        <v>0</v>
      </c>
      <c r="K2186" t="n">
        <v>0</v>
      </c>
      <c r="L2186" t="n">
        <v>0</v>
      </c>
      <c r="M2186" t="n">
        <v>0</v>
      </c>
      <c r="N2186" t="n">
        <v>0</v>
      </c>
      <c r="O2186" t="n">
        <v>0</v>
      </c>
      <c r="P2186" t="n">
        <v>0</v>
      </c>
      <c r="Q2186" t="n">
        <v>0</v>
      </c>
      <c r="R2186" s="2" t="inlineStr"/>
    </row>
    <row r="2187" ht="15" customHeight="1">
      <c r="A2187" t="inlineStr">
        <is>
          <t>A 65878-2020</t>
        </is>
      </c>
      <c r="B2187" s="1" t="n">
        <v>44174</v>
      </c>
      <c r="C2187" s="1" t="n">
        <v>45952</v>
      </c>
      <c r="D2187" t="inlineStr">
        <is>
          <t>VÄSTRA GÖTALANDS LÄN</t>
        </is>
      </c>
      <c r="E2187" t="inlineStr">
        <is>
          <t>HERRLJUNGA</t>
        </is>
      </c>
      <c r="G2187" t="n">
        <v>1.5</v>
      </c>
      <c r="H2187" t="n">
        <v>0</v>
      </c>
      <c r="I2187" t="n">
        <v>0</v>
      </c>
      <c r="J2187" t="n">
        <v>0</v>
      </c>
      <c r="K2187" t="n">
        <v>0</v>
      </c>
      <c r="L2187" t="n">
        <v>0</v>
      </c>
      <c r="M2187" t="n">
        <v>0</v>
      </c>
      <c r="N2187" t="n">
        <v>0</v>
      </c>
      <c r="O2187" t="n">
        <v>0</v>
      </c>
      <c r="P2187" t="n">
        <v>0</v>
      </c>
      <c r="Q2187" t="n">
        <v>0</v>
      </c>
      <c r="R2187" s="2" t="inlineStr"/>
    </row>
    <row r="2188" ht="15" customHeight="1">
      <c r="A2188" t="inlineStr">
        <is>
          <t>A 55768-2021</t>
        </is>
      </c>
      <c r="B2188" s="1" t="n">
        <v>44476.53376157407</v>
      </c>
      <c r="C2188" s="1" t="n">
        <v>45952</v>
      </c>
      <c r="D2188" t="inlineStr">
        <is>
          <t>VÄSTRA GÖTALANDS LÄN</t>
        </is>
      </c>
      <c r="E2188" t="inlineStr">
        <is>
          <t>LILLA EDET</t>
        </is>
      </c>
      <c r="G2188" t="n">
        <v>0.3</v>
      </c>
      <c r="H2188" t="n">
        <v>0</v>
      </c>
      <c r="I2188" t="n">
        <v>0</v>
      </c>
      <c r="J2188" t="n">
        <v>0</v>
      </c>
      <c r="K2188" t="n">
        <v>0</v>
      </c>
      <c r="L2188" t="n">
        <v>0</v>
      </c>
      <c r="M2188" t="n">
        <v>0</v>
      </c>
      <c r="N2188" t="n">
        <v>0</v>
      </c>
      <c r="O2188" t="n">
        <v>0</v>
      </c>
      <c r="P2188" t="n">
        <v>0</v>
      </c>
      <c r="Q2188" t="n">
        <v>0</v>
      </c>
      <c r="R2188" s="2" t="inlineStr"/>
    </row>
    <row r="2189" ht="15" customHeight="1">
      <c r="A2189" t="inlineStr">
        <is>
          <t>A 7747-2022</t>
        </is>
      </c>
      <c r="B2189" s="1" t="n">
        <v>44608.39469907407</v>
      </c>
      <c r="C2189" s="1" t="n">
        <v>45952</v>
      </c>
      <c r="D2189" t="inlineStr">
        <is>
          <t>VÄSTRA GÖTALANDS LÄN</t>
        </is>
      </c>
      <c r="E2189" t="inlineStr">
        <is>
          <t>TROLLHÄTTAN</t>
        </is>
      </c>
      <c r="G2189" t="n">
        <v>0.7</v>
      </c>
      <c r="H2189" t="n">
        <v>0</v>
      </c>
      <c r="I2189" t="n">
        <v>0</v>
      </c>
      <c r="J2189" t="n">
        <v>0</v>
      </c>
      <c r="K2189" t="n">
        <v>0</v>
      </c>
      <c r="L2189" t="n">
        <v>0</v>
      </c>
      <c r="M2189" t="n">
        <v>0</v>
      </c>
      <c r="N2189" t="n">
        <v>0</v>
      </c>
      <c r="O2189" t="n">
        <v>0</v>
      </c>
      <c r="P2189" t="n">
        <v>0</v>
      </c>
      <c r="Q2189" t="n">
        <v>0</v>
      </c>
      <c r="R2189" s="2" t="inlineStr"/>
    </row>
    <row r="2190" ht="15" customHeight="1">
      <c r="A2190" t="inlineStr">
        <is>
          <t>A 15711-2021</t>
        </is>
      </c>
      <c r="B2190" s="1" t="n">
        <v>44286</v>
      </c>
      <c r="C2190" s="1" t="n">
        <v>45952</v>
      </c>
      <c r="D2190" t="inlineStr">
        <is>
          <t>VÄSTRA GÖTALANDS LÄN</t>
        </is>
      </c>
      <c r="E2190" t="inlineStr">
        <is>
          <t>BORÅS</t>
        </is>
      </c>
      <c r="G2190" t="n">
        <v>2.7</v>
      </c>
      <c r="H2190" t="n">
        <v>0</v>
      </c>
      <c r="I2190" t="n">
        <v>0</v>
      </c>
      <c r="J2190" t="n">
        <v>0</v>
      </c>
      <c r="K2190" t="n">
        <v>0</v>
      </c>
      <c r="L2190" t="n">
        <v>0</v>
      </c>
      <c r="M2190" t="n">
        <v>0</v>
      </c>
      <c r="N2190" t="n">
        <v>0</v>
      </c>
      <c r="O2190" t="n">
        <v>0</v>
      </c>
      <c r="P2190" t="n">
        <v>0</v>
      </c>
      <c r="Q2190" t="n">
        <v>0</v>
      </c>
      <c r="R2190" s="2" t="inlineStr"/>
    </row>
    <row r="2191" ht="15" customHeight="1">
      <c r="A2191" t="inlineStr">
        <is>
          <t>A 20989-2022</t>
        </is>
      </c>
      <c r="B2191" s="1" t="n">
        <v>44703.80895833333</v>
      </c>
      <c r="C2191" s="1" t="n">
        <v>45952</v>
      </c>
      <c r="D2191" t="inlineStr">
        <is>
          <t>VÄSTRA GÖTALANDS LÄN</t>
        </is>
      </c>
      <c r="E2191" t="inlineStr">
        <is>
          <t>TIDAHOLM</t>
        </is>
      </c>
      <c r="G2191" t="n">
        <v>5</v>
      </c>
      <c r="H2191" t="n">
        <v>0</v>
      </c>
      <c r="I2191" t="n">
        <v>0</v>
      </c>
      <c r="J2191" t="n">
        <v>0</v>
      </c>
      <c r="K2191" t="n">
        <v>0</v>
      </c>
      <c r="L2191" t="n">
        <v>0</v>
      </c>
      <c r="M2191" t="n">
        <v>0</v>
      </c>
      <c r="N2191" t="n">
        <v>0</v>
      </c>
      <c r="O2191" t="n">
        <v>0</v>
      </c>
      <c r="P2191" t="n">
        <v>0</v>
      </c>
      <c r="Q2191" t="n">
        <v>0</v>
      </c>
      <c r="R2191" s="2" t="inlineStr"/>
    </row>
    <row r="2192" ht="15" customHeight="1">
      <c r="A2192" t="inlineStr">
        <is>
          <t>A 56496-2021</t>
        </is>
      </c>
      <c r="B2192" s="1" t="n">
        <v>44480</v>
      </c>
      <c r="C2192" s="1" t="n">
        <v>45952</v>
      </c>
      <c r="D2192" t="inlineStr">
        <is>
          <t>VÄSTRA GÖTALANDS LÄN</t>
        </is>
      </c>
      <c r="E2192" t="inlineStr">
        <is>
          <t>ORUST</t>
        </is>
      </c>
      <c r="G2192" t="n">
        <v>10.3</v>
      </c>
      <c r="H2192" t="n">
        <v>0</v>
      </c>
      <c r="I2192" t="n">
        <v>0</v>
      </c>
      <c r="J2192" t="n">
        <v>0</v>
      </c>
      <c r="K2192" t="n">
        <v>0</v>
      </c>
      <c r="L2192" t="n">
        <v>0</v>
      </c>
      <c r="M2192" t="n">
        <v>0</v>
      </c>
      <c r="N2192" t="n">
        <v>0</v>
      </c>
      <c r="O2192" t="n">
        <v>0</v>
      </c>
      <c r="P2192" t="n">
        <v>0</v>
      </c>
      <c r="Q2192" t="n">
        <v>0</v>
      </c>
      <c r="R2192" s="2" t="inlineStr"/>
    </row>
    <row r="2193" ht="15" customHeight="1">
      <c r="A2193" t="inlineStr">
        <is>
          <t>A 41954-2021</t>
        </is>
      </c>
      <c r="B2193" s="1" t="n">
        <v>44426</v>
      </c>
      <c r="C2193" s="1" t="n">
        <v>45952</v>
      </c>
      <c r="D2193" t="inlineStr">
        <is>
          <t>VÄSTRA GÖTALANDS LÄN</t>
        </is>
      </c>
      <c r="E2193" t="inlineStr">
        <is>
          <t>KARLSBORG</t>
        </is>
      </c>
      <c r="G2193" t="n">
        <v>0.5</v>
      </c>
      <c r="H2193" t="n">
        <v>0</v>
      </c>
      <c r="I2193" t="n">
        <v>0</v>
      </c>
      <c r="J2193" t="n">
        <v>0</v>
      </c>
      <c r="K2193" t="n">
        <v>0</v>
      </c>
      <c r="L2193" t="n">
        <v>0</v>
      </c>
      <c r="M2193" t="n">
        <v>0</v>
      </c>
      <c r="N2193" t="n">
        <v>0</v>
      </c>
      <c r="O2193" t="n">
        <v>0</v>
      </c>
      <c r="P2193" t="n">
        <v>0</v>
      </c>
      <c r="Q2193" t="n">
        <v>0</v>
      </c>
      <c r="R2193" s="2" t="inlineStr"/>
    </row>
    <row r="2194" ht="15" customHeight="1">
      <c r="A2194" t="inlineStr">
        <is>
          <t>A 50648-2021</t>
        </is>
      </c>
      <c r="B2194" s="1" t="n">
        <v>44459.89270833333</v>
      </c>
      <c r="C2194" s="1" t="n">
        <v>45952</v>
      </c>
      <c r="D2194" t="inlineStr">
        <is>
          <t>VÄSTRA GÖTALANDS LÄN</t>
        </is>
      </c>
      <c r="E2194" t="inlineStr">
        <is>
          <t>KUNGÄLV</t>
        </is>
      </c>
      <c r="G2194" t="n">
        <v>1.4</v>
      </c>
      <c r="H2194" t="n">
        <v>0</v>
      </c>
      <c r="I2194" t="n">
        <v>0</v>
      </c>
      <c r="J2194" t="n">
        <v>0</v>
      </c>
      <c r="K2194" t="n">
        <v>0</v>
      </c>
      <c r="L2194" t="n">
        <v>0</v>
      </c>
      <c r="M2194" t="n">
        <v>0</v>
      </c>
      <c r="N2194" t="n">
        <v>0</v>
      </c>
      <c r="O2194" t="n">
        <v>0</v>
      </c>
      <c r="P2194" t="n">
        <v>0</v>
      </c>
      <c r="Q2194" t="n">
        <v>0</v>
      </c>
      <c r="R2194" s="2" t="inlineStr"/>
    </row>
    <row r="2195" ht="15" customHeight="1">
      <c r="A2195" t="inlineStr">
        <is>
          <t>A 23005-2022</t>
        </is>
      </c>
      <c r="B2195" s="1" t="n">
        <v>44719.31350694445</v>
      </c>
      <c r="C2195" s="1" t="n">
        <v>45952</v>
      </c>
      <c r="D2195" t="inlineStr">
        <is>
          <t>VÄSTRA GÖTALANDS LÄN</t>
        </is>
      </c>
      <c r="E2195" t="inlineStr">
        <is>
          <t>TÖREBODA</t>
        </is>
      </c>
      <c r="G2195" t="n">
        <v>0.8</v>
      </c>
      <c r="H2195" t="n">
        <v>0</v>
      </c>
      <c r="I2195" t="n">
        <v>0</v>
      </c>
      <c r="J2195" t="n">
        <v>0</v>
      </c>
      <c r="K2195" t="n">
        <v>0</v>
      </c>
      <c r="L2195" t="n">
        <v>0</v>
      </c>
      <c r="M2195" t="n">
        <v>0</v>
      </c>
      <c r="N2195" t="n">
        <v>0</v>
      </c>
      <c r="O2195" t="n">
        <v>0</v>
      </c>
      <c r="P2195" t="n">
        <v>0</v>
      </c>
      <c r="Q2195" t="n">
        <v>0</v>
      </c>
      <c r="R2195" s="2" t="inlineStr"/>
    </row>
    <row r="2196" ht="15" customHeight="1">
      <c r="A2196" t="inlineStr">
        <is>
          <t>A 8286-2022</t>
        </is>
      </c>
      <c r="B2196" s="1" t="n">
        <v>44610</v>
      </c>
      <c r="C2196" s="1" t="n">
        <v>45952</v>
      </c>
      <c r="D2196" t="inlineStr">
        <is>
          <t>VÄSTRA GÖTALANDS LÄN</t>
        </is>
      </c>
      <c r="E2196" t="inlineStr">
        <is>
          <t>ORUST</t>
        </is>
      </c>
      <c r="G2196" t="n">
        <v>8</v>
      </c>
      <c r="H2196" t="n">
        <v>0</v>
      </c>
      <c r="I2196" t="n">
        <v>0</v>
      </c>
      <c r="J2196" t="n">
        <v>0</v>
      </c>
      <c r="K2196" t="n">
        <v>0</v>
      </c>
      <c r="L2196" t="n">
        <v>0</v>
      </c>
      <c r="M2196" t="n">
        <v>0</v>
      </c>
      <c r="N2196" t="n">
        <v>0</v>
      </c>
      <c r="O2196" t="n">
        <v>0</v>
      </c>
      <c r="P2196" t="n">
        <v>0</v>
      </c>
      <c r="Q2196" t="n">
        <v>0</v>
      </c>
      <c r="R2196" s="2" t="inlineStr"/>
    </row>
    <row r="2197" ht="15" customHeight="1">
      <c r="A2197" t="inlineStr">
        <is>
          <t>A 7322-2022</t>
        </is>
      </c>
      <c r="B2197" s="1" t="n">
        <v>44606</v>
      </c>
      <c r="C2197" s="1" t="n">
        <v>45952</v>
      </c>
      <c r="D2197" t="inlineStr">
        <is>
          <t>VÄSTRA GÖTALANDS LÄN</t>
        </is>
      </c>
      <c r="E2197" t="inlineStr">
        <is>
          <t>BORÅS</t>
        </is>
      </c>
      <c r="G2197" t="n">
        <v>1.1</v>
      </c>
      <c r="H2197" t="n">
        <v>0</v>
      </c>
      <c r="I2197" t="n">
        <v>0</v>
      </c>
      <c r="J2197" t="n">
        <v>0</v>
      </c>
      <c r="K2197" t="n">
        <v>0</v>
      </c>
      <c r="L2197" t="n">
        <v>0</v>
      </c>
      <c r="M2197" t="n">
        <v>0</v>
      </c>
      <c r="N2197" t="n">
        <v>0</v>
      </c>
      <c r="O2197" t="n">
        <v>0</v>
      </c>
      <c r="P2197" t="n">
        <v>0</v>
      </c>
      <c r="Q2197" t="n">
        <v>0</v>
      </c>
      <c r="R2197" s="2" t="inlineStr"/>
    </row>
    <row r="2198" ht="15" customHeight="1">
      <c r="A2198" t="inlineStr">
        <is>
          <t>A 8183-2022</t>
        </is>
      </c>
      <c r="B2198" s="1" t="n">
        <v>44609.66342592592</v>
      </c>
      <c r="C2198" s="1" t="n">
        <v>45952</v>
      </c>
      <c r="D2198" t="inlineStr">
        <is>
          <t>VÄSTRA GÖTALANDS LÄN</t>
        </is>
      </c>
      <c r="E2198" t="inlineStr">
        <is>
          <t>GRÄSTORP</t>
        </is>
      </c>
      <c r="G2198" t="n">
        <v>0</v>
      </c>
      <c r="H2198" t="n">
        <v>0</v>
      </c>
      <c r="I2198" t="n">
        <v>0</v>
      </c>
      <c r="J2198" t="n">
        <v>0</v>
      </c>
      <c r="K2198" t="n">
        <v>0</v>
      </c>
      <c r="L2198" t="n">
        <v>0</v>
      </c>
      <c r="M2198" t="n">
        <v>0</v>
      </c>
      <c r="N2198" t="n">
        <v>0</v>
      </c>
      <c r="O2198" t="n">
        <v>0</v>
      </c>
      <c r="P2198" t="n">
        <v>0</v>
      </c>
      <c r="Q2198" t="n">
        <v>0</v>
      </c>
      <c r="R2198" s="2" t="inlineStr"/>
    </row>
    <row r="2199" ht="15" customHeight="1">
      <c r="A2199" t="inlineStr">
        <is>
          <t>A 22114-2021</t>
        </is>
      </c>
      <c r="B2199" s="1" t="n">
        <v>44323.72275462963</v>
      </c>
      <c r="C2199" s="1" t="n">
        <v>45952</v>
      </c>
      <c r="D2199" t="inlineStr">
        <is>
          <t>VÄSTRA GÖTALANDS LÄN</t>
        </is>
      </c>
      <c r="E2199" t="inlineStr">
        <is>
          <t>BOLLEBYGD</t>
        </is>
      </c>
      <c r="G2199" t="n">
        <v>0.5</v>
      </c>
      <c r="H2199" t="n">
        <v>0</v>
      </c>
      <c r="I2199" t="n">
        <v>0</v>
      </c>
      <c r="J2199" t="n">
        <v>0</v>
      </c>
      <c r="K2199" t="n">
        <v>0</v>
      </c>
      <c r="L2199" t="n">
        <v>0</v>
      </c>
      <c r="M2199" t="n">
        <v>0</v>
      </c>
      <c r="N2199" t="n">
        <v>0</v>
      </c>
      <c r="O2199" t="n">
        <v>0</v>
      </c>
      <c r="P2199" t="n">
        <v>0</v>
      </c>
      <c r="Q2199" t="n">
        <v>0</v>
      </c>
      <c r="R2199" s="2" t="inlineStr"/>
    </row>
    <row r="2200" ht="15" customHeight="1">
      <c r="A2200" t="inlineStr">
        <is>
          <t>A 30180-2021</t>
        </is>
      </c>
      <c r="B2200" s="1" t="n">
        <v>44363</v>
      </c>
      <c r="C2200" s="1" t="n">
        <v>45952</v>
      </c>
      <c r="D2200" t="inlineStr">
        <is>
          <t>VÄSTRA GÖTALANDS LÄN</t>
        </is>
      </c>
      <c r="E2200" t="inlineStr">
        <is>
          <t>HERRLJUNGA</t>
        </is>
      </c>
      <c r="G2200" t="n">
        <v>1.1</v>
      </c>
      <c r="H2200" t="n">
        <v>0</v>
      </c>
      <c r="I2200" t="n">
        <v>0</v>
      </c>
      <c r="J2200" t="n">
        <v>0</v>
      </c>
      <c r="K2200" t="n">
        <v>0</v>
      </c>
      <c r="L2200" t="n">
        <v>0</v>
      </c>
      <c r="M2200" t="n">
        <v>0</v>
      </c>
      <c r="N2200" t="n">
        <v>0</v>
      </c>
      <c r="O2200" t="n">
        <v>0</v>
      </c>
      <c r="P2200" t="n">
        <v>0</v>
      </c>
      <c r="Q2200" t="n">
        <v>0</v>
      </c>
      <c r="R2200" s="2" t="inlineStr"/>
    </row>
    <row r="2201" ht="15" customHeight="1">
      <c r="A2201" t="inlineStr">
        <is>
          <t>A 48614-2022</t>
        </is>
      </c>
      <c r="B2201" s="1" t="n">
        <v>44854</v>
      </c>
      <c r="C2201" s="1" t="n">
        <v>45952</v>
      </c>
      <c r="D2201" t="inlineStr">
        <is>
          <t>VÄSTRA GÖTALANDS LÄN</t>
        </is>
      </c>
      <c r="E2201" t="inlineStr">
        <is>
          <t>ULRICEHAMN</t>
        </is>
      </c>
      <c r="G2201" t="n">
        <v>1.3</v>
      </c>
      <c r="H2201" t="n">
        <v>0</v>
      </c>
      <c r="I2201" t="n">
        <v>0</v>
      </c>
      <c r="J2201" t="n">
        <v>0</v>
      </c>
      <c r="K2201" t="n">
        <v>0</v>
      </c>
      <c r="L2201" t="n">
        <v>0</v>
      </c>
      <c r="M2201" t="n">
        <v>0</v>
      </c>
      <c r="N2201" t="n">
        <v>0</v>
      </c>
      <c r="O2201" t="n">
        <v>0</v>
      </c>
      <c r="P2201" t="n">
        <v>0</v>
      </c>
      <c r="Q2201" t="n">
        <v>0</v>
      </c>
      <c r="R2201" s="2" t="inlineStr"/>
    </row>
    <row r="2202" ht="15" customHeight="1">
      <c r="A2202" t="inlineStr">
        <is>
          <t>A 31714-2022</t>
        </is>
      </c>
      <c r="B2202" s="1" t="n">
        <v>44776</v>
      </c>
      <c r="C2202" s="1" t="n">
        <v>45952</v>
      </c>
      <c r="D2202" t="inlineStr">
        <is>
          <t>VÄSTRA GÖTALANDS LÄN</t>
        </is>
      </c>
      <c r="E2202" t="inlineStr">
        <is>
          <t>ULRICEHAMN</t>
        </is>
      </c>
      <c r="G2202" t="n">
        <v>0</v>
      </c>
      <c r="H2202" t="n">
        <v>0</v>
      </c>
      <c r="I2202" t="n">
        <v>0</v>
      </c>
      <c r="J2202" t="n">
        <v>0</v>
      </c>
      <c r="K2202" t="n">
        <v>0</v>
      </c>
      <c r="L2202" t="n">
        <v>0</v>
      </c>
      <c r="M2202" t="n">
        <v>0</v>
      </c>
      <c r="N2202" t="n">
        <v>0</v>
      </c>
      <c r="O2202" t="n">
        <v>0</v>
      </c>
      <c r="P2202" t="n">
        <v>0</v>
      </c>
      <c r="Q2202" t="n">
        <v>0</v>
      </c>
      <c r="R2202" s="2" t="inlineStr"/>
    </row>
    <row r="2203" ht="15" customHeight="1">
      <c r="A2203" t="inlineStr">
        <is>
          <t>A 31715-2022</t>
        </is>
      </c>
      <c r="B2203" s="1" t="n">
        <v>44776</v>
      </c>
      <c r="C2203" s="1" t="n">
        <v>45952</v>
      </c>
      <c r="D2203" t="inlineStr">
        <is>
          <t>VÄSTRA GÖTALANDS LÄN</t>
        </is>
      </c>
      <c r="E2203" t="inlineStr">
        <is>
          <t>BENGTSFORS</t>
        </is>
      </c>
      <c r="G2203" t="n">
        <v>2.3</v>
      </c>
      <c r="H2203" t="n">
        <v>0</v>
      </c>
      <c r="I2203" t="n">
        <v>0</v>
      </c>
      <c r="J2203" t="n">
        <v>0</v>
      </c>
      <c r="K2203" t="n">
        <v>0</v>
      </c>
      <c r="L2203" t="n">
        <v>0</v>
      </c>
      <c r="M2203" t="n">
        <v>0</v>
      </c>
      <c r="N2203" t="n">
        <v>0</v>
      </c>
      <c r="O2203" t="n">
        <v>0</v>
      </c>
      <c r="P2203" t="n">
        <v>0</v>
      </c>
      <c r="Q2203" t="n">
        <v>0</v>
      </c>
      <c r="R2203" s="2" t="inlineStr"/>
    </row>
    <row r="2204" ht="15" customHeight="1">
      <c r="A2204" t="inlineStr">
        <is>
          <t>A 31159-2022</t>
        </is>
      </c>
      <c r="B2204" s="1" t="n">
        <v>44770</v>
      </c>
      <c r="C2204" s="1" t="n">
        <v>45952</v>
      </c>
      <c r="D2204" t="inlineStr">
        <is>
          <t>VÄSTRA GÖTALANDS LÄN</t>
        </is>
      </c>
      <c r="E2204" t="inlineStr">
        <is>
          <t>LIDKÖPING</t>
        </is>
      </c>
      <c r="G2204" t="n">
        <v>0.7</v>
      </c>
      <c r="H2204" t="n">
        <v>0</v>
      </c>
      <c r="I2204" t="n">
        <v>0</v>
      </c>
      <c r="J2204" t="n">
        <v>0</v>
      </c>
      <c r="K2204" t="n">
        <v>0</v>
      </c>
      <c r="L2204" t="n">
        <v>0</v>
      </c>
      <c r="M2204" t="n">
        <v>0</v>
      </c>
      <c r="N2204" t="n">
        <v>0</v>
      </c>
      <c r="O2204" t="n">
        <v>0</v>
      </c>
      <c r="P2204" t="n">
        <v>0</v>
      </c>
      <c r="Q2204" t="n">
        <v>0</v>
      </c>
      <c r="R2204" s="2" t="inlineStr"/>
    </row>
    <row r="2205" ht="15" customHeight="1">
      <c r="A2205" t="inlineStr">
        <is>
          <t>A 2287-2022</t>
        </is>
      </c>
      <c r="B2205" s="1" t="n">
        <v>44578</v>
      </c>
      <c r="C2205" s="1" t="n">
        <v>45952</v>
      </c>
      <c r="D2205" t="inlineStr">
        <is>
          <t>VÄSTRA GÖTALANDS LÄN</t>
        </is>
      </c>
      <c r="E2205" t="inlineStr">
        <is>
          <t>DALS-ED</t>
        </is>
      </c>
      <c r="G2205" t="n">
        <v>1.8</v>
      </c>
      <c r="H2205" t="n">
        <v>0</v>
      </c>
      <c r="I2205" t="n">
        <v>0</v>
      </c>
      <c r="J2205" t="n">
        <v>0</v>
      </c>
      <c r="K2205" t="n">
        <v>0</v>
      </c>
      <c r="L2205" t="n">
        <v>0</v>
      </c>
      <c r="M2205" t="n">
        <v>0</v>
      </c>
      <c r="N2205" t="n">
        <v>0</v>
      </c>
      <c r="O2205" t="n">
        <v>0</v>
      </c>
      <c r="P2205" t="n">
        <v>0</v>
      </c>
      <c r="Q2205" t="n">
        <v>0</v>
      </c>
      <c r="R2205" s="2" t="inlineStr"/>
    </row>
    <row r="2206" ht="15" customHeight="1">
      <c r="A2206" t="inlineStr">
        <is>
          <t>A 2355-2022</t>
        </is>
      </c>
      <c r="B2206" s="1" t="n">
        <v>44578.94528935185</v>
      </c>
      <c r="C2206" s="1" t="n">
        <v>45952</v>
      </c>
      <c r="D2206" t="inlineStr">
        <is>
          <t>VÄSTRA GÖTALANDS LÄN</t>
        </is>
      </c>
      <c r="E2206" t="inlineStr">
        <is>
          <t>MELLERUD</t>
        </is>
      </c>
      <c r="G2206" t="n">
        <v>0.7</v>
      </c>
      <c r="H2206" t="n">
        <v>0</v>
      </c>
      <c r="I2206" t="n">
        <v>0</v>
      </c>
      <c r="J2206" t="n">
        <v>0</v>
      </c>
      <c r="K2206" t="n">
        <v>0</v>
      </c>
      <c r="L2206" t="n">
        <v>0</v>
      </c>
      <c r="M2206" t="n">
        <v>0</v>
      </c>
      <c r="N2206" t="n">
        <v>0</v>
      </c>
      <c r="O2206" t="n">
        <v>0</v>
      </c>
      <c r="P2206" t="n">
        <v>0</v>
      </c>
      <c r="Q2206" t="n">
        <v>0</v>
      </c>
      <c r="R2206" s="2" t="inlineStr"/>
    </row>
    <row r="2207" ht="15" customHeight="1">
      <c r="A2207" t="inlineStr">
        <is>
          <t>A 27615-2022</t>
        </is>
      </c>
      <c r="B2207" s="1" t="n">
        <v>44743.30945601852</v>
      </c>
      <c r="C2207" s="1" t="n">
        <v>45952</v>
      </c>
      <c r="D2207" t="inlineStr">
        <is>
          <t>VÄSTRA GÖTALANDS LÄN</t>
        </is>
      </c>
      <c r="E2207" t="inlineStr">
        <is>
          <t>VÅRGÅRDA</t>
        </is>
      </c>
      <c r="G2207" t="n">
        <v>0.8</v>
      </c>
      <c r="H2207" t="n">
        <v>0</v>
      </c>
      <c r="I2207" t="n">
        <v>0</v>
      </c>
      <c r="J2207" t="n">
        <v>0</v>
      </c>
      <c r="K2207" t="n">
        <v>0</v>
      </c>
      <c r="L2207" t="n">
        <v>0</v>
      </c>
      <c r="M2207" t="n">
        <v>0</v>
      </c>
      <c r="N2207" t="n">
        <v>0</v>
      </c>
      <c r="O2207" t="n">
        <v>0</v>
      </c>
      <c r="P2207" t="n">
        <v>0</v>
      </c>
      <c r="Q2207" t="n">
        <v>0</v>
      </c>
      <c r="R2207" s="2" t="inlineStr"/>
    </row>
    <row r="2208" ht="15" customHeight="1">
      <c r="A2208" t="inlineStr">
        <is>
          <t>A 31712-2022</t>
        </is>
      </c>
      <c r="B2208" s="1" t="n">
        <v>44776.44586805555</v>
      </c>
      <c r="C2208" s="1" t="n">
        <v>45952</v>
      </c>
      <c r="D2208" t="inlineStr">
        <is>
          <t>VÄSTRA GÖTALANDS LÄN</t>
        </is>
      </c>
      <c r="E2208" t="inlineStr">
        <is>
          <t>BENGTSFORS</t>
        </is>
      </c>
      <c r="G2208" t="n">
        <v>0.7</v>
      </c>
      <c r="H2208" t="n">
        <v>0</v>
      </c>
      <c r="I2208" t="n">
        <v>0</v>
      </c>
      <c r="J2208" t="n">
        <v>0</v>
      </c>
      <c r="K2208" t="n">
        <v>0</v>
      </c>
      <c r="L2208" t="n">
        <v>0</v>
      </c>
      <c r="M2208" t="n">
        <v>0</v>
      </c>
      <c r="N2208" t="n">
        <v>0</v>
      </c>
      <c r="O2208" t="n">
        <v>0</v>
      </c>
      <c r="P2208" t="n">
        <v>0</v>
      </c>
      <c r="Q2208" t="n">
        <v>0</v>
      </c>
      <c r="R2208" s="2" t="inlineStr"/>
    </row>
    <row r="2209" ht="15" customHeight="1">
      <c r="A2209" t="inlineStr">
        <is>
          <t>A 50413-2021</t>
        </is>
      </c>
      <c r="B2209" s="1" t="n">
        <v>44459</v>
      </c>
      <c r="C2209" s="1" t="n">
        <v>45952</v>
      </c>
      <c r="D2209" t="inlineStr">
        <is>
          <t>VÄSTRA GÖTALANDS LÄN</t>
        </is>
      </c>
      <c r="E2209" t="inlineStr">
        <is>
          <t>KUNGÄLV</t>
        </is>
      </c>
      <c r="G2209" t="n">
        <v>3.9</v>
      </c>
      <c r="H2209" t="n">
        <v>0</v>
      </c>
      <c r="I2209" t="n">
        <v>0</v>
      </c>
      <c r="J2209" t="n">
        <v>0</v>
      </c>
      <c r="K2209" t="n">
        <v>0</v>
      </c>
      <c r="L2209" t="n">
        <v>0</v>
      </c>
      <c r="M2209" t="n">
        <v>0</v>
      </c>
      <c r="N2209" t="n">
        <v>0</v>
      </c>
      <c r="O2209" t="n">
        <v>0</v>
      </c>
      <c r="P2209" t="n">
        <v>0</v>
      </c>
      <c r="Q2209" t="n">
        <v>0</v>
      </c>
      <c r="R2209" s="2" t="inlineStr"/>
    </row>
    <row r="2210" ht="15" customHeight="1">
      <c r="A2210" t="inlineStr">
        <is>
          <t>A 5265-2022</t>
        </is>
      </c>
      <c r="B2210" s="1" t="n">
        <v>44594</v>
      </c>
      <c r="C2210" s="1" t="n">
        <v>45952</v>
      </c>
      <c r="D2210" t="inlineStr">
        <is>
          <t>VÄSTRA GÖTALANDS LÄN</t>
        </is>
      </c>
      <c r="E2210" t="inlineStr">
        <is>
          <t>FALKÖPING</t>
        </is>
      </c>
      <c r="G2210" t="n">
        <v>0.6</v>
      </c>
      <c r="H2210" t="n">
        <v>0</v>
      </c>
      <c r="I2210" t="n">
        <v>0</v>
      </c>
      <c r="J2210" t="n">
        <v>0</v>
      </c>
      <c r="K2210" t="n">
        <v>0</v>
      </c>
      <c r="L2210" t="n">
        <v>0</v>
      </c>
      <c r="M2210" t="n">
        <v>0</v>
      </c>
      <c r="N2210" t="n">
        <v>0</v>
      </c>
      <c r="O2210" t="n">
        <v>0</v>
      </c>
      <c r="P2210" t="n">
        <v>0</v>
      </c>
      <c r="Q2210" t="n">
        <v>0</v>
      </c>
      <c r="R2210" s="2" t="inlineStr"/>
    </row>
    <row r="2211" ht="15" customHeight="1">
      <c r="A2211" t="inlineStr">
        <is>
          <t>A 56650-2021</t>
        </is>
      </c>
      <c r="B2211" s="1" t="n">
        <v>44480</v>
      </c>
      <c r="C2211" s="1" t="n">
        <v>45952</v>
      </c>
      <c r="D2211" t="inlineStr">
        <is>
          <t>VÄSTRA GÖTALANDS LÄN</t>
        </is>
      </c>
      <c r="E2211" t="inlineStr">
        <is>
          <t>UDDEVALLA</t>
        </is>
      </c>
      <c r="G2211" t="n">
        <v>1.8</v>
      </c>
      <c r="H2211" t="n">
        <v>0</v>
      </c>
      <c r="I2211" t="n">
        <v>0</v>
      </c>
      <c r="J2211" t="n">
        <v>0</v>
      </c>
      <c r="K2211" t="n">
        <v>0</v>
      </c>
      <c r="L2211" t="n">
        <v>0</v>
      </c>
      <c r="M2211" t="n">
        <v>0</v>
      </c>
      <c r="N2211" t="n">
        <v>0</v>
      </c>
      <c r="O2211" t="n">
        <v>0</v>
      </c>
      <c r="P2211" t="n">
        <v>0</v>
      </c>
      <c r="Q2211" t="n">
        <v>0</v>
      </c>
      <c r="R2211" s="2" t="inlineStr"/>
    </row>
    <row r="2212" ht="15" customHeight="1">
      <c r="A2212" t="inlineStr">
        <is>
          <t>A 7329-2022</t>
        </is>
      </c>
      <c r="B2212" s="1" t="n">
        <v>44606</v>
      </c>
      <c r="C2212" s="1" t="n">
        <v>45952</v>
      </c>
      <c r="D2212" t="inlineStr">
        <is>
          <t>VÄSTRA GÖTALANDS LÄN</t>
        </is>
      </c>
      <c r="E2212" t="inlineStr">
        <is>
          <t>STRÖMSTAD</t>
        </is>
      </c>
      <c r="G2212" t="n">
        <v>5.3</v>
      </c>
      <c r="H2212" t="n">
        <v>0</v>
      </c>
      <c r="I2212" t="n">
        <v>0</v>
      </c>
      <c r="J2212" t="n">
        <v>0</v>
      </c>
      <c r="K2212" t="n">
        <v>0</v>
      </c>
      <c r="L2212" t="n">
        <v>0</v>
      </c>
      <c r="M2212" t="n">
        <v>0</v>
      </c>
      <c r="N2212" t="n">
        <v>0</v>
      </c>
      <c r="O2212" t="n">
        <v>0</v>
      </c>
      <c r="P2212" t="n">
        <v>0</v>
      </c>
      <c r="Q2212" t="n">
        <v>0</v>
      </c>
      <c r="R2212" s="2" t="inlineStr"/>
    </row>
    <row r="2213" ht="15" customHeight="1">
      <c r="A2213" t="inlineStr">
        <is>
          <t>A 57509-2020</t>
        </is>
      </c>
      <c r="B2213" s="1" t="n">
        <v>44140</v>
      </c>
      <c r="C2213" s="1" t="n">
        <v>45952</v>
      </c>
      <c r="D2213" t="inlineStr">
        <is>
          <t>VÄSTRA GÖTALANDS LÄN</t>
        </is>
      </c>
      <c r="E2213" t="inlineStr">
        <is>
          <t>LIDKÖPING</t>
        </is>
      </c>
      <c r="G2213" t="n">
        <v>2.9</v>
      </c>
      <c r="H2213" t="n">
        <v>0</v>
      </c>
      <c r="I2213" t="n">
        <v>0</v>
      </c>
      <c r="J2213" t="n">
        <v>0</v>
      </c>
      <c r="K2213" t="n">
        <v>0</v>
      </c>
      <c r="L2213" t="n">
        <v>0</v>
      </c>
      <c r="M2213" t="n">
        <v>0</v>
      </c>
      <c r="N2213" t="n">
        <v>0</v>
      </c>
      <c r="O2213" t="n">
        <v>0</v>
      </c>
      <c r="P2213" t="n">
        <v>0</v>
      </c>
      <c r="Q2213" t="n">
        <v>0</v>
      </c>
      <c r="R2213" s="2" t="inlineStr"/>
    </row>
    <row r="2214" ht="15" customHeight="1">
      <c r="A2214" t="inlineStr">
        <is>
          <t>A 13741-2022</t>
        </is>
      </c>
      <c r="B2214" s="1" t="n">
        <v>44649</v>
      </c>
      <c r="C2214" s="1" t="n">
        <v>45952</v>
      </c>
      <c r="D2214" t="inlineStr">
        <is>
          <t>VÄSTRA GÖTALANDS LÄN</t>
        </is>
      </c>
      <c r="E2214" t="inlineStr">
        <is>
          <t>BENGTSFORS</t>
        </is>
      </c>
      <c r="G2214" t="n">
        <v>5.8</v>
      </c>
      <c r="H2214" t="n">
        <v>0</v>
      </c>
      <c r="I2214" t="n">
        <v>0</v>
      </c>
      <c r="J2214" t="n">
        <v>0</v>
      </c>
      <c r="K2214" t="n">
        <v>0</v>
      </c>
      <c r="L2214" t="n">
        <v>0</v>
      </c>
      <c r="M2214" t="n">
        <v>0</v>
      </c>
      <c r="N2214" t="n">
        <v>0</v>
      </c>
      <c r="O2214" t="n">
        <v>0</v>
      </c>
      <c r="P2214" t="n">
        <v>0</v>
      </c>
      <c r="Q2214" t="n">
        <v>0</v>
      </c>
      <c r="R2214" s="2" t="inlineStr"/>
    </row>
    <row r="2215" ht="15" customHeight="1">
      <c r="A2215" t="inlineStr">
        <is>
          <t>A 64211-2021</t>
        </is>
      </c>
      <c r="B2215" s="1" t="n">
        <v>44510</v>
      </c>
      <c r="C2215" s="1" t="n">
        <v>45952</v>
      </c>
      <c r="D2215" t="inlineStr">
        <is>
          <t>VÄSTRA GÖTALANDS LÄN</t>
        </is>
      </c>
      <c r="E2215" t="inlineStr">
        <is>
          <t>ALINGSÅS</t>
        </is>
      </c>
      <c r="G2215" t="n">
        <v>1.4</v>
      </c>
      <c r="H2215" t="n">
        <v>0</v>
      </c>
      <c r="I2215" t="n">
        <v>0</v>
      </c>
      <c r="J2215" t="n">
        <v>0</v>
      </c>
      <c r="K2215" t="n">
        <v>0</v>
      </c>
      <c r="L2215" t="n">
        <v>0</v>
      </c>
      <c r="M2215" t="n">
        <v>0</v>
      </c>
      <c r="N2215" t="n">
        <v>0</v>
      </c>
      <c r="O2215" t="n">
        <v>0</v>
      </c>
      <c r="P2215" t="n">
        <v>0</v>
      </c>
      <c r="Q2215" t="n">
        <v>0</v>
      </c>
      <c r="R2215" s="2" t="inlineStr"/>
    </row>
    <row r="2216" ht="15" customHeight="1">
      <c r="A2216" t="inlineStr">
        <is>
          <t>A 52953-2021</t>
        </is>
      </c>
      <c r="B2216" s="1" t="n">
        <v>44467</v>
      </c>
      <c r="C2216" s="1" t="n">
        <v>45952</v>
      </c>
      <c r="D2216" t="inlineStr">
        <is>
          <t>VÄSTRA GÖTALANDS LÄN</t>
        </is>
      </c>
      <c r="E2216" t="inlineStr">
        <is>
          <t>LILLA EDET</t>
        </is>
      </c>
      <c r="G2216" t="n">
        <v>4.1</v>
      </c>
      <c r="H2216" t="n">
        <v>0</v>
      </c>
      <c r="I2216" t="n">
        <v>0</v>
      </c>
      <c r="J2216" t="n">
        <v>0</v>
      </c>
      <c r="K2216" t="n">
        <v>0</v>
      </c>
      <c r="L2216" t="n">
        <v>0</v>
      </c>
      <c r="M2216" t="n">
        <v>0</v>
      </c>
      <c r="N2216" t="n">
        <v>0</v>
      </c>
      <c r="O2216" t="n">
        <v>0</v>
      </c>
      <c r="P2216" t="n">
        <v>0</v>
      </c>
      <c r="Q2216" t="n">
        <v>0</v>
      </c>
      <c r="R2216" s="2" t="inlineStr"/>
    </row>
    <row r="2217" ht="15" customHeight="1">
      <c r="A2217" t="inlineStr">
        <is>
          <t>A 21487-2021</t>
        </is>
      </c>
      <c r="B2217" s="1" t="n">
        <v>44320</v>
      </c>
      <c r="C2217" s="1" t="n">
        <v>45952</v>
      </c>
      <c r="D2217" t="inlineStr">
        <is>
          <t>VÄSTRA GÖTALANDS LÄN</t>
        </is>
      </c>
      <c r="E2217" t="inlineStr">
        <is>
          <t>SOTENÄS</t>
        </is>
      </c>
      <c r="G2217" t="n">
        <v>1</v>
      </c>
      <c r="H2217" t="n">
        <v>0</v>
      </c>
      <c r="I2217" t="n">
        <v>0</v>
      </c>
      <c r="J2217" t="n">
        <v>0</v>
      </c>
      <c r="K2217" t="n">
        <v>0</v>
      </c>
      <c r="L2217" t="n">
        <v>0</v>
      </c>
      <c r="M2217" t="n">
        <v>0</v>
      </c>
      <c r="N2217" t="n">
        <v>0</v>
      </c>
      <c r="O2217" t="n">
        <v>0</v>
      </c>
      <c r="P2217" t="n">
        <v>0</v>
      </c>
      <c r="Q2217" t="n">
        <v>0</v>
      </c>
      <c r="R2217" s="2" t="inlineStr"/>
    </row>
    <row r="2218" ht="15" customHeight="1">
      <c r="A2218" t="inlineStr">
        <is>
          <t>A 21586-2021</t>
        </is>
      </c>
      <c r="B2218" s="1" t="n">
        <v>44321.66145833334</v>
      </c>
      <c r="C2218" s="1" t="n">
        <v>45952</v>
      </c>
      <c r="D2218" t="inlineStr">
        <is>
          <t>VÄSTRA GÖTALANDS LÄN</t>
        </is>
      </c>
      <c r="E2218" t="inlineStr">
        <is>
          <t>MARK</t>
        </is>
      </c>
      <c r="G2218" t="n">
        <v>0.8</v>
      </c>
      <c r="H2218" t="n">
        <v>0</v>
      </c>
      <c r="I2218" t="n">
        <v>0</v>
      </c>
      <c r="J2218" t="n">
        <v>0</v>
      </c>
      <c r="K2218" t="n">
        <v>0</v>
      </c>
      <c r="L2218" t="n">
        <v>0</v>
      </c>
      <c r="M2218" t="n">
        <v>0</v>
      </c>
      <c r="N2218" t="n">
        <v>0</v>
      </c>
      <c r="O2218" t="n">
        <v>0</v>
      </c>
      <c r="P2218" t="n">
        <v>0</v>
      </c>
      <c r="Q2218" t="n">
        <v>0</v>
      </c>
      <c r="R2218" s="2" t="inlineStr"/>
    </row>
    <row r="2219" ht="15" customHeight="1">
      <c r="A2219" t="inlineStr">
        <is>
          <t>A 25629-2021</t>
        </is>
      </c>
      <c r="B2219" s="1" t="n">
        <v>44343.50334490741</v>
      </c>
      <c r="C2219" s="1" t="n">
        <v>45952</v>
      </c>
      <c r="D2219" t="inlineStr">
        <is>
          <t>VÄSTRA GÖTALANDS LÄN</t>
        </is>
      </c>
      <c r="E2219" t="inlineStr">
        <is>
          <t>TIDAHOLM</t>
        </is>
      </c>
      <c r="G2219" t="n">
        <v>1.6</v>
      </c>
      <c r="H2219" t="n">
        <v>0</v>
      </c>
      <c r="I2219" t="n">
        <v>0</v>
      </c>
      <c r="J2219" t="n">
        <v>0</v>
      </c>
      <c r="K2219" t="n">
        <v>0</v>
      </c>
      <c r="L2219" t="n">
        <v>0</v>
      </c>
      <c r="M2219" t="n">
        <v>0</v>
      </c>
      <c r="N2219" t="n">
        <v>0</v>
      </c>
      <c r="O2219" t="n">
        <v>0</v>
      </c>
      <c r="P2219" t="n">
        <v>0</v>
      </c>
      <c r="Q2219" t="n">
        <v>0</v>
      </c>
      <c r="R2219" s="2" t="inlineStr"/>
    </row>
    <row r="2220" ht="15" customHeight="1">
      <c r="A2220" t="inlineStr">
        <is>
          <t>A 7531-2022</t>
        </is>
      </c>
      <c r="B2220" s="1" t="n">
        <v>44607</v>
      </c>
      <c r="C2220" s="1" t="n">
        <v>45952</v>
      </c>
      <c r="D2220" t="inlineStr">
        <is>
          <t>VÄSTRA GÖTALANDS LÄN</t>
        </is>
      </c>
      <c r="E2220" t="inlineStr">
        <is>
          <t>VÅRGÅRDA</t>
        </is>
      </c>
      <c r="G2220" t="n">
        <v>2.6</v>
      </c>
      <c r="H2220" t="n">
        <v>0</v>
      </c>
      <c r="I2220" t="n">
        <v>0</v>
      </c>
      <c r="J2220" t="n">
        <v>0</v>
      </c>
      <c r="K2220" t="n">
        <v>0</v>
      </c>
      <c r="L2220" t="n">
        <v>0</v>
      </c>
      <c r="M2220" t="n">
        <v>0</v>
      </c>
      <c r="N2220" t="n">
        <v>0</v>
      </c>
      <c r="O2220" t="n">
        <v>0</v>
      </c>
      <c r="P2220" t="n">
        <v>0</v>
      </c>
      <c r="Q2220" t="n">
        <v>0</v>
      </c>
      <c r="R2220" s="2" t="inlineStr"/>
    </row>
    <row r="2221" ht="15" customHeight="1">
      <c r="A2221" t="inlineStr">
        <is>
          <t>A 14668-2022</t>
        </is>
      </c>
      <c r="B2221" s="1" t="n">
        <v>44655.78991898148</v>
      </c>
      <c r="C2221" s="1" t="n">
        <v>45952</v>
      </c>
      <c r="D2221" t="inlineStr">
        <is>
          <t>VÄSTRA GÖTALANDS LÄN</t>
        </is>
      </c>
      <c r="E2221" t="inlineStr">
        <is>
          <t>ULRICEHAMN</t>
        </is>
      </c>
      <c r="G2221" t="n">
        <v>6.9</v>
      </c>
      <c r="H2221" t="n">
        <v>0</v>
      </c>
      <c r="I2221" t="n">
        <v>0</v>
      </c>
      <c r="J2221" t="n">
        <v>0</v>
      </c>
      <c r="K2221" t="n">
        <v>0</v>
      </c>
      <c r="L2221" t="n">
        <v>0</v>
      </c>
      <c r="M2221" t="n">
        <v>0</v>
      </c>
      <c r="N2221" t="n">
        <v>0</v>
      </c>
      <c r="O2221" t="n">
        <v>0</v>
      </c>
      <c r="P2221" t="n">
        <v>0</v>
      </c>
      <c r="Q2221" t="n">
        <v>0</v>
      </c>
      <c r="R2221" s="2" t="inlineStr"/>
    </row>
    <row r="2222" ht="15" customHeight="1">
      <c r="A2222" t="inlineStr">
        <is>
          <t>A 56026-2022</t>
        </is>
      </c>
      <c r="B2222" s="1" t="n">
        <v>44889.54108796296</v>
      </c>
      <c r="C2222" s="1" t="n">
        <v>45952</v>
      </c>
      <c r="D2222" t="inlineStr">
        <is>
          <t>VÄSTRA GÖTALANDS LÄN</t>
        </is>
      </c>
      <c r="E2222" t="inlineStr">
        <is>
          <t>BENGTSFORS</t>
        </is>
      </c>
      <c r="G2222" t="n">
        <v>0.6</v>
      </c>
      <c r="H2222" t="n">
        <v>0</v>
      </c>
      <c r="I2222" t="n">
        <v>0</v>
      </c>
      <c r="J2222" t="n">
        <v>0</v>
      </c>
      <c r="K2222" t="n">
        <v>0</v>
      </c>
      <c r="L2222" t="n">
        <v>0</v>
      </c>
      <c r="M2222" t="n">
        <v>0</v>
      </c>
      <c r="N2222" t="n">
        <v>0</v>
      </c>
      <c r="O2222" t="n">
        <v>0</v>
      </c>
      <c r="P2222" t="n">
        <v>0</v>
      </c>
      <c r="Q2222" t="n">
        <v>0</v>
      </c>
      <c r="R2222" s="2" t="inlineStr"/>
    </row>
    <row r="2223" ht="15" customHeight="1">
      <c r="A2223" t="inlineStr">
        <is>
          <t>A 24952-2021</t>
        </is>
      </c>
      <c r="B2223" s="1" t="n">
        <v>44341</v>
      </c>
      <c r="C2223" s="1" t="n">
        <v>45952</v>
      </c>
      <c r="D2223" t="inlineStr">
        <is>
          <t>VÄSTRA GÖTALANDS LÄN</t>
        </is>
      </c>
      <c r="E2223" t="inlineStr">
        <is>
          <t>LIDKÖPING</t>
        </is>
      </c>
      <c r="G2223" t="n">
        <v>1.4</v>
      </c>
      <c r="H2223" t="n">
        <v>0</v>
      </c>
      <c r="I2223" t="n">
        <v>0</v>
      </c>
      <c r="J2223" t="n">
        <v>0</v>
      </c>
      <c r="K2223" t="n">
        <v>0</v>
      </c>
      <c r="L2223" t="n">
        <v>0</v>
      </c>
      <c r="M2223" t="n">
        <v>0</v>
      </c>
      <c r="N2223" t="n">
        <v>0</v>
      </c>
      <c r="O2223" t="n">
        <v>0</v>
      </c>
      <c r="P2223" t="n">
        <v>0</v>
      </c>
      <c r="Q2223" t="n">
        <v>0</v>
      </c>
      <c r="R2223" s="2" t="inlineStr"/>
    </row>
    <row r="2224" ht="15" customHeight="1">
      <c r="A2224" t="inlineStr">
        <is>
          <t>A 9014-2022</t>
        </is>
      </c>
      <c r="B2224" s="1" t="n">
        <v>44615.37123842593</v>
      </c>
      <c r="C2224" s="1" t="n">
        <v>45952</v>
      </c>
      <c r="D2224" t="inlineStr">
        <is>
          <t>VÄSTRA GÖTALANDS LÄN</t>
        </is>
      </c>
      <c r="E2224" t="inlineStr">
        <is>
          <t>MARK</t>
        </is>
      </c>
      <c r="G2224" t="n">
        <v>1.2</v>
      </c>
      <c r="H2224" t="n">
        <v>0</v>
      </c>
      <c r="I2224" t="n">
        <v>0</v>
      </c>
      <c r="J2224" t="n">
        <v>0</v>
      </c>
      <c r="K2224" t="n">
        <v>0</v>
      </c>
      <c r="L2224" t="n">
        <v>0</v>
      </c>
      <c r="M2224" t="n">
        <v>0</v>
      </c>
      <c r="N2224" t="n">
        <v>0</v>
      </c>
      <c r="O2224" t="n">
        <v>0</v>
      </c>
      <c r="P2224" t="n">
        <v>0</v>
      </c>
      <c r="Q2224" t="n">
        <v>0</v>
      </c>
      <c r="R2224" s="2" t="inlineStr"/>
    </row>
    <row r="2225" ht="15" customHeight="1">
      <c r="A2225" t="inlineStr">
        <is>
          <t>A 28253-2022</t>
        </is>
      </c>
      <c r="B2225" s="1" t="n">
        <v>44746.7121412037</v>
      </c>
      <c r="C2225" s="1" t="n">
        <v>45952</v>
      </c>
      <c r="D2225" t="inlineStr">
        <is>
          <t>VÄSTRA GÖTALANDS LÄN</t>
        </is>
      </c>
      <c r="E2225" t="inlineStr">
        <is>
          <t>VARA</t>
        </is>
      </c>
      <c r="G2225" t="n">
        <v>0.6</v>
      </c>
      <c r="H2225" t="n">
        <v>0</v>
      </c>
      <c r="I2225" t="n">
        <v>0</v>
      </c>
      <c r="J2225" t="n">
        <v>0</v>
      </c>
      <c r="K2225" t="n">
        <v>0</v>
      </c>
      <c r="L2225" t="n">
        <v>0</v>
      </c>
      <c r="M2225" t="n">
        <v>0</v>
      </c>
      <c r="N2225" t="n">
        <v>0</v>
      </c>
      <c r="O2225" t="n">
        <v>0</v>
      </c>
      <c r="P2225" t="n">
        <v>0</v>
      </c>
      <c r="Q2225" t="n">
        <v>0</v>
      </c>
      <c r="R2225" s="2" t="inlineStr"/>
    </row>
    <row r="2226" ht="15" customHeight="1">
      <c r="A2226" t="inlineStr">
        <is>
          <t>A 25338-2021</t>
        </is>
      </c>
      <c r="B2226" s="1" t="n">
        <v>44342</v>
      </c>
      <c r="C2226" s="1" t="n">
        <v>45952</v>
      </c>
      <c r="D2226" t="inlineStr">
        <is>
          <t>VÄSTRA GÖTALANDS LÄN</t>
        </is>
      </c>
      <c r="E2226" t="inlineStr">
        <is>
          <t>BORÅS</t>
        </is>
      </c>
      <c r="G2226" t="n">
        <v>9.800000000000001</v>
      </c>
      <c r="H2226" t="n">
        <v>0</v>
      </c>
      <c r="I2226" t="n">
        <v>0</v>
      </c>
      <c r="J2226" t="n">
        <v>0</v>
      </c>
      <c r="K2226" t="n">
        <v>0</v>
      </c>
      <c r="L2226" t="n">
        <v>0</v>
      </c>
      <c r="M2226" t="n">
        <v>0</v>
      </c>
      <c r="N2226" t="n">
        <v>0</v>
      </c>
      <c r="O2226" t="n">
        <v>0</v>
      </c>
      <c r="P2226" t="n">
        <v>0</v>
      </c>
      <c r="Q2226" t="n">
        <v>0</v>
      </c>
      <c r="R2226" s="2" t="inlineStr"/>
    </row>
    <row r="2227" ht="15" customHeight="1">
      <c r="A2227" t="inlineStr">
        <is>
          <t>A 54489-2021</t>
        </is>
      </c>
      <c r="B2227" s="1" t="n">
        <v>44473</v>
      </c>
      <c r="C2227" s="1" t="n">
        <v>45952</v>
      </c>
      <c r="D2227" t="inlineStr">
        <is>
          <t>VÄSTRA GÖTALANDS LÄN</t>
        </is>
      </c>
      <c r="E2227" t="inlineStr">
        <is>
          <t>LYSEKIL</t>
        </is>
      </c>
      <c r="G2227" t="n">
        <v>6.8</v>
      </c>
      <c r="H2227" t="n">
        <v>0</v>
      </c>
      <c r="I2227" t="n">
        <v>0</v>
      </c>
      <c r="J2227" t="n">
        <v>0</v>
      </c>
      <c r="K2227" t="n">
        <v>0</v>
      </c>
      <c r="L2227" t="n">
        <v>0</v>
      </c>
      <c r="M2227" t="n">
        <v>0</v>
      </c>
      <c r="N2227" t="n">
        <v>0</v>
      </c>
      <c r="O2227" t="n">
        <v>0</v>
      </c>
      <c r="P2227" t="n">
        <v>0</v>
      </c>
      <c r="Q2227" t="n">
        <v>0</v>
      </c>
      <c r="R2227" s="2" t="inlineStr"/>
    </row>
    <row r="2228" ht="15" customHeight="1">
      <c r="A2228" t="inlineStr">
        <is>
          <t>A 7192-2022</t>
        </is>
      </c>
      <c r="B2228" s="1" t="n">
        <v>44605.77613425926</v>
      </c>
      <c r="C2228" s="1" t="n">
        <v>45952</v>
      </c>
      <c r="D2228" t="inlineStr">
        <is>
          <t>VÄSTRA GÖTALANDS LÄN</t>
        </is>
      </c>
      <c r="E2228" t="inlineStr">
        <is>
          <t>BORÅS</t>
        </is>
      </c>
      <c r="G2228" t="n">
        <v>0.8</v>
      </c>
      <c r="H2228" t="n">
        <v>0</v>
      </c>
      <c r="I2228" t="n">
        <v>0</v>
      </c>
      <c r="J2228" t="n">
        <v>0</v>
      </c>
      <c r="K2228" t="n">
        <v>0</v>
      </c>
      <c r="L2228" t="n">
        <v>0</v>
      </c>
      <c r="M2228" t="n">
        <v>0</v>
      </c>
      <c r="N2228" t="n">
        <v>0</v>
      </c>
      <c r="O2228" t="n">
        <v>0</v>
      </c>
      <c r="P2228" t="n">
        <v>0</v>
      </c>
      <c r="Q2228" t="n">
        <v>0</v>
      </c>
      <c r="R2228" s="2" t="inlineStr"/>
    </row>
    <row r="2229" ht="15" customHeight="1">
      <c r="A2229" t="inlineStr">
        <is>
          <t>A 8502-2022</t>
        </is>
      </c>
      <c r="B2229" s="1" t="n">
        <v>44613</v>
      </c>
      <c r="C2229" s="1" t="n">
        <v>45952</v>
      </c>
      <c r="D2229" t="inlineStr">
        <is>
          <t>VÄSTRA GÖTALANDS LÄN</t>
        </is>
      </c>
      <c r="E2229" t="inlineStr">
        <is>
          <t>TIDAHOLM</t>
        </is>
      </c>
      <c r="G2229" t="n">
        <v>1.1</v>
      </c>
      <c r="H2229" t="n">
        <v>0</v>
      </c>
      <c r="I2229" t="n">
        <v>0</v>
      </c>
      <c r="J2229" t="n">
        <v>0</v>
      </c>
      <c r="K2229" t="n">
        <v>0</v>
      </c>
      <c r="L2229" t="n">
        <v>0</v>
      </c>
      <c r="M2229" t="n">
        <v>0</v>
      </c>
      <c r="N2229" t="n">
        <v>0</v>
      </c>
      <c r="O2229" t="n">
        <v>0</v>
      </c>
      <c r="P2229" t="n">
        <v>0</v>
      </c>
      <c r="Q2229" t="n">
        <v>0</v>
      </c>
      <c r="R2229" s="2" t="inlineStr"/>
    </row>
    <row r="2230" ht="15" customHeight="1">
      <c r="A2230" t="inlineStr">
        <is>
          <t>A 19544-2022</t>
        </is>
      </c>
      <c r="B2230" s="1" t="n">
        <v>44693</v>
      </c>
      <c r="C2230" s="1" t="n">
        <v>45952</v>
      </c>
      <c r="D2230" t="inlineStr">
        <is>
          <t>VÄSTRA GÖTALANDS LÄN</t>
        </is>
      </c>
      <c r="E2230" t="inlineStr">
        <is>
          <t>MARIESTAD</t>
        </is>
      </c>
      <c r="G2230" t="n">
        <v>2.6</v>
      </c>
      <c r="H2230" t="n">
        <v>0</v>
      </c>
      <c r="I2230" t="n">
        <v>0</v>
      </c>
      <c r="J2230" t="n">
        <v>0</v>
      </c>
      <c r="K2230" t="n">
        <v>0</v>
      </c>
      <c r="L2230" t="n">
        <v>0</v>
      </c>
      <c r="M2230" t="n">
        <v>0</v>
      </c>
      <c r="N2230" t="n">
        <v>0</v>
      </c>
      <c r="O2230" t="n">
        <v>0</v>
      </c>
      <c r="P2230" t="n">
        <v>0</v>
      </c>
      <c r="Q2230" t="n">
        <v>0</v>
      </c>
      <c r="R2230" s="2" t="inlineStr"/>
    </row>
    <row r="2231" ht="15" customHeight="1">
      <c r="A2231" t="inlineStr">
        <is>
          <t>A 19561-2022</t>
        </is>
      </c>
      <c r="B2231" s="1" t="n">
        <v>44693.66460648148</v>
      </c>
      <c r="C2231" s="1" t="n">
        <v>45952</v>
      </c>
      <c r="D2231" t="inlineStr">
        <is>
          <t>VÄSTRA GÖTALANDS LÄN</t>
        </is>
      </c>
      <c r="E2231" t="inlineStr">
        <is>
          <t>VÄNERSBORG</t>
        </is>
      </c>
      <c r="G2231" t="n">
        <v>0.5</v>
      </c>
      <c r="H2231" t="n">
        <v>0</v>
      </c>
      <c r="I2231" t="n">
        <v>0</v>
      </c>
      <c r="J2231" t="n">
        <v>0</v>
      </c>
      <c r="K2231" t="n">
        <v>0</v>
      </c>
      <c r="L2231" t="n">
        <v>0</v>
      </c>
      <c r="M2231" t="n">
        <v>0</v>
      </c>
      <c r="N2231" t="n">
        <v>0</v>
      </c>
      <c r="O2231" t="n">
        <v>0</v>
      </c>
      <c r="P2231" t="n">
        <v>0</v>
      </c>
      <c r="Q2231" t="n">
        <v>0</v>
      </c>
      <c r="R2231" s="2" t="inlineStr"/>
    </row>
    <row r="2232" ht="15" customHeight="1">
      <c r="A2232" t="inlineStr">
        <is>
          <t>A 54601-2021</t>
        </is>
      </c>
      <c r="B2232" s="1" t="n">
        <v>44473</v>
      </c>
      <c r="C2232" s="1" t="n">
        <v>45952</v>
      </c>
      <c r="D2232" t="inlineStr">
        <is>
          <t>VÄSTRA GÖTALANDS LÄN</t>
        </is>
      </c>
      <c r="E2232" t="inlineStr">
        <is>
          <t>STENUNGSUND</t>
        </is>
      </c>
      <c r="G2232" t="n">
        <v>1.4</v>
      </c>
      <c r="H2232" t="n">
        <v>0</v>
      </c>
      <c r="I2232" t="n">
        <v>0</v>
      </c>
      <c r="J2232" t="n">
        <v>0</v>
      </c>
      <c r="K2232" t="n">
        <v>0</v>
      </c>
      <c r="L2232" t="n">
        <v>0</v>
      </c>
      <c r="M2232" t="n">
        <v>0</v>
      </c>
      <c r="N2232" t="n">
        <v>0</v>
      </c>
      <c r="O2232" t="n">
        <v>0</v>
      </c>
      <c r="P2232" t="n">
        <v>0</v>
      </c>
      <c r="Q2232" t="n">
        <v>0</v>
      </c>
      <c r="R2232" s="2" t="inlineStr"/>
    </row>
    <row r="2233" ht="15" customHeight="1">
      <c r="A2233" t="inlineStr">
        <is>
          <t>A 31580-2022</t>
        </is>
      </c>
      <c r="B2233" s="1" t="n">
        <v>44775</v>
      </c>
      <c r="C2233" s="1" t="n">
        <v>45952</v>
      </c>
      <c r="D2233" t="inlineStr">
        <is>
          <t>VÄSTRA GÖTALANDS LÄN</t>
        </is>
      </c>
      <c r="E2233" t="inlineStr">
        <is>
          <t>ULRICEHAMN</t>
        </is>
      </c>
      <c r="G2233" t="n">
        <v>13</v>
      </c>
      <c r="H2233" t="n">
        <v>0</v>
      </c>
      <c r="I2233" t="n">
        <v>0</v>
      </c>
      <c r="J2233" t="n">
        <v>0</v>
      </c>
      <c r="K2233" t="n">
        <v>0</v>
      </c>
      <c r="L2233" t="n">
        <v>0</v>
      </c>
      <c r="M2233" t="n">
        <v>0</v>
      </c>
      <c r="N2233" t="n">
        <v>0</v>
      </c>
      <c r="O2233" t="n">
        <v>0</v>
      </c>
      <c r="P2233" t="n">
        <v>0</v>
      </c>
      <c r="Q2233" t="n">
        <v>0</v>
      </c>
      <c r="R2233" s="2" t="inlineStr"/>
    </row>
    <row r="2234" ht="15" customHeight="1">
      <c r="A2234" t="inlineStr">
        <is>
          <t>A 12819-2022</t>
        </is>
      </c>
      <c r="B2234" s="1" t="n">
        <v>44642</v>
      </c>
      <c r="C2234" s="1" t="n">
        <v>45952</v>
      </c>
      <c r="D2234" t="inlineStr">
        <is>
          <t>VÄSTRA GÖTALANDS LÄN</t>
        </is>
      </c>
      <c r="E2234" t="inlineStr">
        <is>
          <t>LIDKÖPING</t>
        </is>
      </c>
      <c r="G2234" t="n">
        <v>1.5</v>
      </c>
      <c r="H2234" t="n">
        <v>0</v>
      </c>
      <c r="I2234" t="n">
        <v>0</v>
      </c>
      <c r="J2234" t="n">
        <v>0</v>
      </c>
      <c r="K2234" t="n">
        <v>0</v>
      </c>
      <c r="L2234" t="n">
        <v>0</v>
      </c>
      <c r="M2234" t="n">
        <v>0</v>
      </c>
      <c r="N2234" t="n">
        <v>0</v>
      </c>
      <c r="O2234" t="n">
        <v>0</v>
      </c>
      <c r="P2234" t="n">
        <v>0</v>
      </c>
      <c r="Q2234" t="n">
        <v>0</v>
      </c>
      <c r="R2234" s="2" t="inlineStr"/>
    </row>
    <row r="2235" ht="15" customHeight="1">
      <c r="A2235" t="inlineStr">
        <is>
          <t>A 12828-2022</t>
        </is>
      </c>
      <c r="B2235" s="1" t="n">
        <v>44642.43065972222</v>
      </c>
      <c r="C2235" s="1" t="n">
        <v>45952</v>
      </c>
      <c r="D2235" t="inlineStr">
        <is>
          <t>VÄSTRA GÖTALANDS LÄN</t>
        </is>
      </c>
      <c r="E2235" t="inlineStr">
        <is>
          <t>VÄNERSBORG</t>
        </is>
      </c>
      <c r="G2235" t="n">
        <v>0.3</v>
      </c>
      <c r="H2235" t="n">
        <v>0</v>
      </c>
      <c r="I2235" t="n">
        <v>0</v>
      </c>
      <c r="J2235" t="n">
        <v>0</v>
      </c>
      <c r="K2235" t="n">
        <v>0</v>
      </c>
      <c r="L2235" t="n">
        <v>0</v>
      </c>
      <c r="M2235" t="n">
        <v>0</v>
      </c>
      <c r="N2235" t="n">
        <v>0</v>
      </c>
      <c r="O2235" t="n">
        <v>0</v>
      </c>
      <c r="P2235" t="n">
        <v>0</v>
      </c>
      <c r="Q2235" t="n">
        <v>0</v>
      </c>
      <c r="R2235" s="2" t="inlineStr"/>
    </row>
    <row r="2236" ht="15" customHeight="1">
      <c r="A2236" t="inlineStr">
        <is>
          <t>A 12836-2022</t>
        </is>
      </c>
      <c r="B2236" s="1" t="n">
        <v>44642.44318287037</v>
      </c>
      <c r="C2236" s="1" t="n">
        <v>45952</v>
      </c>
      <c r="D2236" t="inlineStr">
        <is>
          <t>VÄSTRA GÖTALANDS LÄN</t>
        </is>
      </c>
      <c r="E2236" t="inlineStr">
        <is>
          <t>VÄNERSBORG</t>
        </is>
      </c>
      <c r="G2236" t="n">
        <v>0.2</v>
      </c>
      <c r="H2236" t="n">
        <v>0</v>
      </c>
      <c r="I2236" t="n">
        <v>0</v>
      </c>
      <c r="J2236" t="n">
        <v>0</v>
      </c>
      <c r="K2236" t="n">
        <v>0</v>
      </c>
      <c r="L2236" t="n">
        <v>0</v>
      </c>
      <c r="M2236" t="n">
        <v>0</v>
      </c>
      <c r="N2236" t="n">
        <v>0</v>
      </c>
      <c r="O2236" t="n">
        <v>0</v>
      </c>
      <c r="P2236" t="n">
        <v>0</v>
      </c>
      <c r="Q2236" t="n">
        <v>0</v>
      </c>
      <c r="R2236" s="2" t="inlineStr"/>
    </row>
    <row r="2237" ht="15" customHeight="1">
      <c r="A2237" t="inlineStr">
        <is>
          <t>A 13608-2021</t>
        </is>
      </c>
      <c r="B2237" s="1" t="n">
        <v>44274.37195601852</v>
      </c>
      <c r="C2237" s="1" t="n">
        <v>45952</v>
      </c>
      <c r="D2237" t="inlineStr">
        <is>
          <t>VÄSTRA GÖTALANDS LÄN</t>
        </is>
      </c>
      <c r="E2237" t="inlineStr">
        <is>
          <t>TRANEMO</t>
        </is>
      </c>
      <c r="G2237" t="n">
        <v>3.7</v>
      </c>
      <c r="H2237" t="n">
        <v>0</v>
      </c>
      <c r="I2237" t="n">
        <v>0</v>
      </c>
      <c r="J2237" t="n">
        <v>0</v>
      </c>
      <c r="K2237" t="n">
        <v>0</v>
      </c>
      <c r="L2237" t="n">
        <v>0</v>
      </c>
      <c r="M2237" t="n">
        <v>0</v>
      </c>
      <c r="N2237" t="n">
        <v>0</v>
      </c>
      <c r="O2237" t="n">
        <v>0</v>
      </c>
      <c r="P2237" t="n">
        <v>0</v>
      </c>
      <c r="Q2237" t="n">
        <v>0</v>
      </c>
      <c r="R2237" s="2" t="inlineStr"/>
    </row>
    <row r="2238" ht="15" customHeight="1">
      <c r="A2238" t="inlineStr">
        <is>
          <t>A 31448-2021</t>
        </is>
      </c>
      <c r="B2238" s="1" t="n">
        <v>44369</v>
      </c>
      <c r="C2238" s="1" t="n">
        <v>45952</v>
      </c>
      <c r="D2238" t="inlineStr">
        <is>
          <t>VÄSTRA GÖTALANDS LÄN</t>
        </is>
      </c>
      <c r="E2238" t="inlineStr">
        <is>
          <t>GÖTENE</t>
        </is>
      </c>
      <c r="G2238" t="n">
        <v>0.5</v>
      </c>
      <c r="H2238" t="n">
        <v>0</v>
      </c>
      <c r="I2238" t="n">
        <v>0</v>
      </c>
      <c r="J2238" t="n">
        <v>0</v>
      </c>
      <c r="K2238" t="n">
        <v>0</v>
      </c>
      <c r="L2238" t="n">
        <v>0</v>
      </c>
      <c r="M2238" t="n">
        <v>0</v>
      </c>
      <c r="N2238" t="n">
        <v>0</v>
      </c>
      <c r="O2238" t="n">
        <v>0</v>
      </c>
      <c r="P2238" t="n">
        <v>0</v>
      </c>
      <c r="Q2238" t="n">
        <v>0</v>
      </c>
      <c r="R2238" s="2" t="inlineStr"/>
    </row>
    <row r="2239" ht="15" customHeight="1">
      <c r="A2239" t="inlineStr">
        <is>
          <t>A 60859-2021</t>
        </is>
      </c>
      <c r="B2239" s="1" t="n">
        <v>44497</v>
      </c>
      <c r="C2239" s="1" t="n">
        <v>45952</v>
      </c>
      <c r="D2239" t="inlineStr">
        <is>
          <t>VÄSTRA GÖTALANDS LÄN</t>
        </is>
      </c>
      <c r="E2239" t="inlineStr">
        <is>
          <t>MUNKEDAL</t>
        </is>
      </c>
      <c r="F2239" t="inlineStr">
        <is>
          <t>Kyrkan</t>
        </is>
      </c>
      <c r="G2239" t="n">
        <v>3.9</v>
      </c>
      <c r="H2239" t="n">
        <v>0</v>
      </c>
      <c r="I2239" t="n">
        <v>0</v>
      </c>
      <c r="J2239" t="n">
        <v>0</v>
      </c>
      <c r="K2239" t="n">
        <v>0</v>
      </c>
      <c r="L2239" t="n">
        <v>0</v>
      </c>
      <c r="M2239" t="n">
        <v>0</v>
      </c>
      <c r="N2239" t="n">
        <v>0</v>
      </c>
      <c r="O2239" t="n">
        <v>0</v>
      </c>
      <c r="P2239" t="n">
        <v>0</v>
      </c>
      <c r="Q2239" t="n">
        <v>0</v>
      </c>
      <c r="R2239" s="2" t="inlineStr"/>
    </row>
    <row r="2240" ht="15" customHeight="1">
      <c r="A2240" t="inlineStr">
        <is>
          <t>A 31598-2022</t>
        </is>
      </c>
      <c r="B2240" s="1" t="n">
        <v>44775.58739583333</v>
      </c>
      <c r="C2240" s="1" t="n">
        <v>45952</v>
      </c>
      <c r="D2240" t="inlineStr">
        <is>
          <t>VÄSTRA GÖTALANDS LÄN</t>
        </is>
      </c>
      <c r="E2240" t="inlineStr">
        <is>
          <t>HERRLJUNGA</t>
        </is>
      </c>
      <c r="G2240" t="n">
        <v>5.8</v>
      </c>
      <c r="H2240" t="n">
        <v>0</v>
      </c>
      <c r="I2240" t="n">
        <v>0</v>
      </c>
      <c r="J2240" t="n">
        <v>0</v>
      </c>
      <c r="K2240" t="n">
        <v>0</v>
      </c>
      <c r="L2240" t="n">
        <v>0</v>
      </c>
      <c r="M2240" t="n">
        <v>0</v>
      </c>
      <c r="N2240" t="n">
        <v>0</v>
      </c>
      <c r="O2240" t="n">
        <v>0</v>
      </c>
      <c r="P2240" t="n">
        <v>0</v>
      </c>
      <c r="Q2240" t="n">
        <v>0</v>
      </c>
      <c r="R2240" s="2" t="inlineStr"/>
    </row>
    <row r="2241" ht="15" customHeight="1">
      <c r="A2241" t="inlineStr">
        <is>
          <t>A 60914-2021</t>
        </is>
      </c>
      <c r="B2241" s="1" t="n">
        <v>44497.45621527778</v>
      </c>
      <c r="C2241" s="1" t="n">
        <v>45952</v>
      </c>
      <c r="D2241" t="inlineStr">
        <is>
          <t>VÄSTRA GÖTALANDS LÄN</t>
        </is>
      </c>
      <c r="E2241" t="inlineStr">
        <is>
          <t>FALKÖPING</t>
        </is>
      </c>
      <c r="G2241" t="n">
        <v>3.8</v>
      </c>
      <c r="H2241" t="n">
        <v>0</v>
      </c>
      <c r="I2241" t="n">
        <v>0</v>
      </c>
      <c r="J2241" t="n">
        <v>0</v>
      </c>
      <c r="K2241" t="n">
        <v>0</v>
      </c>
      <c r="L2241" t="n">
        <v>0</v>
      </c>
      <c r="M2241" t="n">
        <v>0</v>
      </c>
      <c r="N2241" t="n">
        <v>0</v>
      </c>
      <c r="O2241" t="n">
        <v>0</v>
      </c>
      <c r="P2241" t="n">
        <v>0</v>
      </c>
      <c r="Q2241" t="n">
        <v>0</v>
      </c>
      <c r="R2241" s="2" t="inlineStr"/>
    </row>
    <row r="2242" ht="15" customHeight="1">
      <c r="A2242" t="inlineStr">
        <is>
          <t>A 14782-2021</t>
        </is>
      </c>
      <c r="B2242" s="1" t="n">
        <v>44280</v>
      </c>
      <c r="C2242" s="1" t="n">
        <v>45952</v>
      </c>
      <c r="D2242" t="inlineStr">
        <is>
          <t>VÄSTRA GÖTALANDS LÄN</t>
        </is>
      </c>
      <c r="E2242" t="inlineStr">
        <is>
          <t>STENUNGSUND</t>
        </is>
      </c>
      <c r="G2242" t="n">
        <v>5</v>
      </c>
      <c r="H2242" t="n">
        <v>0</v>
      </c>
      <c r="I2242" t="n">
        <v>0</v>
      </c>
      <c r="J2242" t="n">
        <v>0</v>
      </c>
      <c r="K2242" t="n">
        <v>0</v>
      </c>
      <c r="L2242" t="n">
        <v>0</v>
      </c>
      <c r="M2242" t="n">
        <v>0</v>
      </c>
      <c r="N2242" t="n">
        <v>0</v>
      </c>
      <c r="O2242" t="n">
        <v>0</v>
      </c>
      <c r="P2242" t="n">
        <v>0</v>
      </c>
      <c r="Q2242" t="n">
        <v>0</v>
      </c>
      <c r="R2242" s="2" t="inlineStr"/>
    </row>
    <row r="2243" ht="15" customHeight="1">
      <c r="A2243" t="inlineStr">
        <is>
          <t>A 24913-2021</t>
        </is>
      </c>
      <c r="B2243" s="1" t="n">
        <v>44341</v>
      </c>
      <c r="C2243" s="1" t="n">
        <v>45952</v>
      </c>
      <c r="D2243" t="inlineStr">
        <is>
          <t>VÄSTRA GÖTALANDS LÄN</t>
        </is>
      </c>
      <c r="E2243" t="inlineStr">
        <is>
          <t>LIDKÖPING</t>
        </is>
      </c>
      <c r="G2243" t="n">
        <v>0.7</v>
      </c>
      <c r="H2243" t="n">
        <v>0</v>
      </c>
      <c r="I2243" t="n">
        <v>0</v>
      </c>
      <c r="J2243" t="n">
        <v>0</v>
      </c>
      <c r="K2243" t="n">
        <v>0</v>
      </c>
      <c r="L2243" t="n">
        <v>0</v>
      </c>
      <c r="M2243" t="n">
        <v>0</v>
      </c>
      <c r="N2243" t="n">
        <v>0</v>
      </c>
      <c r="O2243" t="n">
        <v>0</v>
      </c>
      <c r="P2243" t="n">
        <v>0</v>
      </c>
      <c r="Q2243" t="n">
        <v>0</v>
      </c>
      <c r="R2243" s="2" t="inlineStr"/>
    </row>
    <row r="2244" ht="15" customHeight="1">
      <c r="A2244" t="inlineStr">
        <is>
          <t>A 22240-2022</t>
        </is>
      </c>
      <c r="B2244" s="1" t="n">
        <v>44712</v>
      </c>
      <c r="C2244" s="1" t="n">
        <v>45952</v>
      </c>
      <c r="D2244" t="inlineStr">
        <is>
          <t>VÄSTRA GÖTALANDS LÄN</t>
        </is>
      </c>
      <c r="E2244" t="inlineStr">
        <is>
          <t>LERUM</t>
        </is>
      </c>
      <c r="G2244" t="n">
        <v>3</v>
      </c>
      <c r="H2244" t="n">
        <v>0</v>
      </c>
      <c r="I2244" t="n">
        <v>0</v>
      </c>
      <c r="J2244" t="n">
        <v>0</v>
      </c>
      <c r="K2244" t="n">
        <v>0</v>
      </c>
      <c r="L2244" t="n">
        <v>0</v>
      </c>
      <c r="M2244" t="n">
        <v>0</v>
      </c>
      <c r="N2244" t="n">
        <v>0</v>
      </c>
      <c r="O2244" t="n">
        <v>0</v>
      </c>
      <c r="P2244" t="n">
        <v>0</v>
      </c>
      <c r="Q2244" t="n">
        <v>0</v>
      </c>
      <c r="R2244" s="2" t="inlineStr"/>
    </row>
    <row r="2245" ht="15" customHeight="1">
      <c r="A2245" t="inlineStr">
        <is>
          <t>A 59320-2020</t>
        </is>
      </c>
      <c r="B2245" s="1" t="n">
        <v>44147</v>
      </c>
      <c r="C2245" s="1" t="n">
        <v>45952</v>
      </c>
      <c r="D2245" t="inlineStr">
        <is>
          <t>VÄSTRA GÖTALANDS LÄN</t>
        </is>
      </c>
      <c r="E2245" t="inlineStr">
        <is>
          <t>ESSUNGA</t>
        </is>
      </c>
      <c r="G2245" t="n">
        <v>2.3</v>
      </c>
      <c r="H2245" t="n">
        <v>0</v>
      </c>
      <c r="I2245" t="n">
        <v>0</v>
      </c>
      <c r="J2245" t="n">
        <v>0</v>
      </c>
      <c r="K2245" t="n">
        <v>0</v>
      </c>
      <c r="L2245" t="n">
        <v>0</v>
      </c>
      <c r="M2245" t="n">
        <v>0</v>
      </c>
      <c r="N2245" t="n">
        <v>0</v>
      </c>
      <c r="O2245" t="n">
        <v>0</v>
      </c>
      <c r="P2245" t="n">
        <v>0</v>
      </c>
      <c r="Q2245" t="n">
        <v>0</v>
      </c>
      <c r="R2245" s="2" t="inlineStr"/>
    </row>
    <row r="2246" ht="15" customHeight="1">
      <c r="A2246" t="inlineStr">
        <is>
          <t>A 47598-2021</t>
        </is>
      </c>
      <c r="B2246" s="1" t="n">
        <v>44448.32766203704</v>
      </c>
      <c r="C2246" s="1" t="n">
        <v>45952</v>
      </c>
      <c r="D2246" t="inlineStr">
        <is>
          <t>VÄSTRA GÖTALANDS LÄN</t>
        </is>
      </c>
      <c r="E2246" t="inlineStr">
        <is>
          <t>ULRICEHAMN</t>
        </is>
      </c>
      <c r="G2246" t="n">
        <v>2</v>
      </c>
      <c r="H2246" t="n">
        <v>0</v>
      </c>
      <c r="I2246" t="n">
        <v>0</v>
      </c>
      <c r="J2246" t="n">
        <v>0</v>
      </c>
      <c r="K2246" t="n">
        <v>0</v>
      </c>
      <c r="L2246" t="n">
        <v>0</v>
      </c>
      <c r="M2246" t="n">
        <v>0</v>
      </c>
      <c r="N2246" t="n">
        <v>0</v>
      </c>
      <c r="O2246" t="n">
        <v>0</v>
      </c>
      <c r="P2246" t="n">
        <v>0</v>
      </c>
      <c r="Q2246" t="n">
        <v>0</v>
      </c>
      <c r="R2246" s="2" t="inlineStr"/>
    </row>
    <row r="2247" ht="15" customHeight="1">
      <c r="A2247" t="inlineStr">
        <is>
          <t>A 24603-2021</t>
        </is>
      </c>
      <c r="B2247" s="1" t="n">
        <v>44340</v>
      </c>
      <c r="C2247" s="1" t="n">
        <v>45952</v>
      </c>
      <c r="D2247" t="inlineStr">
        <is>
          <t>VÄSTRA GÖTALANDS LÄN</t>
        </is>
      </c>
      <c r="E2247" t="inlineStr">
        <is>
          <t>MARIESTAD</t>
        </is>
      </c>
      <c r="G2247" t="n">
        <v>1.1</v>
      </c>
      <c r="H2247" t="n">
        <v>0</v>
      </c>
      <c r="I2247" t="n">
        <v>0</v>
      </c>
      <c r="J2247" t="n">
        <v>0</v>
      </c>
      <c r="K2247" t="n">
        <v>0</v>
      </c>
      <c r="L2247" t="n">
        <v>0</v>
      </c>
      <c r="M2247" t="n">
        <v>0</v>
      </c>
      <c r="N2247" t="n">
        <v>0</v>
      </c>
      <c r="O2247" t="n">
        <v>0</v>
      </c>
      <c r="P2247" t="n">
        <v>0</v>
      </c>
      <c r="Q2247" t="n">
        <v>0</v>
      </c>
      <c r="R2247" s="2" t="inlineStr"/>
    </row>
    <row r="2248" ht="15" customHeight="1">
      <c r="A2248" t="inlineStr">
        <is>
          <t>A 51431-2022</t>
        </is>
      </c>
      <c r="B2248" s="1" t="n">
        <v>44866</v>
      </c>
      <c r="C2248" s="1" t="n">
        <v>45952</v>
      </c>
      <c r="D2248" t="inlineStr">
        <is>
          <t>VÄSTRA GÖTALANDS LÄN</t>
        </is>
      </c>
      <c r="E2248" t="inlineStr">
        <is>
          <t>MUNKEDAL</t>
        </is>
      </c>
      <c r="G2248" t="n">
        <v>5.8</v>
      </c>
      <c r="H2248" t="n">
        <v>0</v>
      </c>
      <c r="I2248" t="n">
        <v>0</v>
      </c>
      <c r="J2248" t="n">
        <v>0</v>
      </c>
      <c r="K2248" t="n">
        <v>0</v>
      </c>
      <c r="L2248" t="n">
        <v>0</v>
      </c>
      <c r="M2248" t="n">
        <v>0</v>
      </c>
      <c r="N2248" t="n">
        <v>0</v>
      </c>
      <c r="O2248" t="n">
        <v>0</v>
      </c>
      <c r="P2248" t="n">
        <v>0</v>
      </c>
      <c r="Q2248" t="n">
        <v>0</v>
      </c>
      <c r="R2248" s="2" t="inlineStr"/>
    </row>
    <row r="2249" ht="15" customHeight="1">
      <c r="A2249" t="inlineStr">
        <is>
          <t>A 45538-2022</t>
        </is>
      </c>
      <c r="B2249" s="1" t="n">
        <v>44845</v>
      </c>
      <c r="C2249" s="1" t="n">
        <v>45952</v>
      </c>
      <c r="D2249" t="inlineStr">
        <is>
          <t>VÄSTRA GÖTALANDS LÄN</t>
        </is>
      </c>
      <c r="E2249" t="inlineStr">
        <is>
          <t>BORÅS</t>
        </is>
      </c>
      <c r="G2249" t="n">
        <v>5.6</v>
      </c>
      <c r="H2249" t="n">
        <v>0</v>
      </c>
      <c r="I2249" t="n">
        <v>0</v>
      </c>
      <c r="J2249" t="n">
        <v>0</v>
      </c>
      <c r="K2249" t="n">
        <v>0</v>
      </c>
      <c r="L2249" t="n">
        <v>0</v>
      </c>
      <c r="M2249" t="n">
        <v>0</v>
      </c>
      <c r="N2249" t="n">
        <v>0</v>
      </c>
      <c r="O2249" t="n">
        <v>0</v>
      </c>
      <c r="P2249" t="n">
        <v>0</v>
      </c>
      <c r="Q2249" t="n">
        <v>0</v>
      </c>
      <c r="R2249" s="2" t="inlineStr"/>
    </row>
    <row r="2250" ht="15" customHeight="1">
      <c r="A2250" t="inlineStr">
        <is>
          <t>A 45547-2022</t>
        </is>
      </c>
      <c r="B2250" s="1" t="n">
        <v>44845.48042824074</v>
      </c>
      <c r="C2250" s="1" t="n">
        <v>45952</v>
      </c>
      <c r="D2250" t="inlineStr">
        <is>
          <t>VÄSTRA GÖTALANDS LÄN</t>
        </is>
      </c>
      <c r="E2250" t="inlineStr">
        <is>
          <t>BORÅS</t>
        </is>
      </c>
      <c r="G2250" t="n">
        <v>3.1</v>
      </c>
      <c r="H2250" t="n">
        <v>0</v>
      </c>
      <c r="I2250" t="n">
        <v>0</v>
      </c>
      <c r="J2250" t="n">
        <v>0</v>
      </c>
      <c r="K2250" t="n">
        <v>0</v>
      </c>
      <c r="L2250" t="n">
        <v>0</v>
      </c>
      <c r="M2250" t="n">
        <v>0</v>
      </c>
      <c r="N2250" t="n">
        <v>0</v>
      </c>
      <c r="O2250" t="n">
        <v>0</v>
      </c>
      <c r="P2250" t="n">
        <v>0</v>
      </c>
      <c r="Q2250" t="n">
        <v>0</v>
      </c>
      <c r="R2250" s="2" t="inlineStr"/>
    </row>
    <row r="2251" ht="15" customHeight="1">
      <c r="A2251" t="inlineStr">
        <is>
          <t>A 51535-2022</t>
        </is>
      </c>
      <c r="B2251" s="1" t="n">
        <v>44869.83858796296</v>
      </c>
      <c r="C2251" s="1" t="n">
        <v>45952</v>
      </c>
      <c r="D2251" t="inlineStr">
        <is>
          <t>VÄSTRA GÖTALANDS LÄN</t>
        </is>
      </c>
      <c r="E2251" t="inlineStr">
        <is>
          <t>TIDAHOLM</t>
        </is>
      </c>
      <c r="G2251" t="n">
        <v>0.4</v>
      </c>
      <c r="H2251" t="n">
        <v>0</v>
      </c>
      <c r="I2251" t="n">
        <v>0</v>
      </c>
      <c r="J2251" t="n">
        <v>0</v>
      </c>
      <c r="K2251" t="n">
        <v>0</v>
      </c>
      <c r="L2251" t="n">
        <v>0</v>
      </c>
      <c r="M2251" t="n">
        <v>0</v>
      </c>
      <c r="N2251" t="n">
        <v>0</v>
      </c>
      <c r="O2251" t="n">
        <v>0</v>
      </c>
      <c r="P2251" t="n">
        <v>0</v>
      </c>
      <c r="Q2251" t="n">
        <v>0</v>
      </c>
      <c r="R2251" s="2" t="inlineStr"/>
    </row>
    <row r="2252" ht="15" customHeight="1">
      <c r="A2252" t="inlineStr">
        <is>
          <t>A 51876-2021</t>
        </is>
      </c>
      <c r="B2252" s="1" t="n">
        <v>44462.73945601852</v>
      </c>
      <c r="C2252" s="1" t="n">
        <v>45952</v>
      </c>
      <c r="D2252" t="inlineStr">
        <is>
          <t>VÄSTRA GÖTALANDS LÄN</t>
        </is>
      </c>
      <c r="E2252" t="inlineStr">
        <is>
          <t>UDDEVALLA</t>
        </is>
      </c>
      <c r="G2252" t="n">
        <v>0.9</v>
      </c>
      <c r="H2252" t="n">
        <v>0</v>
      </c>
      <c r="I2252" t="n">
        <v>0</v>
      </c>
      <c r="J2252" t="n">
        <v>0</v>
      </c>
      <c r="K2252" t="n">
        <v>0</v>
      </c>
      <c r="L2252" t="n">
        <v>0</v>
      </c>
      <c r="M2252" t="n">
        <v>0</v>
      </c>
      <c r="N2252" t="n">
        <v>0</v>
      </c>
      <c r="O2252" t="n">
        <v>0</v>
      </c>
      <c r="P2252" t="n">
        <v>0</v>
      </c>
      <c r="Q2252" t="n">
        <v>0</v>
      </c>
      <c r="R2252" s="2" t="inlineStr"/>
    </row>
    <row r="2253" ht="15" customHeight="1">
      <c r="A2253" t="inlineStr">
        <is>
          <t>A 61821-2021</t>
        </is>
      </c>
      <c r="B2253" s="1" t="n">
        <v>44501.78783564815</v>
      </c>
      <c r="C2253" s="1" t="n">
        <v>45952</v>
      </c>
      <c r="D2253" t="inlineStr">
        <is>
          <t>VÄSTRA GÖTALANDS LÄN</t>
        </is>
      </c>
      <c r="E2253" t="inlineStr">
        <is>
          <t>BENGTSFORS</t>
        </is>
      </c>
      <c r="G2253" t="n">
        <v>0.8</v>
      </c>
      <c r="H2253" t="n">
        <v>0</v>
      </c>
      <c r="I2253" t="n">
        <v>0</v>
      </c>
      <c r="J2253" t="n">
        <v>0</v>
      </c>
      <c r="K2253" t="n">
        <v>0</v>
      </c>
      <c r="L2253" t="n">
        <v>0</v>
      </c>
      <c r="M2253" t="n">
        <v>0</v>
      </c>
      <c r="N2253" t="n">
        <v>0</v>
      </c>
      <c r="O2253" t="n">
        <v>0</v>
      </c>
      <c r="P2253" t="n">
        <v>0</v>
      </c>
      <c r="Q2253" t="n">
        <v>0</v>
      </c>
      <c r="R2253" s="2" t="inlineStr"/>
    </row>
    <row r="2254" ht="15" customHeight="1">
      <c r="A2254" t="inlineStr">
        <is>
          <t>A 65210-2021</t>
        </is>
      </c>
      <c r="B2254" s="1" t="n">
        <v>44515</v>
      </c>
      <c r="C2254" s="1" t="n">
        <v>45952</v>
      </c>
      <c r="D2254" t="inlineStr">
        <is>
          <t>VÄSTRA GÖTALANDS LÄN</t>
        </is>
      </c>
      <c r="E2254" t="inlineStr">
        <is>
          <t>ALINGSÅS</t>
        </is>
      </c>
      <c r="G2254" t="n">
        <v>1.4</v>
      </c>
      <c r="H2254" t="n">
        <v>0</v>
      </c>
      <c r="I2254" t="n">
        <v>0</v>
      </c>
      <c r="J2254" t="n">
        <v>0</v>
      </c>
      <c r="K2254" t="n">
        <v>0</v>
      </c>
      <c r="L2254" t="n">
        <v>0</v>
      </c>
      <c r="M2254" t="n">
        <v>0</v>
      </c>
      <c r="N2254" t="n">
        <v>0</v>
      </c>
      <c r="O2254" t="n">
        <v>0</v>
      </c>
      <c r="P2254" t="n">
        <v>0</v>
      </c>
      <c r="Q2254" t="n">
        <v>0</v>
      </c>
      <c r="R2254" s="2" t="inlineStr"/>
    </row>
    <row r="2255" ht="15" customHeight="1">
      <c r="A2255" t="inlineStr">
        <is>
          <t>A 65222-2021</t>
        </is>
      </c>
      <c r="B2255" s="1" t="n">
        <v>44515</v>
      </c>
      <c r="C2255" s="1" t="n">
        <v>45952</v>
      </c>
      <c r="D2255" t="inlineStr">
        <is>
          <t>VÄSTRA GÖTALANDS LÄN</t>
        </is>
      </c>
      <c r="E2255" t="inlineStr">
        <is>
          <t>ALE</t>
        </is>
      </c>
      <c r="G2255" t="n">
        <v>1.2</v>
      </c>
      <c r="H2255" t="n">
        <v>0</v>
      </c>
      <c r="I2255" t="n">
        <v>0</v>
      </c>
      <c r="J2255" t="n">
        <v>0</v>
      </c>
      <c r="K2255" t="n">
        <v>0</v>
      </c>
      <c r="L2255" t="n">
        <v>0</v>
      </c>
      <c r="M2255" t="n">
        <v>0</v>
      </c>
      <c r="N2255" t="n">
        <v>0</v>
      </c>
      <c r="O2255" t="n">
        <v>0</v>
      </c>
      <c r="P2255" t="n">
        <v>0</v>
      </c>
      <c r="Q2255" t="n">
        <v>0</v>
      </c>
      <c r="R2255" s="2" t="inlineStr"/>
    </row>
    <row r="2256" ht="15" customHeight="1">
      <c r="A2256" t="inlineStr">
        <is>
          <t>A 45555-2022</t>
        </is>
      </c>
      <c r="B2256" s="1" t="n">
        <v>44845</v>
      </c>
      <c r="C2256" s="1" t="n">
        <v>45952</v>
      </c>
      <c r="D2256" t="inlineStr">
        <is>
          <t>VÄSTRA GÖTALANDS LÄN</t>
        </is>
      </c>
      <c r="E2256" t="inlineStr">
        <is>
          <t>BORÅS</t>
        </is>
      </c>
      <c r="G2256" t="n">
        <v>11.3</v>
      </c>
      <c r="H2256" t="n">
        <v>0</v>
      </c>
      <c r="I2256" t="n">
        <v>0</v>
      </c>
      <c r="J2256" t="n">
        <v>0</v>
      </c>
      <c r="K2256" t="n">
        <v>0</v>
      </c>
      <c r="L2256" t="n">
        <v>0</v>
      </c>
      <c r="M2256" t="n">
        <v>0</v>
      </c>
      <c r="N2256" t="n">
        <v>0</v>
      </c>
      <c r="O2256" t="n">
        <v>0</v>
      </c>
      <c r="P2256" t="n">
        <v>0</v>
      </c>
      <c r="Q2256" t="n">
        <v>0</v>
      </c>
      <c r="R2256" s="2" t="inlineStr"/>
    </row>
    <row r="2257" ht="15" customHeight="1">
      <c r="A2257" t="inlineStr">
        <is>
          <t>A 22265-2021</t>
        </is>
      </c>
      <c r="B2257" s="1" t="n">
        <v>44326.42354166666</v>
      </c>
      <c r="C2257" s="1" t="n">
        <v>45952</v>
      </c>
      <c r="D2257" t="inlineStr">
        <is>
          <t>VÄSTRA GÖTALANDS LÄN</t>
        </is>
      </c>
      <c r="E2257" t="inlineStr">
        <is>
          <t>TÖREBODA</t>
        </is>
      </c>
      <c r="G2257" t="n">
        <v>0.8</v>
      </c>
      <c r="H2257" t="n">
        <v>0</v>
      </c>
      <c r="I2257" t="n">
        <v>0</v>
      </c>
      <c r="J2257" t="n">
        <v>0</v>
      </c>
      <c r="K2257" t="n">
        <v>0</v>
      </c>
      <c r="L2257" t="n">
        <v>0</v>
      </c>
      <c r="M2257" t="n">
        <v>0</v>
      </c>
      <c r="N2257" t="n">
        <v>0</v>
      </c>
      <c r="O2257" t="n">
        <v>0</v>
      </c>
      <c r="P2257" t="n">
        <v>0</v>
      </c>
      <c r="Q2257" t="n">
        <v>0</v>
      </c>
      <c r="R2257" s="2" t="inlineStr"/>
    </row>
    <row r="2258" ht="15" customHeight="1">
      <c r="A2258" t="inlineStr">
        <is>
          <t>A 28508-2022</t>
        </is>
      </c>
      <c r="B2258" s="1" t="n">
        <v>44748.33660879629</v>
      </c>
      <c r="C2258" s="1" t="n">
        <v>45952</v>
      </c>
      <c r="D2258" t="inlineStr">
        <is>
          <t>VÄSTRA GÖTALANDS LÄN</t>
        </is>
      </c>
      <c r="E2258" t="inlineStr">
        <is>
          <t>SKÖVDE</t>
        </is>
      </c>
      <c r="G2258" t="n">
        <v>0.5</v>
      </c>
      <c r="H2258" t="n">
        <v>0</v>
      </c>
      <c r="I2258" t="n">
        <v>0</v>
      </c>
      <c r="J2258" t="n">
        <v>0</v>
      </c>
      <c r="K2258" t="n">
        <v>0</v>
      </c>
      <c r="L2258" t="n">
        <v>0</v>
      </c>
      <c r="M2258" t="n">
        <v>0</v>
      </c>
      <c r="N2258" t="n">
        <v>0</v>
      </c>
      <c r="O2258" t="n">
        <v>0</v>
      </c>
      <c r="P2258" t="n">
        <v>0</v>
      </c>
      <c r="Q2258" t="n">
        <v>0</v>
      </c>
      <c r="R2258" s="2" t="inlineStr"/>
    </row>
    <row r="2259" ht="15" customHeight="1">
      <c r="A2259" t="inlineStr">
        <is>
          <t>A 28510-2022</t>
        </is>
      </c>
      <c r="B2259" s="1" t="n">
        <v>44748.34445601852</v>
      </c>
      <c r="C2259" s="1" t="n">
        <v>45952</v>
      </c>
      <c r="D2259" t="inlineStr">
        <is>
          <t>VÄSTRA GÖTALANDS LÄN</t>
        </is>
      </c>
      <c r="E2259" t="inlineStr">
        <is>
          <t>SKÖVDE</t>
        </is>
      </c>
      <c r="G2259" t="n">
        <v>4.7</v>
      </c>
      <c r="H2259" t="n">
        <v>0</v>
      </c>
      <c r="I2259" t="n">
        <v>0</v>
      </c>
      <c r="J2259" t="n">
        <v>0</v>
      </c>
      <c r="K2259" t="n">
        <v>0</v>
      </c>
      <c r="L2259" t="n">
        <v>0</v>
      </c>
      <c r="M2259" t="n">
        <v>0</v>
      </c>
      <c r="N2259" t="n">
        <v>0</v>
      </c>
      <c r="O2259" t="n">
        <v>0</v>
      </c>
      <c r="P2259" t="n">
        <v>0</v>
      </c>
      <c r="Q2259" t="n">
        <v>0</v>
      </c>
      <c r="R2259" s="2" t="inlineStr"/>
    </row>
    <row r="2260" ht="15" customHeight="1">
      <c r="A2260" t="inlineStr">
        <is>
          <t>A 28512-2022</t>
        </is>
      </c>
      <c r="B2260" s="1" t="n">
        <v>44748.35234953704</v>
      </c>
      <c r="C2260" s="1" t="n">
        <v>45952</v>
      </c>
      <c r="D2260" t="inlineStr">
        <is>
          <t>VÄSTRA GÖTALANDS LÄN</t>
        </is>
      </c>
      <c r="E2260" t="inlineStr">
        <is>
          <t>HJO</t>
        </is>
      </c>
      <c r="G2260" t="n">
        <v>4.4</v>
      </c>
      <c r="H2260" t="n">
        <v>0</v>
      </c>
      <c r="I2260" t="n">
        <v>0</v>
      </c>
      <c r="J2260" t="n">
        <v>0</v>
      </c>
      <c r="K2260" t="n">
        <v>0</v>
      </c>
      <c r="L2260" t="n">
        <v>0</v>
      </c>
      <c r="M2260" t="n">
        <v>0</v>
      </c>
      <c r="N2260" t="n">
        <v>0</v>
      </c>
      <c r="O2260" t="n">
        <v>0</v>
      </c>
      <c r="P2260" t="n">
        <v>0</v>
      </c>
      <c r="Q2260" t="n">
        <v>0</v>
      </c>
      <c r="R2260" s="2" t="inlineStr"/>
    </row>
    <row r="2261" ht="15" customHeight="1">
      <c r="A2261" t="inlineStr">
        <is>
          <t>A 25751-2021</t>
        </is>
      </c>
      <c r="B2261" s="1" t="n">
        <v>44343</v>
      </c>
      <c r="C2261" s="1" t="n">
        <v>45952</v>
      </c>
      <c r="D2261" t="inlineStr">
        <is>
          <t>VÄSTRA GÖTALANDS LÄN</t>
        </is>
      </c>
      <c r="E2261" t="inlineStr">
        <is>
          <t>MELLERUD</t>
        </is>
      </c>
      <c r="G2261" t="n">
        <v>3.2</v>
      </c>
      <c r="H2261" t="n">
        <v>0</v>
      </c>
      <c r="I2261" t="n">
        <v>0</v>
      </c>
      <c r="J2261" t="n">
        <v>0</v>
      </c>
      <c r="K2261" t="n">
        <v>0</v>
      </c>
      <c r="L2261" t="n">
        <v>0</v>
      </c>
      <c r="M2261" t="n">
        <v>0</v>
      </c>
      <c r="N2261" t="n">
        <v>0</v>
      </c>
      <c r="O2261" t="n">
        <v>0</v>
      </c>
      <c r="P2261" t="n">
        <v>0</v>
      </c>
      <c r="Q2261" t="n">
        <v>0</v>
      </c>
      <c r="R2261" s="2" t="inlineStr"/>
    </row>
    <row r="2262" ht="15" customHeight="1">
      <c r="A2262" t="inlineStr">
        <is>
          <t>A 34213-2022</t>
        </is>
      </c>
      <c r="B2262" s="1" t="n">
        <v>44791.66712962963</v>
      </c>
      <c r="C2262" s="1" t="n">
        <v>45952</v>
      </c>
      <c r="D2262" t="inlineStr">
        <is>
          <t>VÄSTRA GÖTALANDS LÄN</t>
        </is>
      </c>
      <c r="E2262" t="inlineStr">
        <is>
          <t>TANUM</t>
        </is>
      </c>
      <c r="G2262" t="n">
        <v>1.7</v>
      </c>
      <c r="H2262" t="n">
        <v>0</v>
      </c>
      <c r="I2262" t="n">
        <v>0</v>
      </c>
      <c r="J2262" t="n">
        <v>0</v>
      </c>
      <c r="K2262" t="n">
        <v>0</v>
      </c>
      <c r="L2262" t="n">
        <v>0</v>
      </c>
      <c r="M2262" t="n">
        <v>0</v>
      </c>
      <c r="N2262" t="n">
        <v>0</v>
      </c>
      <c r="O2262" t="n">
        <v>0</v>
      </c>
      <c r="P2262" t="n">
        <v>0</v>
      </c>
      <c r="Q2262" t="n">
        <v>0</v>
      </c>
      <c r="R2262" s="2" t="inlineStr"/>
    </row>
    <row r="2263" ht="15" customHeight="1">
      <c r="A2263" t="inlineStr">
        <is>
          <t>A 25886-2022</t>
        </is>
      </c>
      <c r="B2263" s="1" t="n">
        <v>44733</v>
      </c>
      <c r="C2263" s="1" t="n">
        <v>45952</v>
      </c>
      <c r="D2263" t="inlineStr">
        <is>
          <t>VÄSTRA GÖTALANDS LÄN</t>
        </is>
      </c>
      <c r="E2263" t="inlineStr">
        <is>
          <t>MARK</t>
        </is>
      </c>
      <c r="G2263" t="n">
        <v>0.7</v>
      </c>
      <c r="H2263" t="n">
        <v>0</v>
      </c>
      <c r="I2263" t="n">
        <v>0</v>
      </c>
      <c r="J2263" t="n">
        <v>0</v>
      </c>
      <c r="K2263" t="n">
        <v>0</v>
      </c>
      <c r="L2263" t="n">
        <v>0</v>
      </c>
      <c r="M2263" t="n">
        <v>0</v>
      </c>
      <c r="N2263" t="n">
        <v>0</v>
      </c>
      <c r="O2263" t="n">
        <v>0</v>
      </c>
      <c r="P2263" t="n">
        <v>0</v>
      </c>
      <c r="Q2263" t="n">
        <v>0</v>
      </c>
      <c r="R2263" s="2" t="inlineStr"/>
    </row>
    <row r="2264" ht="15" customHeight="1">
      <c r="A2264" t="inlineStr">
        <is>
          <t>A 47133-2022</t>
        </is>
      </c>
      <c r="B2264" s="1" t="n">
        <v>44852.55070601852</v>
      </c>
      <c r="C2264" s="1" t="n">
        <v>45952</v>
      </c>
      <c r="D2264" t="inlineStr">
        <is>
          <t>VÄSTRA GÖTALANDS LÄN</t>
        </is>
      </c>
      <c r="E2264" t="inlineStr">
        <is>
          <t>ULRICEHAMN</t>
        </is>
      </c>
      <c r="G2264" t="n">
        <v>0.8</v>
      </c>
      <c r="H2264" t="n">
        <v>0</v>
      </c>
      <c r="I2264" t="n">
        <v>0</v>
      </c>
      <c r="J2264" t="n">
        <v>0</v>
      </c>
      <c r="K2264" t="n">
        <v>0</v>
      </c>
      <c r="L2264" t="n">
        <v>0</v>
      </c>
      <c r="M2264" t="n">
        <v>0</v>
      </c>
      <c r="N2264" t="n">
        <v>0</v>
      </c>
      <c r="O2264" t="n">
        <v>0</v>
      </c>
      <c r="P2264" t="n">
        <v>0</v>
      </c>
      <c r="Q2264" t="n">
        <v>0</v>
      </c>
      <c r="R2264" s="2" t="inlineStr"/>
    </row>
    <row r="2265" ht="15" customHeight="1">
      <c r="A2265" t="inlineStr">
        <is>
          <t>A 10665-2022</t>
        </is>
      </c>
      <c r="B2265" s="1" t="n">
        <v>44624</v>
      </c>
      <c r="C2265" s="1" t="n">
        <v>45952</v>
      </c>
      <c r="D2265" t="inlineStr">
        <is>
          <t>VÄSTRA GÖTALANDS LÄN</t>
        </is>
      </c>
      <c r="E2265" t="inlineStr">
        <is>
          <t>BORÅS</t>
        </is>
      </c>
      <c r="F2265" t="inlineStr">
        <is>
          <t>Kyrkan</t>
        </is>
      </c>
      <c r="G2265" t="n">
        <v>5.3</v>
      </c>
      <c r="H2265" t="n">
        <v>0</v>
      </c>
      <c r="I2265" t="n">
        <v>0</v>
      </c>
      <c r="J2265" t="n">
        <v>0</v>
      </c>
      <c r="K2265" t="n">
        <v>0</v>
      </c>
      <c r="L2265" t="n">
        <v>0</v>
      </c>
      <c r="M2265" t="n">
        <v>0</v>
      </c>
      <c r="N2265" t="n">
        <v>0</v>
      </c>
      <c r="O2265" t="n">
        <v>0</v>
      </c>
      <c r="P2265" t="n">
        <v>0</v>
      </c>
      <c r="Q2265" t="n">
        <v>0</v>
      </c>
      <c r="R2265" s="2" t="inlineStr"/>
    </row>
    <row r="2266" ht="15" customHeight="1">
      <c r="A2266" t="inlineStr">
        <is>
          <t>A 33938-2021</t>
        </is>
      </c>
      <c r="B2266" s="1" t="n">
        <v>44378</v>
      </c>
      <c r="C2266" s="1" t="n">
        <v>45952</v>
      </c>
      <c r="D2266" t="inlineStr">
        <is>
          <t>VÄSTRA GÖTALANDS LÄN</t>
        </is>
      </c>
      <c r="E2266" t="inlineStr">
        <is>
          <t>SKARA</t>
        </is>
      </c>
      <c r="G2266" t="n">
        <v>0.8</v>
      </c>
      <c r="H2266" t="n">
        <v>0</v>
      </c>
      <c r="I2266" t="n">
        <v>0</v>
      </c>
      <c r="J2266" t="n">
        <v>0</v>
      </c>
      <c r="K2266" t="n">
        <v>0</v>
      </c>
      <c r="L2266" t="n">
        <v>0</v>
      </c>
      <c r="M2266" t="n">
        <v>0</v>
      </c>
      <c r="N2266" t="n">
        <v>0</v>
      </c>
      <c r="O2266" t="n">
        <v>0</v>
      </c>
      <c r="P2266" t="n">
        <v>0</v>
      </c>
      <c r="Q2266" t="n">
        <v>0</v>
      </c>
      <c r="R2266" s="2" t="inlineStr"/>
    </row>
    <row r="2267" ht="15" customHeight="1">
      <c r="A2267" t="inlineStr">
        <is>
          <t>A 31584-2022</t>
        </is>
      </c>
      <c r="B2267" s="1" t="n">
        <v>44775</v>
      </c>
      <c r="C2267" s="1" t="n">
        <v>45952</v>
      </c>
      <c r="D2267" t="inlineStr">
        <is>
          <t>VÄSTRA GÖTALANDS LÄN</t>
        </is>
      </c>
      <c r="E2267" t="inlineStr">
        <is>
          <t>TRANEMO</t>
        </is>
      </c>
      <c r="G2267" t="n">
        <v>2.9</v>
      </c>
      <c r="H2267" t="n">
        <v>0</v>
      </c>
      <c r="I2267" t="n">
        <v>0</v>
      </c>
      <c r="J2267" t="n">
        <v>0</v>
      </c>
      <c r="K2267" t="n">
        <v>0</v>
      </c>
      <c r="L2267" t="n">
        <v>0</v>
      </c>
      <c r="M2267" t="n">
        <v>0</v>
      </c>
      <c r="N2267" t="n">
        <v>0</v>
      </c>
      <c r="O2267" t="n">
        <v>0</v>
      </c>
      <c r="P2267" t="n">
        <v>0</v>
      </c>
      <c r="Q2267" t="n">
        <v>0</v>
      </c>
      <c r="R2267" s="2" t="inlineStr"/>
    </row>
    <row r="2268" ht="15" customHeight="1">
      <c r="A2268" t="inlineStr">
        <is>
          <t>A 25901-2021</t>
        </is>
      </c>
      <c r="B2268" s="1" t="n">
        <v>44344</v>
      </c>
      <c r="C2268" s="1" t="n">
        <v>45952</v>
      </c>
      <c r="D2268" t="inlineStr">
        <is>
          <t>VÄSTRA GÖTALANDS LÄN</t>
        </is>
      </c>
      <c r="E2268" t="inlineStr">
        <is>
          <t>UDDEVALLA</t>
        </is>
      </c>
      <c r="G2268" t="n">
        <v>0.3</v>
      </c>
      <c r="H2268" t="n">
        <v>0</v>
      </c>
      <c r="I2268" t="n">
        <v>0</v>
      </c>
      <c r="J2268" t="n">
        <v>0</v>
      </c>
      <c r="K2268" t="n">
        <v>0</v>
      </c>
      <c r="L2268" t="n">
        <v>0</v>
      </c>
      <c r="M2268" t="n">
        <v>0</v>
      </c>
      <c r="N2268" t="n">
        <v>0</v>
      </c>
      <c r="O2268" t="n">
        <v>0</v>
      </c>
      <c r="P2268" t="n">
        <v>0</v>
      </c>
      <c r="Q2268" t="n">
        <v>0</v>
      </c>
      <c r="R2268" s="2" t="inlineStr"/>
    </row>
    <row r="2269" ht="15" customHeight="1">
      <c r="A2269" t="inlineStr">
        <is>
          <t>A 22138-2021</t>
        </is>
      </c>
      <c r="B2269" s="1" t="n">
        <v>44324.67472222223</v>
      </c>
      <c r="C2269" s="1" t="n">
        <v>45952</v>
      </c>
      <c r="D2269" t="inlineStr">
        <is>
          <t>VÄSTRA GÖTALANDS LÄN</t>
        </is>
      </c>
      <c r="E2269" t="inlineStr">
        <is>
          <t>ALE</t>
        </is>
      </c>
      <c r="G2269" t="n">
        <v>0.6</v>
      </c>
      <c r="H2269" t="n">
        <v>0</v>
      </c>
      <c r="I2269" t="n">
        <v>0</v>
      </c>
      <c r="J2269" t="n">
        <v>0</v>
      </c>
      <c r="K2269" t="n">
        <v>0</v>
      </c>
      <c r="L2269" t="n">
        <v>0</v>
      </c>
      <c r="M2269" t="n">
        <v>0</v>
      </c>
      <c r="N2269" t="n">
        <v>0</v>
      </c>
      <c r="O2269" t="n">
        <v>0</v>
      </c>
      <c r="P2269" t="n">
        <v>0</v>
      </c>
      <c r="Q2269" t="n">
        <v>0</v>
      </c>
      <c r="R2269" s="2" t="inlineStr"/>
    </row>
    <row r="2270" ht="15" customHeight="1">
      <c r="A2270" t="inlineStr">
        <is>
          <t>A 22161-2021</t>
        </is>
      </c>
      <c r="B2270" s="1" t="n">
        <v>44325</v>
      </c>
      <c r="C2270" s="1" t="n">
        <v>45952</v>
      </c>
      <c r="D2270" t="inlineStr">
        <is>
          <t>VÄSTRA GÖTALANDS LÄN</t>
        </is>
      </c>
      <c r="E2270" t="inlineStr">
        <is>
          <t>BORÅS</t>
        </is>
      </c>
      <c r="G2270" t="n">
        <v>1.7</v>
      </c>
      <c r="H2270" t="n">
        <v>0</v>
      </c>
      <c r="I2270" t="n">
        <v>0</v>
      </c>
      <c r="J2270" t="n">
        <v>0</v>
      </c>
      <c r="K2270" t="n">
        <v>0</v>
      </c>
      <c r="L2270" t="n">
        <v>0</v>
      </c>
      <c r="M2270" t="n">
        <v>0</v>
      </c>
      <c r="N2270" t="n">
        <v>0</v>
      </c>
      <c r="O2270" t="n">
        <v>0</v>
      </c>
      <c r="P2270" t="n">
        <v>0</v>
      </c>
      <c r="Q2270" t="n">
        <v>0</v>
      </c>
      <c r="R2270" s="2" t="inlineStr"/>
    </row>
    <row r="2271" ht="15" customHeight="1">
      <c r="A2271" t="inlineStr">
        <is>
          <t>A 33996-2021</t>
        </is>
      </c>
      <c r="B2271" s="1" t="n">
        <v>44379</v>
      </c>
      <c r="C2271" s="1" t="n">
        <v>45952</v>
      </c>
      <c r="D2271" t="inlineStr">
        <is>
          <t>VÄSTRA GÖTALANDS LÄN</t>
        </is>
      </c>
      <c r="E2271" t="inlineStr">
        <is>
          <t>ESSUNGA</t>
        </is>
      </c>
      <c r="G2271" t="n">
        <v>0.7</v>
      </c>
      <c r="H2271" t="n">
        <v>0</v>
      </c>
      <c r="I2271" t="n">
        <v>0</v>
      </c>
      <c r="J2271" t="n">
        <v>0</v>
      </c>
      <c r="K2271" t="n">
        <v>0</v>
      </c>
      <c r="L2271" t="n">
        <v>0</v>
      </c>
      <c r="M2271" t="n">
        <v>0</v>
      </c>
      <c r="N2271" t="n">
        <v>0</v>
      </c>
      <c r="O2271" t="n">
        <v>0</v>
      </c>
      <c r="P2271" t="n">
        <v>0</v>
      </c>
      <c r="Q2271" t="n">
        <v>0</v>
      </c>
      <c r="R2271" s="2" t="inlineStr"/>
    </row>
    <row r="2272" ht="15" customHeight="1">
      <c r="A2272" t="inlineStr">
        <is>
          <t>A 57538-2020</t>
        </is>
      </c>
      <c r="B2272" s="1" t="n">
        <v>44140.56445601852</v>
      </c>
      <c r="C2272" s="1" t="n">
        <v>45952</v>
      </c>
      <c r="D2272" t="inlineStr">
        <is>
          <t>VÄSTRA GÖTALANDS LÄN</t>
        </is>
      </c>
      <c r="E2272" t="inlineStr">
        <is>
          <t>LIDKÖPING</t>
        </is>
      </c>
      <c r="G2272" t="n">
        <v>5.8</v>
      </c>
      <c r="H2272" t="n">
        <v>0</v>
      </c>
      <c r="I2272" t="n">
        <v>0</v>
      </c>
      <c r="J2272" t="n">
        <v>0</v>
      </c>
      <c r="K2272" t="n">
        <v>0</v>
      </c>
      <c r="L2272" t="n">
        <v>0</v>
      </c>
      <c r="M2272" t="n">
        <v>0</v>
      </c>
      <c r="N2272" t="n">
        <v>0</v>
      </c>
      <c r="O2272" t="n">
        <v>0</v>
      </c>
      <c r="P2272" t="n">
        <v>0</v>
      </c>
      <c r="Q2272" t="n">
        <v>0</v>
      </c>
      <c r="R2272" s="2" t="inlineStr"/>
    </row>
    <row r="2273" ht="15" customHeight="1">
      <c r="A2273" t="inlineStr">
        <is>
          <t>A 14733-2022</t>
        </is>
      </c>
      <c r="B2273" s="1" t="n">
        <v>44656.369375</v>
      </c>
      <c r="C2273" s="1" t="n">
        <v>45952</v>
      </c>
      <c r="D2273" t="inlineStr">
        <is>
          <t>VÄSTRA GÖTALANDS LÄN</t>
        </is>
      </c>
      <c r="E2273" t="inlineStr">
        <is>
          <t>ULRICEHAMN</t>
        </is>
      </c>
      <c r="G2273" t="n">
        <v>0.9</v>
      </c>
      <c r="H2273" t="n">
        <v>0</v>
      </c>
      <c r="I2273" t="n">
        <v>0</v>
      </c>
      <c r="J2273" t="n">
        <v>0</v>
      </c>
      <c r="K2273" t="n">
        <v>0</v>
      </c>
      <c r="L2273" t="n">
        <v>0</v>
      </c>
      <c r="M2273" t="n">
        <v>0</v>
      </c>
      <c r="N2273" t="n">
        <v>0</v>
      </c>
      <c r="O2273" t="n">
        <v>0</v>
      </c>
      <c r="P2273" t="n">
        <v>0</v>
      </c>
      <c r="Q2273" t="n">
        <v>0</v>
      </c>
      <c r="R2273" s="2" t="inlineStr"/>
    </row>
    <row r="2274" ht="15" customHeight="1">
      <c r="A2274" t="inlineStr">
        <is>
          <t>A 17046-2021</t>
        </is>
      </c>
      <c r="B2274" s="1" t="n">
        <v>44295.87994212963</v>
      </c>
      <c r="C2274" s="1" t="n">
        <v>45952</v>
      </c>
      <c r="D2274" t="inlineStr">
        <is>
          <t>VÄSTRA GÖTALANDS LÄN</t>
        </is>
      </c>
      <c r="E2274" t="inlineStr">
        <is>
          <t>ULRICEHAMN</t>
        </is>
      </c>
      <c r="G2274" t="n">
        <v>2.1</v>
      </c>
      <c r="H2274" t="n">
        <v>0</v>
      </c>
      <c r="I2274" t="n">
        <v>0</v>
      </c>
      <c r="J2274" t="n">
        <v>0</v>
      </c>
      <c r="K2274" t="n">
        <v>0</v>
      </c>
      <c r="L2274" t="n">
        <v>0</v>
      </c>
      <c r="M2274" t="n">
        <v>0</v>
      </c>
      <c r="N2274" t="n">
        <v>0</v>
      </c>
      <c r="O2274" t="n">
        <v>0</v>
      </c>
      <c r="P2274" t="n">
        <v>0</v>
      </c>
      <c r="Q2274" t="n">
        <v>0</v>
      </c>
      <c r="R2274" s="2" t="inlineStr"/>
    </row>
    <row r="2275" ht="15" customHeight="1">
      <c r="A2275" t="inlineStr">
        <is>
          <t>A 30322-2022</t>
        </is>
      </c>
      <c r="B2275" s="1" t="n">
        <v>44760.44488425926</v>
      </c>
      <c r="C2275" s="1" t="n">
        <v>45952</v>
      </c>
      <c r="D2275" t="inlineStr">
        <is>
          <t>VÄSTRA GÖTALANDS LÄN</t>
        </is>
      </c>
      <c r="E2275" t="inlineStr">
        <is>
          <t>KUNGÄLV</t>
        </is>
      </c>
      <c r="G2275" t="n">
        <v>1.9</v>
      </c>
      <c r="H2275" t="n">
        <v>0</v>
      </c>
      <c r="I2275" t="n">
        <v>0</v>
      </c>
      <c r="J2275" t="n">
        <v>0</v>
      </c>
      <c r="K2275" t="n">
        <v>0</v>
      </c>
      <c r="L2275" t="n">
        <v>0</v>
      </c>
      <c r="M2275" t="n">
        <v>0</v>
      </c>
      <c r="N2275" t="n">
        <v>0</v>
      </c>
      <c r="O2275" t="n">
        <v>0</v>
      </c>
      <c r="P2275" t="n">
        <v>0</v>
      </c>
      <c r="Q2275" t="n">
        <v>0</v>
      </c>
      <c r="R2275" s="2" t="inlineStr"/>
    </row>
    <row r="2276" ht="15" customHeight="1">
      <c r="A2276" t="inlineStr">
        <is>
          <t>A 30889-2021</t>
        </is>
      </c>
      <c r="B2276" s="1" t="n">
        <v>44365</v>
      </c>
      <c r="C2276" s="1" t="n">
        <v>45952</v>
      </c>
      <c r="D2276" t="inlineStr">
        <is>
          <t>VÄSTRA GÖTALANDS LÄN</t>
        </is>
      </c>
      <c r="E2276" t="inlineStr">
        <is>
          <t>FÄRGELANDA</t>
        </is>
      </c>
      <c r="G2276" t="n">
        <v>1.9</v>
      </c>
      <c r="H2276" t="n">
        <v>0</v>
      </c>
      <c r="I2276" t="n">
        <v>0</v>
      </c>
      <c r="J2276" t="n">
        <v>0</v>
      </c>
      <c r="K2276" t="n">
        <v>0</v>
      </c>
      <c r="L2276" t="n">
        <v>0</v>
      </c>
      <c r="M2276" t="n">
        <v>0</v>
      </c>
      <c r="N2276" t="n">
        <v>0</v>
      </c>
      <c r="O2276" t="n">
        <v>0</v>
      </c>
      <c r="P2276" t="n">
        <v>0</v>
      </c>
      <c r="Q2276" t="n">
        <v>0</v>
      </c>
      <c r="R2276" s="2" t="inlineStr"/>
    </row>
    <row r="2277" ht="15" customHeight="1">
      <c r="A2277" t="inlineStr">
        <is>
          <t>A 58495-2021</t>
        </is>
      </c>
      <c r="B2277" s="1" t="n">
        <v>44488.62511574074</v>
      </c>
      <c r="C2277" s="1" t="n">
        <v>45952</v>
      </c>
      <c r="D2277" t="inlineStr">
        <is>
          <t>VÄSTRA GÖTALANDS LÄN</t>
        </is>
      </c>
      <c r="E2277" t="inlineStr">
        <is>
          <t>HJO</t>
        </is>
      </c>
      <c r="G2277" t="n">
        <v>3</v>
      </c>
      <c r="H2277" t="n">
        <v>0</v>
      </c>
      <c r="I2277" t="n">
        <v>0</v>
      </c>
      <c r="J2277" t="n">
        <v>0</v>
      </c>
      <c r="K2277" t="n">
        <v>0</v>
      </c>
      <c r="L2277" t="n">
        <v>0</v>
      </c>
      <c r="M2277" t="n">
        <v>0</v>
      </c>
      <c r="N2277" t="n">
        <v>0</v>
      </c>
      <c r="O2277" t="n">
        <v>0</v>
      </c>
      <c r="P2277" t="n">
        <v>0</v>
      </c>
      <c r="Q2277" t="n">
        <v>0</v>
      </c>
      <c r="R2277" s="2" t="inlineStr"/>
    </row>
    <row r="2278" ht="15" customHeight="1">
      <c r="A2278" t="inlineStr">
        <is>
          <t>A 25313-2022</t>
        </is>
      </c>
      <c r="B2278" s="1" t="n">
        <v>44731.56203703704</v>
      </c>
      <c r="C2278" s="1" t="n">
        <v>45952</v>
      </c>
      <c r="D2278" t="inlineStr">
        <is>
          <t>VÄSTRA GÖTALANDS LÄN</t>
        </is>
      </c>
      <c r="E2278" t="inlineStr">
        <is>
          <t>TANUM</t>
        </is>
      </c>
      <c r="G2278" t="n">
        <v>0.4</v>
      </c>
      <c r="H2278" t="n">
        <v>0</v>
      </c>
      <c r="I2278" t="n">
        <v>0</v>
      </c>
      <c r="J2278" t="n">
        <v>0</v>
      </c>
      <c r="K2278" t="n">
        <v>0</v>
      </c>
      <c r="L2278" t="n">
        <v>0</v>
      </c>
      <c r="M2278" t="n">
        <v>0</v>
      </c>
      <c r="N2278" t="n">
        <v>0</v>
      </c>
      <c r="O2278" t="n">
        <v>0</v>
      </c>
      <c r="P2278" t="n">
        <v>0</v>
      </c>
      <c r="Q2278" t="n">
        <v>0</v>
      </c>
      <c r="R2278" s="2" t="inlineStr"/>
    </row>
    <row r="2279" ht="15" customHeight="1">
      <c r="A2279" t="inlineStr">
        <is>
          <t>A 35841-2022</t>
        </is>
      </c>
      <c r="B2279" s="1" t="n">
        <v>44802</v>
      </c>
      <c r="C2279" s="1" t="n">
        <v>45952</v>
      </c>
      <c r="D2279" t="inlineStr">
        <is>
          <t>VÄSTRA GÖTALANDS LÄN</t>
        </is>
      </c>
      <c r="E2279" t="inlineStr">
        <is>
          <t>TANUM</t>
        </is>
      </c>
      <c r="G2279" t="n">
        <v>5.1</v>
      </c>
      <c r="H2279" t="n">
        <v>0</v>
      </c>
      <c r="I2279" t="n">
        <v>0</v>
      </c>
      <c r="J2279" t="n">
        <v>0</v>
      </c>
      <c r="K2279" t="n">
        <v>0</v>
      </c>
      <c r="L2279" t="n">
        <v>0</v>
      </c>
      <c r="M2279" t="n">
        <v>0</v>
      </c>
      <c r="N2279" t="n">
        <v>0</v>
      </c>
      <c r="O2279" t="n">
        <v>0</v>
      </c>
      <c r="P2279" t="n">
        <v>0</v>
      </c>
      <c r="Q2279" t="n">
        <v>0</v>
      </c>
      <c r="R2279" s="2" t="inlineStr"/>
    </row>
    <row r="2280" ht="15" customHeight="1">
      <c r="A2280" t="inlineStr">
        <is>
          <t>A 35929-2022</t>
        </is>
      </c>
      <c r="B2280" s="1" t="n">
        <v>44802.52940972222</v>
      </c>
      <c r="C2280" s="1" t="n">
        <v>45952</v>
      </c>
      <c r="D2280" t="inlineStr">
        <is>
          <t>VÄSTRA GÖTALANDS LÄN</t>
        </is>
      </c>
      <c r="E2280" t="inlineStr">
        <is>
          <t>TANUM</t>
        </is>
      </c>
      <c r="G2280" t="n">
        <v>0.2</v>
      </c>
      <c r="H2280" t="n">
        <v>0</v>
      </c>
      <c r="I2280" t="n">
        <v>0</v>
      </c>
      <c r="J2280" t="n">
        <v>0</v>
      </c>
      <c r="K2280" t="n">
        <v>0</v>
      </c>
      <c r="L2280" t="n">
        <v>0</v>
      </c>
      <c r="M2280" t="n">
        <v>0</v>
      </c>
      <c r="N2280" t="n">
        <v>0</v>
      </c>
      <c r="O2280" t="n">
        <v>0</v>
      </c>
      <c r="P2280" t="n">
        <v>0</v>
      </c>
      <c r="Q2280" t="n">
        <v>0</v>
      </c>
      <c r="R2280" s="2" t="inlineStr"/>
    </row>
    <row r="2281" ht="15" customHeight="1">
      <c r="A2281" t="inlineStr">
        <is>
          <t>A 63630-2020</t>
        </is>
      </c>
      <c r="B2281" s="1" t="n">
        <v>44165</v>
      </c>
      <c r="C2281" s="1" t="n">
        <v>45952</v>
      </c>
      <c r="D2281" t="inlineStr">
        <is>
          <t>VÄSTRA GÖTALANDS LÄN</t>
        </is>
      </c>
      <c r="E2281" t="inlineStr">
        <is>
          <t>TRANEMO</t>
        </is>
      </c>
      <c r="G2281" t="n">
        <v>1.6</v>
      </c>
      <c r="H2281" t="n">
        <v>0</v>
      </c>
      <c r="I2281" t="n">
        <v>0</v>
      </c>
      <c r="J2281" t="n">
        <v>0</v>
      </c>
      <c r="K2281" t="n">
        <v>0</v>
      </c>
      <c r="L2281" t="n">
        <v>0</v>
      </c>
      <c r="M2281" t="n">
        <v>0</v>
      </c>
      <c r="N2281" t="n">
        <v>0</v>
      </c>
      <c r="O2281" t="n">
        <v>0</v>
      </c>
      <c r="P2281" t="n">
        <v>0</v>
      </c>
      <c r="Q2281" t="n">
        <v>0</v>
      </c>
      <c r="R2281" s="2" t="inlineStr"/>
    </row>
    <row r="2282" ht="15" customHeight="1">
      <c r="A2282" t="inlineStr">
        <is>
          <t>A 2296-2022</t>
        </is>
      </c>
      <c r="B2282" s="1" t="n">
        <v>44578.69895833333</v>
      </c>
      <c r="C2282" s="1" t="n">
        <v>45952</v>
      </c>
      <c r="D2282" t="inlineStr">
        <is>
          <t>VÄSTRA GÖTALANDS LÄN</t>
        </is>
      </c>
      <c r="E2282" t="inlineStr">
        <is>
          <t>BENGTSFORS</t>
        </is>
      </c>
      <c r="G2282" t="n">
        <v>2.6</v>
      </c>
      <c r="H2282" t="n">
        <v>0</v>
      </c>
      <c r="I2282" t="n">
        <v>0</v>
      </c>
      <c r="J2282" t="n">
        <v>0</v>
      </c>
      <c r="K2282" t="n">
        <v>0</v>
      </c>
      <c r="L2282" t="n">
        <v>0</v>
      </c>
      <c r="M2282" t="n">
        <v>0</v>
      </c>
      <c r="N2282" t="n">
        <v>0</v>
      </c>
      <c r="O2282" t="n">
        <v>0</v>
      </c>
      <c r="P2282" t="n">
        <v>0</v>
      </c>
      <c r="Q2282" t="n">
        <v>0</v>
      </c>
      <c r="R2282" s="2" t="inlineStr"/>
    </row>
    <row r="2283" ht="15" customHeight="1">
      <c r="A2283" t="inlineStr">
        <is>
          <t>A 25673-2022</t>
        </is>
      </c>
      <c r="B2283" s="1" t="n">
        <v>44733.28400462963</v>
      </c>
      <c r="C2283" s="1" t="n">
        <v>45952</v>
      </c>
      <c r="D2283" t="inlineStr">
        <is>
          <t>VÄSTRA GÖTALANDS LÄN</t>
        </is>
      </c>
      <c r="E2283" t="inlineStr">
        <is>
          <t>ULRICEHAMN</t>
        </is>
      </c>
      <c r="G2283" t="n">
        <v>3.2</v>
      </c>
      <c r="H2283" t="n">
        <v>0</v>
      </c>
      <c r="I2283" t="n">
        <v>0</v>
      </c>
      <c r="J2283" t="n">
        <v>0</v>
      </c>
      <c r="K2283" t="n">
        <v>0</v>
      </c>
      <c r="L2283" t="n">
        <v>0</v>
      </c>
      <c r="M2283" t="n">
        <v>0</v>
      </c>
      <c r="N2283" t="n">
        <v>0</v>
      </c>
      <c r="O2283" t="n">
        <v>0</v>
      </c>
      <c r="P2283" t="n">
        <v>0</v>
      </c>
      <c r="Q2283" t="n">
        <v>0</v>
      </c>
      <c r="R2283" s="2" t="inlineStr"/>
    </row>
    <row r="2284" ht="15" customHeight="1">
      <c r="A2284" t="inlineStr">
        <is>
          <t>A 39093-2021</t>
        </is>
      </c>
      <c r="B2284" s="1" t="n">
        <v>44412</v>
      </c>
      <c r="C2284" s="1" t="n">
        <v>45952</v>
      </c>
      <c r="D2284" t="inlineStr">
        <is>
          <t>VÄSTRA GÖTALANDS LÄN</t>
        </is>
      </c>
      <c r="E2284" t="inlineStr">
        <is>
          <t>DALS-ED</t>
        </is>
      </c>
      <c r="G2284" t="n">
        <v>1.3</v>
      </c>
      <c r="H2284" t="n">
        <v>0</v>
      </c>
      <c r="I2284" t="n">
        <v>0</v>
      </c>
      <c r="J2284" t="n">
        <v>0</v>
      </c>
      <c r="K2284" t="n">
        <v>0</v>
      </c>
      <c r="L2284" t="n">
        <v>0</v>
      </c>
      <c r="M2284" t="n">
        <v>0</v>
      </c>
      <c r="N2284" t="n">
        <v>0</v>
      </c>
      <c r="O2284" t="n">
        <v>0</v>
      </c>
      <c r="P2284" t="n">
        <v>0</v>
      </c>
      <c r="Q2284" t="n">
        <v>0</v>
      </c>
      <c r="R2284" s="2" t="inlineStr"/>
    </row>
    <row r="2285" ht="15" customHeight="1">
      <c r="A2285" t="inlineStr">
        <is>
          <t>A 39112-2021</t>
        </is>
      </c>
      <c r="B2285" s="1" t="n">
        <v>44412</v>
      </c>
      <c r="C2285" s="1" t="n">
        <v>45952</v>
      </c>
      <c r="D2285" t="inlineStr">
        <is>
          <t>VÄSTRA GÖTALANDS LÄN</t>
        </is>
      </c>
      <c r="E2285" t="inlineStr">
        <is>
          <t>MUNKEDAL</t>
        </is>
      </c>
      <c r="G2285" t="n">
        <v>0.6</v>
      </c>
      <c r="H2285" t="n">
        <v>0</v>
      </c>
      <c r="I2285" t="n">
        <v>0</v>
      </c>
      <c r="J2285" t="n">
        <v>0</v>
      </c>
      <c r="K2285" t="n">
        <v>0</v>
      </c>
      <c r="L2285" t="n">
        <v>0</v>
      </c>
      <c r="M2285" t="n">
        <v>0</v>
      </c>
      <c r="N2285" t="n">
        <v>0</v>
      </c>
      <c r="O2285" t="n">
        <v>0</v>
      </c>
      <c r="P2285" t="n">
        <v>0</v>
      </c>
      <c r="Q2285" t="n">
        <v>0</v>
      </c>
      <c r="R2285" s="2" t="inlineStr"/>
    </row>
    <row r="2286" ht="15" customHeight="1">
      <c r="A2286" t="inlineStr">
        <is>
          <t>A 19950-2021</t>
        </is>
      </c>
      <c r="B2286" s="1" t="n">
        <v>44313.62149305556</v>
      </c>
      <c r="C2286" s="1" t="n">
        <v>45952</v>
      </c>
      <c r="D2286" t="inlineStr">
        <is>
          <t>VÄSTRA GÖTALANDS LÄN</t>
        </is>
      </c>
      <c r="E2286" t="inlineStr">
        <is>
          <t>ULRICEHAMN</t>
        </is>
      </c>
      <c r="G2286" t="n">
        <v>2.8</v>
      </c>
      <c r="H2286" t="n">
        <v>0</v>
      </c>
      <c r="I2286" t="n">
        <v>0</v>
      </c>
      <c r="J2286" t="n">
        <v>0</v>
      </c>
      <c r="K2286" t="n">
        <v>0</v>
      </c>
      <c r="L2286" t="n">
        <v>0</v>
      </c>
      <c r="M2286" t="n">
        <v>0</v>
      </c>
      <c r="N2286" t="n">
        <v>0</v>
      </c>
      <c r="O2286" t="n">
        <v>0</v>
      </c>
      <c r="P2286" t="n">
        <v>0</v>
      </c>
      <c r="Q2286" t="n">
        <v>0</v>
      </c>
      <c r="R2286" s="2" t="inlineStr"/>
    </row>
    <row r="2287" ht="15" customHeight="1">
      <c r="A2287" t="inlineStr">
        <is>
          <t>A 44061-2022</t>
        </is>
      </c>
      <c r="B2287" s="1" t="n">
        <v>44839.31863425926</v>
      </c>
      <c r="C2287" s="1" t="n">
        <v>45952</v>
      </c>
      <c r="D2287" t="inlineStr">
        <is>
          <t>VÄSTRA GÖTALANDS LÄN</t>
        </is>
      </c>
      <c r="E2287" t="inlineStr">
        <is>
          <t>ÅMÅL</t>
        </is>
      </c>
      <c r="G2287" t="n">
        <v>1.1</v>
      </c>
      <c r="H2287" t="n">
        <v>0</v>
      </c>
      <c r="I2287" t="n">
        <v>0</v>
      </c>
      <c r="J2287" t="n">
        <v>0</v>
      </c>
      <c r="K2287" t="n">
        <v>0</v>
      </c>
      <c r="L2287" t="n">
        <v>0</v>
      </c>
      <c r="M2287" t="n">
        <v>0</v>
      </c>
      <c r="N2287" t="n">
        <v>0</v>
      </c>
      <c r="O2287" t="n">
        <v>0</v>
      </c>
      <c r="P2287" t="n">
        <v>0</v>
      </c>
      <c r="Q2287" t="n">
        <v>0</v>
      </c>
      <c r="R2287" s="2" t="inlineStr"/>
    </row>
    <row r="2288" ht="15" customHeight="1">
      <c r="A2288" t="inlineStr">
        <is>
          <t>A 15025-2022</t>
        </is>
      </c>
      <c r="B2288" s="1" t="n">
        <v>44657</v>
      </c>
      <c r="C2288" s="1" t="n">
        <v>45952</v>
      </c>
      <c r="D2288" t="inlineStr">
        <is>
          <t>VÄSTRA GÖTALANDS LÄN</t>
        </is>
      </c>
      <c r="E2288" t="inlineStr">
        <is>
          <t>MELLERUD</t>
        </is>
      </c>
      <c r="G2288" t="n">
        <v>1.5</v>
      </c>
      <c r="H2288" t="n">
        <v>0</v>
      </c>
      <c r="I2288" t="n">
        <v>0</v>
      </c>
      <c r="J2288" t="n">
        <v>0</v>
      </c>
      <c r="K2288" t="n">
        <v>0</v>
      </c>
      <c r="L2288" t="n">
        <v>0</v>
      </c>
      <c r="M2288" t="n">
        <v>0</v>
      </c>
      <c r="N2288" t="n">
        <v>0</v>
      </c>
      <c r="O2288" t="n">
        <v>0</v>
      </c>
      <c r="P2288" t="n">
        <v>0</v>
      </c>
      <c r="Q2288" t="n">
        <v>0</v>
      </c>
      <c r="R2288" s="2" t="inlineStr"/>
    </row>
    <row r="2289" ht="15" customHeight="1">
      <c r="A2289" t="inlineStr">
        <is>
          <t>A 47383-2022</t>
        </is>
      </c>
      <c r="B2289" s="1" t="n">
        <v>44853</v>
      </c>
      <c r="C2289" s="1" t="n">
        <v>45952</v>
      </c>
      <c r="D2289" t="inlineStr">
        <is>
          <t>VÄSTRA GÖTALANDS LÄN</t>
        </is>
      </c>
      <c r="E2289" t="inlineStr">
        <is>
          <t>BENGTSFORS</t>
        </is>
      </c>
      <c r="G2289" t="n">
        <v>1.4</v>
      </c>
      <c r="H2289" t="n">
        <v>0</v>
      </c>
      <c r="I2289" t="n">
        <v>0</v>
      </c>
      <c r="J2289" t="n">
        <v>0</v>
      </c>
      <c r="K2289" t="n">
        <v>0</v>
      </c>
      <c r="L2289" t="n">
        <v>0</v>
      </c>
      <c r="M2289" t="n">
        <v>0</v>
      </c>
      <c r="N2289" t="n">
        <v>0</v>
      </c>
      <c r="O2289" t="n">
        <v>0</v>
      </c>
      <c r="P2289" t="n">
        <v>0</v>
      </c>
      <c r="Q2289" t="n">
        <v>0</v>
      </c>
      <c r="R2289" s="2" t="inlineStr"/>
    </row>
    <row r="2290" ht="15" customHeight="1">
      <c r="A2290" t="inlineStr">
        <is>
          <t>A 24216-2022</t>
        </is>
      </c>
      <c r="B2290" s="1" t="n">
        <v>44725</v>
      </c>
      <c r="C2290" s="1" t="n">
        <v>45952</v>
      </c>
      <c r="D2290" t="inlineStr">
        <is>
          <t>VÄSTRA GÖTALANDS LÄN</t>
        </is>
      </c>
      <c r="E2290" t="inlineStr">
        <is>
          <t>MARK</t>
        </is>
      </c>
      <c r="G2290" t="n">
        <v>0.7</v>
      </c>
      <c r="H2290" t="n">
        <v>0</v>
      </c>
      <c r="I2290" t="n">
        <v>0</v>
      </c>
      <c r="J2290" t="n">
        <v>0</v>
      </c>
      <c r="K2290" t="n">
        <v>0</v>
      </c>
      <c r="L2290" t="n">
        <v>0</v>
      </c>
      <c r="M2290" t="n">
        <v>0</v>
      </c>
      <c r="N2290" t="n">
        <v>0</v>
      </c>
      <c r="O2290" t="n">
        <v>0</v>
      </c>
      <c r="P2290" t="n">
        <v>0</v>
      </c>
      <c r="Q2290" t="n">
        <v>0</v>
      </c>
      <c r="R2290" s="2" t="inlineStr"/>
    </row>
    <row r="2291" ht="15" customHeight="1">
      <c r="A2291" t="inlineStr">
        <is>
          <t>A 73256-2021</t>
        </is>
      </c>
      <c r="B2291" s="1" t="n">
        <v>44550.78354166666</v>
      </c>
      <c r="C2291" s="1" t="n">
        <v>45952</v>
      </c>
      <c r="D2291" t="inlineStr">
        <is>
          <t>VÄSTRA GÖTALANDS LÄN</t>
        </is>
      </c>
      <c r="E2291" t="inlineStr">
        <is>
          <t>FÄRGELANDA</t>
        </is>
      </c>
      <c r="G2291" t="n">
        <v>4.2</v>
      </c>
      <c r="H2291" t="n">
        <v>0</v>
      </c>
      <c r="I2291" t="n">
        <v>0</v>
      </c>
      <c r="J2291" t="n">
        <v>0</v>
      </c>
      <c r="K2291" t="n">
        <v>0</v>
      </c>
      <c r="L2291" t="n">
        <v>0</v>
      </c>
      <c r="M2291" t="n">
        <v>0</v>
      </c>
      <c r="N2291" t="n">
        <v>0</v>
      </c>
      <c r="O2291" t="n">
        <v>0</v>
      </c>
      <c r="P2291" t="n">
        <v>0</v>
      </c>
      <c r="Q2291" t="n">
        <v>0</v>
      </c>
      <c r="R2291" s="2" t="inlineStr"/>
    </row>
    <row r="2292" ht="15" customHeight="1">
      <c r="A2292" t="inlineStr">
        <is>
          <t>A 63596-2021</t>
        </is>
      </c>
      <c r="B2292" s="1" t="n">
        <v>44508</v>
      </c>
      <c r="C2292" s="1" t="n">
        <v>45952</v>
      </c>
      <c r="D2292" t="inlineStr">
        <is>
          <t>VÄSTRA GÖTALANDS LÄN</t>
        </is>
      </c>
      <c r="E2292" t="inlineStr">
        <is>
          <t>HÄRRYDA</t>
        </is>
      </c>
      <c r="G2292" t="n">
        <v>0.7</v>
      </c>
      <c r="H2292" t="n">
        <v>0</v>
      </c>
      <c r="I2292" t="n">
        <v>0</v>
      </c>
      <c r="J2292" t="n">
        <v>0</v>
      </c>
      <c r="K2292" t="n">
        <v>0</v>
      </c>
      <c r="L2292" t="n">
        <v>0</v>
      </c>
      <c r="M2292" t="n">
        <v>0</v>
      </c>
      <c r="N2292" t="n">
        <v>0</v>
      </c>
      <c r="O2292" t="n">
        <v>0</v>
      </c>
      <c r="P2292" t="n">
        <v>0</v>
      </c>
      <c r="Q2292" t="n">
        <v>0</v>
      </c>
      <c r="R2292" s="2" t="inlineStr"/>
    </row>
    <row r="2293" ht="15" customHeight="1">
      <c r="A2293" t="inlineStr">
        <is>
          <t>A 42169-2022</t>
        </is>
      </c>
      <c r="B2293" s="1" t="n">
        <v>44830.62017361111</v>
      </c>
      <c r="C2293" s="1" t="n">
        <v>45952</v>
      </c>
      <c r="D2293" t="inlineStr">
        <is>
          <t>VÄSTRA GÖTALANDS LÄN</t>
        </is>
      </c>
      <c r="E2293" t="inlineStr">
        <is>
          <t>GRÄSTORP</t>
        </is>
      </c>
      <c r="G2293" t="n">
        <v>0.8</v>
      </c>
      <c r="H2293" t="n">
        <v>0</v>
      </c>
      <c r="I2293" t="n">
        <v>0</v>
      </c>
      <c r="J2293" t="n">
        <v>0</v>
      </c>
      <c r="K2293" t="n">
        <v>0</v>
      </c>
      <c r="L2293" t="n">
        <v>0</v>
      </c>
      <c r="M2293" t="n">
        <v>0</v>
      </c>
      <c r="N2293" t="n">
        <v>0</v>
      </c>
      <c r="O2293" t="n">
        <v>0</v>
      </c>
      <c r="P2293" t="n">
        <v>0</v>
      </c>
      <c r="Q2293" t="n">
        <v>0</v>
      </c>
      <c r="R2293" s="2" t="inlineStr"/>
    </row>
    <row r="2294" ht="15" customHeight="1">
      <c r="A2294" t="inlineStr">
        <is>
          <t>A 8278-2022</t>
        </is>
      </c>
      <c r="B2294" s="1" t="n">
        <v>44610</v>
      </c>
      <c r="C2294" s="1" t="n">
        <v>45952</v>
      </c>
      <c r="D2294" t="inlineStr">
        <is>
          <t>VÄSTRA GÖTALANDS LÄN</t>
        </is>
      </c>
      <c r="E2294" t="inlineStr">
        <is>
          <t>SVENLJUNGA</t>
        </is>
      </c>
      <c r="G2294" t="n">
        <v>2</v>
      </c>
      <c r="H2294" t="n">
        <v>0</v>
      </c>
      <c r="I2294" t="n">
        <v>0</v>
      </c>
      <c r="J2294" t="n">
        <v>0</v>
      </c>
      <c r="K2294" t="n">
        <v>0</v>
      </c>
      <c r="L2294" t="n">
        <v>0</v>
      </c>
      <c r="M2294" t="n">
        <v>0</v>
      </c>
      <c r="N2294" t="n">
        <v>0</v>
      </c>
      <c r="O2294" t="n">
        <v>0</v>
      </c>
      <c r="P2294" t="n">
        <v>0</v>
      </c>
      <c r="Q2294" t="n">
        <v>0</v>
      </c>
      <c r="R2294" s="2" t="inlineStr"/>
    </row>
    <row r="2295" ht="15" customHeight="1">
      <c r="A2295" t="inlineStr">
        <is>
          <t>A 36359-2022</t>
        </is>
      </c>
      <c r="B2295" s="1" t="n">
        <v>44803.87314814814</v>
      </c>
      <c r="C2295" s="1" t="n">
        <v>45952</v>
      </c>
      <c r="D2295" t="inlineStr">
        <is>
          <t>VÄSTRA GÖTALANDS LÄN</t>
        </is>
      </c>
      <c r="E2295" t="inlineStr">
        <is>
          <t>LILLA EDET</t>
        </is>
      </c>
      <c r="G2295" t="n">
        <v>1.5</v>
      </c>
      <c r="H2295" t="n">
        <v>0</v>
      </c>
      <c r="I2295" t="n">
        <v>0</v>
      </c>
      <c r="J2295" t="n">
        <v>0</v>
      </c>
      <c r="K2295" t="n">
        <v>0</v>
      </c>
      <c r="L2295" t="n">
        <v>0</v>
      </c>
      <c r="M2295" t="n">
        <v>0</v>
      </c>
      <c r="N2295" t="n">
        <v>0</v>
      </c>
      <c r="O2295" t="n">
        <v>0</v>
      </c>
      <c r="P2295" t="n">
        <v>0</v>
      </c>
      <c r="Q2295" t="n">
        <v>0</v>
      </c>
      <c r="R2295" s="2" t="inlineStr"/>
    </row>
    <row r="2296" ht="15" customHeight="1">
      <c r="A2296" t="inlineStr">
        <is>
          <t>A 69625-2020</t>
        </is>
      </c>
      <c r="B2296" s="1" t="n">
        <v>44195</v>
      </c>
      <c r="C2296" s="1" t="n">
        <v>45952</v>
      </c>
      <c r="D2296" t="inlineStr">
        <is>
          <t>VÄSTRA GÖTALANDS LÄN</t>
        </is>
      </c>
      <c r="E2296" t="inlineStr">
        <is>
          <t>ULRICEHAMN</t>
        </is>
      </c>
      <c r="G2296" t="n">
        <v>4.4</v>
      </c>
      <c r="H2296" t="n">
        <v>0</v>
      </c>
      <c r="I2296" t="n">
        <v>0</v>
      </c>
      <c r="J2296" t="n">
        <v>0</v>
      </c>
      <c r="K2296" t="n">
        <v>0</v>
      </c>
      <c r="L2296" t="n">
        <v>0</v>
      </c>
      <c r="M2296" t="n">
        <v>0</v>
      </c>
      <c r="N2296" t="n">
        <v>0</v>
      </c>
      <c r="O2296" t="n">
        <v>0</v>
      </c>
      <c r="P2296" t="n">
        <v>0</v>
      </c>
      <c r="Q2296" t="n">
        <v>0</v>
      </c>
      <c r="R2296" s="2" t="inlineStr"/>
    </row>
    <row r="2297" ht="15" customHeight="1">
      <c r="A2297" t="inlineStr">
        <is>
          <t>A 8091-2022</t>
        </is>
      </c>
      <c r="B2297" s="1" t="n">
        <v>44609.53788194444</v>
      </c>
      <c r="C2297" s="1" t="n">
        <v>45952</v>
      </c>
      <c r="D2297" t="inlineStr">
        <is>
          <t>VÄSTRA GÖTALANDS LÄN</t>
        </is>
      </c>
      <c r="E2297" t="inlineStr">
        <is>
          <t>MARK</t>
        </is>
      </c>
      <c r="G2297" t="n">
        <v>4.6</v>
      </c>
      <c r="H2297" t="n">
        <v>0</v>
      </c>
      <c r="I2297" t="n">
        <v>0</v>
      </c>
      <c r="J2297" t="n">
        <v>0</v>
      </c>
      <c r="K2297" t="n">
        <v>0</v>
      </c>
      <c r="L2297" t="n">
        <v>0</v>
      </c>
      <c r="M2297" t="n">
        <v>0</v>
      </c>
      <c r="N2297" t="n">
        <v>0</v>
      </c>
      <c r="O2297" t="n">
        <v>0</v>
      </c>
      <c r="P2297" t="n">
        <v>0</v>
      </c>
      <c r="Q2297" t="n">
        <v>0</v>
      </c>
      <c r="R2297" s="2" t="inlineStr"/>
    </row>
    <row r="2298" ht="15" customHeight="1">
      <c r="A2298" t="inlineStr">
        <is>
          <t>A 8093-2022</t>
        </is>
      </c>
      <c r="B2298" s="1" t="n">
        <v>44609</v>
      </c>
      <c r="C2298" s="1" t="n">
        <v>45952</v>
      </c>
      <c r="D2298" t="inlineStr">
        <is>
          <t>VÄSTRA GÖTALANDS LÄN</t>
        </is>
      </c>
      <c r="E2298" t="inlineStr">
        <is>
          <t>MARK</t>
        </is>
      </c>
      <c r="G2298" t="n">
        <v>1.7</v>
      </c>
      <c r="H2298" t="n">
        <v>0</v>
      </c>
      <c r="I2298" t="n">
        <v>0</v>
      </c>
      <c r="J2298" t="n">
        <v>0</v>
      </c>
      <c r="K2298" t="n">
        <v>0</v>
      </c>
      <c r="L2298" t="n">
        <v>0</v>
      </c>
      <c r="M2298" t="n">
        <v>0</v>
      </c>
      <c r="N2298" t="n">
        <v>0</v>
      </c>
      <c r="O2298" t="n">
        <v>0</v>
      </c>
      <c r="P2298" t="n">
        <v>0</v>
      </c>
      <c r="Q2298" t="n">
        <v>0</v>
      </c>
      <c r="R2298" s="2" t="inlineStr"/>
    </row>
    <row r="2299" ht="15" customHeight="1">
      <c r="A2299" t="inlineStr">
        <is>
          <t>A 68194-2021</t>
        </is>
      </c>
      <c r="B2299" s="1" t="n">
        <v>44526.51045138889</v>
      </c>
      <c r="C2299" s="1" t="n">
        <v>45952</v>
      </c>
      <c r="D2299" t="inlineStr">
        <is>
          <t>VÄSTRA GÖTALANDS LÄN</t>
        </is>
      </c>
      <c r="E2299" t="inlineStr">
        <is>
          <t>ÅMÅL</t>
        </is>
      </c>
      <c r="G2299" t="n">
        <v>3.9</v>
      </c>
      <c r="H2299" t="n">
        <v>0</v>
      </c>
      <c r="I2299" t="n">
        <v>0</v>
      </c>
      <c r="J2299" t="n">
        <v>0</v>
      </c>
      <c r="K2299" t="n">
        <v>0</v>
      </c>
      <c r="L2299" t="n">
        <v>0</v>
      </c>
      <c r="M2299" t="n">
        <v>0</v>
      </c>
      <c r="N2299" t="n">
        <v>0</v>
      </c>
      <c r="O2299" t="n">
        <v>0</v>
      </c>
      <c r="P2299" t="n">
        <v>0</v>
      </c>
      <c r="Q2299" t="n">
        <v>0</v>
      </c>
      <c r="R2299" s="2" t="inlineStr"/>
    </row>
    <row r="2300" ht="15" customHeight="1">
      <c r="A2300" t="inlineStr">
        <is>
          <t>A 68214-2021</t>
        </is>
      </c>
      <c r="B2300" s="1" t="n">
        <v>44525</v>
      </c>
      <c r="C2300" s="1" t="n">
        <v>45952</v>
      </c>
      <c r="D2300" t="inlineStr">
        <is>
          <t>VÄSTRA GÖTALANDS LÄN</t>
        </is>
      </c>
      <c r="E2300" t="inlineStr">
        <is>
          <t>TANUM</t>
        </is>
      </c>
      <c r="G2300" t="n">
        <v>1.3</v>
      </c>
      <c r="H2300" t="n">
        <v>0</v>
      </c>
      <c r="I2300" t="n">
        <v>0</v>
      </c>
      <c r="J2300" t="n">
        <v>0</v>
      </c>
      <c r="K2300" t="n">
        <v>0</v>
      </c>
      <c r="L2300" t="n">
        <v>0</v>
      </c>
      <c r="M2300" t="n">
        <v>0</v>
      </c>
      <c r="N2300" t="n">
        <v>0</v>
      </c>
      <c r="O2300" t="n">
        <v>0</v>
      </c>
      <c r="P2300" t="n">
        <v>0</v>
      </c>
      <c r="Q2300" t="n">
        <v>0</v>
      </c>
      <c r="R2300" s="2" t="inlineStr"/>
    </row>
    <row r="2301" ht="15" customHeight="1">
      <c r="A2301" t="inlineStr">
        <is>
          <t>A 1584-2022</t>
        </is>
      </c>
      <c r="B2301" s="1" t="n">
        <v>44573.65699074074</v>
      </c>
      <c r="C2301" s="1" t="n">
        <v>45952</v>
      </c>
      <c r="D2301" t="inlineStr">
        <is>
          <t>VÄSTRA GÖTALANDS LÄN</t>
        </is>
      </c>
      <c r="E2301" t="inlineStr">
        <is>
          <t>BENGTSFORS</t>
        </is>
      </c>
      <c r="G2301" t="n">
        <v>2.2</v>
      </c>
      <c r="H2301" t="n">
        <v>0</v>
      </c>
      <c r="I2301" t="n">
        <v>0</v>
      </c>
      <c r="J2301" t="n">
        <v>0</v>
      </c>
      <c r="K2301" t="n">
        <v>0</v>
      </c>
      <c r="L2301" t="n">
        <v>0</v>
      </c>
      <c r="M2301" t="n">
        <v>0</v>
      </c>
      <c r="N2301" t="n">
        <v>0</v>
      </c>
      <c r="O2301" t="n">
        <v>0</v>
      </c>
      <c r="P2301" t="n">
        <v>0</v>
      </c>
      <c r="Q2301" t="n">
        <v>0</v>
      </c>
      <c r="R2301" s="2" t="inlineStr"/>
    </row>
    <row r="2302" ht="15" customHeight="1">
      <c r="A2302" t="inlineStr">
        <is>
          <t>A 38843-2021</t>
        </is>
      </c>
      <c r="B2302" s="1" t="n">
        <v>44411</v>
      </c>
      <c r="C2302" s="1" t="n">
        <v>45952</v>
      </c>
      <c r="D2302" t="inlineStr">
        <is>
          <t>VÄSTRA GÖTALANDS LÄN</t>
        </is>
      </c>
      <c r="E2302" t="inlineStr">
        <is>
          <t>MARK</t>
        </is>
      </c>
      <c r="G2302" t="n">
        <v>3.9</v>
      </c>
      <c r="H2302" t="n">
        <v>0</v>
      </c>
      <c r="I2302" t="n">
        <v>0</v>
      </c>
      <c r="J2302" t="n">
        <v>0</v>
      </c>
      <c r="K2302" t="n">
        <v>0</v>
      </c>
      <c r="L2302" t="n">
        <v>0</v>
      </c>
      <c r="M2302" t="n">
        <v>0</v>
      </c>
      <c r="N2302" t="n">
        <v>0</v>
      </c>
      <c r="O2302" t="n">
        <v>0</v>
      </c>
      <c r="P2302" t="n">
        <v>0</v>
      </c>
      <c r="Q2302" t="n">
        <v>0</v>
      </c>
      <c r="R2302" s="2" t="inlineStr"/>
    </row>
    <row r="2303" ht="15" customHeight="1">
      <c r="A2303" t="inlineStr">
        <is>
          <t>A 16612-2022</t>
        </is>
      </c>
      <c r="B2303" s="1" t="n">
        <v>44672</v>
      </c>
      <c r="C2303" s="1" t="n">
        <v>45952</v>
      </c>
      <c r="D2303" t="inlineStr">
        <is>
          <t>VÄSTRA GÖTALANDS LÄN</t>
        </is>
      </c>
      <c r="E2303" t="inlineStr">
        <is>
          <t>ALINGSÅS</t>
        </is>
      </c>
      <c r="G2303" t="n">
        <v>0.6</v>
      </c>
      <c r="H2303" t="n">
        <v>0</v>
      </c>
      <c r="I2303" t="n">
        <v>0</v>
      </c>
      <c r="J2303" t="n">
        <v>0</v>
      </c>
      <c r="K2303" t="n">
        <v>0</v>
      </c>
      <c r="L2303" t="n">
        <v>0</v>
      </c>
      <c r="M2303" t="n">
        <v>0</v>
      </c>
      <c r="N2303" t="n">
        <v>0</v>
      </c>
      <c r="O2303" t="n">
        <v>0</v>
      </c>
      <c r="P2303" t="n">
        <v>0</v>
      </c>
      <c r="Q2303" t="n">
        <v>0</v>
      </c>
      <c r="R2303" s="2" t="inlineStr"/>
    </row>
    <row r="2304" ht="15" customHeight="1">
      <c r="A2304" t="inlineStr">
        <is>
          <t>A 60657-2021</t>
        </is>
      </c>
      <c r="B2304" s="1" t="n">
        <v>44496</v>
      </c>
      <c r="C2304" s="1" t="n">
        <v>45952</v>
      </c>
      <c r="D2304" t="inlineStr">
        <is>
          <t>VÄSTRA GÖTALANDS LÄN</t>
        </is>
      </c>
      <c r="E2304" t="inlineStr">
        <is>
          <t>ALINGSÅS</t>
        </is>
      </c>
      <c r="G2304" t="n">
        <v>1.5</v>
      </c>
      <c r="H2304" t="n">
        <v>0</v>
      </c>
      <c r="I2304" t="n">
        <v>0</v>
      </c>
      <c r="J2304" t="n">
        <v>0</v>
      </c>
      <c r="K2304" t="n">
        <v>0</v>
      </c>
      <c r="L2304" t="n">
        <v>0</v>
      </c>
      <c r="M2304" t="n">
        <v>0</v>
      </c>
      <c r="N2304" t="n">
        <v>0</v>
      </c>
      <c r="O2304" t="n">
        <v>0</v>
      </c>
      <c r="P2304" t="n">
        <v>0</v>
      </c>
      <c r="Q2304" t="n">
        <v>0</v>
      </c>
      <c r="R2304" s="2" t="inlineStr"/>
    </row>
    <row r="2305" ht="15" customHeight="1">
      <c r="A2305" t="inlineStr">
        <is>
          <t>A 45328-2021</t>
        </is>
      </c>
      <c r="B2305" s="1" t="n">
        <v>44439</v>
      </c>
      <c r="C2305" s="1" t="n">
        <v>45952</v>
      </c>
      <c r="D2305" t="inlineStr">
        <is>
          <t>VÄSTRA GÖTALANDS LÄN</t>
        </is>
      </c>
      <c r="E2305" t="inlineStr">
        <is>
          <t>ALINGSÅS</t>
        </is>
      </c>
      <c r="G2305" t="n">
        <v>0.3</v>
      </c>
      <c r="H2305" t="n">
        <v>0</v>
      </c>
      <c r="I2305" t="n">
        <v>0</v>
      </c>
      <c r="J2305" t="n">
        <v>0</v>
      </c>
      <c r="K2305" t="n">
        <v>0</v>
      </c>
      <c r="L2305" t="n">
        <v>0</v>
      </c>
      <c r="M2305" t="n">
        <v>0</v>
      </c>
      <c r="N2305" t="n">
        <v>0</v>
      </c>
      <c r="O2305" t="n">
        <v>0</v>
      </c>
      <c r="P2305" t="n">
        <v>0</v>
      </c>
      <c r="Q2305" t="n">
        <v>0</v>
      </c>
      <c r="R2305" s="2" t="inlineStr"/>
    </row>
    <row r="2306" ht="15" customHeight="1">
      <c r="A2306" t="inlineStr">
        <is>
          <t>A 9165-2022</t>
        </is>
      </c>
      <c r="B2306" s="1" t="n">
        <v>44615.66289351852</v>
      </c>
      <c r="C2306" s="1" t="n">
        <v>45952</v>
      </c>
      <c r="D2306" t="inlineStr">
        <is>
          <t>VÄSTRA GÖTALANDS LÄN</t>
        </is>
      </c>
      <c r="E2306" t="inlineStr">
        <is>
          <t>HÄRRYDA</t>
        </is>
      </c>
      <c r="G2306" t="n">
        <v>1.3</v>
      </c>
      <c r="H2306" t="n">
        <v>0</v>
      </c>
      <c r="I2306" t="n">
        <v>0</v>
      </c>
      <c r="J2306" t="n">
        <v>0</v>
      </c>
      <c r="K2306" t="n">
        <v>0</v>
      </c>
      <c r="L2306" t="n">
        <v>0</v>
      </c>
      <c r="M2306" t="n">
        <v>0</v>
      </c>
      <c r="N2306" t="n">
        <v>0</v>
      </c>
      <c r="O2306" t="n">
        <v>0</v>
      </c>
      <c r="P2306" t="n">
        <v>0</v>
      </c>
      <c r="Q2306" t="n">
        <v>0</v>
      </c>
      <c r="R2306" s="2" t="inlineStr"/>
    </row>
    <row r="2307" ht="15" customHeight="1">
      <c r="A2307" t="inlineStr">
        <is>
          <t>A 69670-2021</t>
        </is>
      </c>
      <c r="B2307" s="1" t="n">
        <v>44532.45248842592</v>
      </c>
      <c r="C2307" s="1" t="n">
        <v>45952</v>
      </c>
      <c r="D2307" t="inlineStr">
        <is>
          <t>VÄSTRA GÖTALANDS LÄN</t>
        </is>
      </c>
      <c r="E2307" t="inlineStr">
        <is>
          <t>ULRICEHAMN</t>
        </is>
      </c>
      <c r="G2307" t="n">
        <v>0.6</v>
      </c>
      <c r="H2307" t="n">
        <v>0</v>
      </c>
      <c r="I2307" t="n">
        <v>0</v>
      </c>
      <c r="J2307" t="n">
        <v>0</v>
      </c>
      <c r="K2307" t="n">
        <v>0</v>
      </c>
      <c r="L2307" t="n">
        <v>0</v>
      </c>
      <c r="M2307" t="n">
        <v>0</v>
      </c>
      <c r="N2307" t="n">
        <v>0</v>
      </c>
      <c r="O2307" t="n">
        <v>0</v>
      </c>
      <c r="P2307" t="n">
        <v>0</v>
      </c>
      <c r="Q2307" t="n">
        <v>0</v>
      </c>
      <c r="R2307" s="2" t="inlineStr"/>
    </row>
    <row r="2308" ht="15" customHeight="1">
      <c r="A2308" t="inlineStr">
        <is>
          <t>A 68293-2021</t>
        </is>
      </c>
      <c r="B2308" s="1" t="n">
        <v>44526.74181712963</v>
      </c>
      <c r="C2308" s="1" t="n">
        <v>45952</v>
      </c>
      <c r="D2308" t="inlineStr">
        <is>
          <t>VÄSTRA GÖTALANDS LÄN</t>
        </is>
      </c>
      <c r="E2308" t="inlineStr">
        <is>
          <t>TIDAHOLM</t>
        </is>
      </c>
      <c r="G2308" t="n">
        <v>4</v>
      </c>
      <c r="H2308" t="n">
        <v>0</v>
      </c>
      <c r="I2308" t="n">
        <v>0</v>
      </c>
      <c r="J2308" t="n">
        <v>0</v>
      </c>
      <c r="K2308" t="n">
        <v>0</v>
      </c>
      <c r="L2308" t="n">
        <v>0</v>
      </c>
      <c r="M2308" t="n">
        <v>0</v>
      </c>
      <c r="N2308" t="n">
        <v>0</v>
      </c>
      <c r="O2308" t="n">
        <v>0</v>
      </c>
      <c r="P2308" t="n">
        <v>0</v>
      </c>
      <c r="Q2308" t="n">
        <v>0</v>
      </c>
      <c r="R2308" s="2" t="inlineStr"/>
    </row>
    <row r="2309" ht="15" customHeight="1">
      <c r="A2309" t="inlineStr">
        <is>
          <t>A 51197-2022</t>
        </is>
      </c>
      <c r="B2309" s="1" t="n">
        <v>44868.60407407407</v>
      </c>
      <c r="C2309" s="1" t="n">
        <v>45952</v>
      </c>
      <c r="D2309" t="inlineStr">
        <is>
          <t>VÄSTRA GÖTALANDS LÄN</t>
        </is>
      </c>
      <c r="E2309" t="inlineStr">
        <is>
          <t>HERRLJUNGA</t>
        </is>
      </c>
      <c r="G2309" t="n">
        <v>0.7</v>
      </c>
      <c r="H2309" t="n">
        <v>0</v>
      </c>
      <c r="I2309" t="n">
        <v>0</v>
      </c>
      <c r="J2309" t="n">
        <v>0</v>
      </c>
      <c r="K2309" t="n">
        <v>0</v>
      </c>
      <c r="L2309" t="n">
        <v>0</v>
      </c>
      <c r="M2309" t="n">
        <v>0</v>
      </c>
      <c r="N2309" t="n">
        <v>0</v>
      </c>
      <c r="O2309" t="n">
        <v>0</v>
      </c>
      <c r="P2309" t="n">
        <v>0</v>
      </c>
      <c r="Q2309" t="n">
        <v>0</v>
      </c>
      <c r="R2309" s="2" t="inlineStr"/>
    </row>
    <row r="2310" ht="15" customHeight="1">
      <c r="A2310" t="inlineStr">
        <is>
          <t>A 70426-2021</t>
        </is>
      </c>
      <c r="B2310" s="1" t="n">
        <v>44536.6102662037</v>
      </c>
      <c r="C2310" s="1" t="n">
        <v>45952</v>
      </c>
      <c r="D2310" t="inlineStr">
        <is>
          <t>VÄSTRA GÖTALANDS LÄN</t>
        </is>
      </c>
      <c r="E2310" t="inlineStr">
        <is>
          <t>ALINGSÅS</t>
        </is>
      </c>
      <c r="G2310" t="n">
        <v>3.5</v>
      </c>
      <c r="H2310" t="n">
        <v>0</v>
      </c>
      <c r="I2310" t="n">
        <v>0</v>
      </c>
      <c r="J2310" t="n">
        <v>0</v>
      </c>
      <c r="K2310" t="n">
        <v>0</v>
      </c>
      <c r="L2310" t="n">
        <v>0</v>
      </c>
      <c r="M2310" t="n">
        <v>0</v>
      </c>
      <c r="N2310" t="n">
        <v>0</v>
      </c>
      <c r="O2310" t="n">
        <v>0</v>
      </c>
      <c r="P2310" t="n">
        <v>0</v>
      </c>
      <c r="Q2310" t="n">
        <v>0</v>
      </c>
      <c r="R2310" s="2" t="inlineStr"/>
    </row>
    <row r="2311" ht="15" customHeight="1">
      <c r="A2311" t="inlineStr">
        <is>
          <t>A 68300-2020</t>
        </is>
      </c>
      <c r="B2311" s="1" t="n">
        <v>44184.76163194444</v>
      </c>
      <c r="C2311" s="1" t="n">
        <v>45952</v>
      </c>
      <c r="D2311" t="inlineStr">
        <is>
          <t>VÄSTRA GÖTALANDS LÄN</t>
        </is>
      </c>
      <c r="E2311" t="inlineStr">
        <is>
          <t>BORÅS</t>
        </is>
      </c>
      <c r="G2311" t="n">
        <v>0.7</v>
      </c>
      <c r="H2311" t="n">
        <v>0</v>
      </c>
      <c r="I2311" t="n">
        <v>0</v>
      </c>
      <c r="J2311" t="n">
        <v>0</v>
      </c>
      <c r="K2311" t="n">
        <v>0</v>
      </c>
      <c r="L2311" t="n">
        <v>0</v>
      </c>
      <c r="M2311" t="n">
        <v>0</v>
      </c>
      <c r="N2311" t="n">
        <v>0</v>
      </c>
      <c r="O2311" t="n">
        <v>0</v>
      </c>
      <c r="P2311" t="n">
        <v>0</v>
      </c>
      <c r="Q2311" t="n">
        <v>0</v>
      </c>
      <c r="R2311" s="2" t="inlineStr"/>
    </row>
    <row r="2312" ht="15" customHeight="1">
      <c r="A2312" t="inlineStr">
        <is>
          <t>A 2597-2022</t>
        </is>
      </c>
      <c r="B2312" s="1" t="n">
        <v>44580</v>
      </c>
      <c r="C2312" s="1" t="n">
        <v>45952</v>
      </c>
      <c r="D2312" t="inlineStr">
        <is>
          <t>VÄSTRA GÖTALANDS LÄN</t>
        </is>
      </c>
      <c r="E2312" t="inlineStr">
        <is>
          <t>VÅRGÅRDA</t>
        </is>
      </c>
      <c r="G2312" t="n">
        <v>2.5</v>
      </c>
      <c r="H2312" t="n">
        <v>0</v>
      </c>
      <c r="I2312" t="n">
        <v>0</v>
      </c>
      <c r="J2312" t="n">
        <v>0</v>
      </c>
      <c r="K2312" t="n">
        <v>0</v>
      </c>
      <c r="L2312" t="n">
        <v>0</v>
      </c>
      <c r="M2312" t="n">
        <v>0</v>
      </c>
      <c r="N2312" t="n">
        <v>0</v>
      </c>
      <c r="O2312" t="n">
        <v>0</v>
      </c>
      <c r="P2312" t="n">
        <v>0</v>
      </c>
      <c r="Q2312" t="n">
        <v>0</v>
      </c>
      <c r="R2312" s="2" t="inlineStr"/>
    </row>
    <row r="2313" ht="15" customHeight="1">
      <c r="A2313" t="inlineStr">
        <is>
          <t>A 2616-2022</t>
        </is>
      </c>
      <c r="B2313" s="1" t="n">
        <v>44580</v>
      </c>
      <c r="C2313" s="1" t="n">
        <v>45952</v>
      </c>
      <c r="D2313" t="inlineStr">
        <is>
          <t>VÄSTRA GÖTALANDS LÄN</t>
        </is>
      </c>
      <c r="E2313" t="inlineStr">
        <is>
          <t>MARK</t>
        </is>
      </c>
      <c r="G2313" t="n">
        <v>4.5</v>
      </c>
      <c r="H2313" t="n">
        <v>0</v>
      </c>
      <c r="I2313" t="n">
        <v>0</v>
      </c>
      <c r="J2313" t="n">
        <v>0</v>
      </c>
      <c r="K2313" t="n">
        <v>0</v>
      </c>
      <c r="L2313" t="n">
        <v>0</v>
      </c>
      <c r="M2313" t="n">
        <v>0</v>
      </c>
      <c r="N2313" t="n">
        <v>0</v>
      </c>
      <c r="O2313" t="n">
        <v>0</v>
      </c>
      <c r="P2313" t="n">
        <v>0</v>
      </c>
      <c r="Q2313" t="n">
        <v>0</v>
      </c>
      <c r="R2313" s="2" t="inlineStr"/>
    </row>
    <row r="2314" ht="15" customHeight="1">
      <c r="A2314" t="inlineStr">
        <is>
          <t>A 2984-2022</t>
        </is>
      </c>
      <c r="B2314" s="1" t="n">
        <v>44581.79246527778</v>
      </c>
      <c r="C2314" s="1" t="n">
        <v>45952</v>
      </c>
      <c r="D2314" t="inlineStr">
        <is>
          <t>VÄSTRA GÖTALANDS LÄN</t>
        </is>
      </c>
      <c r="E2314" t="inlineStr">
        <is>
          <t>GÖTENE</t>
        </is>
      </c>
      <c r="G2314" t="n">
        <v>1.7</v>
      </c>
      <c r="H2314" t="n">
        <v>0</v>
      </c>
      <c r="I2314" t="n">
        <v>0</v>
      </c>
      <c r="J2314" t="n">
        <v>0</v>
      </c>
      <c r="K2314" t="n">
        <v>0</v>
      </c>
      <c r="L2314" t="n">
        <v>0</v>
      </c>
      <c r="M2314" t="n">
        <v>0</v>
      </c>
      <c r="N2314" t="n">
        <v>0</v>
      </c>
      <c r="O2314" t="n">
        <v>0</v>
      </c>
      <c r="P2314" t="n">
        <v>0</v>
      </c>
      <c r="Q2314" t="n">
        <v>0</v>
      </c>
      <c r="R2314" s="2" t="inlineStr"/>
    </row>
    <row r="2315" ht="15" customHeight="1">
      <c r="A2315" t="inlineStr">
        <is>
          <t>A 15138-2022</t>
        </is>
      </c>
      <c r="B2315" s="1" t="n">
        <v>44658.44114583333</v>
      </c>
      <c r="C2315" s="1" t="n">
        <v>45952</v>
      </c>
      <c r="D2315" t="inlineStr">
        <is>
          <t>VÄSTRA GÖTALANDS LÄN</t>
        </is>
      </c>
      <c r="E2315" t="inlineStr">
        <is>
          <t>LERUM</t>
        </is>
      </c>
      <c r="G2315" t="n">
        <v>0.3</v>
      </c>
      <c r="H2315" t="n">
        <v>0</v>
      </c>
      <c r="I2315" t="n">
        <v>0</v>
      </c>
      <c r="J2315" t="n">
        <v>0</v>
      </c>
      <c r="K2315" t="n">
        <v>0</v>
      </c>
      <c r="L2315" t="n">
        <v>0</v>
      </c>
      <c r="M2315" t="n">
        <v>0</v>
      </c>
      <c r="N2315" t="n">
        <v>0</v>
      </c>
      <c r="O2315" t="n">
        <v>0</v>
      </c>
      <c r="P2315" t="n">
        <v>0</v>
      </c>
      <c r="Q2315" t="n">
        <v>0</v>
      </c>
      <c r="R2315" s="2" t="inlineStr"/>
    </row>
    <row r="2316" ht="15" customHeight="1">
      <c r="A2316" t="inlineStr">
        <is>
          <t>A 10043-2022</t>
        </is>
      </c>
      <c r="B2316" s="1" t="n">
        <v>44621.57050925926</v>
      </c>
      <c r="C2316" s="1" t="n">
        <v>45952</v>
      </c>
      <c r="D2316" t="inlineStr">
        <is>
          <t>VÄSTRA GÖTALANDS LÄN</t>
        </is>
      </c>
      <c r="E2316" t="inlineStr">
        <is>
          <t>TANUM</t>
        </is>
      </c>
      <c r="G2316" t="n">
        <v>2.1</v>
      </c>
      <c r="H2316" t="n">
        <v>0</v>
      </c>
      <c r="I2316" t="n">
        <v>0</v>
      </c>
      <c r="J2316" t="n">
        <v>0</v>
      </c>
      <c r="K2316" t="n">
        <v>0</v>
      </c>
      <c r="L2316" t="n">
        <v>0</v>
      </c>
      <c r="M2316" t="n">
        <v>0</v>
      </c>
      <c r="N2316" t="n">
        <v>0</v>
      </c>
      <c r="O2316" t="n">
        <v>0</v>
      </c>
      <c r="P2316" t="n">
        <v>0</v>
      </c>
      <c r="Q2316" t="n">
        <v>0</v>
      </c>
      <c r="R2316" s="2" t="inlineStr"/>
    </row>
    <row r="2317" ht="15" customHeight="1">
      <c r="A2317" t="inlineStr">
        <is>
          <t>A 72690-2021</t>
        </is>
      </c>
      <c r="B2317" s="1" t="n">
        <v>44546.65739583333</v>
      </c>
      <c r="C2317" s="1" t="n">
        <v>45952</v>
      </c>
      <c r="D2317" t="inlineStr">
        <is>
          <t>VÄSTRA GÖTALANDS LÄN</t>
        </is>
      </c>
      <c r="E2317" t="inlineStr">
        <is>
          <t>TIDAHOLM</t>
        </is>
      </c>
      <c r="G2317" t="n">
        <v>0.8</v>
      </c>
      <c r="H2317" t="n">
        <v>0</v>
      </c>
      <c r="I2317" t="n">
        <v>0</v>
      </c>
      <c r="J2317" t="n">
        <v>0</v>
      </c>
      <c r="K2317" t="n">
        <v>0</v>
      </c>
      <c r="L2317" t="n">
        <v>0</v>
      </c>
      <c r="M2317" t="n">
        <v>0</v>
      </c>
      <c r="N2317" t="n">
        <v>0</v>
      </c>
      <c r="O2317" t="n">
        <v>0</v>
      </c>
      <c r="P2317" t="n">
        <v>0</v>
      </c>
      <c r="Q2317" t="n">
        <v>0</v>
      </c>
      <c r="R2317" s="2" t="inlineStr"/>
    </row>
    <row r="2318" ht="15" customHeight="1">
      <c r="A2318" t="inlineStr">
        <is>
          <t>A 5598-2022</t>
        </is>
      </c>
      <c r="B2318" s="1" t="n">
        <v>44595</v>
      </c>
      <c r="C2318" s="1" t="n">
        <v>45952</v>
      </c>
      <c r="D2318" t="inlineStr">
        <is>
          <t>VÄSTRA GÖTALANDS LÄN</t>
        </is>
      </c>
      <c r="E2318" t="inlineStr">
        <is>
          <t>SKARA</t>
        </is>
      </c>
      <c r="G2318" t="n">
        <v>1.4</v>
      </c>
      <c r="H2318" t="n">
        <v>0</v>
      </c>
      <c r="I2318" t="n">
        <v>0</v>
      </c>
      <c r="J2318" t="n">
        <v>0</v>
      </c>
      <c r="K2318" t="n">
        <v>0</v>
      </c>
      <c r="L2318" t="n">
        <v>0</v>
      </c>
      <c r="M2318" t="n">
        <v>0</v>
      </c>
      <c r="N2318" t="n">
        <v>0</v>
      </c>
      <c r="O2318" t="n">
        <v>0</v>
      </c>
      <c r="P2318" t="n">
        <v>0</v>
      </c>
      <c r="Q2318" t="n">
        <v>0</v>
      </c>
      <c r="R2318" s="2" t="inlineStr"/>
    </row>
    <row r="2319" ht="15" customHeight="1">
      <c r="A2319" t="inlineStr">
        <is>
          <t>A 5600-2022</t>
        </is>
      </c>
      <c r="B2319" s="1" t="n">
        <v>44595</v>
      </c>
      <c r="C2319" s="1" t="n">
        <v>45952</v>
      </c>
      <c r="D2319" t="inlineStr">
        <is>
          <t>VÄSTRA GÖTALANDS LÄN</t>
        </is>
      </c>
      <c r="E2319" t="inlineStr">
        <is>
          <t>SKARA</t>
        </is>
      </c>
      <c r="G2319" t="n">
        <v>8.9</v>
      </c>
      <c r="H2319" t="n">
        <v>0</v>
      </c>
      <c r="I2319" t="n">
        <v>0</v>
      </c>
      <c r="J2319" t="n">
        <v>0</v>
      </c>
      <c r="K2319" t="n">
        <v>0</v>
      </c>
      <c r="L2319" t="n">
        <v>0</v>
      </c>
      <c r="M2319" t="n">
        <v>0</v>
      </c>
      <c r="N2319" t="n">
        <v>0</v>
      </c>
      <c r="O2319" t="n">
        <v>0</v>
      </c>
      <c r="P2319" t="n">
        <v>0</v>
      </c>
      <c r="Q2319" t="n">
        <v>0</v>
      </c>
      <c r="R2319" s="2" t="inlineStr"/>
    </row>
    <row r="2320" ht="15" customHeight="1">
      <c r="A2320" t="inlineStr">
        <is>
          <t>A 5284-2022</t>
        </is>
      </c>
      <c r="B2320" s="1" t="n">
        <v>44594.60802083334</v>
      </c>
      <c r="C2320" s="1" t="n">
        <v>45952</v>
      </c>
      <c r="D2320" t="inlineStr">
        <is>
          <t>VÄSTRA GÖTALANDS LÄN</t>
        </is>
      </c>
      <c r="E2320" t="inlineStr">
        <is>
          <t>ULRICEHAMN</t>
        </is>
      </c>
      <c r="G2320" t="n">
        <v>0.6</v>
      </c>
      <c r="H2320" t="n">
        <v>0</v>
      </c>
      <c r="I2320" t="n">
        <v>0</v>
      </c>
      <c r="J2320" t="n">
        <v>0</v>
      </c>
      <c r="K2320" t="n">
        <v>0</v>
      </c>
      <c r="L2320" t="n">
        <v>0</v>
      </c>
      <c r="M2320" t="n">
        <v>0</v>
      </c>
      <c r="N2320" t="n">
        <v>0</v>
      </c>
      <c r="O2320" t="n">
        <v>0</v>
      </c>
      <c r="P2320" t="n">
        <v>0</v>
      </c>
      <c r="Q2320" t="n">
        <v>0</v>
      </c>
      <c r="R2320" s="2" t="inlineStr"/>
    </row>
    <row r="2321" ht="15" customHeight="1">
      <c r="A2321" t="inlineStr">
        <is>
          <t>A 9796-2022</t>
        </is>
      </c>
      <c r="B2321" s="1" t="n">
        <v>44620.36696759259</v>
      </c>
      <c r="C2321" s="1" t="n">
        <v>45952</v>
      </c>
      <c r="D2321" t="inlineStr">
        <is>
          <t>VÄSTRA GÖTALANDS LÄN</t>
        </is>
      </c>
      <c r="E2321" t="inlineStr">
        <is>
          <t>MELLERUD</t>
        </is>
      </c>
      <c r="G2321" t="n">
        <v>0.9</v>
      </c>
      <c r="H2321" t="n">
        <v>0</v>
      </c>
      <c r="I2321" t="n">
        <v>0</v>
      </c>
      <c r="J2321" t="n">
        <v>0</v>
      </c>
      <c r="K2321" t="n">
        <v>0</v>
      </c>
      <c r="L2321" t="n">
        <v>0</v>
      </c>
      <c r="M2321" t="n">
        <v>0</v>
      </c>
      <c r="N2321" t="n">
        <v>0</v>
      </c>
      <c r="O2321" t="n">
        <v>0</v>
      </c>
      <c r="P2321" t="n">
        <v>0</v>
      </c>
      <c r="Q2321" t="n">
        <v>0</v>
      </c>
      <c r="R2321" s="2" t="inlineStr"/>
    </row>
    <row r="2322" ht="15" customHeight="1">
      <c r="A2322" t="inlineStr">
        <is>
          <t>A 7309-2021</t>
        </is>
      </c>
      <c r="B2322" s="1" t="n">
        <v>44238</v>
      </c>
      <c r="C2322" s="1" t="n">
        <v>45952</v>
      </c>
      <c r="D2322" t="inlineStr">
        <is>
          <t>VÄSTRA GÖTALANDS LÄN</t>
        </is>
      </c>
      <c r="E2322" t="inlineStr">
        <is>
          <t>MARK</t>
        </is>
      </c>
      <c r="G2322" t="n">
        <v>4.9</v>
      </c>
      <c r="H2322" t="n">
        <v>0</v>
      </c>
      <c r="I2322" t="n">
        <v>0</v>
      </c>
      <c r="J2322" t="n">
        <v>0</v>
      </c>
      <c r="K2322" t="n">
        <v>0</v>
      </c>
      <c r="L2322" t="n">
        <v>0</v>
      </c>
      <c r="M2322" t="n">
        <v>0</v>
      </c>
      <c r="N2322" t="n">
        <v>0</v>
      </c>
      <c r="O2322" t="n">
        <v>0</v>
      </c>
      <c r="P2322" t="n">
        <v>0</v>
      </c>
      <c r="Q2322" t="n">
        <v>0</v>
      </c>
      <c r="R2322" s="2" t="inlineStr"/>
    </row>
    <row r="2323" ht="15" customHeight="1">
      <c r="A2323" t="inlineStr">
        <is>
          <t>A 68882-2021</t>
        </is>
      </c>
      <c r="B2323" s="1" t="n">
        <v>44530.44055555556</v>
      </c>
      <c r="C2323" s="1" t="n">
        <v>45952</v>
      </c>
      <c r="D2323" t="inlineStr">
        <is>
          <t>VÄSTRA GÖTALANDS LÄN</t>
        </is>
      </c>
      <c r="E2323" t="inlineStr">
        <is>
          <t>BOLLEBYGD</t>
        </is>
      </c>
      <c r="G2323" t="n">
        <v>0.5</v>
      </c>
      <c r="H2323" t="n">
        <v>0</v>
      </c>
      <c r="I2323" t="n">
        <v>0</v>
      </c>
      <c r="J2323" t="n">
        <v>0</v>
      </c>
      <c r="K2323" t="n">
        <v>0</v>
      </c>
      <c r="L2323" t="n">
        <v>0</v>
      </c>
      <c r="M2323" t="n">
        <v>0</v>
      </c>
      <c r="N2323" t="n">
        <v>0</v>
      </c>
      <c r="O2323" t="n">
        <v>0</v>
      </c>
      <c r="P2323" t="n">
        <v>0</v>
      </c>
      <c r="Q2323" t="n">
        <v>0</v>
      </c>
      <c r="R2323" s="2" t="inlineStr"/>
    </row>
    <row r="2324" ht="15" customHeight="1">
      <c r="A2324" t="inlineStr">
        <is>
          <t>A 60804-2021</t>
        </is>
      </c>
      <c r="B2324" s="1" t="n">
        <v>44497.29916666666</v>
      </c>
      <c r="C2324" s="1" t="n">
        <v>45952</v>
      </c>
      <c r="D2324" t="inlineStr">
        <is>
          <t>VÄSTRA GÖTALANDS LÄN</t>
        </is>
      </c>
      <c r="E2324" t="inlineStr">
        <is>
          <t>MARK</t>
        </is>
      </c>
      <c r="G2324" t="n">
        <v>2.1</v>
      </c>
      <c r="H2324" t="n">
        <v>0</v>
      </c>
      <c r="I2324" t="n">
        <v>0</v>
      </c>
      <c r="J2324" t="n">
        <v>0</v>
      </c>
      <c r="K2324" t="n">
        <v>0</v>
      </c>
      <c r="L2324" t="n">
        <v>0</v>
      </c>
      <c r="M2324" t="n">
        <v>0</v>
      </c>
      <c r="N2324" t="n">
        <v>0</v>
      </c>
      <c r="O2324" t="n">
        <v>0</v>
      </c>
      <c r="P2324" t="n">
        <v>0</v>
      </c>
      <c r="Q2324" t="n">
        <v>0</v>
      </c>
      <c r="R2324" s="2" t="inlineStr"/>
    </row>
    <row r="2325" ht="15" customHeight="1">
      <c r="A2325" t="inlineStr">
        <is>
          <t>A 53565-2022</t>
        </is>
      </c>
      <c r="B2325" s="1" t="n">
        <v>44879.65046296296</v>
      </c>
      <c r="C2325" s="1" t="n">
        <v>45952</v>
      </c>
      <c r="D2325" t="inlineStr">
        <is>
          <t>VÄSTRA GÖTALANDS LÄN</t>
        </is>
      </c>
      <c r="E2325" t="inlineStr">
        <is>
          <t>MELLERUD</t>
        </is>
      </c>
      <c r="G2325" t="n">
        <v>1</v>
      </c>
      <c r="H2325" t="n">
        <v>0</v>
      </c>
      <c r="I2325" t="n">
        <v>0</v>
      </c>
      <c r="J2325" t="n">
        <v>0</v>
      </c>
      <c r="K2325" t="n">
        <v>0</v>
      </c>
      <c r="L2325" t="n">
        <v>0</v>
      </c>
      <c r="M2325" t="n">
        <v>0</v>
      </c>
      <c r="N2325" t="n">
        <v>0</v>
      </c>
      <c r="O2325" t="n">
        <v>0</v>
      </c>
      <c r="P2325" t="n">
        <v>0</v>
      </c>
      <c r="Q2325" t="n">
        <v>0</v>
      </c>
      <c r="R2325" s="2" t="inlineStr"/>
    </row>
    <row r="2326" ht="15" customHeight="1">
      <c r="A2326" t="inlineStr">
        <is>
          <t>A 44530-2022</t>
        </is>
      </c>
      <c r="B2326" s="1" t="n">
        <v>44840.44130787037</v>
      </c>
      <c r="C2326" s="1" t="n">
        <v>45952</v>
      </c>
      <c r="D2326" t="inlineStr">
        <is>
          <t>VÄSTRA GÖTALANDS LÄN</t>
        </is>
      </c>
      <c r="E2326" t="inlineStr">
        <is>
          <t>MELLERUD</t>
        </is>
      </c>
      <c r="G2326" t="n">
        <v>0.6</v>
      </c>
      <c r="H2326" t="n">
        <v>0</v>
      </c>
      <c r="I2326" t="n">
        <v>0</v>
      </c>
      <c r="J2326" t="n">
        <v>0</v>
      </c>
      <c r="K2326" t="n">
        <v>0</v>
      </c>
      <c r="L2326" t="n">
        <v>0</v>
      </c>
      <c r="M2326" t="n">
        <v>0</v>
      </c>
      <c r="N2326" t="n">
        <v>0</v>
      </c>
      <c r="O2326" t="n">
        <v>0</v>
      </c>
      <c r="P2326" t="n">
        <v>0</v>
      </c>
      <c r="Q2326" t="n">
        <v>0</v>
      </c>
      <c r="R2326" s="2" t="inlineStr"/>
    </row>
    <row r="2327" ht="15" customHeight="1">
      <c r="A2327" t="inlineStr">
        <is>
          <t>A 37377-2021</t>
        </is>
      </c>
      <c r="B2327" s="1" t="n">
        <v>44398.26491898148</v>
      </c>
      <c r="C2327" s="1" t="n">
        <v>45952</v>
      </c>
      <c r="D2327" t="inlineStr">
        <is>
          <t>VÄSTRA GÖTALANDS LÄN</t>
        </is>
      </c>
      <c r="E2327" t="inlineStr">
        <is>
          <t>ESSUNGA</t>
        </is>
      </c>
      <c r="G2327" t="n">
        <v>0.8</v>
      </c>
      <c r="H2327" t="n">
        <v>0</v>
      </c>
      <c r="I2327" t="n">
        <v>0</v>
      </c>
      <c r="J2327" t="n">
        <v>0</v>
      </c>
      <c r="K2327" t="n">
        <v>0</v>
      </c>
      <c r="L2327" t="n">
        <v>0</v>
      </c>
      <c r="M2327" t="n">
        <v>0</v>
      </c>
      <c r="N2327" t="n">
        <v>0</v>
      </c>
      <c r="O2327" t="n">
        <v>0</v>
      </c>
      <c r="P2327" t="n">
        <v>0</v>
      </c>
      <c r="Q2327" t="n">
        <v>0</v>
      </c>
      <c r="R2327" s="2" t="inlineStr"/>
    </row>
    <row r="2328" ht="15" customHeight="1">
      <c r="A2328" t="inlineStr">
        <is>
          <t>A 44876-2022</t>
        </is>
      </c>
      <c r="B2328" s="1" t="n">
        <v>44840</v>
      </c>
      <c r="C2328" s="1" t="n">
        <v>45952</v>
      </c>
      <c r="D2328" t="inlineStr">
        <is>
          <t>VÄSTRA GÖTALANDS LÄN</t>
        </is>
      </c>
      <c r="E2328" t="inlineStr">
        <is>
          <t>BENGTSFORS</t>
        </is>
      </c>
      <c r="G2328" t="n">
        <v>5</v>
      </c>
      <c r="H2328" t="n">
        <v>0</v>
      </c>
      <c r="I2328" t="n">
        <v>0</v>
      </c>
      <c r="J2328" t="n">
        <v>0</v>
      </c>
      <c r="K2328" t="n">
        <v>0</v>
      </c>
      <c r="L2328" t="n">
        <v>0</v>
      </c>
      <c r="M2328" t="n">
        <v>0</v>
      </c>
      <c r="N2328" t="n">
        <v>0</v>
      </c>
      <c r="O2328" t="n">
        <v>0</v>
      </c>
      <c r="P2328" t="n">
        <v>0</v>
      </c>
      <c r="Q2328" t="n">
        <v>0</v>
      </c>
      <c r="R2328" s="2" t="inlineStr"/>
    </row>
    <row r="2329" ht="15" customHeight="1">
      <c r="A2329" t="inlineStr">
        <is>
          <t>A 44577-2022</t>
        </is>
      </c>
      <c r="B2329" s="1" t="n">
        <v>44840.4956712963</v>
      </c>
      <c r="C2329" s="1" t="n">
        <v>45952</v>
      </c>
      <c r="D2329" t="inlineStr">
        <is>
          <t>VÄSTRA GÖTALANDS LÄN</t>
        </is>
      </c>
      <c r="E2329" t="inlineStr">
        <is>
          <t>MARK</t>
        </is>
      </c>
      <c r="G2329" t="n">
        <v>2.6</v>
      </c>
      <c r="H2329" t="n">
        <v>0</v>
      </c>
      <c r="I2329" t="n">
        <v>0</v>
      </c>
      <c r="J2329" t="n">
        <v>0</v>
      </c>
      <c r="K2329" t="n">
        <v>0</v>
      </c>
      <c r="L2329" t="n">
        <v>0</v>
      </c>
      <c r="M2329" t="n">
        <v>0</v>
      </c>
      <c r="N2329" t="n">
        <v>0</v>
      </c>
      <c r="O2329" t="n">
        <v>0</v>
      </c>
      <c r="P2329" t="n">
        <v>0</v>
      </c>
      <c r="Q2329" t="n">
        <v>0</v>
      </c>
      <c r="R2329" s="2" t="inlineStr"/>
    </row>
    <row r="2330" ht="15" customHeight="1">
      <c r="A2330" t="inlineStr">
        <is>
          <t>A 43749-2021</t>
        </is>
      </c>
      <c r="B2330" s="1" t="n">
        <v>44433</v>
      </c>
      <c r="C2330" s="1" t="n">
        <v>45952</v>
      </c>
      <c r="D2330" t="inlineStr">
        <is>
          <t>VÄSTRA GÖTALANDS LÄN</t>
        </is>
      </c>
      <c r="E2330" t="inlineStr">
        <is>
          <t>GULLSPÅNG</t>
        </is>
      </c>
      <c r="G2330" t="n">
        <v>2.3</v>
      </c>
      <c r="H2330" t="n">
        <v>0</v>
      </c>
      <c r="I2330" t="n">
        <v>0</v>
      </c>
      <c r="J2330" t="n">
        <v>0</v>
      </c>
      <c r="K2330" t="n">
        <v>0</v>
      </c>
      <c r="L2330" t="n">
        <v>0</v>
      </c>
      <c r="M2330" t="n">
        <v>0</v>
      </c>
      <c r="N2330" t="n">
        <v>0</v>
      </c>
      <c r="O2330" t="n">
        <v>0</v>
      </c>
      <c r="P2330" t="n">
        <v>0</v>
      </c>
      <c r="Q2330" t="n">
        <v>0</v>
      </c>
      <c r="R2330" s="2" t="inlineStr"/>
    </row>
    <row r="2331" ht="15" customHeight="1">
      <c r="A2331" t="inlineStr">
        <is>
          <t>A 73187-2021</t>
        </is>
      </c>
      <c r="B2331" s="1" t="n">
        <v>44550</v>
      </c>
      <c r="C2331" s="1" t="n">
        <v>45952</v>
      </c>
      <c r="D2331" t="inlineStr">
        <is>
          <t>VÄSTRA GÖTALANDS LÄN</t>
        </is>
      </c>
      <c r="E2331" t="inlineStr">
        <is>
          <t>ALINGSÅS</t>
        </is>
      </c>
      <c r="G2331" t="n">
        <v>4.8</v>
      </c>
      <c r="H2331" t="n">
        <v>0</v>
      </c>
      <c r="I2331" t="n">
        <v>0</v>
      </c>
      <c r="J2331" t="n">
        <v>0</v>
      </c>
      <c r="K2331" t="n">
        <v>0</v>
      </c>
      <c r="L2331" t="n">
        <v>0</v>
      </c>
      <c r="M2331" t="n">
        <v>0</v>
      </c>
      <c r="N2331" t="n">
        <v>0</v>
      </c>
      <c r="O2331" t="n">
        <v>0</v>
      </c>
      <c r="P2331" t="n">
        <v>0</v>
      </c>
      <c r="Q2331" t="n">
        <v>0</v>
      </c>
      <c r="R2331" s="2" t="inlineStr"/>
    </row>
    <row r="2332" ht="15" customHeight="1">
      <c r="A2332" t="inlineStr">
        <is>
          <t>A 47140-2022</t>
        </is>
      </c>
      <c r="B2332" s="1" t="n">
        <v>44852</v>
      </c>
      <c r="C2332" s="1" t="n">
        <v>45952</v>
      </c>
      <c r="D2332" t="inlineStr">
        <is>
          <t>VÄSTRA GÖTALANDS LÄN</t>
        </is>
      </c>
      <c r="E2332" t="inlineStr">
        <is>
          <t>BENGTSFORS</t>
        </is>
      </c>
      <c r="G2332" t="n">
        <v>9.1</v>
      </c>
      <c r="H2332" t="n">
        <v>0</v>
      </c>
      <c r="I2332" t="n">
        <v>0</v>
      </c>
      <c r="J2332" t="n">
        <v>0</v>
      </c>
      <c r="K2332" t="n">
        <v>0</v>
      </c>
      <c r="L2332" t="n">
        <v>0</v>
      </c>
      <c r="M2332" t="n">
        <v>0</v>
      </c>
      <c r="N2332" t="n">
        <v>0</v>
      </c>
      <c r="O2332" t="n">
        <v>0</v>
      </c>
      <c r="P2332" t="n">
        <v>0</v>
      </c>
      <c r="Q2332" t="n">
        <v>0</v>
      </c>
      <c r="R2332" s="2" t="inlineStr"/>
    </row>
    <row r="2333" ht="15" customHeight="1">
      <c r="A2333" t="inlineStr">
        <is>
          <t>A 3488-2022</t>
        </is>
      </c>
      <c r="B2333" s="1" t="n">
        <v>44585</v>
      </c>
      <c r="C2333" s="1" t="n">
        <v>45952</v>
      </c>
      <c r="D2333" t="inlineStr">
        <is>
          <t>VÄSTRA GÖTALANDS LÄN</t>
        </is>
      </c>
      <c r="E2333" t="inlineStr">
        <is>
          <t>SKÖVDE</t>
        </is>
      </c>
      <c r="G2333" t="n">
        <v>1.3</v>
      </c>
      <c r="H2333" t="n">
        <v>0</v>
      </c>
      <c r="I2333" t="n">
        <v>0</v>
      </c>
      <c r="J2333" t="n">
        <v>0</v>
      </c>
      <c r="K2333" t="n">
        <v>0</v>
      </c>
      <c r="L2333" t="n">
        <v>0</v>
      </c>
      <c r="M2333" t="n">
        <v>0</v>
      </c>
      <c r="N2333" t="n">
        <v>0</v>
      </c>
      <c r="O2333" t="n">
        <v>0</v>
      </c>
      <c r="P2333" t="n">
        <v>0</v>
      </c>
      <c r="Q2333" t="n">
        <v>0</v>
      </c>
      <c r="R2333" s="2" t="inlineStr"/>
    </row>
    <row r="2334" ht="15" customHeight="1">
      <c r="A2334" t="inlineStr">
        <is>
          <t>A 44687-2021</t>
        </is>
      </c>
      <c r="B2334" s="1" t="n">
        <v>44438</v>
      </c>
      <c r="C2334" s="1" t="n">
        <v>45952</v>
      </c>
      <c r="D2334" t="inlineStr">
        <is>
          <t>VÄSTRA GÖTALANDS LÄN</t>
        </is>
      </c>
      <c r="E2334" t="inlineStr">
        <is>
          <t>TANUM</t>
        </is>
      </c>
      <c r="G2334" t="n">
        <v>2.8</v>
      </c>
      <c r="H2334" t="n">
        <v>0</v>
      </c>
      <c r="I2334" t="n">
        <v>0</v>
      </c>
      <c r="J2334" t="n">
        <v>0</v>
      </c>
      <c r="K2334" t="n">
        <v>0</v>
      </c>
      <c r="L2334" t="n">
        <v>0</v>
      </c>
      <c r="M2334" t="n">
        <v>0</v>
      </c>
      <c r="N2334" t="n">
        <v>0</v>
      </c>
      <c r="O2334" t="n">
        <v>0</v>
      </c>
      <c r="P2334" t="n">
        <v>0</v>
      </c>
      <c r="Q2334" t="n">
        <v>0</v>
      </c>
      <c r="R2334" s="2" t="inlineStr"/>
    </row>
    <row r="2335" ht="15" customHeight="1">
      <c r="A2335" t="inlineStr">
        <is>
          <t>A 3673-2022</t>
        </is>
      </c>
      <c r="B2335" s="1" t="n">
        <v>44586.54415509259</v>
      </c>
      <c r="C2335" s="1" t="n">
        <v>45952</v>
      </c>
      <c r="D2335" t="inlineStr">
        <is>
          <t>VÄSTRA GÖTALANDS LÄN</t>
        </is>
      </c>
      <c r="E2335" t="inlineStr">
        <is>
          <t>MÖLNDAL</t>
        </is>
      </c>
      <c r="G2335" t="n">
        <v>5.6</v>
      </c>
      <c r="H2335" t="n">
        <v>0</v>
      </c>
      <c r="I2335" t="n">
        <v>0</v>
      </c>
      <c r="J2335" t="n">
        <v>0</v>
      </c>
      <c r="K2335" t="n">
        <v>0</v>
      </c>
      <c r="L2335" t="n">
        <v>0</v>
      </c>
      <c r="M2335" t="n">
        <v>0</v>
      </c>
      <c r="N2335" t="n">
        <v>0</v>
      </c>
      <c r="O2335" t="n">
        <v>0</v>
      </c>
      <c r="P2335" t="n">
        <v>0</v>
      </c>
      <c r="Q2335" t="n">
        <v>0</v>
      </c>
      <c r="R2335" s="2" t="inlineStr"/>
    </row>
    <row r="2336" ht="15" customHeight="1">
      <c r="A2336" t="inlineStr">
        <is>
          <t>A 32520-2021</t>
        </is>
      </c>
      <c r="B2336" s="1" t="n">
        <v>44374.78251157407</v>
      </c>
      <c r="C2336" s="1" t="n">
        <v>45952</v>
      </c>
      <c r="D2336" t="inlineStr">
        <is>
          <t>VÄSTRA GÖTALANDS LÄN</t>
        </is>
      </c>
      <c r="E2336" t="inlineStr">
        <is>
          <t>ÅMÅL</t>
        </is>
      </c>
      <c r="G2336" t="n">
        <v>0.7</v>
      </c>
      <c r="H2336" t="n">
        <v>0</v>
      </c>
      <c r="I2336" t="n">
        <v>0</v>
      </c>
      <c r="J2336" t="n">
        <v>0</v>
      </c>
      <c r="K2336" t="n">
        <v>0</v>
      </c>
      <c r="L2336" t="n">
        <v>0</v>
      </c>
      <c r="M2336" t="n">
        <v>0</v>
      </c>
      <c r="N2336" t="n">
        <v>0</v>
      </c>
      <c r="O2336" t="n">
        <v>0</v>
      </c>
      <c r="P2336" t="n">
        <v>0</v>
      </c>
      <c r="Q2336" t="n">
        <v>0</v>
      </c>
      <c r="R2336" s="2" t="inlineStr"/>
    </row>
    <row r="2337" ht="15" customHeight="1">
      <c r="A2337" t="inlineStr">
        <is>
          <t>A 8659-2021</t>
        </is>
      </c>
      <c r="B2337" s="1" t="n">
        <v>44246</v>
      </c>
      <c r="C2337" s="1" t="n">
        <v>45952</v>
      </c>
      <c r="D2337" t="inlineStr">
        <is>
          <t>VÄSTRA GÖTALANDS LÄN</t>
        </is>
      </c>
      <c r="E2337" t="inlineStr">
        <is>
          <t>HERRLJUNGA</t>
        </is>
      </c>
      <c r="G2337" t="n">
        <v>1.1</v>
      </c>
      <c r="H2337" t="n">
        <v>0</v>
      </c>
      <c r="I2337" t="n">
        <v>0</v>
      </c>
      <c r="J2337" t="n">
        <v>0</v>
      </c>
      <c r="K2337" t="n">
        <v>0</v>
      </c>
      <c r="L2337" t="n">
        <v>0</v>
      </c>
      <c r="M2337" t="n">
        <v>0</v>
      </c>
      <c r="N2337" t="n">
        <v>0</v>
      </c>
      <c r="O2337" t="n">
        <v>0</v>
      </c>
      <c r="P2337" t="n">
        <v>0</v>
      </c>
      <c r="Q2337" t="n">
        <v>0</v>
      </c>
      <c r="R2337" s="2" t="inlineStr"/>
    </row>
    <row r="2338" ht="15" customHeight="1">
      <c r="A2338" t="inlineStr">
        <is>
          <t>A 8663-2021</t>
        </is>
      </c>
      <c r="B2338" s="1" t="n">
        <v>44245</v>
      </c>
      <c r="C2338" s="1" t="n">
        <v>45952</v>
      </c>
      <c r="D2338" t="inlineStr">
        <is>
          <t>VÄSTRA GÖTALANDS LÄN</t>
        </is>
      </c>
      <c r="E2338" t="inlineStr">
        <is>
          <t>BENGTSFORS</t>
        </is>
      </c>
      <c r="G2338" t="n">
        <v>3.3</v>
      </c>
      <c r="H2338" t="n">
        <v>0</v>
      </c>
      <c r="I2338" t="n">
        <v>0</v>
      </c>
      <c r="J2338" t="n">
        <v>0</v>
      </c>
      <c r="K2338" t="n">
        <v>0</v>
      </c>
      <c r="L2338" t="n">
        <v>0</v>
      </c>
      <c r="M2338" t="n">
        <v>0</v>
      </c>
      <c r="N2338" t="n">
        <v>0</v>
      </c>
      <c r="O2338" t="n">
        <v>0</v>
      </c>
      <c r="P2338" t="n">
        <v>0</v>
      </c>
      <c r="Q2338" t="n">
        <v>0</v>
      </c>
      <c r="R2338" s="2" t="inlineStr"/>
    </row>
    <row r="2339" ht="15" customHeight="1">
      <c r="A2339" t="inlineStr">
        <is>
          <t>A 29560-2022</t>
        </is>
      </c>
      <c r="B2339" s="1" t="n">
        <v>44754.35616898148</v>
      </c>
      <c r="C2339" s="1" t="n">
        <v>45952</v>
      </c>
      <c r="D2339" t="inlineStr">
        <is>
          <t>VÄSTRA GÖTALANDS LÄN</t>
        </is>
      </c>
      <c r="E2339" t="inlineStr">
        <is>
          <t>TÖREBODA</t>
        </is>
      </c>
      <c r="F2339" t="inlineStr">
        <is>
          <t>Sveaskog</t>
        </is>
      </c>
      <c r="G2339" t="n">
        <v>0.6</v>
      </c>
      <c r="H2339" t="n">
        <v>0</v>
      </c>
      <c r="I2339" t="n">
        <v>0</v>
      </c>
      <c r="J2339" t="n">
        <v>0</v>
      </c>
      <c r="K2339" t="n">
        <v>0</v>
      </c>
      <c r="L2339" t="n">
        <v>0</v>
      </c>
      <c r="M2339" t="n">
        <v>0</v>
      </c>
      <c r="N2339" t="n">
        <v>0</v>
      </c>
      <c r="O2339" t="n">
        <v>0</v>
      </c>
      <c r="P2339" t="n">
        <v>0</v>
      </c>
      <c r="Q2339" t="n">
        <v>0</v>
      </c>
      <c r="R2339" s="2" t="inlineStr"/>
    </row>
    <row r="2340" ht="15" customHeight="1">
      <c r="A2340" t="inlineStr">
        <is>
          <t>A 24984-2021</t>
        </is>
      </c>
      <c r="B2340" s="1" t="n">
        <v>44341.52290509259</v>
      </c>
      <c r="C2340" s="1" t="n">
        <v>45952</v>
      </c>
      <c r="D2340" t="inlineStr">
        <is>
          <t>VÄSTRA GÖTALANDS LÄN</t>
        </is>
      </c>
      <c r="E2340" t="inlineStr">
        <is>
          <t>TRANEMO</t>
        </is>
      </c>
      <c r="G2340" t="n">
        <v>2</v>
      </c>
      <c r="H2340" t="n">
        <v>0</v>
      </c>
      <c r="I2340" t="n">
        <v>0</v>
      </c>
      <c r="J2340" t="n">
        <v>0</v>
      </c>
      <c r="K2340" t="n">
        <v>0</v>
      </c>
      <c r="L2340" t="n">
        <v>0</v>
      </c>
      <c r="M2340" t="n">
        <v>0</v>
      </c>
      <c r="N2340" t="n">
        <v>0</v>
      </c>
      <c r="O2340" t="n">
        <v>0</v>
      </c>
      <c r="P2340" t="n">
        <v>0</v>
      </c>
      <c r="Q2340" t="n">
        <v>0</v>
      </c>
      <c r="R2340" s="2" t="inlineStr"/>
    </row>
    <row r="2341" ht="15" customHeight="1">
      <c r="A2341" t="inlineStr">
        <is>
          <t>A 47024-2021</t>
        </is>
      </c>
      <c r="B2341" s="1" t="n">
        <v>44446.59780092593</v>
      </c>
      <c r="C2341" s="1" t="n">
        <v>45952</v>
      </c>
      <c r="D2341" t="inlineStr">
        <is>
          <t>VÄSTRA GÖTALANDS LÄN</t>
        </is>
      </c>
      <c r="E2341" t="inlineStr">
        <is>
          <t>VÅRGÅRDA</t>
        </is>
      </c>
      <c r="G2341" t="n">
        <v>1.9</v>
      </c>
      <c r="H2341" t="n">
        <v>0</v>
      </c>
      <c r="I2341" t="n">
        <v>0</v>
      </c>
      <c r="J2341" t="n">
        <v>0</v>
      </c>
      <c r="K2341" t="n">
        <v>0</v>
      </c>
      <c r="L2341" t="n">
        <v>0</v>
      </c>
      <c r="M2341" t="n">
        <v>0</v>
      </c>
      <c r="N2341" t="n">
        <v>0</v>
      </c>
      <c r="O2341" t="n">
        <v>0</v>
      </c>
      <c r="P2341" t="n">
        <v>0</v>
      </c>
      <c r="Q2341" t="n">
        <v>0</v>
      </c>
      <c r="R2341" s="2" t="inlineStr"/>
    </row>
    <row r="2342" ht="15" customHeight="1">
      <c r="A2342" t="inlineStr">
        <is>
          <t>A 9205-2022</t>
        </is>
      </c>
      <c r="B2342" s="1" t="n">
        <v>44615</v>
      </c>
      <c r="C2342" s="1" t="n">
        <v>45952</v>
      </c>
      <c r="D2342" t="inlineStr">
        <is>
          <t>VÄSTRA GÖTALANDS LÄN</t>
        </is>
      </c>
      <c r="E2342" t="inlineStr">
        <is>
          <t>SVENLJUNGA</t>
        </is>
      </c>
      <c r="G2342" t="n">
        <v>2.9</v>
      </c>
      <c r="H2342" t="n">
        <v>0</v>
      </c>
      <c r="I2342" t="n">
        <v>0</v>
      </c>
      <c r="J2342" t="n">
        <v>0</v>
      </c>
      <c r="K2342" t="n">
        <v>0</v>
      </c>
      <c r="L2342" t="n">
        <v>0</v>
      </c>
      <c r="M2342" t="n">
        <v>0</v>
      </c>
      <c r="N2342" t="n">
        <v>0</v>
      </c>
      <c r="O2342" t="n">
        <v>0</v>
      </c>
      <c r="P2342" t="n">
        <v>0</v>
      </c>
      <c r="Q2342" t="n">
        <v>0</v>
      </c>
      <c r="R2342" s="2" t="inlineStr"/>
    </row>
    <row r="2343" ht="15" customHeight="1">
      <c r="A2343" t="inlineStr">
        <is>
          <t>A 8817-2022</t>
        </is>
      </c>
      <c r="B2343" s="1" t="n">
        <v>44614</v>
      </c>
      <c r="C2343" s="1" t="n">
        <v>45952</v>
      </c>
      <c r="D2343" t="inlineStr">
        <is>
          <t>VÄSTRA GÖTALANDS LÄN</t>
        </is>
      </c>
      <c r="E2343" t="inlineStr">
        <is>
          <t>SKÖVDE</t>
        </is>
      </c>
      <c r="F2343" t="inlineStr">
        <is>
          <t>Kyrkan</t>
        </is>
      </c>
      <c r="G2343" t="n">
        <v>7</v>
      </c>
      <c r="H2343" t="n">
        <v>0</v>
      </c>
      <c r="I2343" t="n">
        <v>0</v>
      </c>
      <c r="J2343" t="n">
        <v>0</v>
      </c>
      <c r="K2343" t="n">
        <v>0</v>
      </c>
      <c r="L2343" t="n">
        <v>0</v>
      </c>
      <c r="M2343" t="n">
        <v>0</v>
      </c>
      <c r="N2343" t="n">
        <v>0</v>
      </c>
      <c r="O2343" t="n">
        <v>0</v>
      </c>
      <c r="P2343" t="n">
        <v>0</v>
      </c>
      <c r="Q2343" t="n">
        <v>0</v>
      </c>
      <c r="R2343" s="2" t="inlineStr"/>
    </row>
    <row r="2344" ht="15" customHeight="1">
      <c r="A2344" t="inlineStr">
        <is>
          <t>A 44445-2021</t>
        </is>
      </c>
      <c r="B2344" s="1" t="n">
        <v>44435</v>
      </c>
      <c r="C2344" s="1" t="n">
        <v>45952</v>
      </c>
      <c r="D2344" t="inlineStr">
        <is>
          <t>VÄSTRA GÖTALANDS LÄN</t>
        </is>
      </c>
      <c r="E2344" t="inlineStr">
        <is>
          <t>MARK</t>
        </is>
      </c>
      <c r="G2344" t="n">
        <v>4.2</v>
      </c>
      <c r="H2344" t="n">
        <v>0</v>
      </c>
      <c r="I2344" t="n">
        <v>0</v>
      </c>
      <c r="J2344" t="n">
        <v>0</v>
      </c>
      <c r="K2344" t="n">
        <v>0</v>
      </c>
      <c r="L2344" t="n">
        <v>0</v>
      </c>
      <c r="M2344" t="n">
        <v>0</v>
      </c>
      <c r="N2344" t="n">
        <v>0</v>
      </c>
      <c r="O2344" t="n">
        <v>0</v>
      </c>
      <c r="P2344" t="n">
        <v>0</v>
      </c>
      <c r="Q2344" t="n">
        <v>0</v>
      </c>
      <c r="R2344" s="2" t="inlineStr"/>
    </row>
    <row r="2345" ht="15" customHeight="1">
      <c r="A2345" t="inlineStr">
        <is>
          <t>A 44466-2021</t>
        </is>
      </c>
      <c r="B2345" s="1" t="n">
        <v>44435</v>
      </c>
      <c r="C2345" s="1" t="n">
        <v>45952</v>
      </c>
      <c r="D2345" t="inlineStr">
        <is>
          <t>VÄSTRA GÖTALANDS LÄN</t>
        </is>
      </c>
      <c r="E2345" t="inlineStr">
        <is>
          <t>LYSEKIL</t>
        </is>
      </c>
      <c r="G2345" t="n">
        <v>1.2</v>
      </c>
      <c r="H2345" t="n">
        <v>0</v>
      </c>
      <c r="I2345" t="n">
        <v>0</v>
      </c>
      <c r="J2345" t="n">
        <v>0</v>
      </c>
      <c r="K2345" t="n">
        <v>0</v>
      </c>
      <c r="L2345" t="n">
        <v>0</v>
      </c>
      <c r="M2345" t="n">
        <v>0</v>
      </c>
      <c r="N2345" t="n">
        <v>0</v>
      </c>
      <c r="O2345" t="n">
        <v>0</v>
      </c>
      <c r="P2345" t="n">
        <v>0</v>
      </c>
      <c r="Q2345" t="n">
        <v>0</v>
      </c>
      <c r="R2345" s="2" t="inlineStr"/>
    </row>
    <row r="2346" ht="15" customHeight="1">
      <c r="A2346" t="inlineStr">
        <is>
          <t>A 7627-2021</t>
        </is>
      </c>
      <c r="B2346" s="1" t="n">
        <v>44242</v>
      </c>
      <c r="C2346" s="1" t="n">
        <v>45952</v>
      </c>
      <c r="D2346" t="inlineStr">
        <is>
          <t>VÄSTRA GÖTALANDS LÄN</t>
        </is>
      </c>
      <c r="E2346" t="inlineStr">
        <is>
          <t>ÅMÅL</t>
        </is>
      </c>
      <c r="G2346" t="n">
        <v>1.7</v>
      </c>
      <c r="H2346" t="n">
        <v>0</v>
      </c>
      <c r="I2346" t="n">
        <v>0</v>
      </c>
      <c r="J2346" t="n">
        <v>0</v>
      </c>
      <c r="K2346" t="n">
        <v>0</v>
      </c>
      <c r="L2346" t="n">
        <v>0</v>
      </c>
      <c r="M2346" t="n">
        <v>0</v>
      </c>
      <c r="N2346" t="n">
        <v>0</v>
      </c>
      <c r="O2346" t="n">
        <v>0</v>
      </c>
      <c r="P2346" t="n">
        <v>0</v>
      </c>
      <c r="Q2346" t="n">
        <v>0</v>
      </c>
      <c r="R2346" s="2" t="inlineStr"/>
    </row>
    <row r="2347" ht="15" customHeight="1">
      <c r="A2347" t="inlineStr">
        <is>
          <t>A 46535-2021</t>
        </is>
      </c>
      <c r="B2347" s="1" t="n">
        <v>44445</v>
      </c>
      <c r="C2347" s="1" t="n">
        <v>45952</v>
      </c>
      <c r="D2347" t="inlineStr">
        <is>
          <t>VÄSTRA GÖTALANDS LÄN</t>
        </is>
      </c>
      <c r="E2347" t="inlineStr">
        <is>
          <t>TANUM</t>
        </is>
      </c>
      <c r="G2347" t="n">
        <v>7.4</v>
      </c>
      <c r="H2347" t="n">
        <v>0</v>
      </c>
      <c r="I2347" t="n">
        <v>0</v>
      </c>
      <c r="J2347" t="n">
        <v>0</v>
      </c>
      <c r="K2347" t="n">
        <v>0</v>
      </c>
      <c r="L2347" t="n">
        <v>0</v>
      </c>
      <c r="M2347" t="n">
        <v>0</v>
      </c>
      <c r="N2347" t="n">
        <v>0</v>
      </c>
      <c r="O2347" t="n">
        <v>0</v>
      </c>
      <c r="P2347" t="n">
        <v>0</v>
      </c>
      <c r="Q2347" t="n">
        <v>0</v>
      </c>
      <c r="R2347" s="2" t="inlineStr"/>
    </row>
    <row r="2348" ht="15" customHeight="1">
      <c r="A2348" t="inlineStr">
        <is>
          <t>A 7439-2021</t>
        </is>
      </c>
      <c r="B2348" s="1" t="n">
        <v>44239</v>
      </c>
      <c r="C2348" s="1" t="n">
        <v>45952</v>
      </c>
      <c r="D2348" t="inlineStr">
        <is>
          <t>VÄSTRA GÖTALANDS LÄN</t>
        </is>
      </c>
      <c r="E2348" t="inlineStr">
        <is>
          <t>FÄRGELANDA</t>
        </is>
      </c>
      <c r="G2348" t="n">
        <v>0.9</v>
      </c>
      <c r="H2348" t="n">
        <v>0</v>
      </c>
      <c r="I2348" t="n">
        <v>0</v>
      </c>
      <c r="J2348" t="n">
        <v>0</v>
      </c>
      <c r="K2348" t="n">
        <v>0</v>
      </c>
      <c r="L2348" t="n">
        <v>0</v>
      </c>
      <c r="M2348" t="n">
        <v>0</v>
      </c>
      <c r="N2348" t="n">
        <v>0</v>
      </c>
      <c r="O2348" t="n">
        <v>0</v>
      </c>
      <c r="P2348" t="n">
        <v>0</v>
      </c>
      <c r="Q2348" t="n">
        <v>0</v>
      </c>
      <c r="R2348" s="2" t="inlineStr"/>
    </row>
    <row r="2349" ht="15" customHeight="1">
      <c r="A2349" t="inlineStr">
        <is>
          <t>A 65115-2021</t>
        </is>
      </c>
      <c r="B2349" s="1" t="n">
        <v>44515.41927083334</v>
      </c>
      <c r="C2349" s="1" t="n">
        <v>45952</v>
      </c>
      <c r="D2349" t="inlineStr">
        <is>
          <t>VÄSTRA GÖTALANDS LÄN</t>
        </is>
      </c>
      <c r="E2349" t="inlineStr">
        <is>
          <t>SVENLJUNGA</t>
        </is>
      </c>
      <c r="G2349" t="n">
        <v>1.7</v>
      </c>
      <c r="H2349" t="n">
        <v>0</v>
      </c>
      <c r="I2349" t="n">
        <v>0</v>
      </c>
      <c r="J2349" t="n">
        <v>0</v>
      </c>
      <c r="K2349" t="n">
        <v>0</v>
      </c>
      <c r="L2349" t="n">
        <v>0</v>
      </c>
      <c r="M2349" t="n">
        <v>0</v>
      </c>
      <c r="N2349" t="n">
        <v>0</v>
      </c>
      <c r="O2349" t="n">
        <v>0</v>
      </c>
      <c r="P2349" t="n">
        <v>0</v>
      </c>
      <c r="Q2349" t="n">
        <v>0</v>
      </c>
      <c r="R2349" s="2" t="inlineStr"/>
    </row>
    <row r="2350" ht="15" customHeight="1">
      <c r="A2350" t="inlineStr">
        <is>
          <t>A 56418-2020</t>
        </is>
      </c>
      <c r="B2350" s="1" t="n">
        <v>44137</v>
      </c>
      <c r="C2350" s="1" t="n">
        <v>45952</v>
      </c>
      <c r="D2350" t="inlineStr">
        <is>
          <t>VÄSTRA GÖTALANDS LÄN</t>
        </is>
      </c>
      <c r="E2350" t="inlineStr">
        <is>
          <t>MARK</t>
        </is>
      </c>
      <c r="G2350" t="n">
        <v>6.9</v>
      </c>
      <c r="H2350" t="n">
        <v>0</v>
      </c>
      <c r="I2350" t="n">
        <v>0</v>
      </c>
      <c r="J2350" t="n">
        <v>0</v>
      </c>
      <c r="K2350" t="n">
        <v>0</v>
      </c>
      <c r="L2350" t="n">
        <v>0</v>
      </c>
      <c r="M2350" t="n">
        <v>0</v>
      </c>
      <c r="N2350" t="n">
        <v>0</v>
      </c>
      <c r="O2350" t="n">
        <v>0</v>
      </c>
      <c r="P2350" t="n">
        <v>0</v>
      </c>
      <c r="Q2350" t="n">
        <v>0</v>
      </c>
      <c r="R2350" s="2" t="inlineStr"/>
    </row>
    <row r="2351" ht="15" customHeight="1">
      <c r="A2351" t="inlineStr">
        <is>
          <t>A 16707-2022</t>
        </is>
      </c>
      <c r="B2351" s="1" t="n">
        <v>44673.38596064815</v>
      </c>
      <c r="C2351" s="1" t="n">
        <v>45952</v>
      </c>
      <c r="D2351" t="inlineStr">
        <is>
          <t>VÄSTRA GÖTALANDS LÄN</t>
        </is>
      </c>
      <c r="E2351" t="inlineStr">
        <is>
          <t>BORÅS</t>
        </is>
      </c>
      <c r="G2351" t="n">
        <v>1.2</v>
      </c>
      <c r="H2351" t="n">
        <v>0</v>
      </c>
      <c r="I2351" t="n">
        <v>0</v>
      </c>
      <c r="J2351" t="n">
        <v>0</v>
      </c>
      <c r="K2351" t="n">
        <v>0</v>
      </c>
      <c r="L2351" t="n">
        <v>0</v>
      </c>
      <c r="M2351" t="n">
        <v>0</v>
      </c>
      <c r="N2351" t="n">
        <v>0</v>
      </c>
      <c r="O2351" t="n">
        <v>0</v>
      </c>
      <c r="P2351" t="n">
        <v>0</v>
      </c>
      <c r="Q2351" t="n">
        <v>0</v>
      </c>
      <c r="R2351" s="2" t="inlineStr"/>
    </row>
    <row r="2352" ht="15" customHeight="1">
      <c r="A2352" t="inlineStr">
        <is>
          <t>A 22255-2021</t>
        </is>
      </c>
      <c r="B2352" s="1" t="n">
        <v>44326</v>
      </c>
      <c r="C2352" s="1" t="n">
        <v>45952</v>
      </c>
      <c r="D2352" t="inlineStr">
        <is>
          <t>VÄSTRA GÖTALANDS LÄN</t>
        </is>
      </c>
      <c r="E2352" t="inlineStr">
        <is>
          <t>ORUST</t>
        </is>
      </c>
      <c r="G2352" t="n">
        <v>4.3</v>
      </c>
      <c r="H2352" t="n">
        <v>0</v>
      </c>
      <c r="I2352" t="n">
        <v>0</v>
      </c>
      <c r="J2352" t="n">
        <v>0</v>
      </c>
      <c r="K2352" t="n">
        <v>0</v>
      </c>
      <c r="L2352" t="n">
        <v>0</v>
      </c>
      <c r="M2352" t="n">
        <v>0</v>
      </c>
      <c r="N2352" t="n">
        <v>0</v>
      </c>
      <c r="O2352" t="n">
        <v>0</v>
      </c>
      <c r="P2352" t="n">
        <v>0</v>
      </c>
      <c r="Q2352" t="n">
        <v>0</v>
      </c>
      <c r="R2352" s="2" t="inlineStr"/>
    </row>
    <row r="2353" ht="15" customHeight="1">
      <c r="A2353" t="inlineStr">
        <is>
          <t>A 22683-2021</t>
        </is>
      </c>
      <c r="B2353" s="1" t="n">
        <v>44327.58306712963</v>
      </c>
      <c r="C2353" s="1" t="n">
        <v>45952</v>
      </c>
      <c r="D2353" t="inlineStr">
        <is>
          <t>VÄSTRA GÖTALANDS LÄN</t>
        </is>
      </c>
      <c r="E2353" t="inlineStr">
        <is>
          <t>ESSUNGA</t>
        </is>
      </c>
      <c r="G2353" t="n">
        <v>2.2</v>
      </c>
      <c r="H2353" t="n">
        <v>0</v>
      </c>
      <c r="I2353" t="n">
        <v>0</v>
      </c>
      <c r="J2353" t="n">
        <v>0</v>
      </c>
      <c r="K2353" t="n">
        <v>0</v>
      </c>
      <c r="L2353" t="n">
        <v>0</v>
      </c>
      <c r="M2353" t="n">
        <v>0</v>
      </c>
      <c r="N2353" t="n">
        <v>0</v>
      </c>
      <c r="O2353" t="n">
        <v>0</v>
      </c>
      <c r="P2353" t="n">
        <v>0</v>
      </c>
      <c r="Q2353" t="n">
        <v>0</v>
      </c>
      <c r="R2353" s="2" t="inlineStr"/>
    </row>
    <row r="2354" ht="15" customHeight="1">
      <c r="A2354" t="inlineStr">
        <is>
          <t>A 16434-2021</t>
        </is>
      </c>
      <c r="B2354" s="1" t="n">
        <v>44293</v>
      </c>
      <c r="C2354" s="1" t="n">
        <v>45952</v>
      </c>
      <c r="D2354" t="inlineStr">
        <is>
          <t>VÄSTRA GÖTALANDS LÄN</t>
        </is>
      </c>
      <c r="E2354" t="inlineStr">
        <is>
          <t>LIDKÖPING</t>
        </is>
      </c>
      <c r="G2354" t="n">
        <v>1</v>
      </c>
      <c r="H2354" t="n">
        <v>0</v>
      </c>
      <c r="I2354" t="n">
        <v>0</v>
      </c>
      <c r="J2354" t="n">
        <v>0</v>
      </c>
      <c r="K2354" t="n">
        <v>0</v>
      </c>
      <c r="L2354" t="n">
        <v>0</v>
      </c>
      <c r="M2354" t="n">
        <v>0</v>
      </c>
      <c r="N2354" t="n">
        <v>0</v>
      </c>
      <c r="O2354" t="n">
        <v>0</v>
      </c>
      <c r="P2354" t="n">
        <v>0</v>
      </c>
      <c r="Q2354" t="n">
        <v>0</v>
      </c>
      <c r="R2354" s="2" t="inlineStr"/>
    </row>
    <row r="2355" ht="15" customHeight="1">
      <c r="A2355" t="inlineStr">
        <is>
          <t>A 22628-2021</t>
        </is>
      </c>
      <c r="B2355" s="1" t="n">
        <v>44326</v>
      </c>
      <c r="C2355" s="1" t="n">
        <v>45952</v>
      </c>
      <c r="D2355" t="inlineStr">
        <is>
          <t>VÄSTRA GÖTALANDS LÄN</t>
        </is>
      </c>
      <c r="E2355" t="inlineStr">
        <is>
          <t>BENGTSFORS</t>
        </is>
      </c>
      <c r="F2355" t="inlineStr">
        <is>
          <t>Bergvik skog väst AB</t>
        </is>
      </c>
      <c r="G2355" t="n">
        <v>6.9</v>
      </c>
      <c r="H2355" t="n">
        <v>0</v>
      </c>
      <c r="I2355" t="n">
        <v>0</v>
      </c>
      <c r="J2355" t="n">
        <v>0</v>
      </c>
      <c r="K2355" t="n">
        <v>0</v>
      </c>
      <c r="L2355" t="n">
        <v>0</v>
      </c>
      <c r="M2355" t="n">
        <v>0</v>
      </c>
      <c r="N2355" t="n">
        <v>0</v>
      </c>
      <c r="O2355" t="n">
        <v>0</v>
      </c>
      <c r="P2355" t="n">
        <v>0</v>
      </c>
      <c r="Q2355" t="n">
        <v>0</v>
      </c>
      <c r="R2355" s="2" t="inlineStr"/>
    </row>
    <row r="2356" ht="15" customHeight="1">
      <c r="A2356" t="inlineStr">
        <is>
          <t>A 5999-2022</t>
        </is>
      </c>
      <c r="B2356" s="1" t="n">
        <v>44599.43431712963</v>
      </c>
      <c r="C2356" s="1" t="n">
        <v>45952</v>
      </c>
      <c r="D2356" t="inlineStr">
        <is>
          <t>VÄSTRA GÖTALANDS LÄN</t>
        </is>
      </c>
      <c r="E2356" t="inlineStr">
        <is>
          <t>BENGTSFORS</t>
        </is>
      </c>
      <c r="G2356" t="n">
        <v>5.9</v>
      </c>
      <c r="H2356" t="n">
        <v>0</v>
      </c>
      <c r="I2356" t="n">
        <v>0</v>
      </c>
      <c r="J2356" t="n">
        <v>0</v>
      </c>
      <c r="K2356" t="n">
        <v>0</v>
      </c>
      <c r="L2356" t="n">
        <v>0</v>
      </c>
      <c r="M2356" t="n">
        <v>0</v>
      </c>
      <c r="N2356" t="n">
        <v>0</v>
      </c>
      <c r="O2356" t="n">
        <v>0</v>
      </c>
      <c r="P2356" t="n">
        <v>0</v>
      </c>
      <c r="Q2356" t="n">
        <v>0</v>
      </c>
      <c r="R2356" s="2" t="inlineStr"/>
    </row>
    <row r="2357" ht="15" customHeight="1">
      <c r="A2357" t="inlineStr">
        <is>
          <t>A 6002-2022</t>
        </is>
      </c>
      <c r="B2357" s="1" t="n">
        <v>44599</v>
      </c>
      <c r="C2357" s="1" t="n">
        <v>45952</v>
      </c>
      <c r="D2357" t="inlineStr">
        <is>
          <t>VÄSTRA GÖTALANDS LÄN</t>
        </is>
      </c>
      <c r="E2357" t="inlineStr">
        <is>
          <t>TRANEMO</t>
        </is>
      </c>
      <c r="G2357" t="n">
        <v>0.4</v>
      </c>
      <c r="H2357" t="n">
        <v>0</v>
      </c>
      <c r="I2357" t="n">
        <v>0</v>
      </c>
      <c r="J2357" t="n">
        <v>0</v>
      </c>
      <c r="K2357" t="n">
        <v>0</v>
      </c>
      <c r="L2357" t="n">
        <v>0</v>
      </c>
      <c r="M2357" t="n">
        <v>0</v>
      </c>
      <c r="N2357" t="n">
        <v>0</v>
      </c>
      <c r="O2357" t="n">
        <v>0</v>
      </c>
      <c r="P2357" t="n">
        <v>0</v>
      </c>
      <c r="Q2357" t="n">
        <v>0</v>
      </c>
      <c r="R2357" s="2" t="inlineStr"/>
    </row>
    <row r="2358" ht="15" customHeight="1">
      <c r="A2358" t="inlineStr">
        <is>
          <t>A 61175-2020</t>
        </is>
      </c>
      <c r="B2358" s="1" t="n">
        <v>44155</v>
      </c>
      <c r="C2358" s="1" t="n">
        <v>45952</v>
      </c>
      <c r="D2358" t="inlineStr">
        <is>
          <t>VÄSTRA GÖTALANDS LÄN</t>
        </is>
      </c>
      <c r="E2358" t="inlineStr">
        <is>
          <t>TRANEMO</t>
        </is>
      </c>
      <c r="G2358" t="n">
        <v>1.3</v>
      </c>
      <c r="H2358" t="n">
        <v>0</v>
      </c>
      <c r="I2358" t="n">
        <v>0</v>
      </c>
      <c r="J2358" t="n">
        <v>0</v>
      </c>
      <c r="K2358" t="n">
        <v>0</v>
      </c>
      <c r="L2358" t="n">
        <v>0</v>
      </c>
      <c r="M2358" t="n">
        <v>0</v>
      </c>
      <c r="N2358" t="n">
        <v>0</v>
      </c>
      <c r="O2358" t="n">
        <v>0</v>
      </c>
      <c r="P2358" t="n">
        <v>0</v>
      </c>
      <c r="Q2358" t="n">
        <v>0</v>
      </c>
      <c r="R2358" s="2" t="inlineStr"/>
    </row>
    <row r="2359" ht="15" customHeight="1">
      <c r="A2359" t="inlineStr">
        <is>
          <t>A 65095-2021</t>
        </is>
      </c>
      <c r="B2359" s="1" t="n">
        <v>44515.39005787037</v>
      </c>
      <c r="C2359" s="1" t="n">
        <v>45952</v>
      </c>
      <c r="D2359" t="inlineStr">
        <is>
          <t>VÄSTRA GÖTALANDS LÄN</t>
        </is>
      </c>
      <c r="E2359" t="inlineStr">
        <is>
          <t>TIBRO</t>
        </is>
      </c>
      <c r="G2359" t="n">
        <v>1.2</v>
      </c>
      <c r="H2359" t="n">
        <v>0</v>
      </c>
      <c r="I2359" t="n">
        <v>0</v>
      </c>
      <c r="J2359" t="n">
        <v>0</v>
      </c>
      <c r="K2359" t="n">
        <v>0</v>
      </c>
      <c r="L2359" t="n">
        <v>0</v>
      </c>
      <c r="M2359" t="n">
        <v>0</v>
      </c>
      <c r="N2359" t="n">
        <v>0</v>
      </c>
      <c r="O2359" t="n">
        <v>0</v>
      </c>
      <c r="P2359" t="n">
        <v>0</v>
      </c>
      <c r="Q2359" t="n">
        <v>0</v>
      </c>
      <c r="R2359" s="2" t="inlineStr"/>
    </row>
    <row r="2360" ht="15" customHeight="1">
      <c r="A2360" t="inlineStr">
        <is>
          <t>A 4631-2022</t>
        </is>
      </c>
      <c r="B2360" s="1" t="n">
        <v>44592.403125</v>
      </c>
      <c r="C2360" s="1" t="n">
        <v>45952</v>
      </c>
      <c r="D2360" t="inlineStr">
        <is>
          <t>VÄSTRA GÖTALANDS LÄN</t>
        </is>
      </c>
      <c r="E2360" t="inlineStr">
        <is>
          <t>MARIESTAD</t>
        </is>
      </c>
      <c r="G2360" t="n">
        <v>0.7</v>
      </c>
      <c r="H2360" t="n">
        <v>0</v>
      </c>
      <c r="I2360" t="n">
        <v>0</v>
      </c>
      <c r="J2360" t="n">
        <v>0</v>
      </c>
      <c r="K2360" t="n">
        <v>0</v>
      </c>
      <c r="L2360" t="n">
        <v>0</v>
      </c>
      <c r="M2360" t="n">
        <v>0</v>
      </c>
      <c r="N2360" t="n">
        <v>0</v>
      </c>
      <c r="O2360" t="n">
        <v>0</v>
      </c>
      <c r="P2360" t="n">
        <v>0</v>
      </c>
      <c r="Q2360" t="n">
        <v>0</v>
      </c>
      <c r="R2360" s="2" t="inlineStr"/>
    </row>
    <row r="2361" ht="15" customHeight="1">
      <c r="A2361" t="inlineStr">
        <is>
          <t>A 53650-2021</t>
        </is>
      </c>
      <c r="B2361" s="1" t="n">
        <v>44469.43070601852</v>
      </c>
      <c r="C2361" s="1" t="n">
        <v>45952</v>
      </c>
      <c r="D2361" t="inlineStr">
        <is>
          <t>VÄSTRA GÖTALANDS LÄN</t>
        </is>
      </c>
      <c r="E2361" t="inlineStr">
        <is>
          <t>VÅRGÅRDA</t>
        </is>
      </c>
      <c r="G2361" t="n">
        <v>0.6</v>
      </c>
      <c r="H2361" t="n">
        <v>0</v>
      </c>
      <c r="I2361" t="n">
        <v>0</v>
      </c>
      <c r="J2361" t="n">
        <v>0</v>
      </c>
      <c r="K2361" t="n">
        <v>0</v>
      </c>
      <c r="L2361" t="n">
        <v>0</v>
      </c>
      <c r="M2361" t="n">
        <v>0</v>
      </c>
      <c r="N2361" t="n">
        <v>0</v>
      </c>
      <c r="O2361" t="n">
        <v>0</v>
      </c>
      <c r="P2361" t="n">
        <v>0</v>
      </c>
      <c r="Q2361" t="n">
        <v>0</v>
      </c>
      <c r="R2361" s="2" t="inlineStr"/>
    </row>
    <row r="2362" ht="15" customHeight="1">
      <c r="A2362" t="inlineStr">
        <is>
          <t>A 63065-2020</t>
        </is>
      </c>
      <c r="B2362" s="1" t="n">
        <v>44162</v>
      </c>
      <c r="C2362" s="1" t="n">
        <v>45952</v>
      </c>
      <c r="D2362" t="inlineStr">
        <is>
          <t>VÄSTRA GÖTALANDS LÄN</t>
        </is>
      </c>
      <c r="E2362" t="inlineStr">
        <is>
          <t>VARA</t>
        </is>
      </c>
      <c r="G2362" t="n">
        <v>2</v>
      </c>
      <c r="H2362" t="n">
        <v>0</v>
      </c>
      <c r="I2362" t="n">
        <v>0</v>
      </c>
      <c r="J2362" t="n">
        <v>0</v>
      </c>
      <c r="K2362" t="n">
        <v>0</v>
      </c>
      <c r="L2362" t="n">
        <v>0</v>
      </c>
      <c r="M2362" t="n">
        <v>0</v>
      </c>
      <c r="N2362" t="n">
        <v>0</v>
      </c>
      <c r="O2362" t="n">
        <v>0</v>
      </c>
      <c r="P2362" t="n">
        <v>0</v>
      </c>
      <c r="Q2362" t="n">
        <v>0</v>
      </c>
      <c r="R2362" s="2" t="inlineStr"/>
    </row>
    <row r="2363" ht="15" customHeight="1">
      <c r="A2363" t="inlineStr">
        <is>
          <t>A 59062-2021</t>
        </is>
      </c>
      <c r="B2363" s="1" t="n">
        <v>44490.37527777778</v>
      </c>
      <c r="C2363" s="1" t="n">
        <v>45952</v>
      </c>
      <c r="D2363" t="inlineStr">
        <is>
          <t>VÄSTRA GÖTALANDS LÄN</t>
        </is>
      </c>
      <c r="E2363" t="inlineStr">
        <is>
          <t>FÄRGELANDA</t>
        </is>
      </c>
      <c r="G2363" t="n">
        <v>0.9</v>
      </c>
      <c r="H2363" t="n">
        <v>0</v>
      </c>
      <c r="I2363" t="n">
        <v>0</v>
      </c>
      <c r="J2363" t="n">
        <v>0</v>
      </c>
      <c r="K2363" t="n">
        <v>0</v>
      </c>
      <c r="L2363" t="n">
        <v>0</v>
      </c>
      <c r="M2363" t="n">
        <v>0</v>
      </c>
      <c r="N2363" t="n">
        <v>0</v>
      </c>
      <c r="O2363" t="n">
        <v>0</v>
      </c>
      <c r="P2363" t="n">
        <v>0</v>
      </c>
      <c r="Q2363" t="n">
        <v>0</v>
      </c>
      <c r="R2363" s="2" t="inlineStr"/>
    </row>
    <row r="2364" ht="15" customHeight="1">
      <c r="A2364" t="inlineStr">
        <is>
          <t>A 50768-2021</t>
        </is>
      </c>
      <c r="B2364" s="1" t="n">
        <v>44456</v>
      </c>
      <c r="C2364" s="1" t="n">
        <v>45952</v>
      </c>
      <c r="D2364" t="inlineStr">
        <is>
          <t>VÄSTRA GÖTALANDS LÄN</t>
        </is>
      </c>
      <c r="E2364" t="inlineStr">
        <is>
          <t>TIDAHOLM</t>
        </is>
      </c>
      <c r="G2364" t="n">
        <v>9.199999999999999</v>
      </c>
      <c r="H2364" t="n">
        <v>0</v>
      </c>
      <c r="I2364" t="n">
        <v>0</v>
      </c>
      <c r="J2364" t="n">
        <v>0</v>
      </c>
      <c r="K2364" t="n">
        <v>0</v>
      </c>
      <c r="L2364" t="n">
        <v>0</v>
      </c>
      <c r="M2364" t="n">
        <v>0</v>
      </c>
      <c r="N2364" t="n">
        <v>0</v>
      </c>
      <c r="O2364" t="n">
        <v>0</v>
      </c>
      <c r="P2364" t="n">
        <v>0</v>
      </c>
      <c r="Q2364" t="n">
        <v>0</v>
      </c>
      <c r="R2364" s="2" t="inlineStr"/>
    </row>
    <row r="2365" ht="15" customHeight="1">
      <c r="A2365" t="inlineStr">
        <is>
          <t>A 53781-2021</t>
        </is>
      </c>
      <c r="B2365" s="1" t="n">
        <v>44469</v>
      </c>
      <c r="C2365" s="1" t="n">
        <v>45952</v>
      </c>
      <c r="D2365" t="inlineStr">
        <is>
          <t>VÄSTRA GÖTALANDS LÄN</t>
        </is>
      </c>
      <c r="E2365" t="inlineStr">
        <is>
          <t>TRANEMO</t>
        </is>
      </c>
      <c r="G2365" t="n">
        <v>3.3</v>
      </c>
      <c r="H2365" t="n">
        <v>0</v>
      </c>
      <c r="I2365" t="n">
        <v>0</v>
      </c>
      <c r="J2365" t="n">
        <v>0</v>
      </c>
      <c r="K2365" t="n">
        <v>0</v>
      </c>
      <c r="L2365" t="n">
        <v>0</v>
      </c>
      <c r="M2365" t="n">
        <v>0</v>
      </c>
      <c r="N2365" t="n">
        <v>0</v>
      </c>
      <c r="O2365" t="n">
        <v>0</v>
      </c>
      <c r="P2365" t="n">
        <v>0</v>
      </c>
      <c r="Q2365" t="n">
        <v>0</v>
      </c>
      <c r="R2365" s="2" t="inlineStr"/>
    </row>
    <row r="2366" ht="15" customHeight="1">
      <c r="A2366" t="inlineStr">
        <is>
          <t>A 21439-2022</t>
        </is>
      </c>
      <c r="B2366" s="1" t="n">
        <v>44706.34927083334</v>
      </c>
      <c r="C2366" s="1" t="n">
        <v>45952</v>
      </c>
      <c r="D2366" t="inlineStr">
        <is>
          <t>VÄSTRA GÖTALANDS LÄN</t>
        </is>
      </c>
      <c r="E2366" t="inlineStr">
        <is>
          <t>SVENLJUNGA</t>
        </is>
      </c>
      <c r="G2366" t="n">
        <v>0.7</v>
      </c>
      <c r="H2366" t="n">
        <v>0</v>
      </c>
      <c r="I2366" t="n">
        <v>0</v>
      </c>
      <c r="J2366" t="n">
        <v>0</v>
      </c>
      <c r="K2366" t="n">
        <v>0</v>
      </c>
      <c r="L2366" t="n">
        <v>0</v>
      </c>
      <c r="M2366" t="n">
        <v>0</v>
      </c>
      <c r="N2366" t="n">
        <v>0</v>
      </c>
      <c r="O2366" t="n">
        <v>0</v>
      </c>
      <c r="P2366" t="n">
        <v>0</v>
      </c>
      <c r="Q2366" t="n">
        <v>0</v>
      </c>
      <c r="R2366" s="2" t="inlineStr"/>
    </row>
    <row r="2367" ht="15" customHeight="1">
      <c r="A2367" t="inlineStr">
        <is>
          <t>A 38566-2021</t>
        </is>
      </c>
      <c r="B2367" s="1" t="n">
        <v>44407.70712962963</v>
      </c>
      <c r="C2367" s="1" t="n">
        <v>45952</v>
      </c>
      <c r="D2367" t="inlineStr">
        <is>
          <t>VÄSTRA GÖTALANDS LÄN</t>
        </is>
      </c>
      <c r="E2367" t="inlineStr">
        <is>
          <t>ÅMÅL</t>
        </is>
      </c>
      <c r="G2367" t="n">
        <v>2.2</v>
      </c>
      <c r="H2367" t="n">
        <v>0</v>
      </c>
      <c r="I2367" t="n">
        <v>0</v>
      </c>
      <c r="J2367" t="n">
        <v>0</v>
      </c>
      <c r="K2367" t="n">
        <v>0</v>
      </c>
      <c r="L2367" t="n">
        <v>0</v>
      </c>
      <c r="M2367" t="n">
        <v>0</v>
      </c>
      <c r="N2367" t="n">
        <v>0</v>
      </c>
      <c r="O2367" t="n">
        <v>0</v>
      </c>
      <c r="P2367" t="n">
        <v>0</v>
      </c>
      <c r="Q2367" t="n">
        <v>0</v>
      </c>
      <c r="R2367" s="2" t="inlineStr"/>
    </row>
    <row r="2368" ht="15" customHeight="1">
      <c r="A2368" t="inlineStr">
        <is>
          <t>A 43562-2021</t>
        </is>
      </c>
      <c r="B2368" s="1" t="n">
        <v>44433.41525462963</v>
      </c>
      <c r="C2368" s="1" t="n">
        <v>45952</v>
      </c>
      <c r="D2368" t="inlineStr">
        <is>
          <t>VÄSTRA GÖTALANDS LÄN</t>
        </is>
      </c>
      <c r="E2368" t="inlineStr">
        <is>
          <t>MARIESTAD</t>
        </is>
      </c>
      <c r="G2368" t="n">
        <v>6.3</v>
      </c>
      <c r="H2368" t="n">
        <v>0</v>
      </c>
      <c r="I2368" t="n">
        <v>0</v>
      </c>
      <c r="J2368" t="n">
        <v>0</v>
      </c>
      <c r="K2368" t="n">
        <v>0</v>
      </c>
      <c r="L2368" t="n">
        <v>0</v>
      </c>
      <c r="M2368" t="n">
        <v>0</v>
      </c>
      <c r="N2368" t="n">
        <v>0</v>
      </c>
      <c r="O2368" t="n">
        <v>0</v>
      </c>
      <c r="P2368" t="n">
        <v>0</v>
      </c>
      <c r="Q2368" t="n">
        <v>0</v>
      </c>
      <c r="R2368" s="2" t="inlineStr"/>
    </row>
    <row r="2369" ht="15" customHeight="1">
      <c r="A2369" t="inlineStr">
        <is>
          <t>A 30373-2022</t>
        </is>
      </c>
      <c r="B2369" s="1" t="n">
        <v>44760</v>
      </c>
      <c r="C2369" s="1" t="n">
        <v>45952</v>
      </c>
      <c r="D2369" t="inlineStr">
        <is>
          <t>VÄSTRA GÖTALANDS LÄN</t>
        </is>
      </c>
      <c r="E2369" t="inlineStr">
        <is>
          <t>KUNGÄLV</t>
        </is>
      </c>
      <c r="G2369" t="n">
        <v>0.8</v>
      </c>
      <c r="H2369" t="n">
        <v>0</v>
      </c>
      <c r="I2369" t="n">
        <v>0</v>
      </c>
      <c r="J2369" t="n">
        <v>0</v>
      </c>
      <c r="K2369" t="n">
        <v>0</v>
      </c>
      <c r="L2369" t="n">
        <v>0</v>
      </c>
      <c r="M2369" t="n">
        <v>0</v>
      </c>
      <c r="N2369" t="n">
        <v>0</v>
      </c>
      <c r="O2369" t="n">
        <v>0</v>
      </c>
      <c r="P2369" t="n">
        <v>0</v>
      </c>
      <c r="Q2369" t="n">
        <v>0</v>
      </c>
      <c r="R2369" s="2" t="inlineStr"/>
    </row>
    <row r="2370" ht="15" customHeight="1">
      <c r="A2370" t="inlineStr">
        <is>
          <t>A 30377-2022</t>
        </is>
      </c>
      <c r="B2370" s="1" t="n">
        <v>44760</v>
      </c>
      <c r="C2370" s="1" t="n">
        <v>45952</v>
      </c>
      <c r="D2370" t="inlineStr">
        <is>
          <t>VÄSTRA GÖTALANDS LÄN</t>
        </is>
      </c>
      <c r="E2370" t="inlineStr">
        <is>
          <t>KUNGÄLV</t>
        </is>
      </c>
      <c r="G2370" t="n">
        <v>0.6</v>
      </c>
      <c r="H2370" t="n">
        <v>0</v>
      </c>
      <c r="I2370" t="n">
        <v>0</v>
      </c>
      <c r="J2370" t="n">
        <v>0</v>
      </c>
      <c r="K2370" t="n">
        <v>0</v>
      </c>
      <c r="L2370" t="n">
        <v>0</v>
      </c>
      <c r="M2370" t="n">
        <v>0</v>
      </c>
      <c r="N2370" t="n">
        <v>0</v>
      </c>
      <c r="O2370" t="n">
        <v>0</v>
      </c>
      <c r="P2370" t="n">
        <v>0</v>
      </c>
      <c r="Q2370" t="n">
        <v>0</v>
      </c>
      <c r="R2370" s="2" t="inlineStr"/>
    </row>
    <row r="2371" ht="15" customHeight="1">
      <c r="A2371" t="inlineStr">
        <is>
          <t>A 12488-2022</t>
        </is>
      </c>
      <c r="B2371" s="1" t="n">
        <v>44638.47898148148</v>
      </c>
      <c r="C2371" s="1" t="n">
        <v>45952</v>
      </c>
      <c r="D2371" t="inlineStr">
        <is>
          <t>VÄSTRA GÖTALANDS LÄN</t>
        </is>
      </c>
      <c r="E2371" t="inlineStr">
        <is>
          <t>HERRLJUNGA</t>
        </is>
      </c>
      <c r="G2371" t="n">
        <v>0.5</v>
      </c>
      <c r="H2371" t="n">
        <v>0</v>
      </c>
      <c r="I2371" t="n">
        <v>0</v>
      </c>
      <c r="J2371" t="n">
        <v>0</v>
      </c>
      <c r="K2371" t="n">
        <v>0</v>
      </c>
      <c r="L2371" t="n">
        <v>0</v>
      </c>
      <c r="M2371" t="n">
        <v>0</v>
      </c>
      <c r="N2371" t="n">
        <v>0</v>
      </c>
      <c r="O2371" t="n">
        <v>0</v>
      </c>
      <c r="P2371" t="n">
        <v>0</v>
      </c>
      <c r="Q2371" t="n">
        <v>0</v>
      </c>
      <c r="R2371" s="2" t="inlineStr"/>
    </row>
    <row r="2372" ht="15" customHeight="1">
      <c r="A2372" t="inlineStr">
        <is>
          <t>A 43492-2022</t>
        </is>
      </c>
      <c r="B2372" s="1" t="n">
        <v>44837.32274305556</v>
      </c>
      <c r="C2372" s="1" t="n">
        <v>45952</v>
      </c>
      <c r="D2372" t="inlineStr">
        <is>
          <t>VÄSTRA GÖTALANDS LÄN</t>
        </is>
      </c>
      <c r="E2372" t="inlineStr">
        <is>
          <t>DALS-ED</t>
        </is>
      </c>
      <c r="G2372" t="n">
        <v>1</v>
      </c>
      <c r="H2372" t="n">
        <v>0</v>
      </c>
      <c r="I2372" t="n">
        <v>0</v>
      </c>
      <c r="J2372" t="n">
        <v>0</v>
      </c>
      <c r="K2372" t="n">
        <v>0</v>
      </c>
      <c r="L2372" t="n">
        <v>0</v>
      </c>
      <c r="M2372" t="n">
        <v>0</v>
      </c>
      <c r="N2372" t="n">
        <v>0</v>
      </c>
      <c r="O2372" t="n">
        <v>0</v>
      </c>
      <c r="P2372" t="n">
        <v>0</v>
      </c>
      <c r="Q2372" t="n">
        <v>0</v>
      </c>
      <c r="R2372" s="2" t="inlineStr"/>
    </row>
    <row r="2373" ht="15" customHeight="1">
      <c r="A2373" t="inlineStr">
        <is>
          <t>A 29188-2022</t>
        </is>
      </c>
      <c r="B2373" s="1" t="n">
        <v>44750</v>
      </c>
      <c r="C2373" s="1" t="n">
        <v>45952</v>
      </c>
      <c r="D2373" t="inlineStr">
        <is>
          <t>VÄSTRA GÖTALANDS LÄN</t>
        </is>
      </c>
      <c r="E2373" t="inlineStr">
        <is>
          <t>FÄRGELANDA</t>
        </is>
      </c>
      <c r="G2373" t="n">
        <v>1.3</v>
      </c>
      <c r="H2373" t="n">
        <v>0</v>
      </c>
      <c r="I2373" t="n">
        <v>0</v>
      </c>
      <c r="J2373" t="n">
        <v>0</v>
      </c>
      <c r="K2373" t="n">
        <v>0</v>
      </c>
      <c r="L2373" t="n">
        <v>0</v>
      </c>
      <c r="M2373" t="n">
        <v>0</v>
      </c>
      <c r="N2373" t="n">
        <v>0</v>
      </c>
      <c r="O2373" t="n">
        <v>0</v>
      </c>
      <c r="P2373" t="n">
        <v>0</v>
      </c>
      <c r="Q2373" t="n">
        <v>0</v>
      </c>
      <c r="R2373" s="2" t="inlineStr"/>
    </row>
    <row r="2374" ht="15" customHeight="1">
      <c r="A2374" t="inlineStr">
        <is>
          <t>A 29279-2022</t>
        </is>
      </c>
      <c r="B2374" s="1" t="n">
        <v>44750.74405092592</v>
      </c>
      <c r="C2374" s="1" t="n">
        <v>45952</v>
      </c>
      <c r="D2374" t="inlineStr">
        <is>
          <t>VÄSTRA GÖTALANDS LÄN</t>
        </is>
      </c>
      <c r="E2374" t="inlineStr">
        <is>
          <t>MELLERUD</t>
        </is>
      </c>
      <c r="G2374" t="n">
        <v>9.800000000000001</v>
      </c>
      <c r="H2374" t="n">
        <v>0</v>
      </c>
      <c r="I2374" t="n">
        <v>0</v>
      </c>
      <c r="J2374" t="n">
        <v>0</v>
      </c>
      <c r="K2374" t="n">
        <v>0</v>
      </c>
      <c r="L2374" t="n">
        <v>0</v>
      </c>
      <c r="M2374" t="n">
        <v>0</v>
      </c>
      <c r="N2374" t="n">
        <v>0</v>
      </c>
      <c r="O2374" t="n">
        <v>0</v>
      </c>
      <c r="P2374" t="n">
        <v>0</v>
      </c>
      <c r="Q2374" t="n">
        <v>0</v>
      </c>
      <c r="R2374" s="2" t="inlineStr"/>
    </row>
    <row r="2375" ht="15" customHeight="1">
      <c r="A2375" t="inlineStr">
        <is>
          <t>A 60677-2020</t>
        </is>
      </c>
      <c r="B2375" s="1" t="n">
        <v>44153</v>
      </c>
      <c r="C2375" s="1" t="n">
        <v>45952</v>
      </c>
      <c r="D2375" t="inlineStr">
        <is>
          <t>VÄSTRA GÖTALANDS LÄN</t>
        </is>
      </c>
      <c r="E2375" t="inlineStr">
        <is>
          <t>LERUM</t>
        </is>
      </c>
      <c r="G2375" t="n">
        <v>0.7</v>
      </c>
      <c r="H2375" t="n">
        <v>0</v>
      </c>
      <c r="I2375" t="n">
        <v>0</v>
      </c>
      <c r="J2375" t="n">
        <v>0</v>
      </c>
      <c r="K2375" t="n">
        <v>0</v>
      </c>
      <c r="L2375" t="n">
        <v>0</v>
      </c>
      <c r="M2375" t="n">
        <v>0</v>
      </c>
      <c r="N2375" t="n">
        <v>0</v>
      </c>
      <c r="O2375" t="n">
        <v>0</v>
      </c>
      <c r="P2375" t="n">
        <v>0</v>
      </c>
      <c r="Q2375" t="n">
        <v>0</v>
      </c>
      <c r="R2375" s="2" t="inlineStr"/>
    </row>
    <row r="2376" ht="15" customHeight="1">
      <c r="A2376" t="inlineStr">
        <is>
          <t>A 60699-2020</t>
        </is>
      </c>
      <c r="B2376" s="1" t="n">
        <v>44153</v>
      </c>
      <c r="C2376" s="1" t="n">
        <v>45952</v>
      </c>
      <c r="D2376" t="inlineStr">
        <is>
          <t>VÄSTRA GÖTALANDS LÄN</t>
        </is>
      </c>
      <c r="E2376" t="inlineStr">
        <is>
          <t>LERUM</t>
        </is>
      </c>
      <c r="G2376" t="n">
        <v>1.3</v>
      </c>
      <c r="H2376" t="n">
        <v>0</v>
      </c>
      <c r="I2376" t="n">
        <v>0</v>
      </c>
      <c r="J2376" t="n">
        <v>0</v>
      </c>
      <c r="K2376" t="n">
        <v>0</v>
      </c>
      <c r="L2376" t="n">
        <v>0</v>
      </c>
      <c r="M2376" t="n">
        <v>0</v>
      </c>
      <c r="N2376" t="n">
        <v>0</v>
      </c>
      <c r="O2376" t="n">
        <v>0</v>
      </c>
      <c r="P2376" t="n">
        <v>0</v>
      </c>
      <c r="Q2376" t="n">
        <v>0</v>
      </c>
      <c r="R2376" s="2" t="inlineStr"/>
    </row>
    <row r="2377" ht="15" customHeight="1">
      <c r="A2377" t="inlineStr">
        <is>
          <t>A 60705-2020</t>
        </is>
      </c>
      <c r="B2377" s="1" t="n">
        <v>44153</v>
      </c>
      <c r="C2377" s="1" t="n">
        <v>45952</v>
      </c>
      <c r="D2377" t="inlineStr">
        <is>
          <t>VÄSTRA GÖTALANDS LÄN</t>
        </is>
      </c>
      <c r="E2377" t="inlineStr">
        <is>
          <t>LILLA EDET</t>
        </is>
      </c>
      <c r="G2377" t="n">
        <v>1.4</v>
      </c>
      <c r="H2377" t="n">
        <v>0</v>
      </c>
      <c r="I2377" t="n">
        <v>0</v>
      </c>
      <c r="J2377" t="n">
        <v>0</v>
      </c>
      <c r="K2377" t="n">
        <v>0</v>
      </c>
      <c r="L2377" t="n">
        <v>0</v>
      </c>
      <c r="M2377" t="n">
        <v>0</v>
      </c>
      <c r="N2377" t="n">
        <v>0</v>
      </c>
      <c r="O2377" t="n">
        <v>0</v>
      </c>
      <c r="P2377" t="n">
        <v>0</v>
      </c>
      <c r="Q2377" t="n">
        <v>0</v>
      </c>
      <c r="R2377" s="2" t="inlineStr"/>
    </row>
    <row r="2378" ht="15" customHeight="1">
      <c r="A2378" t="inlineStr">
        <is>
          <t>A 10150-2022</t>
        </is>
      </c>
      <c r="B2378" s="1" t="n">
        <v>44622</v>
      </c>
      <c r="C2378" s="1" t="n">
        <v>45952</v>
      </c>
      <c r="D2378" t="inlineStr">
        <is>
          <t>VÄSTRA GÖTALANDS LÄN</t>
        </is>
      </c>
      <c r="E2378" t="inlineStr">
        <is>
          <t>TROLLHÄTTAN</t>
        </is>
      </c>
      <c r="G2378" t="n">
        <v>1.5</v>
      </c>
      <c r="H2378" t="n">
        <v>0</v>
      </c>
      <c r="I2378" t="n">
        <v>0</v>
      </c>
      <c r="J2378" t="n">
        <v>0</v>
      </c>
      <c r="K2378" t="n">
        <v>0</v>
      </c>
      <c r="L2378" t="n">
        <v>0</v>
      </c>
      <c r="M2378" t="n">
        <v>0</v>
      </c>
      <c r="N2378" t="n">
        <v>0</v>
      </c>
      <c r="O2378" t="n">
        <v>0</v>
      </c>
      <c r="P2378" t="n">
        <v>0</v>
      </c>
      <c r="Q2378" t="n">
        <v>0</v>
      </c>
      <c r="R2378" s="2" t="inlineStr"/>
    </row>
    <row r="2379" ht="15" customHeight="1">
      <c r="A2379" t="inlineStr">
        <is>
          <t>A 38497-2021</t>
        </is>
      </c>
      <c r="B2379" s="1" t="n">
        <v>44407</v>
      </c>
      <c r="C2379" s="1" t="n">
        <v>45952</v>
      </c>
      <c r="D2379" t="inlineStr">
        <is>
          <t>VÄSTRA GÖTALANDS LÄN</t>
        </is>
      </c>
      <c r="E2379" t="inlineStr">
        <is>
          <t>MARK</t>
        </is>
      </c>
      <c r="G2379" t="n">
        <v>0.3</v>
      </c>
      <c r="H2379" t="n">
        <v>0</v>
      </c>
      <c r="I2379" t="n">
        <v>0</v>
      </c>
      <c r="J2379" t="n">
        <v>0</v>
      </c>
      <c r="K2379" t="n">
        <v>0</v>
      </c>
      <c r="L2379" t="n">
        <v>0</v>
      </c>
      <c r="M2379" t="n">
        <v>0</v>
      </c>
      <c r="N2379" t="n">
        <v>0</v>
      </c>
      <c r="O2379" t="n">
        <v>0</v>
      </c>
      <c r="P2379" t="n">
        <v>0</v>
      </c>
      <c r="Q2379" t="n">
        <v>0</v>
      </c>
      <c r="R2379" s="2" t="inlineStr"/>
    </row>
    <row r="2380" ht="15" customHeight="1">
      <c r="A2380" t="inlineStr">
        <is>
          <t>A 34841-2022</t>
        </is>
      </c>
      <c r="B2380" s="1" t="n">
        <v>44796.3941087963</v>
      </c>
      <c r="C2380" s="1" t="n">
        <v>45952</v>
      </c>
      <c r="D2380" t="inlineStr">
        <is>
          <t>VÄSTRA GÖTALANDS LÄN</t>
        </is>
      </c>
      <c r="E2380" t="inlineStr">
        <is>
          <t>SVENLJUNGA</t>
        </is>
      </c>
      <c r="G2380" t="n">
        <v>1.1</v>
      </c>
      <c r="H2380" t="n">
        <v>0</v>
      </c>
      <c r="I2380" t="n">
        <v>0</v>
      </c>
      <c r="J2380" t="n">
        <v>0</v>
      </c>
      <c r="K2380" t="n">
        <v>0</v>
      </c>
      <c r="L2380" t="n">
        <v>0</v>
      </c>
      <c r="M2380" t="n">
        <v>0</v>
      </c>
      <c r="N2380" t="n">
        <v>0</v>
      </c>
      <c r="O2380" t="n">
        <v>0</v>
      </c>
      <c r="P2380" t="n">
        <v>0</v>
      </c>
      <c r="Q2380" t="n">
        <v>0</v>
      </c>
      <c r="R2380" s="2" t="inlineStr"/>
    </row>
    <row r="2381" ht="15" customHeight="1">
      <c r="A2381" t="inlineStr">
        <is>
          <t>A 39181-2022</t>
        </is>
      </c>
      <c r="B2381" s="1" t="n">
        <v>44817</v>
      </c>
      <c r="C2381" s="1" t="n">
        <v>45952</v>
      </c>
      <c r="D2381" t="inlineStr">
        <is>
          <t>VÄSTRA GÖTALANDS LÄN</t>
        </is>
      </c>
      <c r="E2381" t="inlineStr">
        <is>
          <t>TANUM</t>
        </is>
      </c>
      <c r="G2381" t="n">
        <v>0.7</v>
      </c>
      <c r="H2381" t="n">
        <v>0</v>
      </c>
      <c r="I2381" t="n">
        <v>0</v>
      </c>
      <c r="J2381" t="n">
        <v>0</v>
      </c>
      <c r="K2381" t="n">
        <v>0</v>
      </c>
      <c r="L2381" t="n">
        <v>0</v>
      </c>
      <c r="M2381" t="n">
        <v>0</v>
      </c>
      <c r="N2381" t="n">
        <v>0</v>
      </c>
      <c r="O2381" t="n">
        <v>0</v>
      </c>
      <c r="P2381" t="n">
        <v>0</v>
      </c>
      <c r="Q2381" t="n">
        <v>0</v>
      </c>
      <c r="R2381" s="2" t="inlineStr"/>
    </row>
    <row r="2382" ht="15" customHeight="1">
      <c r="A2382" t="inlineStr">
        <is>
          <t>A 55909-2020</t>
        </is>
      </c>
      <c r="B2382" s="1" t="n">
        <v>44132</v>
      </c>
      <c r="C2382" s="1" t="n">
        <v>45952</v>
      </c>
      <c r="D2382" t="inlineStr">
        <is>
          <t>VÄSTRA GÖTALANDS LÄN</t>
        </is>
      </c>
      <c r="E2382" t="inlineStr">
        <is>
          <t>BENGTSFORS</t>
        </is>
      </c>
      <c r="G2382" t="n">
        <v>1.7</v>
      </c>
      <c r="H2382" t="n">
        <v>0</v>
      </c>
      <c r="I2382" t="n">
        <v>0</v>
      </c>
      <c r="J2382" t="n">
        <v>0</v>
      </c>
      <c r="K2382" t="n">
        <v>0</v>
      </c>
      <c r="L2382" t="n">
        <v>0</v>
      </c>
      <c r="M2382" t="n">
        <v>0</v>
      </c>
      <c r="N2382" t="n">
        <v>0</v>
      </c>
      <c r="O2382" t="n">
        <v>0</v>
      </c>
      <c r="P2382" t="n">
        <v>0</v>
      </c>
      <c r="Q2382" t="n">
        <v>0</v>
      </c>
      <c r="R2382" s="2" t="inlineStr"/>
    </row>
    <row r="2383" ht="15" customHeight="1">
      <c r="A2383" t="inlineStr">
        <is>
          <t>A 67113-2020</t>
        </is>
      </c>
      <c r="B2383" s="1" t="n">
        <v>44180</v>
      </c>
      <c r="C2383" s="1" t="n">
        <v>45952</v>
      </c>
      <c r="D2383" t="inlineStr">
        <is>
          <t>VÄSTRA GÖTALANDS LÄN</t>
        </is>
      </c>
      <c r="E2383" t="inlineStr">
        <is>
          <t>DALS-ED</t>
        </is>
      </c>
      <c r="G2383" t="n">
        <v>1.9</v>
      </c>
      <c r="H2383" t="n">
        <v>0</v>
      </c>
      <c r="I2383" t="n">
        <v>0</v>
      </c>
      <c r="J2383" t="n">
        <v>0</v>
      </c>
      <c r="K2383" t="n">
        <v>0</v>
      </c>
      <c r="L2383" t="n">
        <v>0</v>
      </c>
      <c r="M2383" t="n">
        <v>0</v>
      </c>
      <c r="N2383" t="n">
        <v>0</v>
      </c>
      <c r="O2383" t="n">
        <v>0</v>
      </c>
      <c r="P2383" t="n">
        <v>0</v>
      </c>
      <c r="Q2383" t="n">
        <v>0</v>
      </c>
      <c r="R2383" s="2" t="inlineStr"/>
    </row>
    <row r="2384" ht="15" customHeight="1">
      <c r="A2384" t="inlineStr">
        <is>
          <t>A 22023-2022</t>
        </is>
      </c>
      <c r="B2384" s="1" t="n">
        <v>44711</v>
      </c>
      <c r="C2384" s="1" t="n">
        <v>45952</v>
      </c>
      <c r="D2384" t="inlineStr">
        <is>
          <t>VÄSTRA GÖTALANDS LÄN</t>
        </is>
      </c>
      <c r="E2384" t="inlineStr">
        <is>
          <t>FALKÖPING</t>
        </is>
      </c>
      <c r="G2384" t="n">
        <v>2.8</v>
      </c>
      <c r="H2384" t="n">
        <v>0</v>
      </c>
      <c r="I2384" t="n">
        <v>0</v>
      </c>
      <c r="J2384" t="n">
        <v>0</v>
      </c>
      <c r="K2384" t="n">
        <v>0</v>
      </c>
      <c r="L2384" t="n">
        <v>0</v>
      </c>
      <c r="M2384" t="n">
        <v>0</v>
      </c>
      <c r="N2384" t="n">
        <v>0</v>
      </c>
      <c r="O2384" t="n">
        <v>0</v>
      </c>
      <c r="P2384" t="n">
        <v>0</v>
      </c>
      <c r="Q2384" t="n">
        <v>0</v>
      </c>
      <c r="R2384" s="2" t="inlineStr"/>
    </row>
    <row r="2385" ht="15" customHeight="1">
      <c r="A2385" t="inlineStr">
        <is>
          <t>A 54878-2022</t>
        </is>
      </c>
      <c r="B2385" s="1" t="n">
        <v>44886</v>
      </c>
      <c r="C2385" s="1" t="n">
        <v>45952</v>
      </c>
      <c r="D2385" t="inlineStr">
        <is>
          <t>VÄSTRA GÖTALANDS LÄN</t>
        </is>
      </c>
      <c r="E2385" t="inlineStr">
        <is>
          <t>BORÅS</t>
        </is>
      </c>
      <c r="G2385" t="n">
        <v>0.3</v>
      </c>
      <c r="H2385" t="n">
        <v>0</v>
      </c>
      <c r="I2385" t="n">
        <v>0</v>
      </c>
      <c r="J2385" t="n">
        <v>0</v>
      </c>
      <c r="K2385" t="n">
        <v>0</v>
      </c>
      <c r="L2385" t="n">
        <v>0</v>
      </c>
      <c r="M2385" t="n">
        <v>0</v>
      </c>
      <c r="N2385" t="n">
        <v>0</v>
      </c>
      <c r="O2385" t="n">
        <v>0</v>
      </c>
      <c r="P2385" t="n">
        <v>0</v>
      </c>
      <c r="Q2385" t="n">
        <v>0</v>
      </c>
      <c r="R2385" s="2" t="inlineStr"/>
    </row>
    <row r="2386" ht="15" customHeight="1">
      <c r="A2386" t="inlineStr">
        <is>
          <t>A 5171-2021</t>
        </is>
      </c>
      <c r="B2386" s="1" t="n">
        <v>44228.6758912037</v>
      </c>
      <c r="C2386" s="1" t="n">
        <v>45952</v>
      </c>
      <c r="D2386" t="inlineStr">
        <is>
          <t>VÄSTRA GÖTALANDS LÄN</t>
        </is>
      </c>
      <c r="E2386" t="inlineStr">
        <is>
          <t>MELLERUD</t>
        </is>
      </c>
      <c r="G2386" t="n">
        <v>1.2</v>
      </c>
      <c r="H2386" t="n">
        <v>0</v>
      </c>
      <c r="I2386" t="n">
        <v>0</v>
      </c>
      <c r="J2386" t="n">
        <v>0</v>
      </c>
      <c r="K2386" t="n">
        <v>0</v>
      </c>
      <c r="L2386" t="n">
        <v>0</v>
      </c>
      <c r="M2386" t="n">
        <v>0</v>
      </c>
      <c r="N2386" t="n">
        <v>0</v>
      </c>
      <c r="O2386" t="n">
        <v>0</v>
      </c>
      <c r="P2386" t="n">
        <v>0</v>
      </c>
      <c r="Q2386" t="n">
        <v>0</v>
      </c>
      <c r="R2386" s="2" t="inlineStr"/>
    </row>
    <row r="2387" ht="15" customHeight="1">
      <c r="A2387" t="inlineStr">
        <is>
          <t>A 5193-2021</t>
        </is>
      </c>
      <c r="B2387" s="1" t="n">
        <v>44228</v>
      </c>
      <c r="C2387" s="1" t="n">
        <v>45952</v>
      </c>
      <c r="D2387" t="inlineStr">
        <is>
          <t>VÄSTRA GÖTALANDS LÄN</t>
        </is>
      </c>
      <c r="E2387" t="inlineStr">
        <is>
          <t>BOLLEBYGD</t>
        </is>
      </c>
      <c r="G2387" t="n">
        <v>1.1</v>
      </c>
      <c r="H2387" t="n">
        <v>0</v>
      </c>
      <c r="I2387" t="n">
        <v>0</v>
      </c>
      <c r="J2387" t="n">
        <v>0</v>
      </c>
      <c r="K2387" t="n">
        <v>0</v>
      </c>
      <c r="L2387" t="n">
        <v>0</v>
      </c>
      <c r="M2387" t="n">
        <v>0</v>
      </c>
      <c r="N2387" t="n">
        <v>0</v>
      </c>
      <c r="O2387" t="n">
        <v>0</v>
      </c>
      <c r="P2387" t="n">
        <v>0</v>
      </c>
      <c r="Q2387" t="n">
        <v>0</v>
      </c>
      <c r="R2387" s="2" t="inlineStr"/>
    </row>
    <row r="2388" ht="15" customHeight="1">
      <c r="A2388" t="inlineStr">
        <is>
          <t>A 5285-2021</t>
        </is>
      </c>
      <c r="B2388" s="1" t="n">
        <v>44229</v>
      </c>
      <c r="C2388" s="1" t="n">
        <v>45952</v>
      </c>
      <c r="D2388" t="inlineStr">
        <is>
          <t>VÄSTRA GÖTALANDS LÄN</t>
        </is>
      </c>
      <c r="E2388" t="inlineStr">
        <is>
          <t>VÄNERSBORG</t>
        </is>
      </c>
      <c r="G2388" t="n">
        <v>16</v>
      </c>
      <c r="H2388" t="n">
        <v>0</v>
      </c>
      <c r="I2388" t="n">
        <v>0</v>
      </c>
      <c r="J2388" t="n">
        <v>0</v>
      </c>
      <c r="K2388" t="n">
        <v>0</v>
      </c>
      <c r="L2388" t="n">
        <v>0</v>
      </c>
      <c r="M2388" t="n">
        <v>0</v>
      </c>
      <c r="N2388" t="n">
        <v>0</v>
      </c>
      <c r="O2388" t="n">
        <v>0</v>
      </c>
      <c r="P2388" t="n">
        <v>0</v>
      </c>
      <c r="Q2388" t="n">
        <v>0</v>
      </c>
      <c r="R2388" s="2" t="inlineStr"/>
    </row>
    <row r="2389" ht="15" customHeight="1">
      <c r="A2389" t="inlineStr">
        <is>
          <t>A 46436-2022</t>
        </is>
      </c>
      <c r="B2389" s="1" t="n">
        <v>44848.46362268519</v>
      </c>
      <c r="C2389" s="1" t="n">
        <v>45952</v>
      </c>
      <c r="D2389" t="inlineStr">
        <is>
          <t>VÄSTRA GÖTALANDS LÄN</t>
        </is>
      </c>
      <c r="E2389" t="inlineStr">
        <is>
          <t>STRÖMSTAD</t>
        </is>
      </c>
      <c r="F2389" t="inlineStr">
        <is>
          <t>Kommuner</t>
        </is>
      </c>
      <c r="G2389" t="n">
        <v>2.1</v>
      </c>
      <c r="H2389" t="n">
        <v>0</v>
      </c>
      <c r="I2389" t="n">
        <v>0</v>
      </c>
      <c r="J2389" t="n">
        <v>0</v>
      </c>
      <c r="K2389" t="n">
        <v>0</v>
      </c>
      <c r="L2389" t="n">
        <v>0</v>
      </c>
      <c r="M2389" t="n">
        <v>0</v>
      </c>
      <c r="N2389" t="n">
        <v>0</v>
      </c>
      <c r="O2389" t="n">
        <v>0</v>
      </c>
      <c r="P2389" t="n">
        <v>0</v>
      </c>
      <c r="Q2389" t="n">
        <v>0</v>
      </c>
      <c r="R2389" s="2" t="inlineStr"/>
    </row>
    <row r="2390" ht="15" customHeight="1">
      <c r="A2390" t="inlineStr">
        <is>
          <t>A 28159-2022</t>
        </is>
      </c>
      <c r="B2390" s="1" t="n">
        <v>44746</v>
      </c>
      <c r="C2390" s="1" t="n">
        <v>45952</v>
      </c>
      <c r="D2390" t="inlineStr">
        <is>
          <t>VÄSTRA GÖTALANDS LÄN</t>
        </is>
      </c>
      <c r="E2390" t="inlineStr">
        <is>
          <t>LYSEKIL</t>
        </is>
      </c>
      <c r="G2390" t="n">
        <v>0.7</v>
      </c>
      <c r="H2390" t="n">
        <v>0</v>
      </c>
      <c r="I2390" t="n">
        <v>0</v>
      </c>
      <c r="J2390" t="n">
        <v>0</v>
      </c>
      <c r="K2390" t="n">
        <v>0</v>
      </c>
      <c r="L2390" t="n">
        <v>0</v>
      </c>
      <c r="M2390" t="n">
        <v>0</v>
      </c>
      <c r="N2390" t="n">
        <v>0</v>
      </c>
      <c r="O2390" t="n">
        <v>0</v>
      </c>
      <c r="P2390" t="n">
        <v>0</v>
      </c>
      <c r="Q2390" t="n">
        <v>0</v>
      </c>
      <c r="R2390" s="2" t="inlineStr"/>
    </row>
    <row r="2391" ht="15" customHeight="1">
      <c r="A2391" t="inlineStr">
        <is>
          <t>A 4311-2022</t>
        </is>
      </c>
      <c r="B2391" s="1" t="n">
        <v>44588.83569444445</v>
      </c>
      <c r="C2391" s="1" t="n">
        <v>45952</v>
      </c>
      <c r="D2391" t="inlineStr">
        <is>
          <t>VÄSTRA GÖTALANDS LÄN</t>
        </is>
      </c>
      <c r="E2391" t="inlineStr">
        <is>
          <t>TIDAHOLM</t>
        </is>
      </c>
      <c r="G2391" t="n">
        <v>1.1</v>
      </c>
      <c r="H2391" t="n">
        <v>0</v>
      </c>
      <c r="I2391" t="n">
        <v>0</v>
      </c>
      <c r="J2391" t="n">
        <v>0</v>
      </c>
      <c r="K2391" t="n">
        <v>0</v>
      </c>
      <c r="L2391" t="n">
        <v>0</v>
      </c>
      <c r="M2391" t="n">
        <v>0</v>
      </c>
      <c r="N2391" t="n">
        <v>0</v>
      </c>
      <c r="O2391" t="n">
        <v>0</v>
      </c>
      <c r="P2391" t="n">
        <v>0</v>
      </c>
      <c r="Q2391" t="n">
        <v>0</v>
      </c>
      <c r="R2391" s="2" t="inlineStr"/>
    </row>
    <row r="2392" ht="15" customHeight="1">
      <c r="A2392" t="inlineStr">
        <is>
          <t>A 4409-2022</t>
        </is>
      </c>
      <c r="B2392" s="1" t="n">
        <v>44589.46652777777</v>
      </c>
      <c r="C2392" s="1" t="n">
        <v>45952</v>
      </c>
      <c r="D2392" t="inlineStr">
        <is>
          <t>VÄSTRA GÖTALANDS LÄN</t>
        </is>
      </c>
      <c r="E2392" t="inlineStr">
        <is>
          <t>SKARA</t>
        </is>
      </c>
      <c r="G2392" t="n">
        <v>0.6</v>
      </c>
      <c r="H2392" t="n">
        <v>0</v>
      </c>
      <c r="I2392" t="n">
        <v>0</v>
      </c>
      <c r="J2392" t="n">
        <v>0</v>
      </c>
      <c r="K2392" t="n">
        <v>0</v>
      </c>
      <c r="L2392" t="n">
        <v>0</v>
      </c>
      <c r="M2392" t="n">
        <v>0</v>
      </c>
      <c r="N2392" t="n">
        <v>0</v>
      </c>
      <c r="O2392" t="n">
        <v>0</v>
      </c>
      <c r="P2392" t="n">
        <v>0</v>
      </c>
      <c r="Q2392" t="n">
        <v>0</v>
      </c>
      <c r="R2392" s="2" t="inlineStr"/>
    </row>
    <row r="2393" ht="15" customHeight="1">
      <c r="A2393" t="inlineStr">
        <is>
          <t>A 8170-2022</t>
        </is>
      </c>
      <c r="B2393" s="1" t="n">
        <v>44609</v>
      </c>
      <c r="C2393" s="1" t="n">
        <v>45952</v>
      </c>
      <c r="D2393" t="inlineStr">
        <is>
          <t>VÄSTRA GÖTALANDS LÄN</t>
        </is>
      </c>
      <c r="E2393" t="inlineStr">
        <is>
          <t>ULRICEHAMN</t>
        </is>
      </c>
      <c r="G2393" t="n">
        <v>0.3</v>
      </c>
      <c r="H2393" t="n">
        <v>0</v>
      </c>
      <c r="I2393" t="n">
        <v>0</v>
      </c>
      <c r="J2393" t="n">
        <v>0</v>
      </c>
      <c r="K2393" t="n">
        <v>0</v>
      </c>
      <c r="L2393" t="n">
        <v>0</v>
      </c>
      <c r="M2393" t="n">
        <v>0</v>
      </c>
      <c r="N2393" t="n">
        <v>0</v>
      </c>
      <c r="O2393" t="n">
        <v>0</v>
      </c>
      <c r="P2393" t="n">
        <v>0</v>
      </c>
      <c r="Q2393" t="n">
        <v>0</v>
      </c>
      <c r="R2393" s="2" t="inlineStr"/>
    </row>
    <row r="2394" ht="15" customHeight="1">
      <c r="A2394" t="inlineStr">
        <is>
          <t>A 29486-2022</t>
        </is>
      </c>
      <c r="B2394" s="1" t="n">
        <v>44753</v>
      </c>
      <c r="C2394" s="1" t="n">
        <v>45952</v>
      </c>
      <c r="D2394" t="inlineStr">
        <is>
          <t>VÄSTRA GÖTALANDS LÄN</t>
        </is>
      </c>
      <c r="E2394" t="inlineStr">
        <is>
          <t>BORÅS</t>
        </is>
      </c>
      <c r="G2394" t="n">
        <v>1.9</v>
      </c>
      <c r="H2394" t="n">
        <v>0</v>
      </c>
      <c r="I2394" t="n">
        <v>0</v>
      </c>
      <c r="J2394" t="n">
        <v>0</v>
      </c>
      <c r="K2394" t="n">
        <v>0</v>
      </c>
      <c r="L2394" t="n">
        <v>0</v>
      </c>
      <c r="M2394" t="n">
        <v>0</v>
      </c>
      <c r="N2394" t="n">
        <v>0</v>
      </c>
      <c r="O2394" t="n">
        <v>0</v>
      </c>
      <c r="P2394" t="n">
        <v>0</v>
      </c>
      <c r="Q2394" t="n">
        <v>0</v>
      </c>
      <c r="R2394" s="2" t="inlineStr"/>
    </row>
    <row r="2395" ht="15" customHeight="1">
      <c r="A2395" t="inlineStr">
        <is>
          <t>A 61780-2020</t>
        </is>
      </c>
      <c r="B2395" s="1" t="n">
        <v>44158</v>
      </c>
      <c r="C2395" s="1" t="n">
        <v>45952</v>
      </c>
      <c r="D2395" t="inlineStr">
        <is>
          <t>VÄSTRA GÖTALANDS LÄN</t>
        </is>
      </c>
      <c r="E2395" t="inlineStr">
        <is>
          <t>TRANEMO</t>
        </is>
      </c>
      <c r="G2395" t="n">
        <v>2.1</v>
      </c>
      <c r="H2395" t="n">
        <v>0</v>
      </c>
      <c r="I2395" t="n">
        <v>0</v>
      </c>
      <c r="J2395" t="n">
        <v>0</v>
      </c>
      <c r="K2395" t="n">
        <v>0</v>
      </c>
      <c r="L2395" t="n">
        <v>0</v>
      </c>
      <c r="M2395" t="n">
        <v>0</v>
      </c>
      <c r="N2395" t="n">
        <v>0</v>
      </c>
      <c r="O2395" t="n">
        <v>0</v>
      </c>
      <c r="P2395" t="n">
        <v>0</v>
      </c>
      <c r="Q2395" t="n">
        <v>0</v>
      </c>
      <c r="R2395" s="2" t="inlineStr"/>
    </row>
    <row r="2396" ht="15" customHeight="1">
      <c r="A2396" t="inlineStr">
        <is>
          <t>A 9786-2021</t>
        </is>
      </c>
      <c r="B2396" s="1" t="n">
        <v>44252.66797453703</v>
      </c>
      <c r="C2396" s="1" t="n">
        <v>45952</v>
      </c>
      <c r="D2396" t="inlineStr">
        <is>
          <t>VÄSTRA GÖTALANDS LÄN</t>
        </is>
      </c>
      <c r="E2396" t="inlineStr">
        <is>
          <t>TIDAHOLM</t>
        </is>
      </c>
      <c r="G2396" t="n">
        <v>3.6</v>
      </c>
      <c r="H2396" t="n">
        <v>0</v>
      </c>
      <c r="I2396" t="n">
        <v>0</v>
      </c>
      <c r="J2396" t="n">
        <v>0</v>
      </c>
      <c r="K2396" t="n">
        <v>0</v>
      </c>
      <c r="L2396" t="n">
        <v>0</v>
      </c>
      <c r="M2396" t="n">
        <v>0</v>
      </c>
      <c r="N2396" t="n">
        <v>0</v>
      </c>
      <c r="O2396" t="n">
        <v>0</v>
      </c>
      <c r="P2396" t="n">
        <v>0</v>
      </c>
      <c r="Q2396" t="n">
        <v>0</v>
      </c>
      <c r="R2396" s="2" t="inlineStr"/>
    </row>
    <row r="2397" ht="15" customHeight="1">
      <c r="A2397" t="inlineStr">
        <is>
          <t>A 14993-2022</t>
        </is>
      </c>
      <c r="B2397" s="1" t="n">
        <v>44657</v>
      </c>
      <c r="C2397" s="1" t="n">
        <v>45952</v>
      </c>
      <c r="D2397" t="inlineStr">
        <is>
          <t>VÄSTRA GÖTALANDS LÄN</t>
        </is>
      </c>
      <c r="E2397" t="inlineStr">
        <is>
          <t>DALS-ED</t>
        </is>
      </c>
      <c r="F2397" t="inlineStr">
        <is>
          <t>Kyrkan</t>
        </is>
      </c>
      <c r="G2397" t="n">
        <v>0.5</v>
      </c>
      <c r="H2397" t="n">
        <v>0</v>
      </c>
      <c r="I2397" t="n">
        <v>0</v>
      </c>
      <c r="J2397" t="n">
        <v>0</v>
      </c>
      <c r="K2397" t="n">
        <v>0</v>
      </c>
      <c r="L2397" t="n">
        <v>0</v>
      </c>
      <c r="M2397" t="n">
        <v>0</v>
      </c>
      <c r="N2397" t="n">
        <v>0</v>
      </c>
      <c r="O2397" t="n">
        <v>0</v>
      </c>
      <c r="P2397" t="n">
        <v>0</v>
      </c>
      <c r="Q2397" t="n">
        <v>0</v>
      </c>
      <c r="R2397" s="2" t="inlineStr"/>
    </row>
    <row r="2398" ht="15" customHeight="1">
      <c r="A2398" t="inlineStr">
        <is>
          <t>A 62372-2021</t>
        </is>
      </c>
      <c r="B2398" s="1" t="n">
        <v>44503.46638888889</v>
      </c>
      <c r="C2398" s="1" t="n">
        <v>45952</v>
      </c>
      <c r="D2398" t="inlineStr">
        <is>
          <t>VÄSTRA GÖTALANDS LÄN</t>
        </is>
      </c>
      <c r="E2398" t="inlineStr">
        <is>
          <t>FALKÖPING</t>
        </is>
      </c>
      <c r="F2398" t="inlineStr">
        <is>
          <t>Naturvårdsverket</t>
        </is>
      </c>
      <c r="G2398" t="n">
        <v>1.4</v>
      </c>
      <c r="H2398" t="n">
        <v>0</v>
      </c>
      <c r="I2398" t="n">
        <v>0</v>
      </c>
      <c r="J2398" t="n">
        <v>0</v>
      </c>
      <c r="K2398" t="n">
        <v>0</v>
      </c>
      <c r="L2398" t="n">
        <v>0</v>
      </c>
      <c r="M2398" t="n">
        <v>0</v>
      </c>
      <c r="N2398" t="n">
        <v>0</v>
      </c>
      <c r="O2398" t="n">
        <v>0</v>
      </c>
      <c r="P2398" t="n">
        <v>0</v>
      </c>
      <c r="Q2398" t="n">
        <v>0</v>
      </c>
      <c r="R2398" s="2" t="inlineStr"/>
    </row>
    <row r="2399" ht="15" customHeight="1">
      <c r="A2399" t="inlineStr">
        <is>
          <t>A 3147-2021</t>
        </is>
      </c>
      <c r="B2399" s="1" t="n">
        <v>44217</v>
      </c>
      <c r="C2399" s="1" t="n">
        <v>45952</v>
      </c>
      <c r="D2399" t="inlineStr">
        <is>
          <t>VÄSTRA GÖTALANDS LÄN</t>
        </is>
      </c>
      <c r="E2399" t="inlineStr">
        <is>
          <t>DALS-ED</t>
        </is>
      </c>
      <c r="G2399" t="n">
        <v>0.7</v>
      </c>
      <c r="H2399" t="n">
        <v>0</v>
      </c>
      <c r="I2399" t="n">
        <v>0</v>
      </c>
      <c r="J2399" t="n">
        <v>0</v>
      </c>
      <c r="K2399" t="n">
        <v>0</v>
      </c>
      <c r="L2399" t="n">
        <v>0</v>
      </c>
      <c r="M2399" t="n">
        <v>0</v>
      </c>
      <c r="N2399" t="n">
        <v>0</v>
      </c>
      <c r="O2399" t="n">
        <v>0</v>
      </c>
      <c r="P2399" t="n">
        <v>0</v>
      </c>
      <c r="Q2399" t="n">
        <v>0</v>
      </c>
      <c r="R2399" s="2" t="inlineStr"/>
    </row>
    <row r="2400" ht="15" customHeight="1">
      <c r="A2400" t="inlineStr">
        <is>
          <t>A 27075-2021</t>
        </is>
      </c>
      <c r="B2400" s="1" t="n">
        <v>44350</v>
      </c>
      <c r="C2400" s="1" t="n">
        <v>45952</v>
      </c>
      <c r="D2400" t="inlineStr">
        <is>
          <t>VÄSTRA GÖTALANDS LÄN</t>
        </is>
      </c>
      <c r="E2400" t="inlineStr">
        <is>
          <t>TRANEMO</t>
        </is>
      </c>
      <c r="G2400" t="n">
        <v>1.8</v>
      </c>
      <c r="H2400" t="n">
        <v>0</v>
      </c>
      <c r="I2400" t="n">
        <v>0</v>
      </c>
      <c r="J2400" t="n">
        <v>0</v>
      </c>
      <c r="K2400" t="n">
        <v>0</v>
      </c>
      <c r="L2400" t="n">
        <v>0</v>
      </c>
      <c r="M2400" t="n">
        <v>0</v>
      </c>
      <c r="N2400" t="n">
        <v>0</v>
      </c>
      <c r="O2400" t="n">
        <v>0</v>
      </c>
      <c r="P2400" t="n">
        <v>0</v>
      </c>
      <c r="Q2400" t="n">
        <v>0</v>
      </c>
      <c r="R2400" s="2" t="inlineStr"/>
    </row>
    <row r="2401" ht="15" customHeight="1">
      <c r="A2401" t="inlineStr">
        <is>
          <t>A 31195-2021</t>
        </is>
      </c>
      <c r="B2401" s="1" t="n">
        <v>44368.62329861111</v>
      </c>
      <c r="C2401" s="1" t="n">
        <v>45952</v>
      </c>
      <c r="D2401" t="inlineStr">
        <is>
          <t>VÄSTRA GÖTALANDS LÄN</t>
        </is>
      </c>
      <c r="E2401" t="inlineStr">
        <is>
          <t>TÖREBODA</t>
        </is>
      </c>
      <c r="G2401" t="n">
        <v>1.7</v>
      </c>
      <c r="H2401" t="n">
        <v>0</v>
      </c>
      <c r="I2401" t="n">
        <v>0</v>
      </c>
      <c r="J2401" t="n">
        <v>0</v>
      </c>
      <c r="K2401" t="n">
        <v>0</v>
      </c>
      <c r="L2401" t="n">
        <v>0</v>
      </c>
      <c r="M2401" t="n">
        <v>0</v>
      </c>
      <c r="N2401" t="n">
        <v>0</v>
      </c>
      <c r="O2401" t="n">
        <v>0</v>
      </c>
      <c r="P2401" t="n">
        <v>0</v>
      </c>
      <c r="Q2401" t="n">
        <v>0</v>
      </c>
      <c r="R2401" s="2" t="inlineStr"/>
    </row>
    <row r="2402" ht="15" customHeight="1">
      <c r="A2402" t="inlineStr">
        <is>
          <t>A 68517-2021</t>
        </is>
      </c>
      <c r="B2402" s="1" t="n">
        <v>44525</v>
      </c>
      <c r="C2402" s="1" t="n">
        <v>45952</v>
      </c>
      <c r="D2402" t="inlineStr">
        <is>
          <t>VÄSTRA GÖTALANDS LÄN</t>
        </is>
      </c>
      <c r="E2402" t="inlineStr">
        <is>
          <t>GULLSPÅNG</t>
        </is>
      </c>
      <c r="G2402" t="n">
        <v>4.9</v>
      </c>
      <c r="H2402" t="n">
        <v>0</v>
      </c>
      <c r="I2402" t="n">
        <v>0</v>
      </c>
      <c r="J2402" t="n">
        <v>0</v>
      </c>
      <c r="K2402" t="n">
        <v>0</v>
      </c>
      <c r="L2402" t="n">
        <v>0</v>
      </c>
      <c r="M2402" t="n">
        <v>0</v>
      </c>
      <c r="N2402" t="n">
        <v>0</v>
      </c>
      <c r="O2402" t="n">
        <v>0</v>
      </c>
      <c r="P2402" t="n">
        <v>0</v>
      </c>
      <c r="Q2402" t="n">
        <v>0</v>
      </c>
      <c r="R2402" s="2" t="inlineStr"/>
    </row>
    <row r="2403" ht="15" customHeight="1">
      <c r="A2403" t="inlineStr">
        <is>
          <t>A 66077-2020</t>
        </is>
      </c>
      <c r="B2403" s="1" t="n">
        <v>44173</v>
      </c>
      <c r="C2403" s="1" t="n">
        <v>45952</v>
      </c>
      <c r="D2403" t="inlineStr">
        <is>
          <t>VÄSTRA GÖTALANDS LÄN</t>
        </is>
      </c>
      <c r="E2403" t="inlineStr">
        <is>
          <t>HJO</t>
        </is>
      </c>
      <c r="G2403" t="n">
        <v>20.8</v>
      </c>
      <c r="H2403" t="n">
        <v>0</v>
      </c>
      <c r="I2403" t="n">
        <v>0</v>
      </c>
      <c r="J2403" t="n">
        <v>0</v>
      </c>
      <c r="K2403" t="n">
        <v>0</v>
      </c>
      <c r="L2403" t="n">
        <v>0</v>
      </c>
      <c r="M2403" t="n">
        <v>0</v>
      </c>
      <c r="N2403" t="n">
        <v>0</v>
      </c>
      <c r="O2403" t="n">
        <v>0</v>
      </c>
      <c r="P2403" t="n">
        <v>0</v>
      </c>
      <c r="Q2403" t="n">
        <v>0</v>
      </c>
      <c r="R2403" s="2" t="inlineStr"/>
    </row>
    <row r="2404" ht="15" customHeight="1">
      <c r="A2404" t="inlineStr">
        <is>
          <t>A 66078-2020</t>
        </is>
      </c>
      <c r="B2404" s="1" t="n">
        <v>44173</v>
      </c>
      <c r="C2404" s="1" t="n">
        <v>45952</v>
      </c>
      <c r="D2404" t="inlineStr">
        <is>
          <t>VÄSTRA GÖTALANDS LÄN</t>
        </is>
      </c>
      <c r="E2404" t="inlineStr">
        <is>
          <t>BENGTSFORS</t>
        </is>
      </c>
      <c r="G2404" t="n">
        <v>6</v>
      </c>
      <c r="H2404" t="n">
        <v>0</v>
      </c>
      <c r="I2404" t="n">
        <v>0</v>
      </c>
      <c r="J2404" t="n">
        <v>0</v>
      </c>
      <c r="K2404" t="n">
        <v>0</v>
      </c>
      <c r="L2404" t="n">
        <v>0</v>
      </c>
      <c r="M2404" t="n">
        <v>0</v>
      </c>
      <c r="N2404" t="n">
        <v>0</v>
      </c>
      <c r="O2404" t="n">
        <v>0</v>
      </c>
      <c r="P2404" t="n">
        <v>0</v>
      </c>
      <c r="Q2404" t="n">
        <v>0</v>
      </c>
      <c r="R2404" s="2" t="inlineStr"/>
    </row>
    <row r="2405" ht="15" customHeight="1">
      <c r="A2405" t="inlineStr">
        <is>
          <t>A 47723-2021</t>
        </is>
      </c>
      <c r="B2405" s="1" t="n">
        <v>44448.50319444444</v>
      </c>
      <c r="C2405" s="1" t="n">
        <v>45952</v>
      </c>
      <c r="D2405" t="inlineStr">
        <is>
          <t>VÄSTRA GÖTALANDS LÄN</t>
        </is>
      </c>
      <c r="E2405" t="inlineStr">
        <is>
          <t>SVENLJUNGA</t>
        </is>
      </c>
      <c r="G2405" t="n">
        <v>3.2</v>
      </c>
      <c r="H2405" t="n">
        <v>0</v>
      </c>
      <c r="I2405" t="n">
        <v>0</v>
      </c>
      <c r="J2405" t="n">
        <v>0</v>
      </c>
      <c r="K2405" t="n">
        <v>0</v>
      </c>
      <c r="L2405" t="n">
        <v>0</v>
      </c>
      <c r="M2405" t="n">
        <v>0</v>
      </c>
      <c r="N2405" t="n">
        <v>0</v>
      </c>
      <c r="O2405" t="n">
        <v>0</v>
      </c>
      <c r="P2405" t="n">
        <v>0</v>
      </c>
      <c r="Q2405" t="n">
        <v>0</v>
      </c>
      <c r="R2405" s="2" t="inlineStr"/>
    </row>
    <row r="2406" ht="15" customHeight="1">
      <c r="A2406" t="inlineStr">
        <is>
          <t>A 62910-2020</t>
        </is>
      </c>
      <c r="B2406" s="1" t="n">
        <v>44162</v>
      </c>
      <c r="C2406" s="1" t="n">
        <v>45952</v>
      </c>
      <c r="D2406" t="inlineStr">
        <is>
          <t>VÄSTRA GÖTALANDS LÄN</t>
        </is>
      </c>
      <c r="E2406" t="inlineStr">
        <is>
          <t>STENUNGSUND</t>
        </is>
      </c>
      <c r="G2406" t="n">
        <v>6.8</v>
      </c>
      <c r="H2406" t="n">
        <v>0</v>
      </c>
      <c r="I2406" t="n">
        <v>0</v>
      </c>
      <c r="J2406" t="n">
        <v>0</v>
      </c>
      <c r="K2406" t="n">
        <v>0</v>
      </c>
      <c r="L2406" t="n">
        <v>0</v>
      </c>
      <c r="M2406" t="n">
        <v>0</v>
      </c>
      <c r="N2406" t="n">
        <v>0</v>
      </c>
      <c r="O2406" t="n">
        <v>0</v>
      </c>
      <c r="P2406" t="n">
        <v>0</v>
      </c>
      <c r="Q2406" t="n">
        <v>0</v>
      </c>
      <c r="R2406" s="2" t="inlineStr"/>
    </row>
    <row r="2407" ht="15" customHeight="1">
      <c r="A2407" t="inlineStr">
        <is>
          <t>A 65528-2020</t>
        </is>
      </c>
      <c r="B2407" s="1" t="n">
        <v>44172</v>
      </c>
      <c r="C2407" s="1" t="n">
        <v>45952</v>
      </c>
      <c r="D2407" t="inlineStr">
        <is>
          <t>VÄSTRA GÖTALANDS LÄN</t>
        </is>
      </c>
      <c r="E2407" t="inlineStr">
        <is>
          <t>HERRLJUNGA</t>
        </is>
      </c>
      <c r="G2407" t="n">
        <v>3.6</v>
      </c>
      <c r="H2407" t="n">
        <v>0</v>
      </c>
      <c r="I2407" t="n">
        <v>0</v>
      </c>
      <c r="J2407" t="n">
        <v>0</v>
      </c>
      <c r="K2407" t="n">
        <v>0</v>
      </c>
      <c r="L2407" t="n">
        <v>0</v>
      </c>
      <c r="M2407" t="n">
        <v>0</v>
      </c>
      <c r="N2407" t="n">
        <v>0</v>
      </c>
      <c r="O2407" t="n">
        <v>0</v>
      </c>
      <c r="P2407" t="n">
        <v>0</v>
      </c>
      <c r="Q2407" t="n">
        <v>0</v>
      </c>
      <c r="R2407" s="2" t="inlineStr"/>
    </row>
    <row r="2408" ht="15" customHeight="1">
      <c r="A2408" t="inlineStr">
        <is>
          <t>A 517-2021</t>
        </is>
      </c>
      <c r="B2408" s="1" t="n">
        <v>44203</v>
      </c>
      <c r="C2408" s="1" t="n">
        <v>45952</v>
      </c>
      <c r="D2408" t="inlineStr">
        <is>
          <t>VÄSTRA GÖTALANDS LÄN</t>
        </is>
      </c>
      <c r="E2408" t="inlineStr">
        <is>
          <t>MARK</t>
        </is>
      </c>
      <c r="G2408" t="n">
        <v>3.5</v>
      </c>
      <c r="H2408" t="n">
        <v>0</v>
      </c>
      <c r="I2408" t="n">
        <v>0</v>
      </c>
      <c r="J2408" t="n">
        <v>0</v>
      </c>
      <c r="K2408" t="n">
        <v>0</v>
      </c>
      <c r="L2408" t="n">
        <v>0</v>
      </c>
      <c r="M2408" t="n">
        <v>0</v>
      </c>
      <c r="N2408" t="n">
        <v>0</v>
      </c>
      <c r="O2408" t="n">
        <v>0</v>
      </c>
      <c r="P2408" t="n">
        <v>0</v>
      </c>
      <c r="Q2408" t="n">
        <v>0</v>
      </c>
      <c r="R2408" s="2" t="inlineStr"/>
    </row>
    <row r="2409" ht="15" customHeight="1">
      <c r="A2409" t="inlineStr">
        <is>
          <t>A 54001-2021</t>
        </is>
      </c>
      <c r="B2409" s="1" t="n">
        <v>44470</v>
      </c>
      <c r="C2409" s="1" t="n">
        <v>45952</v>
      </c>
      <c r="D2409" t="inlineStr">
        <is>
          <t>VÄSTRA GÖTALANDS LÄN</t>
        </is>
      </c>
      <c r="E2409" t="inlineStr">
        <is>
          <t>MARK</t>
        </is>
      </c>
      <c r="G2409" t="n">
        <v>2</v>
      </c>
      <c r="H2409" t="n">
        <v>0</v>
      </c>
      <c r="I2409" t="n">
        <v>0</v>
      </c>
      <c r="J2409" t="n">
        <v>0</v>
      </c>
      <c r="K2409" t="n">
        <v>0</v>
      </c>
      <c r="L2409" t="n">
        <v>0</v>
      </c>
      <c r="M2409" t="n">
        <v>0</v>
      </c>
      <c r="N2409" t="n">
        <v>0</v>
      </c>
      <c r="O2409" t="n">
        <v>0</v>
      </c>
      <c r="P2409" t="n">
        <v>0</v>
      </c>
      <c r="Q2409" t="n">
        <v>0</v>
      </c>
      <c r="R2409" s="2" t="inlineStr"/>
    </row>
    <row r="2410" ht="15" customHeight="1">
      <c r="A2410" t="inlineStr">
        <is>
          <t>A 59497-2020</t>
        </is>
      </c>
      <c r="B2410" s="1" t="n">
        <v>44148</v>
      </c>
      <c r="C2410" s="1" t="n">
        <v>45952</v>
      </c>
      <c r="D2410" t="inlineStr">
        <is>
          <t>VÄSTRA GÖTALANDS LÄN</t>
        </is>
      </c>
      <c r="E2410" t="inlineStr">
        <is>
          <t>SKARA</t>
        </is>
      </c>
      <c r="G2410" t="n">
        <v>8.1</v>
      </c>
      <c r="H2410" t="n">
        <v>0</v>
      </c>
      <c r="I2410" t="n">
        <v>0</v>
      </c>
      <c r="J2410" t="n">
        <v>0</v>
      </c>
      <c r="K2410" t="n">
        <v>0</v>
      </c>
      <c r="L2410" t="n">
        <v>0</v>
      </c>
      <c r="M2410" t="n">
        <v>0</v>
      </c>
      <c r="N2410" t="n">
        <v>0</v>
      </c>
      <c r="O2410" t="n">
        <v>0</v>
      </c>
      <c r="P2410" t="n">
        <v>0</v>
      </c>
      <c r="Q2410" t="n">
        <v>0</v>
      </c>
      <c r="R2410" s="2" t="inlineStr"/>
    </row>
    <row r="2411" ht="15" customHeight="1">
      <c r="A2411" t="inlineStr">
        <is>
          <t>A 48285-2021</t>
        </is>
      </c>
      <c r="B2411" s="1" t="n">
        <v>44449.77408564815</v>
      </c>
      <c r="C2411" s="1" t="n">
        <v>45952</v>
      </c>
      <c r="D2411" t="inlineStr">
        <is>
          <t>VÄSTRA GÖTALANDS LÄN</t>
        </is>
      </c>
      <c r="E2411" t="inlineStr">
        <is>
          <t>BOLLEBYGD</t>
        </is>
      </c>
      <c r="G2411" t="n">
        <v>1.1</v>
      </c>
      <c r="H2411" t="n">
        <v>0</v>
      </c>
      <c r="I2411" t="n">
        <v>0</v>
      </c>
      <c r="J2411" t="n">
        <v>0</v>
      </c>
      <c r="K2411" t="n">
        <v>0</v>
      </c>
      <c r="L2411" t="n">
        <v>0</v>
      </c>
      <c r="M2411" t="n">
        <v>0</v>
      </c>
      <c r="N2411" t="n">
        <v>0</v>
      </c>
      <c r="O2411" t="n">
        <v>0</v>
      </c>
      <c r="P2411" t="n">
        <v>0</v>
      </c>
      <c r="Q2411" t="n">
        <v>0</v>
      </c>
      <c r="R2411" s="2" t="inlineStr"/>
    </row>
    <row r="2412" ht="15" customHeight="1">
      <c r="A2412" t="inlineStr">
        <is>
          <t>A 63880-2020</t>
        </is>
      </c>
      <c r="B2412" s="1" t="n">
        <v>44165</v>
      </c>
      <c r="C2412" s="1" t="n">
        <v>45952</v>
      </c>
      <c r="D2412" t="inlineStr">
        <is>
          <t>VÄSTRA GÖTALANDS LÄN</t>
        </is>
      </c>
      <c r="E2412" t="inlineStr">
        <is>
          <t>VARA</t>
        </is>
      </c>
      <c r="G2412" t="n">
        <v>1.9</v>
      </c>
      <c r="H2412" t="n">
        <v>0</v>
      </c>
      <c r="I2412" t="n">
        <v>0</v>
      </c>
      <c r="J2412" t="n">
        <v>0</v>
      </c>
      <c r="K2412" t="n">
        <v>0</v>
      </c>
      <c r="L2412" t="n">
        <v>0</v>
      </c>
      <c r="M2412" t="n">
        <v>0</v>
      </c>
      <c r="N2412" t="n">
        <v>0</v>
      </c>
      <c r="O2412" t="n">
        <v>0</v>
      </c>
      <c r="P2412" t="n">
        <v>0</v>
      </c>
      <c r="Q2412" t="n">
        <v>0</v>
      </c>
      <c r="R2412" s="2" t="inlineStr"/>
    </row>
    <row r="2413" ht="15" customHeight="1">
      <c r="A2413" t="inlineStr">
        <is>
          <t>A 21112-2021</t>
        </is>
      </c>
      <c r="B2413" s="1" t="n">
        <v>44319</v>
      </c>
      <c r="C2413" s="1" t="n">
        <v>45952</v>
      </c>
      <c r="D2413" t="inlineStr">
        <is>
          <t>VÄSTRA GÖTALANDS LÄN</t>
        </is>
      </c>
      <c r="E2413" t="inlineStr">
        <is>
          <t>TANUM</t>
        </is>
      </c>
      <c r="G2413" t="n">
        <v>0.7</v>
      </c>
      <c r="H2413" t="n">
        <v>0</v>
      </c>
      <c r="I2413" t="n">
        <v>0</v>
      </c>
      <c r="J2413" t="n">
        <v>0</v>
      </c>
      <c r="K2413" t="n">
        <v>0</v>
      </c>
      <c r="L2413" t="n">
        <v>0</v>
      </c>
      <c r="M2413" t="n">
        <v>0</v>
      </c>
      <c r="N2413" t="n">
        <v>0</v>
      </c>
      <c r="O2413" t="n">
        <v>0</v>
      </c>
      <c r="P2413" t="n">
        <v>0</v>
      </c>
      <c r="Q2413" t="n">
        <v>0</v>
      </c>
      <c r="R2413" s="2" t="inlineStr"/>
    </row>
    <row r="2414" ht="15" customHeight="1">
      <c r="A2414" t="inlineStr">
        <is>
          <t>A 8299-2021</t>
        </is>
      </c>
      <c r="B2414" s="1" t="n">
        <v>44243</v>
      </c>
      <c r="C2414" s="1" t="n">
        <v>45952</v>
      </c>
      <c r="D2414" t="inlineStr">
        <is>
          <t>VÄSTRA GÖTALANDS LÄN</t>
        </is>
      </c>
      <c r="E2414" t="inlineStr">
        <is>
          <t>GULLSPÅNG</t>
        </is>
      </c>
      <c r="G2414" t="n">
        <v>3.5</v>
      </c>
      <c r="H2414" t="n">
        <v>0</v>
      </c>
      <c r="I2414" t="n">
        <v>0</v>
      </c>
      <c r="J2414" t="n">
        <v>0</v>
      </c>
      <c r="K2414" t="n">
        <v>0</v>
      </c>
      <c r="L2414" t="n">
        <v>0</v>
      </c>
      <c r="M2414" t="n">
        <v>0</v>
      </c>
      <c r="N2414" t="n">
        <v>0</v>
      </c>
      <c r="O2414" t="n">
        <v>0</v>
      </c>
      <c r="P2414" t="n">
        <v>0</v>
      </c>
      <c r="Q2414" t="n">
        <v>0</v>
      </c>
      <c r="R2414" s="2" t="inlineStr"/>
    </row>
    <row r="2415" ht="15" customHeight="1">
      <c r="A2415" t="inlineStr">
        <is>
          <t>A 59004-2020</t>
        </is>
      </c>
      <c r="B2415" s="1" t="n">
        <v>44146</v>
      </c>
      <c r="C2415" s="1" t="n">
        <v>45952</v>
      </c>
      <c r="D2415" t="inlineStr">
        <is>
          <t>VÄSTRA GÖTALANDS LÄN</t>
        </is>
      </c>
      <c r="E2415" t="inlineStr">
        <is>
          <t>FALKÖPING</t>
        </is>
      </c>
      <c r="G2415" t="n">
        <v>0.5</v>
      </c>
      <c r="H2415" t="n">
        <v>0</v>
      </c>
      <c r="I2415" t="n">
        <v>0</v>
      </c>
      <c r="J2415" t="n">
        <v>0</v>
      </c>
      <c r="K2415" t="n">
        <v>0</v>
      </c>
      <c r="L2415" t="n">
        <v>0</v>
      </c>
      <c r="M2415" t="n">
        <v>0</v>
      </c>
      <c r="N2415" t="n">
        <v>0</v>
      </c>
      <c r="O2415" t="n">
        <v>0</v>
      </c>
      <c r="P2415" t="n">
        <v>0</v>
      </c>
      <c r="Q2415" t="n">
        <v>0</v>
      </c>
      <c r="R2415" s="2" t="inlineStr"/>
    </row>
    <row r="2416" ht="15" customHeight="1">
      <c r="A2416" t="inlineStr">
        <is>
          <t>A 20173-2021</t>
        </is>
      </c>
      <c r="B2416" s="1" t="n">
        <v>44314</v>
      </c>
      <c r="C2416" s="1" t="n">
        <v>45952</v>
      </c>
      <c r="D2416" t="inlineStr">
        <is>
          <t>VÄSTRA GÖTALANDS LÄN</t>
        </is>
      </c>
      <c r="E2416" t="inlineStr">
        <is>
          <t>TROLLHÄTTAN</t>
        </is>
      </c>
      <c r="G2416" t="n">
        <v>4.2</v>
      </c>
      <c r="H2416" t="n">
        <v>0</v>
      </c>
      <c r="I2416" t="n">
        <v>0</v>
      </c>
      <c r="J2416" t="n">
        <v>0</v>
      </c>
      <c r="K2416" t="n">
        <v>0</v>
      </c>
      <c r="L2416" t="n">
        <v>0</v>
      </c>
      <c r="M2416" t="n">
        <v>0</v>
      </c>
      <c r="N2416" t="n">
        <v>0</v>
      </c>
      <c r="O2416" t="n">
        <v>0</v>
      </c>
      <c r="P2416" t="n">
        <v>0</v>
      </c>
      <c r="Q2416" t="n">
        <v>0</v>
      </c>
      <c r="R2416" s="2" t="inlineStr"/>
    </row>
    <row r="2417" ht="15" customHeight="1">
      <c r="A2417" t="inlineStr">
        <is>
          <t>A 20973-2021</t>
        </is>
      </c>
      <c r="B2417" s="1" t="n">
        <v>44318</v>
      </c>
      <c r="C2417" s="1" t="n">
        <v>45952</v>
      </c>
      <c r="D2417" t="inlineStr">
        <is>
          <t>VÄSTRA GÖTALANDS LÄN</t>
        </is>
      </c>
      <c r="E2417" t="inlineStr">
        <is>
          <t>STRÖMSTAD</t>
        </is>
      </c>
      <c r="G2417" t="n">
        <v>1.2</v>
      </c>
      <c r="H2417" t="n">
        <v>0</v>
      </c>
      <c r="I2417" t="n">
        <v>0</v>
      </c>
      <c r="J2417" t="n">
        <v>0</v>
      </c>
      <c r="K2417" t="n">
        <v>0</v>
      </c>
      <c r="L2417" t="n">
        <v>0</v>
      </c>
      <c r="M2417" t="n">
        <v>0</v>
      </c>
      <c r="N2417" t="n">
        <v>0</v>
      </c>
      <c r="O2417" t="n">
        <v>0</v>
      </c>
      <c r="P2417" t="n">
        <v>0</v>
      </c>
      <c r="Q2417" t="n">
        <v>0</v>
      </c>
      <c r="R2417" s="2" t="inlineStr"/>
    </row>
    <row r="2418" ht="15" customHeight="1">
      <c r="A2418" t="inlineStr">
        <is>
          <t>A 20978-2021</t>
        </is>
      </c>
      <c r="B2418" s="1" t="n">
        <v>44318</v>
      </c>
      <c r="C2418" s="1" t="n">
        <v>45952</v>
      </c>
      <c r="D2418" t="inlineStr">
        <is>
          <t>VÄSTRA GÖTALANDS LÄN</t>
        </is>
      </c>
      <c r="E2418" t="inlineStr">
        <is>
          <t>TANUM</t>
        </is>
      </c>
      <c r="G2418" t="n">
        <v>0.6</v>
      </c>
      <c r="H2418" t="n">
        <v>0</v>
      </c>
      <c r="I2418" t="n">
        <v>0</v>
      </c>
      <c r="J2418" t="n">
        <v>0</v>
      </c>
      <c r="K2418" t="n">
        <v>0</v>
      </c>
      <c r="L2418" t="n">
        <v>0</v>
      </c>
      <c r="M2418" t="n">
        <v>0</v>
      </c>
      <c r="N2418" t="n">
        <v>0</v>
      </c>
      <c r="O2418" t="n">
        <v>0</v>
      </c>
      <c r="P2418" t="n">
        <v>0</v>
      </c>
      <c r="Q2418" t="n">
        <v>0</v>
      </c>
      <c r="R2418" s="2" t="inlineStr"/>
    </row>
    <row r="2419" ht="15" customHeight="1">
      <c r="A2419" t="inlineStr">
        <is>
          <t>A 57810-2020</t>
        </is>
      </c>
      <c r="B2419" s="1" t="n">
        <v>44141.40503472222</v>
      </c>
      <c r="C2419" s="1" t="n">
        <v>45952</v>
      </c>
      <c r="D2419" t="inlineStr">
        <is>
          <t>VÄSTRA GÖTALANDS LÄN</t>
        </is>
      </c>
      <c r="E2419" t="inlineStr">
        <is>
          <t>TANUM</t>
        </is>
      </c>
      <c r="G2419" t="n">
        <v>3</v>
      </c>
      <c r="H2419" t="n">
        <v>0</v>
      </c>
      <c r="I2419" t="n">
        <v>0</v>
      </c>
      <c r="J2419" t="n">
        <v>0</v>
      </c>
      <c r="K2419" t="n">
        <v>0</v>
      </c>
      <c r="L2419" t="n">
        <v>0</v>
      </c>
      <c r="M2419" t="n">
        <v>0</v>
      </c>
      <c r="N2419" t="n">
        <v>0</v>
      </c>
      <c r="O2419" t="n">
        <v>0</v>
      </c>
      <c r="P2419" t="n">
        <v>0</v>
      </c>
      <c r="Q2419" t="n">
        <v>0</v>
      </c>
      <c r="R2419" s="2" t="inlineStr"/>
    </row>
    <row r="2420" ht="15" customHeight="1">
      <c r="A2420" t="inlineStr">
        <is>
          <t>A 1017-2022</t>
        </is>
      </c>
      <c r="B2420" s="1" t="n">
        <v>44571.62260416667</v>
      </c>
      <c r="C2420" s="1" t="n">
        <v>45952</v>
      </c>
      <c r="D2420" t="inlineStr">
        <is>
          <t>VÄSTRA GÖTALANDS LÄN</t>
        </is>
      </c>
      <c r="E2420" t="inlineStr">
        <is>
          <t>MARK</t>
        </is>
      </c>
      <c r="G2420" t="n">
        <v>0.6</v>
      </c>
      <c r="H2420" t="n">
        <v>0</v>
      </c>
      <c r="I2420" t="n">
        <v>0</v>
      </c>
      <c r="J2420" t="n">
        <v>0</v>
      </c>
      <c r="K2420" t="n">
        <v>0</v>
      </c>
      <c r="L2420" t="n">
        <v>0</v>
      </c>
      <c r="M2420" t="n">
        <v>0</v>
      </c>
      <c r="N2420" t="n">
        <v>0</v>
      </c>
      <c r="O2420" t="n">
        <v>0</v>
      </c>
      <c r="P2420" t="n">
        <v>0</v>
      </c>
      <c r="Q2420" t="n">
        <v>0</v>
      </c>
      <c r="R2420" s="2" t="inlineStr"/>
    </row>
    <row r="2421" ht="15" customHeight="1">
      <c r="A2421" t="inlineStr">
        <is>
          <t>A 2799-2021</t>
        </is>
      </c>
      <c r="B2421" s="1" t="n">
        <v>44215</v>
      </c>
      <c r="C2421" s="1" t="n">
        <v>45952</v>
      </c>
      <c r="D2421" t="inlineStr">
        <is>
          <t>VÄSTRA GÖTALANDS LÄN</t>
        </is>
      </c>
      <c r="E2421" t="inlineStr">
        <is>
          <t>VARA</t>
        </is>
      </c>
      <c r="G2421" t="n">
        <v>0.6</v>
      </c>
      <c r="H2421" t="n">
        <v>0</v>
      </c>
      <c r="I2421" t="n">
        <v>0</v>
      </c>
      <c r="J2421" t="n">
        <v>0</v>
      </c>
      <c r="K2421" t="n">
        <v>0</v>
      </c>
      <c r="L2421" t="n">
        <v>0</v>
      </c>
      <c r="M2421" t="n">
        <v>0</v>
      </c>
      <c r="N2421" t="n">
        <v>0</v>
      </c>
      <c r="O2421" t="n">
        <v>0</v>
      </c>
      <c r="P2421" t="n">
        <v>0</v>
      </c>
      <c r="Q2421" t="n">
        <v>0</v>
      </c>
      <c r="R2421" s="2" t="inlineStr"/>
    </row>
    <row r="2422" ht="15" customHeight="1">
      <c r="A2422" t="inlineStr">
        <is>
          <t>A 66893-2021</t>
        </is>
      </c>
      <c r="B2422" s="1" t="n">
        <v>44522.49439814815</v>
      </c>
      <c r="C2422" s="1" t="n">
        <v>45952</v>
      </c>
      <c r="D2422" t="inlineStr">
        <is>
          <t>VÄSTRA GÖTALANDS LÄN</t>
        </is>
      </c>
      <c r="E2422" t="inlineStr">
        <is>
          <t>ALE</t>
        </is>
      </c>
      <c r="G2422" t="n">
        <v>1.4</v>
      </c>
      <c r="H2422" t="n">
        <v>0</v>
      </c>
      <c r="I2422" t="n">
        <v>0</v>
      </c>
      <c r="J2422" t="n">
        <v>0</v>
      </c>
      <c r="K2422" t="n">
        <v>0</v>
      </c>
      <c r="L2422" t="n">
        <v>0</v>
      </c>
      <c r="M2422" t="n">
        <v>0</v>
      </c>
      <c r="N2422" t="n">
        <v>0</v>
      </c>
      <c r="O2422" t="n">
        <v>0</v>
      </c>
      <c r="P2422" t="n">
        <v>0</v>
      </c>
      <c r="Q2422" t="n">
        <v>0</v>
      </c>
      <c r="R2422" s="2" t="inlineStr"/>
    </row>
    <row r="2423" ht="15" customHeight="1">
      <c r="A2423" t="inlineStr">
        <is>
          <t>A 5390-2021</t>
        </is>
      </c>
      <c r="B2423" s="1" t="n">
        <v>44229</v>
      </c>
      <c r="C2423" s="1" t="n">
        <v>45952</v>
      </c>
      <c r="D2423" t="inlineStr">
        <is>
          <t>VÄSTRA GÖTALANDS LÄN</t>
        </is>
      </c>
      <c r="E2423" t="inlineStr">
        <is>
          <t>TANUM</t>
        </is>
      </c>
      <c r="G2423" t="n">
        <v>1.4</v>
      </c>
      <c r="H2423" t="n">
        <v>0</v>
      </c>
      <c r="I2423" t="n">
        <v>0</v>
      </c>
      <c r="J2423" t="n">
        <v>0</v>
      </c>
      <c r="K2423" t="n">
        <v>0</v>
      </c>
      <c r="L2423" t="n">
        <v>0</v>
      </c>
      <c r="M2423" t="n">
        <v>0</v>
      </c>
      <c r="N2423" t="n">
        <v>0</v>
      </c>
      <c r="O2423" t="n">
        <v>0</v>
      </c>
      <c r="P2423" t="n">
        <v>0</v>
      </c>
      <c r="Q2423" t="n">
        <v>0</v>
      </c>
      <c r="R2423" s="2" t="inlineStr"/>
    </row>
    <row r="2424" ht="15" customHeight="1">
      <c r="A2424" t="inlineStr">
        <is>
          <t>A 26600-2021</t>
        </is>
      </c>
      <c r="B2424" s="1" t="n">
        <v>44348.61502314815</v>
      </c>
      <c r="C2424" s="1" t="n">
        <v>45952</v>
      </c>
      <c r="D2424" t="inlineStr">
        <is>
          <t>VÄSTRA GÖTALANDS LÄN</t>
        </is>
      </c>
      <c r="E2424" t="inlineStr">
        <is>
          <t>MARK</t>
        </is>
      </c>
      <c r="G2424" t="n">
        <v>0.8</v>
      </c>
      <c r="H2424" t="n">
        <v>0</v>
      </c>
      <c r="I2424" t="n">
        <v>0</v>
      </c>
      <c r="J2424" t="n">
        <v>0</v>
      </c>
      <c r="K2424" t="n">
        <v>0</v>
      </c>
      <c r="L2424" t="n">
        <v>0</v>
      </c>
      <c r="M2424" t="n">
        <v>0</v>
      </c>
      <c r="N2424" t="n">
        <v>0</v>
      </c>
      <c r="O2424" t="n">
        <v>0</v>
      </c>
      <c r="P2424" t="n">
        <v>0</v>
      </c>
      <c r="Q2424" t="n">
        <v>0</v>
      </c>
      <c r="R2424" s="2" t="inlineStr"/>
    </row>
    <row r="2425" ht="15" customHeight="1">
      <c r="A2425" t="inlineStr">
        <is>
          <t>A 26623-2021</t>
        </is>
      </c>
      <c r="B2425" s="1" t="n">
        <v>44348.65982638889</v>
      </c>
      <c r="C2425" s="1" t="n">
        <v>45952</v>
      </c>
      <c r="D2425" t="inlineStr">
        <is>
          <t>VÄSTRA GÖTALANDS LÄN</t>
        </is>
      </c>
      <c r="E2425" t="inlineStr">
        <is>
          <t>ESSUNGA</t>
        </is>
      </c>
      <c r="G2425" t="n">
        <v>0.7</v>
      </c>
      <c r="H2425" t="n">
        <v>0</v>
      </c>
      <c r="I2425" t="n">
        <v>0</v>
      </c>
      <c r="J2425" t="n">
        <v>0</v>
      </c>
      <c r="K2425" t="n">
        <v>0</v>
      </c>
      <c r="L2425" t="n">
        <v>0</v>
      </c>
      <c r="M2425" t="n">
        <v>0</v>
      </c>
      <c r="N2425" t="n">
        <v>0</v>
      </c>
      <c r="O2425" t="n">
        <v>0</v>
      </c>
      <c r="P2425" t="n">
        <v>0</v>
      </c>
      <c r="Q2425" t="n">
        <v>0</v>
      </c>
      <c r="R2425" s="2" t="inlineStr"/>
    </row>
    <row r="2426" ht="15" customHeight="1">
      <c r="A2426" t="inlineStr">
        <is>
          <t>A 5430-2021</t>
        </is>
      </c>
      <c r="B2426" s="1" t="n">
        <v>44229</v>
      </c>
      <c r="C2426" s="1" t="n">
        <v>45952</v>
      </c>
      <c r="D2426" t="inlineStr">
        <is>
          <t>VÄSTRA GÖTALANDS LÄN</t>
        </is>
      </c>
      <c r="E2426" t="inlineStr">
        <is>
          <t>ULRICEHAMN</t>
        </is>
      </c>
      <c r="G2426" t="n">
        <v>0.2</v>
      </c>
      <c r="H2426" t="n">
        <v>0</v>
      </c>
      <c r="I2426" t="n">
        <v>0</v>
      </c>
      <c r="J2426" t="n">
        <v>0</v>
      </c>
      <c r="K2426" t="n">
        <v>0</v>
      </c>
      <c r="L2426" t="n">
        <v>0</v>
      </c>
      <c r="M2426" t="n">
        <v>0</v>
      </c>
      <c r="N2426" t="n">
        <v>0</v>
      </c>
      <c r="O2426" t="n">
        <v>0</v>
      </c>
      <c r="P2426" t="n">
        <v>0</v>
      </c>
      <c r="Q2426" t="n">
        <v>0</v>
      </c>
      <c r="R2426" s="2" t="inlineStr"/>
    </row>
    <row r="2427" ht="15" customHeight="1">
      <c r="A2427" t="inlineStr">
        <is>
          <t>A 25863-2021</t>
        </is>
      </c>
      <c r="B2427" s="1" t="n">
        <v>44343</v>
      </c>
      <c r="C2427" s="1" t="n">
        <v>45952</v>
      </c>
      <c r="D2427" t="inlineStr">
        <is>
          <t>VÄSTRA GÖTALANDS LÄN</t>
        </is>
      </c>
      <c r="E2427" t="inlineStr">
        <is>
          <t>VARA</t>
        </is>
      </c>
      <c r="G2427" t="n">
        <v>2.7</v>
      </c>
      <c r="H2427" t="n">
        <v>0</v>
      </c>
      <c r="I2427" t="n">
        <v>0</v>
      </c>
      <c r="J2427" t="n">
        <v>0</v>
      </c>
      <c r="K2427" t="n">
        <v>0</v>
      </c>
      <c r="L2427" t="n">
        <v>0</v>
      </c>
      <c r="M2427" t="n">
        <v>0</v>
      </c>
      <c r="N2427" t="n">
        <v>0</v>
      </c>
      <c r="O2427" t="n">
        <v>0</v>
      </c>
      <c r="P2427" t="n">
        <v>0</v>
      </c>
      <c r="Q2427" t="n">
        <v>0</v>
      </c>
      <c r="R2427" s="2" t="inlineStr"/>
    </row>
    <row r="2428" ht="15" customHeight="1">
      <c r="A2428" t="inlineStr">
        <is>
          <t>A 40954-2021</t>
        </is>
      </c>
      <c r="B2428" s="1" t="n">
        <v>44421.56896990741</v>
      </c>
      <c r="C2428" s="1" t="n">
        <v>45952</v>
      </c>
      <c r="D2428" t="inlineStr">
        <is>
          <t>VÄSTRA GÖTALANDS LÄN</t>
        </is>
      </c>
      <c r="E2428" t="inlineStr">
        <is>
          <t>BENGTSFORS</t>
        </is>
      </c>
      <c r="G2428" t="n">
        <v>1.3</v>
      </c>
      <c r="H2428" t="n">
        <v>0</v>
      </c>
      <c r="I2428" t="n">
        <v>0</v>
      </c>
      <c r="J2428" t="n">
        <v>0</v>
      </c>
      <c r="K2428" t="n">
        <v>0</v>
      </c>
      <c r="L2428" t="n">
        <v>0</v>
      </c>
      <c r="M2428" t="n">
        <v>0</v>
      </c>
      <c r="N2428" t="n">
        <v>0</v>
      </c>
      <c r="O2428" t="n">
        <v>0</v>
      </c>
      <c r="P2428" t="n">
        <v>0</v>
      </c>
      <c r="Q2428" t="n">
        <v>0</v>
      </c>
      <c r="R2428" s="2" t="inlineStr"/>
    </row>
    <row r="2429" ht="15" customHeight="1">
      <c r="A2429" t="inlineStr">
        <is>
          <t>A 54857-2020</t>
        </is>
      </c>
      <c r="B2429" s="1" t="n">
        <v>44126</v>
      </c>
      <c r="C2429" s="1" t="n">
        <v>45952</v>
      </c>
      <c r="D2429" t="inlineStr">
        <is>
          <t>VÄSTRA GÖTALANDS LÄN</t>
        </is>
      </c>
      <c r="E2429" t="inlineStr">
        <is>
          <t>GULLSPÅNG</t>
        </is>
      </c>
      <c r="G2429" t="n">
        <v>0.7</v>
      </c>
      <c r="H2429" t="n">
        <v>0</v>
      </c>
      <c r="I2429" t="n">
        <v>0</v>
      </c>
      <c r="J2429" t="n">
        <v>0</v>
      </c>
      <c r="K2429" t="n">
        <v>0</v>
      </c>
      <c r="L2429" t="n">
        <v>0</v>
      </c>
      <c r="M2429" t="n">
        <v>0</v>
      </c>
      <c r="N2429" t="n">
        <v>0</v>
      </c>
      <c r="O2429" t="n">
        <v>0</v>
      </c>
      <c r="P2429" t="n">
        <v>0</v>
      </c>
      <c r="Q2429" t="n">
        <v>0</v>
      </c>
      <c r="R2429" s="2" t="inlineStr"/>
    </row>
    <row r="2430" ht="15" customHeight="1">
      <c r="A2430" t="inlineStr">
        <is>
          <t>A 69579-2020</t>
        </is>
      </c>
      <c r="B2430" s="1" t="n">
        <v>44195</v>
      </c>
      <c r="C2430" s="1" t="n">
        <v>45952</v>
      </c>
      <c r="D2430" t="inlineStr">
        <is>
          <t>VÄSTRA GÖTALANDS LÄN</t>
        </is>
      </c>
      <c r="E2430" t="inlineStr">
        <is>
          <t>VÄNERSBORG</t>
        </is>
      </c>
      <c r="G2430" t="n">
        <v>1.2</v>
      </c>
      <c r="H2430" t="n">
        <v>0</v>
      </c>
      <c r="I2430" t="n">
        <v>0</v>
      </c>
      <c r="J2430" t="n">
        <v>0</v>
      </c>
      <c r="K2430" t="n">
        <v>0</v>
      </c>
      <c r="L2430" t="n">
        <v>0</v>
      </c>
      <c r="M2430" t="n">
        <v>0</v>
      </c>
      <c r="N2430" t="n">
        <v>0</v>
      </c>
      <c r="O2430" t="n">
        <v>0</v>
      </c>
      <c r="P2430" t="n">
        <v>0</v>
      </c>
      <c r="Q2430" t="n">
        <v>0</v>
      </c>
      <c r="R2430" s="2" t="inlineStr"/>
    </row>
    <row r="2431" ht="15" customHeight="1">
      <c r="A2431" t="inlineStr">
        <is>
          <t>A 64547-2020</t>
        </is>
      </c>
      <c r="B2431" s="1" t="n">
        <v>44169</v>
      </c>
      <c r="C2431" s="1" t="n">
        <v>45952</v>
      </c>
      <c r="D2431" t="inlineStr">
        <is>
          <t>VÄSTRA GÖTALANDS LÄN</t>
        </is>
      </c>
      <c r="E2431" t="inlineStr">
        <is>
          <t>SKÖVDE</t>
        </is>
      </c>
      <c r="G2431" t="n">
        <v>0.5</v>
      </c>
      <c r="H2431" t="n">
        <v>0</v>
      </c>
      <c r="I2431" t="n">
        <v>0</v>
      </c>
      <c r="J2431" t="n">
        <v>0</v>
      </c>
      <c r="K2431" t="n">
        <v>0</v>
      </c>
      <c r="L2431" t="n">
        <v>0</v>
      </c>
      <c r="M2431" t="n">
        <v>0</v>
      </c>
      <c r="N2431" t="n">
        <v>0</v>
      </c>
      <c r="O2431" t="n">
        <v>0</v>
      </c>
      <c r="P2431" t="n">
        <v>0</v>
      </c>
      <c r="Q2431" t="n">
        <v>0</v>
      </c>
      <c r="R2431" s="2" t="inlineStr"/>
    </row>
    <row r="2432" ht="15" customHeight="1">
      <c r="A2432" t="inlineStr">
        <is>
          <t>A 796-2021</t>
        </is>
      </c>
      <c r="B2432" s="1" t="n">
        <v>44204</v>
      </c>
      <c r="C2432" s="1" t="n">
        <v>45952</v>
      </c>
      <c r="D2432" t="inlineStr">
        <is>
          <t>VÄSTRA GÖTALANDS LÄN</t>
        </is>
      </c>
      <c r="E2432" t="inlineStr">
        <is>
          <t>UDDEVALLA</t>
        </is>
      </c>
      <c r="G2432" t="n">
        <v>1.1</v>
      </c>
      <c r="H2432" t="n">
        <v>0</v>
      </c>
      <c r="I2432" t="n">
        <v>0</v>
      </c>
      <c r="J2432" t="n">
        <v>0</v>
      </c>
      <c r="K2432" t="n">
        <v>0</v>
      </c>
      <c r="L2432" t="n">
        <v>0</v>
      </c>
      <c r="M2432" t="n">
        <v>0</v>
      </c>
      <c r="N2432" t="n">
        <v>0</v>
      </c>
      <c r="O2432" t="n">
        <v>0</v>
      </c>
      <c r="P2432" t="n">
        <v>0</v>
      </c>
      <c r="Q2432" t="n">
        <v>0</v>
      </c>
      <c r="R2432" s="2" t="inlineStr"/>
    </row>
    <row r="2433" ht="15" customHeight="1">
      <c r="A2433" t="inlineStr">
        <is>
          <t>A 28375-2021</t>
        </is>
      </c>
      <c r="B2433" s="1" t="n">
        <v>44356</v>
      </c>
      <c r="C2433" s="1" t="n">
        <v>45952</v>
      </c>
      <c r="D2433" t="inlineStr">
        <is>
          <t>VÄSTRA GÖTALANDS LÄN</t>
        </is>
      </c>
      <c r="E2433" t="inlineStr">
        <is>
          <t>MUNKEDAL</t>
        </is>
      </c>
      <c r="G2433" t="n">
        <v>2.2</v>
      </c>
      <c r="H2433" t="n">
        <v>0</v>
      </c>
      <c r="I2433" t="n">
        <v>0</v>
      </c>
      <c r="J2433" t="n">
        <v>0</v>
      </c>
      <c r="K2433" t="n">
        <v>0</v>
      </c>
      <c r="L2433" t="n">
        <v>0</v>
      </c>
      <c r="M2433" t="n">
        <v>0</v>
      </c>
      <c r="N2433" t="n">
        <v>0</v>
      </c>
      <c r="O2433" t="n">
        <v>0</v>
      </c>
      <c r="P2433" t="n">
        <v>0</v>
      </c>
      <c r="Q2433" t="n">
        <v>0</v>
      </c>
      <c r="R2433" s="2" t="inlineStr"/>
    </row>
    <row r="2434" ht="15" customHeight="1">
      <c r="A2434" t="inlineStr">
        <is>
          <t>A 27546-2021</t>
        </is>
      </c>
      <c r="B2434" s="1" t="n">
        <v>44351</v>
      </c>
      <c r="C2434" s="1" t="n">
        <v>45952</v>
      </c>
      <c r="D2434" t="inlineStr">
        <is>
          <t>VÄSTRA GÖTALANDS LÄN</t>
        </is>
      </c>
      <c r="E2434" t="inlineStr">
        <is>
          <t>HÄRRYDA</t>
        </is>
      </c>
      <c r="G2434" t="n">
        <v>2.3</v>
      </c>
      <c r="H2434" t="n">
        <v>0</v>
      </c>
      <c r="I2434" t="n">
        <v>0</v>
      </c>
      <c r="J2434" t="n">
        <v>0</v>
      </c>
      <c r="K2434" t="n">
        <v>0</v>
      </c>
      <c r="L2434" t="n">
        <v>0</v>
      </c>
      <c r="M2434" t="n">
        <v>0</v>
      </c>
      <c r="N2434" t="n">
        <v>0</v>
      </c>
      <c r="O2434" t="n">
        <v>0</v>
      </c>
      <c r="P2434" t="n">
        <v>0</v>
      </c>
      <c r="Q2434" t="n">
        <v>0</v>
      </c>
      <c r="R2434" s="2" t="inlineStr"/>
    </row>
    <row r="2435" ht="15" customHeight="1">
      <c r="A2435" t="inlineStr">
        <is>
          <t>A 68818-2020</t>
        </is>
      </c>
      <c r="B2435" s="1" t="n">
        <v>44186</v>
      </c>
      <c r="C2435" s="1" t="n">
        <v>45952</v>
      </c>
      <c r="D2435" t="inlineStr">
        <is>
          <t>VÄSTRA GÖTALANDS LÄN</t>
        </is>
      </c>
      <c r="E2435" t="inlineStr">
        <is>
          <t>MELLERUD</t>
        </is>
      </c>
      <c r="G2435" t="n">
        <v>13.3</v>
      </c>
      <c r="H2435" t="n">
        <v>0</v>
      </c>
      <c r="I2435" t="n">
        <v>0</v>
      </c>
      <c r="J2435" t="n">
        <v>0</v>
      </c>
      <c r="K2435" t="n">
        <v>0</v>
      </c>
      <c r="L2435" t="n">
        <v>0</v>
      </c>
      <c r="M2435" t="n">
        <v>0</v>
      </c>
      <c r="N2435" t="n">
        <v>0</v>
      </c>
      <c r="O2435" t="n">
        <v>0</v>
      </c>
      <c r="P2435" t="n">
        <v>0</v>
      </c>
      <c r="Q2435" t="n">
        <v>0</v>
      </c>
      <c r="R2435" s="2" t="inlineStr"/>
    </row>
    <row r="2436" ht="15" customHeight="1">
      <c r="A2436" t="inlineStr">
        <is>
          <t>A 54470-2020</t>
        </is>
      </c>
      <c r="B2436" s="1" t="n">
        <v>44126</v>
      </c>
      <c r="C2436" s="1" t="n">
        <v>45952</v>
      </c>
      <c r="D2436" t="inlineStr">
        <is>
          <t>VÄSTRA GÖTALANDS LÄN</t>
        </is>
      </c>
      <c r="E2436" t="inlineStr">
        <is>
          <t>TIBRO</t>
        </is>
      </c>
      <c r="G2436" t="n">
        <v>7.7</v>
      </c>
      <c r="H2436" t="n">
        <v>0</v>
      </c>
      <c r="I2436" t="n">
        <v>0</v>
      </c>
      <c r="J2436" t="n">
        <v>0</v>
      </c>
      <c r="K2436" t="n">
        <v>0</v>
      </c>
      <c r="L2436" t="n">
        <v>0</v>
      </c>
      <c r="M2436" t="n">
        <v>0</v>
      </c>
      <c r="N2436" t="n">
        <v>0</v>
      </c>
      <c r="O2436" t="n">
        <v>0</v>
      </c>
      <c r="P2436" t="n">
        <v>0</v>
      </c>
      <c r="Q2436" t="n">
        <v>0</v>
      </c>
      <c r="R2436" s="2" t="inlineStr"/>
    </row>
    <row r="2437" ht="15" customHeight="1">
      <c r="A2437" t="inlineStr">
        <is>
          <t>A 68347-2020</t>
        </is>
      </c>
      <c r="B2437" s="1" t="n">
        <v>44182</v>
      </c>
      <c r="C2437" s="1" t="n">
        <v>45952</v>
      </c>
      <c r="D2437" t="inlineStr">
        <is>
          <t>VÄSTRA GÖTALANDS LÄN</t>
        </is>
      </c>
      <c r="E2437" t="inlineStr">
        <is>
          <t>DALS-ED</t>
        </is>
      </c>
      <c r="F2437" t="inlineStr">
        <is>
          <t>Kyrkan</t>
        </is>
      </c>
      <c r="G2437" t="n">
        <v>0.5</v>
      </c>
      <c r="H2437" t="n">
        <v>0</v>
      </c>
      <c r="I2437" t="n">
        <v>0</v>
      </c>
      <c r="J2437" t="n">
        <v>0</v>
      </c>
      <c r="K2437" t="n">
        <v>0</v>
      </c>
      <c r="L2437" t="n">
        <v>0</v>
      </c>
      <c r="M2437" t="n">
        <v>0</v>
      </c>
      <c r="N2437" t="n">
        <v>0</v>
      </c>
      <c r="O2437" t="n">
        <v>0</v>
      </c>
      <c r="P2437" t="n">
        <v>0</v>
      </c>
      <c r="Q2437" t="n">
        <v>0</v>
      </c>
      <c r="R2437" s="2" t="inlineStr"/>
    </row>
    <row r="2438" ht="15" customHeight="1">
      <c r="A2438" t="inlineStr">
        <is>
          <t>A 52307-2022</t>
        </is>
      </c>
      <c r="B2438" s="1" t="n">
        <v>44873</v>
      </c>
      <c r="C2438" s="1" t="n">
        <v>45952</v>
      </c>
      <c r="D2438" t="inlineStr">
        <is>
          <t>VÄSTRA GÖTALANDS LÄN</t>
        </is>
      </c>
      <c r="E2438" t="inlineStr">
        <is>
          <t>BORÅS</t>
        </is>
      </c>
      <c r="G2438" t="n">
        <v>0.7</v>
      </c>
      <c r="H2438" t="n">
        <v>0</v>
      </c>
      <c r="I2438" t="n">
        <v>0</v>
      </c>
      <c r="J2438" t="n">
        <v>0</v>
      </c>
      <c r="K2438" t="n">
        <v>0</v>
      </c>
      <c r="L2438" t="n">
        <v>0</v>
      </c>
      <c r="M2438" t="n">
        <v>0</v>
      </c>
      <c r="N2438" t="n">
        <v>0</v>
      </c>
      <c r="O2438" t="n">
        <v>0</v>
      </c>
      <c r="P2438" t="n">
        <v>0</v>
      </c>
      <c r="Q2438" t="n">
        <v>0</v>
      </c>
      <c r="R2438" s="2" t="inlineStr"/>
    </row>
    <row r="2439" ht="15" customHeight="1">
      <c r="A2439" t="inlineStr">
        <is>
          <t>A 36741-2021</t>
        </is>
      </c>
      <c r="B2439" s="1" t="n">
        <v>44392</v>
      </c>
      <c r="C2439" s="1" t="n">
        <v>45952</v>
      </c>
      <c r="D2439" t="inlineStr">
        <is>
          <t>VÄSTRA GÖTALANDS LÄN</t>
        </is>
      </c>
      <c r="E2439" t="inlineStr">
        <is>
          <t>HÄRRYDA</t>
        </is>
      </c>
      <c r="G2439" t="n">
        <v>1.7</v>
      </c>
      <c r="H2439" t="n">
        <v>0</v>
      </c>
      <c r="I2439" t="n">
        <v>0</v>
      </c>
      <c r="J2439" t="n">
        <v>0</v>
      </c>
      <c r="K2439" t="n">
        <v>0</v>
      </c>
      <c r="L2439" t="n">
        <v>0</v>
      </c>
      <c r="M2439" t="n">
        <v>0</v>
      </c>
      <c r="N2439" t="n">
        <v>0</v>
      </c>
      <c r="O2439" t="n">
        <v>0</v>
      </c>
      <c r="P2439" t="n">
        <v>0</v>
      </c>
      <c r="Q2439" t="n">
        <v>0</v>
      </c>
      <c r="R2439" s="2" t="inlineStr"/>
    </row>
    <row r="2440" ht="15" customHeight="1">
      <c r="A2440" t="inlineStr">
        <is>
          <t>A 54856-2021</t>
        </is>
      </c>
      <c r="B2440" s="1" t="n">
        <v>44474.32905092592</v>
      </c>
      <c r="C2440" s="1" t="n">
        <v>45952</v>
      </c>
      <c r="D2440" t="inlineStr">
        <is>
          <t>VÄSTRA GÖTALANDS LÄN</t>
        </is>
      </c>
      <c r="E2440" t="inlineStr">
        <is>
          <t>TIDAHOLM</t>
        </is>
      </c>
      <c r="G2440" t="n">
        <v>3</v>
      </c>
      <c r="H2440" t="n">
        <v>0</v>
      </c>
      <c r="I2440" t="n">
        <v>0</v>
      </c>
      <c r="J2440" t="n">
        <v>0</v>
      </c>
      <c r="K2440" t="n">
        <v>0</v>
      </c>
      <c r="L2440" t="n">
        <v>0</v>
      </c>
      <c r="M2440" t="n">
        <v>0</v>
      </c>
      <c r="N2440" t="n">
        <v>0</v>
      </c>
      <c r="O2440" t="n">
        <v>0</v>
      </c>
      <c r="P2440" t="n">
        <v>0</v>
      </c>
      <c r="Q2440" t="n">
        <v>0</v>
      </c>
      <c r="R2440" s="2" t="inlineStr"/>
    </row>
    <row r="2441" ht="15" customHeight="1">
      <c r="A2441" t="inlineStr">
        <is>
          <t>A 5174-2022</t>
        </is>
      </c>
      <c r="B2441" s="1" t="n">
        <v>44594</v>
      </c>
      <c r="C2441" s="1" t="n">
        <v>45952</v>
      </c>
      <c r="D2441" t="inlineStr">
        <is>
          <t>VÄSTRA GÖTALANDS LÄN</t>
        </is>
      </c>
      <c r="E2441" t="inlineStr">
        <is>
          <t>VARA</t>
        </is>
      </c>
      <c r="G2441" t="n">
        <v>1.9</v>
      </c>
      <c r="H2441" t="n">
        <v>0</v>
      </c>
      <c r="I2441" t="n">
        <v>0</v>
      </c>
      <c r="J2441" t="n">
        <v>0</v>
      </c>
      <c r="K2441" t="n">
        <v>0</v>
      </c>
      <c r="L2441" t="n">
        <v>0</v>
      </c>
      <c r="M2441" t="n">
        <v>0</v>
      </c>
      <c r="N2441" t="n">
        <v>0</v>
      </c>
      <c r="O2441" t="n">
        <v>0</v>
      </c>
      <c r="P2441" t="n">
        <v>0</v>
      </c>
      <c r="Q2441" t="n">
        <v>0</v>
      </c>
      <c r="R2441" s="2" t="inlineStr"/>
    </row>
    <row r="2442" ht="15" customHeight="1">
      <c r="A2442" t="inlineStr">
        <is>
          <t>A 69101-2021</t>
        </is>
      </c>
      <c r="B2442" s="1" t="n">
        <v>44530.70151620371</v>
      </c>
      <c r="C2442" s="1" t="n">
        <v>45952</v>
      </c>
      <c r="D2442" t="inlineStr">
        <is>
          <t>VÄSTRA GÖTALANDS LÄN</t>
        </is>
      </c>
      <c r="E2442" t="inlineStr">
        <is>
          <t>SVENLJUNGA</t>
        </is>
      </c>
      <c r="F2442" t="inlineStr">
        <is>
          <t>Kommuner</t>
        </is>
      </c>
      <c r="G2442" t="n">
        <v>1</v>
      </c>
      <c r="H2442" t="n">
        <v>0</v>
      </c>
      <c r="I2442" t="n">
        <v>0</v>
      </c>
      <c r="J2442" t="n">
        <v>0</v>
      </c>
      <c r="K2442" t="n">
        <v>0</v>
      </c>
      <c r="L2442" t="n">
        <v>0</v>
      </c>
      <c r="M2442" t="n">
        <v>0</v>
      </c>
      <c r="N2442" t="n">
        <v>0</v>
      </c>
      <c r="O2442" t="n">
        <v>0</v>
      </c>
      <c r="P2442" t="n">
        <v>0</v>
      </c>
      <c r="Q2442" t="n">
        <v>0</v>
      </c>
      <c r="R2442" s="2" t="inlineStr"/>
    </row>
    <row r="2443" ht="15" customHeight="1">
      <c r="A2443" t="inlineStr">
        <is>
          <t>A 12881-2021</t>
        </is>
      </c>
      <c r="B2443" s="1" t="n">
        <v>44271</v>
      </c>
      <c r="C2443" s="1" t="n">
        <v>45952</v>
      </c>
      <c r="D2443" t="inlineStr">
        <is>
          <t>VÄSTRA GÖTALANDS LÄN</t>
        </is>
      </c>
      <c r="E2443" t="inlineStr">
        <is>
          <t>MARK</t>
        </is>
      </c>
      <c r="F2443" t="inlineStr">
        <is>
          <t>Kommuner</t>
        </is>
      </c>
      <c r="G2443" t="n">
        <v>0.3</v>
      </c>
      <c r="H2443" t="n">
        <v>0</v>
      </c>
      <c r="I2443" t="n">
        <v>0</v>
      </c>
      <c r="J2443" t="n">
        <v>0</v>
      </c>
      <c r="K2443" t="n">
        <v>0</v>
      </c>
      <c r="L2443" t="n">
        <v>0</v>
      </c>
      <c r="M2443" t="n">
        <v>0</v>
      </c>
      <c r="N2443" t="n">
        <v>0</v>
      </c>
      <c r="O2443" t="n">
        <v>0</v>
      </c>
      <c r="P2443" t="n">
        <v>0</v>
      </c>
      <c r="Q2443" t="n">
        <v>0</v>
      </c>
      <c r="R2443" s="2" t="inlineStr"/>
    </row>
    <row r="2444" ht="15" customHeight="1">
      <c r="A2444" t="inlineStr">
        <is>
          <t>A 18510-2022</t>
        </is>
      </c>
      <c r="B2444" s="1" t="n">
        <v>44686</v>
      </c>
      <c r="C2444" s="1" t="n">
        <v>45952</v>
      </c>
      <c r="D2444" t="inlineStr">
        <is>
          <t>VÄSTRA GÖTALANDS LÄN</t>
        </is>
      </c>
      <c r="E2444" t="inlineStr">
        <is>
          <t>ESSUNGA</t>
        </is>
      </c>
      <c r="F2444" t="inlineStr">
        <is>
          <t>Allmännings- och besparingsskogar</t>
        </is>
      </c>
      <c r="G2444" t="n">
        <v>2.3</v>
      </c>
      <c r="H2444" t="n">
        <v>0</v>
      </c>
      <c r="I2444" t="n">
        <v>0</v>
      </c>
      <c r="J2444" t="n">
        <v>0</v>
      </c>
      <c r="K2444" t="n">
        <v>0</v>
      </c>
      <c r="L2444" t="n">
        <v>0</v>
      </c>
      <c r="M2444" t="n">
        <v>0</v>
      </c>
      <c r="N2444" t="n">
        <v>0</v>
      </c>
      <c r="O2444" t="n">
        <v>0</v>
      </c>
      <c r="P2444" t="n">
        <v>0</v>
      </c>
      <c r="Q2444" t="n">
        <v>0</v>
      </c>
      <c r="R2444" s="2" t="inlineStr"/>
    </row>
    <row r="2445" ht="15" customHeight="1">
      <c r="A2445" t="inlineStr">
        <is>
          <t>A 69410-2020</t>
        </is>
      </c>
      <c r="B2445" s="1" t="n">
        <v>44193</v>
      </c>
      <c r="C2445" s="1" t="n">
        <v>45952</v>
      </c>
      <c r="D2445" t="inlineStr">
        <is>
          <t>VÄSTRA GÖTALANDS LÄN</t>
        </is>
      </c>
      <c r="E2445" t="inlineStr">
        <is>
          <t>ÅMÅL</t>
        </is>
      </c>
      <c r="G2445" t="n">
        <v>3.9</v>
      </c>
      <c r="H2445" t="n">
        <v>0</v>
      </c>
      <c r="I2445" t="n">
        <v>0</v>
      </c>
      <c r="J2445" t="n">
        <v>0</v>
      </c>
      <c r="K2445" t="n">
        <v>0</v>
      </c>
      <c r="L2445" t="n">
        <v>0</v>
      </c>
      <c r="M2445" t="n">
        <v>0</v>
      </c>
      <c r="N2445" t="n">
        <v>0</v>
      </c>
      <c r="O2445" t="n">
        <v>0</v>
      </c>
      <c r="P2445" t="n">
        <v>0</v>
      </c>
      <c r="Q2445" t="n">
        <v>0</v>
      </c>
      <c r="R2445" s="2" t="inlineStr"/>
    </row>
    <row r="2446" ht="15" customHeight="1">
      <c r="A2446" t="inlineStr">
        <is>
          <t>A 7832-2021</t>
        </is>
      </c>
      <c r="B2446" s="1" t="n">
        <v>44242</v>
      </c>
      <c r="C2446" s="1" t="n">
        <v>45952</v>
      </c>
      <c r="D2446" t="inlineStr">
        <is>
          <t>VÄSTRA GÖTALANDS LÄN</t>
        </is>
      </c>
      <c r="E2446" t="inlineStr">
        <is>
          <t>LILLA EDET</t>
        </is>
      </c>
      <c r="G2446" t="n">
        <v>3.5</v>
      </c>
      <c r="H2446" t="n">
        <v>0</v>
      </c>
      <c r="I2446" t="n">
        <v>0</v>
      </c>
      <c r="J2446" t="n">
        <v>0</v>
      </c>
      <c r="K2446" t="n">
        <v>0</v>
      </c>
      <c r="L2446" t="n">
        <v>0</v>
      </c>
      <c r="M2446" t="n">
        <v>0</v>
      </c>
      <c r="N2446" t="n">
        <v>0</v>
      </c>
      <c r="O2446" t="n">
        <v>0</v>
      </c>
      <c r="P2446" t="n">
        <v>0</v>
      </c>
      <c r="Q2446" t="n">
        <v>0</v>
      </c>
      <c r="R2446" s="2" t="inlineStr"/>
    </row>
    <row r="2447" ht="15" customHeight="1">
      <c r="A2447" t="inlineStr">
        <is>
          <t>A 1849-2021</t>
        </is>
      </c>
      <c r="B2447" s="1" t="n">
        <v>44210</v>
      </c>
      <c r="C2447" s="1" t="n">
        <v>45952</v>
      </c>
      <c r="D2447" t="inlineStr">
        <is>
          <t>VÄSTRA GÖTALANDS LÄN</t>
        </is>
      </c>
      <c r="E2447" t="inlineStr">
        <is>
          <t>TJÖRN</t>
        </is>
      </c>
      <c r="G2447" t="n">
        <v>1.7</v>
      </c>
      <c r="H2447" t="n">
        <v>0</v>
      </c>
      <c r="I2447" t="n">
        <v>0</v>
      </c>
      <c r="J2447" t="n">
        <v>0</v>
      </c>
      <c r="K2447" t="n">
        <v>0</v>
      </c>
      <c r="L2447" t="n">
        <v>0</v>
      </c>
      <c r="M2447" t="n">
        <v>0</v>
      </c>
      <c r="N2447" t="n">
        <v>0</v>
      </c>
      <c r="O2447" t="n">
        <v>0</v>
      </c>
      <c r="P2447" t="n">
        <v>0</v>
      </c>
      <c r="Q2447" t="n">
        <v>0</v>
      </c>
      <c r="R2447" s="2" t="inlineStr"/>
    </row>
    <row r="2448" ht="15" customHeight="1">
      <c r="A2448" t="inlineStr">
        <is>
          <t>A 5483-2021</t>
        </is>
      </c>
      <c r="B2448" s="1" t="n">
        <v>44230</v>
      </c>
      <c r="C2448" s="1" t="n">
        <v>45952</v>
      </c>
      <c r="D2448" t="inlineStr">
        <is>
          <t>VÄSTRA GÖTALANDS LÄN</t>
        </is>
      </c>
      <c r="E2448" t="inlineStr">
        <is>
          <t>UDDEVALLA</t>
        </is>
      </c>
      <c r="G2448" t="n">
        <v>0.9</v>
      </c>
      <c r="H2448" t="n">
        <v>0</v>
      </c>
      <c r="I2448" t="n">
        <v>0</v>
      </c>
      <c r="J2448" t="n">
        <v>0</v>
      </c>
      <c r="K2448" t="n">
        <v>0</v>
      </c>
      <c r="L2448" t="n">
        <v>0</v>
      </c>
      <c r="M2448" t="n">
        <v>0</v>
      </c>
      <c r="N2448" t="n">
        <v>0</v>
      </c>
      <c r="O2448" t="n">
        <v>0</v>
      </c>
      <c r="P2448" t="n">
        <v>0</v>
      </c>
      <c r="Q2448" t="n">
        <v>0</v>
      </c>
      <c r="R2448" s="2" t="inlineStr"/>
    </row>
    <row r="2449" ht="15" customHeight="1">
      <c r="A2449" t="inlineStr">
        <is>
          <t>A 34579-2021</t>
        </is>
      </c>
      <c r="B2449" s="1" t="n">
        <v>44382</v>
      </c>
      <c r="C2449" s="1" t="n">
        <v>45952</v>
      </c>
      <c r="D2449" t="inlineStr">
        <is>
          <t>VÄSTRA GÖTALANDS LÄN</t>
        </is>
      </c>
      <c r="E2449" t="inlineStr">
        <is>
          <t>TIDAHOLM</t>
        </is>
      </c>
      <c r="G2449" t="n">
        <v>0.9</v>
      </c>
      <c r="H2449" t="n">
        <v>0</v>
      </c>
      <c r="I2449" t="n">
        <v>0</v>
      </c>
      <c r="J2449" t="n">
        <v>0</v>
      </c>
      <c r="K2449" t="n">
        <v>0</v>
      </c>
      <c r="L2449" t="n">
        <v>0</v>
      </c>
      <c r="M2449" t="n">
        <v>0</v>
      </c>
      <c r="N2449" t="n">
        <v>0</v>
      </c>
      <c r="O2449" t="n">
        <v>0</v>
      </c>
      <c r="P2449" t="n">
        <v>0</v>
      </c>
      <c r="Q2449" t="n">
        <v>0</v>
      </c>
      <c r="R2449" s="2" t="inlineStr"/>
    </row>
    <row r="2450" ht="15" customHeight="1">
      <c r="A2450" t="inlineStr">
        <is>
          <t>A 11367-2022</t>
        </is>
      </c>
      <c r="B2450" s="1" t="n">
        <v>44630</v>
      </c>
      <c r="C2450" s="1" t="n">
        <v>45952</v>
      </c>
      <c r="D2450" t="inlineStr">
        <is>
          <t>VÄSTRA GÖTALANDS LÄN</t>
        </is>
      </c>
      <c r="E2450" t="inlineStr">
        <is>
          <t>MUNKEDAL</t>
        </is>
      </c>
      <c r="G2450" t="n">
        <v>9.800000000000001</v>
      </c>
      <c r="H2450" t="n">
        <v>0</v>
      </c>
      <c r="I2450" t="n">
        <v>0</v>
      </c>
      <c r="J2450" t="n">
        <v>0</v>
      </c>
      <c r="K2450" t="n">
        <v>0</v>
      </c>
      <c r="L2450" t="n">
        <v>0</v>
      </c>
      <c r="M2450" t="n">
        <v>0</v>
      </c>
      <c r="N2450" t="n">
        <v>0</v>
      </c>
      <c r="O2450" t="n">
        <v>0</v>
      </c>
      <c r="P2450" t="n">
        <v>0</v>
      </c>
      <c r="Q2450" t="n">
        <v>0</v>
      </c>
      <c r="R2450" s="2" t="inlineStr"/>
    </row>
    <row r="2451" ht="15" customHeight="1">
      <c r="A2451" t="inlineStr">
        <is>
          <t>A 17990-2022</t>
        </is>
      </c>
      <c r="B2451" s="1" t="n">
        <v>44683</v>
      </c>
      <c r="C2451" s="1" t="n">
        <v>45952</v>
      </c>
      <c r="D2451" t="inlineStr">
        <is>
          <t>VÄSTRA GÖTALANDS LÄN</t>
        </is>
      </c>
      <c r="E2451" t="inlineStr">
        <is>
          <t>BOLLEBYGD</t>
        </is>
      </c>
      <c r="G2451" t="n">
        <v>0.4</v>
      </c>
      <c r="H2451" t="n">
        <v>0</v>
      </c>
      <c r="I2451" t="n">
        <v>0</v>
      </c>
      <c r="J2451" t="n">
        <v>0</v>
      </c>
      <c r="K2451" t="n">
        <v>0</v>
      </c>
      <c r="L2451" t="n">
        <v>0</v>
      </c>
      <c r="M2451" t="n">
        <v>0</v>
      </c>
      <c r="N2451" t="n">
        <v>0</v>
      </c>
      <c r="O2451" t="n">
        <v>0</v>
      </c>
      <c r="P2451" t="n">
        <v>0</v>
      </c>
      <c r="Q2451" t="n">
        <v>0</v>
      </c>
      <c r="R2451" s="2" t="inlineStr"/>
    </row>
    <row r="2452" ht="15" customHeight="1">
      <c r="A2452" t="inlineStr">
        <is>
          <t>A 47057-2021</t>
        </is>
      </c>
      <c r="B2452" s="1" t="n">
        <v>44446</v>
      </c>
      <c r="C2452" s="1" t="n">
        <v>45952</v>
      </c>
      <c r="D2452" t="inlineStr">
        <is>
          <t>VÄSTRA GÖTALANDS LÄN</t>
        </is>
      </c>
      <c r="E2452" t="inlineStr">
        <is>
          <t>LIDKÖPING</t>
        </is>
      </c>
      <c r="G2452" t="n">
        <v>0.9</v>
      </c>
      <c r="H2452" t="n">
        <v>0</v>
      </c>
      <c r="I2452" t="n">
        <v>0</v>
      </c>
      <c r="J2452" t="n">
        <v>0</v>
      </c>
      <c r="K2452" t="n">
        <v>0</v>
      </c>
      <c r="L2452" t="n">
        <v>0</v>
      </c>
      <c r="M2452" t="n">
        <v>0</v>
      </c>
      <c r="N2452" t="n">
        <v>0</v>
      </c>
      <c r="O2452" t="n">
        <v>0</v>
      </c>
      <c r="P2452" t="n">
        <v>0</v>
      </c>
      <c r="Q2452" t="n">
        <v>0</v>
      </c>
      <c r="R2452" s="2" t="inlineStr"/>
    </row>
    <row r="2453" ht="15" customHeight="1">
      <c r="A2453" t="inlineStr">
        <is>
          <t>A 12107-2021</t>
        </is>
      </c>
      <c r="B2453" s="1" t="n">
        <v>44266</v>
      </c>
      <c r="C2453" s="1" t="n">
        <v>45952</v>
      </c>
      <c r="D2453" t="inlineStr">
        <is>
          <t>VÄSTRA GÖTALANDS LÄN</t>
        </is>
      </c>
      <c r="E2453" t="inlineStr">
        <is>
          <t>TÖREBODA</t>
        </is>
      </c>
      <c r="F2453" t="inlineStr">
        <is>
          <t>Sveaskog</t>
        </is>
      </c>
      <c r="G2453" t="n">
        <v>0.8</v>
      </c>
      <c r="H2453" t="n">
        <v>0</v>
      </c>
      <c r="I2453" t="n">
        <v>0</v>
      </c>
      <c r="J2453" t="n">
        <v>0</v>
      </c>
      <c r="K2453" t="n">
        <v>0</v>
      </c>
      <c r="L2453" t="n">
        <v>0</v>
      </c>
      <c r="M2453" t="n">
        <v>0</v>
      </c>
      <c r="N2453" t="n">
        <v>0</v>
      </c>
      <c r="O2453" t="n">
        <v>0</v>
      </c>
      <c r="P2453" t="n">
        <v>0</v>
      </c>
      <c r="Q2453" t="n">
        <v>0</v>
      </c>
      <c r="R2453" s="2" t="inlineStr"/>
    </row>
    <row r="2454" ht="15" customHeight="1">
      <c r="A2454" t="inlineStr">
        <is>
          <t>A 20993-2021</t>
        </is>
      </c>
      <c r="B2454" s="1" t="n">
        <v>44318</v>
      </c>
      <c r="C2454" s="1" t="n">
        <v>45952</v>
      </c>
      <c r="D2454" t="inlineStr">
        <is>
          <t>VÄSTRA GÖTALANDS LÄN</t>
        </is>
      </c>
      <c r="E2454" t="inlineStr">
        <is>
          <t>TANUM</t>
        </is>
      </c>
      <c r="G2454" t="n">
        <v>1.1</v>
      </c>
      <c r="H2454" t="n">
        <v>0</v>
      </c>
      <c r="I2454" t="n">
        <v>0</v>
      </c>
      <c r="J2454" t="n">
        <v>0</v>
      </c>
      <c r="K2454" t="n">
        <v>0</v>
      </c>
      <c r="L2454" t="n">
        <v>0</v>
      </c>
      <c r="M2454" t="n">
        <v>0</v>
      </c>
      <c r="N2454" t="n">
        <v>0</v>
      </c>
      <c r="O2454" t="n">
        <v>0</v>
      </c>
      <c r="P2454" t="n">
        <v>0</v>
      </c>
      <c r="Q2454" t="n">
        <v>0</v>
      </c>
      <c r="R2454" s="2" t="inlineStr"/>
    </row>
    <row r="2455" ht="15" customHeight="1">
      <c r="A2455" t="inlineStr">
        <is>
          <t>A 21460-2022</t>
        </is>
      </c>
      <c r="B2455" s="1" t="n">
        <v>44706</v>
      </c>
      <c r="C2455" s="1" t="n">
        <v>45952</v>
      </c>
      <c r="D2455" t="inlineStr">
        <is>
          <t>VÄSTRA GÖTALANDS LÄN</t>
        </is>
      </c>
      <c r="E2455" t="inlineStr">
        <is>
          <t>SVENLJUNGA</t>
        </is>
      </c>
      <c r="G2455" t="n">
        <v>2.2</v>
      </c>
      <c r="H2455" t="n">
        <v>0</v>
      </c>
      <c r="I2455" t="n">
        <v>0</v>
      </c>
      <c r="J2455" t="n">
        <v>0</v>
      </c>
      <c r="K2455" t="n">
        <v>0</v>
      </c>
      <c r="L2455" t="n">
        <v>0</v>
      </c>
      <c r="M2455" t="n">
        <v>0</v>
      </c>
      <c r="N2455" t="n">
        <v>0</v>
      </c>
      <c r="O2455" t="n">
        <v>0</v>
      </c>
      <c r="P2455" t="n">
        <v>0</v>
      </c>
      <c r="Q2455" t="n">
        <v>0</v>
      </c>
      <c r="R2455" s="2" t="inlineStr"/>
    </row>
    <row r="2456" ht="15" customHeight="1">
      <c r="A2456" t="inlineStr">
        <is>
          <t>A 70164-2021</t>
        </is>
      </c>
      <c r="B2456" s="1" t="n">
        <v>44533</v>
      </c>
      <c r="C2456" s="1" t="n">
        <v>45952</v>
      </c>
      <c r="D2456" t="inlineStr">
        <is>
          <t>VÄSTRA GÖTALANDS LÄN</t>
        </is>
      </c>
      <c r="E2456" t="inlineStr">
        <is>
          <t>STRÖMSTAD</t>
        </is>
      </c>
      <c r="G2456" t="n">
        <v>2.6</v>
      </c>
      <c r="H2456" t="n">
        <v>0</v>
      </c>
      <c r="I2456" t="n">
        <v>0</v>
      </c>
      <c r="J2456" t="n">
        <v>0</v>
      </c>
      <c r="K2456" t="n">
        <v>0</v>
      </c>
      <c r="L2456" t="n">
        <v>0</v>
      </c>
      <c r="M2456" t="n">
        <v>0</v>
      </c>
      <c r="N2456" t="n">
        <v>0</v>
      </c>
      <c r="O2456" t="n">
        <v>0</v>
      </c>
      <c r="P2456" t="n">
        <v>0</v>
      </c>
      <c r="Q2456" t="n">
        <v>0</v>
      </c>
      <c r="R2456" s="2" t="inlineStr"/>
    </row>
    <row r="2457" ht="15" customHeight="1">
      <c r="A2457" t="inlineStr">
        <is>
          <t>A 60470-2020</t>
        </is>
      </c>
      <c r="B2457" s="1" t="n">
        <v>44153.42104166667</v>
      </c>
      <c r="C2457" s="1" t="n">
        <v>45952</v>
      </c>
      <c r="D2457" t="inlineStr">
        <is>
          <t>VÄSTRA GÖTALANDS LÄN</t>
        </is>
      </c>
      <c r="E2457" t="inlineStr">
        <is>
          <t>MUNKEDAL</t>
        </is>
      </c>
      <c r="G2457" t="n">
        <v>5.1</v>
      </c>
      <c r="H2457" t="n">
        <v>0</v>
      </c>
      <c r="I2457" t="n">
        <v>0</v>
      </c>
      <c r="J2457" t="n">
        <v>0</v>
      </c>
      <c r="K2457" t="n">
        <v>0</v>
      </c>
      <c r="L2457" t="n">
        <v>0</v>
      </c>
      <c r="M2457" t="n">
        <v>0</v>
      </c>
      <c r="N2457" t="n">
        <v>0</v>
      </c>
      <c r="O2457" t="n">
        <v>0</v>
      </c>
      <c r="P2457" t="n">
        <v>0</v>
      </c>
      <c r="Q2457" t="n">
        <v>0</v>
      </c>
      <c r="R2457" s="2" t="inlineStr"/>
    </row>
    <row r="2458" ht="15" customHeight="1">
      <c r="A2458" t="inlineStr">
        <is>
          <t>A 9953-2022</t>
        </is>
      </c>
      <c r="B2458" s="1" t="n">
        <v>44621.28681712963</v>
      </c>
      <c r="C2458" s="1" t="n">
        <v>45952</v>
      </c>
      <c r="D2458" t="inlineStr">
        <is>
          <t>VÄSTRA GÖTALANDS LÄN</t>
        </is>
      </c>
      <c r="E2458" t="inlineStr">
        <is>
          <t>ULRICEHAMN</t>
        </is>
      </c>
      <c r="G2458" t="n">
        <v>1</v>
      </c>
      <c r="H2458" t="n">
        <v>0</v>
      </c>
      <c r="I2458" t="n">
        <v>0</v>
      </c>
      <c r="J2458" t="n">
        <v>0</v>
      </c>
      <c r="K2458" t="n">
        <v>0</v>
      </c>
      <c r="L2458" t="n">
        <v>0</v>
      </c>
      <c r="M2458" t="n">
        <v>0</v>
      </c>
      <c r="N2458" t="n">
        <v>0</v>
      </c>
      <c r="O2458" t="n">
        <v>0</v>
      </c>
      <c r="P2458" t="n">
        <v>0</v>
      </c>
      <c r="Q2458" t="n">
        <v>0</v>
      </c>
      <c r="R2458" s="2" t="inlineStr"/>
    </row>
    <row r="2459" ht="15" customHeight="1">
      <c r="A2459" t="inlineStr">
        <is>
          <t>A 7235-2021</t>
        </is>
      </c>
      <c r="B2459" s="1" t="n">
        <v>44238</v>
      </c>
      <c r="C2459" s="1" t="n">
        <v>45952</v>
      </c>
      <c r="D2459" t="inlineStr">
        <is>
          <t>VÄSTRA GÖTALANDS LÄN</t>
        </is>
      </c>
      <c r="E2459" t="inlineStr">
        <is>
          <t>ULRICEHAMN</t>
        </is>
      </c>
      <c r="G2459" t="n">
        <v>1.7</v>
      </c>
      <c r="H2459" t="n">
        <v>0</v>
      </c>
      <c r="I2459" t="n">
        <v>0</v>
      </c>
      <c r="J2459" t="n">
        <v>0</v>
      </c>
      <c r="K2459" t="n">
        <v>0</v>
      </c>
      <c r="L2459" t="n">
        <v>0</v>
      </c>
      <c r="M2459" t="n">
        <v>0</v>
      </c>
      <c r="N2459" t="n">
        <v>0</v>
      </c>
      <c r="O2459" t="n">
        <v>0</v>
      </c>
      <c r="P2459" t="n">
        <v>0</v>
      </c>
      <c r="Q2459" t="n">
        <v>0</v>
      </c>
      <c r="R2459" s="2" t="inlineStr"/>
    </row>
    <row r="2460" ht="15" customHeight="1">
      <c r="A2460" t="inlineStr">
        <is>
          <t>A 3622-2021</t>
        </is>
      </c>
      <c r="B2460" s="1" t="n">
        <v>44220</v>
      </c>
      <c r="C2460" s="1" t="n">
        <v>45952</v>
      </c>
      <c r="D2460" t="inlineStr">
        <is>
          <t>VÄSTRA GÖTALANDS LÄN</t>
        </is>
      </c>
      <c r="E2460" t="inlineStr">
        <is>
          <t>FALKÖPING</t>
        </is>
      </c>
      <c r="G2460" t="n">
        <v>2.3</v>
      </c>
      <c r="H2460" t="n">
        <v>0</v>
      </c>
      <c r="I2460" t="n">
        <v>0</v>
      </c>
      <c r="J2460" t="n">
        <v>0</v>
      </c>
      <c r="K2460" t="n">
        <v>0</v>
      </c>
      <c r="L2460" t="n">
        <v>0</v>
      </c>
      <c r="M2460" t="n">
        <v>0</v>
      </c>
      <c r="N2460" t="n">
        <v>0</v>
      </c>
      <c r="O2460" t="n">
        <v>0</v>
      </c>
      <c r="P2460" t="n">
        <v>0</v>
      </c>
      <c r="Q2460" t="n">
        <v>0</v>
      </c>
      <c r="R2460" s="2" t="inlineStr"/>
    </row>
    <row r="2461" ht="15" customHeight="1">
      <c r="A2461" t="inlineStr">
        <is>
          <t>A 18660-2021</t>
        </is>
      </c>
      <c r="B2461" s="1" t="n">
        <v>44306</v>
      </c>
      <c r="C2461" s="1" t="n">
        <v>45952</v>
      </c>
      <c r="D2461" t="inlineStr">
        <is>
          <t>VÄSTRA GÖTALANDS LÄN</t>
        </is>
      </c>
      <c r="E2461" t="inlineStr">
        <is>
          <t>SKÖVDE</t>
        </is>
      </c>
      <c r="G2461" t="n">
        <v>1.7</v>
      </c>
      <c r="H2461" t="n">
        <v>0</v>
      </c>
      <c r="I2461" t="n">
        <v>0</v>
      </c>
      <c r="J2461" t="n">
        <v>0</v>
      </c>
      <c r="K2461" t="n">
        <v>0</v>
      </c>
      <c r="L2461" t="n">
        <v>0</v>
      </c>
      <c r="M2461" t="n">
        <v>0</v>
      </c>
      <c r="N2461" t="n">
        <v>0</v>
      </c>
      <c r="O2461" t="n">
        <v>0</v>
      </c>
      <c r="P2461" t="n">
        <v>0</v>
      </c>
      <c r="Q2461" t="n">
        <v>0</v>
      </c>
      <c r="R2461" s="2" t="inlineStr"/>
    </row>
    <row r="2462" ht="15" customHeight="1">
      <c r="A2462" t="inlineStr">
        <is>
          <t>A 9004-2022</t>
        </is>
      </c>
      <c r="B2462" s="1" t="n">
        <v>44615</v>
      </c>
      <c r="C2462" s="1" t="n">
        <v>45952</v>
      </c>
      <c r="D2462" t="inlineStr">
        <is>
          <t>VÄSTRA GÖTALANDS LÄN</t>
        </is>
      </c>
      <c r="E2462" t="inlineStr">
        <is>
          <t>TIDAHOLM</t>
        </is>
      </c>
      <c r="F2462" t="inlineStr">
        <is>
          <t>Kyrkan</t>
        </is>
      </c>
      <c r="G2462" t="n">
        <v>3.1</v>
      </c>
      <c r="H2462" t="n">
        <v>0</v>
      </c>
      <c r="I2462" t="n">
        <v>0</v>
      </c>
      <c r="J2462" t="n">
        <v>0</v>
      </c>
      <c r="K2462" t="n">
        <v>0</v>
      </c>
      <c r="L2462" t="n">
        <v>0</v>
      </c>
      <c r="M2462" t="n">
        <v>0</v>
      </c>
      <c r="N2462" t="n">
        <v>0</v>
      </c>
      <c r="O2462" t="n">
        <v>0</v>
      </c>
      <c r="P2462" t="n">
        <v>0</v>
      </c>
      <c r="Q2462" t="n">
        <v>0</v>
      </c>
      <c r="R2462" s="2" t="inlineStr"/>
    </row>
    <row r="2463" ht="15" customHeight="1">
      <c r="A2463" t="inlineStr">
        <is>
          <t>A 71998-2021</t>
        </is>
      </c>
      <c r="B2463" s="1" t="n">
        <v>44544.39546296297</v>
      </c>
      <c r="C2463" s="1" t="n">
        <v>45952</v>
      </c>
      <c r="D2463" t="inlineStr">
        <is>
          <t>VÄSTRA GÖTALANDS LÄN</t>
        </is>
      </c>
      <c r="E2463" t="inlineStr">
        <is>
          <t>BORÅS</t>
        </is>
      </c>
      <c r="G2463" t="n">
        <v>0.7</v>
      </c>
      <c r="H2463" t="n">
        <v>0</v>
      </c>
      <c r="I2463" t="n">
        <v>0</v>
      </c>
      <c r="J2463" t="n">
        <v>0</v>
      </c>
      <c r="K2463" t="n">
        <v>0</v>
      </c>
      <c r="L2463" t="n">
        <v>0</v>
      </c>
      <c r="M2463" t="n">
        <v>0</v>
      </c>
      <c r="N2463" t="n">
        <v>0</v>
      </c>
      <c r="O2463" t="n">
        <v>0</v>
      </c>
      <c r="P2463" t="n">
        <v>0</v>
      </c>
      <c r="Q2463" t="n">
        <v>0</v>
      </c>
      <c r="R2463" s="2" t="inlineStr"/>
    </row>
    <row r="2464" ht="15" customHeight="1">
      <c r="A2464" t="inlineStr">
        <is>
          <t>A 68671-2020</t>
        </is>
      </c>
      <c r="B2464" s="1" t="n">
        <v>44187</v>
      </c>
      <c r="C2464" s="1" t="n">
        <v>45952</v>
      </c>
      <c r="D2464" t="inlineStr">
        <is>
          <t>VÄSTRA GÖTALANDS LÄN</t>
        </is>
      </c>
      <c r="E2464" t="inlineStr">
        <is>
          <t>MELLERUD</t>
        </is>
      </c>
      <c r="G2464" t="n">
        <v>2.7</v>
      </c>
      <c r="H2464" t="n">
        <v>0</v>
      </c>
      <c r="I2464" t="n">
        <v>0</v>
      </c>
      <c r="J2464" t="n">
        <v>0</v>
      </c>
      <c r="K2464" t="n">
        <v>0</v>
      </c>
      <c r="L2464" t="n">
        <v>0</v>
      </c>
      <c r="M2464" t="n">
        <v>0</v>
      </c>
      <c r="N2464" t="n">
        <v>0</v>
      </c>
      <c r="O2464" t="n">
        <v>0</v>
      </c>
      <c r="P2464" t="n">
        <v>0</v>
      </c>
      <c r="Q2464" t="n">
        <v>0</v>
      </c>
      <c r="R2464" s="2" t="inlineStr"/>
    </row>
    <row r="2465" ht="15" customHeight="1">
      <c r="A2465" t="inlineStr">
        <is>
          <t>A 1074-2021</t>
        </is>
      </c>
      <c r="B2465" s="1" t="n">
        <v>44207</v>
      </c>
      <c r="C2465" s="1" t="n">
        <v>45952</v>
      </c>
      <c r="D2465" t="inlineStr">
        <is>
          <t>VÄSTRA GÖTALANDS LÄN</t>
        </is>
      </c>
      <c r="E2465" t="inlineStr">
        <is>
          <t>GULLSPÅNG</t>
        </is>
      </c>
      <c r="G2465" t="n">
        <v>0.4</v>
      </c>
      <c r="H2465" t="n">
        <v>0</v>
      </c>
      <c r="I2465" t="n">
        <v>0</v>
      </c>
      <c r="J2465" t="n">
        <v>0</v>
      </c>
      <c r="K2465" t="n">
        <v>0</v>
      </c>
      <c r="L2465" t="n">
        <v>0</v>
      </c>
      <c r="M2465" t="n">
        <v>0</v>
      </c>
      <c r="N2465" t="n">
        <v>0</v>
      </c>
      <c r="O2465" t="n">
        <v>0</v>
      </c>
      <c r="P2465" t="n">
        <v>0</v>
      </c>
      <c r="Q2465" t="n">
        <v>0</v>
      </c>
      <c r="R2465" s="2" t="inlineStr"/>
    </row>
    <row r="2466" ht="15" customHeight="1">
      <c r="A2466" t="inlineStr">
        <is>
          <t>A 54509-2022</t>
        </is>
      </c>
      <c r="B2466" s="1" t="n">
        <v>44882.69835648148</v>
      </c>
      <c r="C2466" s="1" t="n">
        <v>45952</v>
      </c>
      <c r="D2466" t="inlineStr">
        <is>
          <t>VÄSTRA GÖTALANDS LÄN</t>
        </is>
      </c>
      <c r="E2466" t="inlineStr">
        <is>
          <t>TRANEMO</t>
        </is>
      </c>
      <c r="G2466" t="n">
        <v>1.6</v>
      </c>
      <c r="H2466" t="n">
        <v>0</v>
      </c>
      <c r="I2466" t="n">
        <v>0</v>
      </c>
      <c r="J2466" t="n">
        <v>0</v>
      </c>
      <c r="K2466" t="n">
        <v>0</v>
      </c>
      <c r="L2466" t="n">
        <v>0</v>
      </c>
      <c r="M2466" t="n">
        <v>0</v>
      </c>
      <c r="N2466" t="n">
        <v>0</v>
      </c>
      <c r="O2466" t="n">
        <v>0</v>
      </c>
      <c r="P2466" t="n">
        <v>0</v>
      </c>
      <c r="Q2466" t="n">
        <v>0</v>
      </c>
      <c r="R2466" s="2" t="inlineStr"/>
    </row>
    <row r="2467" ht="15" customHeight="1">
      <c r="A2467" t="inlineStr">
        <is>
          <t>A 64724-2021</t>
        </is>
      </c>
      <c r="B2467" s="1" t="n">
        <v>44511</v>
      </c>
      <c r="C2467" s="1" t="n">
        <v>45952</v>
      </c>
      <c r="D2467" t="inlineStr">
        <is>
          <t>VÄSTRA GÖTALANDS LÄN</t>
        </is>
      </c>
      <c r="E2467" t="inlineStr">
        <is>
          <t>TIDAHOLM</t>
        </is>
      </c>
      <c r="G2467" t="n">
        <v>2.7</v>
      </c>
      <c r="H2467" t="n">
        <v>0</v>
      </c>
      <c r="I2467" t="n">
        <v>0</v>
      </c>
      <c r="J2467" t="n">
        <v>0</v>
      </c>
      <c r="K2467" t="n">
        <v>0</v>
      </c>
      <c r="L2467" t="n">
        <v>0</v>
      </c>
      <c r="M2467" t="n">
        <v>0</v>
      </c>
      <c r="N2467" t="n">
        <v>0</v>
      </c>
      <c r="O2467" t="n">
        <v>0</v>
      </c>
      <c r="P2467" t="n">
        <v>0</v>
      </c>
      <c r="Q2467" t="n">
        <v>0</v>
      </c>
      <c r="R2467" s="2" t="inlineStr"/>
    </row>
    <row r="2468" ht="15" customHeight="1">
      <c r="A2468" t="inlineStr">
        <is>
          <t>A 45829-2021</t>
        </is>
      </c>
      <c r="B2468" s="1" t="n">
        <v>44441.52818287037</v>
      </c>
      <c r="C2468" s="1" t="n">
        <v>45952</v>
      </c>
      <c r="D2468" t="inlineStr">
        <is>
          <t>VÄSTRA GÖTALANDS LÄN</t>
        </is>
      </c>
      <c r="E2468" t="inlineStr">
        <is>
          <t>HERRLJUNGA</t>
        </is>
      </c>
      <c r="G2468" t="n">
        <v>1.1</v>
      </c>
      <c r="H2468" t="n">
        <v>0</v>
      </c>
      <c r="I2468" t="n">
        <v>0</v>
      </c>
      <c r="J2468" t="n">
        <v>0</v>
      </c>
      <c r="K2468" t="n">
        <v>0</v>
      </c>
      <c r="L2468" t="n">
        <v>0</v>
      </c>
      <c r="M2468" t="n">
        <v>0</v>
      </c>
      <c r="N2468" t="n">
        <v>0</v>
      </c>
      <c r="O2468" t="n">
        <v>0</v>
      </c>
      <c r="P2468" t="n">
        <v>0</v>
      </c>
      <c r="Q2468" t="n">
        <v>0</v>
      </c>
      <c r="R2468" s="2" t="inlineStr"/>
    </row>
    <row r="2469" ht="15" customHeight="1">
      <c r="A2469" t="inlineStr">
        <is>
          <t>A 45832-2021</t>
        </is>
      </c>
      <c r="B2469" s="1" t="n">
        <v>44441.53571759259</v>
      </c>
      <c r="C2469" s="1" t="n">
        <v>45952</v>
      </c>
      <c r="D2469" t="inlineStr">
        <is>
          <t>VÄSTRA GÖTALANDS LÄN</t>
        </is>
      </c>
      <c r="E2469" t="inlineStr">
        <is>
          <t>HERRLJUNGA</t>
        </is>
      </c>
      <c r="G2469" t="n">
        <v>2.3</v>
      </c>
      <c r="H2469" t="n">
        <v>0</v>
      </c>
      <c r="I2469" t="n">
        <v>0</v>
      </c>
      <c r="J2469" t="n">
        <v>0</v>
      </c>
      <c r="K2469" t="n">
        <v>0</v>
      </c>
      <c r="L2469" t="n">
        <v>0</v>
      </c>
      <c r="M2469" t="n">
        <v>0</v>
      </c>
      <c r="N2469" t="n">
        <v>0</v>
      </c>
      <c r="O2469" t="n">
        <v>0</v>
      </c>
      <c r="P2469" t="n">
        <v>0</v>
      </c>
      <c r="Q2469" t="n">
        <v>0</v>
      </c>
      <c r="R2469" s="2" t="inlineStr"/>
    </row>
    <row r="2470" ht="15" customHeight="1">
      <c r="A2470" t="inlineStr">
        <is>
          <t>A 22698-2021</t>
        </is>
      </c>
      <c r="B2470" s="1" t="n">
        <v>44327.59719907407</v>
      </c>
      <c r="C2470" s="1" t="n">
        <v>45952</v>
      </c>
      <c r="D2470" t="inlineStr">
        <is>
          <t>VÄSTRA GÖTALANDS LÄN</t>
        </is>
      </c>
      <c r="E2470" t="inlineStr">
        <is>
          <t>MARK</t>
        </is>
      </c>
      <c r="G2470" t="n">
        <v>1.2</v>
      </c>
      <c r="H2470" t="n">
        <v>0</v>
      </c>
      <c r="I2470" t="n">
        <v>0</v>
      </c>
      <c r="J2470" t="n">
        <v>0</v>
      </c>
      <c r="K2470" t="n">
        <v>0</v>
      </c>
      <c r="L2470" t="n">
        <v>0</v>
      </c>
      <c r="M2470" t="n">
        <v>0</v>
      </c>
      <c r="N2470" t="n">
        <v>0</v>
      </c>
      <c r="O2470" t="n">
        <v>0</v>
      </c>
      <c r="P2470" t="n">
        <v>0</v>
      </c>
      <c r="Q2470" t="n">
        <v>0</v>
      </c>
      <c r="R2470" s="2" t="inlineStr"/>
    </row>
    <row r="2471" ht="15" customHeight="1">
      <c r="A2471" t="inlineStr">
        <is>
          <t>A 63785-2021</t>
        </is>
      </c>
      <c r="B2471" s="1" t="n">
        <v>44509</v>
      </c>
      <c r="C2471" s="1" t="n">
        <v>45952</v>
      </c>
      <c r="D2471" t="inlineStr">
        <is>
          <t>VÄSTRA GÖTALANDS LÄN</t>
        </is>
      </c>
      <c r="E2471" t="inlineStr">
        <is>
          <t>TRANEMO</t>
        </is>
      </c>
      <c r="G2471" t="n">
        <v>1.4</v>
      </c>
      <c r="H2471" t="n">
        <v>0</v>
      </c>
      <c r="I2471" t="n">
        <v>0</v>
      </c>
      <c r="J2471" t="n">
        <v>0</v>
      </c>
      <c r="K2471" t="n">
        <v>0</v>
      </c>
      <c r="L2471" t="n">
        <v>0</v>
      </c>
      <c r="M2471" t="n">
        <v>0</v>
      </c>
      <c r="N2471" t="n">
        <v>0</v>
      </c>
      <c r="O2471" t="n">
        <v>0</v>
      </c>
      <c r="P2471" t="n">
        <v>0</v>
      </c>
      <c r="Q2471" t="n">
        <v>0</v>
      </c>
      <c r="R2471" s="2" t="inlineStr"/>
    </row>
    <row r="2472" ht="15" customHeight="1">
      <c r="A2472" t="inlineStr">
        <is>
          <t>A 29144-2022</t>
        </is>
      </c>
      <c r="B2472" s="1" t="n">
        <v>44750</v>
      </c>
      <c r="C2472" s="1" t="n">
        <v>45952</v>
      </c>
      <c r="D2472" t="inlineStr">
        <is>
          <t>VÄSTRA GÖTALANDS LÄN</t>
        </is>
      </c>
      <c r="E2472" t="inlineStr">
        <is>
          <t>ULRICEHAMN</t>
        </is>
      </c>
      <c r="G2472" t="n">
        <v>4.9</v>
      </c>
      <c r="H2472" t="n">
        <v>0</v>
      </c>
      <c r="I2472" t="n">
        <v>0</v>
      </c>
      <c r="J2472" t="n">
        <v>0</v>
      </c>
      <c r="K2472" t="n">
        <v>0</v>
      </c>
      <c r="L2472" t="n">
        <v>0</v>
      </c>
      <c r="M2472" t="n">
        <v>0</v>
      </c>
      <c r="N2472" t="n">
        <v>0</v>
      </c>
      <c r="O2472" t="n">
        <v>0</v>
      </c>
      <c r="P2472" t="n">
        <v>0</v>
      </c>
      <c r="Q2472" t="n">
        <v>0</v>
      </c>
      <c r="R2472" s="2" t="inlineStr"/>
    </row>
    <row r="2473" ht="15" customHeight="1">
      <c r="A2473" t="inlineStr">
        <is>
          <t>A 12752-2021</t>
        </is>
      </c>
      <c r="B2473" s="1" t="n">
        <v>44270.6653125</v>
      </c>
      <c r="C2473" s="1" t="n">
        <v>45952</v>
      </c>
      <c r="D2473" t="inlineStr">
        <is>
          <t>VÄSTRA GÖTALANDS LÄN</t>
        </is>
      </c>
      <c r="E2473" t="inlineStr">
        <is>
          <t>TANUM</t>
        </is>
      </c>
      <c r="G2473" t="n">
        <v>1.1</v>
      </c>
      <c r="H2473" t="n">
        <v>0</v>
      </c>
      <c r="I2473" t="n">
        <v>0</v>
      </c>
      <c r="J2473" t="n">
        <v>0</v>
      </c>
      <c r="K2473" t="n">
        <v>0</v>
      </c>
      <c r="L2473" t="n">
        <v>0</v>
      </c>
      <c r="M2473" t="n">
        <v>0</v>
      </c>
      <c r="N2473" t="n">
        <v>0</v>
      </c>
      <c r="O2473" t="n">
        <v>0</v>
      </c>
      <c r="P2473" t="n">
        <v>0</v>
      </c>
      <c r="Q2473" t="n">
        <v>0</v>
      </c>
      <c r="R2473" s="2" t="inlineStr"/>
    </row>
    <row r="2474" ht="15" customHeight="1">
      <c r="A2474" t="inlineStr">
        <is>
          <t>A 13389-2021</t>
        </is>
      </c>
      <c r="B2474" s="1" t="n">
        <v>44273.42744212963</v>
      </c>
      <c r="C2474" s="1" t="n">
        <v>45952</v>
      </c>
      <c r="D2474" t="inlineStr">
        <is>
          <t>VÄSTRA GÖTALANDS LÄN</t>
        </is>
      </c>
      <c r="E2474" t="inlineStr">
        <is>
          <t>MARK</t>
        </is>
      </c>
      <c r="G2474" t="n">
        <v>2.9</v>
      </c>
      <c r="H2474" t="n">
        <v>0</v>
      </c>
      <c r="I2474" t="n">
        <v>0</v>
      </c>
      <c r="J2474" t="n">
        <v>0</v>
      </c>
      <c r="K2474" t="n">
        <v>0</v>
      </c>
      <c r="L2474" t="n">
        <v>0</v>
      </c>
      <c r="M2474" t="n">
        <v>0</v>
      </c>
      <c r="N2474" t="n">
        <v>0</v>
      </c>
      <c r="O2474" t="n">
        <v>0</v>
      </c>
      <c r="P2474" t="n">
        <v>0</v>
      </c>
      <c r="Q2474" t="n">
        <v>0</v>
      </c>
      <c r="R2474" s="2" t="inlineStr"/>
    </row>
    <row r="2475" ht="15" customHeight="1">
      <c r="A2475" t="inlineStr">
        <is>
          <t>A 8372-2021</t>
        </is>
      </c>
      <c r="B2475" s="1" t="n">
        <v>44245</v>
      </c>
      <c r="C2475" s="1" t="n">
        <v>45952</v>
      </c>
      <c r="D2475" t="inlineStr">
        <is>
          <t>VÄSTRA GÖTALANDS LÄN</t>
        </is>
      </c>
      <c r="E2475" t="inlineStr">
        <is>
          <t>BORÅS</t>
        </is>
      </c>
      <c r="G2475" t="n">
        <v>2</v>
      </c>
      <c r="H2475" t="n">
        <v>0</v>
      </c>
      <c r="I2475" t="n">
        <v>0</v>
      </c>
      <c r="J2475" t="n">
        <v>0</v>
      </c>
      <c r="K2475" t="n">
        <v>0</v>
      </c>
      <c r="L2475" t="n">
        <v>0</v>
      </c>
      <c r="M2475" t="n">
        <v>0</v>
      </c>
      <c r="N2475" t="n">
        <v>0</v>
      </c>
      <c r="O2475" t="n">
        <v>0</v>
      </c>
      <c r="P2475" t="n">
        <v>0</v>
      </c>
      <c r="Q2475" t="n">
        <v>0</v>
      </c>
      <c r="R2475" s="2" t="inlineStr"/>
    </row>
    <row r="2476" ht="15" customHeight="1">
      <c r="A2476" t="inlineStr">
        <is>
          <t>A 69196-2021</t>
        </is>
      </c>
      <c r="B2476" s="1" t="n">
        <v>44531.34472222222</v>
      </c>
      <c r="C2476" s="1" t="n">
        <v>45952</v>
      </c>
      <c r="D2476" t="inlineStr">
        <is>
          <t>VÄSTRA GÖTALANDS LÄN</t>
        </is>
      </c>
      <c r="E2476" t="inlineStr">
        <is>
          <t>ORUST</t>
        </is>
      </c>
      <c r="G2476" t="n">
        <v>0.9</v>
      </c>
      <c r="H2476" t="n">
        <v>0</v>
      </c>
      <c r="I2476" t="n">
        <v>0</v>
      </c>
      <c r="J2476" t="n">
        <v>0</v>
      </c>
      <c r="K2476" t="n">
        <v>0</v>
      </c>
      <c r="L2476" t="n">
        <v>0</v>
      </c>
      <c r="M2476" t="n">
        <v>0</v>
      </c>
      <c r="N2476" t="n">
        <v>0</v>
      </c>
      <c r="O2476" t="n">
        <v>0</v>
      </c>
      <c r="P2476" t="n">
        <v>0</v>
      </c>
      <c r="Q2476" t="n">
        <v>0</v>
      </c>
      <c r="R2476" s="2" t="inlineStr"/>
    </row>
    <row r="2477" ht="15" customHeight="1">
      <c r="A2477" t="inlineStr">
        <is>
          <t>A 30560-2022</t>
        </is>
      </c>
      <c r="B2477" s="1" t="n">
        <v>44762.55376157408</v>
      </c>
      <c r="C2477" s="1" t="n">
        <v>45952</v>
      </c>
      <c r="D2477" t="inlineStr">
        <is>
          <t>VÄSTRA GÖTALANDS LÄN</t>
        </is>
      </c>
      <c r="E2477" t="inlineStr">
        <is>
          <t>SKÖVDE</t>
        </is>
      </c>
      <c r="G2477" t="n">
        <v>0.7</v>
      </c>
      <c r="H2477" t="n">
        <v>0</v>
      </c>
      <c r="I2477" t="n">
        <v>0</v>
      </c>
      <c r="J2477" t="n">
        <v>0</v>
      </c>
      <c r="K2477" t="n">
        <v>0</v>
      </c>
      <c r="L2477" t="n">
        <v>0</v>
      </c>
      <c r="M2477" t="n">
        <v>0</v>
      </c>
      <c r="N2477" t="n">
        <v>0</v>
      </c>
      <c r="O2477" t="n">
        <v>0</v>
      </c>
      <c r="P2477" t="n">
        <v>0</v>
      </c>
      <c r="Q2477" t="n">
        <v>0</v>
      </c>
      <c r="R2477" s="2" t="inlineStr"/>
    </row>
    <row r="2478" ht="15" customHeight="1">
      <c r="A2478" t="inlineStr">
        <is>
          <t>A 15223-2022</t>
        </is>
      </c>
      <c r="B2478" s="1" t="n">
        <v>44658</v>
      </c>
      <c r="C2478" s="1" t="n">
        <v>45952</v>
      </c>
      <c r="D2478" t="inlineStr">
        <is>
          <t>VÄSTRA GÖTALANDS LÄN</t>
        </is>
      </c>
      <c r="E2478" t="inlineStr">
        <is>
          <t>SVENLJUNGA</t>
        </is>
      </c>
      <c r="G2478" t="n">
        <v>1</v>
      </c>
      <c r="H2478" t="n">
        <v>0</v>
      </c>
      <c r="I2478" t="n">
        <v>0</v>
      </c>
      <c r="J2478" t="n">
        <v>0</v>
      </c>
      <c r="K2478" t="n">
        <v>0</v>
      </c>
      <c r="L2478" t="n">
        <v>0</v>
      </c>
      <c r="M2478" t="n">
        <v>0</v>
      </c>
      <c r="N2478" t="n">
        <v>0</v>
      </c>
      <c r="O2478" t="n">
        <v>0</v>
      </c>
      <c r="P2478" t="n">
        <v>0</v>
      </c>
      <c r="Q2478" t="n">
        <v>0</v>
      </c>
      <c r="R2478" s="2" t="inlineStr"/>
    </row>
    <row r="2479" ht="15" customHeight="1">
      <c r="A2479" t="inlineStr">
        <is>
          <t>A 72213-2021</t>
        </is>
      </c>
      <c r="B2479" s="1" t="n">
        <v>44544.69722222222</v>
      </c>
      <c r="C2479" s="1" t="n">
        <v>45952</v>
      </c>
      <c r="D2479" t="inlineStr">
        <is>
          <t>VÄSTRA GÖTALANDS LÄN</t>
        </is>
      </c>
      <c r="E2479" t="inlineStr">
        <is>
          <t>SKARA</t>
        </is>
      </c>
      <c r="G2479" t="n">
        <v>2.9</v>
      </c>
      <c r="H2479" t="n">
        <v>0</v>
      </c>
      <c r="I2479" t="n">
        <v>0</v>
      </c>
      <c r="J2479" t="n">
        <v>0</v>
      </c>
      <c r="K2479" t="n">
        <v>0</v>
      </c>
      <c r="L2479" t="n">
        <v>0</v>
      </c>
      <c r="M2479" t="n">
        <v>0</v>
      </c>
      <c r="N2479" t="n">
        <v>0</v>
      </c>
      <c r="O2479" t="n">
        <v>0</v>
      </c>
      <c r="P2479" t="n">
        <v>0</v>
      </c>
      <c r="Q2479" t="n">
        <v>0</v>
      </c>
      <c r="R2479" s="2" t="inlineStr"/>
    </row>
    <row r="2480" ht="15" customHeight="1">
      <c r="A2480" t="inlineStr">
        <is>
          <t>A 24397-2022</t>
        </is>
      </c>
      <c r="B2480" s="1" t="n">
        <v>44726</v>
      </c>
      <c r="C2480" s="1" t="n">
        <v>45952</v>
      </c>
      <c r="D2480" t="inlineStr">
        <is>
          <t>VÄSTRA GÖTALANDS LÄN</t>
        </is>
      </c>
      <c r="E2480" t="inlineStr">
        <is>
          <t>BORÅS</t>
        </is>
      </c>
      <c r="G2480" t="n">
        <v>1.1</v>
      </c>
      <c r="H2480" t="n">
        <v>0</v>
      </c>
      <c r="I2480" t="n">
        <v>0</v>
      </c>
      <c r="J2480" t="n">
        <v>0</v>
      </c>
      <c r="K2480" t="n">
        <v>0</v>
      </c>
      <c r="L2480" t="n">
        <v>0</v>
      </c>
      <c r="M2480" t="n">
        <v>0</v>
      </c>
      <c r="N2480" t="n">
        <v>0</v>
      </c>
      <c r="O2480" t="n">
        <v>0</v>
      </c>
      <c r="P2480" t="n">
        <v>0</v>
      </c>
      <c r="Q2480" t="n">
        <v>0</v>
      </c>
      <c r="R2480" s="2" t="inlineStr"/>
    </row>
    <row r="2481" ht="15" customHeight="1">
      <c r="A2481" t="inlineStr">
        <is>
          <t>A 24464-2022</t>
        </is>
      </c>
      <c r="B2481" s="1" t="n">
        <v>44726</v>
      </c>
      <c r="C2481" s="1" t="n">
        <v>45952</v>
      </c>
      <c r="D2481" t="inlineStr">
        <is>
          <t>VÄSTRA GÖTALANDS LÄN</t>
        </is>
      </c>
      <c r="E2481" t="inlineStr">
        <is>
          <t>ALINGSÅS</t>
        </is>
      </c>
      <c r="G2481" t="n">
        <v>8.800000000000001</v>
      </c>
      <c r="H2481" t="n">
        <v>0</v>
      </c>
      <c r="I2481" t="n">
        <v>0</v>
      </c>
      <c r="J2481" t="n">
        <v>0</v>
      </c>
      <c r="K2481" t="n">
        <v>0</v>
      </c>
      <c r="L2481" t="n">
        <v>0</v>
      </c>
      <c r="M2481" t="n">
        <v>0</v>
      </c>
      <c r="N2481" t="n">
        <v>0</v>
      </c>
      <c r="O2481" t="n">
        <v>0</v>
      </c>
      <c r="P2481" t="n">
        <v>0</v>
      </c>
      <c r="Q2481" t="n">
        <v>0</v>
      </c>
      <c r="R2481" s="2" t="inlineStr"/>
    </row>
    <row r="2482" ht="15" customHeight="1">
      <c r="A2482" t="inlineStr">
        <is>
          <t>A 36623-2021</t>
        </is>
      </c>
      <c r="B2482" s="1" t="n">
        <v>44391</v>
      </c>
      <c r="C2482" s="1" t="n">
        <v>45952</v>
      </c>
      <c r="D2482" t="inlineStr">
        <is>
          <t>VÄSTRA GÖTALANDS LÄN</t>
        </is>
      </c>
      <c r="E2482" t="inlineStr">
        <is>
          <t>ULRICEHAMN</t>
        </is>
      </c>
      <c r="G2482" t="n">
        <v>0.4</v>
      </c>
      <c r="H2482" t="n">
        <v>0</v>
      </c>
      <c r="I2482" t="n">
        <v>0</v>
      </c>
      <c r="J2482" t="n">
        <v>0</v>
      </c>
      <c r="K2482" t="n">
        <v>0</v>
      </c>
      <c r="L2482" t="n">
        <v>0</v>
      </c>
      <c r="M2482" t="n">
        <v>0</v>
      </c>
      <c r="N2482" t="n">
        <v>0</v>
      </c>
      <c r="O2482" t="n">
        <v>0</v>
      </c>
      <c r="P2482" t="n">
        <v>0</v>
      </c>
      <c r="Q2482" t="n">
        <v>0</v>
      </c>
      <c r="R2482" s="2" t="inlineStr"/>
    </row>
    <row r="2483" ht="15" customHeight="1">
      <c r="A2483" t="inlineStr">
        <is>
          <t>A 68634-2021</t>
        </is>
      </c>
      <c r="B2483" s="1" t="n">
        <v>44529.59217592593</v>
      </c>
      <c r="C2483" s="1" t="n">
        <v>45952</v>
      </c>
      <c r="D2483" t="inlineStr">
        <is>
          <t>VÄSTRA GÖTALANDS LÄN</t>
        </is>
      </c>
      <c r="E2483" t="inlineStr">
        <is>
          <t>BORÅS</t>
        </is>
      </c>
      <c r="G2483" t="n">
        <v>9.1</v>
      </c>
      <c r="H2483" t="n">
        <v>0</v>
      </c>
      <c r="I2483" t="n">
        <v>0</v>
      </c>
      <c r="J2483" t="n">
        <v>0</v>
      </c>
      <c r="K2483" t="n">
        <v>0</v>
      </c>
      <c r="L2483" t="n">
        <v>0</v>
      </c>
      <c r="M2483" t="n">
        <v>0</v>
      </c>
      <c r="N2483" t="n">
        <v>0</v>
      </c>
      <c r="O2483" t="n">
        <v>0</v>
      </c>
      <c r="P2483" t="n">
        <v>0</v>
      </c>
      <c r="Q2483" t="n">
        <v>0</v>
      </c>
      <c r="R2483" s="2" t="inlineStr"/>
    </row>
    <row r="2484" ht="15" customHeight="1">
      <c r="A2484" t="inlineStr">
        <is>
          <t>A 63333-2021</t>
        </is>
      </c>
      <c r="B2484" s="1" t="n">
        <v>44506</v>
      </c>
      <c r="C2484" s="1" t="n">
        <v>45952</v>
      </c>
      <c r="D2484" t="inlineStr">
        <is>
          <t>VÄSTRA GÖTALANDS LÄN</t>
        </is>
      </c>
      <c r="E2484" t="inlineStr">
        <is>
          <t>TANUM</t>
        </is>
      </c>
      <c r="G2484" t="n">
        <v>1.4</v>
      </c>
      <c r="H2484" t="n">
        <v>0</v>
      </c>
      <c r="I2484" t="n">
        <v>0</v>
      </c>
      <c r="J2484" t="n">
        <v>0</v>
      </c>
      <c r="K2484" t="n">
        <v>0</v>
      </c>
      <c r="L2484" t="n">
        <v>0</v>
      </c>
      <c r="M2484" t="n">
        <v>0</v>
      </c>
      <c r="N2484" t="n">
        <v>0</v>
      </c>
      <c r="O2484" t="n">
        <v>0</v>
      </c>
      <c r="P2484" t="n">
        <v>0</v>
      </c>
      <c r="Q2484" t="n">
        <v>0</v>
      </c>
      <c r="R2484" s="2" t="inlineStr"/>
    </row>
    <row r="2485" ht="15" customHeight="1">
      <c r="A2485" t="inlineStr">
        <is>
          <t>A 3325-2021</t>
        </is>
      </c>
      <c r="B2485" s="1" t="n">
        <v>44217</v>
      </c>
      <c r="C2485" s="1" t="n">
        <v>45952</v>
      </c>
      <c r="D2485" t="inlineStr">
        <is>
          <t>VÄSTRA GÖTALANDS LÄN</t>
        </is>
      </c>
      <c r="E2485" t="inlineStr">
        <is>
          <t>MARK</t>
        </is>
      </c>
      <c r="G2485" t="n">
        <v>1.9</v>
      </c>
      <c r="H2485" t="n">
        <v>0</v>
      </c>
      <c r="I2485" t="n">
        <v>0</v>
      </c>
      <c r="J2485" t="n">
        <v>0</v>
      </c>
      <c r="K2485" t="n">
        <v>0</v>
      </c>
      <c r="L2485" t="n">
        <v>0</v>
      </c>
      <c r="M2485" t="n">
        <v>0</v>
      </c>
      <c r="N2485" t="n">
        <v>0</v>
      </c>
      <c r="O2485" t="n">
        <v>0</v>
      </c>
      <c r="P2485" t="n">
        <v>0</v>
      </c>
      <c r="Q2485" t="n">
        <v>0</v>
      </c>
      <c r="R2485" s="2" t="inlineStr"/>
    </row>
    <row r="2486" ht="15" customHeight="1">
      <c r="A2486" t="inlineStr">
        <is>
          <t>A 65974-2021</t>
        </is>
      </c>
      <c r="B2486" s="1" t="n">
        <v>44517</v>
      </c>
      <c r="C2486" s="1" t="n">
        <v>45952</v>
      </c>
      <c r="D2486" t="inlineStr">
        <is>
          <t>VÄSTRA GÖTALANDS LÄN</t>
        </is>
      </c>
      <c r="E2486" t="inlineStr">
        <is>
          <t>SVENLJUNGA</t>
        </is>
      </c>
      <c r="G2486" t="n">
        <v>4.4</v>
      </c>
      <c r="H2486" t="n">
        <v>0</v>
      </c>
      <c r="I2486" t="n">
        <v>0</v>
      </c>
      <c r="J2486" t="n">
        <v>0</v>
      </c>
      <c r="K2486" t="n">
        <v>0</v>
      </c>
      <c r="L2486" t="n">
        <v>0</v>
      </c>
      <c r="M2486" t="n">
        <v>0</v>
      </c>
      <c r="N2486" t="n">
        <v>0</v>
      </c>
      <c r="O2486" t="n">
        <v>0</v>
      </c>
      <c r="P2486" t="n">
        <v>0</v>
      </c>
      <c r="Q2486" t="n">
        <v>0</v>
      </c>
      <c r="R2486" s="2" t="inlineStr"/>
    </row>
    <row r="2487" ht="15" customHeight="1">
      <c r="A2487" t="inlineStr">
        <is>
          <t>A 17092-2021</t>
        </is>
      </c>
      <c r="B2487" s="1" t="n">
        <v>44298</v>
      </c>
      <c r="C2487" s="1" t="n">
        <v>45952</v>
      </c>
      <c r="D2487" t="inlineStr">
        <is>
          <t>VÄSTRA GÖTALANDS LÄN</t>
        </is>
      </c>
      <c r="E2487" t="inlineStr">
        <is>
          <t>BORÅS</t>
        </is>
      </c>
      <c r="F2487" t="inlineStr">
        <is>
          <t>Sveaskog</t>
        </is>
      </c>
      <c r="G2487" t="n">
        <v>1.1</v>
      </c>
      <c r="H2487" t="n">
        <v>0</v>
      </c>
      <c r="I2487" t="n">
        <v>0</v>
      </c>
      <c r="J2487" t="n">
        <v>0</v>
      </c>
      <c r="K2487" t="n">
        <v>0</v>
      </c>
      <c r="L2487" t="n">
        <v>0</v>
      </c>
      <c r="M2487" t="n">
        <v>0</v>
      </c>
      <c r="N2487" t="n">
        <v>0</v>
      </c>
      <c r="O2487" t="n">
        <v>0</v>
      </c>
      <c r="P2487" t="n">
        <v>0</v>
      </c>
      <c r="Q2487" t="n">
        <v>0</v>
      </c>
      <c r="R2487" s="2" t="inlineStr"/>
    </row>
    <row r="2488" ht="15" customHeight="1">
      <c r="A2488" t="inlineStr">
        <is>
          <t>A 12745-2021</t>
        </is>
      </c>
      <c r="B2488" s="1" t="n">
        <v>44270</v>
      </c>
      <c r="C2488" s="1" t="n">
        <v>45952</v>
      </c>
      <c r="D2488" t="inlineStr">
        <is>
          <t>VÄSTRA GÖTALANDS LÄN</t>
        </is>
      </c>
      <c r="E2488" t="inlineStr">
        <is>
          <t>TANUM</t>
        </is>
      </c>
      <c r="G2488" t="n">
        <v>1.5</v>
      </c>
      <c r="H2488" t="n">
        <v>0</v>
      </c>
      <c r="I2488" t="n">
        <v>0</v>
      </c>
      <c r="J2488" t="n">
        <v>0</v>
      </c>
      <c r="K2488" t="n">
        <v>0</v>
      </c>
      <c r="L2488" t="n">
        <v>0</v>
      </c>
      <c r="M2488" t="n">
        <v>0</v>
      </c>
      <c r="N2488" t="n">
        <v>0</v>
      </c>
      <c r="O2488" t="n">
        <v>0</v>
      </c>
      <c r="P2488" t="n">
        <v>0</v>
      </c>
      <c r="Q2488" t="n">
        <v>0</v>
      </c>
      <c r="R2488" s="2" t="inlineStr"/>
    </row>
    <row r="2489" ht="15" customHeight="1">
      <c r="A2489" t="inlineStr">
        <is>
          <t>A 49365-2021</t>
        </is>
      </c>
      <c r="B2489" s="1" t="n">
        <v>44454.59979166667</v>
      </c>
      <c r="C2489" s="1" t="n">
        <v>45952</v>
      </c>
      <c r="D2489" t="inlineStr">
        <is>
          <t>VÄSTRA GÖTALANDS LÄN</t>
        </is>
      </c>
      <c r="E2489" t="inlineStr">
        <is>
          <t>GULLSPÅNG</t>
        </is>
      </c>
      <c r="G2489" t="n">
        <v>3.1</v>
      </c>
      <c r="H2489" t="n">
        <v>0</v>
      </c>
      <c r="I2489" t="n">
        <v>0</v>
      </c>
      <c r="J2489" t="n">
        <v>0</v>
      </c>
      <c r="K2489" t="n">
        <v>0</v>
      </c>
      <c r="L2489" t="n">
        <v>0</v>
      </c>
      <c r="M2489" t="n">
        <v>0</v>
      </c>
      <c r="N2489" t="n">
        <v>0</v>
      </c>
      <c r="O2489" t="n">
        <v>0</v>
      </c>
      <c r="P2489" t="n">
        <v>0</v>
      </c>
      <c r="Q2489" t="n">
        <v>0</v>
      </c>
      <c r="R2489" s="2" t="inlineStr"/>
    </row>
    <row r="2490" ht="15" customHeight="1">
      <c r="A2490" t="inlineStr">
        <is>
          <t>A 27497-2021</t>
        </is>
      </c>
      <c r="B2490" s="1" t="n">
        <v>44351.63715277778</v>
      </c>
      <c r="C2490" s="1" t="n">
        <v>45952</v>
      </c>
      <c r="D2490" t="inlineStr">
        <is>
          <t>VÄSTRA GÖTALANDS LÄN</t>
        </is>
      </c>
      <c r="E2490" t="inlineStr">
        <is>
          <t>UDDEVALLA</t>
        </is>
      </c>
      <c r="G2490" t="n">
        <v>1.6</v>
      </c>
      <c r="H2490" t="n">
        <v>0</v>
      </c>
      <c r="I2490" t="n">
        <v>0</v>
      </c>
      <c r="J2490" t="n">
        <v>0</v>
      </c>
      <c r="K2490" t="n">
        <v>0</v>
      </c>
      <c r="L2490" t="n">
        <v>0</v>
      </c>
      <c r="M2490" t="n">
        <v>0</v>
      </c>
      <c r="N2490" t="n">
        <v>0</v>
      </c>
      <c r="O2490" t="n">
        <v>0</v>
      </c>
      <c r="P2490" t="n">
        <v>0</v>
      </c>
      <c r="Q2490" t="n">
        <v>0</v>
      </c>
      <c r="R2490" s="2" t="inlineStr"/>
    </row>
    <row r="2491" ht="15" customHeight="1">
      <c r="A2491" t="inlineStr">
        <is>
          <t>A 15803-2021</t>
        </is>
      </c>
      <c r="B2491" s="1" t="n">
        <v>44286.61305555556</v>
      </c>
      <c r="C2491" s="1" t="n">
        <v>45952</v>
      </c>
      <c r="D2491" t="inlineStr">
        <is>
          <t>VÄSTRA GÖTALANDS LÄN</t>
        </is>
      </c>
      <c r="E2491" t="inlineStr">
        <is>
          <t>MARK</t>
        </is>
      </c>
      <c r="G2491" t="n">
        <v>2.5</v>
      </c>
      <c r="H2491" t="n">
        <v>0</v>
      </c>
      <c r="I2491" t="n">
        <v>0</v>
      </c>
      <c r="J2491" t="n">
        <v>0</v>
      </c>
      <c r="K2491" t="n">
        <v>0</v>
      </c>
      <c r="L2491" t="n">
        <v>0</v>
      </c>
      <c r="M2491" t="n">
        <v>0</v>
      </c>
      <c r="N2491" t="n">
        <v>0</v>
      </c>
      <c r="O2491" t="n">
        <v>0</v>
      </c>
      <c r="P2491" t="n">
        <v>0</v>
      </c>
      <c r="Q2491" t="n">
        <v>0</v>
      </c>
      <c r="R2491" s="2" t="inlineStr"/>
    </row>
    <row r="2492" ht="15" customHeight="1">
      <c r="A2492" t="inlineStr">
        <is>
          <t>A 35204-2021</t>
        </is>
      </c>
      <c r="B2492" s="1" t="n">
        <v>44383</v>
      </c>
      <c r="C2492" s="1" t="n">
        <v>45952</v>
      </c>
      <c r="D2492" t="inlineStr">
        <is>
          <t>VÄSTRA GÖTALANDS LÄN</t>
        </is>
      </c>
      <c r="E2492" t="inlineStr">
        <is>
          <t>FÄRGELANDA</t>
        </is>
      </c>
      <c r="G2492" t="n">
        <v>0.3</v>
      </c>
      <c r="H2492" t="n">
        <v>0</v>
      </c>
      <c r="I2492" t="n">
        <v>0</v>
      </c>
      <c r="J2492" t="n">
        <v>0</v>
      </c>
      <c r="K2492" t="n">
        <v>0</v>
      </c>
      <c r="L2492" t="n">
        <v>0</v>
      </c>
      <c r="M2492" t="n">
        <v>0</v>
      </c>
      <c r="N2492" t="n">
        <v>0</v>
      </c>
      <c r="O2492" t="n">
        <v>0</v>
      </c>
      <c r="P2492" t="n">
        <v>0</v>
      </c>
      <c r="Q2492" t="n">
        <v>0</v>
      </c>
      <c r="R2492" s="2" t="inlineStr"/>
    </row>
    <row r="2493" ht="15" customHeight="1">
      <c r="A2493" t="inlineStr">
        <is>
          <t>A 9413-2021</t>
        </is>
      </c>
      <c r="B2493" s="1" t="n">
        <v>44251</v>
      </c>
      <c r="C2493" s="1" t="n">
        <v>45952</v>
      </c>
      <c r="D2493" t="inlineStr">
        <is>
          <t>VÄSTRA GÖTALANDS LÄN</t>
        </is>
      </c>
      <c r="E2493" t="inlineStr">
        <is>
          <t>HERRLJUNGA</t>
        </is>
      </c>
      <c r="G2493" t="n">
        <v>2.8</v>
      </c>
      <c r="H2493" t="n">
        <v>0</v>
      </c>
      <c r="I2493" t="n">
        <v>0</v>
      </c>
      <c r="J2493" t="n">
        <v>0</v>
      </c>
      <c r="K2493" t="n">
        <v>0</v>
      </c>
      <c r="L2493" t="n">
        <v>0</v>
      </c>
      <c r="M2493" t="n">
        <v>0</v>
      </c>
      <c r="N2493" t="n">
        <v>0</v>
      </c>
      <c r="O2493" t="n">
        <v>0</v>
      </c>
      <c r="P2493" t="n">
        <v>0</v>
      </c>
      <c r="Q2493" t="n">
        <v>0</v>
      </c>
      <c r="R2493" s="2" t="inlineStr"/>
    </row>
    <row r="2494" ht="15" customHeight="1">
      <c r="A2494" t="inlineStr">
        <is>
          <t>A 21770-2021</t>
        </is>
      </c>
      <c r="B2494" s="1" t="n">
        <v>44321</v>
      </c>
      <c r="C2494" s="1" t="n">
        <v>45952</v>
      </c>
      <c r="D2494" t="inlineStr">
        <is>
          <t>VÄSTRA GÖTALANDS LÄN</t>
        </is>
      </c>
      <c r="E2494" t="inlineStr">
        <is>
          <t>GULLSPÅNG</t>
        </is>
      </c>
      <c r="G2494" t="n">
        <v>1.3</v>
      </c>
      <c r="H2494" t="n">
        <v>0</v>
      </c>
      <c r="I2494" t="n">
        <v>0</v>
      </c>
      <c r="J2494" t="n">
        <v>0</v>
      </c>
      <c r="K2494" t="n">
        <v>0</v>
      </c>
      <c r="L2494" t="n">
        <v>0</v>
      </c>
      <c r="M2494" t="n">
        <v>0</v>
      </c>
      <c r="N2494" t="n">
        <v>0</v>
      </c>
      <c r="O2494" t="n">
        <v>0</v>
      </c>
      <c r="P2494" t="n">
        <v>0</v>
      </c>
      <c r="Q2494" t="n">
        <v>0</v>
      </c>
      <c r="R2494" s="2" t="inlineStr"/>
    </row>
    <row r="2495" ht="15" customHeight="1">
      <c r="A2495" t="inlineStr">
        <is>
          <t>A 9852-2021</t>
        </is>
      </c>
      <c r="B2495" s="1" t="n">
        <v>44253</v>
      </c>
      <c r="C2495" s="1" t="n">
        <v>45952</v>
      </c>
      <c r="D2495" t="inlineStr">
        <is>
          <t>VÄSTRA GÖTALANDS LÄN</t>
        </is>
      </c>
      <c r="E2495" t="inlineStr">
        <is>
          <t>HERRLJUNGA</t>
        </is>
      </c>
      <c r="G2495" t="n">
        <v>2.6</v>
      </c>
      <c r="H2495" t="n">
        <v>0</v>
      </c>
      <c r="I2495" t="n">
        <v>0</v>
      </c>
      <c r="J2495" t="n">
        <v>0</v>
      </c>
      <c r="K2495" t="n">
        <v>0</v>
      </c>
      <c r="L2495" t="n">
        <v>0</v>
      </c>
      <c r="M2495" t="n">
        <v>0</v>
      </c>
      <c r="N2495" t="n">
        <v>0</v>
      </c>
      <c r="O2495" t="n">
        <v>0</v>
      </c>
      <c r="P2495" t="n">
        <v>0</v>
      </c>
      <c r="Q2495" t="n">
        <v>0</v>
      </c>
      <c r="R2495" s="2" t="inlineStr"/>
    </row>
    <row r="2496" ht="15" customHeight="1">
      <c r="A2496" t="inlineStr">
        <is>
          <t>A 65970-2021</t>
        </is>
      </c>
      <c r="B2496" s="1" t="n">
        <v>44517.53170138889</v>
      </c>
      <c r="C2496" s="1" t="n">
        <v>45952</v>
      </c>
      <c r="D2496" t="inlineStr">
        <is>
          <t>VÄSTRA GÖTALANDS LÄN</t>
        </is>
      </c>
      <c r="E2496" t="inlineStr">
        <is>
          <t>SVENLJUNGA</t>
        </is>
      </c>
      <c r="G2496" t="n">
        <v>1.8</v>
      </c>
      <c r="H2496" t="n">
        <v>0</v>
      </c>
      <c r="I2496" t="n">
        <v>0</v>
      </c>
      <c r="J2496" t="n">
        <v>0</v>
      </c>
      <c r="K2496" t="n">
        <v>0</v>
      </c>
      <c r="L2496" t="n">
        <v>0</v>
      </c>
      <c r="M2496" t="n">
        <v>0</v>
      </c>
      <c r="N2496" t="n">
        <v>0</v>
      </c>
      <c r="O2496" t="n">
        <v>0</v>
      </c>
      <c r="P2496" t="n">
        <v>0</v>
      </c>
      <c r="Q2496" t="n">
        <v>0</v>
      </c>
      <c r="R2496" s="2" t="inlineStr"/>
    </row>
    <row r="2497" ht="15" customHeight="1">
      <c r="A2497" t="inlineStr">
        <is>
          <t>A 32660-2021</t>
        </is>
      </c>
      <c r="B2497" s="1" t="n">
        <v>44375.45502314815</v>
      </c>
      <c r="C2497" s="1" t="n">
        <v>45952</v>
      </c>
      <c r="D2497" t="inlineStr">
        <is>
          <t>VÄSTRA GÖTALANDS LÄN</t>
        </is>
      </c>
      <c r="E2497" t="inlineStr">
        <is>
          <t>SVENLJUNGA</t>
        </is>
      </c>
      <c r="G2497" t="n">
        <v>3</v>
      </c>
      <c r="H2497" t="n">
        <v>0</v>
      </c>
      <c r="I2497" t="n">
        <v>0</v>
      </c>
      <c r="J2497" t="n">
        <v>0</v>
      </c>
      <c r="K2497" t="n">
        <v>0</v>
      </c>
      <c r="L2497" t="n">
        <v>0</v>
      </c>
      <c r="M2497" t="n">
        <v>0</v>
      </c>
      <c r="N2497" t="n">
        <v>0</v>
      </c>
      <c r="O2497" t="n">
        <v>0</v>
      </c>
      <c r="P2497" t="n">
        <v>0</v>
      </c>
      <c r="Q2497" t="n">
        <v>0</v>
      </c>
      <c r="R2497" s="2" t="inlineStr"/>
    </row>
    <row r="2498" ht="15" customHeight="1">
      <c r="A2498" t="inlineStr">
        <is>
          <t>A 36708-2021</t>
        </is>
      </c>
      <c r="B2498" s="1" t="n">
        <v>44392</v>
      </c>
      <c r="C2498" s="1" t="n">
        <v>45952</v>
      </c>
      <c r="D2498" t="inlineStr">
        <is>
          <t>VÄSTRA GÖTALANDS LÄN</t>
        </is>
      </c>
      <c r="E2498" t="inlineStr">
        <is>
          <t>TIDAHOLM</t>
        </is>
      </c>
      <c r="G2498" t="n">
        <v>0.9</v>
      </c>
      <c r="H2498" t="n">
        <v>0</v>
      </c>
      <c r="I2498" t="n">
        <v>0</v>
      </c>
      <c r="J2498" t="n">
        <v>0</v>
      </c>
      <c r="K2498" t="n">
        <v>0</v>
      </c>
      <c r="L2498" t="n">
        <v>0</v>
      </c>
      <c r="M2498" t="n">
        <v>0</v>
      </c>
      <c r="N2498" t="n">
        <v>0</v>
      </c>
      <c r="O2498" t="n">
        <v>0</v>
      </c>
      <c r="P2498" t="n">
        <v>0</v>
      </c>
      <c r="Q2498" t="n">
        <v>0</v>
      </c>
      <c r="R2498" s="2" t="inlineStr"/>
    </row>
    <row r="2499" ht="15" customHeight="1">
      <c r="A2499" t="inlineStr">
        <is>
          <t>A 43273-2022</t>
        </is>
      </c>
      <c r="B2499" s="1" t="n">
        <v>44834.48917824074</v>
      </c>
      <c r="C2499" s="1" t="n">
        <v>45952</v>
      </c>
      <c r="D2499" t="inlineStr">
        <is>
          <t>VÄSTRA GÖTALANDS LÄN</t>
        </is>
      </c>
      <c r="E2499" t="inlineStr">
        <is>
          <t>HERRLJUNGA</t>
        </is>
      </c>
      <c r="G2499" t="n">
        <v>1.4</v>
      </c>
      <c r="H2499" t="n">
        <v>0</v>
      </c>
      <c r="I2499" t="n">
        <v>0</v>
      </c>
      <c r="J2499" t="n">
        <v>0</v>
      </c>
      <c r="K2499" t="n">
        <v>0</v>
      </c>
      <c r="L2499" t="n">
        <v>0</v>
      </c>
      <c r="M2499" t="n">
        <v>0</v>
      </c>
      <c r="N2499" t="n">
        <v>0</v>
      </c>
      <c r="O2499" t="n">
        <v>0</v>
      </c>
      <c r="P2499" t="n">
        <v>0</v>
      </c>
      <c r="Q2499" t="n">
        <v>0</v>
      </c>
      <c r="R2499" s="2" t="inlineStr"/>
    </row>
    <row r="2500" ht="15" customHeight="1">
      <c r="A2500" t="inlineStr">
        <is>
          <t>A 13589-2021</t>
        </is>
      </c>
      <c r="B2500" s="1" t="n">
        <v>44274</v>
      </c>
      <c r="C2500" s="1" t="n">
        <v>45952</v>
      </c>
      <c r="D2500" t="inlineStr">
        <is>
          <t>VÄSTRA GÖTALANDS LÄN</t>
        </is>
      </c>
      <c r="E2500" t="inlineStr">
        <is>
          <t>FÄRGELANDA</t>
        </is>
      </c>
      <c r="G2500" t="n">
        <v>5.4</v>
      </c>
      <c r="H2500" t="n">
        <v>0</v>
      </c>
      <c r="I2500" t="n">
        <v>0</v>
      </c>
      <c r="J2500" t="n">
        <v>0</v>
      </c>
      <c r="K2500" t="n">
        <v>0</v>
      </c>
      <c r="L2500" t="n">
        <v>0</v>
      </c>
      <c r="M2500" t="n">
        <v>0</v>
      </c>
      <c r="N2500" t="n">
        <v>0</v>
      </c>
      <c r="O2500" t="n">
        <v>0</v>
      </c>
      <c r="P2500" t="n">
        <v>0</v>
      </c>
      <c r="Q2500" t="n">
        <v>0</v>
      </c>
      <c r="R2500" s="2" t="inlineStr"/>
    </row>
    <row r="2501" ht="15" customHeight="1">
      <c r="A2501" t="inlineStr">
        <is>
          <t>A 26345-2022</t>
        </is>
      </c>
      <c r="B2501" s="1" t="n">
        <v>44735</v>
      </c>
      <c r="C2501" s="1" t="n">
        <v>45952</v>
      </c>
      <c r="D2501" t="inlineStr">
        <is>
          <t>VÄSTRA GÖTALANDS LÄN</t>
        </is>
      </c>
      <c r="E2501" t="inlineStr">
        <is>
          <t>LERUM</t>
        </is>
      </c>
      <c r="G2501" t="n">
        <v>1.9</v>
      </c>
      <c r="H2501" t="n">
        <v>0</v>
      </c>
      <c r="I2501" t="n">
        <v>0</v>
      </c>
      <c r="J2501" t="n">
        <v>0</v>
      </c>
      <c r="K2501" t="n">
        <v>0</v>
      </c>
      <c r="L2501" t="n">
        <v>0</v>
      </c>
      <c r="M2501" t="n">
        <v>0</v>
      </c>
      <c r="N2501" t="n">
        <v>0</v>
      </c>
      <c r="O2501" t="n">
        <v>0</v>
      </c>
      <c r="P2501" t="n">
        <v>0</v>
      </c>
      <c r="Q2501" t="n">
        <v>0</v>
      </c>
      <c r="R2501" s="2" t="inlineStr"/>
    </row>
    <row r="2502" ht="15" customHeight="1">
      <c r="A2502" t="inlineStr">
        <is>
          <t>A 26357-2022</t>
        </is>
      </c>
      <c r="B2502" s="1" t="n">
        <v>44735</v>
      </c>
      <c r="C2502" s="1" t="n">
        <v>45952</v>
      </c>
      <c r="D2502" t="inlineStr">
        <is>
          <t>VÄSTRA GÖTALANDS LÄN</t>
        </is>
      </c>
      <c r="E2502" t="inlineStr">
        <is>
          <t>TRANEMO</t>
        </is>
      </c>
      <c r="G2502" t="n">
        <v>1</v>
      </c>
      <c r="H2502" t="n">
        <v>0</v>
      </c>
      <c r="I2502" t="n">
        <v>0</v>
      </c>
      <c r="J2502" t="n">
        <v>0</v>
      </c>
      <c r="K2502" t="n">
        <v>0</v>
      </c>
      <c r="L2502" t="n">
        <v>0</v>
      </c>
      <c r="M2502" t="n">
        <v>0</v>
      </c>
      <c r="N2502" t="n">
        <v>0</v>
      </c>
      <c r="O2502" t="n">
        <v>0</v>
      </c>
      <c r="P2502" t="n">
        <v>0</v>
      </c>
      <c r="Q2502" t="n">
        <v>0</v>
      </c>
      <c r="R2502" s="2" t="inlineStr"/>
    </row>
    <row r="2503" ht="15" customHeight="1">
      <c r="A2503" t="inlineStr">
        <is>
          <t>A 46932-2022</t>
        </is>
      </c>
      <c r="B2503" s="1" t="n">
        <v>44851.74324074074</v>
      </c>
      <c r="C2503" s="1" t="n">
        <v>45952</v>
      </c>
      <c r="D2503" t="inlineStr">
        <is>
          <t>VÄSTRA GÖTALANDS LÄN</t>
        </is>
      </c>
      <c r="E2503" t="inlineStr">
        <is>
          <t>VARA</t>
        </is>
      </c>
      <c r="G2503" t="n">
        <v>4.7</v>
      </c>
      <c r="H2503" t="n">
        <v>0</v>
      </c>
      <c r="I2503" t="n">
        <v>0</v>
      </c>
      <c r="J2503" t="n">
        <v>0</v>
      </c>
      <c r="K2503" t="n">
        <v>0</v>
      </c>
      <c r="L2503" t="n">
        <v>0</v>
      </c>
      <c r="M2503" t="n">
        <v>0</v>
      </c>
      <c r="N2503" t="n">
        <v>0</v>
      </c>
      <c r="O2503" t="n">
        <v>0</v>
      </c>
      <c r="P2503" t="n">
        <v>0</v>
      </c>
      <c r="Q2503" t="n">
        <v>0</v>
      </c>
      <c r="R2503" s="2" t="inlineStr"/>
    </row>
    <row r="2504" ht="15" customHeight="1">
      <c r="A2504" t="inlineStr">
        <is>
          <t>A 46933-2022</t>
        </is>
      </c>
      <c r="B2504" s="1" t="n">
        <v>44851.74546296296</v>
      </c>
      <c r="C2504" s="1" t="n">
        <v>45952</v>
      </c>
      <c r="D2504" t="inlineStr">
        <is>
          <t>VÄSTRA GÖTALANDS LÄN</t>
        </is>
      </c>
      <c r="E2504" t="inlineStr">
        <is>
          <t>VARA</t>
        </is>
      </c>
      <c r="G2504" t="n">
        <v>0.4</v>
      </c>
      <c r="H2504" t="n">
        <v>0</v>
      </c>
      <c r="I2504" t="n">
        <v>0</v>
      </c>
      <c r="J2504" t="n">
        <v>0</v>
      </c>
      <c r="K2504" t="n">
        <v>0</v>
      </c>
      <c r="L2504" t="n">
        <v>0</v>
      </c>
      <c r="M2504" t="n">
        <v>0</v>
      </c>
      <c r="N2504" t="n">
        <v>0</v>
      </c>
      <c r="O2504" t="n">
        <v>0</v>
      </c>
      <c r="P2504" t="n">
        <v>0</v>
      </c>
      <c r="Q2504" t="n">
        <v>0</v>
      </c>
      <c r="R2504" s="2" t="inlineStr"/>
    </row>
    <row r="2505" ht="15" customHeight="1">
      <c r="A2505" t="inlineStr">
        <is>
          <t>A 63680-2021</t>
        </is>
      </c>
      <c r="B2505" s="1" t="n">
        <v>44509.38251157408</v>
      </c>
      <c r="C2505" s="1" t="n">
        <v>45952</v>
      </c>
      <c r="D2505" t="inlineStr">
        <is>
          <t>VÄSTRA GÖTALANDS LÄN</t>
        </is>
      </c>
      <c r="E2505" t="inlineStr">
        <is>
          <t>ULRICEHAMN</t>
        </is>
      </c>
      <c r="G2505" t="n">
        <v>0.9</v>
      </c>
      <c r="H2505" t="n">
        <v>0</v>
      </c>
      <c r="I2505" t="n">
        <v>0</v>
      </c>
      <c r="J2505" t="n">
        <v>0</v>
      </c>
      <c r="K2505" t="n">
        <v>0</v>
      </c>
      <c r="L2505" t="n">
        <v>0</v>
      </c>
      <c r="M2505" t="n">
        <v>0</v>
      </c>
      <c r="N2505" t="n">
        <v>0</v>
      </c>
      <c r="O2505" t="n">
        <v>0</v>
      </c>
      <c r="P2505" t="n">
        <v>0</v>
      </c>
      <c r="Q2505" t="n">
        <v>0</v>
      </c>
      <c r="R2505" s="2" t="inlineStr"/>
    </row>
    <row r="2506" ht="15" customHeight="1">
      <c r="A2506" t="inlineStr">
        <is>
          <t>A 8899-2022</t>
        </is>
      </c>
      <c r="B2506" s="1" t="n">
        <v>44614.63824074074</v>
      </c>
      <c r="C2506" s="1" t="n">
        <v>45952</v>
      </c>
      <c r="D2506" t="inlineStr">
        <is>
          <t>VÄSTRA GÖTALANDS LÄN</t>
        </is>
      </c>
      <c r="E2506" t="inlineStr">
        <is>
          <t>UDDEVALLA</t>
        </is>
      </c>
      <c r="G2506" t="n">
        <v>0.4</v>
      </c>
      <c r="H2506" t="n">
        <v>0</v>
      </c>
      <c r="I2506" t="n">
        <v>0</v>
      </c>
      <c r="J2506" t="n">
        <v>0</v>
      </c>
      <c r="K2506" t="n">
        <v>0</v>
      </c>
      <c r="L2506" t="n">
        <v>0</v>
      </c>
      <c r="M2506" t="n">
        <v>0</v>
      </c>
      <c r="N2506" t="n">
        <v>0</v>
      </c>
      <c r="O2506" t="n">
        <v>0</v>
      </c>
      <c r="P2506" t="n">
        <v>0</v>
      </c>
      <c r="Q2506" t="n">
        <v>0</v>
      </c>
      <c r="R2506" s="2" t="inlineStr"/>
    </row>
    <row r="2507" ht="15" customHeight="1">
      <c r="A2507" t="inlineStr">
        <is>
          <t>A 8910-2022</t>
        </is>
      </c>
      <c r="B2507" s="1" t="n">
        <v>44614</v>
      </c>
      <c r="C2507" s="1" t="n">
        <v>45952</v>
      </c>
      <c r="D2507" t="inlineStr">
        <is>
          <t>VÄSTRA GÖTALANDS LÄN</t>
        </is>
      </c>
      <c r="E2507" t="inlineStr">
        <is>
          <t>GULLSPÅNG</t>
        </is>
      </c>
      <c r="F2507" t="inlineStr">
        <is>
          <t>Kyrkan</t>
        </is>
      </c>
      <c r="G2507" t="n">
        <v>9.9</v>
      </c>
      <c r="H2507" t="n">
        <v>0</v>
      </c>
      <c r="I2507" t="n">
        <v>0</v>
      </c>
      <c r="J2507" t="n">
        <v>0</v>
      </c>
      <c r="K2507" t="n">
        <v>0</v>
      </c>
      <c r="L2507" t="n">
        <v>0</v>
      </c>
      <c r="M2507" t="n">
        <v>0</v>
      </c>
      <c r="N2507" t="n">
        <v>0</v>
      </c>
      <c r="O2507" t="n">
        <v>0</v>
      </c>
      <c r="P2507" t="n">
        <v>0</v>
      </c>
      <c r="Q2507" t="n">
        <v>0</v>
      </c>
      <c r="R2507" s="2" t="inlineStr"/>
    </row>
    <row r="2508" ht="15" customHeight="1">
      <c r="A2508" t="inlineStr">
        <is>
          <t>A 21133-2022</t>
        </is>
      </c>
      <c r="B2508" s="1" t="n">
        <v>44704</v>
      </c>
      <c r="C2508" s="1" t="n">
        <v>45952</v>
      </c>
      <c r="D2508" t="inlineStr">
        <is>
          <t>VÄSTRA GÖTALANDS LÄN</t>
        </is>
      </c>
      <c r="E2508" t="inlineStr">
        <is>
          <t>LERUM</t>
        </is>
      </c>
      <c r="G2508" t="n">
        <v>0.5</v>
      </c>
      <c r="H2508" t="n">
        <v>0</v>
      </c>
      <c r="I2508" t="n">
        <v>0</v>
      </c>
      <c r="J2508" t="n">
        <v>0</v>
      </c>
      <c r="K2508" t="n">
        <v>0</v>
      </c>
      <c r="L2508" t="n">
        <v>0</v>
      </c>
      <c r="M2508" t="n">
        <v>0</v>
      </c>
      <c r="N2508" t="n">
        <v>0</v>
      </c>
      <c r="O2508" t="n">
        <v>0</v>
      </c>
      <c r="P2508" t="n">
        <v>0</v>
      </c>
      <c r="Q2508" t="n">
        <v>0</v>
      </c>
      <c r="R2508" s="2" t="inlineStr"/>
    </row>
    <row r="2509" ht="15" customHeight="1">
      <c r="A2509" t="inlineStr">
        <is>
          <t>A 8956-2022</t>
        </is>
      </c>
      <c r="B2509" s="1" t="n">
        <v>44614.88405092592</v>
      </c>
      <c r="C2509" s="1" t="n">
        <v>45952</v>
      </c>
      <c r="D2509" t="inlineStr">
        <is>
          <t>VÄSTRA GÖTALANDS LÄN</t>
        </is>
      </c>
      <c r="E2509" t="inlineStr">
        <is>
          <t>SVENLJUNGA</t>
        </is>
      </c>
      <c r="G2509" t="n">
        <v>1</v>
      </c>
      <c r="H2509" t="n">
        <v>0</v>
      </c>
      <c r="I2509" t="n">
        <v>0</v>
      </c>
      <c r="J2509" t="n">
        <v>0</v>
      </c>
      <c r="K2509" t="n">
        <v>0</v>
      </c>
      <c r="L2509" t="n">
        <v>0</v>
      </c>
      <c r="M2509" t="n">
        <v>0</v>
      </c>
      <c r="N2509" t="n">
        <v>0</v>
      </c>
      <c r="O2509" t="n">
        <v>0</v>
      </c>
      <c r="P2509" t="n">
        <v>0</v>
      </c>
      <c r="Q2509" t="n">
        <v>0</v>
      </c>
      <c r="R2509" s="2" t="inlineStr"/>
    </row>
    <row r="2510" ht="15" customHeight="1">
      <c r="A2510" t="inlineStr">
        <is>
          <t>A 47179-2021</t>
        </is>
      </c>
      <c r="B2510" s="1" t="n">
        <v>44446</v>
      </c>
      <c r="C2510" s="1" t="n">
        <v>45952</v>
      </c>
      <c r="D2510" t="inlineStr">
        <is>
          <t>VÄSTRA GÖTALANDS LÄN</t>
        </is>
      </c>
      <c r="E2510" t="inlineStr">
        <is>
          <t>FÄRGELANDA</t>
        </is>
      </c>
      <c r="G2510" t="n">
        <v>1</v>
      </c>
      <c r="H2510" t="n">
        <v>0</v>
      </c>
      <c r="I2510" t="n">
        <v>0</v>
      </c>
      <c r="J2510" t="n">
        <v>0</v>
      </c>
      <c r="K2510" t="n">
        <v>0</v>
      </c>
      <c r="L2510" t="n">
        <v>0</v>
      </c>
      <c r="M2510" t="n">
        <v>0</v>
      </c>
      <c r="N2510" t="n">
        <v>0</v>
      </c>
      <c r="O2510" t="n">
        <v>0</v>
      </c>
      <c r="P2510" t="n">
        <v>0</v>
      </c>
      <c r="Q2510" t="n">
        <v>0</v>
      </c>
      <c r="R2510" s="2" t="inlineStr"/>
    </row>
    <row r="2511" ht="15" customHeight="1">
      <c r="A2511" t="inlineStr">
        <is>
          <t>A 1295-2022</t>
        </is>
      </c>
      <c r="B2511" s="1" t="n">
        <v>44572.68925925926</v>
      </c>
      <c r="C2511" s="1" t="n">
        <v>45952</v>
      </c>
      <c r="D2511" t="inlineStr">
        <is>
          <t>VÄSTRA GÖTALANDS LÄN</t>
        </is>
      </c>
      <c r="E2511" t="inlineStr">
        <is>
          <t>TROLLHÄTTAN</t>
        </is>
      </c>
      <c r="G2511" t="n">
        <v>1.7</v>
      </c>
      <c r="H2511" t="n">
        <v>0</v>
      </c>
      <c r="I2511" t="n">
        <v>0</v>
      </c>
      <c r="J2511" t="n">
        <v>0</v>
      </c>
      <c r="K2511" t="n">
        <v>0</v>
      </c>
      <c r="L2511" t="n">
        <v>0</v>
      </c>
      <c r="M2511" t="n">
        <v>0</v>
      </c>
      <c r="N2511" t="n">
        <v>0</v>
      </c>
      <c r="O2511" t="n">
        <v>0</v>
      </c>
      <c r="P2511" t="n">
        <v>0</v>
      </c>
      <c r="Q2511" t="n">
        <v>0</v>
      </c>
      <c r="R2511" s="2" t="inlineStr"/>
    </row>
    <row r="2512" ht="15" customHeight="1">
      <c r="A2512" t="inlineStr">
        <is>
          <t>A 51794-2021</t>
        </is>
      </c>
      <c r="B2512" s="1" t="n">
        <v>44462.63238425926</v>
      </c>
      <c r="C2512" s="1" t="n">
        <v>45952</v>
      </c>
      <c r="D2512" t="inlineStr">
        <is>
          <t>VÄSTRA GÖTALANDS LÄN</t>
        </is>
      </c>
      <c r="E2512" t="inlineStr">
        <is>
          <t>MARK</t>
        </is>
      </c>
      <c r="G2512" t="n">
        <v>0.6</v>
      </c>
      <c r="H2512" t="n">
        <v>0</v>
      </c>
      <c r="I2512" t="n">
        <v>0</v>
      </c>
      <c r="J2512" t="n">
        <v>0</v>
      </c>
      <c r="K2512" t="n">
        <v>0</v>
      </c>
      <c r="L2512" t="n">
        <v>0</v>
      </c>
      <c r="M2512" t="n">
        <v>0</v>
      </c>
      <c r="N2512" t="n">
        <v>0</v>
      </c>
      <c r="O2512" t="n">
        <v>0</v>
      </c>
      <c r="P2512" t="n">
        <v>0</v>
      </c>
      <c r="Q2512" t="n">
        <v>0</v>
      </c>
      <c r="R2512" s="2" t="inlineStr"/>
    </row>
    <row r="2513" ht="15" customHeight="1">
      <c r="A2513" t="inlineStr">
        <is>
          <t>A 56460-2021</t>
        </is>
      </c>
      <c r="B2513" s="1" t="n">
        <v>44480.52538194445</v>
      </c>
      <c r="C2513" s="1" t="n">
        <v>45952</v>
      </c>
      <c r="D2513" t="inlineStr">
        <is>
          <t>VÄSTRA GÖTALANDS LÄN</t>
        </is>
      </c>
      <c r="E2513" t="inlineStr">
        <is>
          <t>BENGTSFORS</t>
        </is>
      </c>
      <c r="G2513" t="n">
        <v>2</v>
      </c>
      <c r="H2513" t="n">
        <v>0</v>
      </c>
      <c r="I2513" t="n">
        <v>0</v>
      </c>
      <c r="J2513" t="n">
        <v>0</v>
      </c>
      <c r="K2513" t="n">
        <v>0</v>
      </c>
      <c r="L2513" t="n">
        <v>0</v>
      </c>
      <c r="M2513" t="n">
        <v>0</v>
      </c>
      <c r="N2513" t="n">
        <v>0</v>
      </c>
      <c r="O2513" t="n">
        <v>0</v>
      </c>
      <c r="P2513" t="n">
        <v>0</v>
      </c>
      <c r="Q2513" t="n">
        <v>0</v>
      </c>
      <c r="R2513" s="2" t="inlineStr"/>
    </row>
    <row r="2514" ht="15" customHeight="1">
      <c r="A2514" t="inlineStr">
        <is>
          <t>A 52349-2021</t>
        </is>
      </c>
      <c r="B2514" s="1" t="n">
        <v>44464.50724537037</v>
      </c>
      <c r="C2514" s="1" t="n">
        <v>45952</v>
      </c>
      <c r="D2514" t="inlineStr">
        <is>
          <t>VÄSTRA GÖTALANDS LÄN</t>
        </is>
      </c>
      <c r="E2514" t="inlineStr">
        <is>
          <t>ULRICEHAMN</t>
        </is>
      </c>
      <c r="G2514" t="n">
        <v>1.4</v>
      </c>
      <c r="H2514" t="n">
        <v>0</v>
      </c>
      <c r="I2514" t="n">
        <v>0</v>
      </c>
      <c r="J2514" t="n">
        <v>0</v>
      </c>
      <c r="K2514" t="n">
        <v>0</v>
      </c>
      <c r="L2514" t="n">
        <v>0</v>
      </c>
      <c r="M2514" t="n">
        <v>0</v>
      </c>
      <c r="N2514" t="n">
        <v>0</v>
      </c>
      <c r="O2514" t="n">
        <v>0</v>
      </c>
      <c r="P2514" t="n">
        <v>0</v>
      </c>
      <c r="Q2514" t="n">
        <v>0</v>
      </c>
      <c r="R2514" s="2" t="inlineStr"/>
    </row>
    <row r="2515" ht="15" customHeight="1">
      <c r="A2515" t="inlineStr">
        <is>
          <t>A 25738-2021</t>
        </is>
      </c>
      <c r="B2515" s="1" t="n">
        <v>44343</v>
      </c>
      <c r="C2515" s="1" t="n">
        <v>45952</v>
      </c>
      <c r="D2515" t="inlineStr">
        <is>
          <t>VÄSTRA GÖTALANDS LÄN</t>
        </is>
      </c>
      <c r="E2515" t="inlineStr">
        <is>
          <t>BENGTSFORS</t>
        </is>
      </c>
      <c r="G2515" t="n">
        <v>0.6</v>
      </c>
      <c r="H2515" t="n">
        <v>0</v>
      </c>
      <c r="I2515" t="n">
        <v>0</v>
      </c>
      <c r="J2515" t="n">
        <v>0</v>
      </c>
      <c r="K2515" t="n">
        <v>0</v>
      </c>
      <c r="L2515" t="n">
        <v>0</v>
      </c>
      <c r="M2515" t="n">
        <v>0</v>
      </c>
      <c r="N2515" t="n">
        <v>0</v>
      </c>
      <c r="O2515" t="n">
        <v>0</v>
      </c>
      <c r="P2515" t="n">
        <v>0</v>
      </c>
      <c r="Q2515" t="n">
        <v>0</v>
      </c>
      <c r="R2515" s="2" t="inlineStr"/>
    </row>
    <row r="2516" ht="15" customHeight="1">
      <c r="A2516" t="inlineStr">
        <is>
          <t>A 27872-2021</t>
        </is>
      </c>
      <c r="B2516" s="1" t="n">
        <v>44354.6397337963</v>
      </c>
      <c r="C2516" s="1" t="n">
        <v>45952</v>
      </c>
      <c r="D2516" t="inlineStr">
        <is>
          <t>VÄSTRA GÖTALANDS LÄN</t>
        </is>
      </c>
      <c r="E2516" t="inlineStr">
        <is>
          <t>HJO</t>
        </is>
      </c>
      <c r="G2516" t="n">
        <v>3.1</v>
      </c>
      <c r="H2516" t="n">
        <v>0</v>
      </c>
      <c r="I2516" t="n">
        <v>0</v>
      </c>
      <c r="J2516" t="n">
        <v>0</v>
      </c>
      <c r="K2516" t="n">
        <v>0</v>
      </c>
      <c r="L2516" t="n">
        <v>0</v>
      </c>
      <c r="M2516" t="n">
        <v>0</v>
      </c>
      <c r="N2516" t="n">
        <v>0</v>
      </c>
      <c r="O2516" t="n">
        <v>0</v>
      </c>
      <c r="P2516" t="n">
        <v>0</v>
      </c>
      <c r="Q2516" t="n">
        <v>0</v>
      </c>
      <c r="R2516" s="2" t="inlineStr"/>
    </row>
    <row r="2517" ht="15" customHeight="1">
      <c r="A2517" t="inlineStr">
        <is>
          <t>A 67768-2020</t>
        </is>
      </c>
      <c r="B2517" s="1" t="n">
        <v>44181</v>
      </c>
      <c r="C2517" s="1" t="n">
        <v>45952</v>
      </c>
      <c r="D2517" t="inlineStr">
        <is>
          <t>VÄSTRA GÖTALANDS LÄN</t>
        </is>
      </c>
      <c r="E2517" t="inlineStr">
        <is>
          <t>LIDKÖPING</t>
        </is>
      </c>
      <c r="G2517" t="n">
        <v>0.4</v>
      </c>
      <c r="H2517" t="n">
        <v>0</v>
      </c>
      <c r="I2517" t="n">
        <v>0</v>
      </c>
      <c r="J2517" t="n">
        <v>0</v>
      </c>
      <c r="K2517" t="n">
        <v>0</v>
      </c>
      <c r="L2517" t="n">
        <v>0</v>
      </c>
      <c r="M2517" t="n">
        <v>0</v>
      </c>
      <c r="N2517" t="n">
        <v>0</v>
      </c>
      <c r="O2517" t="n">
        <v>0</v>
      </c>
      <c r="P2517" t="n">
        <v>0</v>
      </c>
      <c r="Q2517" t="n">
        <v>0</v>
      </c>
      <c r="R2517" s="2" t="inlineStr"/>
    </row>
    <row r="2518" ht="15" customHeight="1">
      <c r="A2518" t="inlineStr">
        <is>
          <t>A 59335-2021</t>
        </is>
      </c>
      <c r="B2518" s="1" t="n">
        <v>44491</v>
      </c>
      <c r="C2518" s="1" t="n">
        <v>45952</v>
      </c>
      <c r="D2518" t="inlineStr">
        <is>
          <t>VÄSTRA GÖTALANDS LÄN</t>
        </is>
      </c>
      <c r="E2518" t="inlineStr">
        <is>
          <t>SVENLJUNGA</t>
        </is>
      </c>
      <c r="G2518" t="n">
        <v>1.1</v>
      </c>
      <c r="H2518" t="n">
        <v>0</v>
      </c>
      <c r="I2518" t="n">
        <v>0</v>
      </c>
      <c r="J2518" t="n">
        <v>0</v>
      </c>
      <c r="K2518" t="n">
        <v>0</v>
      </c>
      <c r="L2518" t="n">
        <v>0</v>
      </c>
      <c r="M2518" t="n">
        <v>0</v>
      </c>
      <c r="N2518" t="n">
        <v>0</v>
      </c>
      <c r="O2518" t="n">
        <v>0</v>
      </c>
      <c r="P2518" t="n">
        <v>0</v>
      </c>
      <c r="Q2518" t="n">
        <v>0</v>
      </c>
      <c r="R2518" s="2" t="inlineStr"/>
    </row>
    <row r="2519" ht="15" customHeight="1">
      <c r="A2519" t="inlineStr">
        <is>
          <t>A 35418-2021</t>
        </is>
      </c>
      <c r="B2519" s="1" t="n">
        <v>44385.4378125</v>
      </c>
      <c r="C2519" s="1" t="n">
        <v>45952</v>
      </c>
      <c r="D2519" t="inlineStr">
        <is>
          <t>VÄSTRA GÖTALANDS LÄN</t>
        </is>
      </c>
      <c r="E2519" t="inlineStr">
        <is>
          <t>MARK</t>
        </is>
      </c>
      <c r="G2519" t="n">
        <v>1.1</v>
      </c>
      <c r="H2519" t="n">
        <v>0</v>
      </c>
      <c r="I2519" t="n">
        <v>0</v>
      </c>
      <c r="J2519" t="n">
        <v>0</v>
      </c>
      <c r="K2519" t="n">
        <v>0</v>
      </c>
      <c r="L2519" t="n">
        <v>0</v>
      </c>
      <c r="M2519" t="n">
        <v>0</v>
      </c>
      <c r="N2519" t="n">
        <v>0</v>
      </c>
      <c r="O2519" t="n">
        <v>0</v>
      </c>
      <c r="P2519" t="n">
        <v>0</v>
      </c>
      <c r="Q2519" t="n">
        <v>0</v>
      </c>
      <c r="R2519" s="2" t="inlineStr"/>
    </row>
    <row r="2520" ht="15" customHeight="1">
      <c r="A2520" t="inlineStr">
        <is>
          <t>A 21097-2022</t>
        </is>
      </c>
      <c r="B2520" s="1" t="n">
        <v>44704.55649305556</v>
      </c>
      <c r="C2520" s="1" t="n">
        <v>45952</v>
      </c>
      <c r="D2520" t="inlineStr">
        <is>
          <t>VÄSTRA GÖTALANDS LÄN</t>
        </is>
      </c>
      <c r="E2520" t="inlineStr">
        <is>
          <t>MELLERUD</t>
        </is>
      </c>
      <c r="G2520" t="n">
        <v>0.4</v>
      </c>
      <c r="H2520" t="n">
        <v>0</v>
      </c>
      <c r="I2520" t="n">
        <v>0</v>
      </c>
      <c r="J2520" t="n">
        <v>0</v>
      </c>
      <c r="K2520" t="n">
        <v>0</v>
      </c>
      <c r="L2520" t="n">
        <v>0</v>
      </c>
      <c r="M2520" t="n">
        <v>0</v>
      </c>
      <c r="N2520" t="n">
        <v>0</v>
      </c>
      <c r="O2520" t="n">
        <v>0</v>
      </c>
      <c r="P2520" t="n">
        <v>0</v>
      </c>
      <c r="Q2520" t="n">
        <v>0</v>
      </c>
      <c r="R2520" s="2" t="inlineStr"/>
    </row>
    <row r="2521" ht="15" customHeight="1">
      <c r="A2521" t="inlineStr">
        <is>
          <t>A 6081-2021</t>
        </is>
      </c>
      <c r="B2521" s="1" t="n">
        <v>44232</v>
      </c>
      <c r="C2521" s="1" t="n">
        <v>45952</v>
      </c>
      <c r="D2521" t="inlineStr">
        <is>
          <t>VÄSTRA GÖTALANDS LÄN</t>
        </is>
      </c>
      <c r="E2521" t="inlineStr">
        <is>
          <t>BORÅS</t>
        </is>
      </c>
      <c r="G2521" t="n">
        <v>7.5</v>
      </c>
      <c r="H2521" t="n">
        <v>0</v>
      </c>
      <c r="I2521" t="n">
        <v>0</v>
      </c>
      <c r="J2521" t="n">
        <v>0</v>
      </c>
      <c r="K2521" t="n">
        <v>0</v>
      </c>
      <c r="L2521" t="n">
        <v>0</v>
      </c>
      <c r="M2521" t="n">
        <v>0</v>
      </c>
      <c r="N2521" t="n">
        <v>0</v>
      </c>
      <c r="O2521" t="n">
        <v>0</v>
      </c>
      <c r="P2521" t="n">
        <v>0</v>
      </c>
      <c r="Q2521" t="n">
        <v>0</v>
      </c>
      <c r="R2521" s="2" t="inlineStr"/>
    </row>
    <row r="2522" ht="15" customHeight="1">
      <c r="A2522" t="inlineStr">
        <is>
          <t>A 42295-2021</t>
        </is>
      </c>
      <c r="B2522" s="1" t="n">
        <v>44427.35878472222</v>
      </c>
      <c r="C2522" s="1" t="n">
        <v>45952</v>
      </c>
      <c r="D2522" t="inlineStr">
        <is>
          <t>VÄSTRA GÖTALANDS LÄN</t>
        </is>
      </c>
      <c r="E2522" t="inlineStr">
        <is>
          <t>HJO</t>
        </is>
      </c>
      <c r="G2522" t="n">
        <v>2.2</v>
      </c>
      <c r="H2522" t="n">
        <v>0</v>
      </c>
      <c r="I2522" t="n">
        <v>0</v>
      </c>
      <c r="J2522" t="n">
        <v>0</v>
      </c>
      <c r="K2522" t="n">
        <v>0</v>
      </c>
      <c r="L2522" t="n">
        <v>0</v>
      </c>
      <c r="M2522" t="n">
        <v>0</v>
      </c>
      <c r="N2522" t="n">
        <v>0</v>
      </c>
      <c r="O2522" t="n">
        <v>0</v>
      </c>
      <c r="P2522" t="n">
        <v>0</v>
      </c>
      <c r="Q2522" t="n">
        <v>0</v>
      </c>
      <c r="R2522" s="2" t="inlineStr"/>
    </row>
    <row r="2523" ht="15" customHeight="1">
      <c r="A2523" t="inlineStr">
        <is>
          <t>A 21368-2022</t>
        </is>
      </c>
      <c r="B2523" s="1" t="n">
        <v>44705</v>
      </c>
      <c r="C2523" s="1" t="n">
        <v>45952</v>
      </c>
      <c r="D2523" t="inlineStr">
        <is>
          <t>VÄSTRA GÖTALANDS LÄN</t>
        </is>
      </c>
      <c r="E2523" t="inlineStr">
        <is>
          <t>DALS-ED</t>
        </is>
      </c>
      <c r="G2523" t="n">
        <v>1</v>
      </c>
      <c r="H2523" t="n">
        <v>0</v>
      </c>
      <c r="I2523" t="n">
        <v>0</v>
      </c>
      <c r="J2523" t="n">
        <v>0</v>
      </c>
      <c r="K2523" t="n">
        <v>0</v>
      </c>
      <c r="L2523" t="n">
        <v>0</v>
      </c>
      <c r="M2523" t="n">
        <v>0</v>
      </c>
      <c r="N2523" t="n">
        <v>0</v>
      </c>
      <c r="O2523" t="n">
        <v>0</v>
      </c>
      <c r="P2523" t="n">
        <v>0</v>
      </c>
      <c r="Q2523" t="n">
        <v>0</v>
      </c>
      <c r="R2523" s="2" t="inlineStr"/>
    </row>
    <row r="2524" ht="15" customHeight="1">
      <c r="A2524" t="inlineStr">
        <is>
          <t>A 21380-2022</t>
        </is>
      </c>
      <c r="B2524" s="1" t="n">
        <v>44705</v>
      </c>
      <c r="C2524" s="1" t="n">
        <v>45952</v>
      </c>
      <c r="D2524" t="inlineStr">
        <is>
          <t>VÄSTRA GÖTALANDS LÄN</t>
        </is>
      </c>
      <c r="E2524" t="inlineStr">
        <is>
          <t>TRANEMO</t>
        </is>
      </c>
      <c r="G2524" t="n">
        <v>1.2</v>
      </c>
      <c r="H2524" t="n">
        <v>0</v>
      </c>
      <c r="I2524" t="n">
        <v>0</v>
      </c>
      <c r="J2524" t="n">
        <v>0</v>
      </c>
      <c r="K2524" t="n">
        <v>0</v>
      </c>
      <c r="L2524" t="n">
        <v>0</v>
      </c>
      <c r="M2524" t="n">
        <v>0</v>
      </c>
      <c r="N2524" t="n">
        <v>0</v>
      </c>
      <c r="O2524" t="n">
        <v>0</v>
      </c>
      <c r="P2524" t="n">
        <v>0</v>
      </c>
      <c r="Q2524" t="n">
        <v>0</v>
      </c>
      <c r="R2524" s="2" t="inlineStr"/>
    </row>
    <row r="2525" ht="15" customHeight="1">
      <c r="A2525" t="inlineStr">
        <is>
          <t>A 5241-2022</t>
        </is>
      </c>
      <c r="B2525" s="1" t="n">
        <v>44594</v>
      </c>
      <c r="C2525" s="1" t="n">
        <v>45952</v>
      </c>
      <c r="D2525" t="inlineStr">
        <is>
          <t>VÄSTRA GÖTALANDS LÄN</t>
        </is>
      </c>
      <c r="E2525" t="inlineStr">
        <is>
          <t>BENGTSFORS</t>
        </is>
      </c>
      <c r="G2525" t="n">
        <v>1.1</v>
      </c>
      <c r="H2525" t="n">
        <v>0</v>
      </c>
      <c r="I2525" t="n">
        <v>0</v>
      </c>
      <c r="J2525" t="n">
        <v>0</v>
      </c>
      <c r="K2525" t="n">
        <v>0</v>
      </c>
      <c r="L2525" t="n">
        <v>0</v>
      </c>
      <c r="M2525" t="n">
        <v>0</v>
      </c>
      <c r="N2525" t="n">
        <v>0</v>
      </c>
      <c r="O2525" t="n">
        <v>0</v>
      </c>
      <c r="P2525" t="n">
        <v>0</v>
      </c>
      <c r="Q2525" t="n">
        <v>0</v>
      </c>
      <c r="R2525" s="2" t="inlineStr"/>
    </row>
    <row r="2526" ht="15" customHeight="1">
      <c r="A2526" t="inlineStr">
        <is>
          <t>A 8790-2022</t>
        </is>
      </c>
      <c r="B2526" s="1" t="n">
        <v>44614</v>
      </c>
      <c r="C2526" s="1" t="n">
        <v>45952</v>
      </c>
      <c r="D2526" t="inlineStr">
        <is>
          <t>VÄSTRA GÖTALANDS LÄN</t>
        </is>
      </c>
      <c r="E2526" t="inlineStr">
        <is>
          <t>LIDKÖPING</t>
        </is>
      </c>
      <c r="F2526" t="inlineStr">
        <is>
          <t>Kyrkan</t>
        </is>
      </c>
      <c r="G2526" t="n">
        <v>2.1</v>
      </c>
      <c r="H2526" t="n">
        <v>0</v>
      </c>
      <c r="I2526" t="n">
        <v>0</v>
      </c>
      <c r="J2526" t="n">
        <v>0</v>
      </c>
      <c r="K2526" t="n">
        <v>0</v>
      </c>
      <c r="L2526" t="n">
        <v>0</v>
      </c>
      <c r="M2526" t="n">
        <v>0</v>
      </c>
      <c r="N2526" t="n">
        <v>0</v>
      </c>
      <c r="O2526" t="n">
        <v>0</v>
      </c>
      <c r="P2526" t="n">
        <v>0</v>
      </c>
      <c r="Q2526" t="n">
        <v>0</v>
      </c>
      <c r="R2526" s="2" t="inlineStr"/>
    </row>
    <row r="2527" ht="15" customHeight="1">
      <c r="A2527" t="inlineStr">
        <is>
          <t>A 8859-2022</t>
        </is>
      </c>
      <c r="B2527" s="1" t="n">
        <v>44614.54890046296</v>
      </c>
      <c r="C2527" s="1" t="n">
        <v>45952</v>
      </c>
      <c r="D2527" t="inlineStr">
        <is>
          <t>VÄSTRA GÖTALANDS LÄN</t>
        </is>
      </c>
      <c r="E2527" t="inlineStr">
        <is>
          <t>TÖREBODA</t>
        </is>
      </c>
      <c r="F2527" t="inlineStr">
        <is>
          <t>Kyrkan</t>
        </is>
      </c>
      <c r="G2527" t="n">
        <v>8.5</v>
      </c>
      <c r="H2527" t="n">
        <v>0</v>
      </c>
      <c r="I2527" t="n">
        <v>0</v>
      </c>
      <c r="J2527" t="n">
        <v>0</v>
      </c>
      <c r="K2527" t="n">
        <v>0</v>
      </c>
      <c r="L2527" t="n">
        <v>0</v>
      </c>
      <c r="M2527" t="n">
        <v>0</v>
      </c>
      <c r="N2527" t="n">
        <v>0</v>
      </c>
      <c r="O2527" t="n">
        <v>0</v>
      </c>
      <c r="P2527" t="n">
        <v>0</v>
      </c>
      <c r="Q2527" t="n">
        <v>0</v>
      </c>
      <c r="R2527" s="2" t="inlineStr"/>
    </row>
    <row r="2528" ht="15" customHeight="1">
      <c r="A2528" t="inlineStr">
        <is>
          <t>A 25790-2021</t>
        </is>
      </c>
      <c r="B2528" s="1" t="n">
        <v>44343.83640046296</v>
      </c>
      <c r="C2528" s="1" t="n">
        <v>45952</v>
      </c>
      <c r="D2528" t="inlineStr">
        <is>
          <t>VÄSTRA GÖTALANDS LÄN</t>
        </is>
      </c>
      <c r="E2528" t="inlineStr">
        <is>
          <t>STRÖMSTAD</t>
        </is>
      </c>
      <c r="G2528" t="n">
        <v>1.7</v>
      </c>
      <c r="H2528" t="n">
        <v>0</v>
      </c>
      <c r="I2528" t="n">
        <v>0</v>
      </c>
      <c r="J2528" t="n">
        <v>0</v>
      </c>
      <c r="K2528" t="n">
        <v>0</v>
      </c>
      <c r="L2528" t="n">
        <v>0</v>
      </c>
      <c r="M2528" t="n">
        <v>0</v>
      </c>
      <c r="N2528" t="n">
        <v>0</v>
      </c>
      <c r="O2528" t="n">
        <v>0</v>
      </c>
      <c r="P2528" t="n">
        <v>0</v>
      </c>
      <c r="Q2528" t="n">
        <v>0</v>
      </c>
      <c r="R2528" s="2" t="inlineStr"/>
    </row>
    <row r="2529" ht="15" customHeight="1">
      <c r="A2529" t="inlineStr">
        <is>
          <t>A 25795-2021</t>
        </is>
      </c>
      <c r="B2529" s="1" t="n">
        <v>44343</v>
      </c>
      <c r="C2529" s="1" t="n">
        <v>45952</v>
      </c>
      <c r="D2529" t="inlineStr">
        <is>
          <t>VÄSTRA GÖTALANDS LÄN</t>
        </is>
      </c>
      <c r="E2529" t="inlineStr">
        <is>
          <t>STRÖMSTAD</t>
        </is>
      </c>
      <c r="G2529" t="n">
        <v>2</v>
      </c>
      <c r="H2529" t="n">
        <v>0</v>
      </c>
      <c r="I2529" t="n">
        <v>0</v>
      </c>
      <c r="J2529" t="n">
        <v>0</v>
      </c>
      <c r="K2529" t="n">
        <v>0</v>
      </c>
      <c r="L2529" t="n">
        <v>0</v>
      </c>
      <c r="M2529" t="n">
        <v>0</v>
      </c>
      <c r="N2529" t="n">
        <v>0</v>
      </c>
      <c r="O2529" t="n">
        <v>0</v>
      </c>
      <c r="P2529" t="n">
        <v>0</v>
      </c>
      <c r="Q2529" t="n">
        <v>0</v>
      </c>
      <c r="R2529" s="2" t="inlineStr"/>
    </row>
    <row r="2530" ht="15" customHeight="1">
      <c r="A2530" t="inlineStr">
        <is>
          <t>A 35463-2022</t>
        </is>
      </c>
      <c r="B2530" s="1" t="n">
        <v>44798</v>
      </c>
      <c r="C2530" s="1" t="n">
        <v>45952</v>
      </c>
      <c r="D2530" t="inlineStr">
        <is>
          <t>VÄSTRA GÖTALANDS LÄN</t>
        </is>
      </c>
      <c r="E2530" t="inlineStr">
        <is>
          <t>TROLLHÄTTAN</t>
        </is>
      </c>
      <c r="G2530" t="n">
        <v>3</v>
      </c>
      <c r="H2530" t="n">
        <v>0</v>
      </c>
      <c r="I2530" t="n">
        <v>0</v>
      </c>
      <c r="J2530" t="n">
        <v>0</v>
      </c>
      <c r="K2530" t="n">
        <v>0</v>
      </c>
      <c r="L2530" t="n">
        <v>0</v>
      </c>
      <c r="M2530" t="n">
        <v>0</v>
      </c>
      <c r="N2530" t="n">
        <v>0</v>
      </c>
      <c r="O2530" t="n">
        <v>0</v>
      </c>
      <c r="P2530" t="n">
        <v>0</v>
      </c>
      <c r="Q2530" t="n">
        <v>0</v>
      </c>
      <c r="R2530" s="2" t="inlineStr"/>
    </row>
    <row r="2531" ht="15" customHeight="1">
      <c r="A2531" t="inlineStr">
        <is>
          <t>A 61983-2020</t>
        </is>
      </c>
      <c r="B2531" s="1" t="n">
        <v>44157</v>
      </c>
      <c r="C2531" s="1" t="n">
        <v>45952</v>
      </c>
      <c r="D2531" t="inlineStr">
        <is>
          <t>VÄSTRA GÖTALANDS LÄN</t>
        </is>
      </c>
      <c r="E2531" t="inlineStr">
        <is>
          <t>FALKÖPING</t>
        </is>
      </c>
      <c r="G2531" t="n">
        <v>1.8</v>
      </c>
      <c r="H2531" t="n">
        <v>0</v>
      </c>
      <c r="I2531" t="n">
        <v>0</v>
      </c>
      <c r="J2531" t="n">
        <v>0</v>
      </c>
      <c r="K2531" t="n">
        <v>0</v>
      </c>
      <c r="L2531" t="n">
        <v>0</v>
      </c>
      <c r="M2531" t="n">
        <v>0</v>
      </c>
      <c r="N2531" t="n">
        <v>0</v>
      </c>
      <c r="O2531" t="n">
        <v>0</v>
      </c>
      <c r="P2531" t="n">
        <v>0</v>
      </c>
      <c r="Q2531" t="n">
        <v>0</v>
      </c>
      <c r="R2531" s="2" t="inlineStr"/>
    </row>
    <row r="2532" ht="15" customHeight="1">
      <c r="A2532" t="inlineStr">
        <is>
          <t>A 34595-2021</t>
        </is>
      </c>
      <c r="B2532" s="1" t="n">
        <v>44382</v>
      </c>
      <c r="C2532" s="1" t="n">
        <v>45952</v>
      </c>
      <c r="D2532" t="inlineStr">
        <is>
          <t>VÄSTRA GÖTALANDS LÄN</t>
        </is>
      </c>
      <c r="E2532" t="inlineStr">
        <is>
          <t>VÄNERSBORG</t>
        </is>
      </c>
      <c r="F2532" t="inlineStr">
        <is>
          <t>Sveaskog</t>
        </is>
      </c>
      <c r="G2532" t="n">
        <v>2</v>
      </c>
      <c r="H2532" t="n">
        <v>0</v>
      </c>
      <c r="I2532" t="n">
        <v>0</v>
      </c>
      <c r="J2532" t="n">
        <v>0</v>
      </c>
      <c r="K2532" t="n">
        <v>0</v>
      </c>
      <c r="L2532" t="n">
        <v>0</v>
      </c>
      <c r="M2532" t="n">
        <v>0</v>
      </c>
      <c r="N2532" t="n">
        <v>0</v>
      </c>
      <c r="O2532" t="n">
        <v>0</v>
      </c>
      <c r="P2532" t="n">
        <v>0</v>
      </c>
      <c r="Q2532" t="n">
        <v>0</v>
      </c>
      <c r="R2532" s="2" t="inlineStr"/>
    </row>
    <row r="2533" ht="15" customHeight="1">
      <c r="A2533" t="inlineStr">
        <is>
          <t>A 48311-2021</t>
        </is>
      </c>
      <c r="B2533" s="1" t="n">
        <v>44450</v>
      </c>
      <c r="C2533" s="1" t="n">
        <v>45952</v>
      </c>
      <c r="D2533" t="inlineStr">
        <is>
          <t>VÄSTRA GÖTALANDS LÄN</t>
        </is>
      </c>
      <c r="E2533" t="inlineStr">
        <is>
          <t>KUNGÄLV</t>
        </is>
      </c>
      <c r="G2533" t="n">
        <v>0.3</v>
      </c>
      <c r="H2533" t="n">
        <v>0</v>
      </c>
      <c r="I2533" t="n">
        <v>0</v>
      </c>
      <c r="J2533" t="n">
        <v>0</v>
      </c>
      <c r="K2533" t="n">
        <v>0</v>
      </c>
      <c r="L2533" t="n">
        <v>0</v>
      </c>
      <c r="M2533" t="n">
        <v>0</v>
      </c>
      <c r="N2533" t="n">
        <v>0</v>
      </c>
      <c r="O2533" t="n">
        <v>0</v>
      </c>
      <c r="P2533" t="n">
        <v>0</v>
      </c>
      <c r="Q2533" t="n">
        <v>0</v>
      </c>
      <c r="R2533" s="2" t="inlineStr"/>
    </row>
    <row r="2534" ht="15" customHeight="1">
      <c r="A2534" t="inlineStr">
        <is>
          <t>A 61778-2020</t>
        </is>
      </c>
      <c r="B2534" s="1" t="n">
        <v>44158</v>
      </c>
      <c r="C2534" s="1" t="n">
        <v>45952</v>
      </c>
      <c r="D2534" t="inlineStr">
        <is>
          <t>VÄSTRA GÖTALANDS LÄN</t>
        </is>
      </c>
      <c r="E2534" t="inlineStr">
        <is>
          <t>TIBRO</t>
        </is>
      </c>
      <c r="G2534" t="n">
        <v>4.8</v>
      </c>
      <c r="H2534" t="n">
        <v>0</v>
      </c>
      <c r="I2534" t="n">
        <v>0</v>
      </c>
      <c r="J2534" t="n">
        <v>0</v>
      </c>
      <c r="K2534" t="n">
        <v>0</v>
      </c>
      <c r="L2534" t="n">
        <v>0</v>
      </c>
      <c r="M2534" t="n">
        <v>0</v>
      </c>
      <c r="N2534" t="n">
        <v>0</v>
      </c>
      <c r="O2534" t="n">
        <v>0</v>
      </c>
      <c r="P2534" t="n">
        <v>0</v>
      </c>
      <c r="Q2534" t="n">
        <v>0</v>
      </c>
      <c r="R2534" s="2" t="inlineStr"/>
    </row>
    <row r="2535" ht="15" customHeight="1">
      <c r="A2535" t="inlineStr">
        <is>
          <t>A 39287-2021</t>
        </is>
      </c>
      <c r="B2535" s="1" t="n">
        <v>44413.64280092593</v>
      </c>
      <c r="C2535" s="1" t="n">
        <v>45952</v>
      </c>
      <c r="D2535" t="inlineStr">
        <is>
          <t>VÄSTRA GÖTALANDS LÄN</t>
        </is>
      </c>
      <c r="E2535" t="inlineStr">
        <is>
          <t>UDDEVALLA</t>
        </is>
      </c>
      <c r="G2535" t="n">
        <v>1.6</v>
      </c>
      <c r="H2535" t="n">
        <v>0</v>
      </c>
      <c r="I2535" t="n">
        <v>0</v>
      </c>
      <c r="J2535" t="n">
        <v>0</v>
      </c>
      <c r="K2535" t="n">
        <v>0</v>
      </c>
      <c r="L2535" t="n">
        <v>0</v>
      </c>
      <c r="M2535" t="n">
        <v>0</v>
      </c>
      <c r="N2535" t="n">
        <v>0</v>
      </c>
      <c r="O2535" t="n">
        <v>0</v>
      </c>
      <c r="P2535" t="n">
        <v>0</v>
      </c>
      <c r="Q2535" t="n">
        <v>0</v>
      </c>
      <c r="R2535" s="2" t="inlineStr"/>
    </row>
    <row r="2536" ht="15" customHeight="1">
      <c r="A2536" t="inlineStr">
        <is>
          <t>A 74225-2021</t>
        </is>
      </c>
      <c r="B2536" s="1" t="n">
        <v>44558</v>
      </c>
      <c r="C2536" s="1" t="n">
        <v>45952</v>
      </c>
      <c r="D2536" t="inlineStr">
        <is>
          <t>VÄSTRA GÖTALANDS LÄN</t>
        </is>
      </c>
      <c r="E2536" t="inlineStr">
        <is>
          <t>BENGTSFORS</t>
        </is>
      </c>
      <c r="G2536" t="n">
        <v>0.7</v>
      </c>
      <c r="H2536" t="n">
        <v>0</v>
      </c>
      <c r="I2536" t="n">
        <v>0</v>
      </c>
      <c r="J2536" t="n">
        <v>0</v>
      </c>
      <c r="K2536" t="n">
        <v>0</v>
      </c>
      <c r="L2536" t="n">
        <v>0</v>
      </c>
      <c r="M2536" t="n">
        <v>0</v>
      </c>
      <c r="N2536" t="n">
        <v>0</v>
      </c>
      <c r="O2536" t="n">
        <v>0</v>
      </c>
      <c r="P2536" t="n">
        <v>0</v>
      </c>
      <c r="Q2536" t="n">
        <v>0</v>
      </c>
      <c r="R2536" s="2" t="inlineStr"/>
    </row>
    <row r="2537" ht="15" customHeight="1">
      <c r="A2537" t="inlineStr">
        <is>
          <t>A 4509-2022</t>
        </is>
      </c>
      <c r="B2537" s="1" t="n">
        <v>44589</v>
      </c>
      <c r="C2537" s="1" t="n">
        <v>45952</v>
      </c>
      <c r="D2537" t="inlineStr">
        <is>
          <t>VÄSTRA GÖTALANDS LÄN</t>
        </is>
      </c>
      <c r="E2537" t="inlineStr">
        <is>
          <t>TIDAHOLM</t>
        </is>
      </c>
      <c r="G2537" t="n">
        <v>1.1</v>
      </c>
      <c r="H2537" t="n">
        <v>0</v>
      </c>
      <c r="I2537" t="n">
        <v>0</v>
      </c>
      <c r="J2537" t="n">
        <v>0</v>
      </c>
      <c r="K2537" t="n">
        <v>0</v>
      </c>
      <c r="L2537" t="n">
        <v>0</v>
      </c>
      <c r="M2537" t="n">
        <v>0</v>
      </c>
      <c r="N2537" t="n">
        <v>0</v>
      </c>
      <c r="O2537" t="n">
        <v>0</v>
      </c>
      <c r="P2537" t="n">
        <v>0</v>
      </c>
      <c r="Q2537" t="n">
        <v>0</v>
      </c>
      <c r="R2537" s="2" t="inlineStr"/>
    </row>
    <row r="2538" ht="15" customHeight="1">
      <c r="A2538" t="inlineStr">
        <is>
          <t>A 10574-2021</t>
        </is>
      </c>
      <c r="B2538" s="1" t="n">
        <v>44258.4528587963</v>
      </c>
      <c r="C2538" s="1" t="n">
        <v>45952</v>
      </c>
      <c r="D2538" t="inlineStr">
        <is>
          <t>VÄSTRA GÖTALANDS LÄN</t>
        </is>
      </c>
      <c r="E2538" t="inlineStr">
        <is>
          <t>LYSEKIL</t>
        </is>
      </c>
      <c r="G2538" t="n">
        <v>0.5</v>
      </c>
      <c r="H2538" t="n">
        <v>0</v>
      </c>
      <c r="I2538" t="n">
        <v>0</v>
      </c>
      <c r="J2538" t="n">
        <v>0</v>
      </c>
      <c r="K2538" t="n">
        <v>0</v>
      </c>
      <c r="L2538" t="n">
        <v>0</v>
      </c>
      <c r="M2538" t="n">
        <v>0</v>
      </c>
      <c r="N2538" t="n">
        <v>0</v>
      </c>
      <c r="O2538" t="n">
        <v>0</v>
      </c>
      <c r="P2538" t="n">
        <v>0</v>
      </c>
      <c r="Q2538" t="n">
        <v>0</v>
      </c>
      <c r="R2538" s="2" t="inlineStr"/>
    </row>
    <row r="2539" ht="15" customHeight="1">
      <c r="A2539" t="inlineStr">
        <is>
          <t>A 418-2021</t>
        </is>
      </c>
      <c r="B2539" s="1" t="n">
        <v>44201.67728009259</v>
      </c>
      <c r="C2539" s="1" t="n">
        <v>45952</v>
      </c>
      <c r="D2539" t="inlineStr">
        <is>
          <t>VÄSTRA GÖTALANDS LÄN</t>
        </is>
      </c>
      <c r="E2539" t="inlineStr">
        <is>
          <t>TANUM</t>
        </is>
      </c>
      <c r="G2539" t="n">
        <v>0.9</v>
      </c>
      <c r="H2539" t="n">
        <v>0</v>
      </c>
      <c r="I2539" t="n">
        <v>0</v>
      </c>
      <c r="J2539" t="n">
        <v>0</v>
      </c>
      <c r="K2539" t="n">
        <v>0</v>
      </c>
      <c r="L2539" t="n">
        <v>0</v>
      </c>
      <c r="M2539" t="n">
        <v>0</v>
      </c>
      <c r="N2539" t="n">
        <v>0</v>
      </c>
      <c r="O2539" t="n">
        <v>0</v>
      </c>
      <c r="P2539" t="n">
        <v>0</v>
      </c>
      <c r="Q2539" t="n">
        <v>0</v>
      </c>
      <c r="R2539" s="2" t="inlineStr"/>
    </row>
    <row r="2540" ht="15" customHeight="1">
      <c r="A2540" t="inlineStr">
        <is>
          <t>A 63539-2021</t>
        </is>
      </c>
      <c r="B2540" s="1" t="n">
        <v>44508</v>
      </c>
      <c r="C2540" s="1" t="n">
        <v>45952</v>
      </c>
      <c r="D2540" t="inlineStr">
        <is>
          <t>VÄSTRA GÖTALANDS LÄN</t>
        </is>
      </c>
      <c r="E2540" t="inlineStr">
        <is>
          <t>MELLERUD</t>
        </is>
      </c>
      <c r="G2540" t="n">
        <v>1.1</v>
      </c>
      <c r="H2540" t="n">
        <v>0</v>
      </c>
      <c r="I2540" t="n">
        <v>0</v>
      </c>
      <c r="J2540" t="n">
        <v>0</v>
      </c>
      <c r="K2540" t="n">
        <v>0</v>
      </c>
      <c r="L2540" t="n">
        <v>0</v>
      </c>
      <c r="M2540" t="n">
        <v>0</v>
      </c>
      <c r="N2540" t="n">
        <v>0</v>
      </c>
      <c r="O2540" t="n">
        <v>0</v>
      </c>
      <c r="P2540" t="n">
        <v>0</v>
      </c>
      <c r="Q2540" t="n">
        <v>0</v>
      </c>
      <c r="R2540" s="2" t="inlineStr"/>
    </row>
    <row r="2541" ht="15" customHeight="1">
      <c r="A2541" t="inlineStr">
        <is>
          <t>A 63595-2021</t>
        </is>
      </c>
      <c r="B2541" s="1" t="n">
        <v>44508</v>
      </c>
      <c r="C2541" s="1" t="n">
        <v>45952</v>
      </c>
      <c r="D2541" t="inlineStr">
        <is>
          <t>VÄSTRA GÖTALANDS LÄN</t>
        </is>
      </c>
      <c r="E2541" t="inlineStr">
        <is>
          <t>HÄRRYDA</t>
        </is>
      </c>
      <c r="G2541" t="n">
        <v>1.2</v>
      </c>
      <c r="H2541" t="n">
        <v>0</v>
      </c>
      <c r="I2541" t="n">
        <v>0</v>
      </c>
      <c r="J2541" t="n">
        <v>0</v>
      </c>
      <c r="K2541" t="n">
        <v>0</v>
      </c>
      <c r="L2541" t="n">
        <v>0</v>
      </c>
      <c r="M2541" t="n">
        <v>0</v>
      </c>
      <c r="N2541" t="n">
        <v>0</v>
      </c>
      <c r="O2541" t="n">
        <v>0</v>
      </c>
      <c r="P2541" t="n">
        <v>0</v>
      </c>
      <c r="Q2541" t="n">
        <v>0</v>
      </c>
      <c r="R2541" s="2" t="inlineStr"/>
    </row>
    <row r="2542" ht="15" customHeight="1">
      <c r="A2542" t="inlineStr">
        <is>
          <t>A 22059-2022</t>
        </is>
      </c>
      <c r="B2542" s="1" t="n">
        <v>44711.69013888889</v>
      </c>
      <c r="C2542" s="1" t="n">
        <v>45952</v>
      </c>
      <c r="D2542" t="inlineStr">
        <is>
          <t>VÄSTRA GÖTALANDS LÄN</t>
        </is>
      </c>
      <c r="E2542" t="inlineStr">
        <is>
          <t>FÄRGELANDA</t>
        </is>
      </c>
      <c r="G2542" t="n">
        <v>5.9</v>
      </c>
      <c r="H2542" t="n">
        <v>0</v>
      </c>
      <c r="I2542" t="n">
        <v>0</v>
      </c>
      <c r="J2542" t="n">
        <v>0</v>
      </c>
      <c r="K2542" t="n">
        <v>0</v>
      </c>
      <c r="L2542" t="n">
        <v>0</v>
      </c>
      <c r="M2542" t="n">
        <v>0</v>
      </c>
      <c r="N2542" t="n">
        <v>0</v>
      </c>
      <c r="O2542" t="n">
        <v>0</v>
      </c>
      <c r="P2542" t="n">
        <v>0</v>
      </c>
      <c r="Q2542" t="n">
        <v>0</v>
      </c>
      <c r="R2542" s="2" t="inlineStr"/>
    </row>
    <row r="2543" ht="15" customHeight="1">
      <c r="A2543" t="inlineStr">
        <is>
          <t>A 29655-2021</t>
        </is>
      </c>
      <c r="B2543" s="1" t="n">
        <v>44361.51533564815</v>
      </c>
      <c r="C2543" s="1" t="n">
        <v>45952</v>
      </c>
      <c r="D2543" t="inlineStr">
        <is>
          <t>VÄSTRA GÖTALANDS LÄN</t>
        </is>
      </c>
      <c r="E2543" t="inlineStr">
        <is>
          <t>UDDEVALLA</t>
        </is>
      </c>
      <c r="G2543" t="n">
        <v>0.7</v>
      </c>
      <c r="H2543" t="n">
        <v>0</v>
      </c>
      <c r="I2543" t="n">
        <v>0</v>
      </c>
      <c r="J2543" t="n">
        <v>0</v>
      </c>
      <c r="K2543" t="n">
        <v>0</v>
      </c>
      <c r="L2543" t="n">
        <v>0</v>
      </c>
      <c r="M2543" t="n">
        <v>0</v>
      </c>
      <c r="N2543" t="n">
        <v>0</v>
      </c>
      <c r="O2543" t="n">
        <v>0</v>
      </c>
      <c r="P2543" t="n">
        <v>0</v>
      </c>
      <c r="Q2543" t="n">
        <v>0</v>
      </c>
      <c r="R2543" s="2" t="inlineStr"/>
    </row>
    <row r="2544" ht="15" customHeight="1">
      <c r="A2544" t="inlineStr">
        <is>
          <t>A 17393-2021</t>
        </is>
      </c>
      <c r="B2544" s="1" t="n">
        <v>44299</v>
      </c>
      <c r="C2544" s="1" t="n">
        <v>45952</v>
      </c>
      <c r="D2544" t="inlineStr">
        <is>
          <t>VÄSTRA GÖTALANDS LÄN</t>
        </is>
      </c>
      <c r="E2544" t="inlineStr">
        <is>
          <t>VÅRGÅRDA</t>
        </is>
      </c>
      <c r="G2544" t="n">
        <v>0.7</v>
      </c>
      <c r="H2544" t="n">
        <v>0</v>
      </c>
      <c r="I2544" t="n">
        <v>0</v>
      </c>
      <c r="J2544" t="n">
        <v>0</v>
      </c>
      <c r="K2544" t="n">
        <v>0</v>
      </c>
      <c r="L2544" t="n">
        <v>0</v>
      </c>
      <c r="M2544" t="n">
        <v>0</v>
      </c>
      <c r="N2544" t="n">
        <v>0</v>
      </c>
      <c r="O2544" t="n">
        <v>0</v>
      </c>
      <c r="P2544" t="n">
        <v>0</v>
      </c>
      <c r="Q2544" t="n">
        <v>0</v>
      </c>
      <c r="R2544" s="2" t="inlineStr"/>
    </row>
    <row r="2545" ht="15" customHeight="1">
      <c r="A2545" t="inlineStr">
        <is>
          <t>A 17440-2021</t>
        </is>
      </c>
      <c r="B2545" s="1" t="n">
        <v>44299</v>
      </c>
      <c r="C2545" s="1" t="n">
        <v>45952</v>
      </c>
      <c r="D2545" t="inlineStr">
        <is>
          <t>VÄSTRA GÖTALANDS LÄN</t>
        </is>
      </c>
      <c r="E2545" t="inlineStr">
        <is>
          <t>SKÖVDE</t>
        </is>
      </c>
      <c r="G2545" t="n">
        <v>1.2</v>
      </c>
      <c r="H2545" t="n">
        <v>0</v>
      </c>
      <c r="I2545" t="n">
        <v>0</v>
      </c>
      <c r="J2545" t="n">
        <v>0</v>
      </c>
      <c r="K2545" t="n">
        <v>0</v>
      </c>
      <c r="L2545" t="n">
        <v>0</v>
      </c>
      <c r="M2545" t="n">
        <v>0</v>
      </c>
      <c r="N2545" t="n">
        <v>0</v>
      </c>
      <c r="O2545" t="n">
        <v>0</v>
      </c>
      <c r="P2545" t="n">
        <v>0</v>
      </c>
      <c r="Q2545" t="n">
        <v>0</v>
      </c>
      <c r="R2545" s="2" t="inlineStr"/>
    </row>
    <row r="2546" ht="15" customHeight="1">
      <c r="A2546" t="inlineStr">
        <is>
          <t>A 11442-2021</t>
        </is>
      </c>
      <c r="B2546" s="1" t="n">
        <v>44264.26887731482</v>
      </c>
      <c r="C2546" s="1" t="n">
        <v>45952</v>
      </c>
      <c r="D2546" t="inlineStr">
        <is>
          <t>VÄSTRA GÖTALANDS LÄN</t>
        </is>
      </c>
      <c r="E2546" t="inlineStr">
        <is>
          <t>MARIESTAD</t>
        </is>
      </c>
      <c r="F2546" t="inlineStr">
        <is>
          <t>Sveaskog</t>
        </is>
      </c>
      <c r="G2546" t="n">
        <v>0.6</v>
      </c>
      <c r="H2546" t="n">
        <v>0</v>
      </c>
      <c r="I2546" t="n">
        <v>0</v>
      </c>
      <c r="J2546" t="n">
        <v>0</v>
      </c>
      <c r="K2546" t="n">
        <v>0</v>
      </c>
      <c r="L2546" t="n">
        <v>0</v>
      </c>
      <c r="M2546" t="n">
        <v>0</v>
      </c>
      <c r="N2546" t="n">
        <v>0</v>
      </c>
      <c r="O2546" t="n">
        <v>0</v>
      </c>
      <c r="P2546" t="n">
        <v>0</v>
      </c>
      <c r="Q2546" t="n">
        <v>0</v>
      </c>
      <c r="R2546" s="2" t="inlineStr"/>
    </row>
    <row r="2547" ht="15" customHeight="1">
      <c r="A2547" t="inlineStr">
        <is>
          <t>A 66437-2020</t>
        </is>
      </c>
      <c r="B2547" s="1" t="n">
        <v>44176</v>
      </c>
      <c r="C2547" s="1" t="n">
        <v>45952</v>
      </c>
      <c r="D2547" t="inlineStr">
        <is>
          <t>VÄSTRA GÖTALANDS LÄN</t>
        </is>
      </c>
      <c r="E2547" t="inlineStr">
        <is>
          <t>TRANEMO</t>
        </is>
      </c>
      <c r="G2547" t="n">
        <v>22.5</v>
      </c>
      <c r="H2547" t="n">
        <v>0</v>
      </c>
      <c r="I2547" t="n">
        <v>0</v>
      </c>
      <c r="J2547" t="n">
        <v>0</v>
      </c>
      <c r="K2547" t="n">
        <v>0</v>
      </c>
      <c r="L2547" t="n">
        <v>0</v>
      </c>
      <c r="M2547" t="n">
        <v>0</v>
      </c>
      <c r="N2547" t="n">
        <v>0</v>
      </c>
      <c r="O2547" t="n">
        <v>0</v>
      </c>
      <c r="P2547" t="n">
        <v>0</v>
      </c>
      <c r="Q2547" t="n">
        <v>0</v>
      </c>
      <c r="R2547" s="2" t="inlineStr"/>
    </row>
    <row r="2548" ht="15" customHeight="1">
      <c r="A2548" t="inlineStr">
        <is>
          <t>A 12445-2022</t>
        </is>
      </c>
      <c r="B2548" s="1" t="n">
        <v>44638</v>
      </c>
      <c r="C2548" s="1" t="n">
        <v>45952</v>
      </c>
      <c r="D2548" t="inlineStr">
        <is>
          <t>VÄSTRA GÖTALANDS LÄN</t>
        </is>
      </c>
      <c r="E2548" t="inlineStr">
        <is>
          <t>ALE</t>
        </is>
      </c>
      <c r="G2548" t="n">
        <v>1</v>
      </c>
      <c r="H2548" t="n">
        <v>0</v>
      </c>
      <c r="I2548" t="n">
        <v>0</v>
      </c>
      <c r="J2548" t="n">
        <v>0</v>
      </c>
      <c r="K2548" t="n">
        <v>0</v>
      </c>
      <c r="L2548" t="n">
        <v>0</v>
      </c>
      <c r="M2548" t="n">
        <v>0</v>
      </c>
      <c r="N2548" t="n">
        <v>0</v>
      </c>
      <c r="O2548" t="n">
        <v>0</v>
      </c>
      <c r="P2548" t="n">
        <v>0</v>
      </c>
      <c r="Q2548" t="n">
        <v>0</v>
      </c>
      <c r="R2548" s="2" t="inlineStr"/>
    </row>
    <row r="2549" ht="15" customHeight="1">
      <c r="A2549" t="inlineStr">
        <is>
          <t>A 22156-2021</t>
        </is>
      </c>
      <c r="B2549" s="1" t="n">
        <v>44325</v>
      </c>
      <c r="C2549" s="1" t="n">
        <v>45952</v>
      </c>
      <c r="D2549" t="inlineStr">
        <is>
          <t>VÄSTRA GÖTALANDS LÄN</t>
        </is>
      </c>
      <c r="E2549" t="inlineStr">
        <is>
          <t>ÅMÅL</t>
        </is>
      </c>
      <c r="G2549" t="n">
        <v>1.8</v>
      </c>
      <c r="H2549" t="n">
        <v>0</v>
      </c>
      <c r="I2549" t="n">
        <v>0</v>
      </c>
      <c r="J2549" t="n">
        <v>0</v>
      </c>
      <c r="K2549" t="n">
        <v>0</v>
      </c>
      <c r="L2549" t="n">
        <v>0</v>
      </c>
      <c r="M2549" t="n">
        <v>0</v>
      </c>
      <c r="N2549" t="n">
        <v>0</v>
      </c>
      <c r="O2549" t="n">
        <v>0</v>
      </c>
      <c r="P2549" t="n">
        <v>0</v>
      </c>
      <c r="Q2549" t="n">
        <v>0</v>
      </c>
      <c r="R2549" s="2" t="inlineStr"/>
    </row>
    <row r="2550" ht="15" customHeight="1">
      <c r="A2550" t="inlineStr">
        <is>
          <t>A 22162-2021</t>
        </is>
      </c>
      <c r="B2550" s="1" t="n">
        <v>44325</v>
      </c>
      <c r="C2550" s="1" t="n">
        <v>45952</v>
      </c>
      <c r="D2550" t="inlineStr">
        <is>
          <t>VÄSTRA GÖTALANDS LÄN</t>
        </is>
      </c>
      <c r="E2550" t="inlineStr">
        <is>
          <t>MUNKEDAL</t>
        </is>
      </c>
      <c r="G2550" t="n">
        <v>7.3</v>
      </c>
      <c r="H2550" t="n">
        <v>0</v>
      </c>
      <c r="I2550" t="n">
        <v>0</v>
      </c>
      <c r="J2550" t="n">
        <v>0</v>
      </c>
      <c r="K2550" t="n">
        <v>0</v>
      </c>
      <c r="L2550" t="n">
        <v>0</v>
      </c>
      <c r="M2550" t="n">
        <v>0</v>
      </c>
      <c r="N2550" t="n">
        <v>0</v>
      </c>
      <c r="O2550" t="n">
        <v>0</v>
      </c>
      <c r="P2550" t="n">
        <v>0</v>
      </c>
      <c r="Q2550" t="n">
        <v>0</v>
      </c>
      <c r="R2550" s="2" t="inlineStr"/>
    </row>
    <row r="2551" ht="15" customHeight="1">
      <c r="A2551" t="inlineStr">
        <is>
          <t>A 45520-2021</t>
        </is>
      </c>
      <c r="B2551" s="1" t="n">
        <v>44440</v>
      </c>
      <c r="C2551" s="1" t="n">
        <v>45952</v>
      </c>
      <c r="D2551" t="inlineStr">
        <is>
          <t>VÄSTRA GÖTALANDS LÄN</t>
        </is>
      </c>
      <c r="E2551" t="inlineStr">
        <is>
          <t>MARIESTAD</t>
        </is>
      </c>
      <c r="G2551" t="n">
        <v>5.7</v>
      </c>
      <c r="H2551" t="n">
        <v>0</v>
      </c>
      <c r="I2551" t="n">
        <v>0</v>
      </c>
      <c r="J2551" t="n">
        <v>0</v>
      </c>
      <c r="K2551" t="n">
        <v>0</v>
      </c>
      <c r="L2551" t="n">
        <v>0</v>
      </c>
      <c r="M2551" t="n">
        <v>0</v>
      </c>
      <c r="N2551" t="n">
        <v>0</v>
      </c>
      <c r="O2551" t="n">
        <v>0</v>
      </c>
      <c r="P2551" t="n">
        <v>0</v>
      </c>
      <c r="Q2551" t="n">
        <v>0</v>
      </c>
      <c r="R2551" s="2" t="inlineStr"/>
    </row>
    <row r="2552" ht="15" customHeight="1">
      <c r="A2552" t="inlineStr">
        <is>
          <t>A 7103-2021</t>
        </is>
      </c>
      <c r="B2552" s="1" t="n">
        <v>44238</v>
      </c>
      <c r="C2552" s="1" t="n">
        <v>45952</v>
      </c>
      <c r="D2552" t="inlineStr">
        <is>
          <t>VÄSTRA GÖTALANDS LÄN</t>
        </is>
      </c>
      <c r="E2552" t="inlineStr">
        <is>
          <t>TRANEMO</t>
        </is>
      </c>
      <c r="G2552" t="n">
        <v>5.4</v>
      </c>
      <c r="H2552" t="n">
        <v>0</v>
      </c>
      <c r="I2552" t="n">
        <v>0</v>
      </c>
      <c r="J2552" t="n">
        <v>0</v>
      </c>
      <c r="K2552" t="n">
        <v>0</v>
      </c>
      <c r="L2552" t="n">
        <v>0</v>
      </c>
      <c r="M2552" t="n">
        <v>0</v>
      </c>
      <c r="N2552" t="n">
        <v>0</v>
      </c>
      <c r="O2552" t="n">
        <v>0</v>
      </c>
      <c r="P2552" t="n">
        <v>0</v>
      </c>
      <c r="Q2552" t="n">
        <v>0</v>
      </c>
      <c r="R2552" s="2" t="inlineStr"/>
    </row>
    <row r="2553" ht="15" customHeight="1">
      <c r="A2553" t="inlineStr">
        <is>
          <t>A 59618-2021</t>
        </is>
      </c>
      <c r="B2553" s="1" t="n">
        <v>44491.71606481481</v>
      </c>
      <c r="C2553" s="1" t="n">
        <v>45952</v>
      </c>
      <c r="D2553" t="inlineStr">
        <is>
          <t>VÄSTRA GÖTALANDS LÄN</t>
        </is>
      </c>
      <c r="E2553" t="inlineStr">
        <is>
          <t>MARK</t>
        </is>
      </c>
      <c r="G2553" t="n">
        <v>2.7</v>
      </c>
      <c r="H2553" t="n">
        <v>0</v>
      </c>
      <c r="I2553" t="n">
        <v>0</v>
      </c>
      <c r="J2553" t="n">
        <v>0</v>
      </c>
      <c r="K2553" t="n">
        <v>0</v>
      </c>
      <c r="L2553" t="n">
        <v>0</v>
      </c>
      <c r="M2553" t="n">
        <v>0</v>
      </c>
      <c r="N2553" t="n">
        <v>0</v>
      </c>
      <c r="O2553" t="n">
        <v>0</v>
      </c>
      <c r="P2553" t="n">
        <v>0</v>
      </c>
      <c r="Q2553" t="n">
        <v>0</v>
      </c>
      <c r="R2553" s="2" t="inlineStr"/>
    </row>
    <row r="2554" ht="15" customHeight="1">
      <c r="A2554" t="inlineStr">
        <is>
          <t>A 65303-2021</t>
        </is>
      </c>
      <c r="B2554" s="1" t="n">
        <v>44515</v>
      </c>
      <c r="C2554" s="1" t="n">
        <v>45952</v>
      </c>
      <c r="D2554" t="inlineStr">
        <is>
          <t>VÄSTRA GÖTALANDS LÄN</t>
        </is>
      </c>
      <c r="E2554" t="inlineStr">
        <is>
          <t>VÅRGÅRDA</t>
        </is>
      </c>
      <c r="G2554" t="n">
        <v>1.8</v>
      </c>
      <c r="H2554" t="n">
        <v>0</v>
      </c>
      <c r="I2554" t="n">
        <v>0</v>
      </c>
      <c r="J2554" t="n">
        <v>0</v>
      </c>
      <c r="K2554" t="n">
        <v>0</v>
      </c>
      <c r="L2554" t="n">
        <v>0</v>
      </c>
      <c r="M2554" t="n">
        <v>0</v>
      </c>
      <c r="N2554" t="n">
        <v>0</v>
      </c>
      <c r="O2554" t="n">
        <v>0</v>
      </c>
      <c r="P2554" t="n">
        <v>0</v>
      </c>
      <c r="Q2554" t="n">
        <v>0</v>
      </c>
      <c r="R2554" s="2" t="inlineStr"/>
    </row>
    <row r="2555" ht="15" customHeight="1">
      <c r="A2555" t="inlineStr">
        <is>
          <t>A 59917-2021</t>
        </is>
      </c>
      <c r="B2555" s="1" t="n">
        <v>44494</v>
      </c>
      <c r="C2555" s="1" t="n">
        <v>45952</v>
      </c>
      <c r="D2555" t="inlineStr">
        <is>
          <t>VÄSTRA GÖTALANDS LÄN</t>
        </is>
      </c>
      <c r="E2555" t="inlineStr">
        <is>
          <t>STRÖMSTAD</t>
        </is>
      </c>
      <c r="G2555" t="n">
        <v>1.6</v>
      </c>
      <c r="H2555" t="n">
        <v>0</v>
      </c>
      <c r="I2555" t="n">
        <v>0</v>
      </c>
      <c r="J2555" t="n">
        <v>0</v>
      </c>
      <c r="K2555" t="n">
        <v>0</v>
      </c>
      <c r="L2555" t="n">
        <v>0</v>
      </c>
      <c r="M2555" t="n">
        <v>0</v>
      </c>
      <c r="N2555" t="n">
        <v>0</v>
      </c>
      <c r="O2555" t="n">
        <v>0</v>
      </c>
      <c r="P2555" t="n">
        <v>0</v>
      </c>
      <c r="Q2555" t="n">
        <v>0</v>
      </c>
      <c r="R2555" s="2" t="inlineStr"/>
    </row>
    <row r="2556" ht="15" customHeight="1">
      <c r="A2556" t="inlineStr">
        <is>
          <t>A 7212-2022</t>
        </is>
      </c>
      <c r="B2556" s="1" t="n">
        <v>44606</v>
      </c>
      <c r="C2556" s="1" t="n">
        <v>45952</v>
      </c>
      <c r="D2556" t="inlineStr">
        <is>
          <t>VÄSTRA GÖTALANDS LÄN</t>
        </is>
      </c>
      <c r="E2556" t="inlineStr">
        <is>
          <t>MARK</t>
        </is>
      </c>
      <c r="F2556" t="inlineStr">
        <is>
          <t>Sveaskog</t>
        </is>
      </c>
      <c r="G2556" t="n">
        <v>1.6</v>
      </c>
      <c r="H2556" t="n">
        <v>0</v>
      </c>
      <c r="I2556" t="n">
        <v>0</v>
      </c>
      <c r="J2556" t="n">
        <v>0</v>
      </c>
      <c r="K2556" t="n">
        <v>0</v>
      </c>
      <c r="L2556" t="n">
        <v>0</v>
      </c>
      <c r="M2556" t="n">
        <v>0</v>
      </c>
      <c r="N2556" t="n">
        <v>0</v>
      </c>
      <c r="O2556" t="n">
        <v>0</v>
      </c>
      <c r="P2556" t="n">
        <v>0</v>
      </c>
      <c r="Q2556" t="n">
        <v>0</v>
      </c>
      <c r="R2556" s="2" t="inlineStr"/>
    </row>
    <row r="2557" ht="15" customHeight="1">
      <c r="A2557" t="inlineStr">
        <is>
          <t>A 33769-2021</t>
        </is>
      </c>
      <c r="B2557" s="1" t="n">
        <v>44378</v>
      </c>
      <c r="C2557" s="1" t="n">
        <v>45952</v>
      </c>
      <c r="D2557" t="inlineStr">
        <is>
          <t>VÄSTRA GÖTALANDS LÄN</t>
        </is>
      </c>
      <c r="E2557" t="inlineStr">
        <is>
          <t>ALINGSÅS</t>
        </is>
      </c>
      <c r="G2557" t="n">
        <v>0.4</v>
      </c>
      <c r="H2557" t="n">
        <v>0</v>
      </c>
      <c r="I2557" t="n">
        <v>0</v>
      </c>
      <c r="J2557" t="n">
        <v>0</v>
      </c>
      <c r="K2557" t="n">
        <v>0</v>
      </c>
      <c r="L2557" t="n">
        <v>0</v>
      </c>
      <c r="M2557" t="n">
        <v>0</v>
      </c>
      <c r="N2557" t="n">
        <v>0</v>
      </c>
      <c r="O2557" t="n">
        <v>0</v>
      </c>
      <c r="P2557" t="n">
        <v>0</v>
      </c>
      <c r="Q2557" t="n">
        <v>0</v>
      </c>
      <c r="R2557" s="2" t="inlineStr"/>
    </row>
    <row r="2558" ht="15" customHeight="1">
      <c r="A2558" t="inlineStr">
        <is>
          <t>A 495-2022</t>
        </is>
      </c>
      <c r="B2558" s="1" t="n">
        <v>44566.46680555555</v>
      </c>
      <c r="C2558" s="1" t="n">
        <v>45952</v>
      </c>
      <c r="D2558" t="inlineStr">
        <is>
          <t>VÄSTRA GÖTALANDS LÄN</t>
        </is>
      </c>
      <c r="E2558" t="inlineStr">
        <is>
          <t>TIBRO</t>
        </is>
      </c>
      <c r="F2558" t="inlineStr">
        <is>
          <t>Sveaskog</t>
        </is>
      </c>
      <c r="G2558" t="n">
        <v>1.6</v>
      </c>
      <c r="H2558" t="n">
        <v>0</v>
      </c>
      <c r="I2558" t="n">
        <v>0</v>
      </c>
      <c r="J2558" t="n">
        <v>0</v>
      </c>
      <c r="K2558" t="n">
        <v>0</v>
      </c>
      <c r="L2558" t="n">
        <v>0</v>
      </c>
      <c r="M2558" t="n">
        <v>0</v>
      </c>
      <c r="N2558" t="n">
        <v>0</v>
      </c>
      <c r="O2558" t="n">
        <v>0</v>
      </c>
      <c r="P2558" t="n">
        <v>0</v>
      </c>
      <c r="Q2558" t="n">
        <v>0</v>
      </c>
      <c r="R2558" s="2" t="inlineStr"/>
    </row>
    <row r="2559" ht="15" customHeight="1">
      <c r="A2559" t="inlineStr">
        <is>
          <t>A 496-2022</t>
        </is>
      </c>
      <c r="B2559" s="1" t="n">
        <v>44566.46861111111</v>
      </c>
      <c r="C2559" s="1" t="n">
        <v>45952</v>
      </c>
      <c r="D2559" t="inlineStr">
        <is>
          <t>VÄSTRA GÖTALANDS LÄN</t>
        </is>
      </c>
      <c r="E2559" t="inlineStr">
        <is>
          <t>TIBRO</t>
        </is>
      </c>
      <c r="F2559" t="inlineStr">
        <is>
          <t>Sveaskog</t>
        </is>
      </c>
      <c r="G2559" t="n">
        <v>3.3</v>
      </c>
      <c r="H2559" t="n">
        <v>0</v>
      </c>
      <c r="I2559" t="n">
        <v>0</v>
      </c>
      <c r="J2559" t="n">
        <v>0</v>
      </c>
      <c r="K2559" t="n">
        <v>0</v>
      </c>
      <c r="L2559" t="n">
        <v>0</v>
      </c>
      <c r="M2559" t="n">
        <v>0</v>
      </c>
      <c r="N2559" t="n">
        <v>0</v>
      </c>
      <c r="O2559" t="n">
        <v>0</v>
      </c>
      <c r="P2559" t="n">
        <v>0</v>
      </c>
      <c r="Q2559" t="n">
        <v>0</v>
      </c>
      <c r="R2559" s="2" t="inlineStr"/>
    </row>
    <row r="2560" ht="15" customHeight="1">
      <c r="A2560" t="inlineStr">
        <is>
          <t>A 5191-2021</t>
        </is>
      </c>
      <c r="B2560" s="1" t="n">
        <v>44228</v>
      </c>
      <c r="C2560" s="1" t="n">
        <v>45952</v>
      </c>
      <c r="D2560" t="inlineStr">
        <is>
          <t>VÄSTRA GÖTALANDS LÄN</t>
        </is>
      </c>
      <c r="E2560" t="inlineStr">
        <is>
          <t>BOLLEBYGD</t>
        </is>
      </c>
      <c r="G2560" t="n">
        <v>0.9</v>
      </c>
      <c r="H2560" t="n">
        <v>0</v>
      </c>
      <c r="I2560" t="n">
        <v>0</v>
      </c>
      <c r="J2560" t="n">
        <v>0</v>
      </c>
      <c r="K2560" t="n">
        <v>0</v>
      </c>
      <c r="L2560" t="n">
        <v>0</v>
      </c>
      <c r="M2560" t="n">
        <v>0</v>
      </c>
      <c r="N2560" t="n">
        <v>0</v>
      </c>
      <c r="O2560" t="n">
        <v>0</v>
      </c>
      <c r="P2560" t="n">
        <v>0</v>
      </c>
      <c r="Q2560" t="n">
        <v>0</v>
      </c>
      <c r="R2560" s="2" t="inlineStr"/>
    </row>
    <row r="2561" ht="15" customHeight="1">
      <c r="A2561" t="inlineStr">
        <is>
          <t>A 12575-2021</t>
        </is>
      </c>
      <c r="B2561" s="1" t="n">
        <v>44270.36637731481</v>
      </c>
      <c r="C2561" s="1" t="n">
        <v>45952</v>
      </c>
      <c r="D2561" t="inlineStr">
        <is>
          <t>VÄSTRA GÖTALANDS LÄN</t>
        </is>
      </c>
      <c r="E2561" t="inlineStr">
        <is>
          <t>VARA</t>
        </is>
      </c>
      <c r="G2561" t="n">
        <v>2.1</v>
      </c>
      <c r="H2561" t="n">
        <v>0</v>
      </c>
      <c r="I2561" t="n">
        <v>0</v>
      </c>
      <c r="J2561" t="n">
        <v>0</v>
      </c>
      <c r="K2561" t="n">
        <v>0</v>
      </c>
      <c r="L2561" t="n">
        <v>0</v>
      </c>
      <c r="M2561" t="n">
        <v>0</v>
      </c>
      <c r="N2561" t="n">
        <v>0</v>
      </c>
      <c r="O2561" t="n">
        <v>0</v>
      </c>
      <c r="P2561" t="n">
        <v>0</v>
      </c>
      <c r="Q2561" t="n">
        <v>0</v>
      </c>
      <c r="R2561" s="2" t="inlineStr"/>
    </row>
    <row r="2562" ht="15" customHeight="1">
      <c r="A2562" t="inlineStr">
        <is>
          <t>A 24291-2021</t>
        </is>
      </c>
      <c r="B2562" s="1" t="n">
        <v>44337.31774305556</v>
      </c>
      <c r="C2562" s="1" t="n">
        <v>45952</v>
      </c>
      <c r="D2562" t="inlineStr">
        <is>
          <t>VÄSTRA GÖTALANDS LÄN</t>
        </is>
      </c>
      <c r="E2562" t="inlineStr">
        <is>
          <t>LILLA EDET</t>
        </is>
      </c>
      <c r="G2562" t="n">
        <v>5.9</v>
      </c>
      <c r="H2562" t="n">
        <v>0</v>
      </c>
      <c r="I2562" t="n">
        <v>0</v>
      </c>
      <c r="J2562" t="n">
        <v>0</v>
      </c>
      <c r="K2562" t="n">
        <v>0</v>
      </c>
      <c r="L2562" t="n">
        <v>0</v>
      </c>
      <c r="M2562" t="n">
        <v>0</v>
      </c>
      <c r="N2562" t="n">
        <v>0</v>
      </c>
      <c r="O2562" t="n">
        <v>0</v>
      </c>
      <c r="P2562" t="n">
        <v>0</v>
      </c>
      <c r="Q2562" t="n">
        <v>0</v>
      </c>
      <c r="R2562" s="2" t="inlineStr"/>
    </row>
    <row r="2563" ht="15" customHeight="1">
      <c r="A2563" t="inlineStr">
        <is>
          <t>A 9386-2022</t>
        </is>
      </c>
      <c r="B2563" s="1" t="n">
        <v>44616.63900462963</v>
      </c>
      <c r="C2563" s="1" t="n">
        <v>45952</v>
      </c>
      <c r="D2563" t="inlineStr">
        <is>
          <t>VÄSTRA GÖTALANDS LÄN</t>
        </is>
      </c>
      <c r="E2563" t="inlineStr">
        <is>
          <t>SVENLJUNGA</t>
        </is>
      </c>
      <c r="G2563" t="n">
        <v>0.5</v>
      </c>
      <c r="H2563" t="n">
        <v>0</v>
      </c>
      <c r="I2563" t="n">
        <v>0</v>
      </c>
      <c r="J2563" t="n">
        <v>0</v>
      </c>
      <c r="K2563" t="n">
        <v>0</v>
      </c>
      <c r="L2563" t="n">
        <v>0</v>
      </c>
      <c r="M2563" t="n">
        <v>0</v>
      </c>
      <c r="N2563" t="n">
        <v>0</v>
      </c>
      <c r="O2563" t="n">
        <v>0</v>
      </c>
      <c r="P2563" t="n">
        <v>0</v>
      </c>
      <c r="Q2563" t="n">
        <v>0</v>
      </c>
      <c r="R2563" s="2" t="inlineStr"/>
    </row>
    <row r="2564" ht="15" customHeight="1">
      <c r="A2564" t="inlineStr">
        <is>
          <t>A 33679-2022</t>
        </is>
      </c>
      <c r="B2564" s="1" t="n">
        <v>44789.65445601852</v>
      </c>
      <c r="C2564" s="1" t="n">
        <v>45952</v>
      </c>
      <c r="D2564" t="inlineStr">
        <is>
          <t>VÄSTRA GÖTALANDS LÄN</t>
        </is>
      </c>
      <c r="E2564" t="inlineStr">
        <is>
          <t>SVENLJUNGA</t>
        </is>
      </c>
      <c r="G2564" t="n">
        <v>0.8</v>
      </c>
      <c r="H2564" t="n">
        <v>0</v>
      </c>
      <c r="I2564" t="n">
        <v>0</v>
      </c>
      <c r="J2564" t="n">
        <v>0</v>
      </c>
      <c r="K2564" t="n">
        <v>0</v>
      </c>
      <c r="L2564" t="n">
        <v>0</v>
      </c>
      <c r="M2564" t="n">
        <v>0</v>
      </c>
      <c r="N2564" t="n">
        <v>0</v>
      </c>
      <c r="O2564" t="n">
        <v>0</v>
      </c>
      <c r="P2564" t="n">
        <v>0</v>
      </c>
      <c r="Q2564" t="n">
        <v>0</v>
      </c>
      <c r="R2564" s="2" t="inlineStr"/>
    </row>
    <row r="2565" ht="15" customHeight="1">
      <c r="A2565" t="inlineStr">
        <is>
          <t>A 17322-2021</t>
        </is>
      </c>
      <c r="B2565" s="1" t="n">
        <v>44298.63880787037</v>
      </c>
      <c r="C2565" s="1" t="n">
        <v>45952</v>
      </c>
      <c r="D2565" t="inlineStr">
        <is>
          <t>VÄSTRA GÖTALANDS LÄN</t>
        </is>
      </c>
      <c r="E2565" t="inlineStr">
        <is>
          <t>TROLLHÄTTAN</t>
        </is>
      </c>
      <c r="G2565" t="n">
        <v>5.3</v>
      </c>
      <c r="H2565" t="n">
        <v>0</v>
      </c>
      <c r="I2565" t="n">
        <v>0</v>
      </c>
      <c r="J2565" t="n">
        <v>0</v>
      </c>
      <c r="K2565" t="n">
        <v>0</v>
      </c>
      <c r="L2565" t="n">
        <v>0</v>
      </c>
      <c r="M2565" t="n">
        <v>0</v>
      </c>
      <c r="N2565" t="n">
        <v>0</v>
      </c>
      <c r="O2565" t="n">
        <v>0</v>
      </c>
      <c r="P2565" t="n">
        <v>0</v>
      </c>
      <c r="Q2565" t="n">
        <v>0</v>
      </c>
      <c r="R2565" s="2" t="inlineStr"/>
    </row>
    <row r="2566" ht="15" customHeight="1">
      <c r="A2566" t="inlineStr">
        <is>
          <t>A 13790-2022</t>
        </is>
      </c>
      <c r="B2566" s="1" t="n">
        <v>44649</v>
      </c>
      <c r="C2566" s="1" t="n">
        <v>45952</v>
      </c>
      <c r="D2566" t="inlineStr">
        <is>
          <t>VÄSTRA GÖTALANDS LÄN</t>
        </is>
      </c>
      <c r="E2566" t="inlineStr">
        <is>
          <t>MARIESTAD</t>
        </is>
      </c>
      <c r="G2566" t="n">
        <v>2.5</v>
      </c>
      <c r="H2566" t="n">
        <v>0</v>
      </c>
      <c r="I2566" t="n">
        <v>0</v>
      </c>
      <c r="J2566" t="n">
        <v>0</v>
      </c>
      <c r="K2566" t="n">
        <v>0</v>
      </c>
      <c r="L2566" t="n">
        <v>0</v>
      </c>
      <c r="M2566" t="n">
        <v>0</v>
      </c>
      <c r="N2566" t="n">
        <v>0</v>
      </c>
      <c r="O2566" t="n">
        <v>0</v>
      </c>
      <c r="P2566" t="n">
        <v>0</v>
      </c>
      <c r="Q2566" t="n">
        <v>0</v>
      </c>
      <c r="R2566" s="2" t="inlineStr"/>
    </row>
    <row r="2567" ht="15" customHeight="1">
      <c r="A2567" t="inlineStr">
        <is>
          <t>A 19887-2022</t>
        </is>
      </c>
      <c r="B2567" s="1" t="n">
        <v>44697.37650462963</v>
      </c>
      <c r="C2567" s="1" t="n">
        <v>45952</v>
      </c>
      <c r="D2567" t="inlineStr">
        <is>
          <t>VÄSTRA GÖTALANDS LÄN</t>
        </is>
      </c>
      <c r="E2567" t="inlineStr">
        <is>
          <t>MUNKEDAL</t>
        </is>
      </c>
      <c r="G2567" t="n">
        <v>0.5</v>
      </c>
      <c r="H2567" t="n">
        <v>0</v>
      </c>
      <c r="I2567" t="n">
        <v>0</v>
      </c>
      <c r="J2567" t="n">
        <v>0</v>
      </c>
      <c r="K2567" t="n">
        <v>0</v>
      </c>
      <c r="L2567" t="n">
        <v>0</v>
      </c>
      <c r="M2567" t="n">
        <v>0</v>
      </c>
      <c r="N2567" t="n">
        <v>0</v>
      </c>
      <c r="O2567" t="n">
        <v>0</v>
      </c>
      <c r="P2567" t="n">
        <v>0</v>
      </c>
      <c r="Q2567" t="n">
        <v>0</v>
      </c>
      <c r="R2567" s="2" t="inlineStr"/>
    </row>
    <row r="2568" ht="15" customHeight="1">
      <c r="A2568" t="inlineStr">
        <is>
          <t>A 71648-2021</t>
        </is>
      </c>
      <c r="B2568" s="1" t="n">
        <v>44543.354375</v>
      </c>
      <c r="C2568" s="1" t="n">
        <v>45952</v>
      </c>
      <c r="D2568" t="inlineStr">
        <is>
          <t>VÄSTRA GÖTALANDS LÄN</t>
        </is>
      </c>
      <c r="E2568" t="inlineStr">
        <is>
          <t>HÄRRYDA</t>
        </is>
      </c>
      <c r="G2568" t="n">
        <v>0.5</v>
      </c>
      <c r="H2568" t="n">
        <v>0</v>
      </c>
      <c r="I2568" t="n">
        <v>0</v>
      </c>
      <c r="J2568" t="n">
        <v>0</v>
      </c>
      <c r="K2568" t="n">
        <v>0</v>
      </c>
      <c r="L2568" t="n">
        <v>0</v>
      </c>
      <c r="M2568" t="n">
        <v>0</v>
      </c>
      <c r="N2568" t="n">
        <v>0</v>
      </c>
      <c r="O2568" t="n">
        <v>0</v>
      </c>
      <c r="P2568" t="n">
        <v>0</v>
      </c>
      <c r="Q2568" t="n">
        <v>0</v>
      </c>
      <c r="R2568" s="2" t="inlineStr"/>
    </row>
    <row r="2569" ht="15" customHeight="1">
      <c r="A2569" t="inlineStr">
        <is>
          <t>A 64037-2020</t>
        </is>
      </c>
      <c r="B2569" s="1" t="n">
        <v>44165</v>
      </c>
      <c r="C2569" s="1" t="n">
        <v>45952</v>
      </c>
      <c r="D2569" t="inlineStr">
        <is>
          <t>VÄSTRA GÖTALANDS LÄN</t>
        </is>
      </c>
      <c r="E2569" t="inlineStr">
        <is>
          <t>MARIESTAD</t>
        </is>
      </c>
      <c r="G2569" t="n">
        <v>0.8</v>
      </c>
      <c r="H2569" t="n">
        <v>0</v>
      </c>
      <c r="I2569" t="n">
        <v>0</v>
      </c>
      <c r="J2569" t="n">
        <v>0</v>
      </c>
      <c r="K2569" t="n">
        <v>0</v>
      </c>
      <c r="L2569" t="n">
        <v>0</v>
      </c>
      <c r="M2569" t="n">
        <v>0</v>
      </c>
      <c r="N2569" t="n">
        <v>0</v>
      </c>
      <c r="O2569" t="n">
        <v>0</v>
      </c>
      <c r="P2569" t="n">
        <v>0</v>
      </c>
      <c r="Q2569" t="n">
        <v>0</v>
      </c>
      <c r="R2569" s="2" t="inlineStr"/>
    </row>
    <row r="2570" ht="15" customHeight="1">
      <c r="A2570" t="inlineStr">
        <is>
          <t>A 64039-2020</t>
        </is>
      </c>
      <c r="B2570" s="1" t="n">
        <v>44167</v>
      </c>
      <c r="C2570" s="1" t="n">
        <v>45952</v>
      </c>
      <c r="D2570" t="inlineStr">
        <is>
          <t>VÄSTRA GÖTALANDS LÄN</t>
        </is>
      </c>
      <c r="E2570" t="inlineStr">
        <is>
          <t>MARIESTAD</t>
        </is>
      </c>
      <c r="G2570" t="n">
        <v>3.4</v>
      </c>
      <c r="H2570" t="n">
        <v>0</v>
      </c>
      <c r="I2570" t="n">
        <v>0</v>
      </c>
      <c r="J2570" t="n">
        <v>0</v>
      </c>
      <c r="K2570" t="n">
        <v>0</v>
      </c>
      <c r="L2570" t="n">
        <v>0</v>
      </c>
      <c r="M2570" t="n">
        <v>0</v>
      </c>
      <c r="N2570" t="n">
        <v>0</v>
      </c>
      <c r="O2570" t="n">
        <v>0</v>
      </c>
      <c r="P2570" t="n">
        <v>0</v>
      </c>
      <c r="Q2570" t="n">
        <v>0</v>
      </c>
      <c r="R2570" s="2" t="inlineStr"/>
    </row>
    <row r="2571" ht="15" customHeight="1">
      <c r="A2571" t="inlineStr">
        <is>
          <t>A 956-2021</t>
        </is>
      </c>
      <c r="B2571" s="1" t="n">
        <v>44207</v>
      </c>
      <c r="C2571" s="1" t="n">
        <v>45952</v>
      </c>
      <c r="D2571" t="inlineStr">
        <is>
          <t>VÄSTRA GÖTALANDS LÄN</t>
        </is>
      </c>
      <c r="E2571" t="inlineStr">
        <is>
          <t>TÖREBODA</t>
        </is>
      </c>
      <c r="G2571" t="n">
        <v>0.9</v>
      </c>
      <c r="H2571" t="n">
        <v>0</v>
      </c>
      <c r="I2571" t="n">
        <v>0</v>
      </c>
      <c r="J2571" t="n">
        <v>0</v>
      </c>
      <c r="K2571" t="n">
        <v>0</v>
      </c>
      <c r="L2571" t="n">
        <v>0</v>
      </c>
      <c r="M2571" t="n">
        <v>0</v>
      </c>
      <c r="N2571" t="n">
        <v>0</v>
      </c>
      <c r="O2571" t="n">
        <v>0</v>
      </c>
      <c r="P2571" t="n">
        <v>0</v>
      </c>
      <c r="Q2571" t="n">
        <v>0</v>
      </c>
      <c r="R2571" s="2" t="inlineStr"/>
    </row>
    <row r="2572" ht="15" customHeight="1">
      <c r="A2572" t="inlineStr">
        <is>
          <t>A 69036-2021</t>
        </is>
      </c>
      <c r="B2572" s="1" t="n">
        <v>44530</v>
      </c>
      <c r="C2572" s="1" t="n">
        <v>45952</v>
      </c>
      <c r="D2572" t="inlineStr">
        <is>
          <t>VÄSTRA GÖTALANDS LÄN</t>
        </is>
      </c>
      <c r="E2572" t="inlineStr">
        <is>
          <t>TRANEMO</t>
        </is>
      </c>
      <c r="G2572" t="n">
        <v>1.6</v>
      </c>
      <c r="H2572" t="n">
        <v>0</v>
      </c>
      <c r="I2572" t="n">
        <v>0</v>
      </c>
      <c r="J2572" t="n">
        <v>0</v>
      </c>
      <c r="K2572" t="n">
        <v>0</v>
      </c>
      <c r="L2572" t="n">
        <v>0</v>
      </c>
      <c r="M2572" t="n">
        <v>0</v>
      </c>
      <c r="N2572" t="n">
        <v>0</v>
      </c>
      <c r="O2572" t="n">
        <v>0</v>
      </c>
      <c r="P2572" t="n">
        <v>0</v>
      </c>
      <c r="Q2572" t="n">
        <v>0</v>
      </c>
      <c r="R2572" s="2" t="inlineStr"/>
    </row>
    <row r="2573" ht="15" customHeight="1">
      <c r="A2573" t="inlineStr">
        <is>
          <t>A 12262-2021</t>
        </is>
      </c>
      <c r="B2573" s="1" t="n">
        <v>44266</v>
      </c>
      <c r="C2573" s="1" t="n">
        <v>45952</v>
      </c>
      <c r="D2573" t="inlineStr">
        <is>
          <t>VÄSTRA GÖTALANDS LÄN</t>
        </is>
      </c>
      <c r="E2573" t="inlineStr">
        <is>
          <t>HÄRRYDA</t>
        </is>
      </c>
      <c r="G2573" t="n">
        <v>2.6</v>
      </c>
      <c r="H2573" t="n">
        <v>0</v>
      </c>
      <c r="I2573" t="n">
        <v>0</v>
      </c>
      <c r="J2573" t="n">
        <v>0</v>
      </c>
      <c r="K2573" t="n">
        <v>0</v>
      </c>
      <c r="L2573" t="n">
        <v>0</v>
      </c>
      <c r="M2573" t="n">
        <v>0</v>
      </c>
      <c r="N2573" t="n">
        <v>0</v>
      </c>
      <c r="O2573" t="n">
        <v>0</v>
      </c>
      <c r="P2573" t="n">
        <v>0</v>
      </c>
      <c r="Q2573" t="n">
        <v>0</v>
      </c>
      <c r="R2573" s="2" t="inlineStr"/>
    </row>
    <row r="2574" ht="15" customHeight="1">
      <c r="A2574" t="inlineStr">
        <is>
          <t>A 10603-2021</t>
        </is>
      </c>
      <c r="B2574" s="1" t="n">
        <v>44258</v>
      </c>
      <c r="C2574" s="1" t="n">
        <v>45952</v>
      </c>
      <c r="D2574" t="inlineStr">
        <is>
          <t>VÄSTRA GÖTALANDS LÄN</t>
        </is>
      </c>
      <c r="E2574" t="inlineStr">
        <is>
          <t>BENGTSFORS</t>
        </is>
      </c>
      <c r="F2574" t="inlineStr">
        <is>
          <t>Övriga Aktiebolag</t>
        </is>
      </c>
      <c r="G2574" t="n">
        <v>4.3</v>
      </c>
      <c r="H2574" t="n">
        <v>0</v>
      </c>
      <c r="I2574" t="n">
        <v>0</v>
      </c>
      <c r="J2574" t="n">
        <v>0</v>
      </c>
      <c r="K2574" t="n">
        <v>0</v>
      </c>
      <c r="L2574" t="n">
        <v>0</v>
      </c>
      <c r="M2574" t="n">
        <v>0</v>
      </c>
      <c r="N2574" t="n">
        <v>0</v>
      </c>
      <c r="O2574" t="n">
        <v>0</v>
      </c>
      <c r="P2574" t="n">
        <v>0</v>
      </c>
      <c r="Q2574" t="n">
        <v>0</v>
      </c>
      <c r="R2574" s="2" t="inlineStr"/>
    </row>
    <row r="2575" ht="15" customHeight="1">
      <c r="A2575" t="inlineStr">
        <is>
          <t>A 10629-2021</t>
        </is>
      </c>
      <c r="B2575" s="1" t="n">
        <v>44258</v>
      </c>
      <c r="C2575" s="1" t="n">
        <v>45952</v>
      </c>
      <c r="D2575" t="inlineStr">
        <is>
          <t>VÄSTRA GÖTALANDS LÄN</t>
        </is>
      </c>
      <c r="E2575" t="inlineStr">
        <is>
          <t>FÄRGELANDA</t>
        </is>
      </c>
      <c r="G2575" t="n">
        <v>3</v>
      </c>
      <c r="H2575" t="n">
        <v>0</v>
      </c>
      <c r="I2575" t="n">
        <v>0</v>
      </c>
      <c r="J2575" t="n">
        <v>0</v>
      </c>
      <c r="K2575" t="n">
        <v>0</v>
      </c>
      <c r="L2575" t="n">
        <v>0</v>
      </c>
      <c r="M2575" t="n">
        <v>0</v>
      </c>
      <c r="N2575" t="n">
        <v>0</v>
      </c>
      <c r="O2575" t="n">
        <v>0</v>
      </c>
      <c r="P2575" t="n">
        <v>0</v>
      </c>
      <c r="Q2575" t="n">
        <v>0</v>
      </c>
      <c r="R2575" s="2" t="inlineStr"/>
    </row>
    <row r="2576" ht="15" customHeight="1">
      <c r="A2576" t="inlineStr">
        <is>
          <t>A 59798-2020</t>
        </is>
      </c>
      <c r="B2576" s="1" t="n">
        <v>44151</v>
      </c>
      <c r="C2576" s="1" t="n">
        <v>45952</v>
      </c>
      <c r="D2576" t="inlineStr">
        <is>
          <t>VÄSTRA GÖTALANDS LÄN</t>
        </is>
      </c>
      <c r="E2576" t="inlineStr">
        <is>
          <t>VARA</t>
        </is>
      </c>
      <c r="G2576" t="n">
        <v>0.6</v>
      </c>
      <c r="H2576" t="n">
        <v>0</v>
      </c>
      <c r="I2576" t="n">
        <v>0</v>
      </c>
      <c r="J2576" t="n">
        <v>0</v>
      </c>
      <c r="K2576" t="n">
        <v>0</v>
      </c>
      <c r="L2576" t="n">
        <v>0</v>
      </c>
      <c r="M2576" t="n">
        <v>0</v>
      </c>
      <c r="N2576" t="n">
        <v>0</v>
      </c>
      <c r="O2576" t="n">
        <v>0</v>
      </c>
      <c r="P2576" t="n">
        <v>0</v>
      </c>
      <c r="Q2576" t="n">
        <v>0</v>
      </c>
      <c r="R2576" s="2" t="inlineStr"/>
    </row>
    <row r="2577" ht="15" customHeight="1">
      <c r="A2577" t="inlineStr">
        <is>
          <t>A 67535-2021</t>
        </is>
      </c>
      <c r="B2577" s="1" t="n">
        <v>44524.54479166667</v>
      </c>
      <c r="C2577" s="1" t="n">
        <v>45952</v>
      </c>
      <c r="D2577" t="inlineStr">
        <is>
          <t>VÄSTRA GÖTALANDS LÄN</t>
        </is>
      </c>
      <c r="E2577" t="inlineStr">
        <is>
          <t>TROLLHÄTTAN</t>
        </is>
      </c>
      <c r="F2577" t="inlineStr">
        <is>
          <t>Kyrkan</t>
        </is>
      </c>
      <c r="G2577" t="n">
        <v>2.9</v>
      </c>
      <c r="H2577" t="n">
        <v>0</v>
      </c>
      <c r="I2577" t="n">
        <v>0</v>
      </c>
      <c r="J2577" t="n">
        <v>0</v>
      </c>
      <c r="K2577" t="n">
        <v>0</v>
      </c>
      <c r="L2577" t="n">
        <v>0</v>
      </c>
      <c r="M2577" t="n">
        <v>0</v>
      </c>
      <c r="N2577" t="n">
        <v>0</v>
      </c>
      <c r="O2577" t="n">
        <v>0</v>
      </c>
      <c r="P2577" t="n">
        <v>0</v>
      </c>
      <c r="Q2577" t="n">
        <v>0</v>
      </c>
      <c r="R2577" s="2" t="inlineStr"/>
    </row>
    <row r="2578" ht="15" customHeight="1">
      <c r="A2578" t="inlineStr">
        <is>
          <t>A 6010-2022</t>
        </is>
      </c>
      <c r="B2578" s="1" t="n">
        <v>44599</v>
      </c>
      <c r="C2578" s="1" t="n">
        <v>45952</v>
      </c>
      <c r="D2578" t="inlineStr">
        <is>
          <t>VÄSTRA GÖTALANDS LÄN</t>
        </is>
      </c>
      <c r="E2578" t="inlineStr">
        <is>
          <t>TRANEMO</t>
        </is>
      </c>
      <c r="G2578" t="n">
        <v>0.4</v>
      </c>
      <c r="H2578" t="n">
        <v>0</v>
      </c>
      <c r="I2578" t="n">
        <v>0</v>
      </c>
      <c r="J2578" t="n">
        <v>0</v>
      </c>
      <c r="K2578" t="n">
        <v>0</v>
      </c>
      <c r="L2578" t="n">
        <v>0</v>
      </c>
      <c r="M2578" t="n">
        <v>0</v>
      </c>
      <c r="N2578" t="n">
        <v>0</v>
      </c>
      <c r="O2578" t="n">
        <v>0</v>
      </c>
      <c r="P2578" t="n">
        <v>0</v>
      </c>
      <c r="Q2578" t="n">
        <v>0</v>
      </c>
      <c r="R2578" s="2" t="inlineStr"/>
    </row>
    <row r="2579" ht="15" customHeight="1">
      <c r="A2579" t="inlineStr">
        <is>
          <t>A 38476-2022</t>
        </is>
      </c>
      <c r="B2579" s="1" t="n">
        <v>44813</v>
      </c>
      <c r="C2579" s="1" t="n">
        <v>45952</v>
      </c>
      <c r="D2579" t="inlineStr">
        <is>
          <t>VÄSTRA GÖTALANDS LÄN</t>
        </is>
      </c>
      <c r="E2579" t="inlineStr">
        <is>
          <t>SVENLJUNGA</t>
        </is>
      </c>
      <c r="G2579" t="n">
        <v>3.7</v>
      </c>
      <c r="H2579" t="n">
        <v>0</v>
      </c>
      <c r="I2579" t="n">
        <v>0</v>
      </c>
      <c r="J2579" t="n">
        <v>0</v>
      </c>
      <c r="K2579" t="n">
        <v>0</v>
      </c>
      <c r="L2579" t="n">
        <v>0</v>
      </c>
      <c r="M2579" t="n">
        <v>0</v>
      </c>
      <c r="N2579" t="n">
        <v>0</v>
      </c>
      <c r="O2579" t="n">
        <v>0</v>
      </c>
      <c r="P2579" t="n">
        <v>0</v>
      </c>
      <c r="Q2579" t="n">
        <v>0</v>
      </c>
      <c r="R2579" s="2" t="inlineStr"/>
    </row>
    <row r="2580" ht="15" customHeight="1">
      <c r="A2580" t="inlineStr">
        <is>
          <t>A 12173-2022</t>
        </is>
      </c>
      <c r="B2580" s="1" t="n">
        <v>44636.73104166667</v>
      </c>
      <c r="C2580" s="1" t="n">
        <v>45952</v>
      </c>
      <c r="D2580" t="inlineStr">
        <is>
          <t>VÄSTRA GÖTALANDS LÄN</t>
        </is>
      </c>
      <c r="E2580" t="inlineStr">
        <is>
          <t>VARA</t>
        </is>
      </c>
      <c r="G2580" t="n">
        <v>1.6</v>
      </c>
      <c r="H2580" t="n">
        <v>0</v>
      </c>
      <c r="I2580" t="n">
        <v>0</v>
      </c>
      <c r="J2580" t="n">
        <v>0</v>
      </c>
      <c r="K2580" t="n">
        <v>0</v>
      </c>
      <c r="L2580" t="n">
        <v>0</v>
      </c>
      <c r="M2580" t="n">
        <v>0</v>
      </c>
      <c r="N2580" t="n">
        <v>0</v>
      </c>
      <c r="O2580" t="n">
        <v>0</v>
      </c>
      <c r="P2580" t="n">
        <v>0</v>
      </c>
      <c r="Q2580" t="n">
        <v>0</v>
      </c>
      <c r="R2580" s="2" t="inlineStr"/>
    </row>
    <row r="2581" ht="15" customHeight="1">
      <c r="A2581" t="inlineStr">
        <is>
          <t>A 12175-2022</t>
        </is>
      </c>
      <c r="B2581" s="1" t="n">
        <v>44636.73430555555</v>
      </c>
      <c r="C2581" s="1" t="n">
        <v>45952</v>
      </c>
      <c r="D2581" t="inlineStr">
        <is>
          <t>VÄSTRA GÖTALANDS LÄN</t>
        </is>
      </c>
      <c r="E2581" t="inlineStr">
        <is>
          <t>VARA</t>
        </is>
      </c>
      <c r="G2581" t="n">
        <v>2.4</v>
      </c>
      <c r="H2581" t="n">
        <v>0</v>
      </c>
      <c r="I2581" t="n">
        <v>0</v>
      </c>
      <c r="J2581" t="n">
        <v>0</v>
      </c>
      <c r="K2581" t="n">
        <v>0</v>
      </c>
      <c r="L2581" t="n">
        <v>0</v>
      </c>
      <c r="M2581" t="n">
        <v>0</v>
      </c>
      <c r="N2581" t="n">
        <v>0</v>
      </c>
      <c r="O2581" t="n">
        <v>0</v>
      </c>
      <c r="P2581" t="n">
        <v>0</v>
      </c>
      <c r="Q2581" t="n">
        <v>0</v>
      </c>
      <c r="R2581" s="2" t="inlineStr"/>
    </row>
    <row r="2582" ht="15" customHeight="1">
      <c r="A2582" t="inlineStr">
        <is>
          <t>A 3277-2021</t>
        </is>
      </c>
      <c r="B2582" s="1" t="n">
        <v>44217</v>
      </c>
      <c r="C2582" s="1" t="n">
        <v>45952</v>
      </c>
      <c r="D2582" t="inlineStr">
        <is>
          <t>VÄSTRA GÖTALANDS LÄN</t>
        </is>
      </c>
      <c r="E2582" t="inlineStr">
        <is>
          <t>MELLERUD</t>
        </is>
      </c>
      <c r="G2582" t="n">
        <v>0.6</v>
      </c>
      <c r="H2582" t="n">
        <v>0</v>
      </c>
      <c r="I2582" t="n">
        <v>0</v>
      </c>
      <c r="J2582" t="n">
        <v>0</v>
      </c>
      <c r="K2582" t="n">
        <v>0</v>
      </c>
      <c r="L2582" t="n">
        <v>0</v>
      </c>
      <c r="M2582" t="n">
        <v>0</v>
      </c>
      <c r="N2582" t="n">
        <v>0</v>
      </c>
      <c r="O2582" t="n">
        <v>0</v>
      </c>
      <c r="P2582" t="n">
        <v>0</v>
      </c>
      <c r="Q2582" t="n">
        <v>0</v>
      </c>
      <c r="R2582" s="2" t="inlineStr"/>
    </row>
    <row r="2583" ht="15" customHeight="1">
      <c r="A2583" t="inlineStr">
        <is>
          <t>A 2657-2022</t>
        </is>
      </c>
      <c r="B2583" s="1" t="n">
        <v>44580.55488425926</v>
      </c>
      <c r="C2583" s="1" t="n">
        <v>45952</v>
      </c>
      <c r="D2583" t="inlineStr">
        <is>
          <t>VÄSTRA GÖTALANDS LÄN</t>
        </is>
      </c>
      <c r="E2583" t="inlineStr">
        <is>
          <t>FALKÖPING</t>
        </is>
      </c>
      <c r="G2583" t="n">
        <v>1</v>
      </c>
      <c r="H2583" t="n">
        <v>0</v>
      </c>
      <c r="I2583" t="n">
        <v>0</v>
      </c>
      <c r="J2583" t="n">
        <v>0</v>
      </c>
      <c r="K2583" t="n">
        <v>0</v>
      </c>
      <c r="L2583" t="n">
        <v>0</v>
      </c>
      <c r="M2583" t="n">
        <v>0</v>
      </c>
      <c r="N2583" t="n">
        <v>0</v>
      </c>
      <c r="O2583" t="n">
        <v>0</v>
      </c>
      <c r="P2583" t="n">
        <v>0</v>
      </c>
      <c r="Q2583" t="n">
        <v>0</v>
      </c>
      <c r="R2583" s="2" t="inlineStr"/>
    </row>
    <row r="2584" ht="15" customHeight="1">
      <c r="A2584" t="inlineStr">
        <is>
          <t>A 59842-2020</t>
        </is>
      </c>
      <c r="B2584" s="1" t="n">
        <v>44151.52361111111</v>
      </c>
      <c r="C2584" s="1" t="n">
        <v>45952</v>
      </c>
      <c r="D2584" t="inlineStr">
        <is>
          <t>VÄSTRA GÖTALANDS LÄN</t>
        </is>
      </c>
      <c r="E2584" t="inlineStr">
        <is>
          <t>SVENLJUNGA</t>
        </is>
      </c>
      <c r="G2584" t="n">
        <v>0.7</v>
      </c>
      <c r="H2584" t="n">
        <v>0</v>
      </c>
      <c r="I2584" t="n">
        <v>0</v>
      </c>
      <c r="J2584" t="n">
        <v>0</v>
      </c>
      <c r="K2584" t="n">
        <v>0</v>
      </c>
      <c r="L2584" t="n">
        <v>0</v>
      </c>
      <c r="M2584" t="n">
        <v>0</v>
      </c>
      <c r="N2584" t="n">
        <v>0</v>
      </c>
      <c r="O2584" t="n">
        <v>0</v>
      </c>
      <c r="P2584" t="n">
        <v>0</v>
      </c>
      <c r="Q2584" t="n">
        <v>0</v>
      </c>
      <c r="R2584" s="2" t="inlineStr"/>
    </row>
    <row r="2585" ht="15" customHeight="1">
      <c r="A2585" t="inlineStr">
        <is>
          <t>A 364-2021</t>
        </is>
      </c>
      <c r="B2585" s="1" t="n">
        <v>44201.50331018519</v>
      </c>
      <c r="C2585" s="1" t="n">
        <v>45952</v>
      </c>
      <c r="D2585" t="inlineStr">
        <is>
          <t>VÄSTRA GÖTALANDS LÄN</t>
        </is>
      </c>
      <c r="E2585" t="inlineStr">
        <is>
          <t>HERRLJUNGA</t>
        </is>
      </c>
      <c r="G2585" t="n">
        <v>6.5</v>
      </c>
      <c r="H2585" t="n">
        <v>0</v>
      </c>
      <c r="I2585" t="n">
        <v>0</v>
      </c>
      <c r="J2585" t="n">
        <v>0</v>
      </c>
      <c r="K2585" t="n">
        <v>0</v>
      </c>
      <c r="L2585" t="n">
        <v>0</v>
      </c>
      <c r="M2585" t="n">
        <v>0</v>
      </c>
      <c r="N2585" t="n">
        <v>0</v>
      </c>
      <c r="O2585" t="n">
        <v>0</v>
      </c>
      <c r="P2585" t="n">
        <v>0</v>
      </c>
      <c r="Q2585" t="n">
        <v>0</v>
      </c>
      <c r="R2585" s="2" t="inlineStr"/>
    </row>
    <row r="2586" ht="15" customHeight="1">
      <c r="A2586" t="inlineStr">
        <is>
          <t>A 24090-2022</t>
        </is>
      </c>
      <c r="B2586" s="1" t="n">
        <v>44725</v>
      </c>
      <c r="C2586" s="1" t="n">
        <v>45952</v>
      </c>
      <c r="D2586" t="inlineStr">
        <is>
          <t>VÄSTRA GÖTALANDS LÄN</t>
        </is>
      </c>
      <c r="E2586" t="inlineStr">
        <is>
          <t>TANUM</t>
        </is>
      </c>
      <c r="G2586" t="n">
        <v>3.7</v>
      </c>
      <c r="H2586" t="n">
        <v>0</v>
      </c>
      <c r="I2586" t="n">
        <v>0</v>
      </c>
      <c r="J2586" t="n">
        <v>0</v>
      </c>
      <c r="K2586" t="n">
        <v>0</v>
      </c>
      <c r="L2586" t="n">
        <v>0</v>
      </c>
      <c r="M2586" t="n">
        <v>0</v>
      </c>
      <c r="N2586" t="n">
        <v>0</v>
      </c>
      <c r="O2586" t="n">
        <v>0</v>
      </c>
      <c r="P2586" t="n">
        <v>0</v>
      </c>
      <c r="Q2586" t="n">
        <v>0</v>
      </c>
      <c r="R2586" s="2" t="inlineStr"/>
    </row>
    <row r="2587" ht="15" customHeight="1">
      <c r="A2587" t="inlineStr">
        <is>
          <t>A 4087-2021</t>
        </is>
      </c>
      <c r="B2587" s="1" t="n">
        <v>44222</v>
      </c>
      <c r="C2587" s="1" t="n">
        <v>45952</v>
      </c>
      <c r="D2587" t="inlineStr">
        <is>
          <t>VÄSTRA GÖTALANDS LÄN</t>
        </is>
      </c>
      <c r="E2587" t="inlineStr">
        <is>
          <t>FÄRGELANDA</t>
        </is>
      </c>
      <c r="G2587" t="n">
        <v>14.6</v>
      </c>
      <c r="H2587" t="n">
        <v>0</v>
      </c>
      <c r="I2587" t="n">
        <v>0</v>
      </c>
      <c r="J2587" t="n">
        <v>0</v>
      </c>
      <c r="K2587" t="n">
        <v>0</v>
      </c>
      <c r="L2587" t="n">
        <v>0</v>
      </c>
      <c r="M2587" t="n">
        <v>0</v>
      </c>
      <c r="N2587" t="n">
        <v>0</v>
      </c>
      <c r="O2587" t="n">
        <v>0</v>
      </c>
      <c r="P2587" t="n">
        <v>0</v>
      </c>
      <c r="Q2587" t="n">
        <v>0</v>
      </c>
      <c r="R2587" s="2" t="inlineStr"/>
    </row>
    <row r="2588" ht="15" customHeight="1">
      <c r="A2588" t="inlineStr">
        <is>
          <t>A 29345-2022</t>
        </is>
      </c>
      <c r="B2588" s="1" t="n">
        <v>44753.32299768519</v>
      </c>
      <c r="C2588" s="1" t="n">
        <v>45952</v>
      </c>
      <c r="D2588" t="inlineStr">
        <is>
          <t>VÄSTRA GÖTALANDS LÄN</t>
        </is>
      </c>
      <c r="E2588" t="inlineStr">
        <is>
          <t>VÄNERSBORG</t>
        </is>
      </c>
      <c r="G2588" t="n">
        <v>1</v>
      </c>
      <c r="H2588" t="n">
        <v>0</v>
      </c>
      <c r="I2588" t="n">
        <v>0</v>
      </c>
      <c r="J2588" t="n">
        <v>0</v>
      </c>
      <c r="K2588" t="n">
        <v>0</v>
      </c>
      <c r="L2588" t="n">
        <v>0</v>
      </c>
      <c r="M2588" t="n">
        <v>0</v>
      </c>
      <c r="N2588" t="n">
        <v>0</v>
      </c>
      <c r="O2588" t="n">
        <v>0</v>
      </c>
      <c r="P2588" t="n">
        <v>0</v>
      </c>
      <c r="Q2588" t="n">
        <v>0</v>
      </c>
      <c r="R2588" s="2" t="inlineStr"/>
    </row>
    <row r="2589" ht="15" customHeight="1">
      <c r="A2589" t="inlineStr">
        <is>
          <t>A 40295-2022</t>
        </is>
      </c>
      <c r="B2589" s="1" t="n">
        <v>44821</v>
      </c>
      <c r="C2589" s="1" t="n">
        <v>45952</v>
      </c>
      <c r="D2589" t="inlineStr">
        <is>
          <t>VÄSTRA GÖTALANDS LÄN</t>
        </is>
      </c>
      <c r="E2589" t="inlineStr">
        <is>
          <t>BENGTSFORS</t>
        </is>
      </c>
      <c r="G2589" t="n">
        <v>1.1</v>
      </c>
      <c r="H2589" t="n">
        <v>0</v>
      </c>
      <c r="I2589" t="n">
        <v>0</v>
      </c>
      <c r="J2589" t="n">
        <v>0</v>
      </c>
      <c r="K2589" t="n">
        <v>0</v>
      </c>
      <c r="L2589" t="n">
        <v>0</v>
      </c>
      <c r="M2589" t="n">
        <v>0</v>
      </c>
      <c r="N2589" t="n">
        <v>0</v>
      </c>
      <c r="O2589" t="n">
        <v>0</v>
      </c>
      <c r="P2589" t="n">
        <v>0</v>
      </c>
      <c r="Q2589" t="n">
        <v>0</v>
      </c>
      <c r="R2589" s="2" t="inlineStr"/>
    </row>
    <row r="2590" ht="15" customHeight="1">
      <c r="A2590" t="inlineStr">
        <is>
          <t>A 17326-2021</t>
        </is>
      </c>
      <c r="B2590" s="1" t="n">
        <v>44298.64422453703</v>
      </c>
      <c r="C2590" s="1" t="n">
        <v>45952</v>
      </c>
      <c r="D2590" t="inlineStr">
        <is>
          <t>VÄSTRA GÖTALANDS LÄN</t>
        </is>
      </c>
      <c r="E2590" t="inlineStr">
        <is>
          <t>VÅRGÅRDA</t>
        </is>
      </c>
      <c r="G2590" t="n">
        <v>0.4</v>
      </c>
      <c r="H2590" t="n">
        <v>0</v>
      </c>
      <c r="I2590" t="n">
        <v>0</v>
      </c>
      <c r="J2590" t="n">
        <v>0</v>
      </c>
      <c r="K2590" t="n">
        <v>0</v>
      </c>
      <c r="L2590" t="n">
        <v>0</v>
      </c>
      <c r="M2590" t="n">
        <v>0</v>
      </c>
      <c r="N2590" t="n">
        <v>0</v>
      </c>
      <c r="O2590" t="n">
        <v>0</v>
      </c>
      <c r="P2590" t="n">
        <v>0</v>
      </c>
      <c r="Q2590" t="n">
        <v>0</v>
      </c>
      <c r="R2590" s="2" t="inlineStr"/>
    </row>
    <row r="2591" ht="15" customHeight="1">
      <c r="A2591" t="inlineStr">
        <is>
          <t>A 17343-2021</t>
        </is>
      </c>
      <c r="B2591" s="1" t="n">
        <v>44298.72625</v>
      </c>
      <c r="C2591" s="1" t="n">
        <v>45952</v>
      </c>
      <c r="D2591" t="inlineStr">
        <is>
          <t>VÄSTRA GÖTALANDS LÄN</t>
        </is>
      </c>
      <c r="E2591" t="inlineStr">
        <is>
          <t>TROLLHÄTTAN</t>
        </is>
      </c>
      <c r="G2591" t="n">
        <v>0.7</v>
      </c>
      <c r="H2591" t="n">
        <v>0</v>
      </c>
      <c r="I2591" t="n">
        <v>0</v>
      </c>
      <c r="J2591" t="n">
        <v>0</v>
      </c>
      <c r="K2591" t="n">
        <v>0</v>
      </c>
      <c r="L2591" t="n">
        <v>0</v>
      </c>
      <c r="M2591" t="n">
        <v>0</v>
      </c>
      <c r="N2591" t="n">
        <v>0</v>
      </c>
      <c r="O2591" t="n">
        <v>0</v>
      </c>
      <c r="P2591" t="n">
        <v>0</v>
      </c>
      <c r="Q2591" t="n">
        <v>0</v>
      </c>
      <c r="R2591" s="2" t="inlineStr"/>
    </row>
    <row r="2592" ht="15" customHeight="1">
      <c r="A2592" t="inlineStr">
        <is>
          <t>A 10325-2022</t>
        </is>
      </c>
      <c r="B2592" s="1" t="n">
        <v>44623.2690162037</v>
      </c>
      <c r="C2592" s="1" t="n">
        <v>45952</v>
      </c>
      <c r="D2592" t="inlineStr">
        <is>
          <t>VÄSTRA GÖTALANDS LÄN</t>
        </is>
      </c>
      <c r="E2592" t="inlineStr">
        <is>
          <t>TIDAHOLM</t>
        </is>
      </c>
      <c r="G2592" t="n">
        <v>8</v>
      </c>
      <c r="H2592" t="n">
        <v>0</v>
      </c>
      <c r="I2592" t="n">
        <v>0</v>
      </c>
      <c r="J2592" t="n">
        <v>0</v>
      </c>
      <c r="K2592" t="n">
        <v>0</v>
      </c>
      <c r="L2592" t="n">
        <v>0</v>
      </c>
      <c r="M2592" t="n">
        <v>0</v>
      </c>
      <c r="N2592" t="n">
        <v>0</v>
      </c>
      <c r="O2592" t="n">
        <v>0</v>
      </c>
      <c r="P2592" t="n">
        <v>0</v>
      </c>
      <c r="Q2592" t="n">
        <v>0</v>
      </c>
      <c r="R2592" s="2" t="inlineStr"/>
    </row>
    <row r="2593" ht="15" customHeight="1">
      <c r="A2593" t="inlineStr">
        <is>
          <t>A 52599-2021</t>
        </is>
      </c>
      <c r="B2593" s="1" t="n">
        <v>44465</v>
      </c>
      <c r="C2593" s="1" t="n">
        <v>45952</v>
      </c>
      <c r="D2593" t="inlineStr">
        <is>
          <t>VÄSTRA GÖTALANDS LÄN</t>
        </is>
      </c>
      <c r="E2593" t="inlineStr">
        <is>
          <t>FÄRGELANDA</t>
        </is>
      </c>
      <c r="G2593" t="n">
        <v>8.199999999999999</v>
      </c>
      <c r="H2593" t="n">
        <v>0</v>
      </c>
      <c r="I2593" t="n">
        <v>0</v>
      </c>
      <c r="J2593" t="n">
        <v>0</v>
      </c>
      <c r="K2593" t="n">
        <v>0</v>
      </c>
      <c r="L2593" t="n">
        <v>0</v>
      </c>
      <c r="M2593" t="n">
        <v>0</v>
      </c>
      <c r="N2593" t="n">
        <v>0</v>
      </c>
      <c r="O2593" t="n">
        <v>0</v>
      </c>
      <c r="P2593" t="n">
        <v>0</v>
      </c>
      <c r="Q2593" t="n">
        <v>0</v>
      </c>
      <c r="R2593" s="2" t="inlineStr"/>
    </row>
    <row r="2594" ht="15" customHeight="1">
      <c r="A2594" t="inlineStr">
        <is>
          <t>A 10252-2021</t>
        </is>
      </c>
      <c r="B2594" s="1" t="n">
        <v>44256</v>
      </c>
      <c r="C2594" s="1" t="n">
        <v>45952</v>
      </c>
      <c r="D2594" t="inlineStr">
        <is>
          <t>VÄSTRA GÖTALANDS LÄN</t>
        </is>
      </c>
      <c r="E2594" t="inlineStr">
        <is>
          <t>STRÖMSTAD</t>
        </is>
      </c>
      <c r="G2594" t="n">
        <v>3.7</v>
      </c>
      <c r="H2594" t="n">
        <v>0</v>
      </c>
      <c r="I2594" t="n">
        <v>0</v>
      </c>
      <c r="J2594" t="n">
        <v>0</v>
      </c>
      <c r="K2594" t="n">
        <v>0</v>
      </c>
      <c r="L2594" t="n">
        <v>0</v>
      </c>
      <c r="M2594" t="n">
        <v>0</v>
      </c>
      <c r="N2594" t="n">
        <v>0</v>
      </c>
      <c r="O2594" t="n">
        <v>0</v>
      </c>
      <c r="P2594" t="n">
        <v>0</v>
      </c>
      <c r="Q2594" t="n">
        <v>0</v>
      </c>
      <c r="R2594" s="2" t="inlineStr"/>
    </row>
    <row r="2595" ht="15" customHeight="1">
      <c r="A2595" t="inlineStr">
        <is>
          <t>A 62124-2021</t>
        </is>
      </c>
      <c r="B2595" s="1" t="n">
        <v>44501</v>
      </c>
      <c r="C2595" s="1" t="n">
        <v>45952</v>
      </c>
      <c r="D2595" t="inlineStr">
        <is>
          <t>VÄSTRA GÖTALANDS LÄN</t>
        </is>
      </c>
      <c r="E2595" t="inlineStr">
        <is>
          <t>VÅRGÅRDA</t>
        </is>
      </c>
      <c r="G2595" t="n">
        <v>1.2</v>
      </c>
      <c r="H2595" t="n">
        <v>0</v>
      </c>
      <c r="I2595" t="n">
        <v>0</v>
      </c>
      <c r="J2595" t="n">
        <v>0</v>
      </c>
      <c r="K2595" t="n">
        <v>0</v>
      </c>
      <c r="L2595" t="n">
        <v>0</v>
      </c>
      <c r="M2595" t="n">
        <v>0</v>
      </c>
      <c r="N2595" t="n">
        <v>0</v>
      </c>
      <c r="O2595" t="n">
        <v>0</v>
      </c>
      <c r="P2595" t="n">
        <v>0</v>
      </c>
      <c r="Q2595" t="n">
        <v>0</v>
      </c>
      <c r="R2595" s="2" t="inlineStr"/>
    </row>
    <row r="2596" ht="15" customHeight="1">
      <c r="A2596" t="inlineStr">
        <is>
          <t>A 30432-2022</t>
        </is>
      </c>
      <c r="B2596" s="1" t="n">
        <v>44761.48648148148</v>
      </c>
      <c r="C2596" s="1" t="n">
        <v>45952</v>
      </c>
      <c r="D2596" t="inlineStr">
        <is>
          <t>VÄSTRA GÖTALANDS LÄN</t>
        </is>
      </c>
      <c r="E2596" t="inlineStr">
        <is>
          <t>GÖTENE</t>
        </is>
      </c>
      <c r="G2596" t="n">
        <v>0.7</v>
      </c>
      <c r="H2596" t="n">
        <v>0</v>
      </c>
      <c r="I2596" t="n">
        <v>0</v>
      </c>
      <c r="J2596" t="n">
        <v>0</v>
      </c>
      <c r="K2596" t="n">
        <v>0</v>
      </c>
      <c r="L2596" t="n">
        <v>0</v>
      </c>
      <c r="M2596" t="n">
        <v>0</v>
      </c>
      <c r="N2596" t="n">
        <v>0</v>
      </c>
      <c r="O2596" t="n">
        <v>0</v>
      </c>
      <c r="P2596" t="n">
        <v>0</v>
      </c>
      <c r="Q2596" t="n">
        <v>0</v>
      </c>
      <c r="R2596" s="2" t="inlineStr"/>
    </row>
    <row r="2597" ht="15" customHeight="1">
      <c r="A2597" t="inlineStr">
        <is>
          <t>A 1370-2021</t>
        </is>
      </c>
      <c r="B2597" s="1" t="n">
        <v>44208.59737268519</v>
      </c>
      <c r="C2597" s="1" t="n">
        <v>45952</v>
      </c>
      <c r="D2597" t="inlineStr">
        <is>
          <t>VÄSTRA GÖTALANDS LÄN</t>
        </is>
      </c>
      <c r="E2597" t="inlineStr">
        <is>
          <t>STRÖMSTAD</t>
        </is>
      </c>
      <c r="G2597" t="n">
        <v>2.6</v>
      </c>
      <c r="H2597" t="n">
        <v>0</v>
      </c>
      <c r="I2597" t="n">
        <v>0</v>
      </c>
      <c r="J2597" t="n">
        <v>0</v>
      </c>
      <c r="K2597" t="n">
        <v>0</v>
      </c>
      <c r="L2597" t="n">
        <v>0</v>
      </c>
      <c r="M2597" t="n">
        <v>0</v>
      </c>
      <c r="N2597" t="n">
        <v>0</v>
      </c>
      <c r="O2597" t="n">
        <v>0</v>
      </c>
      <c r="P2597" t="n">
        <v>0</v>
      </c>
      <c r="Q2597" t="n">
        <v>0</v>
      </c>
      <c r="R2597" s="2" t="inlineStr"/>
    </row>
    <row r="2598" ht="15" customHeight="1">
      <c r="A2598" t="inlineStr">
        <is>
          <t>A 51828-2021</t>
        </is>
      </c>
      <c r="B2598" s="1" t="n">
        <v>44462.65415509259</v>
      </c>
      <c r="C2598" s="1" t="n">
        <v>45952</v>
      </c>
      <c r="D2598" t="inlineStr">
        <is>
          <t>VÄSTRA GÖTALANDS LÄN</t>
        </is>
      </c>
      <c r="E2598" t="inlineStr">
        <is>
          <t>MARK</t>
        </is>
      </c>
      <c r="G2598" t="n">
        <v>0.5</v>
      </c>
      <c r="H2598" t="n">
        <v>0</v>
      </c>
      <c r="I2598" t="n">
        <v>0</v>
      </c>
      <c r="J2598" t="n">
        <v>0</v>
      </c>
      <c r="K2598" t="n">
        <v>0</v>
      </c>
      <c r="L2598" t="n">
        <v>0</v>
      </c>
      <c r="M2598" t="n">
        <v>0</v>
      </c>
      <c r="N2598" t="n">
        <v>0</v>
      </c>
      <c r="O2598" t="n">
        <v>0</v>
      </c>
      <c r="P2598" t="n">
        <v>0</v>
      </c>
      <c r="Q2598" t="n">
        <v>0</v>
      </c>
      <c r="R2598" s="2" t="inlineStr"/>
    </row>
    <row r="2599" ht="15" customHeight="1">
      <c r="A2599" t="inlineStr">
        <is>
          <t>A 25727-2021</t>
        </is>
      </c>
      <c r="B2599" s="1" t="n">
        <v>44343.62659722222</v>
      </c>
      <c r="C2599" s="1" t="n">
        <v>45952</v>
      </c>
      <c r="D2599" t="inlineStr">
        <is>
          <t>VÄSTRA GÖTALANDS LÄN</t>
        </is>
      </c>
      <c r="E2599" t="inlineStr">
        <is>
          <t>SVENLJUNGA</t>
        </is>
      </c>
      <c r="G2599" t="n">
        <v>0.5</v>
      </c>
      <c r="H2599" t="n">
        <v>0</v>
      </c>
      <c r="I2599" t="n">
        <v>0</v>
      </c>
      <c r="J2599" t="n">
        <v>0</v>
      </c>
      <c r="K2599" t="n">
        <v>0</v>
      </c>
      <c r="L2599" t="n">
        <v>0</v>
      </c>
      <c r="M2599" t="n">
        <v>0</v>
      </c>
      <c r="N2599" t="n">
        <v>0</v>
      </c>
      <c r="O2599" t="n">
        <v>0</v>
      </c>
      <c r="P2599" t="n">
        <v>0</v>
      </c>
      <c r="Q2599" t="n">
        <v>0</v>
      </c>
      <c r="R2599" s="2" t="inlineStr"/>
    </row>
    <row r="2600" ht="15" customHeight="1">
      <c r="A2600" t="inlineStr">
        <is>
          <t>A 54113-2022</t>
        </is>
      </c>
      <c r="B2600" s="1" t="n">
        <v>44881.56228009259</v>
      </c>
      <c r="C2600" s="1" t="n">
        <v>45952</v>
      </c>
      <c r="D2600" t="inlineStr">
        <is>
          <t>VÄSTRA GÖTALANDS LÄN</t>
        </is>
      </c>
      <c r="E2600" t="inlineStr">
        <is>
          <t>TIDAHOLM</t>
        </is>
      </c>
      <c r="G2600" t="n">
        <v>3</v>
      </c>
      <c r="H2600" t="n">
        <v>0</v>
      </c>
      <c r="I2600" t="n">
        <v>0</v>
      </c>
      <c r="J2600" t="n">
        <v>0</v>
      </c>
      <c r="K2600" t="n">
        <v>0</v>
      </c>
      <c r="L2600" t="n">
        <v>0</v>
      </c>
      <c r="M2600" t="n">
        <v>0</v>
      </c>
      <c r="N2600" t="n">
        <v>0</v>
      </c>
      <c r="O2600" t="n">
        <v>0</v>
      </c>
      <c r="P2600" t="n">
        <v>0</v>
      </c>
      <c r="Q2600" t="n">
        <v>0</v>
      </c>
      <c r="R2600" s="2" t="inlineStr"/>
    </row>
    <row r="2601" ht="15" customHeight="1">
      <c r="A2601" t="inlineStr">
        <is>
          <t>A 38210-2022</t>
        </is>
      </c>
      <c r="B2601" s="1" t="n">
        <v>44812</v>
      </c>
      <c r="C2601" s="1" t="n">
        <v>45952</v>
      </c>
      <c r="D2601" t="inlineStr">
        <is>
          <t>VÄSTRA GÖTALANDS LÄN</t>
        </is>
      </c>
      <c r="E2601" t="inlineStr">
        <is>
          <t>SKARA</t>
        </is>
      </c>
      <c r="G2601" t="n">
        <v>3.4</v>
      </c>
      <c r="H2601" t="n">
        <v>0</v>
      </c>
      <c r="I2601" t="n">
        <v>0</v>
      </c>
      <c r="J2601" t="n">
        <v>0</v>
      </c>
      <c r="K2601" t="n">
        <v>0</v>
      </c>
      <c r="L2601" t="n">
        <v>0</v>
      </c>
      <c r="M2601" t="n">
        <v>0</v>
      </c>
      <c r="N2601" t="n">
        <v>0</v>
      </c>
      <c r="O2601" t="n">
        <v>0</v>
      </c>
      <c r="P2601" t="n">
        <v>0</v>
      </c>
      <c r="Q2601" t="n">
        <v>0</v>
      </c>
      <c r="R2601" s="2" t="inlineStr"/>
    </row>
    <row r="2602" ht="15" customHeight="1">
      <c r="A2602" t="inlineStr">
        <is>
          <t>A 65036-2020</t>
        </is>
      </c>
      <c r="B2602" s="1" t="n">
        <v>44167</v>
      </c>
      <c r="C2602" s="1" t="n">
        <v>45952</v>
      </c>
      <c r="D2602" t="inlineStr">
        <is>
          <t>VÄSTRA GÖTALANDS LÄN</t>
        </is>
      </c>
      <c r="E2602" t="inlineStr">
        <is>
          <t>BENGTSFORS</t>
        </is>
      </c>
      <c r="G2602" t="n">
        <v>1.7</v>
      </c>
      <c r="H2602" t="n">
        <v>0</v>
      </c>
      <c r="I2602" t="n">
        <v>0</v>
      </c>
      <c r="J2602" t="n">
        <v>0</v>
      </c>
      <c r="K2602" t="n">
        <v>0</v>
      </c>
      <c r="L2602" t="n">
        <v>0</v>
      </c>
      <c r="M2602" t="n">
        <v>0</v>
      </c>
      <c r="N2602" t="n">
        <v>0</v>
      </c>
      <c r="O2602" t="n">
        <v>0</v>
      </c>
      <c r="P2602" t="n">
        <v>0</v>
      </c>
      <c r="Q2602" t="n">
        <v>0</v>
      </c>
      <c r="R2602" s="2" t="inlineStr"/>
    </row>
    <row r="2603" ht="15" customHeight="1">
      <c r="A2603" t="inlineStr">
        <is>
          <t>A 21204-2021</t>
        </is>
      </c>
      <c r="B2603" s="1" t="n">
        <v>44320</v>
      </c>
      <c r="C2603" s="1" t="n">
        <v>45952</v>
      </c>
      <c r="D2603" t="inlineStr">
        <is>
          <t>VÄSTRA GÖTALANDS LÄN</t>
        </is>
      </c>
      <c r="E2603" t="inlineStr">
        <is>
          <t>ESSUNGA</t>
        </is>
      </c>
      <c r="F2603" t="inlineStr">
        <is>
          <t>Allmännings- och besparingsskogar</t>
        </is>
      </c>
      <c r="G2603" t="n">
        <v>0.6</v>
      </c>
      <c r="H2603" t="n">
        <v>0</v>
      </c>
      <c r="I2603" t="n">
        <v>0</v>
      </c>
      <c r="J2603" t="n">
        <v>0</v>
      </c>
      <c r="K2603" t="n">
        <v>0</v>
      </c>
      <c r="L2603" t="n">
        <v>0</v>
      </c>
      <c r="M2603" t="n">
        <v>0</v>
      </c>
      <c r="N2603" t="n">
        <v>0</v>
      </c>
      <c r="O2603" t="n">
        <v>0</v>
      </c>
      <c r="P2603" t="n">
        <v>0</v>
      </c>
      <c r="Q2603" t="n">
        <v>0</v>
      </c>
      <c r="R2603" s="2" t="inlineStr"/>
    </row>
    <row r="2604" ht="15" customHeight="1">
      <c r="A2604" t="inlineStr">
        <is>
          <t>A 21842-2021</t>
        </is>
      </c>
      <c r="B2604" s="1" t="n">
        <v>44322</v>
      </c>
      <c r="C2604" s="1" t="n">
        <v>45952</v>
      </c>
      <c r="D2604" t="inlineStr">
        <is>
          <t>VÄSTRA GÖTALANDS LÄN</t>
        </is>
      </c>
      <c r="E2604" t="inlineStr">
        <is>
          <t>MÖLNDAL</t>
        </is>
      </c>
      <c r="F2604" t="inlineStr">
        <is>
          <t>Kommuner</t>
        </is>
      </c>
      <c r="G2604" t="n">
        <v>0.4</v>
      </c>
      <c r="H2604" t="n">
        <v>0</v>
      </c>
      <c r="I2604" t="n">
        <v>0</v>
      </c>
      <c r="J2604" t="n">
        <v>0</v>
      </c>
      <c r="K2604" t="n">
        <v>0</v>
      </c>
      <c r="L2604" t="n">
        <v>0</v>
      </c>
      <c r="M2604" t="n">
        <v>0</v>
      </c>
      <c r="N2604" t="n">
        <v>0</v>
      </c>
      <c r="O2604" t="n">
        <v>0</v>
      </c>
      <c r="P2604" t="n">
        <v>0</v>
      </c>
      <c r="Q2604" t="n">
        <v>0</v>
      </c>
      <c r="R2604" s="2" t="inlineStr"/>
    </row>
    <row r="2605" ht="15" customHeight="1">
      <c r="A2605" t="inlineStr">
        <is>
          <t>A 22724-2021</t>
        </is>
      </c>
      <c r="B2605" s="1" t="n">
        <v>44327</v>
      </c>
      <c r="C2605" s="1" t="n">
        <v>45952</v>
      </c>
      <c r="D2605" t="inlineStr">
        <is>
          <t>VÄSTRA GÖTALANDS LÄN</t>
        </is>
      </c>
      <c r="E2605" t="inlineStr">
        <is>
          <t>BOLLEBYGD</t>
        </is>
      </c>
      <c r="G2605" t="n">
        <v>2.8</v>
      </c>
      <c r="H2605" t="n">
        <v>0</v>
      </c>
      <c r="I2605" t="n">
        <v>0</v>
      </c>
      <c r="J2605" t="n">
        <v>0</v>
      </c>
      <c r="K2605" t="n">
        <v>0</v>
      </c>
      <c r="L2605" t="n">
        <v>0</v>
      </c>
      <c r="M2605" t="n">
        <v>0</v>
      </c>
      <c r="N2605" t="n">
        <v>0</v>
      </c>
      <c r="O2605" t="n">
        <v>0</v>
      </c>
      <c r="P2605" t="n">
        <v>0</v>
      </c>
      <c r="Q2605" t="n">
        <v>0</v>
      </c>
      <c r="R2605" s="2" t="inlineStr"/>
    </row>
    <row r="2606" ht="15" customHeight="1">
      <c r="A2606" t="inlineStr">
        <is>
          <t>A 22764-2021</t>
        </is>
      </c>
      <c r="B2606" s="1" t="n">
        <v>44327</v>
      </c>
      <c r="C2606" s="1" t="n">
        <v>45952</v>
      </c>
      <c r="D2606" t="inlineStr">
        <is>
          <t>VÄSTRA GÖTALANDS LÄN</t>
        </is>
      </c>
      <c r="E2606" t="inlineStr">
        <is>
          <t>TANUM</t>
        </is>
      </c>
      <c r="G2606" t="n">
        <v>3.3</v>
      </c>
      <c r="H2606" t="n">
        <v>0</v>
      </c>
      <c r="I2606" t="n">
        <v>0</v>
      </c>
      <c r="J2606" t="n">
        <v>0</v>
      </c>
      <c r="K2606" t="n">
        <v>0</v>
      </c>
      <c r="L2606" t="n">
        <v>0</v>
      </c>
      <c r="M2606" t="n">
        <v>0</v>
      </c>
      <c r="N2606" t="n">
        <v>0</v>
      </c>
      <c r="O2606" t="n">
        <v>0</v>
      </c>
      <c r="P2606" t="n">
        <v>0</v>
      </c>
      <c r="Q2606" t="n">
        <v>0</v>
      </c>
      <c r="R2606" s="2" t="inlineStr"/>
    </row>
    <row r="2607" ht="15" customHeight="1">
      <c r="A2607" t="inlineStr">
        <is>
          <t>A 22766-2021</t>
        </is>
      </c>
      <c r="B2607" s="1" t="n">
        <v>44327</v>
      </c>
      <c r="C2607" s="1" t="n">
        <v>45952</v>
      </c>
      <c r="D2607" t="inlineStr">
        <is>
          <t>VÄSTRA GÖTALANDS LÄN</t>
        </is>
      </c>
      <c r="E2607" t="inlineStr">
        <is>
          <t>TANUM</t>
        </is>
      </c>
      <c r="G2607" t="n">
        <v>4.7</v>
      </c>
      <c r="H2607" t="n">
        <v>0</v>
      </c>
      <c r="I2607" t="n">
        <v>0</v>
      </c>
      <c r="J2607" t="n">
        <v>0</v>
      </c>
      <c r="K2607" t="n">
        <v>0</v>
      </c>
      <c r="L2607" t="n">
        <v>0</v>
      </c>
      <c r="M2607" t="n">
        <v>0</v>
      </c>
      <c r="N2607" t="n">
        <v>0</v>
      </c>
      <c r="O2607" t="n">
        <v>0</v>
      </c>
      <c r="P2607" t="n">
        <v>0</v>
      </c>
      <c r="Q2607" t="n">
        <v>0</v>
      </c>
      <c r="R2607" s="2" t="inlineStr"/>
    </row>
    <row r="2608" ht="15" customHeight="1">
      <c r="A2608" t="inlineStr">
        <is>
          <t>A 56666-2021</t>
        </is>
      </c>
      <c r="B2608" s="1" t="n">
        <v>44481.28127314815</v>
      </c>
      <c r="C2608" s="1" t="n">
        <v>45952</v>
      </c>
      <c r="D2608" t="inlineStr">
        <is>
          <t>VÄSTRA GÖTALANDS LÄN</t>
        </is>
      </c>
      <c r="E2608" t="inlineStr">
        <is>
          <t>TRANEMO</t>
        </is>
      </c>
      <c r="G2608" t="n">
        <v>0.9</v>
      </c>
      <c r="H2608" t="n">
        <v>0</v>
      </c>
      <c r="I2608" t="n">
        <v>0</v>
      </c>
      <c r="J2608" t="n">
        <v>0</v>
      </c>
      <c r="K2608" t="n">
        <v>0</v>
      </c>
      <c r="L2608" t="n">
        <v>0</v>
      </c>
      <c r="M2608" t="n">
        <v>0</v>
      </c>
      <c r="N2608" t="n">
        <v>0</v>
      </c>
      <c r="O2608" t="n">
        <v>0</v>
      </c>
      <c r="P2608" t="n">
        <v>0</v>
      </c>
      <c r="Q2608" t="n">
        <v>0</v>
      </c>
      <c r="R2608" s="2" t="inlineStr"/>
    </row>
    <row r="2609" ht="15" customHeight="1">
      <c r="A2609" t="inlineStr">
        <is>
          <t>A 57801-2021</t>
        </is>
      </c>
      <c r="B2609" s="1" t="n">
        <v>44484</v>
      </c>
      <c r="C2609" s="1" t="n">
        <v>45952</v>
      </c>
      <c r="D2609" t="inlineStr">
        <is>
          <t>VÄSTRA GÖTALANDS LÄN</t>
        </is>
      </c>
      <c r="E2609" t="inlineStr">
        <is>
          <t>MELLERUD</t>
        </is>
      </c>
      <c r="G2609" t="n">
        <v>3</v>
      </c>
      <c r="H2609" t="n">
        <v>0</v>
      </c>
      <c r="I2609" t="n">
        <v>0</v>
      </c>
      <c r="J2609" t="n">
        <v>0</v>
      </c>
      <c r="K2609" t="n">
        <v>0</v>
      </c>
      <c r="L2609" t="n">
        <v>0</v>
      </c>
      <c r="M2609" t="n">
        <v>0</v>
      </c>
      <c r="N2609" t="n">
        <v>0</v>
      </c>
      <c r="O2609" t="n">
        <v>0</v>
      </c>
      <c r="P2609" t="n">
        <v>0</v>
      </c>
      <c r="Q2609" t="n">
        <v>0</v>
      </c>
      <c r="R2609" s="2" t="inlineStr"/>
    </row>
    <row r="2610" ht="15" customHeight="1">
      <c r="A2610" t="inlineStr">
        <is>
          <t>A 63118-2020</t>
        </is>
      </c>
      <c r="B2610" s="1" t="n">
        <v>44162</v>
      </c>
      <c r="C2610" s="1" t="n">
        <v>45952</v>
      </c>
      <c r="D2610" t="inlineStr">
        <is>
          <t>VÄSTRA GÖTALANDS LÄN</t>
        </is>
      </c>
      <c r="E2610" t="inlineStr">
        <is>
          <t>ALINGSÅS</t>
        </is>
      </c>
      <c r="G2610" t="n">
        <v>3.7</v>
      </c>
      <c r="H2610" t="n">
        <v>0</v>
      </c>
      <c r="I2610" t="n">
        <v>0</v>
      </c>
      <c r="J2610" t="n">
        <v>0</v>
      </c>
      <c r="K2610" t="n">
        <v>0</v>
      </c>
      <c r="L2610" t="n">
        <v>0</v>
      </c>
      <c r="M2610" t="n">
        <v>0</v>
      </c>
      <c r="N2610" t="n">
        <v>0</v>
      </c>
      <c r="O2610" t="n">
        <v>0</v>
      </c>
      <c r="P2610" t="n">
        <v>0</v>
      </c>
      <c r="Q2610" t="n">
        <v>0</v>
      </c>
      <c r="R2610" s="2" t="inlineStr"/>
    </row>
    <row r="2611" ht="15" customHeight="1">
      <c r="A2611" t="inlineStr">
        <is>
          <t>A 25969-2021</t>
        </is>
      </c>
      <c r="B2611" s="1" t="n">
        <v>44344</v>
      </c>
      <c r="C2611" s="1" t="n">
        <v>45952</v>
      </c>
      <c r="D2611" t="inlineStr">
        <is>
          <t>VÄSTRA GÖTALANDS LÄN</t>
        </is>
      </c>
      <c r="E2611" t="inlineStr">
        <is>
          <t>MARIESTAD</t>
        </is>
      </c>
      <c r="G2611" t="n">
        <v>2.4</v>
      </c>
      <c r="H2611" t="n">
        <v>0</v>
      </c>
      <c r="I2611" t="n">
        <v>0</v>
      </c>
      <c r="J2611" t="n">
        <v>0</v>
      </c>
      <c r="K2611" t="n">
        <v>0</v>
      </c>
      <c r="L2611" t="n">
        <v>0</v>
      </c>
      <c r="M2611" t="n">
        <v>0</v>
      </c>
      <c r="N2611" t="n">
        <v>0</v>
      </c>
      <c r="O2611" t="n">
        <v>0</v>
      </c>
      <c r="P2611" t="n">
        <v>0</v>
      </c>
      <c r="Q2611" t="n">
        <v>0</v>
      </c>
      <c r="R2611" s="2" t="inlineStr"/>
    </row>
    <row r="2612" ht="15" customHeight="1">
      <c r="A2612" t="inlineStr">
        <is>
          <t>A 67142-2021</t>
        </is>
      </c>
      <c r="B2612" s="1" t="n">
        <v>44523</v>
      </c>
      <c r="C2612" s="1" t="n">
        <v>45952</v>
      </c>
      <c r="D2612" t="inlineStr">
        <is>
          <t>VÄSTRA GÖTALANDS LÄN</t>
        </is>
      </c>
      <c r="E2612" t="inlineStr">
        <is>
          <t>MARIESTAD</t>
        </is>
      </c>
      <c r="G2612" t="n">
        <v>3.7</v>
      </c>
      <c r="H2612" t="n">
        <v>0</v>
      </c>
      <c r="I2612" t="n">
        <v>0</v>
      </c>
      <c r="J2612" t="n">
        <v>0</v>
      </c>
      <c r="K2612" t="n">
        <v>0</v>
      </c>
      <c r="L2612" t="n">
        <v>0</v>
      </c>
      <c r="M2612" t="n">
        <v>0</v>
      </c>
      <c r="N2612" t="n">
        <v>0</v>
      </c>
      <c r="O2612" t="n">
        <v>0</v>
      </c>
      <c r="P2612" t="n">
        <v>0</v>
      </c>
      <c r="Q2612" t="n">
        <v>0</v>
      </c>
      <c r="R2612" s="2" t="inlineStr"/>
    </row>
    <row r="2613" ht="15" customHeight="1">
      <c r="A2613" t="inlineStr">
        <is>
          <t>A 64352-2020</t>
        </is>
      </c>
      <c r="B2613" s="1" t="n">
        <v>44166</v>
      </c>
      <c r="C2613" s="1" t="n">
        <v>45952</v>
      </c>
      <c r="D2613" t="inlineStr">
        <is>
          <t>VÄSTRA GÖTALANDS LÄN</t>
        </is>
      </c>
      <c r="E2613" t="inlineStr">
        <is>
          <t>GRÄSTORP</t>
        </is>
      </c>
      <c r="G2613" t="n">
        <v>3</v>
      </c>
      <c r="H2613" t="n">
        <v>0</v>
      </c>
      <c r="I2613" t="n">
        <v>0</v>
      </c>
      <c r="J2613" t="n">
        <v>0</v>
      </c>
      <c r="K2613" t="n">
        <v>0</v>
      </c>
      <c r="L2613" t="n">
        <v>0</v>
      </c>
      <c r="M2613" t="n">
        <v>0</v>
      </c>
      <c r="N2613" t="n">
        <v>0</v>
      </c>
      <c r="O2613" t="n">
        <v>0</v>
      </c>
      <c r="P2613" t="n">
        <v>0</v>
      </c>
      <c r="Q2613" t="n">
        <v>0</v>
      </c>
      <c r="R2613" s="2" t="inlineStr"/>
    </row>
    <row r="2614" ht="15" customHeight="1">
      <c r="A2614" t="inlineStr">
        <is>
          <t>A 28752-2021</t>
        </is>
      </c>
      <c r="B2614" s="1" t="n">
        <v>44357</v>
      </c>
      <c r="C2614" s="1" t="n">
        <v>45952</v>
      </c>
      <c r="D2614" t="inlineStr">
        <is>
          <t>VÄSTRA GÖTALANDS LÄN</t>
        </is>
      </c>
      <c r="E2614" t="inlineStr">
        <is>
          <t>SVENLJUNGA</t>
        </is>
      </c>
      <c r="F2614" t="inlineStr">
        <is>
          <t>Sveaskog</t>
        </is>
      </c>
      <c r="G2614" t="n">
        <v>1.9</v>
      </c>
      <c r="H2614" t="n">
        <v>0</v>
      </c>
      <c r="I2614" t="n">
        <v>0</v>
      </c>
      <c r="J2614" t="n">
        <v>0</v>
      </c>
      <c r="K2614" t="n">
        <v>0</v>
      </c>
      <c r="L2614" t="n">
        <v>0</v>
      </c>
      <c r="M2614" t="n">
        <v>0</v>
      </c>
      <c r="N2614" t="n">
        <v>0</v>
      </c>
      <c r="O2614" t="n">
        <v>0</v>
      </c>
      <c r="P2614" t="n">
        <v>0</v>
      </c>
      <c r="Q2614" t="n">
        <v>0</v>
      </c>
      <c r="R2614" s="2" t="inlineStr"/>
    </row>
    <row r="2615" ht="15" customHeight="1">
      <c r="A2615" t="inlineStr">
        <is>
          <t>A 28753-2021</t>
        </is>
      </c>
      <c r="B2615" s="1" t="n">
        <v>44357</v>
      </c>
      <c r="C2615" s="1" t="n">
        <v>45952</v>
      </c>
      <c r="D2615" t="inlineStr">
        <is>
          <t>VÄSTRA GÖTALANDS LÄN</t>
        </is>
      </c>
      <c r="E2615" t="inlineStr">
        <is>
          <t>SVENLJUNGA</t>
        </is>
      </c>
      <c r="F2615" t="inlineStr">
        <is>
          <t>Sveaskog</t>
        </is>
      </c>
      <c r="G2615" t="n">
        <v>0.6</v>
      </c>
      <c r="H2615" t="n">
        <v>0</v>
      </c>
      <c r="I2615" t="n">
        <v>0</v>
      </c>
      <c r="J2615" t="n">
        <v>0</v>
      </c>
      <c r="K2615" t="n">
        <v>0</v>
      </c>
      <c r="L2615" t="n">
        <v>0</v>
      </c>
      <c r="M2615" t="n">
        <v>0</v>
      </c>
      <c r="N2615" t="n">
        <v>0</v>
      </c>
      <c r="O2615" t="n">
        <v>0</v>
      </c>
      <c r="P2615" t="n">
        <v>0</v>
      </c>
      <c r="Q2615" t="n">
        <v>0</v>
      </c>
      <c r="R2615" s="2" t="inlineStr"/>
    </row>
    <row r="2616" ht="15" customHeight="1">
      <c r="A2616" t="inlineStr">
        <is>
          <t>A 28754-2021</t>
        </is>
      </c>
      <c r="B2616" s="1" t="n">
        <v>44357.5115162037</v>
      </c>
      <c r="C2616" s="1" t="n">
        <v>45952</v>
      </c>
      <c r="D2616" t="inlineStr">
        <is>
          <t>VÄSTRA GÖTALANDS LÄN</t>
        </is>
      </c>
      <c r="E2616" t="inlineStr">
        <is>
          <t>MUNKEDAL</t>
        </is>
      </c>
      <c r="G2616" t="n">
        <v>2.6</v>
      </c>
      <c r="H2616" t="n">
        <v>0</v>
      </c>
      <c r="I2616" t="n">
        <v>0</v>
      </c>
      <c r="J2616" t="n">
        <v>0</v>
      </c>
      <c r="K2616" t="n">
        <v>0</v>
      </c>
      <c r="L2616" t="n">
        <v>0</v>
      </c>
      <c r="M2616" t="n">
        <v>0</v>
      </c>
      <c r="N2616" t="n">
        <v>0</v>
      </c>
      <c r="O2616" t="n">
        <v>0</v>
      </c>
      <c r="P2616" t="n">
        <v>0</v>
      </c>
      <c r="Q2616" t="n">
        <v>0</v>
      </c>
      <c r="R2616" s="2" t="inlineStr"/>
    </row>
    <row r="2617" ht="15" customHeight="1">
      <c r="A2617" t="inlineStr">
        <is>
          <t>A 28786-2021</t>
        </is>
      </c>
      <c r="B2617" s="1" t="n">
        <v>44357.57733796296</v>
      </c>
      <c r="C2617" s="1" t="n">
        <v>45952</v>
      </c>
      <c r="D2617" t="inlineStr">
        <is>
          <t>VÄSTRA GÖTALANDS LÄN</t>
        </is>
      </c>
      <c r="E2617" t="inlineStr">
        <is>
          <t>BENGTSFORS</t>
        </is>
      </c>
      <c r="G2617" t="n">
        <v>7</v>
      </c>
      <c r="H2617" t="n">
        <v>0</v>
      </c>
      <c r="I2617" t="n">
        <v>0</v>
      </c>
      <c r="J2617" t="n">
        <v>0</v>
      </c>
      <c r="K2617" t="n">
        <v>0</v>
      </c>
      <c r="L2617" t="n">
        <v>0</v>
      </c>
      <c r="M2617" t="n">
        <v>0</v>
      </c>
      <c r="N2617" t="n">
        <v>0</v>
      </c>
      <c r="O2617" t="n">
        <v>0</v>
      </c>
      <c r="P2617" t="n">
        <v>0</v>
      </c>
      <c r="Q2617" t="n">
        <v>0</v>
      </c>
      <c r="R2617" s="2" t="inlineStr"/>
    </row>
    <row r="2618" ht="15" customHeight="1">
      <c r="A2618" t="inlineStr">
        <is>
          <t>A 42048-2021</t>
        </is>
      </c>
      <c r="B2618" s="1" t="n">
        <v>44426</v>
      </c>
      <c r="C2618" s="1" t="n">
        <v>45952</v>
      </c>
      <c r="D2618" t="inlineStr">
        <is>
          <t>VÄSTRA GÖTALANDS LÄN</t>
        </is>
      </c>
      <c r="E2618" t="inlineStr">
        <is>
          <t>TIBRO</t>
        </is>
      </c>
      <c r="G2618" t="n">
        <v>0.7</v>
      </c>
      <c r="H2618" t="n">
        <v>0</v>
      </c>
      <c r="I2618" t="n">
        <v>0</v>
      </c>
      <c r="J2618" t="n">
        <v>0</v>
      </c>
      <c r="K2618" t="n">
        <v>0</v>
      </c>
      <c r="L2618" t="n">
        <v>0</v>
      </c>
      <c r="M2618" t="n">
        <v>0</v>
      </c>
      <c r="N2618" t="n">
        <v>0</v>
      </c>
      <c r="O2618" t="n">
        <v>0</v>
      </c>
      <c r="P2618" t="n">
        <v>0</v>
      </c>
      <c r="Q2618" t="n">
        <v>0</v>
      </c>
      <c r="R2618" s="2" t="inlineStr"/>
    </row>
    <row r="2619" ht="15" customHeight="1">
      <c r="A2619" t="inlineStr">
        <is>
          <t>A 64406-2020</t>
        </is>
      </c>
      <c r="B2619" s="1" t="n">
        <v>44168</v>
      </c>
      <c r="C2619" s="1" t="n">
        <v>45952</v>
      </c>
      <c r="D2619" t="inlineStr">
        <is>
          <t>VÄSTRA GÖTALANDS LÄN</t>
        </is>
      </c>
      <c r="E2619" t="inlineStr">
        <is>
          <t>SVENLJUNGA</t>
        </is>
      </c>
      <c r="G2619" t="n">
        <v>1.7</v>
      </c>
      <c r="H2619" t="n">
        <v>0</v>
      </c>
      <c r="I2619" t="n">
        <v>0</v>
      </c>
      <c r="J2619" t="n">
        <v>0</v>
      </c>
      <c r="K2619" t="n">
        <v>0</v>
      </c>
      <c r="L2619" t="n">
        <v>0</v>
      </c>
      <c r="M2619" t="n">
        <v>0</v>
      </c>
      <c r="N2619" t="n">
        <v>0</v>
      </c>
      <c r="O2619" t="n">
        <v>0</v>
      </c>
      <c r="P2619" t="n">
        <v>0</v>
      </c>
      <c r="Q2619" t="n">
        <v>0</v>
      </c>
      <c r="R2619" s="2" t="inlineStr"/>
    </row>
    <row r="2620" ht="15" customHeight="1">
      <c r="A2620" t="inlineStr">
        <is>
          <t>A 45150-2021</t>
        </is>
      </c>
      <c r="B2620" s="1" t="n">
        <v>44439.47009259259</v>
      </c>
      <c r="C2620" s="1" t="n">
        <v>45952</v>
      </c>
      <c r="D2620" t="inlineStr">
        <is>
          <t>VÄSTRA GÖTALANDS LÄN</t>
        </is>
      </c>
      <c r="E2620" t="inlineStr">
        <is>
          <t>MUNKEDAL</t>
        </is>
      </c>
      <c r="G2620" t="n">
        <v>1.3</v>
      </c>
      <c r="H2620" t="n">
        <v>0</v>
      </c>
      <c r="I2620" t="n">
        <v>0</v>
      </c>
      <c r="J2620" t="n">
        <v>0</v>
      </c>
      <c r="K2620" t="n">
        <v>0</v>
      </c>
      <c r="L2620" t="n">
        <v>0</v>
      </c>
      <c r="M2620" t="n">
        <v>0</v>
      </c>
      <c r="N2620" t="n">
        <v>0</v>
      </c>
      <c r="O2620" t="n">
        <v>0</v>
      </c>
      <c r="P2620" t="n">
        <v>0</v>
      </c>
      <c r="Q2620" t="n">
        <v>0</v>
      </c>
      <c r="R2620" s="2" t="inlineStr"/>
    </row>
    <row r="2621" ht="15" customHeight="1">
      <c r="A2621" t="inlineStr">
        <is>
          <t>A 45075-2021</t>
        </is>
      </c>
      <c r="B2621" s="1" t="n">
        <v>44439.38043981481</v>
      </c>
      <c r="C2621" s="1" t="n">
        <v>45952</v>
      </c>
      <c r="D2621" t="inlineStr">
        <is>
          <t>VÄSTRA GÖTALANDS LÄN</t>
        </is>
      </c>
      <c r="E2621" t="inlineStr">
        <is>
          <t>ULRICEHAMN</t>
        </is>
      </c>
      <c r="G2621" t="n">
        <v>0.5</v>
      </c>
      <c r="H2621" t="n">
        <v>0</v>
      </c>
      <c r="I2621" t="n">
        <v>0</v>
      </c>
      <c r="J2621" t="n">
        <v>0</v>
      </c>
      <c r="K2621" t="n">
        <v>0</v>
      </c>
      <c r="L2621" t="n">
        <v>0</v>
      </c>
      <c r="M2621" t="n">
        <v>0</v>
      </c>
      <c r="N2621" t="n">
        <v>0</v>
      </c>
      <c r="O2621" t="n">
        <v>0</v>
      </c>
      <c r="P2621" t="n">
        <v>0</v>
      </c>
      <c r="Q2621" t="n">
        <v>0</v>
      </c>
      <c r="R2621" s="2" t="inlineStr"/>
    </row>
    <row r="2622" ht="15" customHeight="1">
      <c r="A2622" t="inlineStr">
        <is>
          <t>A 50982-2022</t>
        </is>
      </c>
      <c r="B2622" s="1" t="n">
        <v>44867</v>
      </c>
      <c r="C2622" s="1" t="n">
        <v>45952</v>
      </c>
      <c r="D2622" t="inlineStr">
        <is>
          <t>VÄSTRA GÖTALANDS LÄN</t>
        </is>
      </c>
      <c r="E2622" t="inlineStr">
        <is>
          <t>VARA</t>
        </is>
      </c>
      <c r="G2622" t="n">
        <v>1.2</v>
      </c>
      <c r="H2622" t="n">
        <v>0</v>
      </c>
      <c r="I2622" t="n">
        <v>0</v>
      </c>
      <c r="J2622" t="n">
        <v>0</v>
      </c>
      <c r="K2622" t="n">
        <v>0</v>
      </c>
      <c r="L2622" t="n">
        <v>0</v>
      </c>
      <c r="M2622" t="n">
        <v>0</v>
      </c>
      <c r="N2622" t="n">
        <v>0</v>
      </c>
      <c r="O2622" t="n">
        <v>0</v>
      </c>
      <c r="P2622" t="n">
        <v>0</v>
      </c>
      <c r="Q2622" t="n">
        <v>0</v>
      </c>
      <c r="R2622" s="2" t="inlineStr"/>
    </row>
    <row r="2623" ht="15" customHeight="1">
      <c r="A2623" t="inlineStr">
        <is>
          <t>A 52568-2021</t>
        </is>
      </c>
      <c r="B2623" s="1" t="n">
        <v>44466</v>
      </c>
      <c r="C2623" s="1" t="n">
        <v>45952</v>
      </c>
      <c r="D2623" t="inlineStr">
        <is>
          <t>VÄSTRA GÖTALANDS LÄN</t>
        </is>
      </c>
      <c r="E2623" t="inlineStr">
        <is>
          <t>GULLSPÅNG</t>
        </is>
      </c>
      <c r="G2623" t="n">
        <v>0.7</v>
      </c>
      <c r="H2623" t="n">
        <v>0</v>
      </c>
      <c r="I2623" t="n">
        <v>0</v>
      </c>
      <c r="J2623" t="n">
        <v>0</v>
      </c>
      <c r="K2623" t="n">
        <v>0</v>
      </c>
      <c r="L2623" t="n">
        <v>0</v>
      </c>
      <c r="M2623" t="n">
        <v>0</v>
      </c>
      <c r="N2623" t="n">
        <v>0</v>
      </c>
      <c r="O2623" t="n">
        <v>0</v>
      </c>
      <c r="P2623" t="n">
        <v>0</v>
      </c>
      <c r="Q2623" t="n">
        <v>0</v>
      </c>
      <c r="R2623" s="2" t="inlineStr"/>
    </row>
    <row r="2624" ht="15" customHeight="1">
      <c r="A2624" t="inlineStr">
        <is>
          <t>A 52572-2021</t>
        </is>
      </c>
      <c r="B2624" s="1" t="n">
        <v>44466</v>
      </c>
      <c r="C2624" s="1" t="n">
        <v>45952</v>
      </c>
      <c r="D2624" t="inlineStr">
        <is>
          <t>VÄSTRA GÖTALANDS LÄN</t>
        </is>
      </c>
      <c r="E2624" t="inlineStr">
        <is>
          <t>GULLSPÅNG</t>
        </is>
      </c>
      <c r="G2624" t="n">
        <v>1.1</v>
      </c>
      <c r="H2624" t="n">
        <v>0</v>
      </c>
      <c r="I2624" t="n">
        <v>0</v>
      </c>
      <c r="J2624" t="n">
        <v>0</v>
      </c>
      <c r="K2624" t="n">
        <v>0</v>
      </c>
      <c r="L2624" t="n">
        <v>0</v>
      </c>
      <c r="M2624" t="n">
        <v>0</v>
      </c>
      <c r="N2624" t="n">
        <v>0</v>
      </c>
      <c r="O2624" t="n">
        <v>0</v>
      </c>
      <c r="P2624" t="n">
        <v>0</v>
      </c>
      <c r="Q2624" t="n">
        <v>0</v>
      </c>
      <c r="R2624" s="2" t="inlineStr"/>
    </row>
    <row r="2625" ht="15" customHeight="1">
      <c r="A2625" t="inlineStr">
        <is>
          <t>A 45222-2021</t>
        </is>
      </c>
      <c r="B2625" s="1" t="n">
        <v>44439</v>
      </c>
      <c r="C2625" s="1" t="n">
        <v>45952</v>
      </c>
      <c r="D2625" t="inlineStr">
        <is>
          <t>VÄSTRA GÖTALANDS LÄN</t>
        </is>
      </c>
      <c r="E2625" t="inlineStr">
        <is>
          <t>MUNKEDAL</t>
        </is>
      </c>
      <c r="G2625" t="n">
        <v>7.7</v>
      </c>
      <c r="H2625" t="n">
        <v>0</v>
      </c>
      <c r="I2625" t="n">
        <v>0</v>
      </c>
      <c r="J2625" t="n">
        <v>0</v>
      </c>
      <c r="K2625" t="n">
        <v>0</v>
      </c>
      <c r="L2625" t="n">
        <v>0</v>
      </c>
      <c r="M2625" t="n">
        <v>0</v>
      </c>
      <c r="N2625" t="n">
        <v>0</v>
      </c>
      <c r="O2625" t="n">
        <v>0</v>
      </c>
      <c r="P2625" t="n">
        <v>0</v>
      </c>
      <c r="Q2625" t="n">
        <v>0</v>
      </c>
      <c r="R2625" s="2" t="inlineStr"/>
    </row>
    <row r="2626" ht="15" customHeight="1">
      <c r="A2626" t="inlineStr">
        <is>
          <t>A 50020-2022</t>
        </is>
      </c>
      <c r="B2626" s="1" t="n">
        <v>44865</v>
      </c>
      <c r="C2626" s="1" t="n">
        <v>45952</v>
      </c>
      <c r="D2626" t="inlineStr">
        <is>
          <t>VÄSTRA GÖTALANDS LÄN</t>
        </is>
      </c>
      <c r="E2626" t="inlineStr">
        <is>
          <t>STRÖMSTAD</t>
        </is>
      </c>
      <c r="G2626" t="n">
        <v>1.1</v>
      </c>
      <c r="H2626" t="n">
        <v>0</v>
      </c>
      <c r="I2626" t="n">
        <v>0</v>
      </c>
      <c r="J2626" t="n">
        <v>0</v>
      </c>
      <c r="K2626" t="n">
        <v>0</v>
      </c>
      <c r="L2626" t="n">
        <v>0</v>
      </c>
      <c r="M2626" t="n">
        <v>0</v>
      </c>
      <c r="N2626" t="n">
        <v>0</v>
      </c>
      <c r="O2626" t="n">
        <v>0</v>
      </c>
      <c r="P2626" t="n">
        <v>0</v>
      </c>
      <c r="Q2626" t="n">
        <v>0</v>
      </c>
      <c r="R2626" s="2" t="inlineStr"/>
    </row>
    <row r="2627" ht="15" customHeight="1">
      <c r="A2627" t="inlineStr">
        <is>
          <t>A 49741-2022</t>
        </is>
      </c>
      <c r="B2627" s="1" t="n">
        <v>44862</v>
      </c>
      <c r="C2627" s="1" t="n">
        <v>45952</v>
      </c>
      <c r="D2627" t="inlineStr">
        <is>
          <t>VÄSTRA GÖTALANDS LÄN</t>
        </is>
      </c>
      <c r="E2627" t="inlineStr">
        <is>
          <t>TANUM</t>
        </is>
      </c>
      <c r="G2627" t="n">
        <v>2.7</v>
      </c>
      <c r="H2627" t="n">
        <v>0</v>
      </c>
      <c r="I2627" t="n">
        <v>0</v>
      </c>
      <c r="J2627" t="n">
        <v>0</v>
      </c>
      <c r="K2627" t="n">
        <v>0</v>
      </c>
      <c r="L2627" t="n">
        <v>0</v>
      </c>
      <c r="M2627" t="n">
        <v>0</v>
      </c>
      <c r="N2627" t="n">
        <v>0</v>
      </c>
      <c r="O2627" t="n">
        <v>0</v>
      </c>
      <c r="P2627" t="n">
        <v>0</v>
      </c>
      <c r="Q2627" t="n">
        <v>0</v>
      </c>
      <c r="R2627" s="2" t="inlineStr"/>
    </row>
    <row r="2628" ht="15" customHeight="1">
      <c r="A2628" t="inlineStr">
        <is>
          <t>A 41048-2021</t>
        </is>
      </c>
      <c r="B2628" s="1" t="n">
        <v>44421</v>
      </c>
      <c r="C2628" s="1" t="n">
        <v>45952</v>
      </c>
      <c r="D2628" t="inlineStr">
        <is>
          <t>VÄSTRA GÖTALANDS LÄN</t>
        </is>
      </c>
      <c r="E2628" t="inlineStr">
        <is>
          <t>HERRLJUNGA</t>
        </is>
      </c>
      <c r="G2628" t="n">
        <v>0.4</v>
      </c>
      <c r="H2628" t="n">
        <v>0</v>
      </c>
      <c r="I2628" t="n">
        <v>0</v>
      </c>
      <c r="J2628" t="n">
        <v>0</v>
      </c>
      <c r="K2628" t="n">
        <v>0</v>
      </c>
      <c r="L2628" t="n">
        <v>0</v>
      </c>
      <c r="M2628" t="n">
        <v>0</v>
      </c>
      <c r="N2628" t="n">
        <v>0</v>
      </c>
      <c r="O2628" t="n">
        <v>0</v>
      </c>
      <c r="P2628" t="n">
        <v>0</v>
      </c>
      <c r="Q2628" t="n">
        <v>0</v>
      </c>
      <c r="R2628" s="2" t="inlineStr"/>
    </row>
    <row r="2629" ht="15" customHeight="1">
      <c r="A2629" t="inlineStr">
        <is>
          <t>A 30878-2021</t>
        </is>
      </c>
      <c r="B2629" s="1" t="n">
        <v>44365</v>
      </c>
      <c r="C2629" s="1" t="n">
        <v>45952</v>
      </c>
      <c r="D2629" t="inlineStr">
        <is>
          <t>VÄSTRA GÖTALANDS LÄN</t>
        </is>
      </c>
      <c r="E2629" t="inlineStr">
        <is>
          <t>VÄNERSBORG</t>
        </is>
      </c>
      <c r="G2629" t="n">
        <v>1</v>
      </c>
      <c r="H2629" t="n">
        <v>0</v>
      </c>
      <c r="I2629" t="n">
        <v>0</v>
      </c>
      <c r="J2629" t="n">
        <v>0</v>
      </c>
      <c r="K2629" t="n">
        <v>0</v>
      </c>
      <c r="L2629" t="n">
        <v>0</v>
      </c>
      <c r="M2629" t="n">
        <v>0</v>
      </c>
      <c r="N2629" t="n">
        <v>0</v>
      </c>
      <c r="O2629" t="n">
        <v>0</v>
      </c>
      <c r="P2629" t="n">
        <v>0</v>
      </c>
      <c r="Q2629" t="n">
        <v>0</v>
      </c>
      <c r="R2629" s="2" t="inlineStr"/>
    </row>
    <row r="2630" ht="15" customHeight="1">
      <c r="A2630" t="inlineStr">
        <is>
          <t>A 30174-2022</t>
        </is>
      </c>
      <c r="B2630" s="1" t="n">
        <v>44757</v>
      </c>
      <c r="C2630" s="1" t="n">
        <v>45952</v>
      </c>
      <c r="D2630" t="inlineStr">
        <is>
          <t>VÄSTRA GÖTALANDS LÄN</t>
        </is>
      </c>
      <c r="E2630" t="inlineStr">
        <is>
          <t>GÖTENE</t>
        </is>
      </c>
      <c r="G2630" t="n">
        <v>5.1</v>
      </c>
      <c r="H2630" t="n">
        <v>0</v>
      </c>
      <c r="I2630" t="n">
        <v>0</v>
      </c>
      <c r="J2630" t="n">
        <v>0</v>
      </c>
      <c r="K2630" t="n">
        <v>0</v>
      </c>
      <c r="L2630" t="n">
        <v>0</v>
      </c>
      <c r="M2630" t="n">
        <v>0</v>
      </c>
      <c r="N2630" t="n">
        <v>0</v>
      </c>
      <c r="O2630" t="n">
        <v>0</v>
      </c>
      <c r="P2630" t="n">
        <v>0</v>
      </c>
      <c r="Q2630" t="n">
        <v>0</v>
      </c>
      <c r="R2630" s="2" t="inlineStr"/>
    </row>
    <row r="2631" ht="15" customHeight="1">
      <c r="A2631" t="inlineStr">
        <is>
          <t>A 53899-2022</t>
        </is>
      </c>
      <c r="B2631" s="1" t="n">
        <v>44880.75383101852</v>
      </c>
      <c r="C2631" s="1" t="n">
        <v>45952</v>
      </c>
      <c r="D2631" t="inlineStr">
        <is>
          <t>VÄSTRA GÖTALANDS LÄN</t>
        </is>
      </c>
      <c r="E2631" t="inlineStr">
        <is>
          <t>ULRICEHAMN</t>
        </is>
      </c>
      <c r="G2631" t="n">
        <v>0.4</v>
      </c>
      <c r="H2631" t="n">
        <v>0</v>
      </c>
      <c r="I2631" t="n">
        <v>0</v>
      </c>
      <c r="J2631" t="n">
        <v>0</v>
      </c>
      <c r="K2631" t="n">
        <v>0</v>
      </c>
      <c r="L2631" t="n">
        <v>0</v>
      </c>
      <c r="M2631" t="n">
        <v>0</v>
      </c>
      <c r="N2631" t="n">
        <v>0</v>
      </c>
      <c r="O2631" t="n">
        <v>0</v>
      </c>
      <c r="P2631" t="n">
        <v>0</v>
      </c>
      <c r="Q2631" t="n">
        <v>0</v>
      </c>
      <c r="R2631" s="2" t="inlineStr"/>
    </row>
    <row r="2632" ht="15" customHeight="1">
      <c r="A2632" t="inlineStr">
        <is>
          <t>A 32284-2022</t>
        </is>
      </c>
      <c r="B2632" s="1" t="n">
        <v>44781.59453703704</v>
      </c>
      <c r="C2632" s="1" t="n">
        <v>45952</v>
      </c>
      <c r="D2632" t="inlineStr">
        <is>
          <t>VÄSTRA GÖTALANDS LÄN</t>
        </is>
      </c>
      <c r="E2632" t="inlineStr">
        <is>
          <t>BENGTSFORS</t>
        </is>
      </c>
      <c r="G2632" t="n">
        <v>2.6</v>
      </c>
      <c r="H2632" t="n">
        <v>0</v>
      </c>
      <c r="I2632" t="n">
        <v>0</v>
      </c>
      <c r="J2632" t="n">
        <v>0</v>
      </c>
      <c r="K2632" t="n">
        <v>0</v>
      </c>
      <c r="L2632" t="n">
        <v>0</v>
      </c>
      <c r="M2632" t="n">
        <v>0</v>
      </c>
      <c r="N2632" t="n">
        <v>0</v>
      </c>
      <c r="O2632" t="n">
        <v>0</v>
      </c>
      <c r="P2632" t="n">
        <v>0</v>
      </c>
      <c r="Q2632" t="n">
        <v>0</v>
      </c>
      <c r="R2632" s="2" t="inlineStr"/>
    </row>
    <row r="2633" ht="15" customHeight="1">
      <c r="A2633" t="inlineStr">
        <is>
          <t>A 54055-2021</t>
        </is>
      </c>
      <c r="B2633" s="1" t="n">
        <v>44470</v>
      </c>
      <c r="C2633" s="1" t="n">
        <v>45952</v>
      </c>
      <c r="D2633" t="inlineStr">
        <is>
          <t>VÄSTRA GÖTALANDS LÄN</t>
        </is>
      </c>
      <c r="E2633" t="inlineStr">
        <is>
          <t>TANUM</t>
        </is>
      </c>
      <c r="G2633" t="n">
        <v>1.2</v>
      </c>
      <c r="H2633" t="n">
        <v>0</v>
      </c>
      <c r="I2633" t="n">
        <v>0</v>
      </c>
      <c r="J2633" t="n">
        <v>0</v>
      </c>
      <c r="K2633" t="n">
        <v>0</v>
      </c>
      <c r="L2633" t="n">
        <v>0</v>
      </c>
      <c r="M2633" t="n">
        <v>0</v>
      </c>
      <c r="N2633" t="n">
        <v>0</v>
      </c>
      <c r="O2633" t="n">
        <v>0</v>
      </c>
      <c r="P2633" t="n">
        <v>0</v>
      </c>
      <c r="Q2633" t="n">
        <v>0</v>
      </c>
      <c r="R2633" s="2" t="inlineStr"/>
    </row>
    <row r="2634" ht="15" customHeight="1">
      <c r="A2634" t="inlineStr">
        <is>
          <t>A 51293-2022</t>
        </is>
      </c>
      <c r="B2634" s="1" t="n">
        <v>44868.88914351852</v>
      </c>
      <c r="C2634" s="1" t="n">
        <v>45952</v>
      </c>
      <c r="D2634" t="inlineStr">
        <is>
          <t>VÄSTRA GÖTALANDS LÄN</t>
        </is>
      </c>
      <c r="E2634" t="inlineStr">
        <is>
          <t>ULRICEHAMN</t>
        </is>
      </c>
      <c r="G2634" t="n">
        <v>1.2</v>
      </c>
      <c r="H2634" t="n">
        <v>0</v>
      </c>
      <c r="I2634" t="n">
        <v>0</v>
      </c>
      <c r="J2634" t="n">
        <v>0</v>
      </c>
      <c r="K2634" t="n">
        <v>0</v>
      </c>
      <c r="L2634" t="n">
        <v>0</v>
      </c>
      <c r="M2634" t="n">
        <v>0</v>
      </c>
      <c r="N2634" t="n">
        <v>0</v>
      </c>
      <c r="O2634" t="n">
        <v>0</v>
      </c>
      <c r="P2634" t="n">
        <v>0</v>
      </c>
      <c r="Q2634" t="n">
        <v>0</v>
      </c>
      <c r="R2634" s="2" t="inlineStr"/>
    </row>
    <row r="2635" ht="15" customHeight="1">
      <c r="A2635" t="inlineStr">
        <is>
          <t>A 14751-2022</t>
        </is>
      </c>
      <c r="B2635" s="1" t="n">
        <v>44656.3837037037</v>
      </c>
      <c r="C2635" s="1" t="n">
        <v>45952</v>
      </c>
      <c r="D2635" t="inlineStr">
        <is>
          <t>VÄSTRA GÖTALANDS LÄN</t>
        </is>
      </c>
      <c r="E2635" t="inlineStr">
        <is>
          <t>ALE</t>
        </is>
      </c>
      <c r="G2635" t="n">
        <v>1.6</v>
      </c>
      <c r="H2635" t="n">
        <v>0</v>
      </c>
      <c r="I2635" t="n">
        <v>0</v>
      </c>
      <c r="J2635" t="n">
        <v>0</v>
      </c>
      <c r="K2635" t="n">
        <v>0</v>
      </c>
      <c r="L2635" t="n">
        <v>0</v>
      </c>
      <c r="M2635" t="n">
        <v>0</v>
      </c>
      <c r="N2635" t="n">
        <v>0</v>
      </c>
      <c r="O2635" t="n">
        <v>0</v>
      </c>
      <c r="P2635" t="n">
        <v>0</v>
      </c>
      <c r="Q2635" t="n">
        <v>0</v>
      </c>
      <c r="R2635" s="2" t="inlineStr"/>
    </row>
    <row r="2636" ht="15" customHeight="1">
      <c r="A2636" t="inlineStr">
        <is>
          <t>A 37893-2021</t>
        </is>
      </c>
      <c r="B2636" s="1" t="n">
        <v>44403.546875</v>
      </c>
      <c r="C2636" s="1" t="n">
        <v>45952</v>
      </c>
      <c r="D2636" t="inlineStr">
        <is>
          <t>VÄSTRA GÖTALANDS LÄN</t>
        </is>
      </c>
      <c r="E2636" t="inlineStr">
        <is>
          <t>ULRICEHAMN</t>
        </is>
      </c>
      <c r="G2636" t="n">
        <v>3.9</v>
      </c>
      <c r="H2636" t="n">
        <v>0</v>
      </c>
      <c r="I2636" t="n">
        <v>0</v>
      </c>
      <c r="J2636" t="n">
        <v>0</v>
      </c>
      <c r="K2636" t="n">
        <v>0</v>
      </c>
      <c r="L2636" t="n">
        <v>0</v>
      </c>
      <c r="M2636" t="n">
        <v>0</v>
      </c>
      <c r="N2636" t="n">
        <v>0</v>
      </c>
      <c r="O2636" t="n">
        <v>0</v>
      </c>
      <c r="P2636" t="n">
        <v>0</v>
      </c>
      <c r="Q2636" t="n">
        <v>0</v>
      </c>
      <c r="R2636" s="2" t="inlineStr"/>
    </row>
    <row r="2637" ht="15" customHeight="1">
      <c r="A2637" t="inlineStr">
        <is>
          <t>A 66487-2020</t>
        </is>
      </c>
      <c r="B2637" s="1" t="n">
        <v>44177</v>
      </c>
      <c r="C2637" s="1" t="n">
        <v>45952</v>
      </c>
      <c r="D2637" t="inlineStr">
        <is>
          <t>VÄSTRA GÖTALANDS LÄN</t>
        </is>
      </c>
      <c r="E2637" t="inlineStr">
        <is>
          <t>UDDEVALLA</t>
        </is>
      </c>
      <c r="G2637" t="n">
        <v>1.2</v>
      </c>
      <c r="H2637" t="n">
        <v>0</v>
      </c>
      <c r="I2637" t="n">
        <v>0</v>
      </c>
      <c r="J2637" t="n">
        <v>0</v>
      </c>
      <c r="K2637" t="n">
        <v>0</v>
      </c>
      <c r="L2637" t="n">
        <v>0</v>
      </c>
      <c r="M2637" t="n">
        <v>0</v>
      </c>
      <c r="N2637" t="n">
        <v>0</v>
      </c>
      <c r="O2637" t="n">
        <v>0</v>
      </c>
      <c r="P2637" t="n">
        <v>0</v>
      </c>
      <c r="Q2637" t="n">
        <v>0</v>
      </c>
      <c r="R2637" s="2" t="inlineStr"/>
    </row>
    <row r="2638" ht="15" customHeight="1">
      <c r="A2638" t="inlineStr">
        <is>
          <t>A 38247-2022</t>
        </is>
      </c>
      <c r="B2638" s="1" t="n">
        <v>44812</v>
      </c>
      <c r="C2638" s="1" t="n">
        <v>45952</v>
      </c>
      <c r="D2638" t="inlineStr">
        <is>
          <t>VÄSTRA GÖTALANDS LÄN</t>
        </is>
      </c>
      <c r="E2638" t="inlineStr">
        <is>
          <t>BENGTSFORS</t>
        </is>
      </c>
      <c r="F2638" t="inlineStr">
        <is>
          <t>Övriga Aktiebolag</t>
        </is>
      </c>
      <c r="G2638" t="n">
        <v>0.9</v>
      </c>
      <c r="H2638" t="n">
        <v>0</v>
      </c>
      <c r="I2638" t="n">
        <v>0</v>
      </c>
      <c r="J2638" t="n">
        <v>0</v>
      </c>
      <c r="K2638" t="n">
        <v>0</v>
      </c>
      <c r="L2638" t="n">
        <v>0</v>
      </c>
      <c r="M2638" t="n">
        <v>0</v>
      </c>
      <c r="N2638" t="n">
        <v>0</v>
      </c>
      <c r="O2638" t="n">
        <v>0</v>
      </c>
      <c r="P2638" t="n">
        <v>0</v>
      </c>
      <c r="Q2638" t="n">
        <v>0</v>
      </c>
      <c r="R2638" s="2" t="inlineStr"/>
    </row>
    <row r="2639" ht="15" customHeight="1">
      <c r="A2639" t="inlineStr">
        <is>
          <t>A 43550-2021</t>
        </is>
      </c>
      <c r="B2639" s="1" t="n">
        <v>44433</v>
      </c>
      <c r="C2639" s="1" t="n">
        <v>45952</v>
      </c>
      <c r="D2639" t="inlineStr">
        <is>
          <t>VÄSTRA GÖTALANDS LÄN</t>
        </is>
      </c>
      <c r="E2639" t="inlineStr">
        <is>
          <t>TRANEMO</t>
        </is>
      </c>
      <c r="G2639" t="n">
        <v>1.3</v>
      </c>
      <c r="H2639" t="n">
        <v>0</v>
      </c>
      <c r="I2639" t="n">
        <v>0</v>
      </c>
      <c r="J2639" t="n">
        <v>0</v>
      </c>
      <c r="K2639" t="n">
        <v>0</v>
      </c>
      <c r="L2639" t="n">
        <v>0</v>
      </c>
      <c r="M2639" t="n">
        <v>0</v>
      </c>
      <c r="N2639" t="n">
        <v>0</v>
      </c>
      <c r="O2639" t="n">
        <v>0</v>
      </c>
      <c r="P2639" t="n">
        <v>0</v>
      </c>
      <c r="Q2639" t="n">
        <v>0</v>
      </c>
      <c r="R2639" s="2" t="inlineStr"/>
    </row>
    <row r="2640" ht="15" customHeight="1">
      <c r="A2640" t="inlineStr">
        <is>
          <t>A 38565-2021</t>
        </is>
      </c>
      <c r="B2640" s="1" t="n">
        <v>44407.70063657407</v>
      </c>
      <c r="C2640" s="1" t="n">
        <v>45952</v>
      </c>
      <c r="D2640" t="inlineStr">
        <is>
          <t>VÄSTRA GÖTALANDS LÄN</t>
        </is>
      </c>
      <c r="E2640" t="inlineStr">
        <is>
          <t>ÅMÅL</t>
        </is>
      </c>
      <c r="G2640" t="n">
        <v>0.8</v>
      </c>
      <c r="H2640" t="n">
        <v>0</v>
      </c>
      <c r="I2640" t="n">
        <v>0</v>
      </c>
      <c r="J2640" t="n">
        <v>0</v>
      </c>
      <c r="K2640" t="n">
        <v>0</v>
      </c>
      <c r="L2640" t="n">
        <v>0</v>
      </c>
      <c r="M2640" t="n">
        <v>0</v>
      </c>
      <c r="N2640" t="n">
        <v>0</v>
      </c>
      <c r="O2640" t="n">
        <v>0</v>
      </c>
      <c r="P2640" t="n">
        <v>0</v>
      </c>
      <c r="Q2640" t="n">
        <v>0</v>
      </c>
      <c r="R2640" s="2" t="inlineStr"/>
    </row>
    <row r="2641" ht="15" customHeight="1">
      <c r="A2641" t="inlineStr">
        <is>
          <t>A 3360-2022</t>
        </is>
      </c>
      <c r="B2641" s="1" t="n">
        <v>44585</v>
      </c>
      <c r="C2641" s="1" t="n">
        <v>45952</v>
      </c>
      <c r="D2641" t="inlineStr">
        <is>
          <t>VÄSTRA GÖTALANDS LÄN</t>
        </is>
      </c>
      <c r="E2641" t="inlineStr">
        <is>
          <t>BOLLEBYGD</t>
        </is>
      </c>
      <c r="G2641" t="n">
        <v>2</v>
      </c>
      <c r="H2641" t="n">
        <v>0</v>
      </c>
      <c r="I2641" t="n">
        <v>0</v>
      </c>
      <c r="J2641" t="n">
        <v>0</v>
      </c>
      <c r="K2641" t="n">
        <v>0</v>
      </c>
      <c r="L2641" t="n">
        <v>0</v>
      </c>
      <c r="M2641" t="n">
        <v>0</v>
      </c>
      <c r="N2641" t="n">
        <v>0</v>
      </c>
      <c r="O2641" t="n">
        <v>0</v>
      </c>
      <c r="P2641" t="n">
        <v>0</v>
      </c>
      <c r="Q2641" t="n">
        <v>0</v>
      </c>
      <c r="R2641" s="2" t="inlineStr"/>
    </row>
    <row r="2642" ht="15" customHeight="1">
      <c r="A2642" t="inlineStr">
        <is>
          <t>A 32017-2021</t>
        </is>
      </c>
      <c r="B2642" s="1" t="n">
        <v>44370.63815972222</v>
      </c>
      <c r="C2642" s="1" t="n">
        <v>45952</v>
      </c>
      <c r="D2642" t="inlineStr">
        <is>
          <t>VÄSTRA GÖTALANDS LÄN</t>
        </is>
      </c>
      <c r="E2642" t="inlineStr">
        <is>
          <t>BOLLEBYGD</t>
        </is>
      </c>
      <c r="G2642" t="n">
        <v>2.5</v>
      </c>
      <c r="H2642" t="n">
        <v>0</v>
      </c>
      <c r="I2642" t="n">
        <v>0</v>
      </c>
      <c r="J2642" t="n">
        <v>0</v>
      </c>
      <c r="K2642" t="n">
        <v>0</v>
      </c>
      <c r="L2642" t="n">
        <v>0</v>
      </c>
      <c r="M2642" t="n">
        <v>0</v>
      </c>
      <c r="N2642" t="n">
        <v>0</v>
      </c>
      <c r="O2642" t="n">
        <v>0</v>
      </c>
      <c r="P2642" t="n">
        <v>0</v>
      </c>
      <c r="Q2642" t="n">
        <v>0</v>
      </c>
      <c r="R2642" s="2" t="inlineStr"/>
    </row>
    <row r="2643" ht="15" customHeight="1">
      <c r="A2643" t="inlineStr">
        <is>
          <t>A 34582-2021</t>
        </is>
      </c>
      <c r="B2643" s="1" t="n">
        <v>44382</v>
      </c>
      <c r="C2643" s="1" t="n">
        <v>45952</v>
      </c>
      <c r="D2643" t="inlineStr">
        <is>
          <t>VÄSTRA GÖTALANDS LÄN</t>
        </is>
      </c>
      <c r="E2643" t="inlineStr">
        <is>
          <t>TIDAHOLM</t>
        </is>
      </c>
      <c r="G2643" t="n">
        <v>0.5</v>
      </c>
      <c r="H2643" t="n">
        <v>0</v>
      </c>
      <c r="I2643" t="n">
        <v>0</v>
      </c>
      <c r="J2643" t="n">
        <v>0</v>
      </c>
      <c r="K2643" t="n">
        <v>0</v>
      </c>
      <c r="L2643" t="n">
        <v>0</v>
      </c>
      <c r="M2643" t="n">
        <v>0</v>
      </c>
      <c r="N2643" t="n">
        <v>0</v>
      </c>
      <c r="O2643" t="n">
        <v>0</v>
      </c>
      <c r="P2643" t="n">
        <v>0</v>
      </c>
      <c r="Q2643" t="n">
        <v>0</v>
      </c>
      <c r="R2643" s="2" t="inlineStr"/>
    </row>
    <row r="2644" ht="15" customHeight="1">
      <c r="A2644" t="inlineStr">
        <is>
          <t>A 28550-2022</t>
        </is>
      </c>
      <c r="B2644" s="1" t="n">
        <v>44748.42290509259</v>
      </c>
      <c r="C2644" s="1" t="n">
        <v>45952</v>
      </c>
      <c r="D2644" t="inlineStr">
        <is>
          <t>VÄSTRA GÖTALANDS LÄN</t>
        </is>
      </c>
      <c r="E2644" t="inlineStr">
        <is>
          <t>HERRLJUNGA</t>
        </is>
      </c>
      <c r="G2644" t="n">
        <v>0</v>
      </c>
      <c r="H2644" t="n">
        <v>0</v>
      </c>
      <c r="I2644" t="n">
        <v>0</v>
      </c>
      <c r="J2644" t="n">
        <v>0</v>
      </c>
      <c r="K2644" t="n">
        <v>0</v>
      </c>
      <c r="L2644" t="n">
        <v>0</v>
      </c>
      <c r="M2644" t="n">
        <v>0</v>
      </c>
      <c r="N2644" t="n">
        <v>0</v>
      </c>
      <c r="O2644" t="n">
        <v>0</v>
      </c>
      <c r="P2644" t="n">
        <v>0</v>
      </c>
      <c r="Q2644" t="n">
        <v>0</v>
      </c>
      <c r="R2644" s="2" t="inlineStr"/>
    </row>
    <row r="2645" ht="15" customHeight="1">
      <c r="A2645" t="inlineStr">
        <is>
          <t>A 238-2022</t>
        </is>
      </c>
      <c r="B2645" s="1" t="n">
        <v>44565</v>
      </c>
      <c r="C2645" s="1" t="n">
        <v>45952</v>
      </c>
      <c r="D2645" t="inlineStr">
        <is>
          <t>VÄSTRA GÖTALANDS LÄN</t>
        </is>
      </c>
      <c r="E2645" t="inlineStr">
        <is>
          <t>BORÅS</t>
        </is>
      </c>
      <c r="G2645" t="n">
        <v>1.3</v>
      </c>
      <c r="H2645" t="n">
        <v>0</v>
      </c>
      <c r="I2645" t="n">
        <v>0</v>
      </c>
      <c r="J2645" t="n">
        <v>0</v>
      </c>
      <c r="K2645" t="n">
        <v>0</v>
      </c>
      <c r="L2645" t="n">
        <v>0</v>
      </c>
      <c r="M2645" t="n">
        <v>0</v>
      </c>
      <c r="N2645" t="n">
        <v>0</v>
      </c>
      <c r="O2645" t="n">
        <v>0</v>
      </c>
      <c r="P2645" t="n">
        <v>0</v>
      </c>
      <c r="Q2645" t="n">
        <v>0</v>
      </c>
      <c r="R2645" s="2" t="inlineStr"/>
    </row>
    <row r="2646" ht="15" customHeight="1">
      <c r="A2646" t="inlineStr">
        <is>
          <t>A 28101-2022</t>
        </is>
      </c>
      <c r="B2646" s="1" t="n">
        <v>44746.47565972222</v>
      </c>
      <c r="C2646" s="1" t="n">
        <v>45952</v>
      </c>
      <c r="D2646" t="inlineStr">
        <is>
          <t>VÄSTRA GÖTALANDS LÄN</t>
        </is>
      </c>
      <c r="E2646" t="inlineStr">
        <is>
          <t>GULLSPÅNG</t>
        </is>
      </c>
      <c r="G2646" t="n">
        <v>1.2</v>
      </c>
      <c r="H2646" t="n">
        <v>0</v>
      </c>
      <c r="I2646" t="n">
        <v>0</v>
      </c>
      <c r="J2646" t="n">
        <v>0</v>
      </c>
      <c r="K2646" t="n">
        <v>0</v>
      </c>
      <c r="L2646" t="n">
        <v>0</v>
      </c>
      <c r="M2646" t="n">
        <v>0</v>
      </c>
      <c r="N2646" t="n">
        <v>0</v>
      </c>
      <c r="O2646" t="n">
        <v>0</v>
      </c>
      <c r="P2646" t="n">
        <v>0</v>
      </c>
      <c r="Q2646" t="n">
        <v>0</v>
      </c>
      <c r="R2646" s="2" t="inlineStr"/>
    </row>
    <row r="2647" ht="15" customHeight="1">
      <c r="A2647" t="inlineStr">
        <is>
          <t>A 55432-2020</t>
        </is>
      </c>
      <c r="B2647" s="1" t="n">
        <v>44130</v>
      </c>
      <c r="C2647" s="1" t="n">
        <v>45952</v>
      </c>
      <c r="D2647" t="inlineStr">
        <is>
          <t>VÄSTRA GÖTALANDS LÄN</t>
        </is>
      </c>
      <c r="E2647" t="inlineStr">
        <is>
          <t>TIDAHOLM</t>
        </is>
      </c>
      <c r="F2647" t="inlineStr">
        <is>
          <t>Kommuner</t>
        </is>
      </c>
      <c r="G2647" t="n">
        <v>0.7</v>
      </c>
      <c r="H2647" t="n">
        <v>0</v>
      </c>
      <c r="I2647" t="n">
        <v>0</v>
      </c>
      <c r="J2647" t="n">
        <v>0</v>
      </c>
      <c r="K2647" t="n">
        <v>0</v>
      </c>
      <c r="L2647" t="n">
        <v>0</v>
      </c>
      <c r="M2647" t="n">
        <v>0</v>
      </c>
      <c r="N2647" t="n">
        <v>0</v>
      </c>
      <c r="O2647" t="n">
        <v>0</v>
      </c>
      <c r="P2647" t="n">
        <v>0</v>
      </c>
      <c r="Q2647" t="n">
        <v>0</v>
      </c>
      <c r="R2647" s="2" t="inlineStr"/>
    </row>
    <row r="2648" ht="15" customHeight="1">
      <c r="A2648" t="inlineStr">
        <is>
          <t>A 30731-2022</t>
        </is>
      </c>
      <c r="B2648" s="1" t="n">
        <v>44764.40619212963</v>
      </c>
      <c r="C2648" s="1" t="n">
        <v>45952</v>
      </c>
      <c r="D2648" t="inlineStr">
        <is>
          <t>VÄSTRA GÖTALANDS LÄN</t>
        </is>
      </c>
      <c r="E2648" t="inlineStr">
        <is>
          <t>STRÖMSTAD</t>
        </is>
      </c>
      <c r="G2648" t="n">
        <v>0.7</v>
      </c>
      <c r="H2648" t="n">
        <v>0</v>
      </c>
      <c r="I2648" t="n">
        <v>0</v>
      </c>
      <c r="J2648" t="n">
        <v>0</v>
      </c>
      <c r="K2648" t="n">
        <v>0</v>
      </c>
      <c r="L2648" t="n">
        <v>0</v>
      </c>
      <c r="M2648" t="n">
        <v>0</v>
      </c>
      <c r="N2648" t="n">
        <v>0</v>
      </c>
      <c r="O2648" t="n">
        <v>0</v>
      </c>
      <c r="P2648" t="n">
        <v>0</v>
      </c>
      <c r="Q2648" t="n">
        <v>0</v>
      </c>
      <c r="R2648" s="2" t="inlineStr"/>
    </row>
    <row r="2649" ht="15" customHeight="1">
      <c r="A2649" t="inlineStr">
        <is>
          <t>A 13669-2022</t>
        </is>
      </c>
      <c r="B2649" s="1" t="n">
        <v>44648.67226851852</v>
      </c>
      <c r="C2649" s="1" t="n">
        <v>45952</v>
      </c>
      <c r="D2649" t="inlineStr">
        <is>
          <t>VÄSTRA GÖTALANDS LÄN</t>
        </is>
      </c>
      <c r="E2649" t="inlineStr">
        <is>
          <t>BENGTSFORS</t>
        </is>
      </c>
      <c r="G2649" t="n">
        <v>0.3</v>
      </c>
      <c r="H2649" t="n">
        <v>0</v>
      </c>
      <c r="I2649" t="n">
        <v>0</v>
      </c>
      <c r="J2649" t="n">
        <v>0</v>
      </c>
      <c r="K2649" t="n">
        <v>0</v>
      </c>
      <c r="L2649" t="n">
        <v>0</v>
      </c>
      <c r="M2649" t="n">
        <v>0</v>
      </c>
      <c r="N2649" t="n">
        <v>0</v>
      </c>
      <c r="O2649" t="n">
        <v>0</v>
      </c>
      <c r="P2649" t="n">
        <v>0</v>
      </c>
      <c r="Q2649" t="n">
        <v>0</v>
      </c>
      <c r="R2649" s="2" t="inlineStr"/>
    </row>
    <row r="2650" ht="15" customHeight="1">
      <c r="A2650" t="inlineStr">
        <is>
          <t>A 13673-2022</t>
        </is>
      </c>
      <c r="B2650" s="1" t="n">
        <v>44648.67503472222</v>
      </c>
      <c r="C2650" s="1" t="n">
        <v>45952</v>
      </c>
      <c r="D2650" t="inlineStr">
        <is>
          <t>VÄSTRA GÖTALANDS LÄN</t>
        </is>
      </c>
      <c r="E2650" t="inlineStr">
        <is>
          <t>BENGTSFORS</t>
        </is>
      </c>
      <c r="G2650" t="n">
        <v>0.3</v>
      </c>
      <c r="H2650" t="n">
        <v>0</v>
      </c>
      <c r="I2650" t="n">
        <v>0</v>
      </c>
      <c r="J2650" t="n">
        <v>0</v>
      </c>
      <c r="K2650" t="n">
        <v>0</v>
      </c>
      <c r="L2650" t="n">
        <v>0</v>
      </c>
      <c r="M2650" t="n">
        <v>0</v>
      </c>
      <c r="N2650" t="n">
        <v>0</v>
      </c>
      <c r="O2650" t="n">
        <v>0</v>
      </c>
      <c r="P2650" t="n">
        <v>0</v>
      </c>
      <c r="Q2650" t="n">
        <v>0</v>
      </c>
      <c r="R2650" s="2" t="inlineStr"/>
    </row>
    <row r="2651" ht="15" customHeight="1">
      <c r="A2651" t="inlineStr">
        <is>
          <t>A 70980-2021</t>
        </is>
      </c>
      <c r="B2651" s="1" t="n">
        <v>44538.58409722222</v>
      </c>
      <c r="C2651" s="1" t="n">
        <v>45952</v>
      </c>
      <c r="D2651" t="inlineStr">
        <is>
          <t>VÄSTRA GÖTALANDS LÄN</t>
        </is>
      </c>
      <c r="E2651" t="inlineStr">
        <is>
          <t>HERRLJUNGA</t>
        </is>
      </c>
      <c r="G2651" t="n">
        <v>3.1</v>
      </c>
      <c r="H2651" t="n">
        <v>0</v>
      </c>
      <c r="I2651" t="n">
        <v>0</v>
      </c>
      <c r="J2651" t="n">
        <v>0</v>
      </c>
      <c r="K2651" t="n">
        <v>0</v>
      </c>
      <c r="L2651" t="n">
        <v>0</v>
      </c>
      <c r="M2651" t="n">
        <v>0</v>
      </c>
      <c r="N2651" t="n">
        <v>0</v>
      </c>
      <c r="O2651" t="n">
        <v>0</v>
      </c>
      <c r="P2651" t="n">
        <v>0</v>
      </c>
      <c r="Q2651" t="n">
        <v>0</v>
      </c>
      <c r="R2651" s="2" t="inlineStr"/>
    </row>
    <row r="2652" ht="15" customHeight="1">
      <c r="A2652" t="inlineStr">
        <is>
          <t>A 7231-2022</t>
        </is>
      </c>
      <c r="B2652" s="1" t="n">
        <v>44606.37339120371</v>
      </c>
      <c r="C2652" s="1" t="n">
        <v>45952</v>
      </c>
      <c r="D2652" t="inlineStr">
        <is>
          <t>VÄSTRA GÖTALANDS LÄN</t>
        </is>
      </c>
      <c r="E2652" t="inlineStr">
        <is>
          <t>HJO</t>
        </is>
      </c>
      <c r="G2652" t="n">
        <v>4.7</v>
      </c>
      <c r="H2652" t="n">
        <v>0</v>
      </c>
      <c r="I2652" t="n">
        <v>0</v>
      </c>
      <c r="J2652" t="n">
        <v>0</v>
      </c>
      <c r="K2652" t="n">
        <v>0</v>
      </c>
      <c r="L2652" t="n">
        <v>0</v>
      </c>
      <c r="M2652" t="n">
        <v>0</v>
      </c>
      <c r="N2652" t="n">
        <v>0</v>
      </c>
      <c r="O2652" t="n">
        <v>0</v>
      </c>
      <c r="P2652" t="n">
        <v>0</v>
      </c>
      <c r="Q2652" t="n">
        <v>0</v>
      </c>
      <c r="R2652" s="2" t="inlineStr"/>
    </row>
    <row r="2653" ht="15" customHeight="1">
      <c r="A2653" t="inlineStr">
        <is>
          <t>A 55071-2021</t>
        </is>
      </c>
      <c r="B2653" s="1" t="n">
        <v>44474</v>
      </c>
      <c r="C2653" s="1" t="n">
        <v>45952</v>
      </c>
      <c r="D2653" t="inlineStr">
        <is>
          <t>VÄSTRA GÖTALANDS LÄN</t>
        </is>
      </c>
      <c r="E2653" t="inlineStr">
        <is>
          <t>FALKÖPING</t>
        </is>
      </c>
      <c r="G2653" t="n">
        <v>4</v>
      </c>
      <c r="H2653" t="n">
        <v>0</v>
      </c>
      <c r="I2653" t="n">
        <v>0</v>
      </c>
      <c r="J2653" t="n">
        <v>0</v>
      </c>
      <c r="K2653" t="n">
        <v>0</v>
      </c>
      <c r="L2653" t="n">
        <v>0</v>
      </c>
      <c r="M2653" t="n">
        <v>0</v>
      </c>
      <c r="N2653" t="n">
        <v>0</v>
      </c>
      <c r="O2653" t="n">
        <v>0</v>
      </c>
      <c r="P2653" t="n">
        <v>0</v>
      </c>
      <c r="Q2653" t="n">
        <v>0</v>
      </c>
      <c r="R2653" s="2" t="inlineStr"/>
    </row>
    <row r="2654" ht="15" customHeight="1">
      <c r="A2654" t="inlineStr">
        <is>
          <t>A 21085-2022</t>
        </is>
      </c>
      <c r="B2654" s="1" t="n">
        <v>44704.53440972222</v>
      </c>
      <c r="C2654" s="1" t="n">
        <v>45952</v>
      </c>
      <c r="D2654" t="inlineStr">
        <is>
          <t>VÄSTRA GÖTALANDS LÄN</t>
        </is>
      </c>
      <c r="E2654" t="inlineStr">
        <is>
          <t>VARA</t>
        </is>
      </c>
      <c r="G2654" t="n">
        <v>1.5</v>
      </c>
      <c r="H2654" t="n">
        <v>0</v>
      </c>
      <c r="I2654" t="n">
        <v>0</v>
      </c>
      <c r="J2654" t="n">
        <v>0</v>
      </c>
      <c r="K2654" t="n">
        <v>0</v>
      </c>
      <c r="L2654" t="n">
        <v>0</v>
      </c>
      <c r="M2654" t="n">
        <v>0</v>
      </c>
      <c r="N2654" t="n">
        <v>0</v>
      </c>
      <c r="O2654" t="n">
        <v>0</v>
      </c>
      <c r="P2654" t="n">
        <v>0</v>
      </c>
      <c r="Q2654" t="n">
        <v>0</v>
      </c>
      <c r="R2654" s="2" t="inlineStr"/>
    </row>
    <row r="2655" ht="15" customHeight="1">
      <c r="A2655" t="inlineStr">
        <is>
          <t>A 2840-2022</t>
        </is>
      </c>
      <c r="B2655" s="1" t="n">
        <v>44580</v>
      </c>
      <c r="C2655" s="1" t="n">
        <v>45952</v>
      </c>
      <c r="D2655" t="inlineStr">
        <is>
          <t>VÄSTRA GÖTALANDS LÄN</t>
        </is>
      </c>
      <c r="E2655" t="inlineStr">
        <is>
          <t>TIDAHOLM</t>
        </is>
      </c>
      <c r="G2655" t="n">
        <v>1.5</v>
      </c>
      <c r="H2655" t="n">
        <v>0</v>
      </c>
      <c r="I2655" t="n">
        <v>0</v>
      </c>
      <c r="J2655" t="n">
        <v>0</v>
      </c>
      <c r="K2655" t="n">
        <v>0</v>
      </c>
      <c r="L2655" t="n">
        <v>0</v>
      </c>
      <c r="M2655" t="n">
        <v>0</v>
      </c>
      <c r="N2655" t="n">
        <v>0</v>
      </c>
      <c r="O2655" t="n">
        <v>0</v>
      </c>
      <c r="P2655" t="n">
        <v>0</v>
      </c>
      <c r="Q2655" t="n">
        <v>0</v>
      </c>
      <c r="R2655" s="2" t="inlineStr"/>
    </row>
    <row r="2656" ht="15" customHeight="1">
      <c r="A2656" t="inlineStr">
        <is>
          <t>A 47162-2022</t>
        </is>
      </c>
      <c r="B2656" s="1" t="n">
        <v>44852.59957175926</v>
      </c>
      <c r="C2656" s="1" t="n">
        <v>45952</v>
      </c>
      <c r="D2656" t="inlineStr">
        <is>
          <t>VÄSTRA GÖTALANDS LÄN</t>
        </is>
      </c>
      <c r="E2656" t="inlineStr">
        <is>
          <t>TÖREBODA</t>
        </is>
      </c>
      <c r="G2656" t="n">
        <v>0.3</v>
      </c>
      <c r="H2656" t="n">
        <v>0</v>
      </c>
      <c r="I2656" t="n">
        <v>0</v>
      </c>
      <c r="J2656" t="n">
        <v>0</v>
      </c>
      <c r="K2656" t="n">
        <v>0</v>
      </c>
      <c r="L2656" t="n">
        <v>0</v>
      </c>
      <c r="M2656" t="n">
        <v>0</v>
      </c>
      <c r="N2656" t="n">
        <v>0</v>
      </c>
      <c r="O2656" t="n">
        <v>0</v>
      </c>
      <c r="P2656" t="n">
        <v>0</v>
      </c>
      <c r="Q2656" t="n">
        <v>0</v>
      </c>
      <c r="R2656" s="2" t="inlineStr"/>
    </row>
    <row r="2657" ht="15" customHeight="1">
      <c r="A2657" t="inlineStr">
        <is>
          <t>A 14549-2021</t>
        </is>
      </c>
      <c r="B2657" s="1" t="n">
        <v>44279</v>
      </c>
      <c r="C2657" s="1" t="n">
        <v>45952</v>
      </c>
      <c r="D2657" t="inlineStr">
        <is>
          <t>VÄSTRA GÖTALANDS LÄN</t>
        </is>
      </c>
      <c r="E2657" t="inlineStr">
        <is>
          <t>STRÖMSTAD</t>
        </is>
      </c>
      <c r="G2657" t="n">
        <v>1.9</v>
      </c>
      <c r="H2657" t="n">
        <v>0</v>
      </c>
      <c r="I2657" t="n">
        <v>0</v>
      </c>
      <c r="J2657" t="n">
        <v>0</v>
      </c>
      <c r="K2657" t="n">
        <v>0</v>
      </c>
      <c r="L2657" t="n">
        <v>0</v>
      </c>
      <c r="M2657" t="n">
        <v>0</v>
      </c>
      <c r="N2657" t="n">
        <v>0</v>
      </c>
      <c r="O2657" t="n">
        <v>0</v>
      </c>
      <c r="P2657" t="n">
        <v>0</v>
      </c>
      <c r="Q2657" t="n">
        <v>0</v>
      </c>
      <c r="R2657" s="2" t="inlineStr"/>
    </row>
    <row r="2658" ht="15" customHeight="1">
      <c r="A2658" t="inlineStr">
        <is>
          <t>A 12091-2021</t>
        </is>
      </c>
      <c r="B2658" s="1" t="n">
        <v>44266.50715277778</v>
      </c>
      <c r="C2658" s="1" t="n">
        <v>45952</v>
      </c>
      <c r="D2658" t="inlineStr">
        <is>
          <t>VÄSTRA GÖTALANDS LÄN</t>
        </is>
      </c>
      <c r="E2658" t="inlineStr">
        <is>
          <t>MARK</t>
        </is>
      </c>
      <c r="G2658" t="n">
        <v>2.7</v>
      </c>
      <c r="H2658" t="n">
        <v>0</v>
      </c>
      <c r="I2658" t="n">
        <v>0</v>
      </c>
      <c r="J2658" t="n">
        <v>0</v>
      </c>
      <c r="K2658" t="n">
        <v>0</v>
      </c>
      <c r="L2658" t="n">
        <v>0</v>
      </c>
      <c r="M2658" t="n">
        <v>0</v>
      </c>
      <c r="N2658" t="n">
        <v>0</v>
      </c>
      <c r="O2658" t="n">
        <v>0</v>
      </c>
      <c r="P2658" t="n">
        <v>0</v>
      </c>
      <c r="Q2658" t="n">
        <v>0</v>
      </c>
      <c r="R2658" s="2" t="inlineStr"/>
    </row>
    <row r="2659" ht="15" customHeight="1">
      <c r="A2659" t="inlineStr">
        <is>
          <t>A 28763-2022</t>
        </is>
      </c>
      <c r="B2659" s="1" t="n">
        <v>44749</v>
      </c>
      <c r="C2659" s="1" t="n">
        <v>45952</v>
      </c>
      <c r="D2659" t="inlineStr">
        <is>
          <t>VÄSTRA GÖTALANDS LÄN</t>
        </is>
      </c>
      <c r="E2659" t="inlineStr">
        <is>
          <t>BENGTSFORS</t>
        </is>
      </c>
      <c r="G2659" t="n">
        <v>2</v>
      </c>
      <c r="H2659" t="n">
        <v>0</v>
      </c>
      <c r="I2659" t="n">
        <v>0</v>
      </c>
      <c r="J2659" t="n">
        <v>0</v>
      </c>
      <c r="K2659" t="n">
        <v>0</v>
      </c>
      <c r="L2659" t="n">
        <v>0</v>
      </c>
      <c r="M2659" t="n">
        <v>0</v>
      </c>
      <c r="N2659" t="n">
        <v>0</v>
      </c>
      <c r="O2659" t="n">
        <v>0</v>
      </c>
      <c r="P2659" t="n">
        <v>0</v>
      </c>
      <c r="Q2659" t="n">
        <v>0</v>
      </c>
      <c r="R2659" s="2" t="inlineStr"/>
    </row>
    <row r="2660" ht="15" customHeight="1">
      <c r="A2660" t="inlineStr">
        <is>
          <t>A 2385-2022</t>
        </is>
      </c>
      <c r="B2660" s="1" t="n">
        <v>44579</v>
      </c>
      <c r="C2660" s="1" t="n">
        <v>45952</v>
      </c>
      <c r="D2660" t="inlineStr">
        <is>
          <t>VÄSTRA GÖTALANDS LÄN</t>
        </is>
      </c>
      <c r="E2660" t="inlineStr">
        <is>
          <t>TÖREBODA</t>
        </is>
      </c>
      <c r="G2660" t="n">
        <v>2.3</v>
      </c>
      <c r="H2660" t="n">
        <v>0</v>
      </c>
      <c r="I2660" t="n">
        <v>0</v>
      </c>
      <c r="J2660" t="n">
        <v>0</v>
      </c>
      <c r="K2660" t="n">
        <v>0</v>
      </c>
      <c r="L2660" t="n">
        <v>0</v>
      </c>
      <c r="M2660" t="n">
        <v>0</v>
      </c>
      <c r="N2660" t="n">
        <v>0</v>
      </c>
      <c r="O2660" t="n">
        <v>0</v>
      </c>
      <c r="P2660" t="n">
        <v>0</v>
      </c>
      <c r="Q2660" t="n">
        <v>0</v>
      </c>
      <c r="R2660" s="2" t="inlineStr"/>
    </row>
    <row r="2661" ht="15" customHeight="1">
      <c r="A2661" t="inlineStr">
        <is>
          <t>A 18157-2022</t>
        </is>
      </c>
      <c r="B2661" s="1" t="n">
        <v>44684</v>
      </c>
      <c r="C2661" s="1" t="n">
        <v>45952</v>
      </c>
      <c r="D2661" t="inlineStr">
        <is>
          <t>VÄSTRA GÖTALANDS LÄN</t>
        </is>
      </c>
      <c r="E2661" t="inlineStr">
        <is>
          <t>VÄNERSBORG</t>
        </is>
      </c>
      <c r="G2661" t="n">
        <v>6.3</v>
      </c>
      <c r="H2661" t="n">
        <v>0</v>
      </c>
      <c r="I2661" t="n">
        <v>0</v>
      </c>
      <c r="J2661" t="n">
        <v>0</v>
      </c>
      <c r="K2661" t="n">
        <v>0</v>
      </c>
      <c r="L2661" t="n">
        <v>0</v>
      </c>
      <c r="M2661" t="n">
        <v>0</v>
      </c>
      <c r="N2661" t="n">
        <v>0</v>
      </c>
      <c r="O2661" t="n">
        <v>0</v>
      </c>
      <c r="P2661" t="n">
        <v>0</v>
      </c>
      <c r="Q2661" t="n">
        <v>0</v>
      </c>
      <c r="R2661" s="2" t="inlineStr"/>
    </row>
    <row r="2662" ht="15" customHeight="1">
      <c r="A2662" t="inlineStr">
        <is>
          <t>A 67935-2021</t>
        </is>
      </c>
      <c r="B2662" s="1" t="n">
        <v>44525.62038194444</v>
      </c>
      <c r="C2662" s="1" t="n">
        <v>45952</v>
      </c>
      <c r="D2662" t="inlineStr">
        <is>
          <t>VÄSTRA GÖTALANDS LÄN</t>
        </is>
      </c>
      <c r="E2662" t="inlineStr">
        <is>
          <t>BENGTSFORS</t>
        </is>
      </c>
      <c r="G2662" t="n">
        <v>0.8</v>
      </c>
      <c r="H2662" t="n">
        <v>0</v>
      </c>
      <c r="I2662" t="n">
        <v>0</v>
      </c>
      <c r="J2662" t="n">
        <v>0</v>
      </c>
      <c r="K2662" t="n">
        <v>0</v>
      </c>
      <c r="L2662" t="n">
        <v>0</v>
      </c>
      <c r="M2662" t="n">
        <v>0</v>
      </c>
      <c r="N2662" t="n">
        <v>0</v>
      </c>
      <c r="O2662" t="n">
        <v>0</v>
      </c>
      <c r="P2662" t="n">
        <v>0</v>
      </c>
      <c r="Q2662" t="n">
        <v>0</v>
      </c>
      <c r="R2662" s="2" t="inlineStr"/>
    </row>
    <row r="2663" ht="15" customHeight="1">
      <c r="A2663" t="inlineStr">
        <is>
          <t>A 66008-2021</t>
        </is>
      </c>
      <c r="B2663" s="1" t="n">
        <v>44517.57920138889</v>
      </c>
      <c r="C2663" s="1" t="n">
        <v>45952</v>
      </c>
      <c r="D2663" t="inlineStr">
        <is>
          <t>VÄSTRA GÖTALANDS LÄN</t>
        </is>
      </c>
      <c r="E2663" t="inlineStr">
        <is>
          <t>LERUM</t>
        </is>
      </c>
      <c r="G2663" t="n">
        <v>3.3</v>
      </c>
      <c r="H2663" t="n">
        <v>0</v>
      </c>
      <c r="I2663" t="n">
        <v>0</v>
      </c>
      <c r="J2663" t="n">
        <v>0</v>
      </c>
      <c r="K2663" t="n">
        <v>0</v>
      </c>
      <c r="L2663" t="n">
        <v>0</v>
      </c>
      <c r="M2663" t="n">
        <v>0</v>
      </c>
      <c r="N2663" t="n">
        <v>0</v>
      </c>
      <c r="O2663" t="n">
        <v>0</v>
      </c>
      <c r="P2663" t="n">
        <v>0</v>
      </c>
      <c r="Q2663" t="n">
        <v>0</v>
      </c>
      <c r="R2663" s="2" t="inlineStr"/>
    </row>
    <row r="2664" ht="15" customHeight="1">
      <c r="A2664" t="inlineStr">
        <is>
          <t>A 40735-2022</t>
        </is>
      </c>
      <c r="B2664" s="1" t="n">
        <v>44824.54311342593</v>
      </c>
      <c r="C2664" s="1" t="n">
        <v>45952</v>
      </c>
      <c r="D2664" t="inlineStr">
        <is>
          <t>VÄSTRA GÖTALANDS LÄN</t>
        </is>
      </c>
      <c r="E2664" t="inlineStr">
        <is>
          <t>FALKÖPING</t>
        </is>
      </c>
      <c r="G2664" t="n">
        <v>2.4</v>
      </c>
      <c r="H2664" t="n">
        <v>0</v>
      </c>
      <c r="I2664" t="n">
        <v>0</v>
      </c>
      <c r="J2664" t="n">
        <v>0</v>
      </c>
      <c r="K2664" t="n">
        <v>0</v>
      </c>
      <c r="L2664" t="n">
        <v>0</v>
      </c>
      <c r="M2664" t="n">
        <v>0</v>
      </c>
      <c r="N2664" t="n">
        <v>0</v>
      </c>
      <c r="O2664" t="n">
        <v>0</v>
      </c>
      <c r="P2664" t="n">
        <v>0</v>
      </c>
      <c r="Q2664" t="n">
        <v>0</v>
      </c>
      <c r="R2664" s="2" t="inlineStr"/>
    </row>
    <row r="2665" ht="15" customHeight="1">
      <c r="A2665" t="inlineStr">
        <is>
          <t>A 73814-2021</t>
        </is>
      </c>
      <c r="B2665" s="1" t="n">
        <v>44552</v>
      </c>
      <c r="C2665" s="1" t="n">
        <v>45952</v>
      </c>
      <c r="D2665" t="inlineStr">
        <is>
          <t>VÄSTRA GÖTALANDS LÄN</t>
        </is>
      </c>
      <c r="E2665" t="inlineStr">
        <is>
          <t>TRANEMO</t>
        </is>
      </c>
      <c r="G2665" t="n">
        <v>1.6</v>
      </c>
      <c r="H2665" t="n">
        <v>0</v>
      </c>
      <c r="I2665" t="n">
        <v>0</v>
      </c>
      <c r="J2665" t="n">
        <v>0</v>
      </c>
      <c r="K2665" t="n">
        <v>0</v>
      </c>
      <c r="L2665" t="n">
        <v>0</v>
      </c>
      <c r="M2665" t="n">
        <v>0</v>
      </c>
      <c r="N2665" t="n">
        <v>0</v>
      </c>
      <c r="O2665" t="n">
        <v>0</v>
      </c>
      <c r="P2665" t="n">
        <v>0</v>
      </c>
      <c r="Q2665" t="n">
        <v>0</v>
      </c>
      <c r="R2665" s="2" t="inlineStr"/>
    </row>
    <row r="2666" ht="15" customHeight="1">
      <c r="A2666" t="inlineStr">
        <is>
          <t>A 16285-2022</t>
        </is>
      </c>
      <c r="B2666" s="1" t="n">
        <v>44670.50589120371</v>
      </c>
      <c r="C2666" s="1" t="n">
        <v>45952</v>
      </c>
      <c r="D2666" t="inlineStr">
        <is>
          <t>VÄSTRA GÖTALANDS LÄN</t>
        </is>
      </c>
      <c r="E2666" t="inlineStr">
        <is>
          <t>FÄRGELANDA</t>
        </is>
      </c>
      <c r="F2666" t="inlineStr">
        <is>
          <t>Kommuner</t>
        </is>
      </c>
      <c r="G2666" t="n">
        <v>2.4</v>
      </c>
      <c r="H2666" t="n">
        <v>0</v>
      </c>
      <c r="I2666" t="n">
        <v>0</v>
      </c>
      <c r="J2666" t="n">
        <v>0</v>
      </c>
      <c r="K2666" t="n">
        <v>0</v>
      </c>
      <c r="L2666" t="n">
        <v>0</v>
      </c>
      <c r="M2666" t="n">
        <v>0</v>
      </c>
      <c r="N2666" t="n">
        <v>0</v>
      </c>
      <c r="O2666" t="n">
        <v>0</v>
      </c>
      <c r="P2666" t="n">
        <v>0</v>
      </c>
      <c r="Q2666" t="n">
        <v>0</v>
      </c>
      <c r="R2666" s="2" t="inlineStr"/>
    </row>
    <row r="2667" ht="15" customHeight="1">
      <c r="A2667" t="inlineStr">
        <is>
          <t>A 3680-2021</t>
        </is>
      </c>
      <c r="B2667" s="1" t="n">
        <v>44221</v>
      </c>
      <c r="C2667" s="1" t="n">
        <v>45952</v>
      </c>
      <c r="D2667" t="inlineStr">
        <is>
          <t>VÄSTRA GÖTALANDS LÄN</t>
        </is>
      </c>
      <c r="E2667" t="inlineStr">
        <is>
          <t>VARA</t>
        </is>
      </c>
      <c r="G2667" t="n">
        <v>1.4</v>
      </c>
      <c r="H2667" t="n">
        <v>0</v>
      </c>
      <c r="I2667" t="n">
        <v>0</v>
      </c>
      <c r="J2667" t="n">
        <v>0</v>
      </c>
      <c r="K2667" t="n">
        <v>0</v>
      </c>
      <c r="L2667" t="n">
        <v>0</v>
      </c>
      <c r="M2667" t="n">
        <v>0</v>
      </c>
      <c r="N2667" t="n">
        <v>0</v>
      </c>
      <c r="O2667" t="n">
        <v>0</v>
      </c>
      <c r="P2667" t="n">
        <v>0</v>
      </c>
      <c r="Q2667" t="n">
        <v>0</v>
      </c>
      <c r="R2667" s="2" t="inlineStr"/>
    </row>
    <row r="2668" ht="15" customHeight="1">
      <c r="A2668" t="inlineStr">
        <is>
          <t>A 48590-2022</t>
        </is>
      </c>
      <c r="B2668" s="1" t="n">
        <v>44859</v>
      </c>
      <c r="C2668" s="1" t="n">
        <v>45952</v>
      </c>
      <c r="D2668" t="inlineStr">
        <is>
          <t>VÄSTRA GÖTALANDS LÄN</t>
        </is>
      </c>
      <c r="E2668" t="inlineStr">
        <is>
          <t>SVENLJUNGA</t>
        </is>
      </c>
      <c r="G2668" t="n">
        <v>2.3</v>
      </c>
      <c r="H2668" t="n">
        <v>0</v>
      </c>
      <c r="I2668" t="n">
        <v>0</v>
      </c>
      <c r="J2668" t="n">
        <v>0</v>
      </c>
      <c r="K2668" t="n">
        <v>0</v>
      </c>
      <c r="L2668" t="n">
        <v>0</v>
      </c>
      <c r="M2668" t="n">
        <v>0</v>
      </c>
      <c r="N2668" t="n">
        <v>0</v>
      </c>
      <c r="O2668" t="n">
        <v>0</v>
      </c>
      <c r="P2668" t="n">
        <v>0</v>
      </c>
      <c r="Q2668" t="n">
        <v>0</v>
      </c>
      <c r="R2668" s="2" t="inlineStr"/>
    </row>
    <row r="2669" ht="15" customHeight="1">
      <c r="A2669" t="inlineStr">
        <is>
          <t>A 4780-2021</t>
        </is>
      </c>
      <c r="B2669" s="1" t="n">
        <v>44225</v>
      </c>
      <c r="C2669" s="1" t="n">
        <v>45952</v>
      </c>
      <c r="D2669" t="inlineStr">
        <is>
          <t>VÄSTRA GÖTALANDS LÄN</t>
        </is>
      </c>
      <c r="E2669" t="inlineStr">
        <is>
          <t>KARLSBORG</t>
        </is>
      </c>
      <c r="G2669" t="n">
        <v>5.6</v>
      </c>
      <c r="H2669" t="n">
        <v>0</v>
      </c>
      <c r="I2669" t="n">
        <v>0</v>
      </c>
      <c r="J2669" t="n">
        <v>0</v>
      </c>
      <c r="K2669" t="n">
        <v>0</v>
      </c>
      <c r="L2669" t="n">
        <v>0</v>
      </c>
      <c r="M2669" t="n">
        <v>0</v>
      </c>
      <c r="N2669" t="n">
        <v>0</v>
      </c>
      <c r="O2669" t="n">
        <v>0</v>
      </c>
      <c r="P2669" t="n">
        <v>0</v>
      </c>
      <c r="Q2669" t="n">
        <v>0</v>
      </c>
      <c r="R2669" s="2" t="inlineStr"/>
    </row>
    <row r="2670" ht="15" customHeight="1">
      <c r="A2670" t="inlineStr">
        <is>
          <t>A 60972-2021</t>
        </is>
      </c>
      <c r="B2670" s="1" t="n">
        <v>44497.56181712963</v>
      </c>
      <c r="C2670" s="1" t="n">
        <v>45952</v>
      </c>
      <c r="D2670" t="inlineStr">
        <is>
          <t>VÄSTRA GÖTALANDS LÄN</t>
        </is>
      </c>
      <c r="E2670" t="inlineStr">
        <is>
          <t>LYSEKIL</t>
        </is>
      </c>
      <c r="G2670" t="n">
        <v>1</v>
      </c>
      <c r="H2670" t="n">
        <v>0</v>
      </c>
      <c r="I2670" t="n">
        <v>0</v>
      </c>
      <c r="J2670" t="n">
        <v>0</v>
      </c>
      <c r="K2670" t="n">
        <v>0</v>
      </c>
      <c r="L2670" t="n">
        <v>0</v>
      </c>
      <c r="M2670" t="n">
        <v>0</v>
      </c>
      <c r="N2670" t="n">
        <v>0</v>
      </c>
      <c r="O2670" t="n">
        <v>0</v>
      </c>
      <c r="P2670" t="n">
        <v>0</v>
      </c>
      <c r="Q2670" t="n">
        <v>0</v>
      </c>
      <c r="R2670" s="2" t="inlineStr"/>
    </row>
    <row r="2671" ht="15" customHeight="1">
      <c r="A2671" t="inlineStr">
        <is>
          <t>A 60975-2021</t>
        </is>
      </c>
      <c r="B2671" s="1" t="n">
        <v>44497.56990740741</v>
      </c>
      <c r="C2671" s="1" t="n">
        <v>45952</v>
      </c>
      <c r="D2671" t="inlineStr">
        <is>
          <t>VÄSTRA GÖTALANDS LÄN</t>
        </is>
      </c>
      <c r="E2671" t="inlineStr">
        <is>
          <t>BENGTSFORS</t>
        </is>
      </c>
      <c r="G2671" t="n">
        <v>1.1</v>
      </c>
      <c r="H2671" t="n">
        <v>0</v>
      </c>
      <c r="I2671" t="n">
        <v>0</v>
      </c>
      <c r="J2671" t="n">
        <v>0</v>
      </c>
      <c r="K2671" t="n">
        <v>0</v>
      </c>
      <c r="L2671" t="n">
        <v>0</v>
      </c>
      <c r="M2671" t="n">
        <v>0</v>
      </c>
      <c r="N2671" t="n">
        <v>0</v>
      </c>
      <c r="O2671" t="n">
        <v>0</v>
      </c>
      <c r="P2671" t="n">
        <v>0</v>
      </c>
      <c r="Q2671" t="n">
        <v>0</v>
      </c>
      <c r="R2671" s="2" t="inlineStr"/>
    </row>
    <row r="2672" ht="15" customHeight="1">
      <c r="A2672" t="inlineStr">
        <is>
          <t>A 10726-2022</t>
        </is>
      </c>
      <c r="B2672" s="1" t="n">
        <v>44627.32611111111</v>
      </c>
      <c r="C2672" s="1" t="n">
        <v>45952</v>
      </c>
      <c r="D2672" t="inlineStr">
        <is>
          <t>VÄSTRA GÖTALANDS LÄN</t>
        </is>
      </c>
      <c r="E2672" t="inlineStr">
        <is>
          <t>LILLA EDET</t>
        </is>
      </c>
      <c r="G2672" t="n">
        <v>0.8</v>
      </c>
      <c r="H2672" t="n">
        <v>0</v>
      </c>
      <c r="I2672" t="n">
        <v>0</v>
      </c>
      <c r="J2672" t="n">
        <v>0</v>
      </c>
      <c r="K2672" t="n">
        <v>0</v>
      </c>
      <c r="L2672" t="n">
        <v>0</v>
      </c>
      <c r="M2672" t="n">
        <v>0</v>
      </c>
      <c r="N2672" t="n">
        <v>0</v>
      </c>
      <c r="O2672" t="n">
        <v>0</v>
      </c>
      <c r="P2672" t="n">
        <v>0</v>
      </c>
      <c r="Q2672" t="n">
        <v>0</v>
      </c>
      <c r="R2672" s="2" t="inlineStr"/>
    </row>
    <row r="2673" ht="15" customHeight="1">
      <c r="A2673" t="inlineStr">
        <is>
          <t>A 68566-2020</t>
        </is>
      </c>
      <c r="B2673" s="1" t="n">
        <v>44186</v>
      </c>
      <c r="C2673" s="1" t="n">
        <v>45952</v>
      </c>
      <c r="D2673" t="inlineStr">
        <is>
          <t>VÄSTRA GÖTALANDS LÄN</t>
        </is>
      </c>
      <c r="E2673" t="inlineStr">
        <is>
          <t>BORÅS</t>
        </is>
      </c>
      <c r="G2673" t="n">
        <v>10.3</v>
      </c>
      <c r="H2673" t="n">
        <v>0</v>
      </c>
      <c r="I2673" t="n">
        <v>0</v>
      </c>
      <c r="J2673" t="n">
        <v>0</v>
      </c>
      <c r="K2673" t="n">
        <v>0</v>
      </c>
      <c r="L2673" t="n">
        <v>0</v>
      </c>
      <c r="M2673" t="n">
        <v>0</v>
      </c>
      <c r="N2673" t="n">
        <v>0</v>
      </c>
      <c r="O2673" t="n">
        <v>0</v>
      </c>
      <c r="P2673" t="n">
        <v>0</v>
      </c>
      <c r="Q2673" t="n">
        <v>0</v>
      </c>
      <c r="R2673" s="2" t="inlineStr"/>
    </row>
    <row r="2674" ht="15" customHeight="1">
      <c r="A2674" t="inlineStr">
        <is>
          <t>A 2483-2021</t>
        </is>
      </c>
      <c r="B2674" s="1" t="n">
        <v>44214.56694444444</v>
      </c>
      <c r="C2674" s="1" t="n">
        <v>45952</v>
      </c>
      <c r="D2674" t="inlineStr">
        <is>
          <t>VÄSTRA GÖTALANDS LÄN</t>
        </is>
      </c>
      <c r="E2674" t="inlineStr">
        <is>
          <t>MELLERUD</t>
        </is>
      </c>
      <c r="G2674" t="n">
        <v>0.8</v>
      </c>
      <c r="H2674" t="n">
        <v>0</v>
      </c>
      <c r="I2674" t="n">
        <v>0</v>
      </c>
      <c r="J2674" t="n">
        <v>0</v>
      </c>
      <c r="K2674" t="n">
        <v>0</v>
      </c>
      <c r="L2674" t="n">
        <v>0</v>
      </c>
      <c r="M2674" t="n">
        <v>0</v>
      </c>
      <c r="N2674" t="n">
        <v>0</v>
      </c>
      <c r="O2674" t="n">
        <v>0</v>
      </c>
      <c r="P2674" t="n">
        <v>0</v>
      </c>
      <c r="Q2674" t="n">
        <v>0</v>
      </c>
      <c r="R2674" s="2" t="inlineStr"/>
    </row>
    <row r="2675" ht="15" customHeight="1">
      <c r="A2675" t="inlineStr">
        <is>
          <t>A 39556-2022</t>
        </is>
      </c>
      <c r="B2675" s="1" t="n">
        <v>44818.56305555555</v>
      </c>
      <c r="C2675" s="1" t="n">
        <v>45952</v>
      </c>
      <c r="D2675" t="inlineStr">
        <is>
          <t>VÄSTRA GÖTALANDS LÄN</t>
        </is>
      </c>
      <c r="E2675" t="inlineStr">
        <is>
          <t>BOLLEBYGD</t>
        </is>
      </c>
      <c r="G2675" t="n">
        <v>0.3</v>
      </c>
      <c r="H2675" t="n">
        <v>0</v>
      </c>
      <c r="I2675" t="n">
        <v>0</v>
      </c>
      <c r="J2675" t="n">
        <v>0</v>
      </c>
      <c r="K2675" t="n">
        <v>0</v>
      </c>
      <c r="L2675" t="n">
        <v>0</v>
      </c>
      <c r="M2675" t="n">
        <v>0</v>
      </c>
      <c r="N2675" t="n">
        <v>0</v>
      </c>
      <c r="O2675" t="n">
        <v>0</v>
      </c>
      <c r="P2675" t="n">
        <v>0</v>
      </c>
      <c r="Q2675" t="n">
        <v>0</v>
      </c>
      <c r="R2675" s="2" t="inlineStr"/>
    </row>
    <row r="2676" ht="15" customHeight="1">
      <c r="A2676" t="inlineStr">
        <is>
          <t>A 39959-2021</t>
        </is>
      </c>
      <c r="B2676" s="1" t="n">
        <v>44417</v>
      </c>
      <c r="C2676" s="1" t="n">
        <v>45952</v>
      </c>
      <c r="D2676" t="inlineStr">
        <is>
          <t>VÄSTRA GÖTALANDS LÄN</t>
        </is>
      </c>
      <c r="E2676" t="inlineStr">
        <is>
          <t>TANUM</t>
        </is>
      </c>
      <c r="G2676" t="n">
        <v>1.8</v>
      </c>
      <c r="H2676" t="n">
        <v>0</v>
      </c>
      <c r="I2676" t="n">
        <v>0</v>
      </c>
      <c r="J2676" t="n">
        <v>0</v>
      </c>
      <c r="K2676" t="n">
        <v>0</v>
      </c>
      <c r="L2676" t="n">
        <v>0</v>
      </c>
      <c r="M2676" t="n">
        <v>0</v>
      </c>
      <c r="N2676" t="n">
        <v>0</v>
      </c>
      <c r="O2676" t="n">
        <v>0</v>
      </c>
      <c r="P2676" t="n">
        <v>0</v>
      </c>
      <c r="Q2676" t="n">
        <v>0</v>
      </c>
      <c r="R2676" s="2" t="inlineStr"/>
    </row>
    <row r="2677" ht="15" customHeight="1">
      <c r="A2677" t="inlineStr">
        <is>
          <t>A 69614-2021</t>
        </is>
      </c>
      <c r="B2677" s="1" t="n">
        <v>44532</v>
      </c>
      <c r="C2677" s="1" t="n">
        <v>45952</v>
      </c>
      <c r="D2677" t="inlineStr">
        <is>
          <t>VÄSTRA GÖTALANDS LÄN</t>
        </is>
      </c>
      <c r="E2677" t="inlineStr">
        <is>
          <t>LERUM</t>
        </is>
      </c>
      <c r="G2677" t="n">
        <v>0.5</v>
      </c>
      <c r="H2677" t="n">
        <v>0</v>
      </c>
      <c r="I2677" t="n">
        <v>0</v>
      </c>
      <c r="J2677" t="n">
        <v>0</v>
      </c>
      <c r="K2677" t="n">
        <v>0</v>
      </c>
      <c r="L2677" t="n">
        <v>0</v>
      </c>
      <c r="M2677" t="n">
        <v>0</v>
      </c>
      <c r="N2677" t="n">
        <v>0</v>
      </c>
      <c r="O2677" t="n">
        <v>0</v>
      </c>
      <c r="P2677" t="n">
        <v>0</v>
      </c>
      <c r="Q2677" t="n">
        <v>0</v>
      </c>
      <c r="R2677" s="2" t="inlineStr"/>
    </row>
    <row r="2678" ht="15" customHeight="1">
      <c r="A2678" t="inlineStr">
        <is>
          <t>A 69628-2021</t>
        </is>
      </c>
      <c r="B2678" s="1" t="n">
        <v>44532</v>
      </c>
      <c r="C2678" s="1" t="n">
        <v>45952</v>
      </c>
      <c r="D2678" t="inlineStr">
        <is>
          <t>VÄSTRA GÖTALANDS LÄN</t>
        </is>
      </c>
      <c r="E2678" t="inlineStr">
        <is>
          <t>LERUM</t>
        </is>
      </c>
      <c r="G2678" t="n">
        <v>1.2</v>
      </c>
      <c r="H2678" t="n">
        <v>0</v>
      </c>
      <c r="I2678" t="n">
        <v>0</v>
      </c>
      <c r="J2678" t="n">
        <v>0</v>
      </c>
      <c r="K2678" t="n">
        <v>0</v>
      </c>
      <c r="L2678" t="n">
        <v>0</v>
      </c>
      <c r="M2678" t="n">
        <v>0</v>
      </c>
      <c r="N2678" t="n">
        <v>0</v>
      </c>
      <c r="O2678" t="n">
        <v>0</v>
      </c>
      <c r="P2678" t="n">
        <v>0</v>
      </c>
      <c r="Q2678" t="n">
        <v>0</v>
      </c>
      <c r="R2678" s="2" t="inlineStr"/>
    </row>
    <row r="2679" ht="15" customHeight="1">
      <c r="A2679" t="inlineStr">
        <is>
          <t>A 39634-2022</t>
        </is>
      </c>
      <c r="B2679" s="1" t="n">
        <v>44818</v>
      </c>
      <c r="C2679" s="1" t="n">
        <v>45952</v>
      </c>
      <c r="D2679" t="inlineStr">
        <is>
          <t>VÄSTRA GÖTALANDS LÄN</t>
        </is>
      </c>
      <c r="E2679" t="inlineStr">
        <is>
          <t>TÖREBODA</t>
        </is>
      </c>
      <c r="F2679" t="inlineStr">
        <is>
          <t>Kommuner</t>
        </is>
      </c>
      <c r="G2679" t="n">
        <v>3.9</v>
      </c>
      <c r="H2679" t="n">
        <v>0</v>
      </c>
      <c r="I2679" t="n">
        <v>0</v>
      </c>
      <c r="J2679" t="n">
        <v>0</v>
      </c>
      <c r="K2679" t="n">
        <v>0</v>
      </c>
      <c r="L2679" t="n">
        <v>0</v>
      </c>
      <c r="M2679" t="n">
        <v>0</v>
      </c>
      <c r="N2679" t="n">
        <v>0</v>
      </c>
      <c r="O2679" t="n">
        <v>0</v>
      </c>
      <c r="P2679" t="n">
        <v>0</v>
      </c>
      <c r="Q2679" t="n">
        <v>0</v>
      </c>
      <c r="R2679" s="2" t="inlineStr"/>
    </row>
    <row r="2680" ht="15" customHeight="1">
      <c r="A2680" t="inlineStr">
        <is>
          <t>A 9470-2022</t>
        </is>
      </c>
      <c r="B2680" s="1" t="n">
        <v>44616</v>
      </c>
      <c r="C2680" s="1" t="n">
        <v>45952</v>
      </c>
      <c r="D2680" t="inlineStr">
        <is>
          <t>VÄSTRA GÖTALANDS LÄN</t>
        </is>
      </c>
      <c r="E2680" t="inlineStr">
        <is>
          <t>VÅRGÅRDA</t>
        </is>
      </c>
      <c r="G2680" t="n">
        <v>21.5</v>
      </c>
      <c r="H2680" t="n">
        <v>0</v>
      </c>
      <c r="I2680" t="n">
        <v>0</v>
      </c>
      <c r="J2680" t="n">
        <v>0</v>
      </c>
      <c r="K2680" t="n">
        <v>0</v>
      </c>
      <c r="L2680" t="n">
        <v>0</v>
      </c>
      <c r="M2680" t="n">
        <v>0</v>
      </c>
      <c r="N2680" t="n">
        <v>0</v>
      </c>
      <c r="O2680" t="n">
        <v>0</v>
      </c>
      <c r="P2680" t="n">
        <v>0</v>
      </c>
      <c r="Q2680" t="n">
        <v>0</v>
      </c>
      <c r="R2680" s="2" t="inlineStr"/>
    </row>
    <row r="2681" ht="15" customHeight="1">
      <c r="A2681" t="inlineStr">
        <is>
          <t>A 37451-2022</t>
        </is>
      </c>
      <c r="B2681" s="1" t="n">
        <v>44809</v>
      </c>
      <c r="C2681" s="1" t="n">
        <v>45952</v>
      </c>
      <c r="D2681" t="inlineStr">
        <is>
          <t>VÄSTRA GÖTALANDS LÄN</t>
        </is>
      </c>
      <c r="E2681" t="inlineStr">
        <is>
          <t>SKÖVDE</t>
        </is>
      </c>
      <c r="G2681" t="n">
        <v>3.7</v>
      </c>
      <c r="H2681" t="n">
        <v>0</v>
      </c>
      <c r="I2681" t="n">
        <v>0</v>
      </c>
      <c r="J2681" t="n">
        <v>0</v>
      </c>
      <c r="K2681" t="n">
        <v>0</v>
      </c>
      <c r="L2681" t="n">
        <v>0</v>
      </c>
      <c r="M2681" t="n">
        <v>0</v>
      </c>
      <c r="N2681" t="n">
        <v>0</v>
      </c>
      <c r="O2681" t="n">
        <v>0</v>
      </c>
      <c r="P2681" t="n">
        <v>0</v>
      </c>
      <c r="Q2681" t="n">
        <v>0</v>
      </c>
      <c r="R2681" s="2" t="inlineStr"/>
    </row>
    <row r="2682" ht="15" customHeight="1">
      <c r="A2682" t="inlineStr">
        <is>
          <t>A 32158-2022</t>
        </is>
      </c>
      <c r="B2682" s="1" t="n">
        <v>44781</v>
      </c>
      <c r="C2682" s="1" t="n">
        <v>45952</v>
      </c>
      <c r="D2682" t="inlineStr">
        <is>
          <t>VÄSTRA GÖTALANDS LÄN</t>
        </is>
      </c>
      <c r="E2682" t="inlineStr">
        <is>
          <t>HJO</t>
        </is>
      </c>
      <c r="G2682" t="n">
        <v>1.4</v>
      </c>
      <c r="H2682" t="n">
        <v>0</v>
      </c>
      <c r="I2682" t="n">
        <v>0</v>
      </c>
      <c r="J2682" t="n">
        <v>0</v>
      </c>
      <c r="K2682" t="n">
        <v>0</v>
      </c>
      <c r="L2682" t="n">
        <v>0</v>
      </c>
      <c r="M2682" t="n">
        <v>0</v>
      </c>
      <c r="N2682" t="n">
        <v>0</v>
      </c>
      <c r="O2682" t="n">
        <v>0</v>
      </c>
      <c r="P2682" t="n">
        <v>0</v>
      </c>
      <c r="Q2682" t="n">
        <v>0</v>
      </c>
      <c r="R2682" s="2" t="inlineStr"/>
    </row>
    <row r="2683" ht="15" customHeight="1">
      <c r="A2683" t="inlineStr">
        <is>
          <t>A 9210-2022</t>
        </is>
      </c>
      <c r="B2683" s="1" t="n">
        <v>44616.2996875</v>
      </c>
      <c r="C2683" s="1" t="n">
        <v>45952</v>
      </c>
      <c r="D2683" t="inlineStr">
        <is>
          <t>VÄSTRA GÖTALANDS LÄN</t>
        </is>
      </c>
      <c r="E2683" t="inlineStr">
        <is>
          <t>HJO</t>
        </is>
      </c>
      <c r="G2683" t="n">
        <v>1.4</v>
      </c>
      <c r="H2683" t="n">
        <v>0</v>
      </c>
      <c r="I2683" t="n">
        <v>0</v>
      </c>
      <c r="J2683" t="n">
        <v>0</v>
      </c>
      <c r="K2683" t="n">
        <v>0</v>
      </c>
      <c r="L2683" t="n">
        <v>0</v>
      </c>
      <c r="M2683" t="n">
        <v>0</v>
      </c>
      <c r="N2683" t="n">
        <v>0</v>
      </c>
      <c r="O2683" t="n">
        <v>0</v>
      </c>
      <c r="P2683" t="n">
        <v>0</v>
      </c>
      <c r="Q2683" t="n">
        <v>0</v>
      </c>
      <c r="R2683" s="2" t="inlineStr"/>
    </row>
    <row r="2684" ht="15" customHeight="1">
      <c r="A2684" t="inlineStr">
        <is>
          <t>A 9212-2022</t>
        </is>
      </c>
      <c r="B2684" s="1" t="n">
        <v>44616.30952546297</v>
      </c>
      <c r="C2684" s="1" t="n">
        <v>45952</v>
      </c>
      <c r="D2684" t="inlineStr">
        <is>
          <t>VÄSTRA GÖTALANDS LÄN</t>
        </is>
      </c>
      <c r="E2684" t="inlineStr">
        <is>
          <t>VARA</t>
        </is>
      </c>
      <c r="G2684" t="n">
        <v>0.3</v>
      </c>
      <c r="H2684" t="n">
        <v>0</v>
      </c>
      <c r="I2684" t="n">
        <v>0</v>
      </c>
      <c r="J2684" t="n">
        <v>0</v>
      </c>
      <c r="K2684" t="n">
        <v>0</v>
      </c>
      <c r="L2684" t="n">
        <v>0</v>
      </c>
      <c r="M2684" t="n">
        <v>0</v>
      </c>
      <c r="N2684" t="n">
        <v>0</v>
      </c>
      <c r="O2684" t="n">
        <v>0</v>
      </c>
      <c r="P2684" t="n">
        <v>0</v>
      </c>
      <c r="Q2684" t="n">
        <v>0</v>
      </c>
      <c r="R2684" s="2" t="inlineStr"/>
    </row>
    <row r="2685" ht="15" customHeight="1">
      <c r="A2685" t="inlineStr">
        <is>
          <t>A 19559-2022</t>
        </is>
      </c>
      <c r="B2685" s="1" t="n">
        <v>44693.6590625</v>
      </c>
      <c r="C2685" s="1" t="n">
        <v>45952</v>
      </c>
      <c r="D2685" t="inlineStr">
        <is>
          <t>VÄSTRA GÖTALANDS LÄN</t>
        </is>
      </c>
      <c r="E2685" t="inlineStr">
        <is>
          <t>VÄNERSBORG</t>
        </is>
      </c>
      <c r="G2685" t="n">
        <v>0.4</v>
      </c>
      <c r="H2685" t="n">
        <v>0</v>
      </c>
      <c r="I2685" t="n">
        <v>0</v>
      </c>
      <c r="J2685" t="n">
        <v>0</v>
      </c>
      <c r="K2685" t="n">
        <v>0</v>
      </c>
      <c r="L2685" t="n">
        <v>0</v>
      </c>
      <c r="M2685" t="n">
        <v>0</v>
      </c>
      <c r="N2685" t="n">
        <v>0</v>
      </c>
      <c r="O2685" t="n">
        <v>0</v>
      </c>
      <c r="P2685" t="n">
        <v>0</v>
      </c>
      <c r="Q2685" t="n">
        <v>0</v>
      </c>
      <c r="R2685" s="2" t="inlineStr"/>
    </row>
    <row r="2686" ht="15" customHeight="1">
      <c r="A2686" t="inlineStr">
        <is>
          <t>A 19577-2022</t>
        </is>
      </c>
      <c r="B2686" s="1" t="n">
        <v>44693</v>
      </c>
      <c r="C2686" s="1" t="n">
        <v>45952</v>
      </c>
      <c r="D2686" t="inlineStr">
        <is>
          <t>VÄSTRA GÖTALANDS LÄN</t>
        </is>
      </c>
      <c r="E2686" t="inlineStr">
        <is>
          <t>TROLLHÄTTAN</t>
        </is>
      </c>
      <c r="G2686" t="n">
        <v>1.4</v>
      </c>
      <c r="H2686" t="n">
        <v>0</v>
      </c>
      <c r="I2686" t="n">
        <v>0</v>
      </c>
      <c r="J2686" t="n">
        <v>0</v>
      </c>
      <c r="K2686" t="n">
        <v>0</v>
      </c>
      <c r="L2686" t="n">
        <v>0</v>
      </c>
      <c r="M2686" t="n">
        <v>0</v>
      </c>
      <c r="N2686" t="n">
        <v>0</v>
      </c>
      <c r="O2686" t="n">
        <v>0</v>
      </c>
      <c r="P2686" t="n">
        <v>0</v>
      </c>
      <c r="Q2686" t="n">
        <v>0</v>
      </c>
      <c r="R2686" s="2" t="inlineStr"/>
    </row>
    <row r="2687" ht="15" customHeight="1">
      <c r="A2687" t="inlineStr">
        <is>
          <t>A 66971-2021</t>
        </is>
      </c>
      <c r="B2687" s="1" t="n">
        <v>44522.59743055556</v>
      </c>
      <c r="C2687" s="1" t="n">
        <v>45952</v>
      </c>
      <c r="D2687" t="inlineStr">
        <is>
          <t>VÄSTRA GÖTALANDS LÄN</t>
        </is>
      </c>
      <c r="E2687" t="inlineStr">
        <is>
          <t>TROLLHÄTTAN</t>
        </is>
      </c>
      <c r="G2687" t="n">
        <v>0.5</v>
      </c>
      <c r="H2687" t="n">
        <v>0</v>
      </c>
      <c r="I2687" t="n">
        <v>0</v>
      </c>
      <c r="J2687" t="n">
        <v>0</v>
      </c>
      <c r="K2687" t="n">
        <v>0</v>
      </c>
      <c r="L2687" t="n">
        <v>0</v>
      </c>
      <c r="M2687" t="n">
        <v>0</v>
      </c>
      <c r="N2687" t="n">
        <v>0</v>
      </c>
      <c r="O2687" t="n">
        <v>0</v>
      </c>
      <c r="P2687" t="n">
        <v>0</v>
      </c>
      <c r="Q2687" t="n">
        <v>0</v>
      </c>
      <c r="R2687" s="2" t="inlineStr"/>
    </row>
    <row r="2688" ht="15" customHeight="1">
      <c r="A2688" t="inlineStr">
        <is>
          <t>A 19223-2022</t>
        </is>
      </c>
      <c r="B2688" s="1" t="n">
        <v>44692</v>
      </c>
      <c r="C2688" s="1" t="n">
        <v>45952</v>
      </c>
      <c r="D2688" t="inlineStr">
        <is>
          <t>VÄSTRA GÖTALANDS LÄN</t>
        </is>
      </c>
      <c r="E2688" t="inlineStr">
        <is>
          <t>MARK</t>
        </is>
      </c>
      <c r="G2688" t="n">
        <v>1.7</v>
      </c>
      <c r="H2688" t="n">
        <v>0</v>
      </c>
      <c r="I2688" t="n">
        <v>0</v>
      </c>
      <c r="J2688" t="n">
        <v>0</v>
      </c>
      <c r="K2688" t="n">
        <v>0</v>
      </c>
      <c r="L2688" t="n">
        <v>0</v>
      </c>
      <c r="M2688" t="n">
        <v>0</v>
      </c>
      <c r="N2688" t="n">
        <v>0</v>
      </c>
      <c r="O2688" t="n">
        <v>0</v>
      </c>
      <c r="P2688" t="n">
        <v>0</v>
      </c>
      <c r="Q2688" t="n">
        <v>0</v>
      </c>
      <c r="R2688" s="2" t="inlineStr"/>
    </row>
    <row r="2689" ht="15" customHeight="1">
      <c r="A2689" t="inlineStr">
        <is>
          <t>A 16631-2022</t>
        </is>
      </c>
      <c r="B2689" s="1" t="n">
        <v>44672.6129050926</v>
      </c>
      <c r="C2689" s="1" t="n">
        <v>45952</v>
      </c>
      <c r="D2689" t="inlineStr">
        <is>
          <t>VÄSTRA GÖTALANDS LÄN</t>
        </is>
      </c>
      <c r="E2689" t="inlineStr">
        <is>
          <t>MUNKEDAL</t>
        </is>
      </c>
      <c r="G2689" t="n">
        <v>0.9</v>
      </c>
      <c r="H2689" t="n">
        <v>0</v>
      </c>
      <c r="I2689" t="n">
        <v>0</v>
      </c>
      <c r="J2689" t="n">
        <v>0</v>
      </c>
      <c r="K2689" t="n">
        <v>0</v>
      </c>
      <c r="L2689" t="n">
        <v>0</v>
      </c>
      <c r="M2689" t="n">
        <v>0</v>
      </c>
      <c r="N2689" t="n">
        <v>0</v>
      </c>
      <c r="O2689" t="n">
        <v>0</v>
      </c>
      <c r="P2689" t="n">
        <v>0</v>
      </c>
      <c r="Q2689" t="n">
        <v>0</v>
      </c>
      <c r="R2689" s="2" t="inlineStr"/>
    </row>
    <row r="2690" ht="15" customHeight="1">
      <c r="A2690" t="inlineStr">
        <is>
          <t>A 4395-2022</t>
        </is>
      </c>
      <c r="B2690" s="1" t="n">
        <v>44588</v>
      </c>
      <c r="C2690" s="1" t="n">
        <v>45952</v>
      </c>
      <c r="D2690" t="inlineStr">
        <is>
          <t>VÄSTRA GÖTALANDS LÄN</t>
        </is>
      </c>
      <c r="E2690" t="inlineStr">
        <is>
          <t>STRÖMSTAD</t>
        </is>
      </c>
      <c r="G2690" t="n">
        <v>0.8</v>
      </c>
      <c r="H2690" t="n">
        <v>0</v>
      </c>
      <c r="I2690" t="n">
        <v>0</v>
      </c>
      <c r="J2690" t="n">
        <v>0</v>
      </c>
      <c r="K2690" t="n">
        <v>0</v>
      </c>
      <c r="L2690" t="n">
        <v>0</v>
      </c>
      <c r="M2690" t="n">
        <v>0</v>
      </c>
      <c r="N2690" t="n">
        <v>0</v>
      </c>
      <c r="O2690" t="n">
        <v>0</v>
      </c>
      <c r="P2690" t="n">
        <v>0</v>
      </c>
      <c r="Q2690" t="n">
        <v>0</v>
      </c>
      <c r="R2690" s="2" t="inlineStr"/>
    </row>
    <row r="2691" ht="15" customHeight="1">
      <c r="A2691" t="inlineStr">
        <is>
          <t>A 52403-2021</t>
        </is>
      </c>
      <c r="B2691" s="1" t="n">
        <v>44463</v>
      </c>
      <c r="C2691" s="1" t="n">
        <v>45952</v>
      </c>
      <c r="D2691" t="inlineStr">
        <is>
          <t>VÄSTRA GÖTALANDS LÄN</t>
        </is>
      </c>
      <c r="E2691" t="inlineStr">
        <is>
          <t>TANUM</t>
        </is>
      </c>
      <c r="F2691" t="inlineStr">
        <is>
          <t>Kyrkan</t>
        </is>
      </c>
      <c r="G2691" t="n">
        <v>4.2</v>
      </c>
      <c r="H2691" t="n">
        <v>0</v>
      </c>
      <c r="I2691" t="n">
        <v>0</v>
      </c>
      <c r="J2691" t="n">
        <v>0</v>
      </c>
      <c r="K2691" t="n">
        <v>0</v>
      </c>
      <c r="L2691" t="n">
        <v>0</v>
      </c>
      <c r="M2691" t="n">
        <v>0</v>
      </c>
      <c r="N2691" t="n">
        <v>0</v>
      </c>
      <c r="O2691" t="n">
        <v>0</v>
      </c>
      <c r="P2691" t="n">
        <v>0</v>
      </c>
      <c r="Q2691" t="n">
        <v>0</v>
      </c>
      <c r="R2691" s="2" t="inlineStr"/>
    </row>
    <row r="2692" ht="15" customHeight="1">
      <c r="A2692" t="inlineStr">
        <is>
          <t>A 2377-2022</t>
        </is>
      </c>
      <c r="B2692" s="1" t="n">
        <v>44579</v>
      </c>
      <c r="C2692" s="1" t="n">
        <v>45952</v>
      </c>
      <c r="D2692" t="inlineStr">
        <is>
          <t>VÄSTRA GÖTALANDS LÄN</t>
        </is>
      </c>
      <c r="E2692" t="inlineStr">
        <is>
          <t>VÄNERSBORG</t>
        </is>
      </c>
      <c r="G2692" t="n">
        <v>0.8</v>
      </c>
      <c r="H2692" t="n">
        <v>0</v>
      </c>
      <c r="I2692" t="n">
        <v>0</v>
      </c>
      <c r="J2692" t="n">
        <v>0</v>
      </c>
      <c r="K2692" t="n">
        <v>0</v>
      </c>
      <c r="L2692" t="n">
        <v>0</v>
      </c>
      <c r="M2692" t="n">
        <v>0</v>
      </c>
      <c r="N2692" t="n">
        <v>0</v>
      </c>
      <c r="O2692" t="n">
        <v>0</v>
      </c>
      <c r="P2692" t="n">
        <v>0</v>
      </c>
      <c r="Q2692" t="n">
        <v>0</v>
      </c>
      <c r="R2692" s="2" t="inlineStr"/>
    </row>
    <row r="2693" ht="15" customHeight="1">
      <c r="A2693" t="inlineStr">
        <is>
          <t>A 70949-2021</t>
        </is>
      </c>
      <c r="B2693" s="1" t="n">
        <v>44538.5125462963</v>
      </c>
      <c r="C2693" s="1" t="n">
        <v>45952</v>
      </c>
      <c r="D2693" t="inlineStr">
        <is>
          <t>VÄSTRA GÖTALANDS LÄN</t>
        </is>
      </c>
      <c r="E2693" t="inlineStr">
        <is>
          <t>KARLSBORG</t>
        </is>
      </c>
      <c r="F2693" t="inlineStr">
        <is>
          <t>Övriga Aktiebolag</t>
        </is>
      </c>
      <c r="G2693" t="n">
        <v>3.4</v>
      </c>
      <c r="H2693" t="n">
        <v>0</v>
      </c>
      <c r="I2693" t="n">
        <v>0</v>
      </c>
      <c r="J2693" t="n">
        <v>0</v>
      </c>
      <c r="K2693" t="n">
        <v>0</v>
      </c>
      <c r="L2693" t="n">
        <v>0</v>
      </c>
      <c r="M2693" t="n">
        <v>0</v>
      </c>
      <c r="N2693" t="n">
        <v>0</v>
      </c>
      <c r="O2693" t="n">
        <v>0</v>
      </c>
      <c r="P2693" t="n">
        <v>0</v>
      </c>
      <c r="Q2693" t="n">
        <v>0</v>
      </c>
      <c r="R2693" s="2" t="inlineStr"/>
    </row>
    <row r="2694" ht="15" customHeight="1">
      <c r="A2694" t="inlineStr">
        <is>
          <t>A 71009-2021</t>
        </is>
      </c>
      <c r="B2694" s="1" t="n">
        <v>44538</v>
      </c>
      <c r="C2694" s="1" t="n">
        <v>45952</v>
      </c>
      <c r="D2694" t="inlineStr">
        <is>
          <t>VÄSTRA GÖTALANDS LÄN</t>
        </is>
      </c>
      <c r="E2694" t="inlineStr">
        <is>
          <t>GULLSPÅNG</t>
        </is>
      </c>
      <c r="F2694" t="inlineStr">
        <is>
          <t>Kyrkan</t>
        </is>
      </c>
      <c r="G2694" t="n">
        <v>2.4</v>
      </c>
      <c r="H2694" t="n">
        <v>0</v>
      </c>
      <c r="I2694" t="n">
        <v>0</v>
      </c>
      <c r="J2694" t="n">
        <v>0</v>
      </c>
      <c r="K2694" t="n">
        <v>0</v>
      </c>
      <c r="L2694" t="n">
        <v>0</v>
      </c>
      <c r="M2694" t="n">
        <v>0</v>
      </c>
      <c r="N2694" t="n">
        <v>0</v>
      </c>
      <c r="O2694" t="n">
        <v>0</v>
      </c>
      <c r="P2694" t="n">
        <v>0</v>
      </c>
      <c r="Q2694" t="n">
        <v>0</v>
      </c>
      <c r="R2694" s="2" t="inlineStr"/>
    </row>
    <row r="2695" ht="15" customHeight="1">
      <c r="A2695" t="inlineStr">
        <is>
          <t>A 23080-2022</t>
        </is>
      </c>
      <c r="B2695" s="1" t="n">
        <v>44715</v>
      </c>
      <c r="C2695" s="1" t="n">
        <v>45952</v>
      </c>
      <c r="D2695" t="inlineStr">
        <is>
          <t>VÄSTRA GÖTALANDS LÄN</t>
        </is>
      </c>
      <c r="E2695" t="inlineStr">
        <is>
          <t>TIBRO</t>
        </is>
      </c>
      <c r="G2695" t="n">
        <v>0.6</v>
      </c>
      <c r="H2695" t="n">
        <v>0</v>
      </c>
      <c r="I2695" t="n">
        <v>0</v>
      </c>
      <c r="J2695" t="n">
        <v>0</v>
      </c>
      <c r="K2695" t="n">
        <v>0</v>
      </c>
      <c r="L2695" t="n">
        <v>0</v>
      </c>
      <c r="M2695" t="n">
        <v>0</v>
      </c>
      <c r="N2695" t="n">
        <v>0</v>
      </c>
      <c r="O2695" t="n">
        <v>0</v>
      </c>
      <c r="P2695" t="n">
        <v>0</v>
      </c>
      <c r="Q2695" t="n">
        <v>0</v>
      </c>
      <c r="R2695" s="2" t="inlineStr"/>
    </row>
    <row r="2696" ht="15" customHeight="1">
      <c r="A2696" t="inlineStr">
        <is>
          <t>A 7319-2022</t>
        </is>
      </c>
      <c r="B2696" s="1" t="n">
        <v>44606.52885416667</v>
      </c>
      <c r="C2696" s="1" t="n">
        <v>45952</v>
      </c>
      <c r="D2696" t="inlineStr">
        <is>
          <t>VÄSTRA GÖTALANDS LÄN</t>
        </is>
      </c>
      <c r="E2696" t="inlineStr">
        <is>
          <t>ULRICEHAMN</t>
        </is>
      </c>
      <c r="G2696" t="n">
        <v>1.2</v>
      </c>
      <c r="H2696" t="n">
        <v>0</v>
      </c>
      <c r="I2696" t="n">
        <v>0</v>
      </c>
      <c r="J2696" t="n">
        <v>0</v>
      </c>
      <c r="K2696" t="n">
        <v>0</v>
      </c>
      <c r="L2696" t="n">
        <v>0</v>
      </c>
      <c r="M2696" t="n">
        <v>0</v>
      </c>
      <c r="N2696" t="n">
        <v>0</v>
      </c>
      <c r="O2696" t="n">
        <v>0</v>
      </c>
      <c r="P2696" t="n">
        <v>0</v>
      </c>
      <c r="Q2696" t="n">
        <v>0</v>
      </c>
      <c r="R2696" s="2" t="inlineStr"/>
    </row>
    <row r="2697" ht="15" customHeight="1">
      <c r="A2697" t="inlineStr">
        <is>
          <t>A 52975-2021</t>
        </is>
      </c>
      <c r="B2697" s="1" t="n">
        <v>44467</v>
      </c>
      <c r="C2697" s="1" t="n">
        <v>45952</v>
      </c>
      <c r="D2697" t="inlineStr">
        <is>
          <t>VÄSTRA GÖTALANDS LÄN</t>
        </is>
      </c>
      <c r="E2697" t="inlineStr">
        <is>
          <t>BORÅS</t>
        </is>
      </c>
      <c r="G2697" t="n">
        <v>1.7</v>
      </c>
      <c r="H2697" t="n">
        <v>0</v>
      </c>
      <c r="I2697" t="n">
        <v>0</v>
      </c>
      <c r="J2697" t="n">
        <v>0</v>
      </c>
      <c r="K2697" t="n">
        <v>0</v>
      </c>
      <c r="L2697" t="n">
        <v>0</v>
      </c>
      <c r="M2697" t="n">
        <v>0</v>
      </c>
      <c r="N2697" t="n">
        <v>0</v>
      </c>
      <c r="O2697" t="n">
        <v>0</v>
      </c>
      <c r="P2697" t="n">
        <v>0</v>
      </c>
      <c r="Q2697" t="n">
        <v>0</v>
      </c>
      <c r="R2697" s="2" t="inlineStr"/>
    </row>
    <row r="2698" ht="15" customHeight="1">
      <c r="A2698" t="inlineStr">
        <is>
          <t>A 11979-2022</t>
        </is>
      </c>
      <c r="B2698" s="1" t="n">
        <v>44635.66027777778</v>
      </c>
      <c r="C2698" s="1" t="n">
        <v>45952</v>
      </c>
      <c r="D2698" t="inlineStr">
        <is>
          <t>VÄSTRA GÖTALANDS LÄN</t>
        </is>
      </c>
      <c r="E2698" t="inlineStr">
        <is>
          <t>VÄNERSBORG</t>
        </is>
      </c>
      <c r="G2698" t="n">
        <v>1.2</v>
      </c>
      <c r="H2698" t="n">
        <v>0</v>
      </c>
      <c r="I2698" t="n">
        <v>0</v>
      </c>
      <c r="J2698" t="n">
        <v>0</v>
      </c>
      <c r="K2698" t="n">
        <v>0</v>
      </c>
      <c r="L2698" t="n">
        <v>0</v>
      </c>
      <c r="M2698" t="n">
        <v>0</v>
      </c>
      <c r="N2698" t="n">
        <v>0</v>
      </c>
      <c r="O2698" t="n">
        <v>0</v>
      </c>
      <c r="P2698" t="n">
        <v>0</v>
      </c>
      <c r="Q2698" t="n">
        <v>0</v>
      </c>
      <c r="R2698" s="2" t="inlineStr"/>
    </row>
    <row r="2699" ht="15" customHeight="1">
      <c r="A2699" t="inlineStr">
        <is>
          <t>A 73020-2021</t>
        </is>
      </c>
      <c r="B2699" s="1" t="n">
        <v>44550</v>
      </c>
      <c r="C2699" s="1" t="n">
        <v>45952</v>
      </c>
      <c r="D2699" t="inlineStr">
        <is>
          <t>VÄSTRA GÖTALANDS LÄN</t>
        </is>
      </c>
      <c r="E2699" t="inlineStr">
        <is>
          <t>SOTENÄS</t>
        </is>
      </c>
      <c r="G2699" t="n">
        <v>2.7</v>
      </c>
      <c r="H2699" t="n">
        <v>0</v>
      </c>
      <c r="I2699" t="n">
        <v>0</v>
      </c>
      <c r="J2699" t="n">
        <v>0</v>
      </c>
      <c r="K2699" t="n">
        <v>0</v>
      </c>
      <c r="L2699" t="n">
        <v>0</v>
      </c>
      <c r="M2699" t="n">
        <v>0</v>
      </c>
      <c r="N2699" t="n">
        <v>0</v>
      </c>
      <c r="O2699" t="n">
        <v>0</v>
      </c>
      <c r="P2699" t="n">
        <v>0</v>
      </c>
      <c r="Q2699" t="n">
        <v>0</v>
      </c>
      <c r="R2699" s="2" t="inlineStr"/>
    </row>
    <row r="2700" ht="15" customHeight="1">
      <c r="A2700" t="inlineStr">
        <is>
          <t>A 35672-2021</t>
        </is>
      </c>
      <c r="B2700" s="1" t="n">
        <v>44386</v>
      </c>
      <c r="C2700" s="1" t="n">
        <v>45952</v>
      </c>
      <c r="D2700" t="inlineStr">
        <is>
          <t>VÄSTRA GÖTALANDS LÄN</t>
        </is>
      </c>
      <c r="E2700" t="inlineStr">
        <is>
          <t>GULLSPÅNG</t>
        </is>
      </c>
      <c r="G2700" t="n">
        <v>2</v>
      </c>
      <c r="H2700" t="n">
        <v>0</v>
      </c>
      <c r="I2700" t="n">
        <v>0</v>
      </c>
      <c r="J2700" t="n">
        <v>0</v>
      </c>
      <c r="K2700" t="n">
        <v>0</v>
      </c>
      <c r="L2700" t="n">
        <v>0</v>
      </c>
      <c r="M2700" t="n">
        <v>0</v>
      </c>
      <c r="N2700" t="n">
        <v>0</v>
      </c>
      <c r="O2700" t="n">
        <v>0</v>
      </c>
      <c r="P2700" t="n">
        <v>0</v>
      </c>
      <c r="Q2700" t="n">
        <v>0</v>
      </c>
      <c r="R2700" s="2" t="inlineStr"/>
    </row>
    <row r="2701" ht="15" customHeight="1">
      <c r="A2701" t="inlineStr">
        <is>
          <t>A 68922-2021</t>
        </is>
      </c>
      <c r="B2701" s="1" t="n">
        <v>44530</v>
      </c>
      <c r="C2701" s="1" t="n">
        <v>45952</v>
      </c>
      <c r="D2701" t="inlineStr">
        <is>
          <t>VÄSTRA GÖTALANDS LÄN</t>
        </is>
      </c>
      <c r="E2701" t="inlineStr">
        <is>
          <t>MARIESTAD</t>
        </is>
      </c>
      <c r="G2701" t="n">
        <v>1</v>
      </c>
      <c r="H2701" t="n">
        <v>0</v>
      </c>
      <c r="I2701" t="n">
        <v>0</v>
      </c>
      <c r="J2701" t="n">
        <v>0</v>
      </c>
      <c r="K2701" t="n">
        <v>0</v>
      </c>
      <c r="L2701" t="n">
        <v>0</v>
      </c>
      <c r="M2701" t="n">
        <v>0</v>
      </c>
      <c r="N2701" t="n">
        <v>0</v>
      </c>
      <c r="O2701" t="n">
        <v>0</v>
      </c>
      <c r="P2701" t="n">
        <v>0</v>
      </c>
      <c r="Q2701" t="n">
        <v>0</v>
      </c>
      <c r="R2701" s="2" t="inlineStr"/>
    </row>
    <row r="2702" ht="15" customHeight="1">
      <c r="A2702" t="inlineStr">
        <is>
          <t>A 68932-2021</t>
        </is>
      </c>
      <c r="B2702" s="1" t="n">
        <v>44530.4952662037</v>
      </c>
      <c r="C2702" s="1" t="n">
        <v>45952</v>
      </c>
      <c r="D2702" t="inlineStr">
        <is>
          <t>VÄSTRA GÖTALANDS LÄN</t>
        </is>
      </c>
      <c r="E2702" t="inlineStr">
        <is>
          <t>SKARA</t>
        </is>
      </c>
      <c r="G2702" t="n">
        <v>0.3</v>
      </c>
      <c r="H2702" t="n">
        <v>0</v>
      </c>
      <c r="I2702" t="n">
        <v>0</v>
      </c>
      <c r="J2702" t="n">
        <v>0</v>
      </c>
      <c r="K2702" t="n">
        <v>0</v>
      </c>
      <c r="L2702" t="n">
        <v>0</v>
      </c>
      <c r="M2702" t="n">
        <v>0</v>
      </c>
      <c r="N2702" t="n">
        <v>0</v>
      </c>
      <c r="O2702" t="n">
        <v>0</v>
      </c>
      <c r="P2702" t="n">
        <v>0</v>
      </c>
      <c r="Q2702" t="n">
        <v>0</v>
      </c>
      <c r="R2702" s="2" t="inlineStr"/>
    </row>
    <row r="2703" ht="15" customHeight="1">
      <c r="A2703" t="inlineStr">
        <is>
          <t>A 19782-2022</t>
        </is>
      </c>
      <c r="B2703" s="1" t="n">
        <v>44694</v>
      </c>
      <c r="C2703" s="1" t="n">
        <v>45952</v>
      </c>
      <c r="D2703" t="inlineStr">
        <is>
          <t>VÄSTRA GÖTALANDS LÄN</t>
        </is>
      </c>
      <c r="E2703" t="inlineStr">
        <is>
          <t>HÄRRYDA</t>
        </is>
      </c>
      <c r="G2703" t="n">
        <v>0.5</v>
      </c>
      <c r="H2703" t="n">
        <v>0</v>
      </c>
      <c r="I2703" t="n">
        <v>0</v>
      </c>
      <c r="J2703" t="n">
        <v>0</v>
      </c>
      <c r="K2703" t="n">
        <v>0</v>
      </c>
      <c r="L2703" t="n">
        <v>0</v>
      </c>
      <c r="M2703" t="n">
        <v>0</v>
      </c>
      <c r="N2703" t="n">
        <v>0</v>
      </c>
      <c r="O2703" t="n">
        <v>0</v>
      </c>
      <c r="P2703" t="n">
        <v>0</v>
      </c>
      <c r="Q2703" t="n">
        <v>0</v>
      </c>
      <c r="R2703" s="2" t="inlineStr"/>
    </row>
    <row r="2704" ht="15" customHeight="1">
      <c r="A2704" t="inlineStr">
        <is>
          <t>A 7806-2021</t>
        </is>
      </c>
      <c r="B2704" s="1" t="n">
        <v>44242</v>
      </c>
      <c r="C2704" s="1" t="n">
        <v>45952</v>
      </c>
      <c r="D2704" t="inlineStr">
        <is>
          <t>VÄSTRA GÖTALANDS LÄN</t>
        </is>
      </c>
      <c r="E2704" t="inlineStr">
        <is>
          <t>FÄRGELANDA</t>
        </is>
      </c>
      <c r="G2704" t="n">
        <v>9.4</v>
      </c>
      <c r="H2704" t="n">
        <v>0</v>
      </c>
      <c r="I2704" t="n">
        <v>0</v>
      </c>
      <c r="J2704" t="n">
        <v>0</v>
      </c>
      <c r="K2704" t="n">
        <v>0</v>
      </c>
      <c r="L2704" t="n">
        <v>0</v>
      </c>
      <c r="M2704" t="n">
        <v>0</v>
      </c>
      <c r="N2704" t="n">
        <v>0</v>
      </c>
      <c r="O2704" t="n">
        <v>0</v>
      </c>
      <c r="P2704" t="n">
        <v>0</v>
      </c>
      <c r="Q2704" t="n">
        <v>0</v>
      </c>
      <c r="R2704" s="2" t="inlineStr"/>
    </row>
    <row r="2705" ht="15" customHeight="1">
      <c r="A2705" t="inlineStr">
        <is>
          <t>A 10273-2022</t>
        </is>
      </c>
      <c r="B2705" s="1" t="n">
        <v>44622</v>
      </c>
      <c r="C2705" s="1" t="n">
        <v>45952</v>
      </c>
      <c r="D2705" t="inlineStr">
        <is>
          <t>VÄSTRA GÖTALANDS LÄN</t>
        </is>
      </c>
      <c r="E2705" t="inlineStr">
        <is>
          <t>TIDAHOLM</t>
        </is>
      </c>
      <c r="G2705" t="n">
        <v>6.8</v>
      </c>
      <c r="H2705" t="n">
        <v>0</v>
      </c>
      <c r="I2705" t="n">
        <v>0</v>
      </c>
      <c r="J2705" t="n">
        <v>0</v>
      </c>
      <c r="K2705" t="n">
        <v>0</v>
      </c>
      <c r="L2705" t="n">
        <v>0</v>
      </c>
      <c r="M2705" t="n">
        <v>0</v>
      </c>
      <c r="N2705" t="n">
        <v>0</v>
      </c>
      <c r="O2705" t="n">
        <v>0</v>
      </c>
      <c r="P2705" t="n">
        <v>0</v>
      </c>
      <c r="Q2705" t="n">
        <v>0</v>
      </c>
      <c r="R2705" s="2" t="inlineStr"/>
    </row>
    <row r="2706" ht="15" customHeight="1">
      <c r="A2706" t="inlineStr">
        <is>
          <t>A 59883-2021</t>
        </is>
      </c>
      <c r="B2706" s="1" t="n">
        <v>44494</v>
      </c>
      <c r="C2706" s="1" t="n">
        <v>45952</v>
      </c>
      <c r="D2706" t="inlineStr">
        <is>
          <t>VÄSTRA GÖTALANDS LÄN</t>
        </is>
      </c>
      <c r="E2706" t="inlineStr">
        <is>
          <t>KARLSBORG</t>
        </is>
      </c>
      <c r="F2706" t="inlineStr">
        <is>
          <t>Övriga statliga verk och myndigheter</t>
        </is>
      </c>
      <c r="G2706" t="n">
        <v>3.6</v>
      </c>
      <c r="H2706" t="n">
        <v>0</v>
      </c>
      <c r="I2706" t="n">
        <v>0</v>
      </c>
      <c r="J2706" t="n">
        <v>0</v>
      </c>
      <c r="K2706" t="n">
        <v>0</v>
      </c>
      <c r="L2706" t="n">
        <v>0</v>
      </c>
      <c r="M2706" t="n">
        <v>0</v>
      </c>
      <c r="N2706" t="n">
        <v>0</v>
      </c>
      <c r="O2706" t="n">
        <v>0</v>
      </c>
      <c r="P2706" t="n">
        <v>0</v>
      </c>
      <c r="Q2706" t="n">
        <v>0</v>
      </c>
      <c r="R2706" s="2" t="inlineStr"/>
    </row>
    <row r="2707" ht="15" customHeight="1">
      <c r="A2707" t="inlineStr">
        <is>
          <t>A 55831-2021</t>
        </is>
      </c>
      <c r="B2707" s="1" t="n">
        <v>44476</v>
      </c>
      <c r="C2707" s="1" t="n">
        <v>45952</v>
      </c>
      <c r="D2707" t="inlineStr">
        <is>
          <t>VÄSTRA GÖTALANDS LÄN</t>
        </is>
      </c>
      <c r="E2707" t="inlineStr">
        <is>
          <t>KARLSBORG</t>
        </is>
      </c>
      <c r="G2707" t="n">
        <v>1.4</v>
      </c>
      <c r="H2707" t="n">
        <v>0</v>
      </c>
      <c r="I2707" t="n">
        <v>0</v>
      </c>
      <c r="J2707" t="n">
        <v>0</v>
      </c>
      <c r="K2707" t="n">
        <v>0</v>
      </c>
      <c r="L2707" t="n">
        <v>0</v>
      </c>
      <c r="M2707" t="n">
        <v>0</v>
      </c>
      <c r="N2707" t="n">
        <v>0</v>
      </c>
      <c r="O2707" t="n">
        <v>0</v>
      </c>
      <c r="P2707" t="n">
        <v>0</v>
      </c>
      <c r="Q2707" t="n">
        <v>0</v>
      </c>
      <c r="R2707" s="2" t="inlineStr"/>
    </row>
    <row r="2708" ht="15" customHeight="1">
      <c r="A2708" t="inlineStr">
        <is>
          <t>A 21730-2022</t>
        </is>
      </c>
      <c r="B2708" s="1" t="n">
        <v>44707</v>
      </c>
      <c r="C2708" s="1" t="n">
        <v>45952</v>
      </c>
      <c r="D2708" t="inlineStr">
        <is>
          <t>VÄSTRA GÖTALANDS LÄN</t>
        </is>
      </c>
      <c r="E2708" t="inlineStr">
        <is>
          <t>FALKÖPING</t>
        </is>
      </c>
      <c r="G2708" t="n">
        <v>0.9</v>
      </c>
      <c r="H2708" t="n">
        <v>0</v>
      </c>
      <c r="I2708" t="n">
        <v>0</v>
      </c>
      <c r="J2708" t="n">
        <v>0</v>
      </c>
      <c r="K2708" t="n">
        <v>0</v>
      </c>
      <c r="L2708" t="n">
        <v>0</v>
      </c>
      <c r="M2708" t="n">
        <v>0</v>
      </c>
      <c r="N2708" t="n">
        <v>0</v>
      </c>
      <c r="O2708" t="n">
        <v>0</v>
      </c>
      <c r="P2708" t="n">
        <v>0</v>
      </c>
      <c r="Q2708" t="n">
        <v>0</v>
      </c>
      <c r="R2708" s="2" t="inlineStr"/>
    </row>
    <row r="2709" ht="15" customHeight="1">
      <c r="A2709" t="inlineStr">
        <is>
          <t>A 40164-2022</t>
        </is>
      </c>
      <c r="B2709" s="1" t="n">
        <v>44818</v>
      </c>
      <c r="C2709" s="1" t="n">
        <v>45952</v>
      </c>
      <c r="D2709" t="inlineStr">
        <is>
          <t>VÄSTRA GÖTALANDS LÄN</t>
        </is>
      </c>
      <c r="E2709" t="inlineStr">
        <is>
          <t>SKARA</t>
        </is>
      </c>
      <c r="G2709" t="n">
        <v>1.3</v>
      </c>
      <c r="H2709" t="n">
        <v>0</v>
      </c>
      <c r="I2709" t="n">
        <v>0</v>
      </c>
      <c r="J2709" t="n">
        <v>0</v>
      </c>
      <c r="K2709" t="n">
        <v>0</v>
      </c>
      <c r="L2709" t="n">
        <v>0</v>
      </c>
      <c r="M2709" t="n">
        <v>0</v>
      </c>
      <c r="N2709" t="n">
        <v>0</v>
      </c>
      <c r="O2709" t="n">
        <v>0</v>
      </c>
      <c r="P2709" t="n">
        <v>0</v>
      </c>
      <c r="Q2709" t="n">
        <v>0</v>
      </c>
      <c r="R2709" s="2" t="inlineStr"/>
    </row>
    <row r="2710" ht="15" customHeight="1">
      <c r="A2710" t="inlineStr">
        <is>
          <t>A 70090-2021</t>
        </is>
      </c>
      <c r="B2710" s="1" t="n">
        <v>44533.553125</v>
      </c>
      <c r="C2710" s="1" t="n">
        <v>45952</v>
      </c>
      <c r="D2710" t="inlineStr">
        <is>
          <t>VÄSTRA GÖTALANDS LÄN</t>
        </is>
      </c>
      <c r="E2710" t="inlineStr">
        <is>
          <t>MARK</t>
        </is>
      </c>
      <c r="G2710" t="n">
        <v>0.6</v>
      </c>
      <c r="H2710" t="n">
        <v>0</v>
      </c>
      <c r="I2710" t="n">
        <v>0</v>
      </c>
      <c r="J2710" t="n">
        <v>0</v>
      </c>
      <c r="K2710" t="n">
        <v>0</v>
      </c>
      <c r="L2710" t="n">
        <v>0</v>
      </c>
      <c r="M2710" t="n">
        <v>0</v>
      </c>
      <c r="N2710" t="n">
        <v>0</v>
      </c>
      <c r="O2710" t="n">
        <v>0</v>
      </c>
      <c r="P2710" t="n">
        <v>0</v>
      </c>
      <c r="Q2710" t="n">
        <v>0</v>
      </c>
      <c r="R2710" s="2" t="inlineStr"/>
    </row>
    <row r="2711" ht="15" customHeight="1">
      <c r="A2711" t="inlineStr">
        <is>
          <t>A 51167-2021</t>
        </is>
      </c>
      <c r="B2711" s="1" t="n">
        <v>44461</v>
      </c>
      <c r="C2711" s="1" t="n">
        <v>45952</v>
      </c>
      <c r="D2711" t="inlineStr">
        <is>
          <t>VÄSTRA GÖTALANDS LÄN</t>
        </is>
      </c>
      <c r="E2711" t="inlineStr">
        <is>
          <t>ALINGSÅS</t>
        </is>
      </c>
      <c r="G2711" t="n">
        <v>0.6</v>
      </c>
      <c r="H2711" t="n">
        <v>0</v>
      </c>
      <c r="I2711" t="n">
        <v>0</v>
      </c>
      <c r="J2711" t="n">
        <v>0</v>
      </c>
      <c r="K2711" t="n">
        <v>0</v>
      </c>
      <c r="L2711" t="n">
        <v>0</v>
      </c>
      <c r="M2711" t="n">
        <v>0</v>
      </c>
      <c r="N2711" t="n">
        <v>0</v>
      </c>
      <c r="O2711" t="n">
        <v>0</v>
      </c>
      <c r="P2711" t="n">
        <v>0</v>
      </c>
      <c r="Q2711" t="n">
        <v>0</v>
      </c>
      <c r="R2711" s="2" t="inlineStr"/>
    </row>
    <row r="2712" ht="15" customHeight="1">
      <c r="A2712" t="inlineStr">
        <is>
          <t>A 27494-2021</t>
        </is>
      </c>
      <c r="B2712" s="1" t="n">
        <v>44351</v>
      </c>
      <c r="C2712" s="1" t="n">
        <v>45952</v>
      </c>
      <c r="D2712" t="inlineStr">
        <is>
          <t>VÄSTRA GÖTALANDS LÄN</t>
        </is>
      </c>
      <c r="E2712" t="inlineStr">
        <is>
          <t>UDDEVALLA</t>
        </is>
      </c>
      <c r="G2712" t="n">
        <v>0.5</v>
      </c>
      <c r="H2712" t="n">
        <v>0</v>
      </c>
      <c r="I2712" t="n">
        <v>0</v>
      </c>
      <c r="J2712" t="n">
        <v>0</v>
      </c>
      <c r="K2712" t="n">
        <v>0</v>
      </c>
      <c r="L2712" t="n">
        <v>0</v>
      </c>
      <c r="M2712" t="n">
        <v>0</v>
      </c>
      <c r="N2712" t="n">
        <v>0</v>
      </c>
      <c r="O2712" t="n">
        <v>0</v>
      </c>
      <c r="P2712" t="n">
        <v>0</v>
      </c>
      <c r="Q2712" t="n">
        <v>0</v>
      </c>
      <c r="R2712" s="2" t="inlineStr"/>
    </row>
    <row r="2713" ht="15" customHeight="1">
      <c r="A2713" t="inlineStr">
        <is>
          <t>A 18613-2021</t>
        </is>
      </c>
      <c r="B2713" s="1" t="n">
        <v>44306</v>
      </c>
      <c r="C2713" s="1" t="n">
        <v>45952</v>
      </c>
      <c r="D2713" t="inlineStr">
        <is>
          <t>VÄSTRA GÖTALANDS LÄN</t>
        </is>
      </c>
      <c r="E2713" t="inlineStr">
        <is>
          <t>BENGTSFORS</t>
        </is>
      </c>
      <c r="G2713" t="n">
        <v>5</v>
      </c>
      <c r="H2713" t="n">
        <v>0</v>
      </c>
      <c r="I2713" t="n">
        <v>0</v>
      </c>
      <c r="J2713" t="n">
        <v>0</v>
      </c>
      <c r="K2713" t="n">
        <v>0</v>
      </c>
      <c r="L2713" t="n">
        <v>0</v>
      </c>
      <c r="M2713" t="n">
        <v>0</v>
      </c>
      <c r="N2713" t="n">
        <v>0</v>
      </c>
      <c r="O2713" t="n">
        <v>0</v>
      </c>
      <c r="P2713" t="n">
        <v>0</v>
      </c>
      <c r="Q2713" t="n">
        <v>0</v>
      </c>
      <c r="R2713" s="2" t="inlineStr"/>
    </row>
    <row r="2714" ht="15" customHeight="1">
      <c r="A2714" t="inlineStr">
        <is>
          <t>A 38061-2022</t>
        </is>
      </c>
      <c r="B2714" s="1" t="n">
        <v>44811</v>
      </c>
      <c r="C2714" s="1" t="n">
        <v>45952</v>
      </c>
      <c r="D2714" t="inlineStr">
        <is>
          <t>VÄSTRA GÖTALANDS LÄN</t>
        </is>
      </c>
      <c r="E2714" t="inlineStr">
        <is>
          <t>GRÄSTORP</t>
        </is>
      </c>
      <c r="G2714" t="n">
        <v>6.7</v>
      </c>
      <c r="H2714" t="n">
        <v>0</v>
      </c>
      <c r="I2714" t="n">
        <v>0</v>
      </c>
      <c r="J2714" t="n">
        <v>0</v>
      </c>
      <c r="K2714" t="n">
        <v>0</v>
      </c>
      <c r="L2714" t="n">
        <v>0</v>
      </c>
      <c r="M2714" t="n">
        <v>0</v>
      </c>
      <c r="N2714" t="n">
        <v>0</v>
      </c>
      <c r="O2714" t="n">
        <v>0</v>
      </c>
      <c r="P2714" t="n">
        <v>0</v>
      </c>
      <c r="Q2714" t="n">
        <v>0</v>
      </c>
      <c r="R2714" s="2" t="inlineStr"/>
    </row>
    <row r="2715" ht="15" customHeight="1">
      <c r="A2715" t="inlineStr">
        <is>
          <t>A 13781-2022</t>
        </is>
      </c>
      <c r="B2715" s="1" t="n">
        <v>44649.52905092593</v>
      </c>
      <c r="C2715" s="1" t="n">
        <v>45952</v>
      </c>
      <c r="D2715" t="inlineStr">
        <is>
          <t>VÄSTRA GÖTALANDS LÄN</t>
        </is>
      </c>
      <c r="E2715" t="inlineStr">
        <is>
          <t>TRANEMO</t>
        </is>
      </c>
      <c r="G2715" t="n">
        <v>3.8</v>
      </c>
      <c r="H2715" t="n">
        <v>0</v>
      </c>
      <c r="I2715" t="n">
        <v>0</v>
      </c>
      <c r="J2715" t="n">
        <v>0</v>
      </c>
      <c r="K2715" t="n">
        <v>0</v>
      </c>
      <c r="L2715" t="n">
        <v>0</v>
      </c>
      <c r="M2715" t="n">
        <v>0</v>
      </c>
      <c r="N2715" t="n">
        <v>0</v>
      </c>
      <c r="O2715" t="n">
        <v>0</v>
      </c>
      <c r="P2715" t="n">
        <v>0</v>
      </c>
      <c r="Q2715" t="n">
        <v>0</v>
      </c>
      <c r="R2715" s="2" t="inlineStr"/>
    </row>
    <row r="2716" ht="15" customHeight="1">
      <c r="A2716" t="inlineStr">
        <is>
          <t>A 34673-2022</t>
        </is>
      </c>
      <c r="B2716" s="1" t="n">
        <v>44795.48535879629</v>
      </c>
      <c r="C2716" s="1" t="n">
        <v>45952</v>
      </c>
      <c r="D2716" t="inlineStr">
        <is>
          <t>VÄSTRA GÖTALANDS LÄN</t>
        </is>
      </c>
      <c r="E2716" t="inlineStr">
        <is>
          <t>KARLSBORG</t>
        </is>
      </c>
      <c r="F2716" t="inlineStr">
        <is>
          <t>Sveaskog</t>
        </is>
      </c>
      <c r="G2716" t="n">
        <v>1</v>
      </c>
      <c r="H2716" t="n">
        <v>0</v>
      </c>
      <c r="I2716" t="n">
        <v>0</v>
      </c>
      <c r="J2716" t="n">
        <v>0</v>
      </c>
      <c r="K2716" t="n">
        <v>0</v>
      </c>
      <c r="L2716" t="n">
        <v>0</v>
      </c>
      <c r="M2716" t="n">
        <v>0</v>
      </c>
      <c r="N2716" t="n">
        <v>0</v>
      </c>
      <c r="O2716" t="n">
        <v>0</v>
      </c>
      <c r="P2716" t="n">
        <v>0</v>
      </c>
      <c r="Q2716" t="n">
        <v>0</v>
      </c>
      <c r="R2716" s="2" t="inlineStr"/>
    </row>
    <row r="2717" ht="15" customHeight="1">
      <c r="A2717" t="inlineStr">
        <is>
          <t>A 44965-2021</t>
        </is>
      </c>
      <c r="B2717" s="1" t="n">
        <v>44438.72671296296</v>
      </c>
      <c r="C2717" s="1" t="n">
        <v>45952</v>
      </c>
      <c r="D2717" t="inlineStr">
        <is>
          <t>VÄSTRA GÖTALANDS LÄN</t>
        </is>
      </c>
      <c r="E2717" t="inlineStr">
        <is>
          <t>HJO</t>
        </is>
      </c>
      <c r="G2717" t="n">
        <v>1</v>
      </c>
      <c r="H2717" t="n">
        <v>0</v>
      </c>
      <c r="I2717" t="n">
        <v>0</v>
      </c>
      <c r="J2717" t="n">
        <v>0</v>
      </c>
      <c r="K2717" t="n">
        <v>0</v>
      </c>
      <c r="L2717" t="n">
        <v>0</v>
      </c>
      <c r="M2717" t="n">
        <v>0</v>
      </c>
      <c r="N2717" t="n">
        <v>0</v>
      </c>
      <c r="O2717" t="n">
        <v>0</v>
      </c>
      <c r="P2717" t="n">
        <v>0</v>
      </c>
      <c r="Q2717" t="n">
        <v>0</v>
      </c>
      <c r="R2717" s="2" t="inlineStr"/>
    </row>
    <row r="2718" ht="15" customHeight="1">
      <c r="A2718" t="inlineStr">
        <is>
          <t>A 67657-2021</t>
        </is>
      </c>
      <c r="B2718" s="1" t="n">
        <v>44524.80753472223</v>
      </c>
      <c r="C2718" s="1" t="n">
        <v>45952</v>
      </c>
      <c r="D2718" t="inlineStr">
        <is>
          <t>VÄSTRA GÖTALANDS LÄN</t>
        </is>
      </c>
      <c r="E2718" t="inlineStr">
        <is>
          <t>ULRICEHAMN</t>
        </is>
      </c>
      <c r="G2718" t="n">
        <v>0.6</v>
      </c>
      <c r="H2718" t="n">
        <v>0</v>
      </c>
      <c r="I2718" t="n">
        <v>0</v>
      </c>
      <c r="J2718" t="n">
        <v>0</v>
      </c>
      <c r="K2718" t="n">
        <v>0</v>
      </c>
      <c r="L2718" t="n">
        <v>0</v>
      </c>
      <c r="M2718" t="n">
        <v>0</v>
      </c>
      <c r="N2718" t="n">
        <v>0</v>
      </c>
      <c r="O2718" t="n">
        <v>0</v>
      </c>
      <c r="P2718" t="n">
        <v>0</v>
      </c>
      <c r="Q2718" t="n">
        <v>0</v>
      </c>
      <c r="R2718" s="2" t="inlineStr"/>
    </row>
    <row r="2719" ht="15" customHeight="1">
      <c r="A2719" t="inlineStr">
        <is>
          <t>A 8913-2021</t>
        </is>
      </c>
      <c r="B2719" s="1" t="n">
        <v>44246</v>
      </c>
      <c r="C2719" s="1" t="n">
        <v>45952</v>
      </c>
      <c r="D2719" t="inlineStr">
        <is>
          <t>VÄSTRA GÖTALANDS LÄN</t>
        </is>
      </c>
      <c r="E2719" t="inlineStr">
        <is>
          <t>MUNKEDAL</t>
        </is>
      </c>
      <c r="F2719" t="inlineStr">
        <is>
          <t>Övriga Aktiebolag</t>
        </is>
      </c>
      <c r="G2719" t="n">
        <v>5.9</v>
      </c>
      <c r="H2719" t="n">
        <v>0</v>
      </c>
      <c r="I2719" t="n">
        <v>0</v>
      </c>
      <c r="J2719" t="n">
        <v>0</v>
      </c>
      <c r="K2719" t="n">
        <v>0</v>
      </c>
      <c r="L2719" t="n">
        <v>0</v>
      </c>
      <c r="M2719" t="n">
        <v>0</v>
      </c>
      <c r="N2719" t="n">
        <v>0</v>
      </c>
      <c r="O2719" t="n">
        <v>0</v>
      </c>
      <c r="P2719" t="n">
        <v>0</v>
      </c>
      <c r="Q2719" t="n">
        <v>0</v>
      </c>
      <c r="R2719" s="2" t="inlineStr"/>
    </row>
    <row r="2720" ht="15" customHeight="1">
      <c r="A2720" t="inlineStr">
        <is>
          <t>A 7524-2022</t>
        </is>
      </c>
      <c r="B2720" s="1" t="n">
        <v>44607.49695601852</v>
      </c>
      <c r="C2720" s="1" t="n">
        <v>45952</v>
      </c>
      <c r="D2720" t="inlineStr">
        <is>
          <t>VÄSTRA GÖTALANDS LÄN</t>
        </is>
      </c>
      <c r="E2720" t="inlineStr">
        <is>
          <t>MUNKEDAL</t>
        </is>
      </c>
      <c r="G2720" t="n">
        <v>8.9</v>
      </c>
      <c r="H2720" t="n">
        <v>0</v>
      </c>
      <c r="I2720" t="n">
        <v>0</v>
      </c>
      <c r="J2720" t="n">
        <v>0</v>
      </c>
      <c r="K2720" t="n">
        <v>0</v>
      </c>
      <c r="L2720" t="n">
        <v>0</v>
      </c>
      <c r="M2720" t="n">
        <v>0</v>
      </c>
      <c r="N2720" t="n">
        <v>0</v>
      </c>
      <c r="O2720" t="n">
        <v>0</v>
      </c>
      <c r="P2720" t="n">
        <v>0</v>
      </c>
      <c r="Q2720" t="n">
        <v>0</v>
      </c>
      <c r="R2720" s="2" t="inlineStr"/>
    </row>
    <row r="2721" ht="15" customHeight="1">
      <c r="A2721" t="inlineStr">
        <is>
          <t>A 51980-2021</t>
        </is>
      </c>
      <c r="B2721" s="1" t="n">
        <v>44463</v>
      </c>
      <c r="C2721" s="1" t="n">
        <v>45952</v>
      </c>
      <c r="D2721" t="inlineStr">
        <is>
          <t>VÄSTRA GÖTALANDS LÄN</t>
        </is>
      </c>
      <c r="E2721" t="inlineStr">
        <is>
          <t>BORÅS</t>
        </is>
      </c>
      <c r="G2721" t="n">
        <v>2.1</v>
      </c>
      <c r="H2721" t="n">
        <v>0</v>
      </c>
      <c r="I2721" t="n">
        <v>0</v>
      </c>
      <c r="J2721" t="n">
        <v>0</v>
      </c>
      <c r="K2721" t="n">
        <v>0</v>
      </c>
      <c r="L2721" t="n">
        <v>0</v>
      </c>
      <c r="M2721" t="n">
        <v>0</v>
      </c>
      <c r="N2721" t="n">
        <v>0</v>
      </c>
      <c r="O2721" t="n">
        <v>0</v>
      </c>
      <c r="P2721" t="n">
        <v>0</v>
      </c>
      <c r="Q2721" t="n">
        <v>0</v>
      </c>
      <c r="R2721" s="2" t="inlineStr"/>
    </row>
    <row r="2722" ht="15" customHeight="1">
      <c r="A2722" t="inlineStr">
        <is>
          <t>A 1490-2021</t>
        </is>
      </c>
      <c r="B2722" s="1" t="n">
        <v>44209</v>
      </c>
      <c r="C2722" s="1" t="n">
        <v>45952</v>
      </c>
      <c r="D2722" t="inlineStr">
        <is>
          <t>VÄSTRA GÖTALANDS LÄN</t>
        </is>
      </c>
      <c r="E2722" t="inlineStr">
        <is>
          <t>TRANEMO</t>
        </is>
      </c>
      <c r="G2722" t="n">
        <v>2.3</v>
      </c>
      <c r="H2722" t="n">
        <v>0</v>
      </c>
      <c r="I2722" t="n">
        <v>0</v>
      </c>
      <c r="J2722" t="n">
        <v>0</v>
      </c>
      <c r="K2722" t="n">
        <v>0</v>
      </c>
      <c r="L2722" t="n">
        <v>0</v>
      </c>
      <c r="M2722" t="n">
        <v>0</v>
      </c>
      <c r="N2722" t="n">
        <v>0</v>
      </c>
      <c r="O2722" t="n">
        <v>0</v>
      </c>
      <c r="P2722" t="n">
        <v>0</v>
      </c>
      <c r="Q2722" t="n">
        <v>0</v>
      </c>
      <c r="R2722" s="2" t="inlineStr"/>
    </row>
    <row r="2723" ht="15" customHeight="1">
      <c r="A2723" t="inlineStr">
        <is>
          <t>A 8028-2021</t>
        </is>
      </c>
      <c r="B2723" s="1" t="n">
        <v>44243</v>
      </c>
      <c r="C2723" s="1" t="n">
        <v>45952</v>
      </c>
      <c r="D2723" t="inlineStr">
        <is>
          <t>VÄSTRA GÖTALANDS LÄN</t>
        </is>
      </c>
      <c r="E2723" t="inlineStr">
        <is>
          <t>VÅRGÅRDA</t>
        </is>
      </c>
      <c r="G2723" t="n">
        <v>0.7</v>
      </c>
      <c r="H2723" t="n">
        <v>0</v>
      </c>
      <c r="I2723" t="n">
        <v>0</v>
      </c>
      <c r="J2723" t="n">
        <v>0</v>
      </c>
      <c r="K2723" t="n">
        <v>0</v>
      </c>
      <c r="L2723" t="n">
        <v>0</v>
      </c>
      <c r="M2723" t="n">
        <v>0</v>
      </c>
      <c r="N2723" t="n">
        <v>0</v>
      </c>
      <c r="O2723" t="n">
        <v>0</v>
      </c>
      <c r="P2723" t="n">
        <v>0</v>
      </c>
      <c r="Q2723" t="n">
        <v>0</v>
      </c>
      <c r="R2723" s="2" t="inlineStr"/>
    </row>
    <row r="2724" ht="15" customHeight="1">
      <c r="A2724" t="inlineStr">
        <is>
          <t>A 73292-2021</t>
        </is>
      </c>
      <c r="B2724" s="1" t="n">
        <v>44550</v>
      </c>
      <c r="C2724" s="1" t="n">
        <v>45952</v>
      </c>
      <c r="D2724" t="inlineStr">
        <is>
          <t>VÄSTRA GÖTALANDS LÄN</t>
        </is>
      </c>
      <c r="E2724" t="inlineStr">
        <is>
          <t>ORUST</t>
        </is>
      </c>
      <c r="G2724" t="n">
        <v>2.3</v>
      </c>
      <c r="H2724" t="n">
        <v>0</v>
      </c>
      <c r="I2724" t="n">
        <v>0</v>
      </c>
      <c r="J2724" t="n">
        <v>0</v>
      </c>
      <c r="K2724" t="n">
        <v>0</v>
      </c>
      <c r="L2724" t="n">
        <v>0</v>
      </c>
      <c r="M2724" t="n">
        <v>0</v>
      </c>
      <c r="N2724" t="n">
        <v>0</v>
      </c>
      <c r="O2724" t="n">
        <v>0</v>
      </c>
      <c r="P2724" t="n">
        <v>0</v>
      </c>
      <c r="Q2724" t="n">
        <v>0</v>
      </c>
      <c r="R2724" s="2" t="inlineStr"/>
    </row>
    <row r="2725" ht="15" customHeight="1">
      <c r="A2725" t="inlineStr">
        <is>
          <t>A 6969-2022</t>
        </is>
      </c>
      <c r="B2725" s="1" t="n">
        <v>44603.37188657407</v>
      </c>
      <c r="C2725" s="1" t="n">
        <v>45952</v>
      </c>
      <c r="D2725" t="inlineStr">
        <is>
          <t>VÄSTRA GÖTALANDS LÄN</t>
        </is>
      </c>
      <c r="E2725" t="inlineStr">
        <is>
          <t>GÖTENE</t>
        </is>
      </c>
      <c r="G2725" t="n">
        <v>0.6</v>
      </c>
      <c r="H2725" t="n">
        <v>0</v>
      </c>
      <c r="I2725" t="n">
        <v>0</v>
      </c>
      <c r="J2725" t="n">
        <v>0</v>
      </c>
      <c r="K2725" t="n">
        <v>0</v>
      </c>
      <c r="L2725" t="n">
        <v>0</v>
      </c>
      <c r="M2725" t="n">
        <v>0</v>
      </c>
      <c r="N2725" t="n">
        <v>0</v>
      </c>
      <c r="O2725" t="n">
        <v>0</v>
      </c>
      <c r="P2725" t="n">
        <v>0</v>
      </c>
      <c r="Q2725" t="n">
        <v>0</v>
      </c>
      <c r="R2725" s="2" t="inlineStr"/>
    </row>
    <row r="2726" ht="15" customHeight="1">
      <c r="A2726" t="inlineStr">
        <is>
          <t>A 35449-2021</t>
        </is>
      </c>
      <c r="B2726" s="1" t="n">
        <v>44385.52923611111</v>
      </c>
      <c r="C2726" s="1" t="n">
        <v>45952</v>
      </c>
      <c r="D2726" t="inlineStr">
        <is>
          <t>VÄSTRA GÖTALANDS LÄN</t>
        </is>
      </c>
      <c r="E2726" t="inlineStr">
        <is>
          <t>MUNKEDAL</t>
        </is>
      </c>
      <c r="G2726" t="n">
        <v>0.6</v>
      </c>
      <c r="H2726" t="n">
        <v>0</v>
      </c>
      <c r="I2726" t="n">
        <v>0</v>
      </c>
      <c r="J2726" t="n">
        <v>0</v>
      </c>
      <c r="K2726" t="n">
        <v>0</v>
      </c>
      <c r="L2726" t="n">
        <v>0</v>
      </c>
      <c r="M2726" t="n">
        <v>0</v>
      </c>
      <c r="N2726" t="n">
        <v>0</v>
      </c>
      <c r="O2726" t="n">
        <v>0</v>
      </c>
      <c r="P2726" t="n">
        <v>0</v>
      </c>
      <c r="Q2726" t="n">
        <v>0</v>
      </c>
      <c r="R2726" s="2" t="inlineStr"/>
    </row>
    <row r="2727" ht="15" customHeight="1">
      <c r="A2727" t="inlineStr">
        <is>
          <t>A 3392-2021</t>
        </is>
      </c>
      <c r="B2727" s="1" t="n">
        <v>44218</v>
      </c>
      <c r="C2727" s="1" t="n">
        <v>45952</v>
      </c>
      <c r="D2727" t="inlineStr">
        <is>
          <t>VÄSTRA GÖTALANDS LÄN</t>
        </is>
      </c>
      <c r="E2727" t="inlineStr">
        <is>
          <t>ULRICEHAMN</t>
        </is>
      </c>
      <c r="G2727" t="n">
        <v>9.1</v>
      </c>
      <c r="H2727" t="n">
        <v>0</v>
      </c>
      <c r="I2727" t="n">
        <v>0</v>
      </c>
      <c r="J2727" t="n">
        <v>0</v>
      </c>
      <c r="K2727" t="n">
        <v>0</v>
      </c>
      <c r="L2727" t="n">
        <v>0</v>
      </c>
      <c r="M2727" t="n">
        <v>0</v>
      </c>
      <c r="N2727" t="n">
        <v>0</v>
      </c>
      <c r="O2727" t="n">
        <v>0</v>
      </c>
      <c r="P2727" t="n">
        <v>0</v>
      </c>
      <c r="Q2727" t="n">
        <v>0</v>
      </c>
      <c r="R2727" s="2" t="inlineStr"/>
    </row>
    <row r="2728" ht="15" customHeight="1">
      <c r="A2728" t="inlineStr">
        <is>
          <t>A 67764-2020</t>
        </is>
      </c>
      <c r="B2728" s="1" t="n">
        <v>44181</v>
      </c>
      <c r="C2728" s="1" t="n">
        <v>45952</v>
      </c>
      <c r="D2728" t="inlineStr">
        <is>
          <t>VÄSTRA GÖTALANDS LÄN</t>
        </is>
      </c>
      <c r="E2728" t="inlineStr">
        <is>
          <t>LIDKÖPING</t>
        </is>
      </c>
      <c r="G2728" t="n">
        <v>0.4</v>
      </c>
      <c r="H2728" t="n">
        <v>0</v>
      </c>
      <c r="I2728" t="n">
        <v>0</v>
      </c>
      <c r="J2728" t="n">
        <v>0</v>
      </c>
      <c r="K2728" t="n">
        <v>0</v>
      </c>
      <c r="L2728" t="n">
        <v>0</v>
      </c>
      <c r="M2728" t="n">
        <v>0</v>
      </c>
      <c r="N2728" t="n">
        <v>0</v>
      </c>
      <c r="O2728" t="n">
        <v>0</v>
      </c>
      <c r="P2728" t="n">
        <v>0</v>
      </c>
      <c r="Q2728" t="n">
        <v>0</v>
      </c>
      <c r="R2728" s="2" t="inlineStr"/>
    </row>
    <row r="2729" ht="15" customHeight="1">
      <c r="A2729" t="inlineStr">
        <is>
          <t>A 20869-2021</t>
        </is>
      </c>
      <c r="B2729" s="1" t="n">
        <v>44319</v>
      </c>
      <c r="C2729" s="1" t="n">
        <v>45952</v>
      </c>
      <c r="D2729" t="inlineStr">
        <is>
          <t>VÄSTRA GÖTALANDS LÄN</t>
        </is>
      </c>
      <c r="E2729" t="inlineStr">
        <is>
          <t>BORÅS</t>
        </is>
      </c>
      <c r="G2729" t="n">
        <v>2.1</v>
      </c>
      <c r="H2729" t="n">
        <v>0</v>
      </c>
      <c r="I2729" t="n">
        <v>0</v>
      </c>
      <c r="J2729" t="n">
        <v>0</v>
      </c>
      <c r="K2729" t="n">
        <v>0</v>
      </c>
      <c r="L2729" t="n">
        <v>0</v>
      </c>
      <c r="M2729" t="n">
        <v>0</v>
      </c>
      <c r="N2729" t="n">
        <v>0</v>
      </c>
      <c r="O2729" t="n">
        <v>0</v>
      </c>
      <c r="P2729" t="n">
        <v>0</v>
      </c>
      <c r="Q2729" t="n">
        <v>0</v>
      </c>
      <c r="R2729" s="2" t="inlineStr"/>
    </row>
    <row r="2730" ht="15" customHeight="1">
      <c r="A2730" t="inlineStr">
        <is>
          <t>A 12802-2022</t>
        </is>
      </c>
      <c r="B2730" s="1" t="n">
        <v>44642</v>
      </c>
      <c r="C2730" s="1" t="n">
        <v>45952</v>
      </c>
      <c r="D2730" t="inlineStr">
        <is>
          <t>VÄSTRA GÖTALANDS LÄN</t>
        </is>
      </c>
      <c r="E2730" t="inlineStr">
        <is>
          <t>BORÅS</t>
        </is>
      </c>
      <c r="G2730" t="n">
        <v>1.7</v>
      </c>
      <c r="H2730" t="n">
        <v>0</v>
      </c>
      <c r="I2730" t="n">
        <v>0</v>
      </c>
      <c r="J2730" t="n">
        <v>0</v>
      </c>
      <c r="K2730" t="n">
        <v>0</v>
      </c>
      <c r="L2730" t="n">
        <v>0</v>
      </c>
      <c r="M2730" t="n">
        <v>0</v>
      </c>
      <c r="N2730" t="n">
        <v>0</v>
      </c>
      <c r="O2730" t="n">
        <v>0</v>
      </c>
      <c r="P2730" t="n">
        <v>0</v>
      </c>
      <c r="Q2730" t="n">
        <v>0</v>
      </c>
      <c r="R2730" s="2" t="inlineStr"/>
    </row>
    <row r="2731" ht="15" customHeight="1">
      <c r="A2731" t="inlineStr">
        <is>
          <t>A 68875-2021</t>
        </is>
      </c>
      <c r="B2731" s="1" t="n">
        <v>44530.42803240741</v>
      </c>
      <c r="C2731" s="1" t="n">
        <v>45952</v>
      </c>
      <c r="D2731" t="inlineStr">
        <is>
          <t>VÄSTRA GÖTALANDS LÄN</t>
        </is>
      </c>
      <c r="E2731" t="inlineStr">
        <is>
          <t>FALKÖPING</t>
        </is>
      </c>
      <c r="G2731" t="n">
        <v>3.2</v>
      </c>
      <c r="H2731" t="n">
        <v>0</v>
      </c>
      <c r="I2731" t="n">
        <v>0</v>
      </c>
      <c r="J2731" t="n">
        <v>0</v>
      </c>
      <c r="K2731" t="n">
        <v>0</v>
      </c>
      <c r="L2731" t="n">
        <v>0</v>
      </c>
      <c r="M2731" t="n">
        <v>0</v>
      </c>
      <c r="N2731" t="n">
        <v>0</v>
      </c>
      <c r="O2731" t="n">
        <v>0</v>
      </c>
      <c r="P2731" t="n">
        <v>0</v>
      </c>
      <c r="Q2731" t="n">
        <v>0</v>
      </c>
      <c r="R2731" s="2" t="inlineStr"/>
    </row>
    <row r="2732" ht="15" customHeight="1">
      <c r="A2732" t="inlineStr">
        <is>
          <t>A 12884-2022</t>
        </is>
      </c>
      <c r="B2732" s="1" t="n">
        <v>44642.57876157408</v>
      </c>
      <c r="C2732" s="1" t="n">
        <v>45952</v>
      </c>
      <c r="D2732" t="inlineStr">
        <is>
          <t>VÄSTRA GÖTALANDS LÄN</t>
        </is>
      </c>
      <c r="E2732" t="inlineStr">
        <is>
          <t>ALINGSÅS</t>
        </is>
      </c>
      <c r="G2732" t="n">
        <v>0.5</v>
      </c>
      <c r="H2732" t="n">
        <v>0</v>
      </c>
      <c r="I2732" t="n">
        <v>0</v>
      </c>
      <c r="J2732" t="n">
        <v>0</v>
      </c>
      <c r="K2732" t="n">
        <v>0</v>
      </c>
      <c r="L2732" t="n">
        <v>0</v>
      </c>
      <c r="M2732" t="n">
        <v>0</v>
      </c>
      <c r="N2732" t="n">
        <v>0</v>
      </c>
      <c r="O2732" t="n">
        <v>0</v>
      </c>
      <c r="P2732" t="n">
        <v>0</v>
      </c>
      <c r="Q2732" t="n">
        <v>0</v>
      </c>
      <c r="R2732" s="2" t="inlineStr"/>
    </row>
    <row r="2733" ht="15" customHeight="1">
      <c r="A2733" t="inlineStr">
        <is>
          <t>A 63257-2021</t>
        </is>
      </c>
      <c r="B2733" s="1" t="n">
        <v>44508</v>
      </c>
      <c r="C2733" s="1" t="n">
        <v>45952</v>
      </c>
      <c r="D2733" t="inlineStr">
        <is>
          <t>VÄSTRA GÖTALANDS LÄN</t>
        </is>
      </c>
      <c r="E2733" t="inlineStr">
        <is>
          <t>HJO</t>
        </is>
      </c>
      <c r="G2733" t="n">
        <v>1.6</v>
      </c>
      <c r="H2733" t="n">
        <v>0</v>
      </c>
      <c r="I2733" t="n">
        <v>0</v>
      </c>
      <c r="J2733" t="n">
        <v>0</v>
      </c>
      <c r="K2733" t="n">
        <v>0</v>
      </c>
      <c r="L2733" t="n">
        <v>0</v>
      </c>
      <c r="M2733" t="n">
        <v>0</v>
      </c>
      <c r="N2733" t="n">
        <v>0</v>
      </c>
      <c r="O2733" t="n">
        <v>0</v>
      </c>
      <c r="P2733" t="n">
        <v>0</v>
      </c>
      <c r="Q2733" t="n">
        <v>0</v>
      </c>
      <c r="R2733" s="2" t="inlineStr"/>
    </row>
    <row r="2734" ht="15" customHeight="1">
      <c r="A2734" t="inlineStr">
        <is>
          <t>A 10129-2021</t>
        </is>
      </c>
      <c r="B2734" s="1" t="n">
        <v>44256</v>
      </c>
      <c r="C2734" s="1" t="n">
        <v>45952</v>
      </c>
      <c r="D2734" t="inlineStr">
        <is>
          <t>VÄSTRA GÖTALANDS LÄN</t>
        </is>
      </c>
      <c r="E2734" t="inlineStr">
        <is>
          <t>MARIESTAD</t>
        </is>
      </c>
      <c r="G2734" t="n">
        <v>0.6</v>
      </c>
      <c r="H2734" t="n">
        <v>0</v>
      </c>
      <c r="I2734" t="n">
        <v>0</v>
      </c>
      <c r="J2734" t="n">
        <v>0</v>
      </c>
      <c r="K2734" t="n">
        <v>0</v>
      </c>
      <c r="L2734" t="n">
        <v>0</v>
      </c>
      <c r="M2734" t="n">
        <v>0</v>
      </c>
      <c r="N2734" t="n">
        <v>0</v>
      </c>
      <c r="O2734" t="n">
        <v>0</v>
      </c>
      <c r="P2734" t="n">
        <v>0</v>
      </c>
      <c r="Q2734" t="n">
        <v>0</v>
      </c>
      <c r="R2734" s="2" t="inlineStr"/>
    </row>
    <row r="2735" ht="15" customHeight="1">
      <c r="A2735" t="inlineStr">
        <is>
          <t>A 8830-2021</t>
        </is>
      </c>
      <c r="B2735" s="1" t="n">
        <v>44246</v>
      </c>
      <c r="C2735" s="1" t="n">
        <v>45952</v>
      </c>
      <c r="D2735" t="inlineStr">
        <is>
          <t>VÄSTRA GÖTALANDS LÄN</t>
        </is>
      </c>
      <c r="E2735" t="inlineStr">
        <is>
          <t>LILLA EDET</t>
        </is>
      </c>
      <c r="G2735" t="n">
        <v>1.5</v>
      </c>
      <c r="H2735" t="n">
        <v>0</v>
      </c>
      <c r="I2735" t="n">
        <v>0</v>
      </c>
      <c r="J2735" t="n">
        <v>0</v>
      </c>
      <c r="K2735" t="n">
        <v>0</v>
      </c>
      <c r="L2735" t="n">
        <v>0</v>
      </c>
      <c r="M2735" t="n">
        <v>0</v>
      </c>
      <c r="N2735" t="n">
        <v>0</v>
      </c>
      <c r="O2735" t="n">
        <v>0</v>
      </c>
      <c r="P2735" t="n">
        <v>0</v>
      </c>
      <c r="Q2735" t="n">
        <v>0</v>
      </c>
      <c r="R2735" s="2" t="inlineStr"/>
    </row>
    <row r="2736" ht="15" customHeight="1">
      <c r="A2736" t="inlineStr">
        <is>
          <t>A 5023-2021</t>
        </is>
      </c>
      <c r="B2736" s="1" t="n">
        <v>44228</v>
      </c>
      <c r="C2736" s="1" t="n">
        <v>45952</v>
      </c>
      <c r="D2736" t="inlineStr">
        <is>
          <t>VÄSTRA GÖTALANDS LÄN</t>
        </is>
      </c>
      <c r="E2736" t="inlineStr">
        <is>
          <t>TRANEMO</t>
        </is>
      </c>
      <c r="G2736" t="n">
        <v>0.6</v>
      </c>
      <c r="H2736" t="n">
        <v>0</v>
      </c>
      <c r="I2736" t="n">
        <v>0</v>
      </c>
      <c r="J2736" t="n">
        <v>0</v>
      </c>
      <c r="K2736" t="n">
        <v>0</v>
      </c>
      <c r="L2736" t="n">
        <v>0</v>
      </c>
      <c r="M2736" t="n">
        <v>0</v>
      </c>
      <c r="N2736" t="n">
        <v>0</v>
      </c>
      <c r="O2736" t="n">
        <v>0</v>
      </c>
      <c r="P2736" t="n">
        <v>0</v>
      </c>
      <c r="Q2736" t="n">
        <v>0</v>
      </c>
      <c r="R2736" s="2" t="inlineStr"/>
    </row>
    <row r="2737" ht="15" customHeight="1">
      <c r="A2737" t="inlineStr">
        <is>
          <t>A 41420-2022</t>
        </is>
      </c>
      <c r="B2737" s="1" t="n">
        <v>44826.6478125</v>
      </c>
      <c r="C2737" s="1" t="n">
        <v>45952</v>
      </c>
      <c r="D2737" t="inlineStr">
        <is>
          <t>VÄSTRA GÖTALANDS LÄN</t>
        </is>
      </c>
      <c r="E2737" t="inlineStr">
        <is>
          <t>LILLA EDET</t>
        </is>
      </c>
      <c r="G2737" t="n">
        <v>2</v>
      </c>
      <c r="H2737" t="n">
        <v>0</v>
      </c>
      <c r="I2737" t="n">
        <v>0</v>
      </c>
      <c r="J2737" t="n">
        <v>0</v>
      </c>
      <c r="K2737" t="n">
        <v>0</v>
      </c>
      <c r="L2737" t="n">
        <v>0</v>
      </c>
      <c r="M2737" t="n">
        <v>0</v>
      </c>
      <c r="N2737" t="n">
        <v>0</v>
      </c>
      <c r="O2737" t="n">
        <v>0</v>
      </c>
      <c r="P2737" t="n">
        <v>0</v>
      </c>
      <c r="Q2737" t="n">
        <v>0</v>
      </c>
      <c r="R2737" s="2" t="inlineStr"/>
    </row>
    <row r="2738" ht="15" customHeight="1">
      <c r="A2738" t="inlineStr">
        <is>
          <t>A 65106-2021</t>
        </is>
      </c>
      <c r="B2738" s="1" t="n">
        <v>44515.4025925926</v>
      </c>
      <c r="C2738" s="1" t="n">
        <v>45952</v>
      </c>
      <c r="D2738" t="inlineStr">
        <is>
          <t>VÄSTRA GÖTALANDS LÄN</t>
        </is>
      </c>
      <c r="E2738" t="inlineStr">
        <is>
          <t>SVENLJUNGA</t>
        </is>
      </c>
      <c r="G2738" t="n">
        <v>3.6</v>
      </c>
      <c r="H2738" t="n">
        <v>0</v>
      </c>
      <c r="I2738" t="n">
        <v>0</v>
      </c>
      <c r="J2738" t="n">
        <v>0</v>
      </c>
      <c r="K2738" t="n">
        <v>0</v>
      </c>
      <c r="L2738" t="n">
        <v>0</v>
      </c>
      <c r="M2738" t="n">
        <v>0</v>
      </c>
      <c r="N2738" t="n">
        <v>0</v>
      </c>
      <c r="O2738" t="n">
        <v>0</v>
      </c>
      <c r="P2738" t="n">
        <v>0</v>
      </c>
      <c r="Q2738" t="n">
        <v>0</v>
      </c>
      <c r="R2738" s="2" t="inlineStr"/>
    </row>
    <row r="2739" ht="15" customHeight="1">
      <c r="A2739" t="inlineStr">
        <is>
          <t>A 65112-2021</t>
        </is>
      </c>
      <c r="B2739" s="1" t="n">
        <v>44515.4119212963</v>
      </c>
      <c r="C2739" s="1" t="n">
        <v>45952</v>
      </c>
      <c r="D2739" t="inlineStr">
        <is>
          <t>VÄSTRA GÖTALANDS LÄN</t>
        </is>
      </c>
      <c r="E2739" t="inlineStr">
        <is>
          <t>TIBRO</t>
        </is>
      </c>
      <c r="G2739" t="n">
        <v>0.8</v>
      </c>
      <c r="H2739" t="n">
        <v>0</v>
      </c>
      <c r="I2739" t="n">
        <v>0</v>
      </c>
      <c r="J2739" t="n">
        <v>0</v>
      </c>
      <c r="K2739" t="n">
        <v>0</v>
      </c>
      <c r="L2739" t="n">
        <v>0</v>
      </c>
      <c r="M2739" t="n">
        <v>0</v>
      </c>
      <c r="N2739" t="n">
        <v>0</v>
      </c>
      <c r="O2739" t="n">
        <v>0</v>
      </c>
      <c r="P2739" t="n">
        <v>0</v>
      </c>
      <c r="Q2739" t="n">
        <v>0</v>
      </c>
      <c r="R2739" s="2" t="inlineStr"/>
    </row>
    <row r="2740" ht="15" customHeight="1">
      <c r="A2740" t="inlineStr">
        <is>
          <t>A 65113-2021</t>
        </is>
      </c>
      <c r="B2740" s="1" t="n">
        <v>44515.41208333334</v>
      </c>
      <c r="C2740" s="1" t="n">
        <v>45952</v>
      </c>
      <c r="D2740" t="inlineStr">
        <is>
          <t>VÄSTRA GÖTALANDS LÄN</t>
        </is>
      </c>
      <c r="E2740" t="inlineStr">
        <is>
          <t>SVENLJUNGA</t>
        </is>
      </c>
      <c r="G2740" t="n">
        <v>0.8</v>
      </c>
      <c r="H2740" t="n">
        <v>0</v>
      </c>
      <c r="I2740" t="n">
        <v>0</v>
      </c>
      <c r="J2740" t="n">
        <v>0</v>
      </c>
      <c r="K2740" t="n">
        <v>0</v>
      </c>
      <c r="L2740" t="n">
        <v>0</v>
      </c>
      <c r="M2740" t="n">
        <v>0</v>
      </c>
      <c r="N2740" t="n">
        <v>0</v>
      </c>
      <c r="O2740" t="n">
        <v>0</v>
      </c>
      <c r="P2740" t="n">
        <v>0</v>
      </c>
      <c r="Q2740" t="n">
        <v>0</v>
      </c>
      <c r="R2740" s="2" t="inlineStr"/>
    </row>
    <row r="2741" ht="15" customHeight="1">
      <c r="A2741" t="inlineStr">
        <is>
          <t>A 69052-2020</t>
        </is>
      </c>
      <c r="B2741" s="1" t="n">
        <v>44188</v>
      </c>
      <c r="C2741" s="1" t="n">
        <v>45952</v>
      </c>
      <c r="D2741" t="inlineStr">
        <is>
          <t>VÄSTRA GÖTALANDS LÄN</t>
        </is>
      </c>
      <c r="E2741" t="inlineStr">
        <is>
          <t>SKARA</t>
        </is>
      </c>
      <c r="G2741" t="n">
        <v>0.7</v>
      </c>
      <c r="H2741" t="n">
        <v>0</v>
      </c>
      <c r="I2741" t="n">
        <v>0</v>
      </c>
      <c r="J2741" t="n">
        <v>0</v>
      </c>
      <c r="K2741" t="n">
        <v>0</v>
      </c>
      <c r="L2741" t="n">
        <v>0</v>
      </c>
      <c r="M2741" t="n">
        <v>0</v>
      </c>
      <c r="N2741" t="n">
        <v>0</v>
      </c>
      <c r="O2741" t="n">
        <v>0</v>
      </c>
      <c r="P2741" t="n">
        <v>0</v>
      </c>
      <c r="Q2741" t="n">
        <v>0</v>
      </c>
      <c r="R2741" s="2" t="inlineStr"/>
    </row>
    <row r="2742" ht="15" customHeight="1">
      <c r="A2742" t="inlineStr">
        <is>
          <t>A 69156-2020</t>
        </is>
      </c>
      <c r="B2742" s="1" t="n">
        <v>44188</v>
      </c>
      <c r="C2742" s="1" t="n">
        <v>45952</v>
      </c>
      <c r="D2742" t="inlineStr">
        <is>
          <t>VÄSTRA GÖTALANDS LÄN</t>
        </is>
      </c>
      <c r="E2742" t="inlineStr">
        <is>
          <t>SKÖVDE</t>
        </is>
      </c>
      <c r="G2742" t="n">
        <v>4.4</v>
      </c>
      <c r="H2742" t="n">
        <v>0</v>
      </c>
      <c r="I2742" t="n">
        <v>0</v>
      </c>
      <c r="J2742" t="n">
        <v>0</v>
      </c>
      <c r="K2742" t="n">
        <v>0</v>
      </c>
      <c r="L2742" t="n">
        <v>0</v>
      </c>
      <c r="M2742" t="n">
        <v>0</v>
      </c>
      <c r="N2742" t="n">
        <v>0</v>
      </c>
      <c r="O2742" t="n">
        <v>0</v>
      </c>
      <c r="P2742" t="n">
        <v>0</v>
      </c>
      <c r="Q2742" t="n">
        <v>0</v>
      </c>
      <c r="R2742" s="2" t="inlineStr"/>
    </row>
    <row r="2743" ht="15" customHeight="1">
      <c r="A2743" t="inlineStr">
        <is>
          <t>A 3789-2021</t>
        </is>
      </c>
      <c r="B2743" s="1" t="n">
        <v>44221.80697916666</v>
      </c>
      <c r="C2743" s="1" t="n">
        <v>45952</v>
      </c>
      <c r="D2743" t="inlineStr">
        <is>
          <t>VÄSTRA GÖTALANDS LÄN</t>
        </is>
      </c>
      <c r="E2743" t="inlineStr">
        <is>
          <t>TANUM</t>
        </is>
      </c>
      <c r="G2743" t="n">
        <v>1</v>
      </c>
      <c r="H2743" t="n">
        <v>0</v>
      </c>
      <c r="I2743" t="n">
        <v>0</v>
      </c>
      <c r="J2743" t="n">
        <v>0</v>
      </c>
      <c r="K2743" t="n">
        <v>0</v>
      </c>
      <c r="L2743" t="n">
        <v>0</v>
      </c>
      <c r="M2743" t="n">
        <v>0</v>
      </c>
      <c r="N2743" t="n">
        <v>0</v>
      </c>
      <c r="O2743" t="n">
        <v>0</v>
      </c>
      <c r="P2743" t="n">
        <v>0</v>
      </c>
      <c r="Q2743" t="n">
        <v>0</v>
      </c>
      <c r="R2743" s="2" t="inlineStr"/>
    </row>
    <row r="2744" ht="15" customHeight="1">
      <c r="A2744" t="inlineStr">
        <is>
          <t>A 28331-2022</t>
        </is>
      </c>
      <c r="B2744" s="1" t="n">
        <v>44747.41405092592</v>
      </c>
      <c r="C2744" s="1" t="n">
        <v>45952</v>
      </c>
      <c r="D2744" t="inlineStr">
        <is>
          <t>VÄSTRA GÖTALANDS LÄN</t>
        </is>
      </c>
      <c r="E2744" t="inlineStr">
        <is>
          <t>LIDKÖPING</t>
        </is>
      </c>
      <c r="G2744" t="n">
        <v>1.6</v>
      </c>
      <c r="H2744" t="n">
        <v>0</v>
      </c>
      <c r="I2744" t="n">
        <v>0</v>
      </c>
      <c r="J2744" t="n">
        <v>0</v>
      </c>
      <c r="K2744" t="n">
        <v>0</v>
      </c>
      <c r="L2744" t="n">
        <v>0</v>
      </c>
      <c r="M2744" t="n">
        <v>0</v>
      </c>
      <c r="N2744" t="n">
        <v>0</v>
      </c>
      <c r="O2744" t="n">
        <v>0</v>
      </c>
      <c r="P2744" t="n">
        <v>0</v>
      </c>
      <c r="Q2744" t="n">
        <v>0</v>
      </c>
      <c r="R2744" s="2" t="inlineStr"/>
    </row>
    <row r="2745" ht="15" customHeight="1">
      <c r="A2745" t="inlineStr">
        <is>
          <t>A 31879-2022</t>
        </is>
      </c>
      <c r="B2745" s="1" t="n">
        <v>44777.43228009259</v>
      </c>
      <c r="C2745" s="1" t="n">
        <v>45952</v>
      </c>
      <c r="D2745" t="inlineStr">
        <is>
          <t>VÄSTRA GÖTALANDS LÄN</t>
        </is>
      </c>
      <c r="E2745" t="inlineStr">
        <is>
          <t>FÄRGELANDA</t>
        </is>
      </c>
      <c r="G2745" t="n">
        <v>5</v>
      </c>
      <c r="H2745" t="n">
        <v>0</v>
      </c>
      <c r="I2745" t="n">
        <v>0</v>
      </c>
      <c r="J2745" t="n">
        <v>0</v>
      </c>
      <c r="K2745" t="n">
        <v>0</v>
      </c>
      <c r="L2745" t="n">
        <v>0</v>
      </c>
      <c r="M2745" t="n">
        <v>0</v>
      </c>
      <c r="N2745" t="n">
        <v>0</v>
      </c>
      <c r="O2745" t="n">
        <v>0</v>
      </c>
      <c r="P2745" t="n">
        <v>0</v>
      </c>
      <c r="Q2745" t="n">
        <v>0</v>
      </c>
      <c r="R2745" s="2" t="inlineStr"/>
    </row>
    <row r="2746" ht="15" customHeight="1">
      <c r="A2746" t="inlineStr">
        <is>
          <t>A 15508-2022</t>
        </is>
      </c>
      <c r="B2746" s="1" t="n">
        <v>44662.39761574074</v>
      </c>
      <c r="C2746" s="1" t="n">
        <v>45952</v>
      </c>
      <c r="D2746" t="inlineStr">
        <is>
          <t>VÄSTRA GÖTALANDS LÄN</t>
        </is>
      </c>
      <c r="E2746" t="inlineStr">
        <is>
          <t>ALE</t>
        </is>
      </c>
      <c r="G2746" t="n">
        <v>0.4</v>
      </c>
      <c r="H2746" t="n">
        <v>0</v>
      </c>
      <c r="I2746" t="n">
        <v>0</v>
      </c>
      <c r="J2746" t="n">
        <v>0</v>
      </c>
      <c r="K2746" t="n">
        <v>0</v>
      </c>
      <c r="L2746" t="n">
        <v>0</v>
      </c>
      <c r="M2746" t="n">
        <v>0</v>
      </c>
      <c r="N2746" t="n">
        <v>0</v>
      </c>
      <c r="O2746" t="n">
        <v>0</v>
      </c>
      <c r="P2746" t="n">
        <v>0</v>
      </c>
      <c r="Q2746" t="n">
        <v>0</v>
      </c>
      <c r="R2746" s="2" t="inlineStr"/>
    </row>
    <row r="2747" ht="15" customHeight="1">
      <c r="A2747" t="inlineStr">
        <is>
          <t>A 11399-2021</t>
        </is>
      </c>
      <c r="B2747" s="1" t="n">
        <v>44263</v>
      </c>
      <c r="C2747" s="1" t="n">
        <v>45952</v>
      </c>
      <c r="D2747" t="inlineStr">
        <is>
          <t>VÄSTRA GÖTALANDS LÄN</t>
        </is>
      </c>
      <c r="E2747" t="inlineStr">
        <is>
          <t>ALINGSÅS</t>
        </is>
      </c>
      <c r="G2747" t="n">
        <v>6.7</v>
      </c>
      <c r="H2747" t="n">
        <v>0</v>
      </c>
      <c r="I2747" t="n">
        <v>0</v>
      </c>
      <c r="J2747" t="n">
        <v>0</v>
      </c>
      <c r="K2747" t="n">
        <v>0</v>
      </c>
      <c r="L2747" t="n">
        <v>0</v>
      </c>
      <c r="M2747" t="n">
        <v>0</v>
      </c>
      <c r="N2747" t="n">
        <v>0</v>
      </c>
      <c r="O2747" t="n">
        <v>0</v>
      </c>
      <c r="P2747" t="n">
        <v>0</v>
      </c>
      <c r="Q2747" t="n">
        <v>0</v>
      </c>
      <c r="R2747" s="2" t="inlineStr"/>
    </row>
    <row r="2748" ht="15" customHeight="1">
      <c r="A2748" t="inlineStr">
        <is>
          <t>A 11805-2021</t>
        </is>
      </c>
      <c r="B2748" s="1" t="n">
        <v>44265</v>
      </c>
      <c r="C2748" s="1" t="n">
        <v>45952</v>
      </c>
      <c r="D2748" t="inlineStr">
        <is>
          <t>VÄSTRA GÖTALANDS LÄN</t>
        </is>
      </c>
      <c r="E2748" t="inlineStr">
        <is>
          <t>GULLSPÅNG</t>
        </is>
      </c>
      <c r="G2748" t="n">
        <v>1.4</v>
      </c>
      <c r="H2748" t="n">
        <v>0</v>
      </c>
      <c r="I2748" t="n">
        <v>0</v>
      </c>
      <c r="J2748" t="n">
        <v>0</v>
      </c>
      <c r="K2748" t="n">
        <v>0</v>
      </c>
      <c r="L2748" t="n">
        <v>0</v>
      </c>
      <c r="M2748" t="n">
        <v>0</v>
      </c>
      <c r="N2748" t="n">
        <v>0</v>
      </c>
      <c r="O2748" t="n">
        <v>0</v>
      </c>
      <c r="P2748" t="n">
        <v>0</v>
      </c>
      <c r="Q2748" t="n">
        <v>0</v>
      </c>
      <c r="R2748" s="2" t="inlineStr"/>
    </row>
    <row r="2749" ht="15" customHeight="1">
      <c r="A2749" t="inlineStr">
        <is>
          <t>A 33121-2022</t>
        </is>
      </c>
      <c r="B2749" s="1" t="n">
        <v>44785.52829861111</v>
      </c>
      <c r="C2749" s="1" t="n">
        <v>45952</v>
      </c>
      <c r="D2749" t="inlineStr">
        <is>
          <t>VÄSTRA GÖTALANDS LÄN</t>
        </is>
      </c>
      <c r="E2749" t="inlineStr">
        <is>
          <t>KARLSBORG</t>
        </is>
      </c>
      <c r="F2749" t="inlineStr">
        <is>
          <t>Sveaskog</t>
        </is>
      </c>
      <c r="G2749" t="n">
        <v>2.2</v>
      </c>
      <c r="H2749" t="n">
        <v>0</v>
      </c>
      <c r="I2749" t="n">
        <v>0</v>
      </c>
      <c r="J2749" t="n">
        <v>0</v>
      </c>
      <c r="K2749" t="n">
        <v>0</v>
      </c>
      <c r="L2749" t="n">
        <v>0</v>
      </c>
      <c r="M2749" t="n">
        <v>0</v>
      </c>
      <c r="N2749" t="n">
        <v>0</v>
      </c>
      <c r="O2749" t="n">
        <v>0</v>
      </c>
      <c r="P2749" t="n">
        <v>0</v>
      </c>
      <c r="Q2749" t="n">
        <v>0</v>
      </c>
      <c r="R2749" s="2" t="inlineStr"/>
    </row>
    <row r="2750" ht="15" customHeight="1">
      <c r="A2750" t="inlineStr">
        <is>
          <t>A 103-2021</t>
        </is>
      </c>
      <c r="B2750" s="1" t="n">
        <v>44200</v>
      </c>
      <c r="C2750" s="1" t="n">
        <v>45952</v>
      </c>
      <c r="D2750" t="inlineStr">
        <is>
          <t>VÄSTRA GÖTALANDS LÄN</t>
        </is>
      </c>
      <c r="E2750" t="inlineStr">
        <is>
          <t>MUNKEDAL</t>
        </is>
      </c>
      <c r="G2750" t="n">
        <v>4.3</v>
      </c>
      <c r="H2750" t="n">
        <v>0</v>
      </c>
      <c r="I2750" t="n">
        <v>0</v>
      </c>
      <c r="J2750" t="n">
        <v>0</v>
      </c>
      <c r="K2750" t="n">
        <v>0</v>
      </c>
      <c r="L2750" t="n">
        <v>0</v>
      </c>
      <c r="M2750" t="n">
        <v>0</v>
      </c>
      <c r="N2750" t="n">
        <v>0</v>
      </c>
      <c r="O2750" t="n">
        <v>0</v>
      </c>
      <c r="P2750" t="n">
        <v>0</v>
      </c>
      <c r="Q2750" t="n">
        <v>0</v>
      </c>
      <c r="R2750" s="2" t="inlineStr"/>
    </row>
    <row r="2751" ht="15" customHeight="1">
      <c r="A2751" t="inlineStr">
        <is>
          <t>A 28249-2021</t>
        </is>
      </c>
      <c r="B2751" s="1" t="n">
        <v>44355</v>
      </c>
      <c r="C2751" s="1" t="n">
        <v>45952</v>
      </c>
      <c r="D2751" t="inlineStr">
        <is>
          <t>VÄSTRA GÖTALANDS LÄN</t>
        </is>
      </c>
      <c r="E2751" t="inlineStr">
        <is>
          <t>LERUM</t>
        </is>
      </c>
      <c r="G2751" t="n">
        <v>5.9</v>
      </c>
      <c r="H2751" t="n">
        <v>0</v>
      </c>
      <c r="I2751" t="n">
        <v>0</v>
      </c>
      <c r="J2751" t="n">
        <v>0</v>
      </c>
      <c r="K2751" t="n">
        <v>0</v>
      </c>
      <c r="L2751" t="n">
        <v>0</v>
      </c>
      <c r="M2751" t="n">
        <v>0</v>
      </c>
      <c r="N2751" t="n">
        <v>0</v>
      </c>
      <c r="O2751" t="n">
        <v>0</v>
      </c>
      <c r="P2751" t="n">
        <v>0</v>
      </c>
      <c r="Q2751" t="n">
        <v>0</v>
      </c>
      <c r="R2751" s="2" t="inlineStr"/>
    </row>
    <row r="2752" ht="15" customHeight="1">
      <c r="A2752" t="inlineStr">
        <is>
          <t>A 23350-2022</t>
        </is>
      </c>
      <c r="B2752" s="1" t="n">
        <v>44720.55946759259</v>
      </c>
      <c r="C2752" s="1" t="n">
        <v>45952</v>
      </c>
      <c r="D2752" t="inlineStr">
        <is>
          <t>VÄSTRA GÖTALANDS LÄN</t>
        </is>
      </c>
      <c r="E2752" t="inlineStr">
        <is>
          <t>MELLERUD</t>
        </is>
      </c>
      <c r="G2752" t="n">
        <v>0.4</v>
      </c>
      <c r="H2752" t="n">
        <v>0</v>
      </c>
      <c r="I2752" t="n">
        <v>0</v>
      </c>
      <c r="J2752" t="n">
        <v>0</v>
      </c>
      <c r="K2752" t="n">
        <v>0</v>
      </c>
      <c r="L2752" t="n">
        <v>0</v>
      </c>
      <c r="M2752" t="n">
        <v>0</v>
      </c>
      <c r="N2752" t="n">
        <v>0</v>
      </c>
      <c r="O2752" t="n">
        <v>0</v>
      </c>
      <c r="P2752" t="n">
        <v>0</v>
      </c>
      <c r="Q2752" t="n">
        <v>0</v>
      </c>
      <c r="R2752" s="2" t="inlineStr"/>
    </row>
    <row r="2753" ht="15" customHeight="1">
      <c r="A2753" t="inlineStr">
        <is>
          <t>A 10023-2021</t>
        </is>
      </c>
      <c r="B2753" s="1" t="n">
        <v>44256</v>
      </c>
      <c r="C2753" s="1" t="n">
        <v>45952</v>
      </c>
      <c r="D2753" t="inlineStr">
        <is>
          <t>VÄSTRA GÖTALANDS LÄN</t>
        </is>
      </c>
      <c r="E2753" t="inlineStr">
        <is>
          <t>LILLA EDET</t>
        </is>
      </c>
      <c r="G2753" t="n">
        <v>1</v>
      </c>
      <c r="H2753" t="n">
        <v>0</v>
      </c>
      <c r="I2753" t="n">
        <v>0</v>
      </c>
      <c r="J2753" t="n">
        <v>0</v>
      </c>
      <c r="K2753" t="n">
        <v>0</v>
      </c>
      <c r="L2753" t="n">
        <v>0</v>
      </c>
      <c r="M2753" t="n">
        <v>0</v>
      </c>
      <c r="N2753" t="n">
        <v>0</v>
      </c>
      <c r="O2753" t="n">
        <v>0</v>
      </c>
      <c r="P2753" t="n">
        <v>0</v>
      </c>
      <c r="Q2753" t="n">
        <v>0</v>
      </c>
      <c r="R2753" s="2" t="inlineStr"/>
    </row>
    <row r="2754" ht="15" customHeight="1">
      <c r="A2754" t="inlineStr">
        <is>
          <t>A 27671-2022</t>
        </is>
      </c>
      <c r="B2754" s="1" t="n">
        <v>44743.39986111111</v>
      </c>
      <c r="C2754" s="1" t="n">
        <v>45952</v>
      </c>
      <c r="D2754" t="inlineStr">
        <is>
          <t>VÄSTRA GÖTALANDS LÄN</t>
        </is>
      </c>
      <c r="E2754" t="inlineStr">
        <is>
          <t>SKÖVDE</t>
        </is>
      </c>
      <c r="G2754" t="n">
        <v>1.5</v>
      </c>
      <c r="H2754" t="n">
        <v>0</v>
      </c>
      <c r="I2754" t="n">
        <v>0</v>
      </c>
      <c r="J2754" t="n">
        <v>0</v>
      </c>
      <c r="K2754" t="n">
        <v>0</v>
      </c>
      <c r="L2754" t="n">
        <v>0</v>
      </c>
      <c r="M2754" t="n">
        <v>0</v>
      </c>
      <c r="N2754" t="n">
        <v>0</v>
      </c>
      <c r="O2754" t="n">
        <v>0</v>
      </c>
      <c r="P2754" t="n">
        <v>0</v>
      </c>
      <c r="Q2754" t="n">
        <v>0</v>
      </c>
      <c r="R2754" s="2" t="inlineStr"/>
    </row>
    <row r="2755" ht="15" customHeight="1">
      <c r="A2755" t="inlineStr">
        <is>
          <t>A 64389-2021</t>
        </is>
      </c>
      <c r="B2755" s="1" t="n">
        <v>44511</v>
      </c>
      <c r="C2755" s="1" t="n">
        <v>45952</v>
      </c>
      <c r="D2755" t="inlineStr">
        <is>
          <t>VÄSTRA GÖTALANDS LÄN</t>
        </is>
      </c>
      <c r="E2755" t="inlineStr">
        <is>
          <t>VÅRGÅRDA</t>
        </is>
      </c>
      <c r="G2755" t="n">
        <v>2.7</v>
      </c>
      <c r="H2755" t="n">
        <v>0</v>
      </c>
      <c r="I2755" t="n">
        <v>0</v>
      </c>
      <c r="J2755" t="n">
        <v>0</v>
      </c>
      <c r="K2755" t="n">
        <v>0</v>
      </c>
      <c r="L2755" t="n">
        <v>0</v>
      </c>
      <c r="M2755" t="n">
        <v>0</v>
      </c>
      <c r="N2755" t="n">
        <v>0</v>
      </c>
      <c r="O2755" t="n">
        <v>0</v>
      </c>
      <c r="P2755" t="n">
        <v>0</v>
      </c>
      <c r="Q2755" t="n">
        <v>0</v>
      </c>
      <c r="R2755" s="2" t="inlineStr"/>
    </row>
    <row r="2756" ht="15" customHeight="1">
      <c r="A2756" t="inlineStr">
        <is>
          <t>A 63175-2023</t>
        </is>
      </c>
      <c r="B2756" s="1" t="n">
        <v>45273</v>
      </c>
      <c r="C2756" s="1" t="n">
        <v>45952</v>
      </c>
      <c r="D2756" t="inlineStr">
        <is>
          <t>VÄSTRA GÖTALANDS LÄN</t>
        </is>
      </c>
      <c r="E2756" t="inlineStr">
        <is>
          <t>TANUM</t>
        </is>
      </c>
      <c r="G2756" t="n">
        <v>0.8</v>
      </c>
      <c r="H2756" t="n">
        <v>0</v>
      </c>
      <c r="I2756" t="n">
        <v>0</v>
      </c>
      <c r="J2756" t="n">
        <v>0</v>
      </c>
      <c r="K2756" t="n">
        <v>0</v>
      </c>
      <c r="L2756" t="n">
        <v>0</v>
      </c>
      <c r="M2756" t="n">
        <v>0</v>
      </c>
      <c r="N2756" t="n">
        <v>0</v>
      </c>
      <c r="O2756" t="n">
        <v>0</v>
      </c>
      <c r="P2756" t="n">
        <v>0</v>
      </c>
      <c r="Q2756" t="n">
        <v>0</v>
      </c>
      <c r="R2756" s="2" t="inlineStr"/>
    </row>
    <row r="2757" ht="15" customHeight="1">
      <c r="A2757" t="inlineStr">
        <is>
          <t>A 63176-2023</t>
        </is>
      </c>
      <c r="B2757" s="1" t="n">
        <v>45273.57741898148</v>
      </c>
      <c r="C2757" s="1" t="n">
        <v>45952</v>
      </c>
      <c r="D2757" t="inlineStr">
        <is>
          <t>VÄSTRA GÖTALANDS LÄN</t>
        </is>
      </c>
      <c r="E2757" t="inlineStr">
        <is>
          <t>FÄRGELANDA</t>
        </is>
      </c>
      <c r="G2757" t="n">
        <v>1.9</v>
      </c>
      <c r="H2757" t="n">
        <v>0</v>
      </c>
      <c r="I2757" t="n">
        <v>0</v>
      </c>
      <c r="J2757" t="n">
        <v>0</v>
      </c>
      <c r="K2757" t="n">
        <v>0</v>
      </c>
      <c r="L2757" t="n">
        <v>0</v>
      </c>
      <c r="M2757" t="n">
        <v>0</v>
      </c>
      <c r="N2757" t="n">
        <v>0</v>
      </c>
      <c r="O2757" t="n">
        <v>0</v>
      </c>
      <c r="P2757" t="n">
        <v>0</v>
      </c>
      <c r="Q2757" t="n">
        <v>0</v>
      </c>
      <c r="R2757" s="2" t="inlineStr"/>
    </row>
    <row r="2758" ht="15" customHeight="1">
      <c r="A2758" t="inlineStr">
        <is>
          <t>A 981-2022</t>
        </is>
      </c>
      <c r="B2758" s="1" t="n">
        <v>44568</v>
      </c>
      <c r="C2758" s="1" t="n">
        <v>45952</v>
      </c>
      <c r="D2758" t="inlineStr">
        <is>
          <t>VÄSTRA GÖTALANDS LÄN</t>
        </is>
      </c>
      <c r="E2758" t="inlineStr">
        <is>
          <t>ALINGSÅS</t>
        </is>
      </c>
      <c r="G2758" t="n">
        <v>1.7</v>
      </c>
      <c r="H2758" t="n">
        <v>0</v>
      </c>
      <c r="I2758" t="n">
        <v>0</v>
      </c>
      <c r="J2758" t="n">
        <v>0</v>
      </c>
      <c r="K2758" t="n">
        <v>0</v>
      </c>
      <c r="L2758" t="n">
        <v>0</v>
      </c>
      <c r="M2758" t="n">
        <v>0</v>
      </c>
      <c r="N2758" t="n">
        <v>0</v>
      </c>
      <c r="O2758" t="n">
        <v>0</v>
      </c>
      <c r="P2758" t="n">
        <v>0</v>
      </c>
      <c r="Q2758" t="n">
        <v>0</v>
      </c>
      <c r="R2758" s="2" t="inlineStr"/>
    </row>
    <row r="2759" ht="15" customHeight="1">
      <c r="A2759" t="inlineStr">
        <is>
          <t>A 21129-2022</t>
        </is>
      </c>
      <c r="B2759" s="1" t="n">
        <v>44704.61637731481</v>
      </c>
      <c r="C2759" s="1" t="n">
        <v>45952</v>
      </c>
      <c r="D2759" t="inlineStr">
        <is>
          <t>VÄSTRA GÖTALANDS LÄN</t>
        </is>
      </c>
      <c r="E2759" t="inlineStr">
        <is>
          <t>MUNKEDAL</t>
        </is>
      </c>
      <c r="G2759" t="n">
        <v>1.6</v>
      </c>
      <c r="H2759" t="n">
        <v>0</v>
      </c>
      <c r="I2759" t="n">
        <v>0</v>
      </c>
      <c r="J2759" t="n">
        <v>0</v>
      </c>
      <c r="K2759" t="n">
        <v>0</v>
      </c>
      <c r="L2759" t="n">
        <v>0</v>
      </c>
      <c r="M2759" t="n">
        <v>0</v>
      </c>
      <c r="N2759" t="n">
        <v>0</v>
      </c>
      <c r="O2759" t="n">
        <v>0</v>
      </c>
      <c r="P2759" t="n">
        <v>0</v>
      </c>
      <c r="Q2759" t="n">
        <v>0</v>
      </c>
      <c r="R2759" s="2" t="inlineStr"/>
    </row>
    <row r="2760" ht="15" customHeight="1">
      <c r="A2760" t="inlineStr">
        <is>
          <t>A 55213-2021</t>
        </is>
      </c>
      <c r="B2760" s="1" t="n">
        <v>44475</v>
      </c>
      <c r="C2760" s="1" t="n">
        <v>45952</v>
      </c>
      <c r="D2760" t="inlineStr">
        <is>
          <t>VÄSTRA GÖTALANDS LÄN</t>
        </is>
      </c>
      <c r="E2760" t="inlineStr">
        <is>
          <t>LYSEKIL</t>
        </is>
      </c>
      <c r="G2760" t="n">
        <v>4.5</v>
      </c>
      <c r="H2760" t="n">
        <v>0</v>
      </c>
      <c r="I2760" t="n">
        <v>0</v>
      </c>
      <c r="J2760" t="n">
        <v>0</v>
      </c>
      <c r="K2760" t="n">
        <v>0</v>
      </c>
      <c r="L2760" t="n">
        <v>0</v>
      </c>
      <c r="M2760" t="n">
        <v>0</v>
      </c>
      <c r="N2760" t="n">
        <v>0</v>
      </c>
      <c r="O2760" t="n">
        <v>0</v>
      </c>
      <c r="P2760" t="n">
        <v>0</v>
      </c>
      <c r="Q2760" t="n">
        <v>0</v>
      </c>
      <c r="R2760" s="2" t="inlineStr"/>
    </row>
    <row r="2761" ht="15" customHeight="1">
      <c r="A2761" t="inlineStr">
        <is>
          <t>A 64020-2021</t>
        </is>
      </c>
      <c r="B2761" s="1" t="n">
        <v>44510</v>
      </c>
      <c r="C2761" s="1" t="n">
        <v>45952</v>
      </c>
      <c r="D2761" t="inlineStr">
        <is>
          <t>VÄSTRA GÖTALANDS LÄN</t>
        </is>
      </c>
      <c r="E2761" t="inlineStr">
        <is>
          <t>STRÖMSTAD</t>
        </is>
      </c>
      <c r="G2761" t="n">
        <v>1.7</v>
      </c>
      <c r="H2761" t="n">
        <v>0</v>
      </c>
      <c r="I2761" t="n">
        <v>0</v>
      </c>
      <c r="J2761" t="n">
        <v>0</v>
      </c>
      <c r="K2761" t="n">
        <v>0</v>
      </c>
      <c r="L2761" t="n">
        <v>0</v>
      </c>
      <c r="M2761" t="n">
        <v>0</v>
      </c>
      <c r="N2761" t="n">
        <v>0</v>
      </c>
      <c r="O2761" t="n">
        <v>0</v>
      </c>
      <c r="P2761" t="n">
        <v>0</v>
      </c>
      <c r="Q2761" t="n">
        <v>0</v>
      </c>
      <c r="R2761" s="2" t="inlineStr"/>
    </row>
    <row r="2762" ht="15" customHeight="1">
      <c r="A2762" t="inlineStr">
        <is>
          <t>A 6775-2024</t>
        </is>
      </c>
      <c r="B2762" s="1" t="n">
        <v>45342.50168981482</v>
      </c>
      <c r="C2762" s="1" t="n">
        <v>45952</v>
      </c>
      <c r="D2762" t="inlineStr">
        <is>
          <t>VÄSTRA GÖTALANDS LÄN</t>
        </is>
      </c>
      <c r="E2762" t="inlineStr">
        <is>
          <t>MARK</t>
        </is>
      </c>
      <c r="G2762" t="n">
        <v>1.9</v>
      </c>
      <c r="H2762" t="n">
        <v>0</v>
      </c>
      <c r="I2762" t="n">
        <v>0</v>
      </c>
      <c r="J2762" t="n">
        <v>0</v>
      </c>
      <c r="K2762" t="n">
        <v>0</v>
      </c>
      <c r="L2762" t="n">
        <v>0</v>
      </c>
      <c r="M2762" t="n">
        <v>0</v>
      </c>
      <c r="N2762" t="n">
        <v>0</v>
      </c>
      <c r="O2762" t="n">
        <v>0</v>
      </c>
      <c r="P2762" t="n">
        <v>0</v>
      </c>
      <c r="Q2762" t="n">
        <v>0</v>
      </c>
      <c r="R2762" s="2" t="inlineStr"/>
    </row>
    <row r="2763" ht="15" customHeight="1">
      <c r="A2763" t="inlineStr">
        <is>
          <t>A 54892-2020</t>
        </is>
      </c>
      <c r="B2763" s="1" t="n">
        <v>44128.49828703704</v>
      </c>
      <c r="C2763" s="1" t="n">
        <v>45952</v>
      </c>
      <c r="D2763" t="inlineStr">
        <is>
          <t>VÄSTRA GÖTALANDS LÄN</t>
        </is>
      </c>
      <c r="E2763" t="inlineStr">
        <is>
          <t>BOLLEBYGD</t>
        </is>
      </c>
      <c r="G2763" t="n">
        <v>0.6</v>
      </c>
      <c r="H2763" t="n">
        <v>0</v>
      </c>
      <c r="I2763" t="n">
        <v>0</v>
      </c>
      <c r="J2763" t="n">
        <v>0</v>
      </c>
      <c r="K2763" t="n">
        <v>0</v>
      </c>
      <c r="L2763" t="n">
        <v>0</v>
      </c>
      <c r="M2763" t="n">
        <v>0</v>
      </c>
      <c r="N2763" t="n">
        <v>0</v>
      </c>
      <c r="O2763" t="n">
        <v>0</v>
      </c>
      <c r="P2763" t="n">
        <v>0</v>
      </c>
      <c r="Q2763" t="n">
        <v>0</v>
      </c>
      <c r="R2763" s="2" t="inlineStr"/>
    </row>
    <row r="2764" ht="15" customHeight="1">
      <c r="A2764" t="inlineStr">
        <is>
          <t>A 56318-2020</t>
        </is>
      </c>
      <c r="B2764" s="1" t="n">
        <v>44134</v>
      </c>
      <c r="C2764" s="1" t="n">
        <v>45952</v>
      </c>
      <c r="D2764" t="inlineStr">
        <is>
          <t>VÄSTRA GÖTALANDS LÄN</t>
        </is>
      </c>
      <c r="E2764" t="inlineStr">
        <is>
          <t>BENGTSFORS</t>
        </is>
      </c>
      <c r="G2764" t="n">
        <v>0.9</v>
      </c>
      <c r="H2764" t="n">
        <v>0</v>
      </c>
      <c r="I2764" t="n">
        <v>0</v>
      </c>
      <c r="J2764" t="n">
        <v>0</v>
      </c>
      <c r="K2764" t="n">
        <v>0</v>
      </c>
      <c r="L2764" t="n">
        <v>0</v>
      </c>
      <c r="M2764" t="n">
        <v>0</v>
      </c>
      <c r="N2764" t="n">
        <v>0</v>
      </c>
      <c r="O2764" t="n">
        <v>0</v>
      </c>
      <c r="P2764" t="n">
        <v>0</v>
      </c>
      <c r="Q2764" t="n">
        <v>0</v>
      </c>
      <c r="R2764" s="2" t="inlineStr"/>
    </row>
    <row r="2765" ht="15" customHeight="1">
      <c r="A2765" t="inlineStr">
        <is>
          <t>A 32219-2022</t>
        </is>
      </c>
      <c r="B2765" s="1" t="n">
        <v>44781.43912037037</v>
      </c>
      <c r="C2765" s="1" t="n">
        <v>45952</v>
      </c>
      <c r="D2765" t="inlineStr">
        <is>
          <t>VÄSTRA GÖTALANDS LÄN</t>
        </is>
      </c>
      <c r="E2765" t="inlineStr">
        <is>
          <t>HJO</t>
        </is>
      </c>
      <c r="G2765" t="n">
        <v>2.5</v>
      </c>
      <c r="H2765" t="n">
        <v>0</v>
      </c>
      <c r="I2765" t="n">
        <v>0</v>
      </c>
      <c r="J2765" t="n">
        <v>0</v>
      </c>
      <c r="K2765" t="n">
        <v>0</v>
      </c>
      <c r="L2765" t="n">
        <v>0</v>
      </c>
      <c r="M2765" t="n">
        <v>0</v>
      </c>
      <c r="N2765" t="n">
        <v>0</v>
      </c>
      <c r="O2765" t="n">
        <v>0</v>
      </c>
      <c r="P2765" t="n">
        <v>0</v>
      </c>
      <c r="Q2765" t="n">
        <v>0</v>
      </c>
      <c r="R2765" s="2" t="inlineStr"/>
    </row>
    <row r="2766" ht="15" customHeight="1">
      <c r="A2766" t="inlineStr">
        <is>
          <t>A 6293-2022</t>
        </is>
      </c>
      <c r="B2766" s="1" t="n">
        <v>44600</v>
      </c>
      <c r="C2766" s="1" t="n">
        <v>45952</v>
      </c>
      <c r="D2766" t="inlineStr">
        <is>
          <t>VÄSTRA GÖTALANDS LÄN</t>
        </is>
      </c>
      <c r="E2766" t="inlineStr">
        <is>
          <t>STENUNGSUND</t>
        </is>
      </c>
      <c r="G2766" t="n">
        <v>0.3</v>
      </c>
      <c r="H2766" t="n">
        <v>0</v>
      </c>
      <c r="I2766" t="n">
        <v>0</v>
      </c>
      <c r="J2766" t="n">
        <v>0</v>
      </c>
      <c r="K2766" t="n">
        <v>0</v>
      </c>
      <c r="L2766" t="n">
        <v>0</v>
      </c>
      <c r="M2766" t="n">
        <v>0</v>
      </c>
      <c r="N2766" t="n">
        <v>0</v>
      </c>
      <c r="O2766" t="n">
        <v>0</v>
      </c>
      <c r="P2766" t="n">
        <v>0</v>
      </c>
      <c r="Q2766" t="n">
        <v>0</v>
      </c>
      <c r="R2766" s="2" t="inlineStr"/>
    </row>
    <row r="2767" ht="15" customHeight="1">
      <c r="A2767" t="inlineStr">
        <is>
          <t>A 15335-2024</t>
        </is>
      </c>
      <c r="B2767" s="1" t="n">
        <v>45400.73189814815</v>
      </c>
      <c r="C2767" s="1" t="n">
        <v>45952</v>
      </c>
      <c r="D2767" t="inlineStr">
        <is>
          <t>VÄSTRA GÖTALANDS LÄN</t>
        </is>
      </c>
      <c r="E2767" t="inlineStr">
        <is>
          <t>SVENLJUNGA</t>
        </is>
      </c>
      <c r="G2767" t="n">
        <v>1.5</v>
      </c>
      <c r="H2767" t="n">
        <v>0</v>
      </c>
      <c r="I2767" t="n">
        <v>0</v>
      </c>
      <c r="J2767" t="n">
        <v>0</v>
      </c>
      <c r="K2767" t="n">
        <v>0</v>
      </c>
      <c r="L2767" t="n">
        <v>0</v>
      </c>
      <c r="M2767" t="n">
        <v>0</v>
      </c>
      <c r="N2767" t="n">
        <v>0</v>
      </c>
      <c r="O2767" t="n">
        <v>0</v>
      </c>
      <c r="P2767" t="n">
        <v>0</v>
      </c>
      <c r="Q2767" t="n">
        <v>0</v>
      </c>
      <c r="R2767" s="2" t="inlineStr"/>
    </row>
    <row r="2768" ht="15" customHeight="1">
      <c r="A2768" t="inlineStr">
        <is>
          <t>A 15336-2024</t>
        </is>
      </c>
      <c r="B2768" s="1" t="n">
        <v>45400.73284722222</v>
      </c>
      <c r="C2768" s="1" t="n">
        <v>45952</v>
      </c>
      <c r="D2768" t="inlineStr">
        <is>
          <t>VÄSTRA GÖTALANDS LÄN</t>
        </is>
      </c>
      <c r="E2768" t="inlineStr">
        <is>
          <t>SVENLJUNGA</t>
        </is>
      </c>
      <c r="G2768" t="n">
        <v>1.9</v>
      </c>
      <c r="H2768" t="n">
        <v>0</v>
      </c>
      <c r="I2768" t="n">
        <v>0</v>
      </c>
      <c r="J2768" t="n">
        <v>0</v>
      </c>
      <c r="K2768" t="n">
        <v>0</v>
      </c>
      <c r="L2768" t="n">
        <v>0</v>
      </c>
      <c r="M2768" t="n">
        <v>0</v>
      </c>
      <c r="N2768" t="n">
        <v>0</v>
      </c>
      <c r="O2768" t="n">
        <v>0</v>
      </c>
      <c r="P2768" t="n">
        <v>0</v>
      </c>
      <c r="Q2768" t="n">
        <v>0</v>
      </c>
      <c r="R2768" s="2" t="inlineStr"/>
    </row>
    <row r="2769" ht="15" customHeight="1">
      <c r="A2769" t="inlineStr">
        <is>
          <t>A 15337-2024</t>
        </is>
      </c>
      <c r="B2769" s="1" t="n">
        <v>45400.73368055555</v>
      </c>
      <c r="C2769" s="1" t="n">
        <v>45952</v>
      </c>
      <c r="D2769" t="inlineStr">
        <is>
          <t>VÄSTRA GÖTALANDS LÄN</t>
        </is>
      </c>
      <c r="E2769" t="inlineStr">
        <is>
          <t>SVENLJUNGA</t>
        </is>
      </c>
      <c r="G2769" t="n">
        <v>3.5</v>
      </c>
      <c r="H2769" t="n">
        <v>0</v>
      </c>
      <c r="I2769" t="n">
        <v>0</v>
      </c>
      <c r="J2769" t="n">
        <v>0</v>
      </c>
      <c r="K2769" t="n">
        <v>0</v>
      </c>
      <c r="L2769" t="n">
        <v>0</v>
      </c>
      <c r="M2769" t="n">
        <v>0</v>
      </c>
      <c r="N2769" t="n">
        <v>0</v>
      </c>
      <c r="O2769" t="n">
        <v>0</v>
      </c>
      <c r="P2769" t="n">
        <v>0</v>
      </c>
      <c r="Q2769" t="n">
        <v>0</v>
      </c>
      <c r="R2769" s="2" t="inlineStr"/>
    </row>
    <row r="2770" ht="15" customHeight="1">
      <c r="A2770" t="inlineStr">
        <is>
          <t>A 4491-2021</t>
        </is>
      </c>
      <c r="B2770" s="1" t="n">
        <v>44224</v>
      </c>
      <c r="C2770" s="1" t="n">
        <v>45952</v>
      </c>
      <c r="D2770" t="inlineStr">
        <is>
          <t>VÄSTRA GÖTALANDS LÄN</t>
        </is>
      </c>
      <c r="E2770" t="inlineStr">
        <is>
          <t>SVENLJUNGA</t>
        </is>
      </c>
      <c r="G2770" t="n">
        <v>1.4</v>
      </c>
      <c r="H2770" t="n">
        <v>0</v>
      </c>
      <c r="I2770" t="n">
        <v>0</v>
      </c>
      <c r="J2770" t="n">
        <v>0</v>
      </c>
      <c r="K2770" t="n">
        <v>0</v>
      </c>
      <c r="L2770" t="n">
        <v>0</v>
      </c>
      <c r="M2770" t="n">
        <v>0</v>
      </c>
      <c r="N2770" t="n">
        <v>0</v>
      </c>
      <c r="O2770" t="n">
        <v>0</v>
      </c>
      <c r="P2770" t="n">
        <v>0</v>
      </c>
      <c r="Q2770" t="n">
        <v>0</v>
      </c>
      <c r="R2770" s="2" t="inlineStr"/>
    </row>
    <row r="2771" ht="15" customHeight="1">
      <c r="A2771" t="inlineStr">
        <is>
          <t>A 30128-2022</t>
        </is>
      </c>
      <c r="B2771" s="1" t="n">
        <v>44757</v>
      </c>
      <c r="C2771" s="1" t="n">
        <v>45952</v>
      </c>
      <c r="D2771" t="inlineStr">
        <is>
          <t>VÄSTRA GÖTALANDS LÄN</t>
        </is>
      </c>
      <c r="E2771" t="inlineStr">
        <is>
          <t>GÖTENE</t>
        </is>
      </c>
      <c r="G2771" t="n">
        <v>0.7</v>
      </c>
      <c r="H2771" t="n">
        <v>0</v>
      </c>
      <c r="I2771" t="n">
        <v>0</v>
      </c>
      <c r="J2771" t="n">
        <v>0</v>
      </c>
      <c r="K2771" t="n">
        <v>0</v>
      </c>
      <c r="L2771" t="n">
        <v>0</v>
      </c>
      <c r="M2771" t="n">
        <v>0</v>
      </c>
      <c r="N2771" t="n">
        <v>0</v>
      </c>
      <c r="O2771" t="n">
        <v>0</v>
      </c>
      <c r="P2771" t="n">
        <v>0</v>
      </c>
      <c r="Q2771" t="n">
        <v>0</v>
      </c>
      <c r="R2771" s="2" t="inlineStr"/>
    </row>
    <row r="2772" ht="15" customHeight="1">
      <c r="A2772" t="inlineStr">
        <is>
          <t>A 35926-2022</t>
        </is>
      </c>
      <c r="B2772" s="1" t="n">
        <v>44802.52351851852</v>
      </c>
      <c r="C2772" s="1" t="n">
        <v>45952</v>
      </c>
      <c r="D2772" t="inlineStr">
        <is>
          <t>VÄSTRA GÖTALANDS LÄN</t>
        </is>
      </c>
      <c r="E2772" t="inlineStr">
        <is>
          <t>TANUM</t>
        </is>
      </c>
      <c r="G2772" t="n">
        <v>2</v>
      </c>
      <c r="H2772" t="n">
        <v>0</v>
      </c>
      <c r="I2772" t="n">
        <v>0</v>
      </c>
      <c r="J2772" t="n">
        <v>0</v>
      </c>
      <c r="K2772" t="n">
        <v>0</v>
      </c>
      <c r="L2772" t="n">
        <v>0</v>
      </c>
      <c r="M2772" t="n">
        <v>0</v>
      </c>
      <c r="N2772" t="n">
        <v>0</v>
      </c>
      <c r="O2772" t="n">
        <v>0</v>
      </c>
      <c r="P2772" t="n">
        <v>0</v>
      </c>
      <c r="Q2772" t="n">
        <v>0</v>
      </c>
      <c r="R2772" s="2" t="inlineStr"/>
    </row>
    <row r="2773" ht="15" customHeight="1">
      <c r="A2773" t="inlineStr">
        <is>
          <t>A 35934-2022</t>
        </is>
      </c>
      <c r="B2773" s="1" t="n">
        <v>44802</v>
      </c>
      <c r="C2773" s="1" t="n">
        <v>45952</v>
      </c>
      <c r="D2773" t="inlineStr">
        <is>
          <t>VÄSTRA GÖTALANDS LÄN</t>
        </is>
      </c>
      <c r="E2773" t="inlineStr">
        <is>
          <t>FALKÖPING</t>
        </is>
      </c>
      <c r="G2773" t="n">
        <v>1.8</v>
      </c>
      <c r="H2773" t="n">
        <v>0</v>
      </c>
      <c r="I2773" t="n">
        <v>0</v>
      </c>
      <c r="J2773" t="n">
        <v>0</v>
      </c>
      <c r="K2773" t="n">
        <v>0</v>
      </c>
      <c r="L2773" t="n">
        <v>0</v>
      </c>
      <c r="M2773" t="n">
        <v>0</v>
      </c>
      <c r="N2773" t="n">
        <v>0</v>
      </c>
      <c r="O2773" t="n">
        <v>0</v>
      </c>
      <c r="P2773" t="n">
        <v>0</v>
      </c>
      <c r="Q2773" t="n">
        <v>0</v>
      </c>
      <c r="R2773" s="2" t="inlineStr"/>
    </row>
    <row r="2774" ht="15" customHeight="1">
      <c r="A2774" t="inlineStr">
        <is>
          <t>A 14406-2022</t>
        </is>
      </c>
      <c r="B2774" s="1" t="n">
        <v>44652</v>
      </c>
      <c r="C2774" s="1" t="n">
        <v>45952</v>
      </c>
      <c r="D2774" t="inlineStr">
        <is>
          <t>VÄSTRA GÖTALANDS LÄN</t>
        </is>
      </c>
      <c r="E2774" t="inlineStr">
        <is>
          <t>GULLSPÅNG</t>
        </is>
      </c>
      <c r="G2774" t="n">
        <v>1.3</v>
      </c>
      <c r="H2774" t="n">
        <v>0</v>
      </c>
      <c r="I2774" t="n">
        <v>0</v>
      </c>
      <c r="J2774" t="n">
        <v>0</v>
      </c>
      <c r="K2774" t="n">
        <v>0</v>
      </c>
      <c r="L2774" t="n">
        <v>0</v>
      </c>
      <c r="M2774" t="n">
        <v>0</v>
      </c>
      <c r="N2774" t="n">
        <v>0</v>
      </c>
      <c r="O2774" t="n">
        <v>0</v>
      </c>
      <c r="P2774" t="n">
        <v>0</v>
      </c>
      <c r="Q2774" t="n">
        <v>0</v>
      </c>
      <c r="R2774" s="2" t="inlineStr"/>
    </row>
    <row r="2775" ht="15" customHeight="1">
      <c r="A2775" t="inlineStr">
        <is>
          <t>A 50984-2022</t>
        </is>
      </c>
      <c r="B2775" s="1" t="n">
        <v>44867</v>
      </c>
      <c r="C2775" s="1" t="n">
        <v>45952</v>
      </c>
      <c r="D2775" t="inlineStr">
        <is>
          <t>VÄSTRA GÖTALANDS LÄN</t>
        </is>
      </c>
      <c r="E2775" t="inlineStr">
        <is>
          <t>VARA</t>
        </is>
      </c>
      <c r="G2775" t="n">
        <v>0.2</v>
      </c>
      <c r="H2775" t="n">
        <v>0</v>
      </c>
      <c r="I2775" t="n">
        <v>0</v>
      </c>
      <c r="J2775" t="n">
        <v>0</v>
      </c>
      <c r="K2775" t="n">
        <v>0</v>
      </c>
      <c r="L2775" t="n">
        <v>0</v>
      </c>
      <c r="M2775" t="n">
        <v>0</v>
      </c>
      <c r="N2775" t="n">
        <v>0</v>
      </c>
      <c r="O2775" t="n">
        <v>0</v>
      </c>
      <c r="P2775" t="n">
        <v>0</v>
      </c>
      <c r="Q2775" t="n">
        <v>0</v>
      </c>
      <c r="R2775" s="2" t="inlineStr"/>
    </row>
    <row r="2776" ht="15" customHeight="1">
      <c r="A2776" t="inlineStr">
        <is>
          <t>A 52045-2022</t>
        </is>
      </c>
      <c r="B2776" s="1" t="n">
        <v>44873.31652777778</v>
      </c>
      <c r="C2776" s="1" t="n">
        <v>45952</v>
      </c>
      <c r="D2776" t="inlineStr">
        <is>
          <t>VÄSTRA GÖTALANDS LÄN</t>
        </is>
      </c>
      <c r="E2776" t="inlineStr">
        <is>
          <t>HÄRRYDA</t>
        </is>
      </c>
      <c r="G2776" t="n">
        <v>2</v>
      </c>
      <c r="H2776" t="n">
        <v>0</v>
      </c>
      <c r="I2776" t="n">
        <v>0</v>
      </c>
      <c r="J2776" t="n">
        <v>0</v>
      </c>
      <c r="K2776" t="n">
        <v>0</v>
      </c>
      <c r="L2776" t="n">
        <v>0</v>
      </c>
      <c r="M2776" t="n">
        <v>0</v>
      </c>
      <c r="N2776" t="n">
        <v>0</v>
      </c>
      <c r="O2776" t="n">
        <v>0</v>
      </c>
      <c r="P2776" t="n">
        <v>0</v>
      </c>
      <c r="Q2776" t="n">
        <v>0</v>
      </c>
      <c r="R2776" s="2" t="inlineStr"/>
    </row>
    <row r="2777" ht="15" customHeight="1">
      <c r="A2777" t="inlineStr">
        <is>
          <t>A 23044-2022</t>
        </is>
      </c>
      <c r="B2777" s="1" t="n">
        <v>44719.42737268518</v>
      </c>
      <c r="C2777" s="1" t="n">
        <v>45952</v>
      </c>
      <c r="D2777" t="inlineStr">
        <is>
          <t>VÄSTRA GÖTALANDS LÄN</t>
        </is>
      </c>
      <c r="E2777" t="inlineStr">
        <is>
          <t>TIDAHOLM</t>
        </is>
      </c>
      <c r="G2777" t="n">
        <v>2.7</v>
      </c>
      <c r="H2777" t="n">
        <v>0</v>
      </c>
      <c r="I2777" t="n">
        <v>0</v>
      </c>
      <c r="J2777" t="n">
        <v>0</v>
      </c>
      <c r="K2777" t="n">
        <v>0</v>
      </c>
      <c r="L2777" t="n">
        <v>0</v>
      </c>
      <c r="M2777" t="n">
        <v>0</v>
      </c>
      <c r="N2777" t="n">
        <v>0</v>
      </c>
      <c r="O2777" t="n">
        <v>0</v>
      </c>
      <c r="P2777" t="n">
        <v>0</v>
      </c>
      <c r="Q2777" t="n">
        <v>0</v>
      </c>
      <c r="R2777" s="2" t="inlineStr"/>
    </row>
    <row r="2778" ht="15" customHeight="1">
      <c r="A2778" t="inlineStr">
        <is>
          <t>A 5004-2022</t>
        </is>
      </c>
      <c r="B2778" s="1" t="n">
        <v>44593.61201388889</v>
      </c>
      <c r="C2778" s="1" t="n">
        <v>45952</v>
      </c>
      <c r="D2778" t="inlineStr">
        <is>
          <t>VÄSTRA GÖTALANDS LÄN</t>
        </is>
      </c>
      <c r="E2778" t="inlineStr">
        <is>
          <t>TRANEMO</t>
        </is>
      </c>
      <c r="G2778" t="n">
        <v>0.5</v>
      </c>
      <c r="H2778" t="n">
        <v>0</v>
      </c>
      <c r="I2778" t="n">
        <v>0</v>
      </c>
      <c r="J2778" t="n">
        <v>0</v>
      </c>
      <c r="K2778" t="n">
        <v>0</v>
      </c>
      <c r="L2778" t="n">
        <v>0</v>
      </c>
      <c r="M2778" t="n">
        <v>0</v>
      </c>
      <c r="N2778" t="n">
        <v>0</v>
      </c>
      <c r="O2778" t="n">
        <v>0</v>
      </c>
      <c r="P2778" t="n">
        <v>0</v>
      </c>
      <c r="Q2778" t="n">
        <v>0</v>
      </c>
      <c r="R2778" s="2" t="inlineStr"/>
    </row>
    <row r="2779" ht="15" customHeight="1">
      <c r="A2779" t="inlineStr">
        <is>
          <t>A 5871-2022</t>
        </is>
      </c>
      <c r="B2779" s="1" t="n">
        <v>44596</v>
      </c>
      <c r="C2779" s="1" t="n">
        <v>45952</v>
      </c>
      <c r="D2779" t="inlineStr">
        <is>
          <t>VÄSTRA GÖTALANDS LÄN</t>
        </is>
      </c>
      <c r="E2779" t="inlineStr">
        <is>
          <t>TRANEMO</t>
        </is>
      </c>
      <c r="F2779" t="inlineStr">
        <is>
          <t>Sveaskog</t>
        </is>
      </c>
      <c r="G2779" t="n">
        <v>1.1</v>
      </c>
      <c r="H2779" t="n">
        <v>0</v>
      </c>
      <c r="I2779" t="n">
        <v>0</v>
      </c>
      <c r="J2779" t="n">
        <v>0</v>
      </c>
      <c r="K2779" t="n">
        <v>0</v>
      </c>
      <c r="L2779" t="n">
        <v>0</v>
      </c>
      <c r="M2779" t="n">
        <v>0</v>
      </c>
      <c r="N2779" t="n">
        <v>0</v>
      </c>
      <c r="O2779" t="n">
        <v>0</v>
      </c>
      <c r="P2779" t="n">
        <v>0</v>
      </c>
      <c r="Q2779" t="n">
        <v>0</v>
      </c>
      <c r="R2779" s="2" t="inlineStr"/>
    </row>
    <row r="2780" ht="15" customHeight="1">
      <c r="A2780" t="inlineStr">
        <is>
          <t>A 17627-2024</t>
        </is>
      </c>
      <c r="B2780" s="1" t="n">
        <v>45418.30951388889</v>
      </c>
      <c r="C2780" s="1" t="n">
        <v>45952</v>
      </c>
      <c r="D2780" t="inlineStr">
        <is>
          <t>VÄSTRA GÖTALANDS LÄN</t>
        </is>
      </c>
      <c r="E2780" t="inlineStr">
        <is>
          <t>FÄRGELANDA</t>
        </is>
      </c>
      <c r="F2780" t="inlineStr">
        <is>
          <t>Kommuner</t>
        </is>
      </c>
      <c r="G2780" t="n">
        <v>0.8</v>
      </c>
      <c r="H2780" t="n">
        <v>0</v>
      </c>
      <c r="I2780" t="n">
        <v>0</v>
      </c>
      <c r="J2780" t="n">
        <v>0</v>
      </c>
      <c r="K2780" t="n">
        <v>0</v>
      </c>
      <c r="L2780" t="n">
        <v>0</v>
      </c>
      <c r="M2780" t="n">
        <v>0</v>
      </c>
      <c r="N2780" t="n">
        <v>0</v>
      </c>
      <c r="O2780" t="n">
        <v>0</v>
      </c>
      <c r="P2780" t="n">
        <v>0</v>
      </c>
      <c r="Q2780" t="n">
        <v>0</v>
      </c>
      <c r="R2780" s="2" t="inlineStr"/>
    </row>
    <row r="2781" ht="15" customHeight="1">
      <c r="A2781" t="inlineStr">
        <is>
          <t>A 17974-2024</t>
        </is>
      </c>
      <c r="B2781" s="1" t="n">
        <v>45419.80950231481</v>
      </c>
      <c r="C2781" s="1" t="n">
        <v>45952</v>
      </c>
      <c r="D2781" t="inlineStr">
        <is>
          <t>VÄSTRA GÖTALANDS LÄN</t>
        </is>
      </c>
      <c r="E2781" t="inlineStr">
        <is>
          <t>FÄRGELANDA</t>
        </is>
      </c>
      <c r="G2781" t="n">
        <v>1.6</v>
      </c>
      <c r="H2781" t="n">
        <v>0</v>
      </c>
      <c r="I2781" t="n">
        <v>0</v>
      </c>
      <c r="J2781" t="n">
        <v>0</v>
      </c>
      <c r="K2781" t="n">
        <v>0</v>
      </c>
      <c r="L2781" t="n">
        <v>0</v>
      </c>
      <c r="M2781" t="n">
        <v>0</v>
      </c>
      <c r="N2781" t="n">
        <v>0</v>
      </c>
      <c r="O2781" t="n">
        <v>0</v>
      </c>
      <c r="P2781" t="n">
        <v>0</v>
      </c>
      <c r="Q2781" t="n">
        <v>0</v>
      </c>
      <c r="R2781" s="2" t="inlineStr"/>
    </row>
    <row r="2782" ht="15" customHeight="1">
      <c r="A2782" t="inlineStr">
        <is>
          <t>A 18017-2024</t>
        </is>
      </c>
      <c r="B2782" s="1" t="n">
        <v>45420</v>
      </c>
      <c r="C2782" s="1" t="n">
        <v>45952</v>
      </c>
      <c r="D2782" t="inlineStr">
        <is>
          <t>VÄSTRA GÖTALANDS LÄN</t>
        </is>
      </c>
      <c r="E2782" t="inlineStr">
        <is>
          <t>SKARA</t>
        </is>
      </c>
      <c r="F2782" t="inlineStr">
        <is>
          <t>Sveaskog</t>
        </is>
      </c>
      <c r="G2782" t="n">
        <v>4.6</v>
      </c>
      <c r="H2782" t="n">
        <v>0</v>
      </c>
      <c r="I2782" t="n">
        <v>0</v>
      </c>
      <c r="J2782" t="n">
        <v>0</v>
      </c>
      <c r="K2782" t="n">
        <v>0</v>
      </c>
      <c r="L2782" t="n">
        <v>0</v>
      </c>
      <c r="M2782" t="n">
        <v>0</v>
      </c>
      <c r="N2782" t="n">
        <v>0</v>
      </c>
      <c r="O2782" t="n">
        <v>0</v>
      </c>
      <c r="P2782" t="n">
        <v>0</v>
      </c>
      <c r="Q2782" t="n">
        <v>0</v>
      </c>
      <c r="R2782" s="2" t="inlineStr"/>
    </row>
    <row r="2783" ht="15" customHeight="1">
      <c r="A2783" t="inlineStr">
        <is>
          <t>A 42213-2022</t>
        </is>
      </c>
      <c r="B2783" s="1" t="n">
        <v>44830</v>
      </c>
      <c r="C2783" s="1" t="n">
        <v>45952</v>
      </c>
      <c r="D2783" t="inlineStr">
        <is>
          <t>VÄSTRA GÖTALANDS LÄN</t>
        </is>
      </c>
      <c r="E2783" t="inlineStr">
        <is>
          <t>BENGTSFORS</t>
        </is>
      </c>
      <c r="G2783" t="n">
        <v>2</v>
      </c>
      <c r="H2783" t="n">
        <v>0</v>
      </c>
      <c r="I2783" t="n">
        <v>0</v>
      </c>
      <c r="J2783" t="n">
        <v>0</v>
      </c>
      <c r="K2783" t="n">
        <v>0</v>
      </c>
      <c r="L2783" t="n">
        <v>0</v>
      </c>
      <c r="M2783" t="n">
        <v>0</v>
      </c>
      <c r="N2783" t="n">
        <v>0</v>
      </c>
      <c r="O2783" t="n">
        <v>0</v>
      </c>
      <c r="P2783" t="n">
        <v>0</v>
      </c>
      <c r="Q2783" t="n">
        <v>0</v>
      </c>
      <c r="R2783" s="2" t="inlineStr"/>
    </row>
    <row r="2784" ht="15" customHeight="1">
      <c r="A2784" t="inlineStr">
        <is>
          <t>A 31778-2021</t>
        </is>
      </c>
      <c r="B2784" s="1" t="n">
        <v>44369</v>
      </c>
      <c r="C2784" s="1" t="n">
        <v>45952</v>
      </c>
      <c r="D2784" t="inlineStr">
        <is>
          <t>VÄSTRA GÖTALANDS LÄN</t>
        </is>
      </c>
      <c r="E2784" t="inlineStr">
        <is>
          <t>TANUM</t>
        </is>
      </c>
      <c r="G2784" t="n">
        <v>11</v>
      </c>
      <c r="H2784" t="n">
        <v>0</v>
      </c>
      <c r="I2784" t="n">
        <v>0</v>
      </c>
      <c r="J2784" t="n">
        <v>0</v>
      </c>
      <c r="K2784" t="n">
        <v>0</v>
      </c>
      <c r="L2784" t="n">
        <v>0</v>
      </c>
      <c r="M2784" t="n">
        <v>0</v>
      </c>
      <c r="N2784" t="n">
        <v>0</v>
      </c>
      <c r="O2784" t="n">
        <v>0</v>
      </c>
      <c r="P2784" t="n">
        <v>0</v>
      </c>
      <c r="Q2784" t="n">
        <v>0</v>
      </c>
      <c r="R2784" s="2" t="inlineStr"/>
    </row>
    <row r="2785" ht="15" customHeight="1">
      <c r="A2785" t="inlineStr">
        <is>
          <t>A 25422-2021</t>
        </is>
      </c>
      <c r="B2785" s="1" t="n">
        <v>44342.64869212963</v>
      </c>
      <c r="C2785" s="1" t="n">
        <v>45952</v>
      </c>
      <c r="D2785" t="inlineStr">
        <is>
          <t>VÄSTRA GÖTALANDS LÄN</t>
        </is>
      </c>
      <c r="E2785" t="inlineStr">
        <is>
          <t>TROLLHÄTTAN</t>
        </is>
      </c>
      <c r="G2785" t="n">
        <v>0.5</v>
      </c>
      <c r="H2785" t="n">
        <v>0</v>
      </c>
      <c r="I2785" t="n">
        <v>0</v>
      </c>
      <c r="J2785" t="n">
        <v>0</v>
      </c>
      <c r="K2785" t="n">
        <v>0</v>
      </c>
      <c r="L2785" t="n">
        <v>0</v>
      </c>
      <c r="M2785" t="n">
        <v>0</v>
      </c>
      <c r="N2785" t="n">
        <v>0</v>
      </c>
      <c r="O2785" t="n">
        <v>0</v>
      </c>
      <c r="P2785" t="n">
        <v>0</v>
      </c>
      <c r="Q2785" t="n">
        <v>0</v>
      </c>
      <c r="R2785" s="2" t="inlineStr"/>
    </row>
    <row r="2786" ht="15" customHeight="1">
      <c r="A2786" t="inlineStr">
        <is>
          <t>A 44884-2021</t>
        </is>
      </c>
      <c r="B2786" s="1" t="n">
        <v>44438</v>
      </c>
      <c r="C2786" s="1" t="n">
        <v>45952</v>
      </c>
      <c r="D2786" t="inlineStr">
        <is>
          <t>VÄSTRA GÖTALANDS LÄN</t>
        </is>
      </c>
      <c r="E2786" t="inlineStr">
        <is>
          <t>MELLERUD</t>
        </is>
      </c>
      <c r="G2786" t="n">
        <v>5.7</v>
      </c>
      <c r="H2786" t="n">
        <v>0</v>
      </c>
      <c r="I2786" t="n">
        <v>0</v>
      </c>
      <c r="J2786" t="n">
        <v>0</v>
      </c>
      <c r="K2786" t="n">
        <v>0</v>
      </c>
      <c r="L2786" t="n">
        <v>0</v>
      </c>
      <c r="M2786" t="n">
        <v>0</v>
      </c>
      <c r="N2786" t="n">
        <v>0</v>
      </c>
      <c r="O2786" t="n">
        <v>0</v>
      </c>
      <c r="P2786" t="n">
        <v>0</v>
      </c>
      <c r="Q2786" t="n">
        <v>0</v>
      </c>
      <c r="R2786" s="2" t="inlineStr"/>
    </row>
    <row r="2787" ht="15" customHeight="1">
      <c r="A2787" t="inlineStr">
        <is>
          <t>A 15802-2025</t>
        </is>
      </c>
      <c r="B2787" s="1" t="n">
        <v>45748.65071759259</v>
      </c>
      <c r="C2787" s="1" t="n">
        <v>45952</v>
      </c>
      <c r="D2787" t="inlineStr">
        <is>
          <t>VÄSTRA GÖTALANDS LÄN</t>
        </is>
      </c>
      <c r="E2787" t="inlineStr">
        <is>
          <t>ALINGSÅS</t>
        </is>
      </c>
      <c r="G2787" t="n">
        <v>0.7</v>
      </c>
      <c r="H2787" t="n">
        <v>0</v>
      </c>
      <c r="I2787" t="n">
        <v>0</v>
      </c>
      <c r="J2787" t="n">
        <v>0</v>
      </c>
      <c r="K2787" t="n">
        <v>0</v>
      </c>
      <c r="L2787" t="n">
        <v>0</v>
      </c>
      <c r="M2787" t="n">
        <v>0</v>
      </c>
      <c r="N2787" t="n">
        <v>0</v>
      </c>
      <c r="O2787" t="n">
        <v>0</v>
      </c>
      <c r="P2787" t="n">
        <v>0</v>
      </c>
      <c r="Q2787" t="n">
        <v>0</v>
      </c>
      <c r="R2787" s="2" t="inlineStr"/>
    </row>
    <row r="2788" ht="15" customHeight="1">
      <c r="A2788" t="inlineStr">
        <is>
          <t>A 24966-2022</t>
        </is>
      </c>
      <c r="B2788" s="1" t="n">
        <v>44728.66501157408</v>
      </c>
      <c r="C2788" s="1" t="n">
        <v>45952</v>
      </c>
      <c r="D2788" t="inlineStr">
        <is>
          <t>VÄSTRA GÖTALANDS LÄN</t>
        </is>
      </c>
      <c r="E2788" t="inlineStr">
        <is>
          <t>BENGTSFORS</t>
        </is>
      </c>
      <c r="G2788" t="n">
        <v>1.4</v>
      </c>
      <c r="H2788" t="n">
        <v>0</v>
      </c>
      <c r="I2788" t="n">
        <v>0</v>
      </c>
      <c r="J2788" t="n">
        <v>0</v>
      </c>
      <c r="K2788" t="n">
        <v>0</v>
      </c>
      <c r="L2788" t="n">
        <v>0</v>
      </c>
      <c r="M2788" t="n">
        <v>0</v>
      </c>
      <c r="N2788" t="n">
        <v>0</v>
      </c>
      <c r="O2788" t="n">
        <v>0</v>
      </c>
      <c r="P2788" t="n">
        <v>0</v>
      </c>
      <c r="Q2788" t="n">
        <v>0</v>
      </c>
      <c r="R2788" s="2" t="inlineStr"/>
    </row>
    <row r="2789" ht="15" customHeight="1">
      <c r="A2789" t="inlineStr">
        <is>
          <t>A 24127-2024</t>
        </is>
      </c>
      <c r="B2789" s="1" t="n">
        <v>45456.63065972222</v>
      </c>
      <c r="C2789" s="1" t="n">
        <v>45952</v>
      </c>
      <c r="D2789" t="inlineStr">
        <is>
          <t>VÄSTRA GÖTALANDS LÄN</t>
        </is>
      </c>
      <c r="E2789" t="inlineStr">
        <is>
          <t>TROLLHÄTTAN</t>
        </is>
      </c>
      <c r="G2789" t="n">
        <v>1.8</v>
      </c>
      <c r="H2789" t="n">
        <v>0</v>
      </c>
      <c r="I2789" t="n">
        <v>0</v>
      </c>
      <c r="J2789" t="n">
        <v>0</v>
      </c>
      <c r="K2789" t="n">
        <v>0</v>
      </c>
      <c r="L2789" t="n">
        <v>0</v>
      </c>
      <c r="M2789" t="n">
        <v>0</v>
      </c>
      <c r="N2789" t="n">
        <v>0</v>
      </c>
      <c r="O2789" t="n">
        <v>0</v>
      </c>
      <c r="P2789" t="n">
        <v>0</v>
      </c>
      <c r="Q2789" t="n">
        <v>0</v>
      </c>
      <c r="R2789" s="2" t="inlineStr"/>
    </row>
    <row r="2790" ht="15" customHeight="1">
      <c r="A2790" t="inlineStr">
        <is>
          <t>A 51407-2022</t>
        </is>
      </c>
      <c r="B2790" s="1" t="n">
        <v>44866</v>
      </c>
      <c r="C2790" s="1" t="n">
        <v>45952</v>
      </c>
      <c r="D2790" t="inlineStr">
        <is>
          <t>VÄSTRA GÖTALANDS LÄN</t>
        </is>
      </c>
      <c r="E2790" t="inlineStr">
        <is>
          <t>MUNKEDAL</t>
        </is>
      </c>
      <c r="G2790" t="n">
        <v>0.4</v>
      </c>
      <c r="H2790" t="n">
        <v>0</v>
      </c>
      <c r="I2790" t="n">
        <v>0</v>
      </c>
      <c r="J2790" t="n">
        <v>0</v>
      </c>
      <c r="K2790" t="n">
        <v>0</v>
      </c>
      <c r="L2790" t="n">
        <v>0</v>
      </c>
      <c r="M2790" t="n">
        <v>0</v>
      </c>
      <c r="N2790" t="n">
        <v>0</v>
      </c>
      <c r="O2790" t="n">
        <v>0</v>
      </c>
      <c r="P2790" t="n">
        <v>0</v>
      </c>
      <c r="Q2790" t="n">
        <v>0</v>
      </c>
      <c r="R2790" s="2" t="inlineStr"/>
    </row>
    <row r="2791" ht="15" customHeight="1">
      <c r="A2791" t="inlineStr">
        <is>
          <t>A 37509-2022</t>
        </is>
      </c>
      <c r="B2791" s="1" t="n">
        <v>44809</v>
      </c>
      <c r="C2791" s="1" t="n">
        <v>45952</v>
      </c>
      <c r="D2791" t="inlineStr">
        <is>
          <t>VÄSTRA GÖTALANDS LÄN</t>
        </is>
      </c>
      <c r="E2791" t="inlineStr">
        <is>
          <t>ALINGSÅS</t>
        </is>
      </c>
      <c r="G2791" t="n">
        <v>1.5</v>
      </c>
      <c r="H2791" t="n">
        <v>0</v>
      </c>
      <c r="I2791" t="n">
        <v>0</v>
      </c>
      <c r="J2791" t="n">
        <v>0</v>
      </c>
      <c r="K2791" t="n">
        <v>0</v>
      </c>
      <c r="L2791" t="n">
        <v>0</v>
      </c>
      <c r="M2791" t="n">
        <v>0</v>
      </c>
      <c r="N2791" t="n">
        <v>0</v>
      </c>
      <c r="O2791" t="n">
        <v>0</v>
      </c>
      <c r="P2791" t="n">
        <v>0</v>
      </c>
      <c r="Q2791" t="n">
        <v>0</v>
      </c>
      <c r="R2791" s="2" t="inlineStr"/>
    </row>
    <row r="2792" ht="15" customHeight="1">
      <c r="A2792" t="inlineStr">
        <is>
          <t>A 27768-2024</t>
        </is>
      </c>
      <c r="B2792" s="1" t="n">
        <v>45475.51938657407</v>
      </c>
      <c r="C2792" s="1" t="n">
        <v>45952</v>
      </c>
      <c r="D2792" t="inlineStr">
        <is>
          <t>VÄSTRA GÖTALANDS LÄN</t>
        </is>
      </c>
      <c r="E2792" t="inlineStr">
        <is>
          <t>MARK</t>
        </is>
      </c>
      <c r="G2792" t="n">
        <v>1.4</v>
      </c>
      <c r="H2792" t="n">
        <v>0</v>
      </c>
      <c r="I2792" t="n">
        <v>0</v>
      </c>
      <c r="J2792" t="n">
        <v>0</v>
      </c>
      <c r="K2792" t="n">
        <v>0</v>
      </c>
      <c r="L2792" t="n">
        <v>0</v>
      </c>
      <c r="M2792" t="n">
        <v>0</v>
      </c>
      <c r="N2792" t="n">
        <v>0</v>
      </c>
      <c r="O2792" t="n">
        <v>0</v>
      </c>
      <c r="P2792" t="n">
        <v>0</v>
      </c>
      <c r="Q2792" t="n">
        <v>0</v>
      </c>
      <c r="R2792" s="2" t="inlineStr"/>
    </row>
    <row r="2793" ht="15" customHeight="1">
      <c r="A2793" t="inlineStr">
        <is>
          <t>A 2993-2023</t>
        </is>
      </c>
      <c r="B2793" s="1" t="n">
        <v>44945.73416666667</v>
      </c>
      <c r="C2793" s="1" t="n">
        <v>45952</v>
      </c>
      <c r="D2793" t="inlineStr">
        <is>
          <t>VÄSTRA GÖTALANDS LÄN</t>
        </is>
      </c>
      <c r="E2793" t="inlineStr">
        <is>
          <t>ULRICEHAMN</t>
        </is>
      </c>
      <c r="G2793" t="n">
        <v>3.2</v>
      </c>
      <c r="H2793" t="n">
        <v>0</v>
      </c>
      <c r="I2793" t="n">
        <v>0</v>
      </c>
      <c r="J2793" t="n">
        <v>0</v>
      </c>
      <c r="K2793" t="n">
        <v>0</v>
      </c>
      <c r="L2793" t="n">
        <v>0</v>
      </c>
      <c r="M2793" t="n">
        <v>0</v>
      </c>
      <c r="N2793" t="n">
        <v>0</v>
      </c>
      <c r="O2793" t="n">
        <v>0</v>
      </c>
      <c r="P2793" t="n">
        <v>0</v>
      </c>
      <c r="Q2793" t="n">
        <v>0</v>
      </c>
      <c r="R2793" s="2" t="inlineStr"/>
    </row>
    <row r="2794" ht="15" customHeight="1">
      <c r="A2794" t="inlineStr">
        <is>
          <t>A 16990-2024</t>
        </is>
      </c>
      <c r="B2794" s="1" t="n">
        <v>45412.32587962963</v>
      </c>
      <c r="C2794" s="1" t="n">
        <v>45952</v>
      </c>
      <c r="D2794" t="inlineStr">
        <is>
          <t>VÄSTRA GÖTALANDS LÄN</t>
        </is>
      </c>
      <c r="E2794" t="inlineStr">
        <is>
          <t>ULRICEHAMN</t>
        </is>
      </c>
      <c r="G2794" t="n">
        <v>0.9</v>
      </c>
      <c r="H2794" t="n">
        <v>0</v>
      </c>
      <c r="I2794" t="n">
        <v>0</v>
      </c>
      <c r="J2794" t="n">
        <v>0</v>
      </c>
      <c r="K2794" t="n">
        <v>0</v>
      </c>
      <c r="L2794" t="n">
        <v>0</v>
      </c>
      <c r="M2794" t="n">
        <v>0</v>
      </c>
      <c r="N2794" t="n">
        <v>0</v>
      </c>
      <c r="O2794" t="n">
        <v>0</v>
      </c>
      <c r="P2794" t="n">
        <v>0</v>
      </c>
      <c r="Q2794" t="n">
        <v>0</v>
      </c>
      <c r="R2794" s="2" t="inlineStr"/>
    </row>
    <row r="2795" ht="15" customHeight="1">
      <c r="A2795" t="inlineStr">
        <is>
          <t>A 14076-2025</t>
        </is>
      </c>
      <c r="B2795" s="1" t="n">
        <v>45739</v>
      </c>
      <c r="C2795" s="1" t="n">
        <v>45952</v>
      </c>
      <c r="D2795" t="inlineStr">
        <is>
          <t>VÄSTRA GÖTALANDS LÄN</t>
        </is>
      </c>
      <c r="E2795" t="inlineStr">
        <is>
          <t>TANUM</t>
        </is>
      </c>
      <c r="G2795" t="n">
        <v>1.4</v>
      </c>
      <c r="H2795" t="n">
        <v>0</v>
      </c>
      <c r="I2795" t="n">
        <v>0</v>
      </c>
      <c r="J2795" t="n">
        <v>0</v>
      </c>
      <c r="K2795" t="n">
        <v>0</v>
      </c>
      <c r="L2795" t="n">
        <v>0</v>
      </c>
      <c r="M2795" t="n">
        <v>0</v>
      </c>
      <c r="N2795" t="n">
        <v>0</v>
      </c>
      <c r="O2795" t="n">
        <v>0</v>
      </c>
      <c r="P2795" t="n">
        <v>0</v>
      </c>
      <c r="Q2795" t="n">
        <v>0</v>
      </c>
      <c r="R2795" s="2" t="inlineStr"/>
    </row>
    <row r="2796" ht="15" customHeight="1">
      <c r="A2796" t="inlineStr">
        <is>
          <t>A 58346-2024</t>
        </is>
      </c>
      <c r="B2796" s="1" t="n">
        <v>45632.64731481481</v>
      </c>
      <c r="C2796" s="1" t="n">
        <v>45952</v>
      </c>
      <c r="D2796" t="inlineStr">
        <is>
          <t>VÄSTRA GÖTALANDS LÄN</t>
        </is>
      </c>
      <c r="E2796" t="inlineStr">
        <is>
          <t>DALS-ED</t>
        </is>
      </c>
      <c r="G2796" t="n">
        <v>2.4</v>
      </c>
      <c r="H2796" t="n">
        <v>0</v>
      </c>
      <c r="I2796" t="n">
        <v>0</v>
      </c>
      <c r="J2796" t="n">
        <v>0</v>
      </c>
      <c r="K2796" t="n">
        <v>0</v>
      </c>
      <c r="L2796" t="n">
        <v>0</v>
      </c>
      <c r="M2796" t="n">
        <v>0</v>
      </c>
      <c r="N2796" t="n">
        <v>0</v>
      </c>
      <c r="O2796" t="n">
        <v>0</v>
      </c>
      <c r="P2796" t="n">
        <v>0</v>
      </c>
      <c r="Q2796" t="n">
        <v>0</v>
      </c>
      <c r="R2796" s="2" t="inlineStr"/>
    </row>
    <row r="2797" ht="15" customHeight="1">
      <c r="A2797" t="inlineStr">
        <is>
          <t>A 58385-2024</t>
        </is>
      </c>
      <c r="B2797" s="1" t="n">
        <v>45633.38069444444</v>
      </c>
      <c r="C2797" s="1" t="n">
        <v>45952</v>
      </c>
      <c r="D2797" t="inlineStr">
        <is>
          <t>VÄSTRA GÖTALANDS LÄN</t>
        </is>
      </c>
      <c r="E2797" t="inlineStr">
        <is>
          <t>UDDEVALLA</t>
        </is>
      </c>
      <c r="G2797" t="n">
        <v>0.7</v>
      </c>
      <c r="H2797" t="n">
        <v>0</v>
      </c>
      <c r="I2797" t="n">
        <v>0</v>
      </c>
      <c r="J2797" t="n">
        <v>0</v>
      </c>
      <c r="K2797" t="n">
        <v>0</v>
      </c>
      <c r="L2797" t="n">
        <v>0</v>
      </c>
      <c r="M2797" t="n">
        <v>0</v>
      </c>
      <c r="N2797" t="n">
        <v>0</v>
      </c>
      <c r="O2797" t="n">
        <v>0</v>
      </c>
      <c r="P2797" t="n">
        <v>0</v>
      </c>
      <c r="Q2797" t="n">
        <v>0</v>
      </c>
      <c r="R2797" s="2" t="inlineStr"/>
    </row>
    <row r="2798" ht="15" customHeight="1">
      <c r="A2798" t="inlineStr">
        <is>
          <t>A 38386-2022</t>
        </is>
      </c>
      <c r="B2798" s="1" t="n">
        <v>44812.72657407408</v>
      </c>
      <c r="C2798" s="1" t="n">
        <v>45952</v>
      </c>
      <c r="D2798" t="inlineStr">
        <is>
          <t>VÄSTRA GÖTALANDS LÄN</t>
        </is>
      </c>
      <c r="E2798" t="inlineStr">
        <is>
          <t>LILLA EDET</t>
        </is>
      </c>
      <c r="G2798" t="n">
        <v>0.4</v>
      </c>
      <c r="H2798" t="n">
        <v>0</v>
      </c>
      <c r="I2798" t="n">
        <v>0</v>
      </c>
      <c r="J2798" t="n">
        <v>0</v>
      </c>
      <c r="K2798" t="n">
        <v>0</v>
      </c>
      <c r="L2798" t="n">
        <v>0</v>
      </c>
      <c r="M2798" t="n">
        <v>0</v>
      </c>
      <c r="N2798" t="n">
        <v>0</v>
      </c>
      <c r="O2798" t="n">
        <v>0</v>
      </c>
      <c r="P2798" t="n">
        <v>0</v>
      </c>
      <c r="Q2798" t="n">
        <v>0</v>
      </c>
      <c r="R2798" s="2" t="inlineStr"/>
    </row>
    <row r="2799" ht="15" customHeight="1">
      <c r="A2799" t="inlineStr">
        <is>
          <t>A 58410-2024</t>
        </is>
      </c>
      <c r="B2799" s="1" t="n">
        <v>45634.74640046297</v>
      </c>
      <c r="C2799" s="1" t="n">
        <v>45952</v>
      </c>
      <c r="D2799" t="inlineStr">
        <is>
          <t>VÄSTRA GÖTALANDS LÄN</t>
        </is>
      </c>
      <c r="E2799" t="inlineStr">
        <is>
          <t>ALINGSÅS</t>
        </is>
      </c>
      <c r="G2799" t="n">
        <v>5.7</v>
      </c>
      <c r="H2799" t="n">
        <v>0</v>
      </c>
      <c r="I2799" t="n">
        <v>0</v>
      </c>
      <c r="J2799" t="n">
        <v>0</v>
      </c>
      <c r="K2799" t="n">
        <v>0</v>
      </c>
      <c r="L2799" t="n">
        <v>0</v>
      </c>
      <c r="M2799" t="n">
        <v>0</v>
      </c>
      <c r="N2799" t="n">
        <v>0</v>
      </c>
      <c r="O2799" t="n">
        <v>0</v>
      </c>
      <c r="P2799" t="n">
        <v>0</v>
      </c>
      <c r="Q2799" t="n">
        <v>0</v>
      </c>
      <c r="R2799" s="2" t="inlineStr"/>
    </row>
    <row r="2800" ht="15" customHeight="1">
      <c r="A2800" t="inlineStr">
        <is>
          <t>A 58418-2024</t>
        </is>
      </c>
      <c r="B2800" s="1" t="n">
        <v>45634</v>
      </c>
      <c r="C2800" s="1" t="n">
        <v>45952</v>
      </c>
      <c r="D2800" t="inlineStr">
        <is>
          <t>VÄSTRA GÖTALANDS LÄN</t>
        </is>
      </c>
      <c r="E2800" t="inlineStr">
        <is>
          <t>GÖTENE</t>
        </is>
      </c>
      <c r="G2800" t="n">
        <v>0.4</v>
      </c>
      <c r="H2800" t="n">
        <v>0</v>
      </c>
      <c r="I2800" t="n">
        <v>0</v>
      </c>
      <c r="J2800" t="n">
        <v>0</v>
      </c>
      <c r="K2800" t="n">
        <v>0</v>
      </c>
      <c r="L2800" t="n">
        <v>0</v>
      </c>
      <c r="M2800" t="n">
        <v>0</v>
      </c>
      <c r="N2800" t="n">
        <v>0</v>
      </c>
      <c r="O2800" t="n">
        <v>0</v>
      </c>
      <c r="P2800" t="n">
        <v>0</v>
      </c>
      <c r="Q2800" t="n">
        <v>0</v>
      </c>
      <c r="R2800" s="2" t="inlineStr"/>
    </row>
    <row r="2801" ht="15" customHeight="1">
      <c r="A2801" t="inlineStr">
        <is>
          <t>A 72297-2021</t>
        </is>
      </c>
      <c r="B2801" s="1" t="n">
        <v>44545.38498842593</v>
      </c>
      <c r="C2801" s="1" t="n">
        <v>45952</v>
      </c>
      <c r="D2801" t="inlineStr">
        <is>
          <t>VÄSTRA GÖTALANDS LÄN</t>
        </is>
      </c>
      <c r="E2801" t="inlineStr">
        <is>
          <t>FALKÖPING</t>
        </is>
      </c>
      <c r="G2801" t="n">
        <v>1.6</v>
      </c>
      <c r="H2801" t="n">
        <v>0</v>
      </c>
      <c r="I2801" t="n">
        <v>0</v>
      </c>
      <c r="J2801" t="n">
        <v>0</v>
      </c>
      <c r="K2801" t="n">
        <v>0</v>
      </c>
      <c r="L2801" t="n">
        <v>0</v>
      </c>
      <c r="M2801" t="n">
        <v>0</v>
      </c>
      <c r="N2801" t="n">
        <v>0</v>
      </c>
      <c r="O2801" t="n">
        <v>0</v>
      </c>
      <c r="P2801" t="n">
        <v>0</v>
      </c>
      <c r="Q2801" t="n">
        <v>0</v>
      </c>
      <c r="R2801" s="2" t="inlineStr"/>
    </row>
    <row r="2802" ht="15" customHeight="1">
      <c r="A2802" t="inlineStr">
        <is>
          <t>A 4624-2025</t>
        </is>
      </c>
      <c r="B2802" s="1" t="n">
        <v>45687.62030092593</v>
      </c>
      <c r="C2802" s="1" t="n">
        <v>45952</v>
      </c>
      <c r="D2802" t="inlineStr">
        <is>
          <t>VÄSTRA GÖTALANDS LÄN</t>
        </is>
      </c>
      <c r="E2802" t="inlineStr">
        <is>
          <t>VARA</t>
        </is>
      </c>
      <c r="G2802" t="n">
        <v>11.7</v>
      </c>
      <c r="H2802" t="n">
        <v>0</v>
      </c>
      <c r="I2802" t="n">
        <v>0</v>
      </c>
      <c r="J2802" t="n">
        <v>0</v>
      </c>
      <c r="K2802" t="n">
        <v>0</v>
      </c>
      <c r="L2802" t="n">
        <v>0</v>
      </c>
      <c r="M2802" t="n">
        <v>0</v>
      </c>
      <c r="N2802" t="n">
        <v>0</v>
      </c>
      <c r="O2802" t="n">
        <v>0</v>
      </c>
      <c r="P2802" t="n">
        <v>0</v>
      </c>
      <c r="Q2802" t="n">
        <v>0</v>
      </c>
      <c r="R2802" s="2" t="inlineStr"/>
    </row>
    <row r="2803" ht="15" customHeight="1">
      <c r="A2803" t="inlineStr">
        <is>
          <t>A 29086-2021</t>
        </is>
      </c>
      <c r="B2803" s="1" t="n">
        <v>44358.55907407407</v>
      </c>
      <c r="C2803" s="1" t="n">
        <v>45952</v>
      </c>
      <c r="D2803" t="inlineStr">
        <is>
          <t>VÄSTRA GÖTALANDS LÄN</t>
        </is>
      </c>
      <c r="E2803" t="inlineStr">
        <is>
          <t>MUNKEDAL</t>
        </is>
      </c>
      <c r="G2803" t="n">
        <v>3.6</v>
      </c>
      <c r="H2803" t="n">
        <v>0</v>
      </c>
      <c r="I2803" t="n">
        <v>0</v>
      </c>
      <c r="J2803" t="n">
        <v>0</v>
      </c>
      <c r="K2803" t="n">
        <v>0</v>
      </c>
      <c r="L2803" t="n">
        <v>0</v>
      </c>
      <c r="M2803" t="n">
        <v>0</v>
      </c>
      <c r="N2803" t="n">
        <v>0</v>
      </c>
      <c r="O2803" t="n">
        <v>0</v>
      </c>
      <c r="P2803" t="n">
        <v>0</v>
      </c>
      <c r="Q2803" t="n">
        <v>0</v>
      </c>
      <c r="R2803" s="2" t="inlineStr"/>
    </row>
    <row r="2804" ht="15" customHeight="1">
      <c r="A2804" t="inlineStr">
        <is>
          <t>A 43613-2022</t>
        </is>
      </c>
      <c r="B2804" s="1" t="n">
        <v>44837.50228009259</v>
      </c>
      <c r="C2804" s="1" t="n">
        <v>45952</v>
      </c>
      <c r="D2804" t="inlineStr">
        <is>
          <t>VÄSTRA GÖTALANDS LÄN</t>
        </is>
      </c>
      <c r="E2804" t="inlineStr">
        <is>
          <t>TRANEMO</t>
        </is>
      </c>
      <c r="G2804" t="n">
        <v>0.6</v>
      </c>
      <c r="H2804" t="n">
        <v>0</v>
      </c>
      <c r="I2804" t="n">
        <v>0</v>
      </c>
      <c r="J2804" t="n">
        <v>0</v>
      </c>
      <c r="K2804" t="n">
        <v>0</v>
      </c>
      <c r="L2804" t="n">
        <v>0</v>
      </c>
      <c r="M2804" t="n">
        <v>0</v>
      </c>
      <c r="N2804" t="n">
        <v>0</v>
      </c>
      <c r="O2804" t="n">
        <v>0</v>
      </c>
      <c r="P2804" t="n">
        <v>0</v>
      </c>
      <c r="Q2804" t="n">
        <v>0</v>
      </c>
      <c r="R2804" s="2" t="inlineStr"/>
    </row>
    <row r="2805" ht="15" customHeight="1">
      <c r="A2805" t="inlineStr">
        <is>
          <t>A 43620-2022</t>
        </is>
      </c>
      <c r="B2805" s="1" t="n">
        <v>44837</v>
      </c>
      <c r="C2805" s="1" t="n">
        <v>45952</v>
      </c>
      <c r="D2805" t="inlineStr">
        <is>
          <t>VÄSTRA GÖTALANDS LÄN</t>
        </is>
      </c>
      <c r="E2805" t="inlineStr">
        <is>
          <t>SVENLJUNGA</t>
        </is>
      </c>
      <c r="G2805" t="n">
        <v>2</v>
      </c>
      <c r="H2805" t="n">
        <v>0</v>
      </c>
      <c r="I2805" t="n">
        <v>0</v>
      </c>
      <c r="J2805" t="n">
        <v>0</v>
      </c>
      <c r="K2805" t="n">
        <v>0</v>
      </c>
      <c r="L2805" t="n">
        <v>0</v>
      </c>
      <c r="M2805" t="n">
        <v>0</v>
      </c>
      <c r="N2805" t="n">
        <v>0</v>
      </c>
      <c r="O2805" t="n">
        <v>0</v>
      </c>
      <c r="P2805" t="n">
        <v>0</v>
      </c>
      <c r="Q2805" t="n">
        <v>0</v>
      </c>
      <c r="R2805" s="2" t="inlineStr"/>
    </row>
    <row r="2806" ht="15" customHeight="1">
      <c r="A2806" t="inlineStr">
        <is>
          <t>A 9214-2024</t>
        </is>
      </c>
      <c r="B2806" s="1" t="n">
        <v>45358.50373842593</v>
      </c>
      <c r="C2806" s="1" t="n">
        <v>45952</v>
      </c>
      <c r="D2806" t="inlineStr">
        <is>
          <t>VÄSTRA GÖTALANDS LÄN</t>
        </is>
      </c>
      <c r="E2806" t="inlineStr">
        <is>
          <t>BENGTSFORS</t>
        </is>
      </c>
      <c r="G2806" t="n">
        <v>8.5</v>
      </c>
      <c r="H2806" t="n">
        <v>0</v>
      </c>
      <c r="I2806" t="n">
        <v>0</v>
      </c>
      <c r="J2806" t="n">
        <v>0</v>
      </c>
      <c r="K2806" t="n">
        <v>0</v>
      </c>
      <c r="L2806" t="n">
        <v>0</v>
      </c>
      <c r="M2806" t="n">
        <v>0</v>
      </c>
      <c r="N2806" t="n">
        <v>0</v>
      </c>
      <c r="O2806" t="n">
        <v>0</v>
      </c>
      <c r="P2806" t="n">
        <v>0</v>
      </c>
      <c r="Q2806" t="n">
        <v>0</v>
      </c>
      <c r="R2806" s="2" t="inlineStr"/>
    </row>
    <row r="2807" ht="15" customHeight="1">
      <c r="A2807" t="inlineStr">
        <is>
          <t>A 9215-2024</t>
        </is>
      </c>
      <c r="B2807" s="1" t="n">
        <v>45358</v>
      </c>
      <c r="C2807" s="1" t="n">
        <v>45952</v>
      </c>
      <c r="D2807" t="inlineStr">
        <is>
          <t>VÄSTRA GÖTALANDS LÄN</t>
        </is>
      </c>
      <c r="E2807" t="inlineStr">
        <is>
          <t>VARA</t>
        </is>
      </c>
      <c r="G2807" t="n">
        <v>12.2</v>
      </c>
      <c r="H2807" t="n">
        <v>0</v>
      </c>
      <c r="I2807" t="n">
        <v>0</v>
      </c>
      <c r="J2807" t="n">
        <v>0</v>
      </c>
      <c r="K2807" t="n">
        <v>0</v>
      </c>
      <c r="L2807" t="n">
        <v>0</v>
      </c>
      <c r="M2807" t="n">
        <v>0</v>
      </c>
      <c r="N2807" t="n">
        <v>0</v>
      </c>
      <c r="O2807" t="n">
        <v>0</v>
      </c>
      <c r="P2807" t="n">
        <v>0</v>
      </c>
      <c r="Q2807" t="n">
        <v>0</v>
      </c>
      <c r="R2807" s="2" t="inlineStr"/>
    </row>
    <row r="2808" ht="15" customHeight="1">
      <c r="A2808" t="inlineStr">
        <is>
          <t>A 14609-2024</t>
        </is>
      </c>
      <c r="B2808" s="1" t="n">
        <v>45396.86570601852</v>
      </c>
      <c r="C2808" s="1" t="n">
        <v>45952</v>
      </c>
      <c r="D2808" t="inlineStr">
        <is>
          <t>VÄSTRA GÖTALANDS LÄN</t>
        </is>
      </c>
      <c r="E2808" t="inlineStr">
        <is>
          <t>ORUST</t>
        </is>
      </c>
      <c r="G2808" t="n">
        <v>2.3</v>
      </c>
      <c r="H2808" t="n">
        <v>0</v>
      </c>
      <c r="I2808" t="n">
        <v>0</v>
      </c>
      <c r="J2808" t="n">
        <v>0</v>
      </c>
      <c r="K2808" t="n">
        <v>0</v>
      </c>
      <c r="L2808" t="n">
        <v>0</v>
      </c>
      <c r="M2808" t="n">
        <v>0</v>
      </c>
      <c r="N2808" t="n">
        <v>0</v>
      </c>
      <c r="O2808" t="n">
        <v>0</v>
      </c>
      <c r="P2808" t="n">
        <v>0</v>
      </c>
      <c r="Q2808" t="n">
        <v>0</v>
      </c>
      <c r="R2808" s="2" t="inlineStr"/>
    </row>
    <row r="2809" ht="15" customHeight="1">
      <c r="A2809" t="inlineStr">
        <is>
          <t>A 54521-2022</t>
        </is>
      </c>
      <c r="B2809" s="1" t="n">
        <v>44882.73644675926</v>
      </c>
      <c r="C2809" s="1" t="n">
        <v>45952</v>
      </c>
      <c r="D2809" t="inlineStr">
        <is>
          <t>VÄSTRA GÖTALANDS LÄN</t>
        </is>
      </c>
      <c r="E2809" t="inlineStr">
        <is>
          <t>ULRICEHAMN</t>
        </is>
      </c>
      <c r="G2809" t="n">
        <v>1.3</v>
      </c>
      <c r="H2809" t="n">
        <v>0</v>
      </c>
      <c r="I2809" t="n">
        <v>0</v>
      </c>
      <c r="J2809" t="n">
        <v>0</v>
      </c>
      <c r="K2809" t="n">
        <v>0</v>
      </c>
      <c r="L2809" t="n">
        <v>0</v>
      </c>
      <c r="M2809" t="n">
        <v>0</v>
      </c>
      <c r="N2809" t="n">
        <v>0</v>
      </c>
      <c r="O2809" t="n">
        <v>0</v>
      </c>
      <c r="P2809" t="n">
        <v>0</v>
      </c>
      <c r="Q2809" t="n">
        <v>0</v>
      </c>
      <c r="R2809" s="2" t="inlineStr"/>
    </row>
    <row r="2810" ht="15" customHeight="1">
      <c r="A2810" t="inlineStr">
        <is>
          <t>A 31065-2022</t>
        </is>
      </c>
      <c r="B2810" s="1" t="n">
        <v>44769</v>
      </c>
      <c r="C2810" s="1" t="n">
        <v>45952</v>
      </c>
      <c r="D2810" t="inlineStr">
        <is>
          <t>VÄSTRA GÖTALANDS LÄN</t>
        </is>
      </c>
      <c r="E2810" t="inlineStr">
        <is>
          <t>BORÅS</t>
        </is>
      </c>
      <c r="G2810" t="n">
        <v>1.9</v>
      </c>
      <c r="H2810" t="n">
        <v>0</v>
      </c>
      <c r="I2810" t="n">
        <v>0</v>
      </c>
      <c r="J2810" t="n">
        <v>0</v>
      </c>
      <c r="K2810" t="n">
        <v>0</v>
      </c>
      <c r="L2810" t="n">
        <v>0</v>
      </c>
      <c r="M2810" t="n">
        <v>0</v>
      </c>
      <c r="N2810" t="n">
        <v>0</v>
      </c>
      <c r="O2810" t="n">
        <v>0</v>
      </c>
      <c r="P2810" t="n">
        <v>0</v>
      </c>
      <c r="Q2810" t="n">
        <v>0</v>
      </c>
      <c r="R2810" s="2" t="inlineStr"/>
    </row>
    <row r="2811" ht="15" customHeight="1">
      <c r="A2811" t="inlineStr">
        <is>
          <t>A 55675-2020</t>
        </is>
      </c>
      <c r="B2811" s="1" t="n">
        <v>44132</v>
      </c>
      <c r="C2811" s="1" t="n">
        <v>45952</v>
      </c>
      <c r="D2811" t="inlineStr">
        <is>
          <t>VÄSTRA GÖTALANDS LÄN</t>
        </is>
      </c>
      <c r="E2811" t="inlineStr">
        <is>
          <t>TRANEMO</t>
        </is>
      </c>
      <c r="F2811" t="inlineStr">
        <is>
          <t>Sveaskog</t>
        </is>
      </c>
      <c r="G2811" t="n">
        <v>2</v>
      </c>
      <c r="H2811" t="n">
        <v>0</v>
      </c>
      <c r="I2811" t="n">
        <v>0</v>
      </c>
      <c r="J2811" t="n">
        <v>0</v>
      </c>
      <c r="K2811" t="n">
        <v>0</v>
      </c>
      <c r="L2811" t="n">
        <v>0</v>
      </c>
      <c r="M2811" t="n">
        <v>0</v>
      </c>
      <c r="N2811" t="n">
        <v>0</v>
      </c>
      <c r="O2811" t="n">
        <v>0</v>
      </c>
      <c r="P2811" t="n">
        <v>0</v>
      </c>
      <c r="Q2811" t="n">
        <v>0</v>
      </c>
      <c r="R2811" s="2" t="inlineStr"/>
    </row>
    <row r="2812" ht="15" customHeight="1">
      <c r="A2812" t="inlineStr">
        <is>
          <t>A 61281-2024</t>
        </is>
      </c>
      <c r="B2812" s="1" t="n">
        <v>45645.78270833333</v>
      </c>
      <c r="C2812" s="1" t="n">
        <v>45952</v>
      </c>
      <c r="D2812" t="inlineStr">
        <is>
          <t>VÄSTRA GÖTALANDS LÄN</t>
        </is>
      </c>
      <c r="E2812" t="inlineStr">
        <is>
          <t>TÖREBODA</t>
        </is>
      </c>
      <c r="G2812" t="n">
        <v>1</v>
      </c>
      <c r="H2812" t="n">
        <v>0</v>
      </c>
      <c r="I2812" t="n">
        <v>0</v>
      </c>
      <c r="J2812" t="n">
        <v>0</v>
      </c>
      <c r="K2812" t="n">
        <v>0</v>
      </c>
      <c r="L2812" t="n">
        <v>0</v>
      </c>
      <c r="M2812" t="n">
        <v>0</v>
      </c>
      <c r="N2812" t="n">
        <v>0</v>
      </c>
      <c r="O2812" t="n">
        <v>0</v>
      </c>
      <c r="P2812" t="n">
        <v>0</v>
      </c>
      <c r="Q2812" t="n">
        <v>0</v>
      </c>
      <c r="R2812" s="2" t="inlineStr"/>
    </row>
    <row r="2813" ht="15" customHeight="1">
      <c r="A2813" t="inlineStr">
        <is>
          <t>A 33376-2021</t>
        </is>
      </c>
      <c r="B2813" s="1" t="n">
        <v>44377</v>
      </c>
      <c r="C2813" s="1" t="n">
        <v>45952</v>
      </c>
      <c r="D2813" t="inlineStr">
        <is>
          <t>VÄSTRA GÖTALANDS LÄN</t>
        </is>
      </c>
      <c r="E2813" t="inlineStr">
        <is>
          <t>MARK</t>
        </is>
      </c>
      <c r="G2813" t="n">
        <v>1.7</v>
      </c>
      <c r="H2813" t="n">
        <v>0</v>
      </c>
      <c r="I2813" t="n">
        <v>0</v>
      </c>
      <c r="J2813" t="n">
        <v>0</v>
      </c>
      <c r="K2813" t="n">
        <v>0</v>
      </c>
      <c r="L2813" t="n">
        <v>0</v>
      </c>
      <c r="M2813" t="n">
        <v>0</v>
      </c>
      <c r="N2813" t="n">
        <v>0</v>
      </c>
      <c r="O2813" t="n">
        <v>0</v>
      </c>
      <c r="P2813" t="n">
        <v>0</v>
      </c>
      <c r="Q2813" t="n">
        <v>0</v>
      </c>
      <c r="R2813" s="2" t="inlineStr"/>
    </row>
    <row r="2814" ht="15" customHeight="1">
      <c r="A2814" t="inlineStr">
        <is>
          <t>A 23984-2024</t>
        </is>
      </c>
      <c r="B2814" s="1" t="n">
        <v>45456.34149305556</v>
      </c>
      <c r="C2814" s="1" t="n">
        <v>45952</v>
      </c>
      <c r="D2814" t="inlineStr">
        <is>
          <t>VÄSTRA GÖTALANDS LÄN</t>
        </is>
      </c>
      <c r="E2814" t="inlineStr">
        <is>
          <t>TROLLHÄTTAN</t>
        </is>
      </c>
      <c r="G2814" t="n">
        <v>1.3</v>
      </c>
      <c r="H2814" t="n">
        <v>0</v>
      </c>
      <c r="I2814" t="n">
        <v>0</v>
      </c>
      <c r="J2814" t="n">
        <v>0</v>
      </c>
      <c r="K2814" t="n">
        <v>0</v>
      </c>
      <c r="L2814" t="n">
        <v>0</v>
      </c>
      <c r="M2814" t="n">
        <v>0</v>
      </c>
      <c r="N2814" t="n">
        <v>0</v>
      </c>
      <c r="O2814" t="n">
        <v>0</v>
      </c>
      <c r="P2814" t="n">
        <v>0</v>
      </c>
      <c r="Q2814" t="n">
        <v>0</v>
      </c>
      <c r="R2814" s="2" t="inlineStr"/>
    </row>
    <row r="2815" ht="15" customHeight="1">
      <c r="A2815" t="inlineStr">
        <is>
          <t>A 24000-2024</t>
        </is>
      </c>
      <c r="B2815" s="1" t="n">
        <v>45456.38</v>
      </c>
      <c r="C2815" s="1" t="n">
        <v>45952</v>
      </c>
      <c r="D2815" t="inlineStr">
        <is>
          <t>VÄSTRA GÖTALANDS LÄN</t>
        </is>
      </c>
      <c r="E2815" t="inlineStr">
        <is>
          <t>ALINGSÅS</t>
        </is>
      </c>
      <c r="G2815" t="n">
        <v>4.9</v>
      </c>
      <c r="H2815" t="n">
        <v>0</v>
      </c>
      <c r="I2815" t="n">
        <v>0</v>
      </c>
      <c r="J2815" t="n">
        <v>0</v>
      </c>
      <c r="K2815" t="n">
        <v>0</v>
      </c>
      <c r="L2815" t="n">
        <v>0</v>
      </c>
      <c r="M2815" t="n">
        <v>0</v>
      </c>
      <c r="N2815" t="n">
        <v>0</v>
      </c>
      <c r="O2815" t="n">
        <v>0</v>
      </c>
      <c r="P2815" t="n">
        <v>0</v>
      </c>
      <c r="Q2815" t="n">
        <v>0</v>
      </c>
      <c r="R2815" s="2" t="inlineStr"/>
    </row>
    <row r="2816" ht="15" customHeight="1">
      <c r="A2816" t="inlineStr">
        <is>
          <t>A 7522-2024</t>
        </is>
      </c>
      <c r="B2816" s="1" t="n">
        <v>45348</v>
      </c>
      <c r="C2816" s="1" t="n">
        <v>45952</v>
      </c>
      <c r="D2816" t="inlineStr">
        <is>
          <t>VÄSTRA GÖTALANDS LÄN</t>
        </is>
      </c>
      <c r="E2816" t="inlineStr">
        <is>
          <t>DALS-ED</t>
        </is>
      </c>
      <c r="G2816" t="n">
        <v>0.6</v>
      </c>
      <c r="H2816" t="n">
        <v>0</v>
      </c>
      <c r="I2816" t="n">
        <v>0</v>
      </c>
      <c r="J2816" t="n">
        <v>0</v>
      </c>
      <c r="K2816" t="n">
        <v>0</v>
      </c>
      <c r="L2816" t="n">
        <v>0</v>
      </c>
      <c r="M2816" t="n">
        <v>0</v>
      </c>
      <c r="N2816" t="n">
        <v>0</v>
      </c>
      <c r="O2816" t="n">
        <v>0</v>
      </c>
      <c r="P2816" t="n">
        <v>0</v>
      </c>
      <c r="Q2816" t="n">
        <v>0</v>
      </c>
      <c r="R2816" s="2" t="inlineStr"/>
    </row>
    <row r="2817" ht="15" customHeight="1">
      <c r="A2817" t="inlineStr">
        <is>
          <t>A 7532-2024</t>
        </is>
      </c>
      <c r="B2817" s="1" t="n">
        <v>45348.3955324074</v>
      </c>
      <c r="C2817" s="1" t="n">
        <v>45952</v>
      </c>
      <c r="D2817" t="inlineStr">
        <is>
          <t>VÄSTRA GÖTALANDS LÄN</t>
        </is>
      </c>
      <c r="E2817" t="inlineStr">
        <is>
          <t>ULRICEHAMN</t>
        </is>
      </c>
      <c r="G2817" t="n">
        <v>1.2</v>
      </c>
      <c r="H2817" t="n">
        <v>0</v>
      </c>
      <c r="I2817" t="n">
        <v>0</v>
      </c>
      <c r="J2817" t="n">
        <v>0</v>
      </c>
      <c r="K2817" t="n">
        <v>0</v>
      </c>
      <c r="L2817" t="n">
        <v>0</v>
      </c>
      <c r="M2817" t="n">
        <v>0</v>
      </c>
      <c r="N2817" t="n">
        <v>0</v>
      </c>
      <c r="O2817" t="n">
        <v>0</v>
      </c>
      <c r="P2817" t="n">
        <v>0</v>
      </c>
      <c r="Q2817" t="n">
        <v>0</v>
      </c>
      <c r="R2817" s="2" t="inlineStr"/>
    </row>
    <row r="2818" ht="15" customHeight="1">
      <c r="A2818" t="inlineStr">
        <is>
          <t>A 43495-2022</t>
        </is>
      </c>
      <c r="B2818" s="1" t="n">
        <v>44834</v>
      </c>
      <c r="C2818" s="1" t="n">
        <v>45952</v>
      </c>
      <c r="D2818" t="inlineStr">
        <is>
          <t>VÄSTRA GÖTALANDS LÄN</t>
        </is>
      </c>
      <c r="E2818" t="inlineStr">
        <is>
          <t>BENGTSFORS</t>
        </is>
      </c>
      <c r="G2818" t="n">
        <v>0.6</v>
      </c>
      <c r="H2818" t="n">
        <v>0</v>
      </c>
      <c r="I2818" t="n">
        <v>0</v>
      </c>
      <c r="J2818" t="n">
        <v>0</v>
      </c>
      <c r="K2818" t="n">
        <v>0</v>
      </c>
      <c r="L2818" t="n">
        <v>0</v>
      </c>
      <c r="M2818" t="n">
        <v>0</v>
      </c>
      <c r="N2818" t="n">
        <v>0</v>
      </c>
      <c r="O2818" t="n">
        <v>0</v>
      </c>
      <c r="P2818" t="n">
        <v>0</v>
      </c>
      <c r="Q2818" t="n">
        <v>0</v>
      </c>
      <c r="R2818" s="2" t="inlineStr"/>
    </row>
    <row r="2819" ht="15" customHeight="1">
      <c r="A2819" t="inlineStr">
        <is>
          <t>A 50677-2021</t>
        </is>
      </c>
      <c r="B2819" s="1" t="n">
        <v>44460.32847222222</v>
      </c>
      <c r="C2819" s="1" t="n">
        <v>45952</v>
      </c>
      <c r="D2819" t="inlineStr">
        <is>
          <t>VÄSTRA GÖTALANDS LÄN</t>
        </is>
      </c>
      <c r="E2819" t="inlineStr">
        <is>
          <t>ULRICEHAMN</t>
        </is>
      </c>
      <c r="G2819" t="n">
        <v>1.3</v>
      </c>
      <c r="H2819" t="n">
        <v>0</v>
      </c>
      <c r="I2819" t="n">
        <v>0</v>
      </c>
      <c r="J2819" t="n">
        <v>0</v>
      </c>
      <c r="K2819" t="n">
        <v>0</v>
      </c>
      <c r="L2819" t="n">
        <v>0</v>
      </c>
      <c r="M2819" t="n">
        <v>0</v>
      </c>
      <c r="N2819" t="n">
        <v>0</v>
      </c>
      <c r="O2819" t="n">
        <v>0</v>
      </c>
      <c r="P2819" t="n">
        <v>0</v>
      </c>
      <c r="Q2819" t="n">
        <v>0</v>
      </c>
      <c r="R2819" s="2" t="inlineStr"/>
    </row>
    <row r="2820" ht="15" customHeight="1">
      <c r="A2820" t="inlineStr">
        <is>
          <t>A 20280-2022</t>
        </is>
      </c>
      <c r="B2820" s="1" t="n">
        <v>44698.72146990741</v>
      </c>
      <c r="C2820" s="1" t="n">
        <v>45952</v>
      </c>
      <c r="D2820" t="inlineStr">
        <is>
          <t>VÄSTRA GÖTALANDS LÄN</t>
        </is>
      </c>
      <c r="E2820" t="inlineStr">
        <is>
          <t>SKÖVDE</t>
        </is>
      </c>
      <c r="G2820" t="n">
        <v>1.1</v>
      </c>
      <c r="H2820" t="n">
        <v>0</v>
      </c>
      <c r="I2820" t="n">
        <v>0</v>
      </c>
      <c r="J2820" t="n">
        <v>0</v>
      </c>
      <c r="K2820" t="n">
        <v>0</v>
      </c>
      <c r="L2820" t="n">
        <v>0</v>
      </c>
      <c r="M2820" t="n">
        <v>0</v>
      </c>
      <c r="N2820" t="n">
        <v>0</v>
      </c>
      <c r="O2820" t="n">
        <v>0</v>
      </c>
      <c r="P2820" t="n">
        <v>0</v>
      </c>
      <c r="Q2820" t="n">
        <v>0</v>
      </c>
      <c r="R2820" s="2" t="inlineStr"/>
    </row>
    <row r="2821" ht="15" customHeight="1">
      <c r="A2821" t="inlineStr">
        <is>
          <t>A 46381-2022</t>
        </is>
      </c>
      <c r="B2821" s="1" t="n">
        <v>44848</v>
      </c>
      <c r="C2821" s="1" t="n">
        <v>45952</v>
      </c>
      <c r="D2821" t="inlineStr">
        <is>
          <t>VÄSTRA GÖTALANDS LÄN</t>
        </is>
      </c>
      <c r="E2821" t="inlineStr">
        <is>
          <t>GÖTENE</t>
        </is>
      </c>
      <c r="F2821" t="inlineStr">
        <is>
          <t>Sveaskog</t>
        </is>
      </c>
      <c r="G2821" t="n">
        <v>1</v>
      </c>
      <c r="H2821" t="n">
        <v>0</v>
      </c>
      <c r="I2821" t="n">
        <v>0</v>
      </c>
      <c r="J2821" t="n">
        <v>0</v>
      </c>
      <c r="K2821" t="n">
        <v>0</v>
      </c>
      <c r="L2821" t="n">
        <v>0</v>
      </c>
      <c r="M2821" t="n">
        <v>0</v>
      </c>
      <c r="N2821" t="n">
        <v>0</v>
      </c>
      <c r="O2821" t="n">
        <v>0</v>
      </c>
      <c r="P2821" t="n">
        <v>0</v>
      </c>
      <c r="Q2821" t="n">
        <v>0</v>
      </c>
      <c r="R2821" s="2" t="inlineStr"/>
    </row>
    <row r="2822" ht="15" customHeight="1">
      <c r="A2822" t="inlineStr">
        <is>
          <t>A 36560-2021</t>
        </is>
      </c>
      <c r="B2822" s="1" t="n">
        <v>44391</v>
      </c>
      <c r="C2822" s="1" t="n">
        <v>45952</v>
      </c>
      <c r="D2822" t="inlineStr">
        <is>
          <t>VÄSTRA GÖTALANDS LÄN</t>
        </is>
      </c>
      <c r="E2822" t="inlineStr">
        <is>
          <t>ULRICEHAMN</t>
        </is>
      </c>
      <c r="G2822" t="n">
        <v>1.6</v>
      </c>
      <c r="H2822" t="n">
        <v>0</v>
      </c>
      <c r="I2822" t="n">
        <v>0</v>
      </c>
      <c r="J2822" t="n">
        <v>0</v>
      </c>
      <c r="K2822" t="n">
        <v>0</v>
      </c>
      <c r="L2822" t="n">
        <v>0</v>
      </c>
      <c r="M2822" t="n">
        <v>0</v>
      </c>
      <c r="N2822" t="n">
        <v>0</v>
      </c>
      <c r="O2822" t="n">
        <v>0</v>
      </c>
      <c r="P2822" t="n">
        <v>0</v>
      </c>
      <c r="Q2822" t="n">
        <v>0</v>
      </c>
      <c r="R2822" s="2" t="inlineStr"/>
    </row>
    <row r="2823" ht="15" customHeight="1">
      <c r="A2823" t="inlineStr">
        <is>
          <t>A 16265-2025</t>
        </is>
      </c>
      <c r="B2823" s="1" t="n">
        <v>45750.8152662037</v>
      </c>
      <c r="C2823" s="1" t="n">
        <v>45952</v>
      </c>
      <c r="D2823" t="inlineStr">
        <is>
          <t>VÄSTRA GÖTALANDS LÄN</t>
        </is>
      </c>
      <c r="E2823" t="inlineStr">
        <is>
          <t>TÖREBODA</t>
        </is>
      </c>
      <c r="G2823" t="n">
        <v>2</v>
      </c>
      <c r="H2823" t="n">
        <v>0</v>
      </c>
      <c r="I2823" t="n">
        <v>0</v>
      </c>
      <c r="J2823" t="n">
        <v>0</v>
      </c>
      <c r="K2823" t="n">
        <v>0</v>
      </c>
      <c r="L2823" t="n">
        <v>0</v>
      </c>
      <c r="M2823" t="n">
        <v>0</v>
      </c>
      <c r="N2823" t="n">
        <v>0</v>
      </c>
      <c r="O2823" t="n">
        <v>0</v>
      </c>
      <c r="P2823" t="n">
        <v>0</v>
      </c>
      <c r="Q2823" t="n">
        <v>0</v>
      </c>
      <c r="R2823" s="2" t="inlineStr"/>
    </row>
    <row r="2824" ht="15" customHeight="1">
      <c r="A2824" t="inlineStr">
        <is>
          <t>A 16282-2025</t>
        </is>
      </c>
      <c r="B2824" s="1" t="n">
        <v>45751.29126157407</v>
      </c>
      <c r="C2824" s="1" t="n">
        <v>45952</v>
      </c>
      <c r="D2824" t="inlineStr">
        <is>
          <t>VÄSTRA GÖTALANDS LÄN</t>
        </is>
      </c>
      <c r="E2824" t="inlineStr">
        <is>
          <t>VÅRGÅRDA</t>
        </is>
      </c>
      <c r="F2824" t="inlineStr">
        <is>
          <t>Sveaskog</t>
        </is>
      </c>
      <c r="G2824" t="n">
        <v>0.8</v>
      </c>
      <c r="H2824" t="n">
        <v>0</v>
      </c>
      <c r="I2824" t="n">
        <v>0</v>
      </c>
      <c r="J2824" t="n">
        <v>0</v>
      </c>
      <c r="K2824" t="n">
        <v>0</v>
      </c>
      <c r="L2824" t="n">
        <v>0</v>
      </c>
      <c r="M2824" t="n">
        <v>0</v>
      </c>
      <c r="N2824" t="n">
        <v>0</v>
      </c>
      <c r="O2824" t="n">
        <v>0</v>
      </c>
      <c r="P2824" t="n">
        <v>0</v>
      </c>
      <c r="Q2824" t="n">
        <v>0</v>
      </c>
      <c r="R2824" s="2" t="inlineStr"/>
    </row>
    <row r="2825" ht="15" customHeight="1">
      <c r="A2825" t="inlineStr">
        <is>
          <t>A 46454-2022</t>
        </is>
      </c>
      <c r="B2825" s="1" t="n">
        <v>44847</v>
      </c>
      <c r="C2825" s="1" t="n">
        <v>45952</v>
      </c>
      <c r="D2825" t="inlineStr">
        <is>
          <t>VÄSTRA GÖTALANDS LÄN</t>
        </is>
      </c>
      <c r="E2825" t="inlineStr">
        <is>
          <t>HERRLJUNGA</t>
        </is>
      </c>
      <c r="G2825" t="n">
        <v>0.5</v>
      </c>
      <c r="H2825" t="n">
        <v>0</v>
      </c>
      <c r="I2825" t="n">
        <v>0</v>
      </c>
      <c r="J2825" t="n">
        <v>0</v>
      </c>
      <c r="K2825" t="n">
        <v>0</v>
      </c>
      <c r="L2825" t="n">
        <v>0</v>
      </c>
      <c r="M2825" t="n">
        <v>0</v>
      </c>
      <c r="N2825" t="n">
        <v>0</v>
      </c>
      <c r="O2825" t="n">
        <v>0</v>
      </c>
      <c r="P2825" t="n">
        <v>0</v>
      </c>
      <c r="Q2825" t="n">
        <v>0</v>
      </c>
      <c r="R2825" s="2" t="inlineStr"/>
    </row>
    <row r="2826" ht="15" customHeight="1">
      <c r="A2826" t="inlineStr">
        <is>
          <t>A 16342-2025</t>
        </is>
      </c>
      <c r="B2826" s="1" t="n">
        <v>45751.37185185185</v>
      </c>
      <c r="C2826" s="1" t="n">
        <v>45952</v>
      </c>
      <c r="D2826" t="inlineStr">
        <is>
          <t>VÄSTRA GÖTALANDS LÄN</t>
        </is>
      </c>
      <c r="E2826" t="inlineStr">
        <is>
          <t>GULLSPÅNG</t>
        </is>
      </c>
      <c r="F2826" t="inlineStr">
        <is>
          <t>Kyrkan</t>
        </is>
      </c>
      <c r="G2826" t="n">
        <v>1.9</v>
      </c>
      <c r="H2826" t="n">
        <v>0</v>
      </c>
      <c r="I2826" t="n">
        <v>0</v>
      </c>
      <c r="J2826" t="n">
        <v>0</v>
      </c>
      <c r="K2826" t="n">
        <v>0</v>
      </c>
      <c r="L2826" t="n">
        <v>0</v>
      </c>
      <c r="M2826" t="n">
        <v>0</v>
      </c>
      <c r="N2826" t="n">
        <v>0</v>
      </c>
      <c r="O2826" t="n">
        <v>0</v>
      </c>
      <c r="P2826" t="n">
        <v>0</v>
      </c>
      <c r="Q2826" t="n">
        <v>0</v>
      </c>
      <c r="R2826" s="2" t="inlineStr"/>
    </row>
    <row r="2827" ht="15" customHeight="1">
      <c r="A2827" t="inlineStr">
        <is>
          <t>A 16390-2025</t>
        </is>
      </c>
      <c r="B2827" s="1" t="n">
        <v>45751.42887731481</v>
      </c>
      <c r="C2827" s="1" t="n">
        <v>45952</v>
      </c>
      <c r="D2827" t="inlineStr">
        <is>
          <t>VÄSTRA GÖTALANDS LÄN</t>
        </is>
      </c>
      <c r="E2827" t="inlineStr">
        <is>
          <t>SVENLJUNGA</t>
        </is>
      </c>
      <c r="G2827" t="n">
        <v>0.7</v>
      </c>
      <c r="H2827" t="n">
        <v>0</v>
      </c>
      <c r="I2827" t="n">
        <v>0</v>
      </c>
      <c r="J2827" t="n">
        <v>0</v>
      </c>
      <c r="K2827" t="n">
        <v>0</v>
      </c>
      <c r="L2827" t="n">
        <v>0</v>
      </c>
      <c r="M2827" t="n">
        <v>0</v>
      </c>
      <c r="N2827" t="n">
        <v>0</v>
      </c>
      <c r="O2827" t="n">
        <v>0</v>
      </c>
      <c r="P2827" t="n">
        <v>0</v>
      </c>
      <c r="Q2827" t="n">
        <v>0</v>
      </c>
      <c r="R2827" s="2" t="inlineStr"/>
    </row>
    <row r="2828" ht="15" customHeight="1">
      <c r="A2828" t="inlineStr">
        <is>
          <t>A 21982-2024</t>
        </is>
      </c>
      <c r="B2828" s="1" t="n">
        <v>45443</v>
      </c>
      <c r="C2828" s="1" t="n">
        <v>45952</v>
      </c>
      <c r="D2828" t="inlineStr">
        <is>
          <t>VÄSTRA GÖTALANDS LÄN</t>
        </is>
      </c>
      <c r="E2828" t="inlineStr">
        <is>
          <t>BENGTSFORS</t>
        </is>
      </c>
      <c r="F2828" t="inlineStr">
        <is>
          <t>Kyrkan</t>
        </is>
      </c>
      <c r="G2828" t="n">
        <v>1.5</v>
      </c>
      <c r="H2828" t="n">
        <v>0</v>
      </c>
      <c r="I2828" t="n">
        <v>0</v>
      </c>
      <c r="J2828" t="n">
        <v>0</v>
      </c>
      <c r="K2828" t="n">
        <v>0</v>
      </c>
      <c r="L2828" t="n">
        <v>0</v>
      </c>
      <c r="M2828" t="n">
        <v>0</v>
      </c>
      <c r="N2828" t="n">
        <v>0</v>
      </c>
      <c r="O2828" t="n">
        <v>0</v>
      </c>
      <c r="P2828" t="n">
        <v>0</v>
      </c>
      <c r="Q2828" t="n">
        <v>0</v>
      </c>
      <c r="R2828" s="2" t="inlineStr"/>
    </row>
    <row r="2829" ht="15" customHeight="1">
      <c r="A2829" t="inlineStr">
        <is>
          <t>A 51930-2022</t>
        </is>
      </c>
      <c r="B2829" s="1" t="n">
        <v>44872.64650462963</v>
      </c>
      <c r="C2829" s="1" t="n">
        <v>45952</v>
      </c>
      <c r="D2829" t="inlineStr">
        <is>
          <t>VÄSTRA GÖTALANDS LÄN</t>
        </is>
      </c>
      <c r="E2829" t="inlineStr">
        <is>
          <t>KUNGÄLV</t>
        </is>
      </c>
      <c r="G2829" t="n">
        <v>1.9</v>
      </c>
      <c r="H2829" t="n">
        <v>0</v>
      </c>
      <c r="I2829" t="n">
        <v>0</v>
      </c>
      <c r="J2829" t="n">
        <v>0</v>
      </c>
      <c r="K2829" t="n">
        <v>0</v>
      </c>
      <c r="L2829" t="n">
        <v>0</v>
      </c>
      <c r="M2829" t="n">
        <v>0</v>
      </c>
      <c r="N2829" t="n">
        <v>0</v>
      </c>
      <c r="O2829" t="n">
        <v>0</v>
      </c>
      <c r="P2829" t="n">
        <v>0</v>
      </c>
      <c r="Q2829" t="n">
        <v>0</v>
      </c>
      <c r="R2829" s="2" t="inlineStr"/>
    </row>
    <row r="2830" ht="15" customHeight="1">
      <c r="A2830" t="inlineStr">
        <is>
          <t>A 23164-2021</t>
        </is>
      </c>
      <c r="B2830" s="1" t="n">
        <v>44332</v>
      </c>
      <c r="C2830" s="1" t="n">
        <v>45952</v>
      </c>
      <c r="D2830" t="inlineStr">
        <is>
          <t>VÄSTRA GÖTALANDS LÄN</t>
        </is>
      </c>
      <c r="E2830" t="inlineStr">
        <is>
          <t>ALINGSÅS</t>
        </is>
      </c>
      <c r="G2830" t="n">
        <v>13.1</v>
      </c>
      <c r="H2830" t="n">
        <v>0</v>
      </c>
      <c r="I2830" t="n">
        <v>0</v>
      </c>
      <c r="J2830" t="n">
        <v>0</v>
      </c>
      <c r="K2830" t="n">
        <v>0</v>
      </c>
      <c r="L2830" t="n">
        <v>0</v>
      </c>
      <c r="M2830" t="n">
        <v>0</v>
      </c>
      <c r="N2830" t="n">
        <v>0</v>
      </c>
      <c r="O2830" t="n">
        <v>0</v>
      </c>
      <c r="P2830" t="n">
        <v>0</v>
      </c>
      <c r="Q2830" t="n">
        <v>0</v>
      </c>
      <c r="R2830" s="2" t="inlineStr"/>
    </row>
    <row r="2831" ht="15" customHeight="1">
      <c r="A2831" t="inlineStr">
        <is>
          <t>A 22021-2024</t>
        </is>
      </c>
      <c r="B2831" s="1" t="n">
        <v>45443</v>
      </c>
      <c r="C2831" s="1" t="n">
        <v>45952</v>
      </c>
      <c r="D2831" t="inlineStr">
        <is>
          <t>VÄSTRA GÖTALANDS LÄN</t>
        </is>
      </c>
      <c r="E2831" t="inlineStr">
        <is>
          <t>TÖREBODA</t>
        </is>
      </c>
      <c r="G2831" t="n">
        <v>1.8</v>
      </c>
      <c r="H2831" t="n">
        <v>0</v>
      </c>
      <c r="I2831" t="n">
        <v>0</v>
      </c>
      <c r="J2831" t="n">
        <v>0</v>
      </c>
      <c r="K2831" t="n">
        <v>0</v>
      </c>
      <c r="L2831" t="n">
        <v>0</v>
      </c>
      <c r="M2831" t="n">
        <v>0</v>
      </c>
      <c r="N2831" t="n">
        <v>0</v>
      </c>
      <c r="O2831" t="n">
        <v>0</v>
      </c>
      <c r="P2831" t="n">
        <v>0</v>
      </c>
      <c r="Q2831" t="n">
        <v>0</v>
      </c>
      <c r="R2831" s="2" t="inlineStr"/>
    </row>
    <row r="2832" ht="15" customHeight="1">
      <c r="A2832" t="inlineStr">
        <is>
          <t>A 64952-2020</t>
        </is>
      </c>
      <c r="B2832" s="1" t="n">
        <v>44172</v>
      </c>
      <c r="C2832" s="1" t="n">
        <v>45952</v>
      </c>
      <c r="D2832" t="inlineStr">
        <is>
          <t>VÄSTRA GÖTALANDS LÄN</t>
        </is>
      </c>
      <c r="E2832" t="inlineStr">
        <is>
          <t>ALINGSÅS</t>
        </is>
      </c>
      <c r="F2832" t="inlineStr">
        <is>
          <t>Kommuner</t>
        </is>
      </c>
      <c r="G2832" t="n">
        <v>1</v>
      </c>
      <c r="H2832" t="n">
        <v>0</v>
      </c>
      <c r="I2832" t="n">
        <v>0</v>
      </c>
      <c r="J2832" t="n">
        <v>0</v>
      </c>
      <c r="K2832" t="n">
        <v>0</v>
      </c>
      <c r="L2832" t="n">
        <v>0</v>
      </c>
      <c r="M2832" t="n">
        <v>0</v>
      </c>
      <c r="N2832" t="n">
        <v>0</v>
      </c>
      <c r="O2832" t="n">
        <v>0</v>
      </c>
      <c r="P2832" t="n">
        <v>0</v>
      </c>
      <c r="Q2832" t="n">
        <v>0</v>
      </c>
      <c r="R2832" s="2" t="inlineStr"/>
    </row>
    <row r="2833" ht="15" customHeight="1">
      <c r="A2833" t="inlineStr">
        <is>
          <t>A 35647-2023</t>
        </is>
      </c>
      <c r="B2833" s="1" t="n">
        <v>45147</v>
      </c>
      <c r="C2833" s="1" t="n">
        <v>45952</v>
      </c>
      <c r="D2833" t="inlineStr">
        <is>
          <t>VÄSTRA GÖTALANDS LÄN</t>
        </is>
      </c>
      <c r="E2833" t="inlineStr">
        <is>
          <t>MUNKEDAL</t>
        </is>
      </c>
      <c r="G2833" t="n">
        <v>4.4</v>
      </c>
      <c r="H2833" t="n">
        <v>0</v>
      </c>
      <c r="I2833" t="n">
        <v>0</v>
      </c>
      <c r="J2833" t="n">
        <v>0</v>
      </c>
      <c r="K2833" t="n">
        <v>0</v>
      </c>
      <c r="L2833" t="n">
        <v>0</v>
      </c>
      <c r="M2833" t="n">
        <v>0</v>
      </c>
      <c r="N2833" t="n">
        <v>0</v>
      </c>
      <c r="O2833" t="n">
        <v>0</v>
      </c>
      <c r="P2833" t="n">
        <v>0</v>
      </c>
      <c r="Q2833" t="n">
        <v>0</v>
      </c>
      <c r="R2833" s="2" t="inlineStr"/>
    </row>
    <row r="2834" ht="15" customHeight="1">
      <c r="A2834" t="inlineStr">
        <is>
          <t>A 31566-2021</t>
        </is>
      </c>
      <c r="B2834" s="1" t="n">
        <v>44369</v>
      </c>
      <c r="C2834" s="1" t="n">
        <v>45952</v>
      </c>
      <c r="D2834" t="inlineStr">
        <is>
          <t>VÄSTRA GÖTALANDS LÄN</t>
        </is>
      </c>
      <c r="E2834" t="inlineStr">
        <is>
          <t>ALE</t>
        </is>
      </c>
      <c r="G2834" t="n">
        <v>1.1</v>
      </c>
      <c r="H2834" t="n">
        <v>0</v>
      </c>
      <c r="I2834" t="n">
        <v>0</v>
      </c>
      <c r="J2834" t="n">
        <v>0</v>
      </c>
      <c r="K2834" t="n">
        <v>0</v>
      </c>
      <c r="L2834" t="n">
        <v>0</v>
      </c>
      <c r="M2834" t="n">
        <v>0</v>
      </c>
      <c r="N2834" t="n">
        <v>0</v>
      </c>
      <c r="O2834" t="n">
        <v>0</v>
      </c>
      <c r="P2834" t="n">
        <v>0</v>
      </c>
      <c r="Q2834" t="n">
        <v>0</v>
      </c>
      <c r="R2834" s="2" t="inlineStr"/>
    </row>
    <row r="2835" ht="15" customHeight="1">
      <c r="A2835" t="inlineStr">
        <is>
          <t>A 15565-2021</t>
        </is>
      </c>
      <c r="B2835" s="1" t="n">
        <v>44285</v>
      </c>
      <c r="C2835" s="1" t="n">
        <v>45952</v>
      </c>
      <c r="D2835" t="inlineStr">
        <is>
          <t>VÄSTRA GÖTALANDS LÄN</t>
        </is>
      </c>
      <c r="E2835" t="inlineStr">
        <is>
          <t>MARK</t>
        </is>
      </c>
      <c r="G2835" t="n">
        <v>8.6</v>
      </c>
      <c r="H2835" t="n">
        <v>0</v>
      </c>
      <c r="I2835" t="n">
        <v>0</v>
      </c>
      <c r="J2835" t="n">
        <v>0</v>
      </c>
      <c r="K2835" t="n">
        <v>0</v>
      </c>
      <c r="L2835" t="n">
        <v>0</v>
      </c>
      <c r="M2835" t="n">
        <v>0</v>
      </c>
      <c r="N2835" t="n">
        <v>0</v>
      </c>
      <c r="O2835" t="n">
        <v>0</v>
      </c>
      <c r="P2835" t="n">
        <v>0</v>
      </c>
      <c r="Q2835" t="n">
        <v>0</v>
      </c>
      <c r="R2835" s="2" t="inlineStr"/>
    </row>
    <row r="2836" ht="15" customHeight="1">
      <c r="A2836" t="inlineStr">
        <is>
          <t>A 30385-2021</t>
        </is>
      </c>
      <c r="B2836" s="1" t="n">
        <v>44364</v>
      </c>
      <c r="C2836" s="1" t="n">
        <v>45952</v>
      </c>
      <c r="D2836" t="inlineStr">
        <is>
          <t>VÄSTRA GÖTALANDS LÄN</t>
        </is>
      </c>
      <c r="E2836" t="inlineStr">
        <is>
          <t>DALS-ED</t>
        </is>
      </c>
      <c r="G2836" t="n">
        <v>10.5</v>
      </c>
      <c r="H2836" t="n">
        <v>0</v>
      </c>
      <c r="I2836" t="n">
        <v>0</v>
      </c>
      <c r="J2836" t="n">
        <v>0</v>
      </c>
      <c r="K2836" t="n">
        <v>0</v>
      </c>
      <c r="L2836" t="n">
        <v>0</v>
      </c>
      <c r="M2836" t="n">
        <v>0</v>
      </c>
      <c r="N2836" t="n">
        <v>0</v>
      </c>
      <c r="O2836" t="n">
        <v>0</v>
      </c>
      <c r="P2836" t="n">
        <v>0</v>
      </c>
      <c r="Q2836" t="n">
        <v>0</v>
      </c>
      <c r="R2836" s="2" t="inlineStr"/>
    </row>
    <row r="2837" ht="15" customHeight="1">
      <c r="A2837" t="inlineStr">
        <is>
          <t>A 53144-2021</t>
        </is>
      </c>
      <c r="B2837" s="1" t="n">
        <v>44468</v>
      </c>
      <c r="C2837" s="1" t="n">
        <v>45952</v>
      </c>
      <c r="D2837" t="inlineStr">
        <is>
          <t>VÄSTRA GÖTALANDS LÄN</t>
        </is>
      </c>
      <c r="E2837" t="inlineStr">
        <is>
          <t>ALE</t>
        </is>
      </c>
      <c r="G2837" t="n">
        <v>2.6</v>
      </c>
      <c r="H2837" t="n">
        <v>0</v>
      </c>
      <c r="I2837" t="n">
        <v>0</v>
      </c>
      <c r="J2837" t="n">
        <v>0</v>
      </c>
      <c r="K2837" t="n">
        <v>0</v>
      </c>
      <c r="L2837" t="n">
        <v>0</v>
      </c>
      <c r="M2837" t="n">
        <v>0</v>
      </c>
      <c r="N2837" t="n">
        <v>0</v>
      </c>
      <c r="O2837" t="n">
        <v>0</v>
      </c>
      <c r="P2837" t="n">
        <v>0</v>
      </c>
      <c r="Q2837" t="n">
        <v>0</v>
      </c>
      <c r="R2837" s="2" t="inlineStr"/>
    </row>
    <row r="2838" ht="15" customHeight="1">
      <c r="A2838" t="inlineStr">
        <is>
          <t>A 9558-2023</t>
        </is>
      </c>
      <c r="B2838" s="1" t="n">
        <v>44982.324375</v>
      </c>
      <c r="C2838" s="1" t="n">
        <v>45952</v>
      </c>
      <c r="D2838" t="inlineStr">
        <is>
          <t>VÄSTRA GÖTALANDS LÄN</t>
        </is>
      </c>
      <c r="E2838" t="inlineStr">
        <is>
          <t>MARK</t>
        </is>
      </c>
      <c r="G2838" t="n">
        <v>0.7</v>
      </c>
      <c r="H2838" t="n">
        <v>0</v>
      </c>
      <c r="I2838" t="n">
        <v>0</v>
      </c>
      <c r="J2838" t="n">
        <v>0</v>
      </c>
      <c r="K2838" t="n">
        <v>0</v>
      </c>
      <c r="L2838" t="n">
        <v>0</v>
      </c>
      <c r="M2838" t="n">
        <v>0</v>
      </c>
      <c r="N2838" t="n">
        <v>0</v>
      </c>
      <c r="O2838" t="n">
        <v>0</v>
      </c>
      <c r="P2838" t="n">
        <v>0</v>
      </c>
      <c r="Q2838" t="n">
        <v>0</v>
      </c>
      <c r="R2838" s="2" t="inlineStr"/>
    </row>
    <row r="2839" ht="15" customHeight="1">
      <c r="A2839" t="inlineStr">
        <is>
          <t>A 30633-2023</t>
        </is>
      </c>
      <c r="B2839" s="1" t="n">
        <v>45112</v>
      </c>
      <c r="C2839" s="1" t="n">
        <v>45952</v>
      </c>
      <c r="D2839" t="inlineStr">
        <is>
          <t>VÄSTRA GÖTALANDS LÄN</t>
        </is>
      </c>
      <c r="E2839" t="inlineStr">
        <is>
          <t>BOLLEBYGD</t>
        </is>
      </c>
      <c r="G2839" t="n">
        <v>0.7</v>
      </c>
      <c r="H2839" t="n">
        <v>0</v>
      </c>
      <c r="I2839" t="n">
        <v>0</v>
      </c>
      <c r="J2839" t="n">
        <v>0</v>
      </c>
      <c r="K2839" t="n">
        <v>0</v>
      </c>
      <c r="L2839" t="n">
        <v>0</v>
      </c>
      <c r="M2839" t="n">
        <v>0</v>
      </c>
      <c r="N2839" t="n">
        <v>0</v>
      </c>
      <c r="O2839" t="n">
        <v>0</v>
      </c>
      <c r="P2839" t="n">
        <v>0</v>
      </c>
      <c r="Q2839" t="n">
        <v>0</v>
      </c>
      <c r="R2839" s="2" t="inlineStr"/>
    </row>
    <row r="2840" ht="15" customHeight="1">
      <c r="A2840" t="inlineStr">
        <is>
          <t>A 7786-2022</t>
        </is>
      </c>
      <c r="B2840" s="1" t="n">
        <v>44608</v>
      </c>
      <c r="C2840" s="1" t="n">
        <v>45952</v>
      </c>
      <c r="D2840" t="inlineStr">
        <is>
          <t>VÄSTRA GÖTALANDS LÄN</t>
        </is>
      </c>
      <c r="E2840" t="inlineStr">
        <is>
          <t>HJO</t>
        </is>
      </c>
      <c r="G2840" t="n">
        <v>0.1</v>
      </c>
      <c r="H2840" t="n">
        <v>0</v>
      </c>
      <c r="I2840" t="n">
        <v>0</v>
      </c>
      <c r="J2840" t="n">
        <v>0</v>
      </c>
      <c r="K2840" t="n">
        <v>0</v>
      </c>
      <c r="L2840" t="n">
        <v>0</v>
      </c>
      <c r="M2840" t="n">
        <v>0</v>
      </c>
      <c r="N2840" t="n">
        <v>0</v>
      </c>
      <c r="O2840" t="n">
        <v>0</v>
      </c>
      <c r="P2840" t="n">
        <v>0</v>
      </c>
      <c r="Q2840" t="n">
        <v>0</v>
      </c>
      <c r="R2840" s="2" t="inlineStr"/>
    </row>
    <row r="2841" ht="15" customHeight="1">
      <c r="A2841" t="inlineStr">
        <is>
          <t>A 31450-2021</t>
        </is>
      </c>
      <c r="B2841" s="1" t="n">
        <v>44369</v>
      </c>
      <c r="C2841" s="1" t="n">
        <v>45952</v>
      </c>
      <c r="D2841" t="inlineStr">
        <is>
          <t>VÄSTRA GÖTALANDS LÄN</t>
        </is>
      </c>
      <c r="E2841" t="inlineStr">
        <is>
          <t>MUNKEDAL</t>
        </is>
      </c>
      <c r="F2841" t="inlineStr">
        <is>
          <t>Kyrkan</t>
        </is>
      </c>
      <c r="G2841" t="n">
        <v>1.1</v>
      </c>
      <c r="H2841" t="n">
        <v>0</v>
      </c>
      <c r="I2841" t="n">
        <v>0</v>
      </c>
      <c r="J2841" t="n">
        <v>0</v>
      </c>
      <c r="K2841" t="n">
        <v>0</v>
      </c>
      <c r="L2841" t="n">
        <v>0</v>
      </c>
      <c r="M2841" t="n">
        <v>0</v>
      </c>
      <c r="N2841" t="n">
        <v>0</v>
      </c>
      <c r="O2841" t="n">
        <v>0</v>
      </c>
      <c r="P2841" t="n">
        <v>0</v>
      </c>
      <c r="Q2841" t="n">
        <v>0</v>
      </c>
      <c r="R2841" s="2" t="inlineStr"/>
    </row>
    <row r="2842" ht="15" customHeight="1">
      <c r="A2842" t="inlineStr">
        <is>
          <t>A 4997-2023</t>
        </is>
      </c>
      <c r="B2842" s="1" t="n">
        <v>44958.48202546296</v>
      </c>
      <c r="C2842" s="1" t="n">
        <v>45952</v>
      </c>
      <c r="D2842" t="inlineStr">
        <is>
          <t>VÄSTRA GÖTALANDS LÄN</t>
        </is>
      </c>
      <c r="E2842" t="inlineStr">
        <is>
          <t>SVENLJUNGA</t>
        </is>
      </c>
      <c r="G2842" t="n">
        <v>2</v>
      </c>
      <c r="H2842" t="n">
        <v>0</v>
      </c>
      <c r="I2842" t="n">
        <v>0</v>
      </c>
      <c r="J2842" t="n">
        <v>0</v>
      </c>
      <c r="K2842" t="n">
        <v>0</v>
      </c>
      <c r="L2842" t="n">
        <v>0</v>
      </c>
      <c r="M2842" t="n">
        <v>0</v>
      </c>
      <c r="N2842" t="n">
        <v>0</v>
      </c>
      <c r="O2842" t="n">
        <v>0</v>
      </c>
      <c r="P2842" t="n">
        <v>0</v>
      </c>
      <c r="Q2842" t="n">
        <v>0</v>
      </c>
      <c r="R2842" s="2" t="inlineStr"/>
    </row>
    <row r="2843" ht="15" customHeight="1">
      <c r="A2843" t="inlineStr">
        <is>
          <t>A 5040-2023</t>
        </is>
      </c>
      <c r="B2843" s="1" t="n">
        <v>44958.58229166667</v>
      </c>
      <c r="C2843" s="1" t="n">
        <v>45952</v>
      </c>
      <c r="D2843" t="inlineStr">
        <is>
          <t>VÄSTRA GÖTALANDS LÄN</t>
        </is>
      </c>
      <c r="E2843" t="inlineStr">
        <is>
          <t>TRANEMO</t>
        </is>
      </c>
      <c r="G2843" t="n">
        <v>0.8</v>
      </c>
      <c r="H2843" t="n">
        <v>0</v>
      </c>
      <c r="I2843" t="n">
        <v>0</v>
      </c>
      <c r="J2843" t="n">
        <v>0</v>
      </c>
      <c r="K2843" t="n">
        <v>0</v>
      </c>
      <c r="L2843" t="n">
        <v>0</v>
      </c>
      <c r="M2843" t="n">
        <v>0</v>
      </c>
      <c r="N2843" t="n">
        <v>0</v>
      </c>
      <c r="O2843" t="n">
        <v>0</v>
      </c>
      <c r="P2843" t="n">
        <v>0</v>
      </c>
      <c r="Q2843" t="n">
        <v>0</v>
      </c>
      <c r="R2843" s="2" t="inlineStr"/>
    </row>
    <row r="2844" ht="15" customHeight="1">
      <c r="A2844" t="inlineStr">
        <is>
          <t>A 45480-2021</t>
        </is>
      </c>
      <c r="B2844" s="1" t="n">
        <v>44440</v>
      </c>
      <c r="C2844" s="1" t="n">
        <v>45952</v>
      </c>
      <c r="D2844" t="inlineStr">
        <is>
          <t>VÄSTRA GÖTALANDS LÄN</t>
        </is>
      </c>
      <c r="E2844" t="inlineStr">
        <is>
          <t>SVENLJUNGA</t>
        </is>
      </c>
      <c r="G2844" t="n">
        <v>1</v>
      </c>
      <c r="H2844" t="n">
        <v>0</v>
      </c>
      <c r="I2844" t="n">
        <v>0</v>
      </c>
      <c r="J2844" t="n">
        <v>0</v>
      </c>
      <c r="K2844" t="n">
        <v>0</v>
      </c>
      <c r="L2844" t="n">
        <v>0</v>
      </c>
      <c r="M2844" t="n">
        <v>0</v>
      </c>
      <c r="N2844" t="n">
        <v>0</v>
      </c>
      <c r="O2844" t="n">
        <v>0</v>
      </c>
      <c r="P2844" t="n">
        <v>0</v>
      </c>
      <c r="Q2844" t="n">
        <v>0</v>
      </c>
      <c r="R2844" s="2" t="inlineStr"/>
    </row>
    <row r="2845" ht="15" customHeight="1">
      <c r="A2845" t="inlineStr">
        <is>
          <t>A 813-2022</t>
        </is>
      </c>
      <c r="B2845" s="1" t="n">
        <v>44571</v>
      </c>
      <c r="C2845" s="1" t="n">
        <v>45952</v>
      </c>
      <c r="D2845" t="inlineStr">
        <is>
          <t>VÄSTRA GÖTALANDS LÄN</t>
        </is>
      </c>
      <c r="E2845" t="inlineStr">
        <is>
          <t>MARIESTAD</t>
        </is>
      </c>
      <c r="G2845" t="n">
        <v>2.2</v>
      </c>
      <c r="H2845" t="n">
        <v>0</v>
      </c>
      <c r="I2845" t="n">
        <v>0</v>
      </c>
      <c r="J2845" t="n">
        <v>0</v>
      </c>
      <c r="K2845" t="n">
        <v>0</v>
      </c>
      <c r="L2845" t="n">
        <v>0</v>
      </c>
      <c r="M2845" t="n">
        <v>0</v>
      </c>
      <c r="N2845" t="n">
        <v>0</v>
      </c>
      <c r="O2845" t="n">
        <v>0</v>
      </c>
      <c r="P2845" t="n">
        <v>0</v>
      </c>
      <c r="Q2845" t="n">
        <v>0</v>
      </c>
      <c r="R2845" s="2" t="inlineStr"/>
    </row>
    <row r="2846" ht="15" customHeight="1">
      <c r="A2846" t="inlineStr">
        <is>
          <t>A 60123-2020</t>
        </is>
      </c>
      <c r="B2846" s="1" t="n">
        <v>44152</v>
      </c>
      <c r="C2846" s="1" t="n">
        <v>45952</v>
      </c>
      <c r="D2846" t="inlineStr">
        <is>
          <t>VÄSTRA GÖTALANDS LÄN</t>
        </is>
      </c>
      <c r="E2846" t="inlineStr">
        <is>
          <t>BENGTSFORS</t>
        </is>
      </c>
      <c r="G2846" t="n">
        <v>2.2</v>
      </c>
      <c r="H2846" t="n">
        <v>0</v>
      </c>
      <c r="I2846" t="n">
        <v>0</v>
      </c>
      <c r="J2846" t="n">
        <v>0</v>
      </c>
      <c r="K2846" t="n">
        <v>0</v>
      </c>
      <c r="L2846" t="n">
        <v>0</v>
      </c>
      <c r="M2846" t="n">
        <v>0</v>
      </c>
      <c r="N2846" t="n">
        <v>0</v>
      </c>
      <c r="O2846" t="n">
        <v>0</v>
      </c>
      <c r="P2846" t="n">
        <v>0</v>
      </c>
      <c r="Q2846" t="n">
        <v>0</v>
      </c>
      <c r="R2846" s="2" t="inlineStr"/>
    </row>
    <row r="2847" ht="15" customHeight="1">
      <c r="A2847" t="inlineStr">
        <is>
          <t>A 60173-2020</t>
        </is>
      </c>
      <c r="B2847" s="1" t="n">
        <v>44152</v>
      </c>
      <c r="C2847" s="1" t="n">
        <v>45952</v>
      </c>
      <c r="D2847" t="inlineStr">
        <is>
          <t>VÄSTRA GÖTALANDS LÄN</t>
        </is>
      </c>
      <c r="E2847" t="inlineStr">
        <is>
          <t>MARIESTAD</t>
        </is>
      </c>
      <c r="G2847" t="n">
        <v>9.4</v>
      </c>
      <c r="H2847" t="n">
        <v>0</v>
      </c>
      <c r="I2847" t="n">
        <v>0</v>
      </c>
      <c r="J2847" t="n">
        <v>0</v>
      </c>
      <c r="K2847" t="n">
        <v>0</v>
      </c>
      <c r="L2847" t="n">
        <v>0</v>
      </c>
      <c r="M2847" t="n">
        <v>0</v>
      </c>
      <c r="N2847" t="n">
        <v>0</v>
      </c>
      <c r="O2847" t="n">
        <v>0</v>
      </c>
      <c r="P2847" t="n">
        <v>0</v>
      </c>
      <c r="Q2847" t="n">
        <v>0</v>
      </c>
      <c r="R2847" s="2" t="inlineStr"/>
    </row>
    <row r="2848" ht="15" customHeight="1">
      <c r="A2848" t="inlineStr">
        <is>
          <t>A 60189-2020</t>
        </is>
      </c>
      <c r="B2848" s="1" t="n">
        <v>44152</v>
      </c>
      <c r="C2848" s="1" t="n">
        <v>45952</v>
      </c>
      <c r="D2848" t="inlineStr">
        <is>
          <t>VÄSTRA GÖTALANDS LÄN</t>
        </is>
      </c>
      <c r="E2848" t="inlineStr">
        <is>
          <t>MARIESTAD</t>
        </is>
      </c>
      <c r="G2848" t="n">
        <v>4.3</v>
      </c>
      <c r="H2848" t="n">
        <v>0</v>
      </c>
      <c r="I2848" t="n">
        <v>0</v>
      </c>
      <c r="J2848" t="n">
        <v>0</v>
      </c>
      <c r="K2848" t="n">
        <v>0</v>
      </c>
      <c r="L2848" t="n">
        <v>0</v>
      </c>
      <c r="M2848" t="n">
        <v>0</v>
      </c>
      <c r="N2848" t="n">
        <v>0</v>
      </c>
      <c r="O2848" t="n">
        <v>0</v>
      </c>
      <c r="P2848" t="n">
        <v>0</v>
      </c>
      <c r="Q2848" t="n">
        <v>0</v>
      </c>
      <c r="R2848" s="2" t="inlineStr"/>
    </row>
    <row r="2849" ht="15" customHeight="1">
      <c r="A2849" t="inlineStr">
        <is>
          <t>A 24494-2023</t>
        </is>
      </c>
      <c r="B2849" s="1" t="n">
        <v>45082</v>
      </c>
      <c r="C2849" s="1" t="n">
        <v>45952</v>
      </c>
      <c r="D2849" t="inlineStr">
        <is>
          <t>VÄSTRA GÖTALANDS LÄN</t>
        </is>
      </c>
      <c r="E2849" t="inlineStr">
        <is>
          <t>HERRLJUNGA</t>
        </is>
      </c>
      <c r="F2849" t="inlineStr">
        <is>
          <t>Sveaskog</t>
        </is>
      </c>
      <c r="G2849" t="n">
        <v>6.8</v>
      </c>
      <c r="H2849" t="n">
        <v>0</v>
      </c>
      <c r="I2849" t="n">
        <v>0</v>
      </c>
      <c r="J2849" t="n">
        <v>0</v>
      </c>
      <c r="K2849" t="n">
        <v>0</v>
      </c>
      <c r="L2849" t="n">
        <v>0</v>
      </c>
      <c r="M2849" t="n">
        <v>0</v>
      </c>
      <c r="N2849" t="n">
        <v>0</v>
      </c>
      <c r="O2849" t="n">
        <v>0</v>
      </c>
      <c r="P2849" t="n">
        <v>0</v>
      </c>
      <c r="Q2849" t="n">
        <v>0</v>
      </c>
      <c r="R2849" s="2" t="inlineStr"/>
    </row>
    <row r="2850" ht="15" customHeight="1">
      <c r="A2850" t="inlineStr">
        <is>
          <t>A 31196-2021</t>
        </is>
      </c>
      <c r="B2850" s="1" t="n">
        <v>44368.62356481481</v>
      </c>
      <c r="C2850" s="1" t="n">
        <v>45952</v>
      </c>
      <c r="D2850" t="inlineStr">
        <is>
          <t>VÄSTRA GÖTALANDS LÄN</t>
        </is>
      </c>
      <c r="E2850" t="inlineStr">
        <is>
          <t>BENGTSFORS</t>
        </is>
      </c>
      <c r="G2850" t="n">
        <v>2.5</v>
      </c>
      <c r="H2850" t="n">
        <v>0</v>
      </c>
      <c r="I2850" t="n">
        <v>0</v>
      </c>
      <c r="J2850" t="n">
        <v>0</v>
      </c>
      <c r="K2850" t="n">
        <v>0</v>
      </c>
      <c r="L2850" t="n">
        <v>0</v>
      </c>
      <c r="M2850" t="n">
        <v>0</v>
      </c>
      <c r="N2850" t="n">
        <v>0</v>
      </c>
      <c r="O2850" t="n">
        <v>0</v>
      </c>
      <c r="P2850" t="n">
        <v>0</v>
      </c>
      <c r="Q2850" t="n">
        <v>0</v>
      </c>
      <c r="R2850" s="2" t="inlineStr"/>
    </row>
    <row r="2851" ht="15" customHeight="1">
      <c r="A2851" t="inlineStr">
        <is>
          <t>A 20539-2025</t>
        </is>
      </c>
      <c r="B2851" s="1" t="n">
        <v>45775.62319444444</v>
      </c>
      <c r="C2851" s="1" t="n">
        <v>45952</v>
      </c>
      <c r="D2851" t="inlineStr">
        <is>
          <t>VÄSTRA GÖTALANDS LÄN</t>
        </is>
      </c>
      <c r="E2851" t="inlineStr">
        <is>
          <t>MARK</t>
        </is>
      </c>
      <c r="G2851" t="n">
        <v>2</v>
      </c>
      <c r="H2851" t="n">
        <v>0</v>
      </c>
      <c r="I2851" t="n">
        <v>0</v>
      </c>
      <c r="J2851" t="n">
        <v>0</v>
      </c>
      <c r="K2851" t="n">
        <v>0</v>
      </c>
      <c r="L2851" t="n">
        <v>0</v>
      </c>
      <c r="M2851" t="n">
        <v>0</v>
      </c>
      <c r="N2851" t="n">
        <v>0</v>
      </c>
      <c r="O2851" t="n">
        <v>0</v>
      </c>
      <c r="P2851" t="n">
        <v>0</v>
      </c>
      <c r="Q2851" t="n">
        <v>0</v>
      </c>
      <c r="R2851" s="2" t="inlineStr"/>
    </row>
    <row r="2852" ht="15" customHeight="1">
      <c r="A2852" t="inlineStr">
        <is>
          <t>A 49896-2021</t>
        </is>
      </c>
      <c r="B2852" s="1" t="n">
        <v>44455.72633101852</v>
      </c>
      <c r="C2852" s="1" t="n">
        <v>45952</v>
      </c>
      <c r="D2852" t="inlineStr">
        <is>
          <t>VÄSTRA GÖTALANDS LÄN</t>
        </is>
      </c>
      <c r="E2852" t="inlineStr">
        <is>
          <t>MARIESTAD</t>
        </is>
      </c>
      <c r="G2852" t="n">
        <v>1.3</v>
      </c>
      <c r="H2852" t="n">
        <v>0</v>
      </c>
      <c r="I2852" t="n">
        <v>0</v>
      </c>
      <c r="J2852" t="n">
        <v>0</v>
      </c>
      <c r="K2852" t="n">
        <v>0</v>
      </c>
      <c r="L2852" t="n">
        <v>0</v>
      </c>
      <c r="M2852" t="n">
        <v>0</v>
      </c>
      <c r="N2852" t="n">
        <v>0</v>
      </c>
      <c r="O2852" t="n">
        <v>0</v>
      </c>
      <c r="P2852" t="n">
        <v>0</v>
      </c>
      <c r="Q2852" t="n">
        <v>0</v>
      </c>
      <c r="R2852" s="2" t="inlineStr"/>
    </row>
    <row r="2853" ht="15" customHeight="1">
      <c r="A2853" t="inlineStr">
        <is>
          <t>A 54054-2021</t>
        </is>
      </c>
      <c r="B2853" s="1" t="n">
        <v>44470</v>
      </c>
      <c r="C2853" s="1" t="n">
        <v>45952</v>
      </c>
      <c r="D2853" t="inlineStr">
        <is>
          <t>VÄSTRA GÖTALANDS LÄN</t>
        </is>
      </c>
      <c r="E2853" t="inlineStr">
        <is>
          <t>TANUM</t>
        </is>
      </c>
      <c r="G2853" t="n">
        <v>3</v>
      </c>
      <c r="H2853" t="n">
        <v>0</v>
      </c>
      <c r="I2853" t="n">
        <v>0</v>
      </c>
      <c r="J2853" t="n">
        <v>0</v>
      </c>
      <c r="K2853" t="n">
        <v>0</v>
      </c>
      <c r="L2853" t="n">
        <v>0</v>
      </c>
      <c r="M2853" t="n">
        <v>0</v>
      </c>
      <c r="N2853" t="n">
        <v>0</v>
      </c>
      <c r="O2853" t="n">
        <v>0</v>
      </c>
      <c r="P2853" t="n">
        <v>0</v>
      </c>
      <c r="Q2853" t="n">
        <v>0</v>
      </c>
      <c r="R2853" s="2" t="inlineStr"/>
    </row>
    <row r="2854" ht="15" customHeight="1">
      <c r="A2854" t="inlineStr">
        <is>
          <t>A 63025-2020</t>
        </is>
      </c>
      <c r="B2854" s="1" t="n">
        <v>44162</v>
      </c>
      <c r="C2854" s="1" t="n">
        <v>45952</v>
      </c>
      <c r="D2854" t="inlineStr">
        <is>
          <t>VÄSTRA GÖTALANDS LÄN</t>
        </is>
      </c>
      <c r="E2854" t="inlineStr">
        <is>
          <t>FALKÖPING</t>
        </is>
      </c>
      <c r="G2854" t="n">
        <v>6.1</v>
      </c>
      <c r="H2854" t="n">
        <v>0</v>
      </c>
      <c r="I2854" t="n">
        <v>0</v>
      </c>
      <c r="J2854" t="n">
        <v>0</v>
      </c>
      <c r="K2854" t="n">
        <v>0</v>
      </c>
      <c r="L2854" t="n">
        <v>0</v>
      </c>
      <c r="M2854" t="n">
        <v>0</v>
      </c>
      <c r="N2854" t="n">
        <v>0</v>
      </c>
      <c r="O2854" t="n">
        <v>0</v>
      </c>
      <c r="P2854" t="n">
        <v>0</v>
      </c>
      <c r="Q2854" t="n">
        <v>0</v>
      </c>
      <c r="R2854" s="2" t="inlineStr"/>
    </row>
    <row r="2855" ht="15" customHeight="1">
      <c r="A2855" t="inlineStr">
        <is>
          <t>A 31003-2021</t>
        </is>
      </c>
      <c r="B2855" s="1" t="n">
        <v>44366.61554398148</v>
      </c>
      <c r="C2855" s="1" t="n">
        <v>45952</v>
      </c>
      <c r="D2855" t="inlineStr">
        <is>
          <t>VÄSTRA GÖTALANDS LÄN</t>
        </is>
      </c>
      <c r="E2855" t="inlineStr">
        <is>
          <t>TRANEMO</t>
        </is>
      </c>
      <c r="G2855" t="n">
        <v>5.3</v>
      </c>
      <c r="H2855" t="n">
        <v>0</v>
      </c>
      <c r="I2855" t="n">
        <v>0</v>
      </c>
      <c r="J2855" t="n">
        <v>0</v>
      </c>
      <c r="K2855" t="n">
        <v>0</v>
      </c>
      <c r="L2855" t="n">
        <v>0</v>
      </c>
      <c r="M2855" t="n">
        <v>0</v>
      </c>
      <c r="N2855" t="n">
        <v>0</v>
      </c>
      <c r="O2855" t="n">
        <v>0</v>
      </c>
      <c r="P2855" t="n">
        <v>0</v>
      </c>
      <c r="Q2855" t="n">
        <v>0</v>
      </c>
      <c r="R2855" s="2" t="inlineStr"/>
    </row>
    <row r="2856" ht="15" customHeight="1">
      <c r="A2856" t="inlineStr">
        <is>
          <t>A 36606-2021</t>
        </is>
      </c>
      <c r="B2856" s="1" t="n">
        <v>44391</v>
      </c>
      <c r="C2856" s="1" t="n">
        <v>45952</v>
      </c>
      <c r="D2856" t="inlineStr">
        <is>
          <t>VÄSTRA GÖTALANDS LÄN</t>
        </is>
      </c>
      <c r="E2856" t="inlineStr">
        <is>
          <t>SVENLJUNGA</t>
        </is>
      </c>
      <c r="G2856" t="n">
        <v>0.5</v>
      </c>
      <c r="H2856" t="n">
        <v>0</v>
      </c>
      <c r="I2856" t="n">
        <v>0</v>
      </c>
      <c r="J2856" t="n">
        <v>0</v>
      </c>
      <c r="K2856" t="n">
        <v>0</v>
      </c>
      <c r="L2856" t="n">
        <v>0</v>
      </c>
      <c r="M2856" t="n">
        <v>0</v>
      </c>
      <c r="N2856" t="n">
        <v>0</v>
      </c>
      <c r="O2856" t="n">
        <v>0</v>
      </c>
      <c r="P2856" t="n">
        <v>0</v>
      </c>
      <c r="Q2856" t="n">
        <v>0</v>
      </c>
      <c r="R2856" s="2" t="inlineStr"/>
    </row>
    <row r="2857" ht="15" customHeight="1">
      <c r="A2857" t="inlineStr">
        <is>
          <t>A 32700-2021</t>
        </is>
      </c>
      <c r="B2857" s="1" t="n">
        <v>44375</v>
      </c>
      <c r="C2857" s="1" t="n">
        <v>45952</v>
      </c>
      <c r="D2857" t="inlineStr">
        <is>
          <t>VÄSTRA GÖTALANDS LÄN</t>
        </is>
      </c>
      <c r="E2857" t="inlineStr">
        <is>
          <t>BENGTSFORS</t>
        </is>
      </c>
      <c r="G2857" t="n">
        <v>0.9</v>
      </c>
      <c r="H2857" t="n">
        <v>0</v>
      </c>
      <c r="I2857" t="n">
        <v>0</v>
      </c>
      <c r="J2857" t="n">
        <v>0</v>
      </c>
      <c r="K2857" t="n">
        <v>0</v>
      </c>
      <c r="L2857" t="n">
        <v>0</v>
      </c>
      <c r="M2857" t="n">
        <v>0</v>
      </c>
      <c r="N2857" t="n">
        <v>0</v>
      </c>
      <c r="O2857" t="n">
        <v>0</v>
      </c>
      <c r="P2857" t="n">
        <v>0</v>
      </c>
      <c r="Q2857" t="n">
        <v>0</v>
      </c>
      <c r="R2857" s="2" t="inlineStr"/>
    </row>
    <row r="2858" ht="15" customHeight="1">
      <c r="A2858" t="inlineStr">
        <is>
          <t>A 15482-2021</t>
        </is>
      </c>
      <c r="B2858" s="1" t="n">
        <v>44285.4638425926</v>
      </c>
      <c r="C2858" s="1" t="n">
        <v>45952</v>
      </c>
      <c r="D2858" t="inlineStr">
        <is>
          <t>VÄSTRA GÖTALANDS LÄN</t>
        </is>
      </c>
      <c r="E2858" t="inlineStr">
        <is>
          <t>BORÅS</t>
        </is>
      </c>
      <c r="G2858" t="n">
        <v>0.9</v>
      </c>
      <c r="H2858" t="n">
        <v>0</v>
      </c>
      <c r="I2858" t="n">
        <v>0</v>
      </c>
      <c r="J2858" t="n">
        <v>0</v>
      </c>
      <c r="K2858" t="n">
        <v>0</v>
      </c>
      <c r="L2858" t="n">
        <v>0</v>
      </c>
      <c r="M2858" t="n">
        <v>0</v>
      </c>
      <c r="N2858" t="n">
        <v>0</v>
      </c>
      <c r="O2858" t="n">
        <v>0</v>
      </c>
      <c r="P2858" t="n">
        <v>0</v>
      </c>
      <c r="Q2858" t="n">
        <v>0</v>
      </c>
      <c r="R2858" s="2" t="inlineStr"/>
    </row>
    <row r="2859" ht="15" customHeight="1">
      <c r="A2859" t="inlineStr">
        <is>
          <t>A 15484-2021</t>
        </is>
      </c>
      <c r="B2859" s="1" t="n">
        <v>44285</v>
      </c>
      <c r="C2859" s="1" t="n">
        <v>45952</v>
      </c>
      <c r="D2859" t="inlineStr">
        <is>
          <t>VÄSTRA GÖTALANDS LÄN</t>
        </is>
      </c>
      <c r="E2859" t="inlineStr">
        <is>
          <t>TANUM</t>
        </is>
      </c>
      <c r="G2859" t="n">
        <v>3.7</v>
      </c>
      <c r="H2859" t="n">
        <v>0</v>
      </c>
      <c r="I2859" t="n">
        <v>0</v>
      </c>
      <c r="J2859" t="n">
        <v>0</v>
      </c>
      <c r="K2859" t="n">
        <v>0</v>
      </c>
      <c r="L2859" t="n">
        <v>0</v>
      </c>
      <c r="M2859" t="n">
        <v>0</v>
      </c>
      <c r="N2859" t="n">
        <v>0</v>
      </c>
      <c r="O2859" t="n">
        <v>0</v>
      </c>
      <c r="P2859" t="n">
        <v>0</v>
      </c>
      <c r="Q2859" t="n">
        <v>0</v>
      </c>
      <c r="R2859" s="2" t="inlineStr"/>
    </row>
    <row r="2860" ht="15" customHeight="1">
      <c r="A2860" t="inlineStr">
        <is>
          <t>A 27329-2022</t>
        </is>
      </c>
      <c r="B2860" s="1" t="n">
        <v>44742.36770833333</v>
      </c>
      <c r="C2860" s="1" t="n">
        <v>45952</v>
      </c>
      <c r="D2860" t="inlineStr">
        <is>
          <t>VÄSTRA GÖTALANDS LÄN</t>
        </is>
      </c>
      <c r="E2860" t="inlineStr">
        <is>
          <t>LIDKÖPING</t>
        </is>
      </c>
      <c r="G2860" t="n">
        <v>1.1</v>
      </c>
      <c r="H2860" t="n">
        <v>0</v>
      </c>
      <c r="I2860" t="n">
        <v>0</v>
      </c>
      <c r="J2860" t="n">
        <v>0</v>
      </c>
      <c r="K2860" t="n">
        <v>0</v>
      </c>
      <c r="L2860" t="n">
        <v>0</v>
      </c>
      <c r="M2860" t="n">
        <v>0</v>
      </c>
      <c r="N2860" t="n">
        <v>0</v>
      </c>
      <c r="O2860" t="n">
        <v>0</v>
      </c>
      <c r="P2860" t="n">
        <v>0</v>
      </c>
      <c r="Q2860" t="n">
        <v>0</v>
      </c>
      <c r="R2860" s="2" t="inlineStr"/>
    </row>
    <row r="2861" ht="15" customHeight="1">
      <c r="A2861" t="inlineStr">
        <is>
          <t>A 47322-2022</t>
        </is>
      </c>
      <c r="B2861" s="1" t="n">
        <v>44853</v>
      </c>
      <c r="C2861" s="1" t="n">
        <v>45952</v>
      </c>
      <c r="D2861" t="inlineStr">
        <is>
          <t>VÄSTRA GÖTALANDS LÄN</t>
        </is>
      </c>
      <c r="E2861" t="inlineStr">
        <is>
          <t>TÖREBODA</t>
        </is>
      </c>
      <c r="F2861" t="inlineStr">
        <is>
          <t>Sveaskog</t>
        </is>
      </c>
      <c r="G2861" t="n">
        <v>1.6</v>
      </c>
      <c r="H2861" t="n">
        <v>0</v>
      </c>
      <c r="I2861" t="n">
        <v>0</v>
      </c>
      <c r="J2861" t="n">
        <v>0</v>
      </c>
      <c r="K2861" t="n">
        <v>0</v>
      </c>
      <c r="L2861" t="n">
        <v>0</v>
      </c>
      <c r="M2861" t="n">
        <v>0</v>
      </c>
      <c r="N2861" t="n">
        <v>0</v>
      </c>
      <c r="O2861" t="n">
        <v>0</v>
      </c>
      <c r="P2861" t="n">
        <v>0</v>
      </c>
      <c r="Q2861" t="n">
        <v>0</v>
      </c>
      <c r="R2861" s="2" t="inlineStr"/>
    </row>
    <row r="2862" ht="15" customHeight="1">
      <c r="A2862" t="inlineStr">
        <is>
          <t>A 48491-2022</t>
        </is>
      </c>
      <c r="B2862" s="1" t="n">
        <v>44858.79685185185</v>
      </c>
      <c r="C2862" s="1" t="n">
        <v>45952</v>
      </c>
      <c r="D2862" t="inlineStr">
        <is>
          <t>VÄSTRA GÖTALANDS LÄN</t>
        </is>
      </c>
      <c r="E2862" t="inlineStr">
        <is>
          <t>TÖREBODA</t>
        </is>
      </c>
      <c r="G2862" t="n">
        <v>1.4</v>
      </c>
      <c r="H2862" t="n">
        <v>0</v>
      </c>
      <c r="I2862" t="n">
        <v>0</v>
      </c>
      <c r="J2862" t="n">
        <v>0</v>
      </c>
      <c r="K2862" t="n">
        <v>0</v>
      </c>
      <c r="L2862" t="n">
        <v>0</v>
      </c>
      <c r="M2862" t="n">
        <v>0</v>
      </c>
      <c r="N2862" t="n">
        <v>0</v>
      </c>
      <c r="O2862" t="n">
        <v>0</v>
      </c>
      <c r="P2862" t="n">
        <v>0</v>
      </c>
      <c r="Q2862" t="n">
        <v>0</v>
      </c>
      <c r="R2862" s="2" t="inlineStr"/>
    </row>
    <row r="2863" ht="15" customHeight="1">
      <c r="A2863" t="inlineStr">
        <is>
          <t>A 38000-2022</t>
        </is>
      </c>
      <c r="B2863" s="1" t="n">
        <v>44811.58396990741</v>
      </c>
      <c r="C2863" s="1" t="n">
        <v>45952</v>
      </c>
      <c r="D2863" t="inlineStr">
        <is>
          <t>VÄSTRA GÖTALANDS LÄN</t>
        </is>
      </c>
      <c r="E2863" t="inlineStr">
        <is>
          <t>TROLLHÄTTAN</t>
        </is>
      </c>
      <c r="G2863" t="n">
        <v>0.5</v>
      </c>
      <c r="H2863" t="n">
        <v>0</v>
      </c>
      <c r="I2863" t="n">
        <v>0</v>
      </c>
      <c r="J2863" t="n">
        <v>0</v>
      </c>
      <c r="K2863" t="n">
        <v>0</v>
      </c>
      <c r="L2863" t="n">
        <v>0</v>
      </c>
      <c r="M2863" t="n">
        <v>0</v>
      </c>
      <c r="N2863" t="n">
        <v>0</v>
      </c>
      <c r="O2863" t="n">
        <v>0</v>
      </c>
      <c r="P2863" t="n">
        <v>0</v>
      </c>
      <c r="Q2863" t="n">
        <v>0</v>
      </c>
      <c r="R2863" s="2" t="inlineStr"/>
    </row>
    <row r="2864" ht="15" customHeight="1">
      <c r="A2864" t="inlineStr">
        <is>
          <t>A 58217-2020</t>
        </is>
      </c>
      <c r="B2864" s="1" t="n">
        <v>44144</v>
      </c>
      <c r="C2864" s="1" t="n">
        <v>45952</v>
      </c>
      <c r="D2864" t="inlineStr">
        <is>
          <t>VÄSTRA GÖTALANDS LÄN</t>
        </is>
      </c>
      <c r="E2864" t="inlineStr">
        <is>
          <t>ESSUNGA</t>
        </is>
      </c>
      <c r="G2864" t="n">
        <v>0.2</v>
      </c>
      <c r="H2864" t="n">
        <v>0</v>
      </c>
      <c r="I2864" t="n">
        <v>0</v>
      </c>
      <c r="J2864" t="n">
        <v>0</v>
      </c>
      <c r="K2864" t="n">
        <v>0</v>
      </c>
      <c r="L2864" t="n">
        <v>0</v>
      </c>
      <c r="M2864" t="n">
        <v>0</v>
      </c>
      <c r="N2864" t="n">
        <v>0</v>
      </c>
      <c r="O2864" t="n">
        <v>0</v>
      </c>
      <c r="P2864" t="n">
        <v>0</v>
      </c>
      <c r="Q2864" t="n">
        <v>0</v>
      </c>
      <c r="R2864" s="2" t="inlineStr"/>
    </row>
    <row r="2865" ht="15" customHeight="1">
      <c r="A2865" t="inlineStr">
        <is>
          <t>A 3000-2025</t>
        </is>
      </c>
      <c r="B2865" s="1" t="n">
        <v>45678.54986111111</v>
      </c>
      <c r="C2865" s="1" t="n">
        <v>45952</v>
      </c>
      <c r="D2865" t="inlineStr">
        <is>
          <t>VÄSTRA GÖTALANDS LÄN</t>
        </is>
      </c>
      <c r="E2865" t="inlineStr">
        <is>
          <t>BORÅS</t>
        </is>
      </c>
      <c r="F2865" t="inlineStr">
        <is>
          <t>Sveaskog</t>
        </is>
      </c>
      <c r="G2865" t="n">
        <v>3.1</v>
      </c>
      <c r="H2865" t="n">
        <v>0</v>
      </c>
      <c r="I2865" t="n">
        <v>0</v>
      </c>
      <c r="J2865" t="n">
        <v>0</v>
      </c>
      <c r="K2865" t="n">
        <v>0</v>
      </c>
      <c r="L2865" t="n">
        <v>0</v>
      </c>
      <c r="M2865" t="n">
        <v>0</v>
      </c>
      <c r="N2865" t="n">
        <v>0</v>
      </c>
      <c r="O2865" t="n">
        <v>0</v>
      </c>
      <c r="P2865" t="n">
        <v>0</v>
      </c>
      <c r="Q2865" t="n">
        <v>0</v>
      </c>
      <c r="R2865" s="2" t="inlineStr"/>
    </row>
    <row r="2866" ht="15" customHeight="1">
      <c r="A2866" t="inlineStr">
        <is>
          <t>A 9446-2024</t>
        </is>
      </c>
      <c r="B2866" s="1" t="n">
        <v>45359.51115740741</v>
      </c>
      <c r="C2866" s="1" t="n">
        <v>45952</v>
      </c>
      <c r="D2866" t="inlineStr">
        <is>
          <t>VÄSTRA GÖTALANDS LÄN</t>
        </is>
      </c>
      <c r="E2866" t="inlineStr">
        <is>
          <t>MARK</t>
        </is>
      </c>
      <c r="G2866" t="n">
        <v>5</v>
      </c>
      <c r="H2866" t="n">
        <v>0</v>
      </c>
      <c r="I2866" t="n">
        <v>0</v>
      </c>
      <c r="J2866" t="n">
        <v>0</v>
      </c>
      <c r="K2866" t="n">
        <v>0</v>
      </c>
      <c r="L2866" t="n">
        <v>0</v>
      </c>
      <c r="M2866" t="n">
        <v>0</v>
      </c>
      <c r="N2866" t="n">
        <v>0</v>
      </c>
      <c r="O2866" t="n">
        <v>0</v>
      </c>
      <c r="P2866" t="n">
        <v>0</v>
      </c>
      <c r="Q2866" t="n">
        <v>0</v>
      </c>
      <c r="R2866" s="2" t="inlineStr"/>
    </row>
    <row r="2867" ht="15" customHeight="1">
      <c r="A2867" t="inlineStr">
        <is>
          <t>A 9455-2024</t>
        </is>
      </c>
      <c r="B2867" s="1" t="n">
        <v>45359.52900462963</v>
      </c>
      <c r="C2867" s="1" t="n">
        <v>45952</v>
      </c>
      <c r="D2867" t="inlineStr">
        <is>
          <t>VÄSTRA GÖTALANDS LÄN</t>
        </is>
      </c>
      <c r="E2867" t="inlineStr">
        <is>
          <t>SVENLJUNGA</t>
        </is>
      </c>
      <c r="G2867" t="n">
        <v>1</v>
      </c>
      <c r="H2867" t="n">
        <v>0</v>
      </c>
      <c r="I2867" t="n">
        <v>0</v>
      </c>
      <c r="J2867" t="n">
        <v>0</v>
      </c>
      <c r="K2867" t="n">
        <v>0</v>
      </c>
      <c r="L2867" t="n">
        <v>0</v>
      </c>
      <c r="M2867" t="n">
        <v>0</v>
      </c>
      <c r="N2867" t="n">
        <v>0</v>
      </c>
      <c r="O2867" t="n">
        <v>0</v>
      </c>
      <c r="P2867" t="n">
        <v>0</v>
      </c>
      <c r="Q2867" t="n">
        <v>0</v>
      </c>
      <c r="R2867" s="2" t="inlineStr"/>
    </row>
    <row r="2868" ht="15" customHeight="1">
      <c r="A2868" t="inlineStr">
        <is>
          <t>A 66405-2021</t>
        </is>
      </c>
      <c r="B2868" s="1" t="n">
        <v>44518</v>
      </c>
      <c r="C2868" s="1" t="n">
        <v>45952</v>
      </c>
      <c r="D2868" t="inlineStr">
        <is>
          <t>VÄSTRA GÖTALANDS LÄN</t>
        </is>
      </c>
      <c r="E2868" t="inlineStr">
        <is>
          <t>FÄRGELANDA</t>
        </is>
      </c>
      <c r="G2868" t="n">
        <v>1.9</v>
      </c>
      <c r="H2868" t="n">
        <v>0</v>
      </c>
      <c r="I2868" t="n">
        <v>0</v>
      </c>
      <c r="J2868" t="n">
        <v>0</v>
      </c>
      <c r="K2868" t="n">
        <v>0</v>
      </c>
      <c r="L2868" t="n">
        <v>0</v>
      </c>
      <c r="M2868" t="n">
        <v>0</v>
      </c>
      <c r="N2868" t="n">
        <v>0</v>
      </c>
      <c r="O2868" t="n">
        <v>0</v>
      </c>
      <c r="P2868" t="n">
        <v>0</v>
      </c>
      <c r="Q2868" t="n">
        <v>0</v>
      </c>
      <c r="R2868" s="2" t="inlineStr"/>
    </row>
    <row r="2869" ht="15" customHeight="1">
      <c r="A2869" t="inlineStr">
        <is>
          <t>A 9516-2024</t>
        </is>
      </c>
      <c r="B2869" s="1" t="n">
        <v>45359</v>
      </c>
      <c r="C2869" s="1" t="n">
        <v>45952</v>
      </c>
      <c r="D2869" t="inlineStr">
        <is>
          <t>VÄSTRA GÖTALANDS LÄN</t>
        </is>
      </c>
      <c r="E2869" t="inlineStr">
        <is>
          <t>BENGTSFORS</t>
        </is>
      </c>
      <c r="G2869" t="n">
        <v>1</v>
      </c>
      <c r="H2869" t="n">
        <v>0</v>
      </c>
      <c r="I2869" t="n">
        <v>0</v>
      </c>
      <c r="J2869" t="n">
        <v>0</v>
      </c>
      <c r="K2869" t="n">
        <v>0</v>
      </c>
      <c r="L2869" t="n">
        <v>0</v>
      </c>
      <c r="M2869" t="n">
        <v>0</v>
      </c>
      <c r="N2869" t="n">
        <v>0</v>
      </c>
      <c r="O2869" t="n">
        <v>0</v>
      </c>
      <c r="P2869" t="n">
        <v>0</v>
      </c>
      <c r="Q2869" t="n">
        <v>0</v>
      </c>
      <c r="R2869" s="2" t="inlineStr"/>
    </row>
    <row r="2870" ht="15" customHeight="1">
      <c r="A2870" t="inlineStr">
        <is>
          <t>A 61070-2020</t>
        </is>
      </c>
      <c r="B2870" s="1" t="n">
        <v>44154</v>
      </c>
      <c r="C2870" s="1" t="n">
        <v>45952</v>
      </c>
      <c r="D2870" t="inlineStr">
        <is>
          <t>VÄSTRA GÖTALANDS LÄN</t>
        </is>
      </c>
      <c r="E2870" t="inlineStr">
        <is>
          <t>MARK</t>
        </is>
      </c>
      <c r="G2870" t="n">
        <v>0.8</v>
      </c>
      <c r="H2870" t="n">
        <v>0</v>
      </c>
      <c r="I2870" t="n">
        <v>0</v>
      </c>
      <c r="J2870" t="n">
        <v>0</v>
      </c>
      <c r="K2870" t="n">
        <v>0</v>
      </c>
      <c r="L2870" t="n">
        <v>0</v>
      </c>
      <c r="M2870" t="n">
        <v>0</v>
      </c>
      <c r="N2870" t="n">
        <v>0</v>
      </c>
      <c r="O2870" t="n">
        <v>0</v>
      </c>
      <c r="P2870" t="n">
        <v>0</v>
      </c>
      <c r="Q2870" t="n">
        <v>0</v>
      </c>
      <c r="R2870" s="2" t="inlineStr"/>
    </row>
    <row r="2871" ht="15" customHeight="1">
      <c r="A2871" t="inlineStr">
        <is>
          <t>A 4095-2021</t>
        </is>
      </c>
      <c r="B2871" s="1" t="n">
        <v>44222</v>
      </c>
      <c r="C2871" s="1" t="n">
        <v>45952</v>
      </c>
      <c r="D2871" t="inlineStr">
        <is>
          <t>VÄSTRA GÖTALANDS LÄN</t>
        </is>
      </c>
      <c r="E2871" t="inlineStr">
        <is>
          <t>FÄRGELANDA</t>
        </is>
      </c>
      <c r="G2871" t="n">
        <v>6.6</v>
      </c>
      <c r="H2871" t="n">
        <v>0</v>
      </c>
      <c r="I2871" t="n">
        <v>0</v>
      </c>
      <c r="J2871" t="n">
        <v>0</v>
      </c>
      <c r="K2871" t="n">
        <v>0</v>
      </c>
      <c r="L2871" t="n">
        <v>0</v>
      </c>
      <c r="M2871" t="n">
        <v>0</v>
      </c>
      <c r="N2871" t="n">
        <v>0</v>
      </c>
      <c r="O2871" t="n">
        <v>0</v>
      </c>
      <c r="P2871" t="n">
        <v>0</v>
      </c>
      <c r="Q2871" t="n">
        <v>0</v>
      </c>
      <c r="R2871" s="2" t="inlineStr"/>
    </row>
    <row r="2872" ht="15" customHeight="1">
      <c r="A2872" t="inlineStr">
        <is>
          <t>A 13923-2022</t>
        </is>
      </c>
      <c r="B2872" s="1" t="n">
        <v>44650</v>
      </c>
      <c r="C2872" s="1" t="n">
        <v>45952</v>
      </c>
      <c r="D2872" t="inlineStr">
        <is>
          <t>VÄSTRA GÖTALANDS LÄN</t>
        </is>
      </c>
      <c r="E2872" t="inlineStr">
        <is>
          <t>VÄNERSBORG</t>
        </is>
      </c>
      <c r="F2872" t="inlineStr">
        <is>
          <t>Naturvårdsverket</t>
        </is>
      </c>
      <c r="G2872" t="n">
        <v>0.2</v>
      </c>
      <c r="H2872" t="n">
        <v>0</v>
      </c>
      <c r="I2872" t="n">
        <v>0</v>
      </c>
      <c r="J2872" t="n">
        <v>0</v>
      </c>
      <c r="K2872" t="n">
        <v>0</v>
      </c>
      <c r="L2872" t="n">
        <v>0</v>
      </c>
      <c r="M2872" t="n">
        <v>0</v>
      </c>
      <c r="N2872" t="n">
        <v>0</v>
      </c>
      <c r="O2872" t="n">
        <v>0</v>
      </c>
      <c r="P2872" t="n">
        <v>0</v>
      </c>
      <c r="Q2872" t="n">
        <v>0</v>
      </c>
      <c r="R2872" s="2" t="inlineStr"/>
    </row>
    <row r="2873" ht="15" customHeight="1">
      <c r="A2873" t="inlineStr">
        <is>
          <t>A 58922-2022</t>
        </is>
      </c>
      <c r="B2873" s="1" t="n">
        <v>44903</v>
      </c>
      <c r="C2873" s="1" t="n">
        <v>45952</v>
      </c>
      <c r="D2873" t="inlineStr">
        <is>
          <t>VÄSTRA GÖTALANDS LÄN</t>
        </is>
      </c>
      <c r="E2873" t="inlineStr">
        <is>
          <t>SVENLJUNGA</t>
        </is>
      </c>
      <c r="G2873" t="n">
        <v>1.5</v>
      </c>
      <c r="H2873" t="n">
        <v>0</v>
      </c>
      <c r="I2873" t="n">
        <v>0</v>
      </c>
      <c r="J2873" t="n">
        <v>0</v>
      </c>
      <c r="K2873" t="n">
        <v>0</v>
      </c>
      <c r="L2873" t="n">
        <v>0</v>
      </c>
      <c r="M2873" t="n">
        <v>0</v>
      </c>
      <c r="N2873" t="n">
        <v>0</v>
      </c>
      <c r="O2873" t="n">
        <v>0</v>
      </c>
      <c r="P2873" t="n">
        <v>0</v>
      </c>
      <c r="Q2873" t="n">
        <v>0</v>
      </c>
      <c r="R2873" s="2" t="inlineStr"/>
    </row>
    <row r="2874" ht="15" customHeight="1">
      <c r="A2874" t="inlineStr">
        <is>
          <t>A 4873-2022</t>
        </is>
      </c>
      <c r="B2874" s="1" t="n">
        <v>44593.3330787037</v>
      </c>
      <c r="C2874" s="1" t="n">
        <v>45952</v>
      </c>
      <c r="D2874" t="inlineStr">
        <is>
          <t>VÄSTRA GÖTALANDS LÄN</t>
        </is>
      </c>
      <c r="E2874" t="inlineStr">
        <is>
          <t>ULRICEHAMN</t>
        </is>
      </c>
      <c r="G2874" t="n">
        <v>3.8</v>
      </c>
      <c r="H2874" t="n">
        <v>0</v>
      </c>
      <c r="I2874" t="n">
        <v>0</v>
      </c>
      <c r="J2874" t="n">
        <v>0</v>
      </c>
      <c r="K2874" t="n">
        <v>0</v>
      </c>
      <c r="L2874" t="n">
        <v>0</v>
      </c>
      <c r="M2874" t="n">
        <v>0</v>
      </c>
      <c r="N2874" t="n">
        <v>0</v>
      </c>
      <c r="O2874" t="n">
        <v>0</v>
      </c>
      <c r="P2874" t="n">
        <v>0</v>
      </c>
      <c r="Q2874" t="n">
        <v>0</v>
      </c>
      <c r="R2874" s="2" t="inlineStr"/>
    </row>
    <row r="2875" ht="15" customHeight="1">
      <c r="A2875" t="inlineStr">
        <is>
          <t>A 11885-2022</t>
        </is>
      </c>
      <c r="B2875" s="1" t="n">
        <v>44635.4016087963</v>
      </c>
      <c r="C2875" s="1" t="n">
        <v>45952</v>
      </c>
      <c r="D2875" t="inlineStr">
        <is>
          <t>VÄSTRA GÖTALANDS LÄN</t>
        </is>
      </c>
      <c r="E2875" t="inlineStr">
        <is>
          <t>SKÖVDE</t>
        </is>
      </c>
      <c r="G2875" t="n">
        <v>5.4</v>
      </c>
      <c r="H2875" t="n">
        <v>0</v>
      </c>
      <c r="I2875" t="n">
        <v>0</v>
      </c>
      <c r="J2875" t="n">
        <v>0</v>
      </c>
      <c r="K2875" t="n">
        <v>0</v>
      </c>
      <c r="L2875" t="n">
        <v>0</v>
      </c>
      <c r="M2875" t="n">
        <v>0</v>
      </c>
      <c r="N2875" t="n">
        <v>0</v>
      </c>
      <c r="O2875" t="n">
        <v>0</v>
      </c>
      <c r="P2875" t="n">
        <v>0</v>
      </c>
      <c r="Q2875" t="n">
        <v>0</v>
      </c>
      <c r="R2875" s="2" t="inlineStr"/>
    </row>
    <row r="2876" ht="15" customHeight="1">
      <c r="A2876" t="inlineStr">
        <is>
          <t>A 15683-2022</t>
        </is>
      </c>
      <c r="B2876" s="1" t="n">
        <v>44663</v>
      </c>
      <c r="C2876" s="1" t="n">
        <v>45952</v>
      </c>
      <c r="D2876" t="inlineStr">
        <is>
          <t>VÄSTRA GÖTALANDS LÄN</t>
        </is>
      </c>
      <c r="E2876" t="inlineStr">
        <is>
          <t>HÄRRYDA</t>
        </is>
      </c>
      <c r="G2876" t="n">
        <v>0.1</v>
      </c>
      <c r="H2876" t="n">
        <v>0</v>
      </c>
      <c r="I2876" t="n">
        <v>0</v>
      </c>
      <c r="J2876" t="n">
        <v>0</v>
      </c>
      <c r="K2876" t="n">
        <v>0</v>
      </c>
      <c r="L2876" t="n">
        <v>0</v>
      </c>
      <c r="M2876" t="n">
        <v>0</v>
      </c>
      <c r="N2876" t="n">
        <v>0</v>
      </c>
      <c r="O2876" t="n">
        <v>0</v>
      </c>
      <c r="P2876" t="n">
        <v>0</v>
      </c>
      <c r="Q2876" t="n">
        <v>0</v>
      </c>
      <c r="R2876" s="2" t="inlineStr"/>
    </row>
    <row r="2877" ht="15" customHeight="1">
      <c r="A2877" t="inlineStr">
        <is>
          <t>A 39894-2023</t>
        </is>
      </c>
      <c r="B2877" s="1" t="n">
        <v>45166</v>
      </c>
      <c r="C2877" s="1" t="n">
        <v>45952</v>
      </c>
      <c r="D2877" t="inlineStr">
        <is>
          <t>VÄSTRA GÖTALANDS LÄN</t>
        </is>
      </c>
      <c r="E2877" t="inlineStr">
        <is>
          <t>TÖREBODA</t>
        </is>
      </c>
      <c r="G2877" t="n">
        <v>2.4</v>
      </c>
      <c r="H2877" t="n">
        <v>0</v>
      </c>
      <c r="I2877" t="n">
        <v>0</v>
      </c>
      <c r="J2877" t="n">
        <v>0</v>
      </c>
      <c r="K2877" t="n">
        <v>0</v>
      </c>
      <c r="L2877" t="n">
        <v>0</v>
      </c>
      <c r="M2877" t="n">
        <v>0</v>
      </c>
      <c r="N2877" t="n">
        <v>0</v>
      </c>
      <c r="O2877" t="n">
        <v>0</v>
      </c>
      <c r="P2877" t="n">
        <v>0</v>
      </c>
      <c r="Q2877" t="n">
        <v>0</v>
      </c>
      <c r="R2877" s="2" t="inlineStr"/>
    </row>
    <row r="2878" ht="15" customHeight="1">
      <c r="A2878" t="inlineStr">
        <is>
          <t>A 52269-2022</t>
        </is>
      </c>
      <c r="B2878" s="1" t="n">
        <v>44873</v>
      </c>
      <c r="C2878" s="1" t="n">
        <v>45952</v>
      </c>
      <c r="D2878" t="inlineStr">
        <is>
          <t>VÄSTRA GÖTALANDS LÄN</t>
        </is>
      </c>
      <c r="E2878" t="inlineStr">
        <is>
          <t>MELLERUD</t>
        </is>
      </c>
      <c r="G2878" t="n">
        <v>4.6</v>
      </c>
      <c r="H2878" t="n">
        <v>0</v>
      </c>
      <c r="I2878" t="n">
        <v>0</v>
      </c>
      <c r="J2878" t="n">
        <v>0</v>
      </c>
      <c r="K2878" t="n">
        <v>0</v>
      </c>
      <c r="L2878" t="n">
        <v>0</v>
      </c>
      <c r="M2878" t="n">
        <v>0</v>
      </c>
      <c r="N2878" t="n">
        <v>0</v>
      </c>
      <c r="O2878" t="n">
        <v>0</v>
      </c>
      <c r="P2878" t="n">
        <v>0</v>
      </c>
      <c r="Q2878" t="n">
        <v>0</v>
      </c>
      <c r="R2878" s="2" t="inlineStr"/>
    </row>
    <row r="2879" ht="15" customHeight="1">
      <c r="A2879" t="inlineStr">
        <is>
          <t>A 417-2023</t>
        </is>
      </c>
      <c r="B2879" s="1" t="n">
        <v>44929</v>
      </c>
      <c r="C2879" s="1" t="n">
        <v>45952</v>
      </c>
      <c r="D2879" t="inlineStr">
        <is>
          <t>VÄSTRA GÖTALANDS LÄN</t>
        </is>
      </c>
      <c r="E2879" t="inlineStr">
        <is>
          <t>TIBRO</t>
        </is>
      </c>
      <c r="G2879" t="n">
        <v>1.7</v>
      </c>
      <c r="H2879" t="n">
        <v>0</v>
      </c>
      <c r="I2879" t="n">
        <v>0</v>
      </c>
      <c r="J2879" t="n">
        <v>0</v>
      </c>
      <c r="K2879" t="n">
        <v>0</v>
      </c>
      <c r="L2879" t="n">
        <v>0</v>
      </c>
      <c r="M2879" t="n">
        <v>0</v>
      </c>
      <c r="N2879" t="n">
        <v>0</v>
      </c>
      <c r="O2879" t="n">
        <v>0</v>
      </c>
      <c r="P2879" t="n">
        <v>0</v>
      </c>
      <c r="Q2879" t="n">
        <v>0</v>
      </c>
      <c r="R2879" s="2" t="inlineStr"/>
    </row>
    <row r="2880" ht="15" customHeight="1">
      <c r="A2880" t="inlineStr">
        <is>
          <t>A 421-2023</t>
        </is>
      </c>
      <c r="B2880" s="1" t="n">
        <v>44929.6516550926</v>
      </c>
      <c r="C2880" s="1" t="n">
        <v>45952</v>
      </c>
      <c r="D2880" t="inlineStr">
        <is>
          <t>VÄSTRA GÖTALANDS LÄN</t>
        </is>
      </c>
      <c r="E2880" t="inlineStr">
        <is>
          <t>MUNKEDAL</t>
        </is>
      </c>
      <c r="G2880" t="n">
        <v>4.2</v>
      </c>
      <c r="H2880" t="n">
        <v>0</v>
      </c>
      <c r="I2880" t="n">
        <v>0</v>
      </c>
      <c r="J2880" t="n">
        <v>0</v>
      </c>
      <c r="K2880" t="n">
        <v>0</v>
      </c>
      <c r="L2880" t="n">
        <v>0</v>
      </c>
      <c r="M2880" t="n">
        <v>0</v>
      </c>
      <c r="N2880" t="n">
        <v>0</v>
      </c>
      <c r="O2880" t="n">
        <v>0</v>
      </c>
      <c r="P2880" t="n">
        <v>0</v>
      </c>
      <c r="Q2880" t="n">
        <v>0</v>
      </c>
      <c r="R2880" s="2" t="inlineStr"/>
    </row>
    <row r="2881" ht="15" customHeight="1">
      <c r="A2881" t="inlineStr">
        <is>
          <t>A 55285-2023</t>
        </is>
      </c>
      <c r="B2881" s="1" t="n">
        <v>45237.74319444445</v>
      </c>
      <c r="C2881" s="1" t="n">
        <v>45952</v>
      </c>
      <c r="D2881" t="inlineStr">
        <is>
          <t>VÄSTRA GÖTALANDS LÄN</t>
        </is>
      </c>
      <c r="E2881" t="inlineStr">
        <is>
          <t>TÖREBODA</t>
        </is>
      </c>
      <c r="G2881" t="n">
        <v>2.7</v>
      </c>
      <c r="H2881" t="n">
        <v>0</v>
      </c>
      <c r="I2881" t="n">
        <v>0</v>
      </c>
      <c r="J2881" t="n">
        <v>0</v>
      </c>
      <c r="K2881" t="n">
        <v>0</v>
      </c>
      <c r="L2881" t="n">
        <v>0</v>
      </c>
      <c r="M2881" t="n">
        <v>0</v>
      </c>
      <c r="N2881" t="n">
        <v>0</v>
      </c>
      <c r="O2881" t="n">
        <v>0</v>
      </c>
      <c r="P2881" t="n">
        <v>0</v>
      </c>
      <c r="Q2881" t="n">
        <v>0</v>
      </c>
      <c r="R2881" s="2" t="inlineStr"/>
    </row>
    <row r="2882" ht="15" customHeight="1">
      <c r="A2882" t="inlineStr">
        <is>
          <t>A 24749-2022</t>
        </is>
      </c>
      <c r="B2882" s="1" t="n">
        <v>44728.31896990741</v>
      </c>
      <c r="C2882" s="1" t="n">
        <v>45952</v>
      </c>
      <c r="D2882" t="inlineStr">
        <is>
          <t>VÄSTRA GÖTALANDS LÄN</t>
        </is>
      </c>
      <c r="E2882" t="inlineStr">
        <is>
          <t>FALKÖPING</t>
        </is>
      </c>
      <c r="G2882" t="n">
        <v>3.9</v>
      </c>
      <c r="H2882" t="n">
        <v>0</v>
      </c>
      <c r="I2882" t="n">
        <v>0</v>
      </c>
      <c r="J2882" t="n">
        <v>0</v>
      </c>
      <c r="K2882" t="n">
        <v>0</v>
      </c>
      <c r="L2882" t="n">
        <v>0</v>
      </c>
      <c r="M2882" t="n">
        <v>0</v>
      </c>
      <c r="N2882" t="n">
        <v>0</v>
      </c>
      <c r="O2882" t="n">
        <v>0</v>
      </c>
      <c r="P2882" t="n">
        <v>0</v>
      </c>
      <c r="Q2882" t="n">
        <v>0</v>
      </c>
      <c r="R2882" s="2" t="inlineStr"/>
    </row>
    <row r="2883" ht="15" customHeight="1">
      <c r="A2883" t="inlineStr">
        <is>
          <t>A 58066-2021</t>
        </is>
      </c>
      <c r="B2883" s="1" t="n">
        <v>44487</v>
      </c>
      <c r="C2883" s="1" t="n">
        <v>45952</v>
      </c>
      <c r="D2883" t="inlineStr">
        <is>
          <t>VÄSTRA GÖTALANDS LÄN</t>
        </is>
      </c>
      <c r="E2883" t="inlineStr">
        <is>
          <t>MUNKEDAL</t>
        </is>
      </c>
      <c r="G2883" t="n">
        <v>3</v>
      </c>
      <c r="H2883" t="n">
        <v>0</v>
      </c>
      <c r="I2883" t="n">
        <v>0</v>
      </c>
      <c r="J2883" t="n">
        <v>0</v>
      </c>
      <c r="K2883" t="n">
        <v>0</v>
      </c>
      <c r="L2883" t="n">
        <v>0</v>
      </c>
      <c r="M2883" t="n">
        <v>0</v>
      </c>
      <c r="N2883" t="n">
        <v>0</v>
      </c>
      <c r="O2883" t="n">
        <v>0</v>
      </c>
      <c r="P2883" t="n">
        <v>0</v>
      </c>
      <c r="Q2883" t="n">
        <v>0</v>
      </c>
      <c r="R2883" s="2" t="inlineStr"/>
    </row>
    <row r="2884" ht="15" customHeight="1">
      <c r="A2884" t="inlineStr">
        <is>
          <t>A 37155-2022</t>
        </is>
      </c>
      <c r="B2884" s="1" t="n">
        <v>44806.59059027778</v>
      </c>
      <c r="C2884" s="1" t="n">
        <v>45952</v>
      </c>
      <c r="D2884" t="inlineStr">
        <is>
          <t>VÄSTRA GÖTALANDS LÄN</t>
        </is>
      </c>
      <c r="E2884" t="inlineStr">
        <is>
          <t>LIDKÖPING</t>
        </is>
      </c>
      <c r="G2884" t="n">
        <v>0.5</v>
      </c>
      <c r="H2884" t="n">
        <v>0</v>
      </c>
      <c r="I2884" t="n">
        <v>0</v>
      </c>
      <c r="J2884" t="n">
        <v>0</v>
      </c>
      <c r="K2884" t="n">
        <v>0</v>
      </c>
      <c r="L2884" t="n">
        <v>0</v>
      </c>
      <c r="M2884" t="n">
        <v>0</v>
      </c>
      <c r="N2884" t="n">
        <v>0</v>
      </c>
      <c r="O2884" t="n">
        <v>0</v>
      </c>
      <c r="P2884" t="n">
        <v>0</v>
      </c>
      <c r="Q2884" t="n">
        <v>0</v>
      </c>
      <c r="R2884" s="2" t="inlineStr"/>
    </row>
    <row r="2885" ht="15" customHeight="1">
      <c r="A2885" t="inlineStr">
        <is>
          <t>A 58734-2021</t>
        </is>
      </c>
      <c r="B2885" s="1" t="n">
        <v>44489.4964699074</v>
      </c>
      <c r="C2885" s="1" t="n">
        <v>45952</v>
      </c>
      <c r="D2885" t="inlineStr">
        <is>
          <t>VÄSTRA GÖTALANDS LÄN</t>
        </is>
      </c>
      <c r="E2885" t="inlineStr">
        <is>
          <t>BORÅS</t>
        </is>
      </c>
      <c r="G2885" t="n">
        <v>1.6</v>
      </c>
      <c r="H2885" t="n">
        <v>0</v>
      </c>
      <c r="I2885" t="n">
        <v>0</v>
      </c>
      <c r="J2885" t="n">
        <v>0</v>
      </c>
      <c r="K2885" t="n">
        <v>0</v>
      </c>
      <c r="L2885" t="n">
        <v>0</v>
      </c>
      <c r="M2885" t="n">
        <v>0</v>
      </c>
      <c r="N2885" t="n">
        <v>0</v>
      </c>
      <c r="O2885" t="n">
        <v>0</v>
      </c>
      <c r="P2885" t="n">
        <v>0</v>
      </c>
      <c r="Q2885" t="n">
        <v>0</v>
      </c>
      <c r="R2885" s="2" t="inlineStr"/>
    </row>
    <row r="2886" ht="15" customHeight="1">
      <c r="A2886" t="inlineStr">
        <is>
          <t>A 58750-2021</t>
        </is>
      </c>
      <c r="B2886" s="1" t="n">
        <v>44489</v>
      </c>
      <c r="C2886" s="1" t="n">
        <v>45952</v>
      </c>
      <c r="D2886" t="inlineStr">
        <is>
          <t>VÄSTRA GÖTALANDS LÄN</t>
        </is>
      </c>
      <c r="E2886" t="inlineStr">
        <is>
          <t>LILLA EDET</t>
        </is>
      </c>
      <c r="G2886" t="n">
        <v>1.9</v>
      </c>
      <c r="H2886" t="n">
        <v>0</v>
      </c>
      <c r="I2886" t="n">
        <v>0</v>
      </c>
      <c r="J2886" t="n">
        <v>0</v>
      </c>
      <c r="K2886" t="n">
        <v>0</v>
      </c>
      <c r="L2886" t="n">
        <v>0</v>
      </c>
      <c r="M2886" t="n">
        <v>0</v>
      </c>
      <c r="N2886" t="n">
        <v>0</v>
      </c>
      <c r="O2886" t="n">
        <v>0</v>
      </c>
      <c r="P2886" t="n">
        <v>0</v>
      </c>
      <c r="Q2886" t="n">
        <v>0</v>
      </c>
      <c r="R2886" s="2" t="inlineStr"/>
    </row>
    <row r="2887" ht="15" customHeight="1">
      <c r="A2887" t="inlineStr">
        <is>
          <t>A 58771-2021</t>
        </is>
      </c>
      <c r="B2887" s="1" t="n">
        <v>44489.54841435186</v>
      </c>
      <c r="C2887" s="1" t="n">
        <v>45952</v>
      </c>
      <c r="D2887" t="inlineStr">
        <is>
          <t>VÄSTRA GÖTALANDS LÄN</t>
        </is>
      </c>
      <c r="E2887" t="inlineStr">
        <is>
          <t>BORÅS</t>
        </is>
      </c>
      <c r="G2887" t="n">
        <v>5.1</v>
      </c>
      <c r="H2887" t="n">
        <v>0</v>
      </c>
      <c r="I2887" t="n">
        <v>0</v>
      </c>
      <c r="J2887" t="n">
        <v>0</v>
      </c>
      <c r="K2887" t="n">
        <v>0</v>
      </c>
      <c r="L2887" t="n">
        <v>0</v>
      </c>
      <c r="M2887" t="n">
        <v>0</v>
      </c>
      <c r="N2887" t="n">
        <v>0</v>
      </c>
      <c r="O2887" t="n">
        <v>0</v>
      </c>
      <c r="P2887" t="n">
        <v>0</v>
      </c>
      <c r="Q2887" t="n">
        <v>0</v>
      </c>
      <c r="R2887" s="2" t="inlineStr"/>
    </row>
    <row r="2888" ht="15" customHeight="1">
      <c r="A2888" t="inlineStr">
        <is>
          <t>A 16511-2021</t>
        </is>
      </c>
      <c r="B2888" s="1" t="n">
        <v>44293</v>
      </c>
      <c r="C2888" s="1" t="n">
        <v>45952</v>
      </c>
      <c r="D2888" t="inlineStr">
        <is>
          <t>VÄSTRA GÖTALANDS LÄN</t>
        </is>
      </c>
      <c r="E2888" t="inlineStr">
        <is>
          <t>GULLSPÅNG</t>
        </is>
      </c>
      <c r="G2888" t="n">
        <v>3.1</v>
      </c>
      <c r="H2888" t="n">
        <v>0</v>
      </c>
      <c r="I2888" t="n">
        <v>0</v>
      </c>
      <c r="J2888" t="n">
        <v>0</v>
      </c>
      <c r="K2888" t="n">
        <v>0</v>
      </c>
      <c r="L2888" t="n">
        <v>0</v>
      </c>
      <c r="M2888" t="n">
        <v>0</v>
      </c>
      <c r="N2888" t="n">
        <v>0</v>
      </c>
      <c r="O2888" t="n">
        <v>0</v>
      </c>
      <c r="P2888" t="n">
        <v>0</v>
      </c>
      <c r="Q2888" t="n">
        <v>0</v>
      </c>
      <c r="R2888" s="2" t="inlineStr"/>
    </row>
    <row r="2889" ht="15" customHeight="1">
      <c r="A2889" t="inlineStr">
        <is>
          <t>A 51537-2021</t>
        </is>
      </c>
      <c r="B2889" s="1" t="n">
        <v>44462</v>
      </c>
      <c r="C2889" s="1" t="n">
        <v>45952</v>
      </c>
      <c r="D2889" t="inlineStr">
        <is>
          <t>VÄSTRA GÖTALANDS LÄN</t>
        </is>
      </c>
      <c r="E2889" t="inlineStr">
        <is>
          <t>MÖLNDAL</t>
        </is>
      </c>
      <c r="G2889" t="n">
        <v>7.2</v>
      </c>
      <c r="H2889" t="n">
        <v>0</v>
      </c>
      <c r="I2889" t="n">
        <v>0</v>
      </c>
      <c r="J2889" t="n">
        <v>0</v>
      </c>
      <c r="K2889" t="n">
        <v>0</v>
      </c>
      <c r="L2889" t="n">
        <v>0</v>
      </c>
      <c r="M2889" t="n">
        <v>0</v>
      </c>
      <c r="N2889" t="n">
        <v>0</v>
      </c>
      <c r="O2889" t="n">
        <v>0</v>
      </c>
      <c r="P2889" t="n">
        <v>0</v>
      </c>
      <c r="Q2889" t="n">
        <v>0</v>
      </c>
      <c r="R2889" s="2" t="inlineStr"/>
    </row>
    <row r="2890" ht="15" customHeight="1">
      <c r="A2890" t="inlineStr">
        <is>
          <t>A 51569-2021</t>
        </is>
      </c>
      <c r="B2890" s="1" t="n">
        <v>44462</v>
      </c>
      <c r="C2890" s="1" t="n">
        <v>45952</v>
      </c>
      <c r="D2890" t="inlineStr">
        <is>
          <t>VÄSTRA GÖTALANDS LÄN</t>
        </is>
      </c>
      <c r="E2890" t="inlineStr">
        <is>
          <t>LILLA EDET</t>
        </is>
      </c>
      <c r="G2890" t="n">
        <v>4.1</v>
      </c>
      <c r="H2890" t="n">
        <v>0</v>
      </c>
      <c r="I2890" t="n">
        <v>0</v>
      </c>
      <c r="J2890" t="n">
        <v>0</v>
      </c>
      <c r="K2890" t="n">
        <v>0</v>
      </c>
      <c r="L2890" t="n">
        <v>0</v>
      </c>
      <c r="M2890" t="n">
        <v>0</v>
      </c>
      <c r="N2890" t="n">
        <v>0</v>
      </c>
      <c r="O2890" t="n">
        <v>0</v>
      </c>
      <c r="P2890" t="n">
        <v>0</v>
      </c>
      <c r="Q2890" t="n">
        <v>0</v>
      </c>
      <c r="R2890" s="2" t="inlineStr"/>
    </row>
    <row r="2891" ht="15" customHeight="1">
      <c r="A2891" t="inlineStr">
        <is>
          <t>A 18616-2025</t>
        </is>
      </c>
      <c r="B2891" s="1" t="n">
        <v>45763.50706018518</v>
      </c>
      <c r="C2891" s="1" t="n">
        <v>45952</v>
      </c>
      <c r="D2891" t="inlineStr">
        <is>
          <t>VÄSTRA GÖTALANDS LÄN</t>
        </is>
      </c>
      <c r="E2891" t="inlineStr">
        <is>
          <t>SKARA</t>
        </is>
      </c>
      <c r="G2891" t="n">
        <v>1</v>
      </c>
      <c r="H2891" t="n">
        <v>0</v>
      </c>
      <c r="I2891" t="n">
        <v>0</v>
      </c>
      <c r="J2891" t="n">
        <v>0</v>
      </c>
      <c r="K2891" t="n">
        <v>0</v>
      </c>
      <c r="L2891" t="n">
        <v>0</v>
      </c>
      <c r="M2891" t="n">
        <v>0</v>
      </c>
      <c r="N2891" t="n">
        <v>0</v>
      </c>
      <c r="O2891" t="n">
        <v>0</v>
      </c>
      <c r="P2891" t="n">
        <v>0</v>
      </c>
      <c r="Q2891" t="n">
        <v>0</v>
      </c>
      <c r="R2891" s="2" t="inlineStr"/>
    </row>
    <row r="2892" ht="15" customHeight="1">
      <c r="A2892" t="inlineStr">
        <is>
          <t>A 18620-2025</t>
        </is>
      </c>
      <c r="B2892" s="1" t="n">
        <v>45763.51673611111</v>
      </c>
      <c r="C2892" s="1" t="n">
        <v>45952</v>
      </c>
      <c r="D2892" t="inlineStr">
        <is>
          <t>VÄSTRA GÖTALANDS LÄN</t>
        </is>
      </c>
      <c r="E2892" t="inlineStr">
        <is>
          <t>BORÅS</t>
        </is>
      </c>
      <c r="G2892" t="n">
        <v>4.1</v>
      </c>
      <c r="H2892" t="n">
        <v>0</v>
      </c>
      <c r="I2892" t="n">
        <v>0</v>
      </c>
      <c r="J2892" t="n">
        <v>0</v>
      </c>
      <c r="K2892" t="n">
        <v>0</v>
      </c>
      <c r="L2892" t="n">
        <v>0</v>
      </c>
      <c r="M2892" t="n">
        <v>0</v>
      </c>
      <c r="N2892" t="n">
        <v>0</v>
      </c>
      <c r="O2892" t="n">
        <v>0</v>
      </c>
      <c r="P2892" t="n">
        <v>0</v>
      </c>
      <c r="Q2892" t="n">
        <v>0</v>
      </c>
      <c r="R2892" s="2" t="inlineStr"/>
    </row>
    <row r="2893" ht="15" customHeight="1">
      <c r="A2893" t="inlineStr">
        <is>
          <t>A 56378-2022</t>
        </is>
      </c>
      <c r="B2893" s="1" t="n">
        <v>44890</v>
      </c>
      <c r="C2893" s="1" t="n">
        <v>45952</v>
      </c>
      <c r="D2893" t="inlineStr">
        <is>
          <t>VÄSTRA GÖTALANDS LÄN</t>
        </is>
      </c>
      <c r="E2893" t="inlineStr">
        <is>
          <t>TANUM</t>
        </is>
      </c>
      <c r="G2893" t="n">
        <v>6.9</v>
      </c>
      <c r="H2893" t="n">
        <v>0</v>
      </c>
      <c r="I2893" t="n">
        <v>0</v>
      </c>
      <c r="J2893" t="n">
        <v>0</v>
      </c>
      <c r="K2893" t="n">
        <v>0</v>
      </c>
      <c r="L2893" t="n">
        <v>0</v>
      </c>
      <c r="M2893" t="n">
        <v>0</v>
      </c>
      <c r="N2893" t="n">
        <v>0</v>
      </c>
      <c r="O2893" t="n">
        <v>0</v>
      </c>
      <c r="P2893" t="n">
        <v>0</v>
      </c>
      <c r="Q2893" t="n">
        <v>0</v>
      </c>
      <c r="R2893" s="2" t="inlineStr"/>
    </row>
    <row r="2894" ht="15" customHeight="1">
      <c r="A2894" t="inlineStr">
        <is>
          <t>A 42289-2023</t>
        </is>
      </c>
      <c r="B2894" s="1" t="n">
        <v>45180</v>
      </c>
      <c r="C2894" s="1" t="n">
        <v>45952</v>
      </c>
      <c r="D2894" t="inlineStr">
        <is>
          <t>VÄSTRA GÖTALANDS LÄN</t>
        </is>
      </c>
      <c r="E2894" t="inlineStr">
        <is>
          <t>ULRICEHAMN</t>
        </is>
      </c>
      <c r="G2894" t="n">
        <v>0.4</v>
      </c>
      <c r="H2894" t="n">
        <v>0</v>
      </c>
      <c r="I2894" t="n">
        <v>0</v>
      </c>
      <c r="J2894" t="n">
        <v>0</v>
      </c>
      <c r="K2894" t="n">
        <v>0</v>
      </c>
      <c r="L2894" t="n">
        <v>0</v>
      </c>
      <c r="M2894" t="n">
        <v>0</v>
      </c>
      <c r="N2894" t="n">
        <v>0</v>
      </c>
      <c r="O2894" t="n">
        <v>0</v>
      </c>
      <c r="P2894" t="n">
        <v>0</v>
      </c>
      <c r="Q2894" t="n">
        <v>0</v>
      </c>
      <c r="R2894" s="2" t="inlineStr"/>
    </row>
    <row r="2895" ht="15" customHeight="1">
      <c r="A2895" t="inlineStr">
        <is>
          <t>A 42301-2023</t>
        </is>
      </c>
      <c r="B2895" s="1" t="n">
        <v>45180.44994212963</v>
      </c>
      <c r="C2895" s="1" t="n">
        <v>45952</v>
      </c>
      <c r="D2895" t="inlineStr">
        <is>
          <t>VÄSTRA GÖTALANDS LÄN</t>
        </is>
      </c>
      <c r="E2895" t="inlineStr">
        <is>
          <t>SKARA</t>
        </is>
      </c>
      <c r="G2895" t="n">
        <v>1.1</v>
      </c>
      <c r="H2895" t="n">
        <v>0</v>
      </c>
      <c r="I2895" t="n">
        <v>0</v>
      </c>
      <c r="J2895" t="n">
        <v>0</v>
      </c>
      <c r="K2895" t="n">
        <v>0</v>
      </c>
      <c r="L2895" t="n">
        <v>0</v>
      </c>
      <c r="M2895" t="n">
        <v>0</v>
      </c>
      <c r="N2895" t="n">
        <v>0</v>
      </c>
      <c r="O2895" t="n">
        <v>0</v>
      </c>
      <c r="P2895" t="n">
        <v>0</v>
      </c>
      <c r="Q2895" t="n">
        <v>0</v>
      </c>
      <c r="R2895" s="2" t="inlineStr"/>
    </row>
    <row r="2896" ht="15" customHeight="1">
      <c r="A2896" t="inlineStr">
        <is>
          <t>A 12503-2021</t>
        </is>
      </c>
      <c r="B2896" s="1" t="n">
        <v>44268</v>
      </c>
      <c r="C2896" s="1" t="n">
        <v>45952</v>
      </c>
      <c r="D2896" t="inlineStr">
        <is>
          <t>VÄSTRA GÖTALANDS LÄN</t>
        </is>
      </c>
      <c r="E2896" t="inlineStr">
        <is>
          <t>SKARA</t>
        </is>
      </c>
      <c r="G2896" t="n">
        <v>0.3</v>
      </c>
      <c r="H2896" t="n">
        <v>0</v>
      </c>
      <c r="I2896" t="n">
        <v>0</v>
      </c>
      <c r="J2896" t="n">
        <v>0</v>
      </c>
      <c r="K2896" t="n">
        <v>0</v>
      </c>
      <c r="L2896" t="n">
        <v>0</v>
      </c>
      <c r="M2896" t="n">
        <v>0</v>
      </c>
      <c r="N2896" t="n">
        <v>0</v>
      </c>
      <c r="O2896" t="n">
        <v>0</v>
      </c>
      <c r="P2896" t="n">
        <v>0</v>
      </c>
      <c r="Q2896" t="n">
        <v>0</v>
      </c>
      <c r="R2896" s="2" t="inlineStr"/>
    </row>
    <row r="2897" ht="15" customHeight="1">
      <c r="A2897" t="inlineStr">
        <is>
          <t>A 15117-2021</t>
        </is>
      </c>
      <c r="B2897" s="1" t="n">
        <v>44282</v>
      </c>
      <c r="C2897" s="1" t="n">
        <v>45952</v>
      </c>
      <c r="D2897" t="inlineStr">
        <is>
          <t>VÄSTRA GÖTALANDS LÄN</t>
        </is>
      </c>
      <c r="E2897" t="inlineStr">
        <is>
          <t>VÅRGÅRDA</t>
        </is>
      </c>
      <c r="G2897" t="n">
        <v>0.9</v>
      </c>
      <c r="H2897" t="n">
        <v>0</v>
      </c>
      <c r="I2897" t="n">
        <v>0</v>
      </c>
      <c r="J2897" t="n">
        <v>0</v>
      </c>
      <c r="K2897" t="n">
        <v>0</v>
      </c>
      <c r="L2897" t="n">
        <v>0</v>
      </c>
      <c r="M2897" t="n">
        <v>0</v>
      </c>
      <c r="N2897" t="n">
        <v>0</v>
      </c>
      <c r="O2897" t="n">
        <v>0</v>
      </c>
      <c r="P2897" t="n">
        <v>0</v>
      </c>
      <c r="Q2897" t="n">
        <v>0</v>
      </c>
      <c r="R2897" s="2" t="inlineStr"/>
    </row>
    <row r="2898" ht="15" customHeight="1">
      <c r="A2898" t="inlineStr">
        <is>
          <t>A 5003-2021</t>
        </is>
      </c>
      <c r="B2898" s="1" t="n">
        <v>44228</v>
      </c>
      <c r="C2898" s="1" t="n">
        <v>45952</v>
      </c>
      <c r="D2898" t="inlineStr">
        <is>
          <t>VÄSTRA GÖTALANDS LÄN</t>
        </is>
      </c>
      <c r="E2898" t="inlineStr">
        <is>
          <t>DALS-ED</t>
        </is>
      </c>
      <c r="G2898" t="n">
        <v>1.6</v>
      </c>
      <c r="H2898" t="n">
        <v>0</v>
      </c>
      <c r="I2898" t="n">
        <v>0</v>
      </c>
      <c r="J2898" t="n">
        <v>0</v>
      </c>
      <c r="K2898" t="n">
        <v>0</v>
      </c>
      <c r="L2898" t="n">
        <v>0</v>
      </c>
      <c r="M2898" t="n">
        <v>0</v>
      </c>
      <c r="N2898" t="n">
        <v>0</v>
      </c>
      <c r="O2898" t="n">
        <v>0</v>
      </c>
      <c r="P2898" t="n">
        <v>0</v>
      </c>
      <c r="Q2898" t="n">
        <v>0</v>
      </c>
      <c r="R2898" s="2" t="inlineStr"/>
    </row>
    <row r="2899" ht="15" customHeight="1">
      <c r="A2899" t="inlineStr">
        <is>
          <t>A 17445-2025</t>
        </is>
      </c>
      <c r="B2899" s="1" t="n">
        <v>45757.43902777778</v>
      </c>
      <c r="C2899" s="1" t="n">
        <v>45952</v>
      </c>
      <c r="D2899" t="inlineStr">
        <is>
          <t>VÄSTRA GÖTALANDS LÄN</t>
        </is>
      </c>
      <c r="E2899" t="inlineStr">
        <is>
          <t>FALKÖPING</t>
        </is>
      </c>
      <c r="G2899" t="n">
        <v>2</v>
      </c>
      <c r="H2899" t="n">
        <v>0</v>
      </c>
      <c r="I2899" t="n">
        <v>0</v>
      </c>
      <c r="J2899" t="n">
        <v>0</v>
      </c>
      <c r="K2899" t="n">
        <v>0</v>
      </c>
      <c r="L2899" t="n">
        <v>0</v>
      </c>
      <c r="M2899" t="n">
        <v>0</v>
      </c>
      <c r="N2899" t="n">
        <v>0</v>
      </c>
      <c r="O2899" t="n">
        <v>0</v>
      </c>
      <c r="P2899" t="n">
        <v>0</v>
      </c>
      <c r="Q2899" t="n">
        <v>0</v>
      </c>
      <c r="R2899" s="2" t="inlineStr"/>
    </row>
    <row r="2900" ht="15" customHeight="1">
      <c r="A2900" t="inlineStr">
        <is>
          <t>A 59387-2020</t>
        </is>
      </c>
      <c r="B2900" s="1" t="n">
        <v>44148</v>
      </c>
      <c r="C2900" s="1" t="n">
        <v>45952</v>
      </c>
      <c r="D2900" t="inlineStr">
        <is>
          <t>VÄSTRA GÖTALANDS LÄN</t>
        </is>
      </c>
      <c r="E2900" t="inlineStr">
        <is>
          <t>TÖREBODA</t>
        </is>
      </c>
      <c r="G2900" t="n">
        <v>1.3</v>
      </c>
      <c r="H2900" t="n">
        <v>0</v>
      </c>
      <c r="I2900" t="n">
        <v>0</v>
      </c>
      <c r="J2900" t="n">
        <v>0</v>
      </c>
      <c r="K2900" t="n">
        <v>0</v>
      </c>
      <c r="L2900" t="n">
        <v>0</v>
      </c>
      <c r="M2900" t="n">
        <v>0</v>
      </c>
      <c r="N2900" t="n">
        <v>0</v>
      </c>
      <c r="O2900" t="n">
        <v>0</v>
      </c>
      <c r="P2900" t="n">
        <v>0</v>
      </c>
      <c r="Q2900" t="n">
        <v>0</v>
      </c>
      <c r="R2900" s="2" t="inlineStr"/>
    </row>
    <row r="2901" ht="15" customHeight="1">
      <c r="A2901" t="inlineStr">
        <is>
          <t>A 17451-2025</t>
        </is>
      </c>
      <c r="B2901" s="1" t="n">
        <v>45757.44825231482</v>
      </c>
      <c r="C2901" s="1" t="n">
        <v>45952</v>
      </c>
      <c r="D2901" t="inlineStr">
        <is>
          <t>VÄSTRA GÖTALANDS LÄN</t>
        </is>
      </c>
      <c r="E2901" t="inlineStr">
        <is>
          <t>KUNGÄLV</t>
        </is>
      </c>
      <c r="G2901" t="n">
        <v>2.5</v>
      </c>
      <c r="H2901" t="n">
        <v>0</v>
      </c>
      <c r="I2901" t="n">
        <v>0</v>
      </c>
      <c r="J2901" t="n">
        <v>0</v>
      </c>
      <c r="K2901" t="n">
        <v>0</v>
      </c>
      <c r="L2901" t="n">
        <v>0</v>
      </c>
      <c r="M2901" t="n">
        <v>0</v>
      </c>
      <c r="N2901" t="n">
        <v>0</v>
      </c>
      <c r="O2901" t="n">
        <v>0</v>
      </c>
      <c r="P2901" t="n">
        <v>0</v>
      </c>
      <c r="Q2901" t="n">
        <v>0</v>
      </c>
      <c r="R2901" s="2" t="inlineStr"/>
    </row>
    <row r="2902" ht="15" customHeight="1">
      <c r="A2902" t="inlineStr">
        <is>
          <t>A 17455-2025</t>
        </is>
      </c>
      <c r="B2902" s="1" t="n">
        <v>45757.45109953704</v>
      </c>
      <c r="C2902" s="1" t="n">
        <v>45952</v>
      </c>
      <c r="D2902" t="inlineStr">
        <is>
          <t>VÄSTRA GÖTALANDS LÄN</t>
        </is>
      </c>
      <c r="E2902" t="inlineStr">
        <is>
          <t>KUNGÄLV</t>
        </is>
      </c>
      <c r="G2902" t="n">
        <v>2.1</v>
      </c>
      <c r="H2902" t="n">
        <v>0</v>
      </c>
      <c r="I2902" t="n">
        <v>0</v>
      </c>
      <c r="J2902" t="n">
        <v>0</v>
      </c>
      <c r="K2902" t="n">
        <v>0</v>
      </c>
      <c r="L2902" t="n">
        <v>0</v>
      </c>
      <c r="M2902" t="n">
        <v>0</v>
      </c>
      <c r="N2902" t="n">
        <v>0</v>
      </c>
      <c r="O2902" t="n">
        <v>0</v>
      </c>
      <c r="P2902" t="n">
        <v>0</v>
      </c>
      <c r="Q2902" t="n">
        <v>0</v>
      </c>
      <c r="R2902" s="2" t="inlineStr"/>
    </row>
    <row r="2903" ht="15" customHeight="1">
      <c r="A2903" t="inlineStr">
        <is>
          <t>A 22586-2022</t>
        </is>
      </c>
      <c r="B2903" s="1" t="n">
        <v>44714</v>
      </c>
      <c r="C2903" s="1" t="n">
        <v>45952</v>
      </c>
      <c r="D2903" t="inlineStr">
        <is>
          <t>VÄSTRA GÖTALANDS LÄN</t>
        </is>
      </c>
      <c r="E2903" t="inlineStr">
        <is>
          <t>HJO</t>
        </is>
      </c>
      <c r="G2903" t="n">
        <v>6</v>
      </c>
      <c r="H2903" t="n">
        <v>0</v>
      </c>
      <c r="I2903" t="n">
        <v>0</v>
      </c>
      <c r="J2903" t="n">
        <v>0</v>
      </c>
      <c r="K2903" t="n">
        <v>0</v>
      </c>
      <c r="L2903" t="n">
        <v>0</v>
      </c>
      <c r="M2903" t="n">
        <v>0</v>
      </c>
      <c r="N2903" t="n">
        <v>0</v>
      </c>
      <c r="O2903" t="n">
        <v>0</v>
      </c>
      <c r="P2903" t="n">
        <v>0</v>
      </c>
      <c r="Q2903" t="n">
        <v>0</v>
      </c>
      <c r="R2903" s="2" t="inlineStr"/>
    </row>
    <row r="2904" ht="15" customHeight="1">
      <c r="A2904" t="inlineStr">
        <is>
          <t>A 29229-2022</t>
        </is>
      </c>
      <c r="B2904" s="1" t="n">
        <v>44750.6046875</v>
      </c>
      <c r="C2904" s="1" t="n">
        <v>45952</v>
      </c>
      <c r="D2904" t="inlineStr">
        <is>
          <t>VÄSTRA GÖTALANDS LÄN</t>
        </is>
      </c>
      <c r="E2904" t="inlineStr">
        <is>
          <t>BENGTSFORS</t>
        </is>
      </c>
      <c r="G2904" t="n">
        <v>22.1</v>
      </c>
      <c r="H2904" t="n">
        <v>0</v>
      </c>
      <c r="I2904" t="n">
        <v>0</v>
      </c>
      <c r="J2904" t="n">
        <v>0</v>
      </c>
      <c r="K2904" t="n">
        <v>0</v>
      </c>
      <c r="L2904" t="n">
        <v>0</v>
      </c>
      <c r="M2904" t="n">
        <v>0</v>
      </c>
      <c r="N2904" t="n">
        <v>0</v>
      </c>
      <c r="O2904" t="n">
        <v>0</v>
      </c>
      <c r="P2904" t="n">
        <v>0</v>
      </c>
      <c r="Q2904" t="n">
        <v>0</v>
      </c>
      <c r="R2904" s="2" t="inlineStr"/>
    </row>
    <row r="2905" ht="15" customHeight="1">
      <c r="A2905" t="inlineStr">
        <is>
          <t>A 36976-2021</t>
        </is>
      </c>
      <c r="B2905" s="1" t="n">
        <v>44393.58277777778</v>
      </c>
      <c r="C2905" s="1" t="n">
        <v>45952</v>
      </c>
      <c r="D2905" t="inlineStr">
        <is>
          <t>VÄSTRA GÖTALANDS LÄN</t>
        </is>
      </c>
      <c r="E2905" t="inlineStr">
        <is>
          <t>MARK</t>
        </is>
      </c>
      <c r="G2905" t="n">
        <v>0.7</v>
      </c>
      <c r="H2905" t="n">
        <v>0</v>
      </c>
      <c r="I2905" t="n">
        <v>0</v>
      </c>
      <c r="J2905" t="n">
        <v>0</v>
      </c>
      <c r="K2905" t="n">
        <v>0</v>
      </c>
      <c r="L2905" t="n">
        <v>0</v>
      </c>
      <c r="M2905" t="n">
        <v>0</v>
      </c>
      <c r="N2905" t="n">
        <v>0</v>
      </c>
      <c r="O2905" t="n">
        <v>0</v>
      </c>
      <c r="P2905" t="n">
        <v>0</v>
      </c>
      <c r="Q2905" t="n">
        <v>0</v>
      </c>
      <c r="R2905" s="2" t="inlineStr"/>
    </row>
    <row r="2906" ht="15" customHeight="1">
      <c r="A2906" t="inlineStr">
        <is>
          <t>A 29231-2022</t>
        </is>
      </c>
      <c r="B2906" s="1" t="n">
        <v>44750</v>
      </c>
      <c r="C2906" s="1" t="n">
        <v>45952</v>
      </c>
      <c r="D2906" t="inlineStr">
        <is>
          <t>VÄSTRA GÖTALANDS LÄN</t>
        </is>
      </c>
      <c r="E2906" t="inlineStr">
        <is>
          <t>BORÅS</t>
        </is>
      </c>
      <c r="F2906" t="inlineStr">
        <is>
          <t>Kommuner</t>
        </is>
      </c>
      <c r="G2906" t="n">
        <v>3.4</v>
      </c>
      <c r="H2906" t="n">
        <v>0</v>
      </c>
      <c r="I2906" t="n">
        <v>0</v>
      </c>
      <c r="J2906" t="n">
        <v>0</v>
      </c>
      <c r="K2906" t="n">
        <v>0</v>
      </c>
      <c r="L2906" t="n">
        <v>0</v>
      </c>
      <c r="M2906" t="n">
        <v>0</v>
      </c>
      <c r="N2906" t="n">
        <v>0</v>
      </c>
      <c r="O2906" t="n">
        <v>0</v>
      </c>
      <c r="P2906" t="n">
        <v>0</v>
      </c>
      <c r="Q2906" t="n">
        <v>0</v>
      </c>
      <c r="R2906" s="2" t="inlineStr"/>
    </row>
    <row r="2907" ht="15" customHeight="1">
      <c r="A2907" t="inlineStr">
        <is>
          <t>A 62059-2023</t>
        </is>
      </c>
      <c r="B2907" s="1" t="n">
        <v>45266</v>
      </c>
      <c r="C2907" s="1" t="n">
        <v>45952</v>
      </c>
      <c r="D2907" t="inlineStr">
        <is>
          <t>VÄSTRA GÖTALANDS LÄN</t>
        </is>
      </c>
      <c r="E2907" t="inlineStr">
        <is>
          <t>TIDAHOLM</t>
        </is>
      </c>
      <c r="G2907" t="n">
        <v>0.9</v>
      </c>
      <c r="H2907" t="n">
        <v>0</v>
      </c>
      <c r="I2907" t="n">
        <v>0</v>
      </c>
      <c r="J2907" t="n">
        <v>0</v>
      </c>
      <c r="K2907" t="n">
        <v>0</v>
      </c>
      <c r="L2907" t="n">
        <v>0</v>
      </c>
      <c r="M2907" t="n">
        <v>0</v>
      </c>
      <c r="N2907" t="n">
        <v>0</v>
      </c>
      <c r="O2907" t="n">
        <v>0</v>
      </c>
      <c r="P2907" t="n">
        <v>0</v>
      </c>
      <c r="Q2907" t="n">
        <v>0</v>
      </c>
      <c r="R2907" s="2" t="inlineStr"/>
    </row>
    <row r="2908" ht="15" customHeight="1">
      <c r="A2908" t="inlineStr">
        <is>
          <t>A 62121-2023</t>
        </is>
      </c>
      <c r="B2908" s="1" t="n">
        <v>45267.2840162037</v>
      </c>
      <c r="C2908" s="1" t="n">
        <v>45952</v>
      </c>
      <c r="D2908" t="inlineStr">
        <is>
          <t>VÄSTRA GÖTALANDS LÄN</t>
        </is>
      </c>
      <c r="E2908" t="inlineStr">
        <is>
          <t>TIDAHOLM</t>
        </is>
      </c>
      <c r="G2908" t="n">
        <v>3.8</v>
      </c>
      <c r="H2908" t="n">
        <v>0</v>
      </c>
      <c r="I2908" t="n">
        <v>0</v>
      </c>
      <c r="J2908" t="n">
        <v>0</v>
      </c>
      <c r="K2908" t="n">
        <v>0</v>
      </c>
      <c r="L2908" t="n">
        <v>0</v>
      </c>
      <c r="M2908" t="n">
        <v>0</v>
      </c>
      <c r="N2908" t="n">
        <v>0</v>
      </c>
      <c r="O2908" t="n">
        <v>0</v>
      </c>
      <c r="P2908" t="n">
        <v>0</v>
      </c>
      <c r="Q2908" t="n">
        <v>0</v>
      </c>
      <c r="R2908" s="2" t="inlineStr"/>
    </row>
    <row r="2909" ht="15" customHeight="1">
      <c r="A2909" t="inlineStr">
        <is>
          <t>A 5113-2021</t>
        </is>
      </c>
      <c r="B2909" s="1" t="n">
        <v>44228</v>
      </c>
      <c r="C2909" s="1" t="n">
        <v>45952</v>
      </c>
      <c r="D2909" t="inlineStr">
        <is>
          <t>VÄSTRA GÖTALANDS LÄN</t>
        </is>
      </c>
      <c r="E2909" t="inlineStr">
        <is>
          <t>TRANEMO</t>
        </is>
      </c>
      <c r="G2909" t="n">
        <v>1.3</v>
      </c>
      <c r="H2909" t="n">
        <v>0</v>
      </c>
      <c r="I2909" t="n">
        <v>0</v>
      </c>
      <c r="J2909" t="n">
        <v>0</v>
      </c>
      <c r="K2909" t="n">
        <v>0</v>
      </c>
      <c r="L2909" t="n">
        <v>0</v>
      </c>
      <c r="M2909" t="n">
        <v>0</v>
      </c>
      <c r="N2909" t="n">
        <v>0</v>
      </c>
      <c r="O2909" t="n">
        <v>0</v>
      </c>
      <c r="P2909" t="n">
        <v>0</v>
      </c>
      <c r="Q2909" t="n">
        <v>0</v>
      </c>
      <c r="R2909" s="2" t="inlineStr"/>
    </row>
    <row r="2910" ht="15" customHeight="1">
      <c r="A2910" t="inlineStr">
        <is>
          <t>A 64977-2021</t>
        </is>
      </c>
      <c r="B2910" s="1" t="n">
        <v>44513</v>
      </c>
      <c r="C2910" s="1" t="n">
        <v>45952</v>
      </c>
      <c r="D2910" t="inlineStr">
        <is>
          <t>VÄSTRA GÖTALANDS LÄN</t>
        </is>
      </c>
      <c r="E2910" t="inlineStr">
        <is>
          <t>BENGTSFORS</t>
        </is>
      </c>
      <c r="G2910" t="n">
        <v>3.9</v>
      </c>
      <c r="H2910" t="n">
        <v>0</v>
      </c>
      <c r="I2910" t="n">
        <v>0</v>
      </c>
      <c r="J2910" t="n">
        <v>0</v>
      </c>
      <c r="K2910" t="n">
        <v>0</v>
      </c>
      <c r="L2910" t="n">
        <v>0</v>
      </c>
      <c r="M2910" t="n">
        <v>0</v>
      </c>
      <c r="N2910" t="n">
        <v>0</v>
      </c>
      <c r="O2910" t="n">
        <v>0</v>
      </c>
      <c r="P2910" t="n">
        <v>0</v>
      </c>
      <c r="Q2910" t="n">
        <v>0</v>
      </c>
      <c r="R2910" s="2" t="inlineStr"/>
    </row>
    <row r="2911" ht="15" customHeight="1">
      <c r="A2911" t="inlineStr">
        <is>
          <t>A 62220-2023</t>
        </is>
      </c>
      <c r="B2911" s="1" t="n">
        <v>45267.53284722222</v>
      </c>
      <c r="C2911" s="1" t="n">
        <v>45952</v>
      </c>
      <c r="D2911" t="inlineStr">
        <is>
          <t>VÄSTRA GÖTALANDS LÄN</t>
        </is>
      </c>
      <c r="E2911" t="inlineStr">
        <is>
          <t>STENUNGSUND</t>
        </is>
      </c>
      <c r="G2911" t="n">
        <v>7.6</v>
      </c>
      <c r="H2911" t="n">
        <v>0</v>
      </c>
      <c r="I2911" t="n">
        <v>0</v>
      </c>
      <c r="J2911" t="n">
        <v>0</v>
      </c>
      <c r="K2911" t="n">
        <v>0</v>
      </c>
      <c r="L2911" t="n">
        <v>0</v>
      </c>
      <c r="M2911" t="n">
        <v>0</v>
      </c>
      <c r="N2911" t="n">
        <v>0</v>
      </c>
      <c r="O2911" t="n">
        <v>0</v>
      </c>
      <c r="P2911" t="n">
        <v>0</v>
      </c>
      <c r="Q2911" t="n">
        <v>0</v>
      </c>
      <c r="R2911" s="2" t="inlineStr"/>
    </row>
    <row r="2912" ht="15" customHeight="1">
      <c r="A2912" t="inlineStr">
        <is>
          <t>A 62221-2023</t>
        </is>
      </c>
      <c r="B2912" s="1" t="n">
        <v>45267.54049768519</v>
      </c>
      <c r="C2912" s="1" t="n">
        <v>45952</v>
      </c>
      <c r="D2912" t="inlineStr">
        <is>
          <t>VÄSTRA GÖTALANDS LÄN</t>
        </is>
      </c>
      <c r="E2912" t="inlineStr">
        <is>
          <t>KUNGÄLV</t>
        </is>
      </c>
      <c r="G2912" t="n">
        <v>1.3</v>
      </c>
      <c r="H2912" t="n">
        <v>0</v>
      </c>
      <c r="I2912" t="n">
        <v>0</v>
      </c>
      <c r="J2912" t="n">
        <v>0</v>
      </c>
      <c r="K2912" t="n">
        <v>0</v>
      </c>
      <c r="L2912" t="n">
        <v>0</v>
      </c>
      <c r="M2912" t="n">
        <v>0</v>
      </c>
      <c r="N2912" t="n">
        <v>0</v>
      </c>
      <c r="O2912" t="n">
        <v>0</v>
      </c>
      <c r="P2912" t="n">
        <v>0</v>
      </c>
      <c r="Q2912" t="n">
        <v>0</v>
      </c>
      <c r="R2912" s="2" t="inlineStr"/>
    </row>
    <row r="2913" ht="15" customHeight="1">
      <c r="A2913" t="inlineStr">
        <is>
          <t>A 65064-2021</t>
        </is>
      </c>
      <c r="B2913" s="1" t="n">
        <v>44515</v>
      </c>
      <c r="C2913" s="1" t="n">
        <v>45952</v>
      </c>
      <c r="D2913" t="inlineStr">
        <is>
          <t>VÄSTRA GÖTALANDS LÄN</t>
        </is>
      </c>
      <c r="E2913" t="inlineStr">
        <is>
          <t>BORÅS</t>
        </is>
      </c>
      <c r="G2913" t="n">
        <v>8.6</v>
      </c>
      <c r="H2913" t="n">
        <v>0</v>
      </c>
      <c r="I2913" t="n">
        <v>0</v>
      </c>
      <c r="J2913" t="n">
        <v>0</v>
      </c>
      <c r="K2913" t="n">
        <v>0</v>
      </c>
      <c r="L2913" t="n">
        <v>0</v>
      </c>
      <c r="M2913" t="n">
        <v>0</v>
      </c>
      <c r="N2913" t="n">
        <v>0</v>
      </c>
      <c r="O2913" t="n">
        <v>0</v>
      </c>
      <c r="P2913" t="n">
        <v>0</v>
      </c>
      <c r="Q2913" t="n">
        <v>0</v>
      </c>
      <c r="R2913" s="2" t="inlineStr"/>
    </row>
    <row r="2914" ht="15" customHeight="1">
      <c r="A2914" t="inlineStr">
        <is>
          <t>A 31873-2023</t>
        </is>
      </c>
      <c r="B2914" s="1" t="n">
        <v>45118</v>
      </c>
      <c r="C2914" s="1" t="n">
        <v>45952</v>
      </c>
      <c r="D2914" t="inlineStr">
        <is>
          <t>VÄSTRA GÖTALANDS LÄN</t>
        </is>
      </c>
      <c r="E2914" t="inlineStr">
        <is>
          <t>ALINGSÅS</t>
        </is>
      </c>
      <c r="G2914" t="n">
        <v>2.8</v>
      </c>
      <c r="H2914" t="n">
        <v>0</v>
      </c>
      <c r="I2914" t="n">
        <v>0</v>
      </c>
      <c r="J2914" t="n">
        <v>0</v>
      </c>
      <c r="K2914" t="n">
        <v>0</v>
      </c>
      <c r="L2914" t="n">
        <v>0</v>
      </c>
      <c r="M2914" t="n">
        <v>0</v>
      </c>
      <c r="N2914" t="n">
        <v>0</v>
      </c>
      <c r="O2914" t="n">
        <v>0</v>
      </c>
      <c r="P2914" t="n">
        <v>0</v>
      </c>
      <c r="Q2914" t="n">
        <v>0</v>
      </c>
      <c r="R2914" s="2" t="inlineStr"/>
    </row>
    <row r="2915" ht="15" customHeight="1">
      <c r="A2915" t="inlineStr">
        <is>
          <t>A 31889-2023</t>
        </is>
      </c>
      <c r="B2915" s="1" t="n">
        <v>45118</v>
      </c>
      <c r="C2915" s="1" t="n">
        <v>45952</v>
      </c>
      <c r="D2915" t="inlineStr">
        <is>
          <t>VÄSTRA GÖTALANDS LÄN</t>
        </is>
      </c>
      <c r="E2915" t="inlineStr">
        <is>
          <t>BOLLEBYGD</t>
        </is>
      </c>
      <c r="G2915" t="n">
        <v>0.7</v>
      </c>
      <c r="H2915" t="n">
        <v>0</v>
      </c>
      <c r="I2915" t="n">
        <v>0</v>
      </c>
      <c r="J2915" t="n">
        <v>0</v>
      </c>
      <c r="K2915" t="n">
        <v>0</v>
      </c>
      <c r="L2915" t="n">
        <v>0</v>
      </c>
      <c r="M2915" t="n">
        <v>0</v>
      </c>
      <c r="N2915" t="n">
        <v>0</v>
      </c>
      <c r="O2915" t="n">
        <v>0</v>
      </c>
      <c r="P2915" t="n">
        <v>0</v>
      </c>
      <c r="Q2915" t="n">
        <v>0</v>
      </c>
      <c r="R2915" s="2" t="inlineStr"/>
    </row>
    <row r="2916" ht="15" customHeight="1">
      <c r="A2916" t="inlineStr">
        <is>
          <t>A 31909-2023</t>
        </is>
      </c>
      <c r="B2916" s="1" t="n">
        <v>45118.91273148148</v>
      </c>
      <c r="C2916" s="1" t="n">
        <v>45952</v>
      </c>
      <c r="D2916" t="inlineStr">
        <is>
          <t>VÄSTRA GÖTALANDS LÄN</t>
        </is>
      </c>
      <c r="E2916" t="inlineStr">
        <is>
          <t>DALS-ED</t>
        </is>
      </c>
      <c r="G2916" t="n">
        <v>6.1</v>
      </c>
      <c r="H2916" t="n">
        <v>0</v>
      </c>
      <c r="I2916" t="n">
        <v>0</v>
      </c>
      <c r="J2916" t="n">
        <v>0</v>
      </c>
      <c r="K2916" t="n">
        <v>0</v>
      </c>
      <c r="L2916" t="n">
        <v>0</v>
      </c>
      <c r="M2916" t="n">
        <v>0</v>
      </c>
      <c r="N2916" t="n">
        <v>0</v>
      </c>
      <c r="O2916" t="n">
        <v>0</v>
      </c>
      <c r="P2916" t="n">
        <v>0</v>
      </c>
      <c r="Q2916" t="n">
        <v>0</v>
      </c>
      <c r="R2916" s="2" t="inlineStr"/>
    </row>
    <row r="2917" ht="15" customHeight="1">
      <c r="A2917" t="inlineStr">
        <is>
          <t>A 27271-2021</t>
        </is>
      </c>
      <c r="B2917" s="1" t="n">
        <v>44351.27846064815</v>
      </c>
      <c r="C2917" s="1" t="n">
        <v>45952</v>
      </c>
      <c r="D2917" t="inlineStr">
        <is>
          <t>VÄSTRA GÖTALANDS LÄN</t>
        </is>
      </c>
      <c r="E2917" t="inlineStr">
        <is>
          <t>SVENLJUNGA</t>
        </is>
      </c>
      <c r="G2917" t="n">
        <v>0.7</v>
      </c>
      <c r="H2917" t="n">
        <v>0</v>
      </c>
      <c r="I2917" t="n">
        <v>0</v>
      </c>
      <c r="J2917" t="n">
        <v>0</v>
      </c>
      <c r="K2917" t="n">
        <v>0</v>
      </c>
      <c r="L2917" t="n">
        <v>0</v>
      </c>
      <c r="M2917" t="n">
        <v>0</v>
      </c>
      <c r="N2917" t="n">
        <v>0</v>
      </c>
      <c r="O2917" t="n">
        <v>0</v>
      </c>
      <c r="P2917" t="n">
        <v>0</v>
      </c>
      <c r="Q2917" t="n">
        <v>0</v>
      </c>
      <c r="R2917" s="2" t="inlineStr"/>
    </row>
    <row r="2918" ht="15" customHeight="1">
      <c r="A2918" t="inlineStr">
        <is>
          <t>A 49968-2022</t>
        </is>
      </c>
      <c r="B2918" s="1" t="n">
        <v>44865.3790162037</v>
      </c>
      <c r="C2918" s="1" t="n">
        <v>45952</v>
      </c>
      <c r="D2918" t="inlineStr">
        <is>
          <t>VÄSTRA GÖTALANDS LÄN</t>
        </is>
      </c>
      <c r="E2918" t="inlineStr">
        <is>
          <t>GÖTENE</t>
        </is>
      </c>
      <c r="G2918" t="n">
        <v>2.9</v>
      </c>
      <c r="H2918" t="n">
        <v>0</v>
      </c>
      <c r="I2918" t="n">
        <v>0</v>
      </c>
      <c r="J2918" t="n">
        <v>0</v>
      </c>
      <c r="K2918" t="n">
        <v>0</v>
      </c>
      <c r="L2918" t="n">
        <v>0</v>
      </c>
      <c r="M2918" t="n">
        <v>0</v>
      </c>
      <c r="N2918" t="n">
        <v>0</v>
      </c>
      <c r="O2918" t="n">
        <v>0</v>
      </c>
      <c r="P2918" t="n">
        <v>0</v>
      </c>
      <c r="Q2918" t="n">
        <v>0</v>
      </c>
      <c r="R2918" s="2" t="inlineStr"/>
    </row>
    <row r="2919" ht="15" customHeight="1">
      <c r="A2919" t="inlineStr">
        <is>
          <t>A 55496-2021</t>
        </is>
      </c>
      <c r="B2919" s="1" t="n">
        <v>44475</v>
      </c>
      <c r="C2919" s="1" t="n">
        <v>45952</v>
      </c>
      <c r="D2919" t="inlineStr">
        <is>
          <t>VÄSTRA GÖTALANDS LÄN</t>
        </is>
      </c>
      <c r="E2919" t="inlineStr">
        <is>
          <t>GÖTENE</t>
        </is>
      </c>
      <c r="G2919" t="n">
        <v>3.8</v>
      </c>
      <c r="H2919" t="n">
        <v>0</v>
      </c>
      <c r="I2919" t="n">
        <v>0</v>
      </c>
      <c r="J2919" t="n">
        <v>0</v>
      </c>
      <c r="K2919" t="n">
        <v>0</v>
      </c>
      <c r="L2919" t="n">
        <v>0</v>
      </c>
      <c r="M2919" t="n">
        <v>0</v>
      </c>
      <c r="N2919" t="n">
        <v>0</v>
      </c>
      <c r="O2919" t="n">
        <v>0</v>
      </c>
      <c r="P2919" t="n">
        <v>0</v>
      </c>
      <c r="Q2919" t="n">
        <v>0</v>
      </c>
      <c r="R2919" s="2" t="inlineStr"/>
    </row>
    <row r="2920" ht="15" customHeight="1">
      <c r="A2920" t="inlineStr">
        <is>
          <t>A 26567-2024</t>
        </is>
      </c>
      <c r="B2920" s="1" t="n">
        <v>45469</v>
      </c>
      <c r="C2920" s="1" t="n">
        <v>45952</v>
      </c>
      <c r="D2920" t="inlineStr">
        <is>
          <t>VÄSTRA GÖTALANDS LÄN</t>
        </is>
      </c>
      <c r="E2920" t="inlineStr">
        <is>
          <t>SKARA</t>
        </is>
      </c>
      <c r="G2920" t="n">
        <v>3</v>
      </c>
      <c r="H2920" t="n">
        <v>0</v>
      </c>
      <c r="I2920" t="n">
        <v>0</v>
      </c>
      <c r="J2920" t="n">
        <v>0</v>
      </c>
      <c r="K2920" t="n">
        <v>0</v>
      </c>
      <c r="L2920" t="n">
        <v>0</v>
      </c>
      <c r="M2920" t="n">
        <v>0</v>
      </c>
      <c r="N2920" t="n">
        <v>0</v>
      </c>
      <c r="O2920" t="n">
        <v>0</v>
      </c>
      <c r="P2920" t="n">
        <v>0</v>
      </c>
      <c r="Q2920" t="n">
        <v>0</v>
      </c>
      <c r="R2920" s="2" t="inlineStr"/>
    </row>
    <row r="2921" ht="15" customHeight="1">
      <c r="A2921" t="inlineStr">
        <is>
          <t>A 58480-2022</t>
        </is>
      </c>
      <c r="B2921" s="1" t="n">
        <v>44902</v>
      </c>
      <c r="C2921" s="1" t="n">
        <v>45952</v>
      </c>
      <c r="D2921" t="inlineStr">
        <is>
          <t>VÄSTRA GÖTALANDS LÄN</t>
        </is>
      </c>
      <c r="E2921" t="inlineStr">
        <is>
          <t>SVENLJUNGA</t>
        </is>
      </c>
      <c r="G2921" t="n">
        <v>1.5</v>
      </c>
      <c r="H2921" t="n">
        <v>0</v>
      </c>
      <c r="I2921" t="n">
        <v>0</v>
      </c>
      <c r="J2921" t="n">
        <v>0</v>
      </c>
      <c r="K2921" t="n">
        <v>0</v>
      </c>
      <c r="L2921" t="n">
        <v>0</v>
      </c>
      <c r="M2921" t="n">
        <v>0</v>
      </c>
      <c r="N2921" t="n">
        <v>0</v>
      </c>
      <c r="O2921" t="n">
        <v>0</v>
      </c>
      <c r="P2921" t="n">
        <v>0</v>
      </c>
      <c r="Q2921" t="n">
        <v>0</v>
      </c>
      <c r="R2921" s="2" t="inlineStr"/>
    </row>
    <row r="2922" ht="15" customHeight="1">
      <c r="A2922" t="inlineStr">
        <is>
          <t>A 3708-2024</t>
        </is>
      </c>
      <c r="B2922" s="1" t="n">
        <v>45321.45766203704</v>
      </c>
      <c r="C2922" s="1" t="n">
        <v>45952</v>
      </c>
      <c r="D2922" t="inlineStr">
        <is>
          <t>VÄSTRA GÖTALANDS LÄN</t>
        </is>
      </c>
      <c r="E2922" t="inlineStr">
        <is>
          <t>MUNKEDAL</t>
        </is>
      </c>
      <c r="G2922" t="n">
        <v>20.2</v>
      </c>
      <c r="H2922" t="n">
        <v>0</v>
      </c>
      <c r="I2922" t="n">
        <v>0</v>
      </c>
      <c r="J2922" t="n">
        <v>0</v>
      </c>
      <c r="K2922" t="n">
        <v>0</v>
      </c>
      <c r="L2922" t="n">
        <v>0</v>
      </c>
      <c r="M2922" t="n">
        <v>0</v>
      </c>
      <c r="N2922" t="n">
        <v>0</v>
      </c>
      <c r="O2922" t="n">
        <v>0</v>
      </c>
      <c r="P2922" t="n">
        <v>0</v>
      </c>
      <c r="Q2922" t="n">
        <v>0</v>
      </c>
      <c r="R2922" s="2" t="inlineStr"/>
    </row>
    <row r="2923" ht="15" customHeight="1">
      <c r="A2923" t="inlineStr">
        <is>
          <t>A 3728-2024</t>
        </is>
      </c>
      <c r="B2923" s="1" t="n">
        <v>45321</v>
      </c>
      <c r="C2923" s="1" t="n">
        <v>45952</v>
      </c>
      <c r="D2923" t="inlineStr">
        <is>
          <t>VÄSTRA GÖTALANDS LÄN</t>
        </is>
      </c>
      <c r="E2923" t="inlineStr">
        <is>
          <t>BORÅS</t>
        </is>
      </c>
      <c r="F2923" t="inlineStr">
        <is>
          <t>Kommuner</t>
        </is>
      </c>
      <c r="G2923" t="n">
        <v>2.9</v>
      </c>
      <c r="H2923" t="n">
        <v>0</v>
      </c>
      <c r="I2923" t="n">
        <v>0</v>
      </c>
      <c r="J2923" t="n">
        <v>0</v>
      </c>
      <c r="K2923" t="n">
        <v>0</v>
      </c>
      <c r="L2923" t="n">
        <v>0</v>
      </c>
      <c r="M2923" t="n">
        <v>0</v>
      </c>
      <c r="N2923" t="n">
        <v>0</v>
      </c>
      <c r="O2923" t="n">
        <v>0</v>
      </c>
      <c r="P2923" t="n">
        <v>0</v>
      </c>
      <c r="Q2923" t="n">
        <v>0</v>
      </c>
      <c r="R2923" s="2" t="inlineStr"/>
    </row>
    <row r="2924" ht="15" customHeight="1">
      <c r="A2924" t="inlineStr">
        <is>
          <t>A 2394-2025</t>
        </is>
      </c>
      <c r="B2924" s="1" t="n">
        <v>45674.33615740741</v>
      </c>
      <c r="C2924" s="1" t="n">
        <v>45952</v>
      </c>
      <c r="D2924" t="inlineStr">
        <is>
          <t>VÄSTRA GÖTALANDS LÄN</t>
        </is>
      </c>
      <c r="E2924" t="inlineStr">
        <is>
          <t>MARIESTAD</t>
        </is>
      </c>
      <c r="G2924" t="n">
        <v>1.3</v>
      </c>
      <c r="H2924" t="n">
        <v>0</v>
      </c>
      <c r="I2924" t="n">
        <v>0</v>
      </c>
      <c r="J2924" t="n">
        <v>0</v>
      </c>
      <c r="K2924" t="n">
        <v>0</v>
      </c>
      <c r="L2924" t="n">
        <v>0</v>
      </c>
      <c r="M2924" t="n">
        <v>0</v>
      </c>
      <c r="N2924" t="n">
        <v>0</v>
      </c>
      <c r="O2924" t="n">
        <v>0</v>
      </c>
      <c r="P2924" t="n">
        <v>0</v>
      </c>
      <c r="Q2924" t="n">
        <v>0</v>
      </c>
      <c r="R2924" s="2" t="inlineStr"/>
    </row>
    <row r="2925" ht="15" customHeight="1">
      <c r="A2925" t="inlineStr">
        <is>
          <t>A 58529-2022</t>
        </is>
      </c>
      <c r="B2925" s="1" t="n">
        <v>44902.43875</v>
      </c>
      <c r="C2925" s="1" t="n">
        <v>45952</v>
      </c>
      <c r="D2925" t="inlineStr">
        <is>
          <t>VÄSTRA GÖTALANDS LÄN</t>
        </is>
      </c>
      <c r="E2925" t="inlineStr">
        <is>
          <t>MARK</t>
        </is>
      </c>
      <c r="G2925" t="n">
        <v>1.8</v>
      </c>
      <c r="H2925" t="n">
        <v>0</v>
      </c>
      <c r="I2925" t="n">
        <v>0</v>
      </c>
      <c r="J2925" t="n">
        <v>0</v>
      </c>
      <c r="K2925" t="n">
        <v>0</v>
      </c>
      <c r="L2925" t="n">
        <v>0</v>
      </c>
      <c r="M2925" t="n">
        <v>0</v>
      </c>
      <c r="N2925" t="n">
        <v>0</v>
      </c>
      <c r="O2925" t="n">
        <v>0</v>
      </c>
      <c r="P2925" t="n">
        <v>0</v>
      </c>
      <c r="Q2925" t="n">
        <v>0</v>
      </c>
      <c r="R2925" s="2" t="inlineStr"/>
    </row>
    <row r="2926" ht="15" customHeight="1">
      <c r="A2926" t="inlineStr">
        <is>
          <t>A 50985-2022</t>
        </is>
      </c>
      <c r="B2926" s="1" t="n">
        <v>44867</v>
      </c>
      <c r="C2926" s="1" t="n">
        <v>45952</v>
      </c>
      <c r="D2926" t="inlineStr">
        <is>
          <t>VÄSTRA GÖTALANDS LÄN</t>
        </is>
      </c>
      <c r="E2926" t="inlineStr">
        <is>
          <t>VARA</t>
        </is>
      </c>
      <c r="G2926" t="n">
        <v>0.9</v>
      </c>
      <c r="H2926" t="n">
        <v>0</v>
      </c>
      <c r="I2926" t="n">
        <v>0</v>
      </c>
      <c r="J2926" t="n">
        <v>0</v>
      </c>
      <c r="K2926" t="n">
        <v>0</v>
      </c>
      <c r="L2926" t="n">
        <v>0</v>
      </c>
      <c r="M2926" t="n">
        <v>0</v>
      </c>
      <c r="N2926" t="n">
        <v>0</v>
      </c>
      <c r="O2926" t="n">
        <v>0</v>
      </c>
      <c r="P2926" t="n">
        <v>0</v>
      </c>
      <c r="Q2926" t="n">
        <v>0</v>
      </c>
      <c r="R2926" s="2" t="inlineStr"/>
    </row>
    <row r="2927" ht="15" customHeight="1">
      <c r="A2927" t="inlineStr">
        <is>
          <t>A 54543-2021</t>
        </is>
      </c>
      <c r="B2927" s="1" t="n">
        <v>44473</v>
      </c>
      <c r="C2927" s="1" t="n">
        <v>45952</v>
      </c>
      <c r="D2927" t="inlineStr">
        <is>
          <t>VÄSTRA GÖTALANDS LÄN</t>
        </is>
      </c>
      <c r="E2927" t="inlineStr">
        <is>
          <t>MARK</t>
        </is>
      </c>
      <c r="G2927" t="n">
        <v>0.9</v>
      </c>
      <c r="H2927" t="n">
        <v>0</v>
      </c>
      <c r="I2927" t="n">
        <v>0</v>
      </c>
      <c r="J2927" t="n">
        <v>0</v>
      </c>
      <c r="K2927" t="n">
        <v>0</v>
      </c>
      <c r="L2927" t="n">
        <v>0</v>
      </c>
      <c r="M2927" t="n">
        <v>0</v>
      </c>
      <c r="N2927" t="n">
        <v>0</v>
      </c>
      <c r="O2927" t="n">
        <v>0</v>
      </c>
      <c r="P2927" t="n">
        <v>0</v>
      </c>
      <c r="Q2927" t="n">
        <v>0</v>
      </c>
      <c r="R2927" s="2" t="inlineStr"/>
    </row>
    <row r="2928" ht="15" customHeight="1">
      <c r="A2928" t="inlineStr">
        <is>
          <t>A 20285-2022</t>
        </is>
      </c>
      <c r="B2928" s="1" t="n">
        <v>44698.76347222222</v>
      </c>
      <c r="C2928" s="1" t="n">
        <v>45952</v>
      </c>
      <c r="D2928" t="inlineStr">
        <is>
          <t>VÄSTRA GÖTALANDS LÄN</t>
        </is>
      </c>
      <c r="E2928" t="inlineStr">
        <is>
          <t>ALE</t>
        </is>
      </c>
      <c r="G2928" t="n">
        <v>1.8</v>
      </c>
      <c r="H2928" t="n">
        <v>0</v>
      </c>
      <c r="I2928" t="n">
        <v>0</v>
      </c>
      <c r="J2928" t="n">
        <v>0</v>
      </c>
      <c r="K2928" t="n">
        <v>0</v>
      </c>
      <c r="L2928" t="n">
        <v>0</v>
      </c>
      <c r="M2928" t="n">
        <v>0</v>
      </c>
      <c r="N2928" t="n">
        <v>0</v>
      </c>
      <c r="O2928" t="n">
        <v>0</v>
      </c>
      <c r="P2928" t="n">
        <v>0</v>
      </c>
      <c r="Q2928" t="n">
        <v>0</v>
      </c>
      <c r="R2928" s="2" t="inlineStr"/>
    </row>
    <row r="2929" ht="15" customHeight="1">
      <c r="A2929" t="inlineStr">
        <is>
          <t>A 3478-2022</t>
        </is>
      </c>
      <c r="B2929" s="1" t="n">
        <v>44585.62112268519</v>
      </c>
      <c r="C2929" s="1" t="n">
        <v>45952</v>
      </c>
      <c r="D2929" t="inlineStr">
        <is>
          <t>VÄSTRA GÖTALANDS LÄN</t>
        </is>
      </c>
      <c r="E2929" t="inlineStr">
        <is>
          <t>MARK</t>
        </is>
      </c>
      <c r="F2929" t="inlineStr">
        <is>
          <t>Sveaskog</t>
        </is>
      </c>
      <c r="G2929" t="n">
        <v>1.9</v>
      </c>
      <c r="H2929" t="n">
        <v>0</v>
      </c>
      <c r="I2929" t="n">
        <v>0</v>
      </c>
      <c r="J2929" t="n">
        <v>0</v>
      </c>
      <c r="K2929" t="n">
        <v>0</v>
      </c>
      <c r="L2929" t="n">
        <v>0</v>
      </c>
      <c r="M2929" t="n">
        <v>0</v>
      </c>
      <c r="N2929" t="n">
        <v>0</v>
      </c>
      <c r="O2929" t="n">
        <v>0</v>
      </c>
      <c r="P2929" t="n">
        <v>0</v>
      </c>
      <c r="Q2929" t="n">
        <v>0</v>
      </c>
      <c r="R2929" s="2" t="inlineStr"/>
    </row>
    <row r="2930" ht="15" customHeight="1">
      <c r="A2930" t="inlineStr">
        <is>
          <t>A 3010-2024</t>
        </is>
      </c>
      <c r="B2930" s="1" t="n">
        <v>45315.87491898148</v>
      </c>
      <c r="C2930" s="1" t="n">
        <v>45952</v>
      </c>
      <c r="D2930" t="inlineStr">
        <is>
          <t>VÄSTRA GÖTALANDS LÄN</t>
        </is>
      </c>
      <c r="E2930" t="inlineStr">
        <is>
          <t>FÄRGELANDA</t>
        </is>
      </c>
      <c r="G2930" t="n">
        <v>4.6</v>
      </c>
      <c r="H2930" t="n">
        <v>0</v>
      </c>
      <c r="I2930" t="n">
        <v>0</v>
      </c>
      <c r="J2930" t="n">
        <v>0</v>
      </c>
      <c r="K2930" t="n">
        <v>0</v>
      </c>
      <c r="L2930" t="n">
        <v>0</v>
      </c>
      <c r="M2930" t="n">
        <v>0</v>
      </c>
      <c r="N2930" t="n">
        <v>0</v>
      </c>
      <c r="O2930" t="n">
        <v>0</v>
      </c>
      <c r="P2930" t="n">
        <v>0</v>
      </c>
      <c r="Q2930" t="n">
        <v>0</v>
      </c>
      <c r="R2930" s="2" t="inlineStr"/>
    </row>
    <row r="2931" ht="15" customHeight="1">
      <c r="A2931" t="inlineStr">
        <is>
          <t>A 62165-2021</t>
        </is>
      </c>
      <c r="B2931" s="1" t="n">
        <v>44502.78605324074</v>
      </c>
      <c r="C2931" s="1" t="n">
        <v>45952</v>
      </c>
      <c r="D2931" t="inlineStr">
        <is>
          <t>VÄSTRA GÖTALANDS LÄN</t>
        </is>
      </c>
      <c r="E2931" t="inlineStr">
        <is>
          <t>HERRLJUNGA</t>
        </is>
      </c>
      <c r="G2931" t="n">
        <v>1</v>
      </c>
      <c r="H2931" t="n">
        <v>0</v>
      </c>
      <c r="I2931" t="n">
        <v>0</v>
      </c>
      <c r="J2931" t="n">
        <v>0</v>
      </c>
      <c r="K2931" t="n">
        <v>0</v>
      </c>
      <c r="L2931" t="n">
        <v>0</v>
      </c>
      <c r="M2931" t="n">
        <v>0</v>
      </c>
      <c r="N2931" t="n">
        <v>0</v>
      </c>
      <c r="O2931" t="n">
        <v>0</v>
      </c>
      <c r="P2931" t="n">
        <v>0</v>
      </c>
      <c r="Q2931" t="n">
        <v>0</v>
      </c>
      <c r="R2931" s="2" t="inlineStr"/>
    </row>
    <row r="2932" ht="15" customHeight="1">
      <c r="A2932" t="inlineStr">
        <is>
          <t>A 26625-2021</t>
        </is>
      </c>
      <c r="B2932" s="1" t="n">
        <v>44348.66256944444</v>
      </c>
      <c r="C2932" s="1" t="n">
        <v>45952</v>
      </c>
      <c r="D2932" t="inlineStr">
        <is>
          <t>VÄSTRA GÖTALANDS LÄN</t>
        </is>
      </c>
      <c r="E2932" t="inlineStr">
        <is>
          <t>FALKÖPING</t>
        </is>
      </c>
      <c r="G2932" t="n">
        <v>0.4</v>
      </c>
      <c r="H2932" t="n">
        <v>0</v>
      </c>
      <c r="I2932" t="n">
        <v>0</v>
      </c>
      <c r="J2932" t="n">
        <v>0</v>
      </c>
      <c r="K2932" t="n">
        <v>0</v>
      </c>
      <c r="L2932" t="n">
        <v>0</v>
      </c>
      <c r="M2932" t="n">
        <v>0</v>
      </c>
      <c r="N2932" t="n">
        <v>0</v>
      </c>
      <c r="O2932" t="n">
        <v>0</v>
      </c>
      <c r="P2932" t="n">
        <v>0</v>
      </c>
      <c r="Q2932" t="n">
        <v>0</v>
      </c>
      <c r="R2932" s="2" t="inlineStr"/>
    </row>
    <row r="2933" ht="15" customHeight="1">
      <c r="A2933" t="inlineStr">
        <is>
          <t>A 26628-2021</t>
        </is>
      </c>
      <c r="B2933" s="1" t="n">
        <v>44348</v>
      </c>
      <c r="C2933" s="1" t="n">
        <v>45952</v>
      </c>
      <c r="D2933" t="inlineStr">
        <is>
          <t>VÄSTRA GÖTALANDS LÄN</t>
        </is>
      </c>
      <c r="E2933" t="inlineStr">
        <is>
          <t>TROLLHÄTTAN</t>
        </is>
      </c>
      <c r="G2933" t="n">
        <v>9.300000000000001</v>
      </c>
      <c r="H2933" t="n">
        <v>0</v>
      </c>
      <c r="I2933" t="n">
        <v>0</v>
      </c>
      <c r="J2933" t="n">
        <v>0</v>
      </c>
      <c r="K2933" t="n">
        <v>0</v>
      </c>
      <c r="L2933" t="n">
        <v>0</v>
      </c>
      <c r="M2933" t="n">
        <v>0</v>
      </c>
      <c r="N2933" t="n">
        <v>0</v>
      </c>
      <c r="O2933" t="n">
        <v>0</v>
      </c>
      <c r="P2933" t="n">
        <v>0</v>
      </c>
      <c r="Q2933" t="n">
        <v>0</v>
      </c>
      <c r="R2933" s="2" t="inlineStr"/>
    </row>
    <row r="2934" ht="15" customHeight="1">
      <c r="A2934" t="inlineStr">
        <is>
          <t>A 29025-2021</t>
        </is>
      </c>
      <c r="B2934" s="1" t="n">
        <v>44358</v>
      </c>
      <c r="C2934" s="1" t="n">
        <v>45952</v>
      </c>
      <c r="D2934" t="inlineStr">
        <is>
          <t>VÄSTRA GÖTALANDS LÄN</t>
        </is>
      </c>
      <c r="E2934" t="inlineStr">
        <is>
          <t>VÅRGÅRDA</t>
        </is>
      </c>
      <c r="G2934" t="n">
        <v>0.8</v>
      </c>
      <c r="H2934" t="n">
        <v>0</v>
      </c>
      <c r="I2934" t="n">
        <v>0</v>
      </c>
      <c r="J2934" t="n">
        <v>0</v>
      </c>
      <c r="K2934" t="n">
        <v>0</v>
      </c>
      <c r="L2934" t="n">
        <v>0</v>
      </c>
      <c r="M2934" t="n">
        <v>0</v>
      </c>
      <c r="N2934" t="n">
        <v>0</v>
      </c>
      <c r="O2934" t="n">
        <v>0</v>
      </c>
      <c r="P2934" t="n">
        <v>0</v>
      </c>
      <c r="Q2934" t="n">
        <v>0</v>
      </c>
      <c r="R2934" s="2" t="inlineStr"/>
    </row>
    <row r="2935" ht="15" customHeight="1">
      <c r="A2935" t="inlineStr">
        <is>
          <t>A 58454-2021</t>
        </is>
      </c>
      <c r="B2935" s="1" t="n">
        <v>44488.57824074074</v>
      </c>
      <c r="C2935" s="1" t="n">
        <v>45952</v>
      </c>
      <c r="D2935" t="inlineStr">
        <is>
          <t>VÄSTRA GÖTALANDS LÄN</t>
        </is>
      </c>
      <c r="E2935" t="inlineStr">
        <is>
          <t>BENGTSFORS</t>
        </is>
      </c>
      <c r="G2935" t="n">
        <v>2.5</v>
      </c>
      <c r="H2935" t="n">
        <v>0</v>
      </c>
      <c r="I2935" t="n">
        <v>0</v>
      </c>
      <c r="J2935" t="n">
        <v>0</v>
      </c>
      <c r="K2935" t="n">
        <v>0</v>
      </c>
      <c r="L2935" t="n">
        <v>0</v>
      </c>
      <c r="M2935" t="n">
        <v>0</v>
      </c>
      <c r="N2935" t="n">
        <v>0</v>
      </c>
      <c r="O2935" t="n">
        <v>0</v>
      </c>
      <c r="P2935" t="n">
        <v>0</v>
      </c>
      <c r="Q2935" t="n">
        <v>0</v>
      </c>
      <c r="R2935" s="2" t="inlineStr"/>
    </row>
    <row r="2936" ht="15" customHeight="1">
      <c r="A2936" t="inlineStr">
        <is>
          <t>A 23469-2024</t>
        </is>
      </c>
      <c r="B2936" s="1" t="n">
        <v>45453</v>
      </c>
      <c r="C2936" s="1" t="n">
        <v>45952</v>
      </c>
      <c r="D2936" t="inlineStr">
        <is>
          <t>VÄSTRA GÖTALANDS LÄN</t>
        </is>
      </c>
      <c r="E2936" t="inlineStr">
        <is>
          <t>KARLSBORG</t>
        </is>
      </c>
      <c r="G2936" t="n">
        <v>8.300000000000001</v>
      </c>
      <c r="H2936" t="n">
        <v>0</v>
      </c>
      <c r="I2936" t="n">
        <v>0</v>
      </c>
      <c r="J2936" t="n">
        <v>0</v>
      </c>
      <c r="K2936" t="n">
        <v>0</v>
      </c>
      <c r="L2936" t="n">
        <v>0</v>
      </c>
      <c r="M2936" t="n">
        <v>0</v>
      </c>
      <c r="N2936" t="n">
        <v>0</v>
      </c>
      <c r="O2936" t="n">
        <v>0</v>
      </c>
      <c r="P2936" t="n">
        <v>0</v>
      </c>
      <c r="Q2936" t="n">
        <v>0</v>
      </c>
      <c r="R2936" s="2" t="inlineStr"/>
    </row>
    <row r="2937" ht="15" customHeight="1">
      <c r="A2937" t="inlineStr">
        <is>
          <t>A 26787-2021</t>
        </is>
      </c>
      <c r="B2937" s="1" t="n">
        <v>44349</v>
      </c>
      <c r="C2937" s="1" t="n">
        <v>45952</v>
      </c>
      <c r="D2937" t="inlineStr">
        <is>
          <t>VÄSTRA GÖTALANDS LÄN</t>
        </is>
      </c>
      <c r="E2937" t="inlineStr">
        <is>
          <t>DALS-ED</t>
        </is>
      </c>
      <c r="G2937" t="n">
        <v>2.8</v>
      </c>
      <c r="H2937" t="n">
        <v>0</v>
      </c>
      <c r="I2937" t="n">
        <v>0</v>
      </c>
      <c r="J2937" t="n">
        <v>0</v>
      </c>
      <c r="K2937" t="n">
        <v>0</v>
      </c>
      <c r="L2937" t="n">
        <v>0</v>
      </c>
      <c r="M2937" t="n">
        <v>0</v>
      </c>
      <c r="N2937" t="n">
        <v>0</v>
      </c>
      <c r="O2937" t="n">
        <v>0</v>
      </c>
      <c r="P2937" t="n">
        <v>0</v>
      </c>
      <c r="Q2937" t="n">
        <v>0</v>
      </c>
      <c r="R2937" s="2" t="inlineStr"/>
    </row>
    <row r="2938" ht="15" customHeight="1">
      <c r="A2938" t="inlineStr">
        <is>
          <t>A 30332-2022</t>
        </is>
      </c>
      <c r="B2938" s="1" t="n">
        <v>44760.46152777778</v>
      </c>
      <c r="C2938" s="1" t="n">
        <v>45952</v>
      </c>
      <c r="D2938" t="inlineStr">
        <is>
          <t>VÄSTRA GÖTALANDS LÄN</t>
        </is>
      </c>
      <c r="E2938" t="inlineStr">
        <is>
          <t>ULRICEHAMN</t>
        </is>
      </c>
      <c r="G2938" t="n">
        <v>1.7</v>
      </c>
      <c r="H2938" t="n">
        <v>0</v>
      </c>
      <c r="I2938" t="n">
        <v>0</v>
      </c>
      <c r="J2938" t="n">
        <v>0</v>
      </c>
      <c r="K2938" t="n">
        <v>0</v>
      </c>
      <c r="L2938" t="n">
        <v>0</v>
      </c>
      <c r="M2938" t="n">
        <v>0</v>
      </c>
      <c r="N2938" t="n">
        <v>0</v>
      </c>
      <c r="O2938" t="n">
        <v>0</v>
      </c>
      <c r="P2938" t="n">
        <v>0</v>
      </c>
      <c r="Q2938" t="n">
        <v>0</v>
      </c>
      <c r="R2938" s="2" t="inlineStr"/>
    </row>
    <row r="2939" ht="15" customHeight="1">
      <c r="A2939" t="inlineStr">
        <is>
          <t>A 9801-2021</t>
        </is>
      </c>
      <c r="B2939" s="1" t="n">
        <v>44252</v>
      </c>
      <c r="C2939" s="1" t="n">
        <v>45952</v>
      </c>
      <c r="D2939" t="inlineStr">
        <is>
          <t>VÄSTRA GÖTALANDS LÄN</t>
        </is>
      </c>
      <c r="E2939" t="inlineStr">
        <is>
          <t>LILLA EDET</t>
        </is>
      </c>
      <c r="G2939" t="n">
        <v>1.3</v>
      </c>
      <c r="H2939" t="n">
        <v>0</v>
      </c>
      <c r="I2939" t="n">
        <v>0</v>
      </c>
      <c r="J2939" t="n">
        <v>0</v>
      </c>
      <c r="K2939" t="n">
        <v>0</v>
      </c>
      <c r="L2939" t="n">
        <v>0</v>
      </c>
      <c r="M2939" t="n">
        <v>0</v>
      </c>
      <c r="N2939" t="n">
        <v>0</v>
      </c>
      <c r="O2939" t="n">
        <v>0</v>
      </c>
      <c r="P2939" t="n">
        <v>0</v>
      </c>
      <c r="Q2939" t="n">
        <v>0</v>
      </c>
      <c r="R2939" s="2" t="inlineStr"/>
    </row>
    <row r="2940" ht="15" customHeight="1">
      <c r="A2940" t="inlineStr">
        <is>
          <t>A 14093-2021</t>
        </is>
      </c>
      <c r="B2940" s="1" t="n">
        <v>44278.27473379629</v>
      </c>
      <c r="C2940" s="1" t="n">
        <v>45952</v>
      </c>
      <c r="D2940" t="inlineStr">
        <is>
          <t>VÄSTRA GÖTALANDS LÄN</t>
        </is>
      </c>
      <c r="E2940" t="inlineStr">
        <is>
          <t>GULLSPÅNG</t>
        </is>
      </c>
      <c r="G2940" t="n">
        <v>0.6</v>
      </c>
      <c r="H2940" t="n">
        <v>0</v>
      </c>
      <c r="I2940" t="n">
        <v>0</v>
      </c>
      <c r="J2940" t="n">
        <v>0</v>
      </c>
      <c r="K2940" t="n">
        <v>0</v>
      </c>
      <c r="L2940" t="n">
        <v>0</v>
      </c>
      <c r="M2940" t="n">
        <v>0</v>
      </c>
      <c r="N2940" t="n">
        <v>0</v>
      </c>
      <c r="O2940" t="n">
        <v>0</v>
      </c>
      <c r="P2940" t="n">
        <v>0</v>
      </c>
      <c r="Q2940" t="n">
        <v>0</v>
      </c>
      <c r="R2940" s="2" t="inlineStr"/>
    </row>
    <row r="2941" ht="15" customHeight="1">
      <c r="A2941" t="inlineStr">
        <is>
          <t>A 49574-2024</t>
        </is>
      </c>
      <c r="B2941" s="1" t="n">
        <v>45596.51541666667</v>
      </c>
      <c r="C2941" s="1" t="n">
        <v>45952</v>
      </c>
      <c r="D2941" t="inlineStr">
        <is>
          <t>VÄSTRA GÖTALANDS LÄN</t>
        </is>
      </c>
      <c r="E2941" t="inlineStr">
        <is>
          <t>MUNKEDAL</t>
        </is>
      </c>
      <c r="G2941" t="n">
        <v>1.7</v>
      </c>
      <c r="H2941" t="n">
        <v>0</v>
      </c>
      <c r="I2941" t="n">
        <v>0</v>
      </c>
      <c r="J2941" t="n">
        <v>0</v>
      </c>
      <c r="K2941" t="n">
        <v>0</v>
      </c>
      <c r="L2941" t="n">
        <v>0</v>
      </c>
      <c r="M2941" t="n">
        <v>0</v>
      </c>
      <c r="N2941" t="n">
        <v>0</v>
      </c>
      <c r="O2941" t="n">
        <v>0</v>
      </c>
      <c r="P2941" t="n">
        <v>0</v>
      </c>
      <c r="Q2941" t="n">
        <v>0</v>
      </c>
      <c r="R2941" s="2" t="inlineStr"/>
    </row>
    <row r="2942" ht="15" customHeight="1">
      <c r="A2942" t="inlineStr">
        <is>
          <t>A 40774-2024</t>
        </is>
      </c>
      <c r="B2942" s="1" t="n">
        <v>45558.48636574074</v>
      </c>
      <c r="C2942" s="1" t="n">
        <v>45952</v>
      </c>
      <c r="D2942" t="inlineStr">
        <is>
          <t>VÄSTRA GÖTALANDS LÄN</t>
        </is>
      </c>
      <c r="E2942" t="inlineStr">
        <is>
          <t>FÄRGELANDA</t>
        </is>
      </c>
      <c r="G2942" t="n">
        <v>3.6</v>
      </c>
      <c r="H2942" t="n">
        <v>0</v>
      </c>
      <c r="I2942" t="n">
        <v>0</v>
      </c>
      <c r="J2942" t="n">
        <v>0</v>
      </c>
      <c r="K2942" t="n">
        <v>0</v>
      </c>
      <c r="L2942" t="n">
        <v>0</v>
      </c>
      <c r="M2942" t="n">
        <v>0</v>
      </c>
      <c r="N2942" t="n">
        <v>0</v>
      </c>
      <c r="O2942" t="n">
        <v>0</v>
      </c>
      <c r="P2942" t="n">
        <v>0</v>
      </c>
      <c r="Q2942" t="n">
        <v>0</v>
      </c>
      <c r="R2942" s="2" t="inlineStr"/>
    </row>
    <row r="2943" ht="15" customHeight="1">
      <c r="A2943" t="inlineStr">
        <is>
          <t>A 49576-2024</t>
        </is>
      </c>
      <c r="B2943" s="1" t="n">
        <v>45596.52245370371</v>
      </c>
      <c r="C2943" s="1" t="n">
        <v>45952</v>
      </c>
      <c r="D2943" t="inlineStr">
        <is>
          <t>VÄSTRA GÖTALANDS LÄN</t>
        </is>
      </c>
      <c r="E2943" t="inlineStr">
        <is>
          <t>MUNKEDAL</t>
        </is>
      </c>
      <c r="G2943" t="n">
        <v>0.8</v>
      </c>
      <c r="H2943" t="n">
        <v>0</v>
      </c>
      <c r="I2943" t="n">
        <v>0</v>
      </c>
      <c r="J2943" t="n">
        <v>0</v>
      </c>
      <c r="K2943" t="n">
        <v>0</v>
      </c>
      <c r="L2943" t="n">
        <v>0</v>
      </c>
      <c r="M2943" t="n">
        <v>0</v>
      </c>
      <c r="N2943" t="n">
        <v>0</v>
      </c>
      <c r="O2943" t="n">
        <v>0</v>
      </c>
      <c r="P2943" t="n">
        <v>0</v>
      </c>
      <c r="Q2943" t="n">
        <v>0</v>
      </c>
      <c r="R2943" s="2" t="inlineStr"/>
    </row>
    <row r="2944" ht="15" customHeight="1">
      <c r="A2944" t="inlineStr">
        <is>
          <t>A 6068-2022</t>
        </is>
      </c>
      <c r="B2944" s="1" t="n">
        <v>44599</v>
      </c>
      <c r="C2944" s="1" t="n">
        <v>45952</v>
      </c>
      <c r="D2944" t="inlineStr">
        <is>
          <t>VÄSTRA GÖTALANDS LÄN</t>
        </is>
      </c>
      <c r="E2944" t="inlineStr">
        <is>
          <t>KARLSBORG</t>
        </is>
      </c>
      <c r="G2944" t="n">
        <v>0.4</v>
      </c>
      <c r="H2944" t="n">
        <v>0</v>
      </c>
      <c r="I2944" t="n">
        <v>0</v>
      </c>
      <c r="J2944" t="n">
        <v>0</v>
      </c>
      <c r="K2944" t="n">
        <v>0</v>
      </c>
      <c r="L2944" t="n">
        <v>0</v>
      </c>
      <c r="M2944" t="n">
        <v>0</v>
      </c>
      <c r="N2944" t="n">
        <v>0</v>
      </c>
      <c r="O2944" t="n">
        <v>0</v>
      </c>
      <c r="P2944" t="n">
        <v>0</v>
      </c>
      <c r="Q2944" t="n">
        <v>0</v>
      </c>
      <c r="R2944" s="2" t="inlineStr"/>
    </row>
    <row r="2945" ht="15" customHeight="1">
      <c r="A2945" t="inlineStr">
        <is>
          <t>A 60291-2020</t>
        </is>
      </c>
      <c r="B2945" s="1" t="n">
        <v>44152</v>
      </c>
      <c r="C2945" s="1" t="n">
        <v>45952</v>
      </c>
      <c r="D2945" t="inlineStr">
        <is>
          <t>VÄSTRA GÖTALANDS LÄN</t>
        </is>
      </c>
      <c r="E2945" t="inlineStr">
        <is>
          <t>HJO</t>
        </is>
      </c>
      <c r="G2945" t="n">
        <v>1.4</v>
      </c>
      <c r="H2945" t="n">
        <v>0</v>
      </c>
      <c r="I2945" t="n">
        <v>0</v>
      </c>
      <c r="J2945" t="n">
        <v>0</v>
      </c>
      <c r="K2945" t="n">
        <v>0</v>
      </c>
      <c r="L2945" t="n">
        <v>0</v>
      </c>
      <c r="M2945" t="n">
        <v>0</v>
      </c>
      <c r="N2945" t="n">
        <v>0</v>
      </c>
      <c r="O2945" t="n">
        <v>0</v>
      </c>
      <c r="P2945" t="n">
        <v>0</v>
      </c>
      <c r="Q2945" t="n">
        <v>0</v>
      </c>
      <c r="R2945" s="2" t="inlineStr"/>
    </row>
    <row r="2946" ht="15" customHeight="1">
      <c r="A2946" t="inlineStr">
        <is>
          <t>A 1367-2022</t>
        </is>
      </c>
      <c r="B2946" s="1" t="n">
        <v>44573.34431712963</v>
      </c>
      <c r="C2946" s="1" t="n">
        <v>45952</v>
      </c>
      <c r="D2946" t="inlineStr">
        <is>
          <t>VÄSTRA GÖTALANDS LÄN</t>
        </is>
      </c>
      <c r="E2946" t="inlineStr">
        <is>
          <t>VÅRGÅRDA</t>
        </is>
      </c>
      <c r="G2946" t="n">
        <v>0.4</v>
      </c>
      <c r="H2946" t="n">
        <v>0</v>
      </c>
      <c r="I2946" t="n">
        <v>0</v>
      </c>
      <c r="J2946" t="n">
        <v>0</v>
      </c>
      <c r="K2946" t="n">
        <v>0</v>
      </c>
      <c r="L2946" t="n">
        <v>0</v>
      </c>
      <c r="M2946" t="n">
        <v>0</v>
      </c>
      <c r="N2946" t="n">
        <v>0</v>
      </c>
      <c r="O2946" t="n">
        <v>0</v>
      </c>
      <c r="P2946" t="n">
        <v>0</v>
      </c>
      <c r="Q2946" t="n">
        <v>0</v>
      </c>
      <c r="R2946" s="2" t="inlineStr"/>
    </row>
    <row r="2947" ht="15" customHeight="1">
      <c r="A2947" t="inlineStr">
        <is>
          <t>A 33171-2022</t>
        </is>
      </c>
      <c r="B2947" s="1" t="n">
        <v>44785.60559027778</v>
      </c>
      <c r="C2947" s="1" t="n">
        <v>45952</v>
      </c>
      <c r="D2947" t="inlineStr">
        <is>
          <t>VÄSTRA GÖTALANDS LÄN</t>
        </is>
      </c>
      <c r="E2947" t="inlineStr">
        <is>
          <t>VARA</t>
        </is>
      </c>
      <c r="G2947" t="n">
        <v>0.4</v>
      </c>
      <c r="H2947" t="n">
        <v>0</v>
      </c>
      <c r="I2947" t="n">
        <v>0</v>
      </c>
      <c r="J2947" t="n">
        <v>0</v>
      </c>
      <c r="K2947" t="n">
        <v>0</v>
      </c>
      <c r="L2947" t="n">
        <v>0</v>
      </c>
      <c r="M2947" t="n">
        <v>0</v>
      </c>
      <c r="N2947" t="n">
        <v>0</v>
      </c>
      <c r="O2947" t="n">
        <v>0</v>
      </c>
      <c r="P2947" t="n">
        <v>0</v>
      </c>
      <c r="Q2947" t="n">
        <v>0</v>
      </c>
      <c r="R2947" s="2" t="inlineStr"/>
    </row>
    <row r="2948" ht="15" customHeight="1">
      <c r="A2948" t="inlineStr">
        <is>
          <t>A 20340-2022</t>
        </is>
      </c>
      <c r="B2948" s="1" t="n">
        <v>44699</v>
      </c>
      <c r="C2948" s="1" t="n">
        <v>45952</v>
      </c>
      <c r="D2948" t="inlineStr">
        <is>
          <t>VÄSTRA GÖTALANDS LÄN</t>
        </is>
      </c>
      <c r="E2948" t="inlineStr">
        <is>
          <t>STRÖMSTAD</t>
        </is>
      </c>
      <c r="G2948" t="n">
        <v>4.7</v>
      </c>
      <c r="H2948" t="n">
        <v>0</v>
      </c>
      <c r="I2948" t="n">
        <v>0</v>
      </c>
      <c r="J2948" t="n">
        <v>0</v>
      </c>
      <c r="K2948" t="n">
        <v>0</v>
      </c>
      <c r="L2948" t="n">
        <v>0</v>
      </c>
      <c r="M2948" t="n">
        <v>0</v>
      </c>
      <c r="N2948" t="n">
        <v>0</v>
      </c>
      <c r="O2948" t="n">
        <v>0</v>
      </c>
      <c r="P2948" t="n">
        <v>0</v>
      </c>
      <c r="Q2948" t="n">
        <v>0</v>
      </c>
      <c r="R2948" s="2" t="inlineStr"/>
    </row>
    <row r="2949" ht="15" customHeight="1">
      <c r="A2949" t="inlineStr">
        <is>
          <t>A 12103-2022</t>
        </is>
      </c>
      <c r="B2949" s="1" t="n">
        <v>44636</v>
      </c>
      <c r="C2949" s="1" t="n">
        <v>45952</v>
      </c>
      <c r="D2949" t="inlineStr">
        <is>
          <t>VÄSTRA GÖTALANDS LÄN</t>
        </is>
      </c>
      <c r="E2949" t="inlineStr">
        <is>
          <t>FALKÖPING</t>
        </is>
      </c>
      <c r="G2949" t="n">
        <v>8.6</v>
      </c>
      <c r="H2949" t="n">
        <v>0</v>
      </c>
      <c r="I2949" t="n">
        <v>0</v>
      </c>
      <c r="J2949" t="n">
        <v>0</v>
      </c>
      <c r="K2949" t="n">
        <v>0</v>
      </c>
      <c r="L2949" t="n">
        <v>0</v>
      </c>
      <c r="M2949" t="n">
        <v>0</v>
      </c>
      <c r="N2949" t="n">
        <v>0</v>
      </c>
      <c r="O2949" t="n">
        <v>0</v>
      </c>
      <c r="P2949" t="n">
        <v>0</v>
      </c>
      <c r="Q2949" t="n">
        <v>0</v>
      </c>
      <c r="R2949" s="2" t="inlineStr"/>
    </row>
    <row r="2950" ht="15" customHeight="1">
      <c r="A2950" t="inlineStr">
        <is>
          <t>A 12124-2022</t>
        </is>
      </c>
      <c r="B2950" s="1" t="n">
        <v>44636</v>
      </c>
      <c r="C2950" s="1" t="n">
        <v>45952</v>
      </c>
      <c r="D2950" t="inlineStr">
        <is>
          <t>VÄSTRA GÖTALANDS LÄN</t>
        </is>
      </c>
      <c r="E2950" t="inlineStr">
        <is>
          <t>FALKÖPING</t>
        </is>
      </c>
      <c r="G2950" t="n">
        <v>2.4</v>
      </c>
      <c r="H2950" t="n">
        <v>0</v>
      </c>
      <c r="I2950" t="n">
        <v>0</v>
      </c>
      <c r="J2950" t="n">
        <v>0</v>
      </c>
      <c r="K2950" t="n">
        <v>0</v>
      </c>
      <c r="L2950" t="n">
        <v>0</v>
      </c>
      <c r="M2950" t="n">
        <v>0</v>
      </c>
      <c r="N2950" t="n">
        <v>0</v>
      </c>
      <c r="O2950" t="n">
        <v>0</v>
      </c>
      <c r="P2950" t="n">
        <v>0</v>
      </c>
      <c r="Q2950" t="n">
        <v>0</v>
      </c>
      <c r="R2950" s="2" t="inlineStr"/>
    </row>
    <row r="2951" ht="15" customHeight="1">
      <c r="A2951" t="inlineStr">
        <is>
          <t>A 33122-2022</t>
        </is>
      </c>
      <c r="B2951" s="1" t="n">
        <v>44785.53045138889</v>
      </c>
      <c r="C2951" s="1" t="n">
        <v>45952</v>
      </c>
      <c r="D2951" t="inlineStr">
        <is>
          <t>VÄSTRA GÖTALANDS LÄN</t>
        </is>
      </c>
      <c r="E2951" t="inlineStr">
        <is>
          <t>KARLSBORG</t>
        </is>
      </c>
      <c r="F2951" t="inlineStr">
        <is>
          <t>Sveaskog</t>
        </is>
      </c>
      <c r="G2951" t="n">
        <v>2.3</v>
      </c>
      <c r="H2951" t="n">
        <v>0</v>
      </c>
      <c r="I2951" t="n">
        <v>0</v>
      </c>
      <c r="J2951" t="n">
        <v>0</v>
      </c>
      <c r="K2951" t="n">
        <v>0</v>
      </c>
      <c r="L2951" t="n">
        <v>0</v>
      </c>
      <c r="M2951" t="n">
        <v>0</v>
      </c>
      <c r="N2951" t="n">
        <v>0</v>
      </c>
      <c r="O2951" t="n">
        <v>0</v>
      </c>
      <c r="P2951" t="n">
        <v>0</v>
      </c>
      <c r="Q2951" t="n">
        <v>0</v>
      </c>
      <c r="R2951" s="2" t="inlineStr"/>
    </row>
    <row r="2952" ht="15" customHeight="1">
      <c r="A2952" t="inlineStr">
        <is>
          <t>A 7991-2021</t>
        </is>
      </c>
      <c r="B2952" s="1" t="n">
        <v>44243</v>
      </c>
      <c r="C2952" s="1" t="n">
        <v>45952</v>
      </c>
      <c r="D2952" t="inlineStr">
        <is>
          <t>VÄSTRA GÖTALANDS LÄN</t>
        </is>
      </c>
      <c r="E2952" t="inlineStr">
        <is>
          <t>ALINGSÅS</t>
        </is>
      </c>
      <c r="G2952" t="n">
        <v>0.5</v>
      </c>
      <c r="H2952" t="n">
        <v>0</v>
      </c>
      <c r="I2952" t="n">
        <v>0</v>
      </c>
      <c r="J2952" t="n">
        <v>0</v>
      </c>
      <c r="K2952" t="n">
        <v>0</v>
      </c>
      <c r="L2952" t="n">
        <v>0</v>
      </c>
      <c r="M2952" t="n">
        <v>0</v>
      </c>
      <c r="N2952" t="n">
        <v>0</v>
      </c>
      <c r="O2952" t="n">
        <v>0</v>
      </c>
      <c r="P2952" t="n">
        <v>0</v>
      </c>
      <c r="Q2952" t="n">
        <v>0</v>
      </c>
      <c r="R2952" s="2" t="inlineStr"/>
    </row>
    <row r="2953" ht="15" customHeight="1">
      <c r="A2953" t="inlineStr">
        <is>
          <t>A 62012-2020</t>
        </is>
      </c>
      <c r="B2953" s="1" t="n">
        <v>44159.53667824074</v>
      </c>
      <c r="C2953" s="1" t="n">
        <v>45952</v>
      </c>
      <c r="D2953" t="inlineStr">
        <is>
          <t>VÄSTRA GÖTALANDS LÄN</t>
        </is>
      </c>
      <c r="E2953" t="inlineStr">
        <is>
          <t>FALKÖPING</t>
        </is>
      </c>
      <c r="G2953" t="n">
        <v>1.2</v>
      </c>
      <c r="H2953" t="n">
        <v>0</v>
      </c>
      <c r="I2953" t="n">
        <v>0</v>
      </c>
      <c r="J2953" t="n">
        <v>0</v>
      </c>
      <c r="K2953" t="n">
        <v>0</v>
      </c>
      <c r="L2953" t="n">
        <v>0</v>
      </c>
      <c r="M2953" t="n">
        <v>0</v>
      </c>
      <c r="N2953" t="n">
        <v>0</v>
      </c>
      <c r="O2953" t="n">
        <v>0</v>
      </c>
      <c r="P2953" t="n">
        <v>0</v>
      </c>
      <c r="Q2953" t="n">
        <v>0</v>
      </c>
      <c r="R2953" s="2" t="inlineStr"/>
    </row>
    <row r="2954" ht="15" customHeight="1">
      <c r="A2954" t="inlineStr">
        <is>
          <t>A 54899-2020</t>
        </is>
      </c>
      <c r="B2954" s="1" t="n">
        <v>44128.54203703703</v>
      </c>
      <c r="C2954" s="1" t="n">
        <v>45952</v>
      </c>
      <c r="D2954" t="inlineStr">
        <is>
          <t>VÄSTRA GÖTALANDS LÄN</t>
        </is>
      </c>
      <c r="E2954" t="inlineStr">
        <is>
          <t>SKARA</t>
        </is>
      </c>
      <c r="G2954" t="n">
        <v>1</v>
      </c>
      <c r="H2954" t="n">
        <v>0</v>
      </c>
      <c r="I2954" t="n">
        <v>0</v>
      </c>
      <c r="J2954" t="n">
        <v>0</v>
      </c>
      <c r="K2954" t="n">
        <v>0</v>
      </c>
      <c r="L2954" t="n">
        <v>0</v>
      </c>
      <c r="M2954" t="n">
        <v>0</v>
      </c>
      <c r="N2954" t="n">
        <v>0</v>
      </c>
      <c r="O2954" t="n">
        <v>0</v>
      </c>
      <c r="P2954" t="n">
        <v>0</v>
      </c>
      <c r="Q2954" t="n">
        <v>0</v>
      </c>
      <c r="R2954" s="2" t="inlineStr"/>
    </row>
    <row r="2955" ht="15" customHeight="1">
      <c r="A2955" t="inlineStr">
        <is>
          <t>A 54904-2020</t>
        </is>
      </c>
      <c r="B2955" s="1" t="n">
        <v>44128</v>
      </c>
      <c r="C2955" s="1" t="n">
        <v>45952</v>
      </c>
      <c r="D2955" t="inlineStr">
        <is>
          <t>VÄSTRA GÖTALANDS LÄN</t>
        </is>
      </c>
      <c r="E2955" t="inlineStr">
        <is>
          <t>VÄNERSBORG</t>
        </is>
      </c>
      <c r="G2955" t="n">
        <v>3.7</v>
      </c>
      <c r="H2955" t="n">
        <v>0</v>
      </c>
      <c r="I2955" t="n">
        <v>0</v>
      </c>
      <c r="J2955" t="n">
        <v>0</v>
      </c>
      <c r="K2955" t="n">
        <v>0</v>
      </c>
      <c r="L2955" t="n">
        <v>0</v>
      </c>
      <c r="M2955" t="n">
        <v>0</v>
      </c>
      <c r="N2955" t="n">
        <v>0</v>
      </c>
      <c r="O2955" t="n">
        <v>0</v>
      </c>
      <c r="P2955" t="n">
        <v>0</v>
      </c>
      <c r="Q2955" t="n">
        <v>0</v>
      </c>
      <c r="R2955" s="2" t="inlineStr"/>
    </row>
    <row r="2956" ht="15" customHeight="1">
      <c r="A2956" t="inlineStr">
        <is>
          <t>A 36404-2022</t>
        </is>
      </c>
      <c r="B2956" s="1" t="n">
        <v>44804</v>
      </c>
      <c r="C2956" s="1" t="n">
        <v>45952</v>
      </c>
      <c r="D2956" t="inlineStr">
        <is>
          <t>VÄSTRA GÖTALANDS LÄN</t>
        </is>
      </c>
      <c r="E2956" t="inlineStr">
        <is>
          <t>TIBRO</t>
        </is>
      </c>
      <c r="F2956" t="inlineStr">
        <is>
          <t>Sveaskog</t>
        </is>
      </c>
      <c r="G2956" t="n">
        <v>0.8</v>
      </c>
      <c r="H2956" t="n">
        <v>0</v>
      </c>
      <c r="I2956" t="n">
        <v>0</v>
      </c>
      <c r="J2956" t="n">
        <v>0</v>
      </c>
      <c r="K2956" t="n">
        <v>0</v>
      </c>
      <c r="L2956" t="n">
        <v>0</v>
      </c>
      <c r="M2956" t="n">
        <v>0</v>
      </c>
      <c r="N2956" t="n">
        <v>0</v>
      </c>
      <c r="O2956" t="n">
        <v>0</v>
      </c>
      <c r="P2956" t="n">
        <v>0</v>
      </c>
      <c r="Q2956" t="n">
        <v>0</v>
      </c>
      <c r="R2956" s="2" t="inlineStr"/>
    </row>
    <row r="2957" ht="15" customHeight="1">
      <c r="A2957" t="inlineStr">
        <is>
          <t>A 62503-2021</t>
        </is>
      </c>
      <c r="B2957" s="1" t="n">
        <v>44503</v>
      </c>
      <c r="C2957" s="1" t="n">
        <v>45952</v>
      </c>
      <c r="D2957" t="inlineStr">
        <is>
          <t>VÄSTRA GÖTALANDS LÄN</t>
        </is>
      </c>
      <c r="E2957" t="inlineStr">
        <is>
          <t>ESSUNGA</t>
        </is>
      </c>
      <c r="G2957" t="n">
        <v>3.3</v>
      </c>
      <c r="H2957" t="n">
        <v>0</v>
      </c>
      <c r="I2957" t="n">
        <v>0</v>
      </c>
      <c r="J2957" t="n">
        <v>0</v>
      </c>
      <c r="K2957" t="n">
        <v>0</v>
      </c>
      <c r="L2957" t="n">
        <v>0</v>
      </c>
      <c r="M2957" t="n">
        <v>0</v>
      </c>
      <c r="N2957" t="n">
        <v>0</v>
      </c>
      <c r="O2957" t="n">
        <v>0</v>
      </c>
      <c r="P2957" t="n">
        <v>0</v>
      </c>
      <c r="Q2957" t="n">
        <v>0</v>
      </c>
      <c r="R2957" s="2" t="inlineStr"/>
    </row>
    <row r="2958" ht="15" customHeight="1">
      <c r="A2958" t="inlineStr">
        <is>
          <t>A 66525-2021</t>
        </is>
      </c>
      <c r="B2958" s="1" t="n">
        <v>44519.36746527778</v>
      </c>
      <c r="C2958" s="1" t="n">
        <v>45952</v>
      </c>
      <c r="D2958" t="inlineStr">
        <is>
          <t>VÄSTRA GÖTALANDS LÄN</t>
        </is>
      </c>
      <c r="E2958" t="inlineStr">
        <is>
          <t>HERRLJUNGA</t>
        </is>
      </c>
      <c r="G2958" t="n">
        <v>2.3</v>
      </c>
      <c r="H2958" t="n">
        <v>0</v>
      </c>
      <c r="I2958" t="n">
        <v>0</v>
      </c>
      <c r="J2958" t="n">
        <v>0</v>
      </c>
      <c r="K2958" t="n">
        <v>0</v>
      </c>
      <c r="L2958" t="n">
        <v>0</v>
      </c>
      <c r="M2958" t="n">
        <v>0</v>
      </c>
      <c r="N2958" t="n">
        <v>0</v>
      </c>
      <c r="O2958" t="n">
        <v>0</v>
      </c>
      <c r="P2958" t="n">
        <v>0</v>
      </c>
      <c r="Q2958" t="n">
        <v>0</v>
      </c>
      <c r="R2958" s="2" t="inlineStr"/>
    </row>
    <row r="2959" ht="15" customHeight="1">
      <c r="A2959" t="inlineStr">
        <is>
          <t>A 57894-2020</t>
        </is>
      </c>
      <c r="B2959" s="1" t="n">
        <v>44141.60284722222</v>
      </c>
      <c r="C2959" s="1" t="n">
        <v>45952</v>
      </c>
      <c r="D2959" t="inlineStr">
        <is>
          <t>VÄSTRA GÖTALANDS LÄN</t>
        </is>
      </c>
      <c r="E2959" t="inlineStr">
        <is>
          <t>ORUST</t>
        </is>
      </c>
      <c r="G2959" t="n">
        <v>2</v>
      </c>
      <c r="H2959" t="n">
        <v>0</v>
      </c>
      <c r="I2959" t="n">
        <v>0</v>
      </c>
      <c r="J2959" t="n">
        <v>0</v>
      </c>
      <c r="K2959" t="n">
        <v>0</v>
      </c>
      <c r="L2959" t="n">
        <v>0</v>
      </c>
      <c r="M2959" t="n">
        <v>0</v>
      </c>
      <c r="N2959" t="n">
        <v>0</v>
      </c>
      <c r="O2959" t="n">
        <v>0</v>
      </c>
      <c r="P2959" t="n">
        <v>0</v>
      </c>
      <c r="Q2959" t="n">
        <v>0</v>
      </c>
      <c r="R2959" s="2" t="inlineStr"/>
    </row>
    <row r="2960" ht="15" customHeight="1">
      <c r="A2960" t="inlineStr">
        <is>
          <t>A 36934-2021</t>
        </is>
      </c>
      <c r="B2960" s="1" t="n">
        <v>44393</v>
      </c>
      <c r="C2960" s="1" t="n">
        <v>45952</v>
      </c>
      <c r="D2960" t="inlineStr">
        <is>
          <t>VÄSTRA GÖTALANDS LÄN</t>
        </is>
      </c>
      <c r="E2960" t="inlineStr">
        <is>
          <t>BORÅS</t>
        </is>
      </c>
      <c r="G2960" t="n">
        <v>6.6</v>
      </c>
      <c r="H2960" t="n">
        <v>0</v>
      </c>
      <c r="I2960" t="n">
        <v>0</v>
      </c>
      <c r="J2960" t="n">
        <v>0</v>
      </c>
      <c r="K2960" t="n">
        <v>0</v>
      </c>
      <c r="L2960" t="n">
        <v>0</v>
      </c>
      <c r="M2960" t="n">
        <v>0</v>
      </c>
      <c r="N2960" t="n">
        <v>0</v>
      </c>
      <c r="O2960" t="n">
        <v>0</v>
      </c>
      <c r="P2960" t="n">
        <v>0</v>
      </c>
      <c r="Q2960" t="n">
        <v>0</v>
      </c>
      <c r="R2960" s="2" t="inlineStr"/>
    </row>
    <row r="2961" ht="15" customHeight="1">
      <c r="A2961" t="inlineStr">
        <is>
          <t>A 62263-2020</t>
        </is>
      </c>
      <c r="B2961" s="1" t="n">
        <v>44159</v>
      </c>
      <c r="C2961" s="1" t="n">
        <v>45952</v>
      </c>
      <c r="D2961" t="inlineStr">
        <is>
          <t>VÄSTRA GÖTALANDS LÄN</t>
        </is>
      </c>
      <c r="E2961" t="inlineStr">
        <is>
          <t>LYSEKIL</t>
        </is>
      </c>
      <c r="G2961" t="n">
        <v>1.1</v>
      </c>
      <c r="H2961" t="n">
        <v>0</v>
      </c>
      <c r="I2961" t="n">
        <v>0</v>
      </c>
      <c r="J2961" t="n">
        <v>0</v>
      </c>
      <c r="K2961" t="n">
        <v>0</v>
      </c>
      <c r="L2961" t="n">
        <v>0</v>
      </c>
      <c r="M2961" t="n">
        <v>0</v>
      </c>
      <c r="N2961" t="n">
        <v>0</v>
      </c>
      <c r="O2961" t="n">
        <v>0</v>
      </c>
      <c r="P2961" t="n">
        <v>0</v>
      </c>
      <c r="Q2961" t="n">
        <v>0</v>
      </c>
      <c r="R2961" s="2" t="inlineStr"/>
    </row>
    <row r="2962" ht="15" customHeight="1">
      <c r="A2962" t="inlineStr">
        <is>
          <t>A 18361-2022</t>
        </is>
      </c>
      <c r="B2962" s="1" t="n">
        <v>44685</v>
      </c>
      <c r="C2962" s="1" t="n">
        <v>45952</v>
      </c>
      <c r="D2962" t="inlineStr">
        <is>
          <t>VÄSTRA GÖTALANDS LÄN</t>
        </is>
      </c>
      <c r="E2962" t="inlineStr">
        <is>
          <t>DALS-ED</t>
        </is>
      </c>
      <c r="G2962" t="n">
        <v>1.7</v>
      </c>
      <c r="H2962" t="n">
        <v>0</v>
      </c>
      <c r="I2962" t="n">
        <v>0</v>
      </c>
      <c r="J2962" t="n">
        <v>0</v>
      </c>
      <c r="K2962" t="n">
        <v>0</v>
      </c>
      <c r="L2962" t="n">
        <v>0</v>
      </c>
      <c r="M2962" t="n">
        <v>0</v>
      </c>
      <c r="N2962" t="n">
        <v>0</v>
      </c>
      <c r="O2962" t="n">
        <v>0</v>
      </c>
      <c r="P2962" t="n">
        <v>0</v>
      </c>
      <c r="Q2962" t="n">
        <v>0</v>
      </c>
      <c r="R2962" s="2" t="inlineStr"/>
    </row>
    <row r="2963" ht="15" customHeight="1">
      <c r="A2963" t="inlineStr">
        <is>
          <t>A 18362-2022</t>
        </is>
      </c>
      <c r="B2963" s="1" t="n">
        <v>44685</v>
      </c>
      <c r="C2963" s="1" t="n">
        <v>45952</v>
      </c>
      <c r="D2963" t="inlineStr">
        <is>
          <t>VÄSTRA GÖTALANDS LÄN</t>
        </is>
      </c>
      <c r="E2963" t="inlineStr">
        <is>
          <t>DALS-ED</t>
        </is>
      </c>
      <c r="G2963" t="n">
        <v>0.5</v>
      </c>
      <c r="H2963" t="n">
        <v>0</v>
      </c>
      <c r="I2963" t="n">
        <v>0</v>
      </c>
      <c r="J2963" t="n">
        <v>0</v>
      </c>
      <c r="K2963" t="n">
        <v>0</v>
      </c>
      <c r="L2963" t="n">
        <v>0</v>
      </c>
      <c r="M2963" t="n">
        <v>0</v>
      </c>
      <c r="N2963" t="n">
        <v>0</v>
      </c>
      <c r="O2963" t="n">
        <v>0</v>
      </c>
      <c r="P2963" t="n">
        <v>0</v>
      </c>
      <c r="Q2963" t="n">
        <v>0</v>
      </c>
      <c r="R2963" s="2" t="inlineStr"/>
    </row>
    <row r="2964" ht="15" customHeight="1">
      <c r="A2964" t="inlineStr">
        <is>
          <t>A 33380-2021</t>
        </is>
      </c>
      <c r="B2964" s="1" t="n">
        <v>44377</v>
      </c>
      <c r="C2964" s="1" t="n">
        <v>45952</v>
      </c>
      <c r="D2964" t="inlineStr">
        <is>
          <t>VÄSTRA GÖTALANDS LÄN</t>
        </is>
      </c>
      <c r="E2964" t="inlineStr">
        <is>
          <t>BENGTSFORS</t>
        </is>
      </c>
      <c r="G2964" t="n">
        <v>3.4</v>
      </c>
      <c r="H2964" t="n">
        <v>0</v>
      </c>
      <c r="I2964" t="n">
        <v>0</v>
      </c>
      <c r="J2964" t="n">
        <v>0</v>
      </c>
      <c r="K2964" t="n">
        <v>0</v>
      </c>
      <c r="L2964" t="n">
        <v>0</v>
      </c>
      <c r="M2964" t="n">
        <v>0</v>
      </c>
      <c r="N2964" t="n">
        <v>0</v>
      </c>
      <c r="O2964" t="n">
        <v>0</v>
      </c>
      <c r="P2964" t="n">
        <v>0</v>
      </c>
      <c r="Q2964" t="n">
        <v>0</v>
      </c>
      <c r="R2964" s="2" t="inlineStr"/>
    </row>
    <row r="2965" ht="15" customHeight="1">
      <c r="A2965" t="inlineStr">
        <is>
          <t>A 17019-2022</t>
        </is>
      </c>
      <c r="B2965" s="1" t="n">
        <v>44676</v>
      </c>
      <c r="C2965" s="1" t="n">
        <v>45952</v>
      </c>
      <c r="D2965" t="inlineStr">
        <is>
          <t>VÄSTRA GÖTALANDS LÄN</t>
        </is>
      </c>
      <c r="E2965" t="inlineStr">
        <is>
          <t>MELLERUD</t>
        </is>
      </c>
      <c r="G2965" t="n">
        <v>0.7</v>
      </c>
      <c r="H2965" t="n">
        <v>0</v>
      </c>
      <c r="I2965" t="n">
        <v>0</v>
      </c>
      <c r="J2965" t="n">
        <v>0</v>
      </c>
      <c r="K2965" t="n">
        <v>0</v>
      </c>
      <c r="L2965" t="n">
        <v>0</v>
      </c>
      <c r="M2965" t="n">
        <v>0</v>
      </c>
      <c r="N2965" t="n">
        <v>0</v>
      </c>
      <c r="O2965" t="n">
        <v>0</v>
      </c>
      <c r="P2965" t="n">
        <v>0</v>
      </c>
      <c r="Q2965" t="n">
        <v>0</v>
      </c>
      <c r="R2965" s="2" t="inlineStr"/>
    </row>
    <row r="2966" ht="15" customHeight="1">
      <c r="A2966" t="inlineStr">
        <is>
          <t>A 57998-2021</t>
        </is>
      </c>
      <c r="B2966" s="1" t="n">
        <v>44487</v>
      </c>
      <c r="C2966" s="1" t="n">
        <v>45952</v>
      </c>
      <c r="D2966" t="inlineStr">
        <is>
          <t>VÄSTRA GÖTALANDS LÄN</t>
        </is>
      </c>
      <c r="E2966" t="inlineStr">
        <is>
          <t>BENGTSFORS</t>
        </is>
      </c>
      <c r="G2966" t="n">
        <v>1.8</v>
      </c>
      <c r="H2966" t="n">
        <v>0</v>
      </c>
      <c r="I2966" t="n">
        <v>0</v>
      </c>
      <c r="J2966" t="n">
        <v>0</v>
      </c>
      <c r="K2966" t="n">
        <v>0</v>
      </c>
      <c r="L2966" t="n">
        <v>0</v>
      </c>
      <c r="M2966" t="n">
        <v>0</v>
      </c>
      <c r="N2966" t="n">
        <v>0</v>
      </c>
      <c r="O2966" t="n">
        <v>0</v>
      </c>
      <c r="P2966" t="n">
        <v>0</v>
      </c>
      <c r="Q2966" t="n">
        <v>0</v>
      </c>
      <c r="R2966" s="2" t="inlineStr"/>
    </row>
    <row r="2967" ht="15" customHeight="1">
      <c r="A2967" t="inlineStr">
        <is>
          <t>A 57999-2021</t>
        </is>
      </c>
      <c r="B2967" s="1" t="n">
        <v>44487</v>
      </c>
      <c r="C2967" s="1" t="n">
        <v>45952</v>
      </c>
      <c r="D2967" t="inlineStr">
        <is>
          <t>VÄSTRA GÖTALANDS LÄN</t>
        </is>
      </c>
      <c r="E2967" t="inlineStr">
        <is>
          <t>TANUM</t>
        </is>
      </c>
      <c r="G2967" t="n">
        <v>1.5</v>
      </c>
      <c r="H2967" t="n">
        <v>0</v>
      </c>
      <c r="I2967" t="n">
        <v>0</v>
      </c>
      <c r="J2967" t="n">
        <v>0</v>
      </c>
      <c r="K2967" t="n">
        <v>0</v>
      </c>
      <c r="L2967" t="n">
        <v>0</v>
      </c>
      <c r="M2967" t="n">
        <v>0</v>
      </c>
      <c r="N2967" t="n">
        <v>0</v>
      </c>
      <c r="O2967" t="n">
        <v>0</v>
      </c>
      <c r="P2967" t="n">
        <v>0</v>
      </c>
      <c r="Q2967" t="n">
        <v>0</v>
      </c>
      <c r="R2967" s="2" t="inlineStr"/>
    </row>
    <row r="2968" ht="15" customHeight="1">
      <c r="A2968" t="inlineStr">
        <is>
          <t>A 58055-2021</t>
        </is>
      </c>
      <c r="B2968" s="1" t="n">
        <v>44475</v>
      </c>
      <c r="C2968" s="1" t="n">
        <v>45952</v>
      </c>
      <c r="D2968" t="inlineStr">
        <is>
          <t>VÄSTRA GÖTALANDS LÄN</t>
        </is>
      </c>
      <c r="E2968" t="inlineStr">
        <is>
          <t>MARK</t>
        </is>
      </c>
      <c r="G2968" t="n">
        <v>2.3</v>
      </c>
      <c r="H2968" t="n">
        <v>0</v>
      </c>
      <c r="I2968" t="n">
        <v>0</v>
      </c>
      <c r="J2968" t="n">
        <v>0</v>
      </c>
      <c r="K2968" t="n">
        <v>0</v>
      </c>
      <c r="L2968" t="n">
        <v>0</v>
      </c>
      <c r="M2968" t="n">
        <v>0</v>
      </c>
      <c r="N2968" t="n">
        <v>0</v>
      </c>
      <c r="O2968" t="n">
        <v>0</v>
      </c>
      <c r="P2968" t="n">
        <v>0</v>
      </c>
      <c r="Q2968" t="n">
        <v>0</v>
      </c>
      <c r="R2968" s="2" t="inlineStr"/>
    </row>
    <row r="2969" ht="15" customHeight="1">
      <c r="A2969" t="inlineStr">
        <is>
          <t>A 4442-2021</t>
        </is>
      </c>
      <c r="B2969" s="1" t="n">
        <v>44224</v>
      </c>
      <c r="C2969" s="1" t="n">
        <v>45952</v>
      </c>
      <c r="D2969" t="inlineStr">
        <is>
          <t>VÄSTRA GÖTALANDS LÄN</t>
        </is>
      </c>
      <c r="E2969" t="inlineStr">
        <is>
          <t>SVENLJUNGA</t>
        </is>
      </c>
      <c r="G2969" t="n">
        <v>3.9</v>
      </c>
      <c r="H2969" t="n">
        <v>0</v>
      </c>
      <c r="I2969" t="n">
        <v>0</v>
      </c>
      <c r="J2969" t="n">
        <v>0</v>
      </c>
      <c r="K2969" t="n">
        <v>0</v>
      </c>
      <c r="L2969" t="n">
        <v>0</v>
      </c>
      <c r="M2969" t="n">
        <v>0</v>
      </c>
      <c r="N2969" t="n">
        <v>0</v>
      </c>
      <c r="O2969" t="n">
        <v>0</v>
      </c>
      <c r="P2969" t="n">
        <v>0</v>
      </c>
      <c r="Q2969" t="n">
        <v>0</v>
      </c>
      <c r="R2969" s="2" t="inlineStr"/>
    </row>
    <row r="2970" ht="15" customHeight="1">
      <c r="A2970" t="inlineStr">
        <is>
          <t>A 17611-2022</t>
        </is>
      </c>
      <c r="B2970" s="1" t="n">
        <v>44680.39116898148</v>
      </c>
      <c r="C2970" s="1" t="n">
        <v>45952</v>
      </c>
      <c r="D2970" t="inlineStr">
        <is>
          <t>VÄSTRA GÖTALANDS LÄN</t>
        </is>
      </c>
      <c r="E2970" t="inlineStr">
        <is>
          <t>MARK</t>
        </is>
      </c>
      <c r="F2970" t="inlineStr">
        <is>
          <t>Sveaskog</t>
        </is>
      </c>
      <c r="G2970" t="n">
        <v>1</v>
      </c>
      <c r="H2970" t="n">
        <v>0</v>
      </c>
      <c r="I2970" t="n">
        <v>0</v>
      </c>
      <c r="J2970" t="n">
        <v>0</v>
      </c>
      <c r="K2970" t="n">
        <v>0</v>
      </c>
      <c r="L2970" t="n">
        <v>0</v>
      </c>
      <c r="M2970" t="n">
        <v>0</v>
      </c>
      <c r="N2970" t="n">
        <v>0</v>
      </c>
      <c r="O2970" t="n">
        <v>0</v>
      </c>
      <c r="P2970" t="n">
        <v>0</v>
      </c>
      <c r="Q2970" t="n">
        <v>0</v>
      </c>
      <c r="R2970" s="2" t="inlineStr"/>
    </row>
    <row r="2971" ht="15" customHeight="1">
      <c r="A2971" t="inlineStr">
        <is>
          <t>A 34659-2021</t>
        </is>
      </c>
      <c r="B2971" s="1" t="n">
        <v>44382.57646990741</v>
      </c>
      <c r="C2971" s="1" t="n">
        <v>45952</v>
      </c>
      <c r="D2971" t="inlineStr">
        <is>
          <t>VÄSTRA GÖTALANDS LÄN</t>
        </is>
      </c>
      <c r="E2971" t="inlineStr">
        <is>
          <t>GULLSPÅNG</t>
        </is>
      </c>
      <c r="G2971" t="n">
        <v>1.7</v>
      </c>
      <c r="H2971" t="n">
        <v>0</v>
      </c>
      <c r="I2971" t="n">
        <v>0</v>
      </c>
      <c r="J2971" t="n">
        <v>0</v>
      </c>
      <c r="K2971" t="n">
        <v>0</v>
      </c>
      <c r="L2971" t="n">
        <v>0</v>
      </c>
      <c r="M2971" t="n">
        <v>0</v>
      </c>
      <c r="N2971" t="n">
        <v>0</v>
      </c>
      <c r="O2971" t="n">
        <v>0</v>
      </c>
      <c r="P2971" t="n">
        <v>0</v>
      </c>
      <c r="Q2971" t="n">
        <v>0</v>
      </c>
      <c r="R2971" s="2" t="inlineStr"/>
    </row>
    <row r="2972" ht="15" customHeight="1">
      <c r="A2972" t="inlineStr">
        <is>
          <t>A 52554-2022</t>
        </is>
      </c>
      <c r="B2972" s="1" t="n">
        <v>44874.59923611111</v>
      </c>
      <c r="C2972" s="1" t="n">
        <v>45952</v>
      </c>
      <c r="D2972" t="inlineStr">
        <is>
          <t>VÄSTRA GÖTALANDS LÄN</t>
        </is>
      </c>
      <c r="E2972" t="inlineStr">
        <is>
          <t>BENGTSFORS</t>
        </is>
      </c>
      <c r="G2972" t="n">
        <v>2.4</v>
      </c>
      <c r="H2972" t="n">
        <v>0</v>
      </c>
      <c r="I2972" t="n">
        <v>0</v>
      </c>
      <c r="J2972" t="n">
        <v>0</v>
      </c>
      <c r="K2972" t="n">
        <v>0</v>
      </c>
      <c r="L2972" t="n">
        <v>0</v>
      </c>
      <c r="M2972" t="n">
        <v>0</v>
      </c>
      <c r="N2972" t="n">
        <v>0</v>
      </c>
      <c r="O2972" t="n">
        <v>0</v>
      </c>
      <c r="P2972" t="n">
        <v>0</v>
      </c>
      <c r="Q2972" t="n">
        <v>0</v>
      </c>
      <c r="R2972" s="2" t="inlineStr"/>
    </row>
    <row r="2973" ht="15" customHeight="1">
      <c r="A2973" t="inlineStr">
        <is>
          <t>A 2269-2025</t>
        </is>
      </c>
      <c r="B2973" s="1" t="n">
        <v>45673.54107638889</v>
      </c>
      <c r="C2973" s="1" t="n">
        <v>45952</v>
      </c>
      <c r="D2973" t="inlineStr">
        <is>
          <t>VÄSTRA GÖTALANDS LÄN</t>
        </is>
      </c>
      <c r="E2973" t="inlineStr">
        <is>
          <t>LYSEKIL</t>
        </is>
      </c>
      <c r="G2973" t="n">
        <v>2.8</v>
      </c>
      <c r="H2973" t="n">
        <v>0</v>
      </c>
      <c r="I2973" t="n">
        <v>0</v>
      </c>
      <c r="J2973" t="n">
        <v>0</v>
      </c>
      <c r="K2973" t="n">
        <v>0</v>
      </c>
      <c r="L2973" t="n">
        <v>0</v>
      </c>
      <c r="M2973" t="n">
        <v>0</v>
      </c>
      <c r="N2973" t="n">
        <v>0</v>
      </c>
      <c r="O2973" t="n">
        <v>0</v>
      </c>
      <c r="P2973" t="n">
        <v>0</v>
      </c>
      <c r="Q2973" t="n">
        <v>0</v>
      </c>
      <c r="R2973" s="2" t="inlineStr"/>
    </row>
    <row r="2974" ht="15" customHeight="1">
      <c r="A2974" t="inlineStr">
        <is>
          <t>A 2282-2025</t>
        </is>
      </c>
      <c r="B2974" s="1" t="n">
        <v>45673.56837962963</v>
      </c>
      <c r="C2974" s="1" t="n">
        <v>45952</v>
      </c>
      <c r="D2974" t="inlineStr">
        <is>
          <t>VÄSTRA GÖTALANDS LÄN</t>
        </is>
      </c>
      <c r="E2974" t="inlineStr">
        <is>
          <t>BORÅS</t>
        </is>
      </c>
      <c r="G2974" t="n">
        <v>1.3</v>
      </c>
      <c r="H2974" t="n">
        <v>0</v>
      </c>
      <c r="I2974" t="n">
        <v>0</v>
      </c>
      <c r="J2974" t="n">
        <v>0</v>
      </c>
      <c r="K2974" t="n">
        <v>0</v>
      </c>
      <c r="L2974" t="n">
        <v>0</v>
      </c>
      <c r="M2974" t="n">
        <v>0</v>
      </c>
      <c r="N2974" t="n">
        <v>0</v>
      </c>
      <c r="O2974" t="n">
        <v>0</v>
      </c>
      <c r="P2974" t="n">
        <v>0</v>
      </c>
      <c r="Q2974" t="n">
        <v>0</v>
      </c>
      <c r="R2974" s="2" t="inlineStr"/>
    </row>
    <row r="2975" ht="15" customHeight="1">
      <c r="A2975" t="inlineStr">
        <is>
          <t>A 2283-2025</t>
        </is>
      </c>
      <c r="B2975" s="1" t="n">
        <v>45673.57033564815</v>
      </c>
      <c r="C2975" s="1" t="n">
        <v>45952</v>
      </c>
      <c r="D2975" t="inlineStr">
        <is>
          <t>VÄSTRA GÖTALANDS LÄN</t>
        </is>
      </c>
      <c r="E2975" t="inlineStr">
        <is>
          <t>DALS-ED</t>
        </is>
      </c>
      <c r="G2975" t="n">
        <v>2.2</v>
      </c>
      <c r="H2975" t="n">
        <v>0</v>
      </c>
      <c r="I2975" t="n">
        <v>0</v>
      </c>
      <c r="J2975" t="n">
        <v>0</v>
      </c>
      <c r="K2975" t="n">
        <v>0</v>
      </c>
      <c r="L2975" t="n">
        <v>0</v>
      </c>
      <c r="M2975" t="n">
        <v>0</v>
      </c>
      <c r="N2975" t="n">
        <v>0</v>
      </c>
      <c r="O2975" t="n">
        <v>0</v>
      </c>
      <c r="P2975" t="n">
        <v>0</v>
      </c>
      <c r="Q2975" t="n">
        <v>0</v>
      </c>
      <c r="R2975" s="2" t="inlineStr"/>
    </row>
    <row r="2976" ht="15" customHeight="1">
      <c r="A2976" t="inlineStr">
        <is>
          <t>A 36194-2024</t>
        </is>
      </c>
      <c r="B2976" s="1" t="n">
        <v>45534</v>
      </c>
      <c r="C2976" s="1" t="n">
        <v>45952</v>
      </c>
      <c r="D2976" t="inlineStr">
        <is>
          <t>VÄSTRA GÖTALANDS LÄN</t>
        </is>
      </c>
      <c r="E2976" t="inlineStr">
        <is>
          <t>TIDAHOLM</t>
        </is>
      </c>
      <c r="F2976" t="inlineStr">
        <is>
          <t>Allmännings- och besparingsskogar</t>
        </is>
      </c>
      <c r="G2976" t="n">
        <v>3.4</v>
      </c>
      <c r="H2976" t="n">
        <v>0</v>
      </c>
      <c r="I2976" t="n">
        <v>0</v>
      </c>
      <c r="J2976" t="n">
        <v>0</v>
      </c>
      <c r="K2976" t="n">
        <v>0</v>
      </c>
      <c r="L2976" t="n">
        <v>0</v>
      </c>
      <c r="M2976" t="n">
        <v>0</v>
      </c>
      <c r="N2976" t="n">
        <v>0</v>
      </c>
      <c r="O2976" t="n">
        <v>0</v>
      </c>
      <c r="P2976" t="n">
        <v>0</v>
      </c>
      <c r="Q2976" t="n">
        <v>0</v>
      </c>
      <c r="R2976" s="2" t="inlineStr"/>
    </row>
    <row r="2977" ht="15" customHeight="1">
      <c r="A2977" t="inlineStr">
        <is>
          <t>A 34906-2021</t>
        </is>
      </c>
      <c r="B2977" s="1" t="n">
        <v>44382</v>
      </c>
      <c r="C2977" s="1" t="n">
        <v>45952</v>
      </c>
      <c r="D2977" t="inlineStr">
        <is>
          <t>VÄSTRA GÖTALANDS LÄN</t>
        </is>
      </c>
      <c r="E2977" t="inlineStr">
        <is>
          <t>BENGTSFORS</t>
        </is>
      </c>
      <c r="F2977" t="inlineStr">
        <is>
          <t>Kyrkan</t>
        </is>
      </c>
      <c r="G2977" t="n">
        <v>5.3</v>
      </c>
      <c r="H2977" t="n">
        <v>0</v>
      </c>
      <c r="I2977" t="n">
        <v>0</v>
      </c>
      <c r="J2977" t="n">
        <v>0</v>
      </c>
      <c r="K2977" t="n">
        <v>0</v>
      </c>
      <c r="L2977" t="n">
        <v>0</v>
      </c>
      <c r="M2977" t="n">
        <v>0</v>
      </c>
      <c r="N2977" t="n">
        <v>0</v>
      </c>
      <c r="O2977" t="n">
        <v>0</v>
      </c>
      <c r="P2977" t="n">
        <v>0</v>
      </c>
      <c r="Q2977" t="n">
        <v>0</v>
      </c>
      <c r="R2977" s="2" t="inlineStr"/>
    </row>
    <row r="2978" ht="15" customHeight="1">
      <c r="A2978" t="inlineStr">
        <is>
          <t>A 35447-2021</t>
        </is>
      </c>
      <c r="B2978" s="1" t="n">
        <v>44385.51613425926</v>
      </c>
      <c r="C2978" s="1" t="n">
        <v>45952</v>
      </c>
      <c r="D2978" t="inlineStr">
        <is>
          <t>VÄSTRA GÖTALANDS LÄN</t>
        </is>
      </c>
      <c r="E2978" t="inlineStr">
        <is>
          <t>FÄRGELANDA</t>
        </is>
      </c>
      <c r="G2978" t="n">
        <v>1.1</v>
      </c>
      <c r="H2978" t="n">
        <v>0</v>
      </c>
      <c r="I2978" t="n">
        <v>0</v>
      </c>
      <c r="J2978" t="n">
        <v>0</v>
      </c>
      <c r="K2978" t="n">
        <v>0</v>
      </c>
      <c r="L2978" t="n">
        <v>0</v>
      </c>
      <c r="M2978" t="n">
        <v>0</v>
      </c>
      <c r="N2978" t="n">
        <v>0</v>
      </c>
      <c r="O2978" t="n">
        <v>0</v>
      </c>
      <c r="P2978" t="n">
        <v>0</v>
      </c>
      <c r="Q2978" t="n">
        <v>0</v>
      </c>
      <c r="R2978" s="2" t="inlineStr"/>
    </row>
    <row r="2979" ht="15" customHeight="1">
      <c r="A2979" t="inlineStr">
        <is>
          <t>A 23648-2021</t>
        </is>
      </c>
      <c r="B2979" s="1" t="n">
        <v>44334</v>
      </c>
      <c r="C2979" s="1" t="n">
        <v>45952</v>
      </c>
      <c r="D2979" t="inlineStr">
        <is>
          <t>VÄSTRA GÖTALANDS LÄN</t>
        </is>
      </c>
      <c r="E2979" t="inlineStr">
        <is>
          <t>BORÅS</t>
        </is>
      </c>
      <c r="G2979" t="n">
        <v>3.3</v>
      </c>
      <c r="H2979" t="n">
        <v>0</v>
      </c>
      <c r="I2979" t="n">
        <v>0</v>
      </c>
      <c r="J2979" t="n">
        <v>0</v>
      </c>
      <c r="K2979" t="n">
        <v>0</v>
      </c>
      <c r="L2979" t="n">
        <v>0</v>
      </c>
      <c r="M2979" t="n">
        <v>0</v>
      </c>
      <c r="N2979" t="n">
        <v>0</v>
      </c>
      <c r="O2979" t="n">
        <v>0</v>
      </c>
      <c r="P2979" t="n">
        <v>0</v>
      </c>
      <c r="Q2979" t="n">
        <v>0</v>
      </c>
      <c r="R2979" s="2" t="inlineStr"/>
    </row>
    <row r="2980" ht="15" customHeight="1">
      <c r="A2980" t="inlineStr">
        <is>
          <t>A 36005-2022</t>
        </is>
      </c>
      <c r="B2980" s="1" t="n">
        <v>44802.62513888889</v>
      </c>
      <c r="C2980" s="1" t="n">
        <v>45952</v>
      </c>
      <c r="D2980" t="inlineStr">
        <is>
          <t>VÄSTRA GÖTALANDS LÄN</t>
        </is>
      </c>
      <c r="E2980" t="inlineStr">
        <is>
          <t>BENGTSFORS</t>
        </is>
      </c>
      <c r="G2980" t="n">
        <v>1.7</v>
      </c>
      <c r="H2980" t="n">
        <v>0</v>
      </c>
      <c r="I2980" t="n">
        <v>0</v>
      </c>
      <c r="J2980" t="n">
        <v>0</v>
      </c>
      <c r="K2980" t="n">
        <v>0</v>
      </c>
      <c r="L2980" t="n">
        <v>0</v>
      </c>
      <c r="M2980" t="n">
        <v>0</v>
      </c>
      <c r="N2980" t="n">
        <v>0</v>
      </c>
      <c r="O2980" t="n">
        <v>0</v>
      </c>
      <c r="P2980" t="n">
        <v>0</v>
      </c>
      <c r="Q2980" t="n">
        <v>0</v>
      </c>
      <c r="R2980" s="2" t="inlineStr"/>
    </row>
    <row r="2981" ht="15" customHeight="1">
      <c r="A2981" t="inlineStr">
        <is>
          <t>A 42088-2022</t>
        </is>
      </c>
      <c r="B2981" s="1" t="n">
        <v>44830.53532407407</v>
      </c>
      <c r="C2981" s="1" t="n">
        <v>45952</v>
      </c>
      <c r="D2981" t="inlineStr">
        <is>
          <t>VÄSTRA GÖTALANDS LÄN</t>
        </is>
      </c>
      <c r="E2981" t="inlineStr">
        <is>
          <t>TANUM</t>
        </is>
      </c>
      <c r="G2981" t="n">
        <v>2.8</v>
      </c>
      <c r="H2981" t="n">
        <v>0</v>
      </c>
      <c r="I2981" t="n">
        <v>0</v>
      </c>
      <c r="J2981" t="n">
        <v>0</v>
      </c>
      <c r="K2981" t="n">
        <v>0</v>
      </c>
      <c r="L2981" t="n">
        <v>0</v>
      </c>
      <c r="M2981" t="n">
        <v>0</v>
      </c>
      <c r="N2981" t="n">
        <v>0</v>
      </c>
      <c r="O2981" t="n">
        <v>0</v>
      </c>
      <c r="P2981" t="n">
        <v>0</v>
      </c>
      <c r="Q2981" t="n">
        <v>0</v>
      </c>
      <c r="R2981" s="2" t="inlineStr"/>
    </row>
    <row r="2982" ht="15" customHeight="1">
      <c r="A2982" t="inlineStr">
        <is>
          <t>A 34588-2021</t>
        </is>
      </c>
      <c r="B2982" s="1" t="n">
        <v>44382</v>
      </c>
      <c r="C2982" s="1" t="n">
        <v>45952</v>
      </c>
      <c r="D2982" t="inlineStr">
        <is>
          <t>VÄSTRA GÖTALANDS LÄN</t>
        </is>
      </c>
      <c r="E2982" t="inlineStr">
        <is>
          <t>TIDAHOLM</t>
        </is>
      </c>
      <c r="G2982" t="n">
        <v>0.6</v>
      </c>
      <c r="H2982" t="n">
        <v>0</v>
      </c>
      <c r="I2982" t="n">
        <v>0</v>
      </c>
      <c r="J2982" t="n">
        <v>0</v>
      </c>
      <c r="K2982" t="n">
        <v>0</v>
      </c>
      <c r="L2982" t="n">
        <v>0</v>
      </c>
      <c r="M2982" t="n">
        <v>0</v>
      </c>
      <c r="N2982" t="n">
        <v>0</v>
      </c>
      <c r="O2982" t="n">
        <v>0</v>
      </c>
      <c r="P2982" t="n">
        <v>0</v>
      </c>
      <c r="Q2982" t="n">
        <v>0</v>
      </c>
      <c r="R2982" s="2" t="inlineStr"/>
    </row>
    <row r="2983" ht="15" customHeight="1">
      <c r="A2983" t="inlineStr">
        <is>
          <t>A 34592-2021</t>
        </is>
      </c>
      <c r="B2983" s="1" t="n">
        <v>44382</v>
      </c>
      <c r="C2983" s="1" t="n">
        <v>45952</v>
      </c>
      <c r="D2983" t="inlineStr">
        <is>
          <t>VÄSTRA GÖTALANDS LÄN</t>
        </is>
      </c>
      <c r="E2983" t="inlineStr">
        <is>
          <t>VÄNERSBORG</t>
        </is>
      </c>
      <c r="F2983" t="inlineStr">
        <is>
          <t>Sveaskog</t>
        </is>
      </c>
      <c r="G2983" t="n">
        <v>12.5</v>
      </c>
      <c r="H2983" t="n">
        <v>0</v>
      </c>
      <c r="I2983" t="n">
        <v>0</v>
      </c>
      <c r="J2983" t="n">
        <v>0</v>
      </c>
      <c r="K2983" t="n">
        <v>0</v>
      </c>
      <c r="L2983" t="n">
        <v>0</v>
      </c>
      <c r="M2983" t="n">
        <v>0</v>
      </c>
      <c r="N2983" t="n">
        <v>0</v>
      </c>
      <c r="O2983" t="n">
        <v>0</v>
      </c>
      <c r="P2983" t="n">
        <v>0</v>
      </c>
      <c r="Q2983" t="n">
        <v>0</v>
      </c>
      <c r="R2983" s="2" t="inlineStr"/>
    </row>
    <row r="2984" ht="15" customHeight="1">
      <c r="A2984" t="inlineStr">
        <is>
          <t>A 34593-2021</t>
        </is>
      </c>
      <c r="B2984" s="1" t="n">
        <v>44382</v>
      </c>
      <c r="C2984" s="1" t="n">
        <v>45952</v>
      </c>
      <c r="D2984" t="inlineStr">
        <is>
          <t>VÄSTRA GÖTALANDS LÄN</t>
        </is>
      </c>
      <c r="E2984" t="inlineStr">
        <is>
          <t>VÄNERSBORG</t>
        </is>
      </c>
      <c r="F2984" t="inlineStr">
        <is>
          <t>Sveaskog</t>
        </is>
      </c>
      <c r="G2984" t="n">
        <v>6.4</v>
      </c>
      <c r="H2984" t="n">
        <v>0</v>
      </c>
      <c r="I2984" t="n">
        <v>0</v>
      </c>
      <c r="J2984" t="n">
        <v>0</v>
      </c>
      <c r="K2984" t="n">
        <v>0</v>
      </c>
      <c r="L2984" t="n">
        <v>0</v>
      </c>
      <c r="M2984" t="n">
        <v>0</v>
      </c>
      <c r="N2984" t="n">
        <v>0</v>
      </c>
      <c r="O2984" t="n">
        <v>0</v>
      </c>
      <c r="P2984" t="n">
        <v>0</v>
      </c>
      <c r="Q2984" t="n">
        <v>0</v>
      </c>
      <c r="R2984" s="2" t="inlineStr"/>
    </row>
    <row r="2985" ht="15" customHeight="1">
      <c r="A2985" t="inlineStr">
        <is>
          <t>A 52501-2021</t>
        </is>
      </c>
      <c r="B2985" s="1" t="n">
        <v>44466.43952546296</v>
      </c>
      <c r="C2985" s="1" t="n">
        <v>45952</v>
      </c>
      <c r="D2985" t="inlineStr">
        <is>
          <t>VÄSTRA GÖTALANDS LÄN</t>
        </is>
      </c>
      <c r="E2985" t="inlineStr">
        <is>
          <t>ULRICEHAMN</t>
        </is>
      </c>
      <c r="G2985" t="n">
        <v>1.1</v>
      </c>
      <c r="H2985" t="n">
        <v>0</v>
      </c>
      <c r="I2985" t="n">
        <v>0</v>
      </c>
      <c r="J2985" t="n">
        <v>0</v>
      </c>
      <c r="K2985" t="n">
        <v>0</v>
      </c>
      <c r="L2985" t="n">
        <v>0</v>
      </c>
      <c r="M2985" t="n">
        <v>0</v>
      </c>
      <c r="N2985" t="n">
        <v>0</v>
      </c>
      <c r="O2985" t="n">
        <v>0</v>
      </c>
      <c r="P2985" t="n">
        <v>0</v>
      </c>
      <c r="Q2985" t="n">
        <v>0</v>
      </c>
      <c r="R2985" s="2" t="inlineStr"/>
    </row>
    <row r="2986" ht="15" customHeight="1">
      <c r="A2986" t="inlineStr">
        <is>
          <t>A 30201-2021</t>
        </is>
      </c>
      <c r="B2986" s="1" t="n">
        <v>44363</v>
      </c>
      <c r="C2986" s="1" t="n">
        <v>45952</v>
      </c>
      <c r="D2986" t="inlineStr">
        <is>
          <t>VÄSTRA GÖTALANDS LÄN</t>
        </is>
      </c>
      <c r="E2986" t="inlineStr">
        <is>
          <t>VÄNERSBORG</t>
        </is>
      </c>
      <c r="G2986" t="n">
        <v>1.6</v>
      </c>
      <c r="H2986" t="n">
        <v>0</v>
      </c>
      <c r="I2986" t="n">
        <v>0</v>
      </c>
      <c r="J2986" t="n">
        <v>0</v>
      </c>
      <c r="K2986" t="n">
        <v>0</v>
      </c>
      <c r="L2986" t="n">
        <v>0</v>
      </c>
      <c r="M2986" t="n">
        <v>0</v>
      </c>
      <c r="N2986" t="n">
        <v>0</v>
      </c>
      <c r="O2986" t="n">
        <v>0</v>
      </c>
      <c r="P2986" t="n">
        <v>0</v>
      </c>
      <c r="Q2986" t="n">
        <v>0</v>
      </c>
      <c r="R2986" s="2" t="inlineStr"/>
    </row>
    <row r="2987" ht="15" customHeight="1">
      <c r="A2987" t="inlineStr">
        <is>
          <t>A 68656-2021</t>
        </is>
      </c>
      <c r="B2987" s="1" t="n">
        <v>44529</v>
      </c>
      <c r="C2987" s="1" t="n">
        <v>45952</v>
      </c>
      <c r="D2987" t="inlineStr">
        <is>
          <t>VÄSTRA GÖTALANDS LÄN</t>
        </is>
      </c>
      <c r="E2987" t="inlineStr">
        <is>
          <t>FALKÖPING</t>
        </is>
      </c>
      <c r="G2987" t="n">
        <v>3.2</v>
      </c>
      <c r="H2987" t="n">
        <v>0</v>
      </c>
      <c r="I2987" t="n">
        <v>0</v>
      </c>
      <c r="J2987" t="n">
        <v>0</v>
      </c>
      <c r="K2987" t="n">
        <v>0</v>
      </c>
      <c r="L2987" t="n">
        <v>0</v>
      </c>
      <c r="M2987" t="n">
        <v>0</v>
      </c>
      <c r="N2987" t="n">
        <v>0</v>
      </c>
      <c r="O2987" t="n">
        <v>0</v>
      </c>
      <c r="P2987" t="n">
        <v>0</v>
      </c>
      <c r="Q2987" t="n">
        <v>0</v>
      </c>
      <c r="R2987" s="2" t="inlineStr"/>
    </row>
    <row r="2988" ht="15" customHeight="1">
      <c r="A2988" t="inlineStr">
        <is>
          <t>A 68658-2021</t>
        </is>
      </c>
      <c r="B2988" s="1" t="n">
        <v>44529</v>
      </c>
      <c r="C2988" s="1" t="n">
        <v>45952</v>
      </c>
      <c r="D2988" t="inlineStr">
        <is>
          <t>VÄSTRA GÖTALANDS LÄN</t>
        </is>
      </c>
      <c r="E2988" t="inlineStr">
        <is>
          <t>FALKÖPING</t>
        </is>
      </c>
      <c r="G2988" t="n">
        <v>3.1</v>
      </c>
      <c r="H2988" t="n">
        <v>0</v>
      </c>
      <c r="I2988" t="n">
        <v>0</v>
      </c>
      <c r="J2988" t="n">
        <v>0</v>
      </c>
      <c r="K2988" t="n">
        <v>0</v>
      </c>
      <c r="L2988" t="n">
        <v>0</v>
      </c>
      <c r="M2988" t="n">
        <v>0</v>
      </c>
      <c r="N2988" t="n">
        <v>0</v>
      </c>
      <c r="O2988" t="n">
        <v>0</v>
      </c>
      <c r="P2988" t="n">
        <v>0</v>
      </c>
      <c r="Q2988" t="n">
        <v>0</v>
      </c>
      <c r="R2988" s="2" t="inlineStr"/>
    </row>
    <row r="2989" ht="15" customHeight="1">
      <c r="A2989" t="inlineStr">
        <is>
          <t>A 61306-2020</t>
        </is>
      </c>
      <c r="B2989" s="1" t="n">
        <v>44155</v>
      </c>
      <c r="C2989" s="1" t="n">
        <v>45952</v>
      </c>
      <c r="D2989" t="inlineStr">
        <is>
          <t>VÄSTRA GÖTALANDS LÄN</t>
        </is>
      </c>
      <c r="E2989" t="inlineStr">
        <is>
          <t>ORUST</t>
        </is>
      </c>
      <c r="G2989" t="n">
        <v>8.5</v>
      </c>
      <c r="H2989" t="n">
        <v>0</v>
      </c>
      <c r="I2989" t="n">
        <v>0</v>
      </c>
      <c r="J2989" t="n">
        <v>0</v>
      </c>
      <c r="K2989" t="n">
        <v>0</v>
      </c>
      <c r="L2989" t="n">
        <v>0</v>
      </c>
      <c r="M2989" t="n">
        <v>0</v>
      </c>
      <c r="N2989" t="n">
        <v>0</v>
      </c>
      <c r="O2989" t="n">
        <v>0</v>
      </c>
      <c r="P2989" t="n">
        <v>0</v>
      </c>
      <c r="Q2989" t="n">
        <v>0</v>
      </c>
      <c r="R2989" s="2" t="inlineStr"/>
    </row>
    <row r="2990" ht="15" customHeight="1">
      <c r="A2990" t="inlineStr">
        <is>
          <t>A 35600-2022</t>
        </is>
      </c>
      <c r="B2990" s="1" t="n">
        <v>44799.45363425926</v>
      </c>
      <c r="C2990" s="1" t="n">
        <v>45952</v>
      </c>
      <c r="D2990" t="inlineStr">
        <is>
          <t>VÄSTRA GÖTALANDS LÄN</t>
        </is>
      </c>
      <c r="E2990" t="inlineStr">
        <is>
          <t>TRANEMO</t>
        </is>
      </c>
      <c r="G2990" t="n">
        <v>0.5</v>
      </c>
      <c r="H2990" t="n">
        <v>0</v>
      </c>
      <c r="I2990" t="n">
        <v>0</v>
      </c>
      <c r="J2990" t="n">
        <v>0</v>
      </c>
      <c r="K2990" t="n">
        <v>0</v>
      </c>
      <c r="L2990" t="n">
        <v>0</v>
      </c>
      <c r="M2990" t="n">
        <v>0</v>
      </c>
      <c r="N2990" t="n">
        <v>0</v>
      </c>
      <c r="O2990" t="n">
        <v>0</v>
      </c>
      <c r="P2990" t="n">
        <v>0</v>
      </c>
      <c r="Q2990" t="n">
        <v>0</v>
      </c>
      <c r="R2990" s="2" t="inlineStr"/>
    </row>
    <row r="2991" ht="15" customHeight="1">
      <c r="A2991" t="inlineStr">
        <is>
          <t>A 28702-2023</t>
        </is>
      </c>
      <c r="B2991" s="1" t="n">
        <v>45103.74606481481</v>
      </c>
      <c r="C2991" s="1" t="n">
        <v>45952</v>
      </c>
      <c r="D2991" t="inlineStr">
        <is>
          <t>VÄSTRA GÖTALANDS LÄN</t>
        </is>
      </c>
      <c r="E2991" t="inlineStr">
        <is>
          <t>DALS-ED</t>
        </is>
      </c>
      <c r="G2991" t="n">
        <v>1.4</v>
      </c>
      <c r="H2991" t="n">
        <v>0</v>
      </c>
      <c r="I2991" t="n">
        <v>0</v>
      </c>
      <c r="J2991" t="n">
        <v>0</v>
      </c>
      <c r="K2991" t="n">
        <v>0</v>
      </c>
      <c r="L2991" t="n">
        <v>0</v>
      </c>
      <c r="M2991" t="n">
        <v>0</v>
      </c>
      <c r="N2991" t="n">
        <v>0</v>
      </c>
      <c r="O2991" t="n">
        <v>0</v>
      </c>
      <c r="P2991" t="n">
        <v>0</v>
      </c>
      <c r="Q2991" t="n">
        <v>0</v>
      </c>
      <c r="R2991" s="2" t="inlineStr"/>
    </row>
    <row r="2992" ht="15" customHeight="1">
      <c r="A2992" t="inlineStr">
        <is>
          <t>A 56120-2021</t>
        </is>
      </c>
      <c r="B2992" s="1" t="n">
        <v>44477</v>
      </c>
      <c r="C2992" s="1" t="n">
        <v>45952</v>
      </c>
      <c r="D2992" t="inlineStr">
        <is>
          <t>VÄSTRA GÖTALANDS LÄN</t>
        </is>
      </c>
      <c r="E2992" t="inlineStr">
        <is>
          <t>ULRICEHAMN</t>
        </is>
      </c>
      <c r="G2992" t="n">
        <v>3.1</v>
      </c>
      <c r="H2992" t="n">
        <v>0</v>
      </c>
      <c r="I2992" t="n">
        <v>0</v>
      </c>
      <c r="J2992" t="n">
        <v>0</v>
      </c>
      <c r="K2992" t="n">
        <v>0</v>
      </c>
      <c r="L2992" t="n">
        <v>0</v>
      </c>
      <c r="M2992" t="n">
        <v>0</v>
      </c>
      <c r="N2992" t="n">
        <v>0</v>
      </c>
      <c r="O2992" t="n">
        <v>0</v>
      </c>
      <c r="P2992" t="n">
        <v>0</v>
      </c>
      <c r="Q2992" t="n">
        <v>0</v>
      </c>
      <c r="R2992" s="2" t="inlineStr"/>
    </row>
    <row r="2993" ht="15" customHeight="1">
      <c r="A2993" t="inlineStr">
        <is>
          <t>A 20438-2024</t>
        </is>
      </c>
      <c r="B2993" s="1" t="n">
        <v>45435</v>
      </c>
      <c r="C2993" s="1" t="n">
        <v>45952</v>
      </c>
      <c r="D2993" t="inlineStr">
        <is>
          <t>VÄSTRA GÖTALANDS LÄN</t>
        </is>
      </c>
      <c r="E2993" t="inlineStr">
        <is>
          <t>MARIESTAD</t>
        </is>
      </c>
      <c r="F2993" t="inlineStr">
        <is>
          <t>Kommuner</t>
        </is>
      </c>
      <c r="G2993" t="n">
        <v>0.7</v>
      </c>
      <c r="H2993" t="n">
        <v>0</v>
      </c>
      <c r="I2993" t="n">
        <v>0</v>
      </c>
      <c r="J2993" t="n">
        <v>0</v>
      </c>
      <c r="K2993" t="n">
        <v>0</v>
      </c>
      <c r="L2993" t="n">
        <v>0</v>
      </c>
      <c r="M2993" t="n">
        <v>0</v>
      </c>
      <c r="N2993" t="n">
        <v>0</v>
      </c>
      <c r="O2993" t="n">
        <v>0</v>
      </c>
      <c r="P2993" t="n">
        <v>0</v>
      </c>
      <c r="Q2993" t="n">
        <v>0</v>
      </c>
      <c r="R2993" s="2" t="inlineStr"/>
    </row>
    <row r="2994" ht="15" customHeight="1">
      <c r="A2994" t="inlineStr">
        <is>
          <t>A 20443-2024</t>
        </is>
      </c>
      <c r="B2994" s="1" t="n">
        <v>45435.62212962963</v>
      </c>
      <c r="C2994" s="1" t="n">
        <v>45952</v>
      </c>
      <c r="D2994" t="inlineStr">
        <is>
          <t>VÄSTRA GÖTALANDS LÄN</t>
        </is>
      </c>
      <c r="E2994" t="inlineStr">
        <is>
          <t>VARA</t>
        </is>
      </c>
      <c r="G2994" t="n">
        <v>0.1</v>
      </c>
      <c r="H2994" t="n">
        <v>0</v>
      </c>
      <c r="I2994" t="n">
        <v>0</v>
      </c>
      <c r="J2994" t="n">
        <v>0</v>
      </c>
      <c r="K2994" t="n">
        <v>0</v>
      </c>
      <c r="L2994" t="n">
        <v>0</v>
      </c>
      <c r="M2994" t="n">
        <v>0</v>
      </c>
      <c r="N2994" t="n">
        <v>0</v>
      </c>
      <c r="O2994" t="n">
        <v>0</v>
      </c>
      <c r="P2994" t="n">
        <v>0</v>
      </c>
      <c r="Q2994" t="n">
        <v>0</v>
      </c>
      <c r="R2994" s="2" t="inlineStr"/>
    </row>
    <row r="2995" ht="15" customHeight="1">
      <c r="A2995" t="inlineStr">
        <is>
          <t>A 20470-2024</t>
        </is>
      </c>
      <c r="B2995" s="1" t="n">
        <v>45435</v>
      </c>
      <c r="C2995" s="1" t="n">
        <v>45952</v>
      </c>
      <c r="D2995" t="inlineStr">
        <is>
          <t>VÄSTRA GÖTALANDS LÄN</t>
        </is>
      </c>
      <c r="E2995" t="inlineStr">
        <is>
          <t>SKARA</t>
        </is>
      </c>
      <c r="G2995" t="n">
        <v>0.7</v>
      </c>
      <c r="H2995" t="n">
        <v>0</v>
      </c>
      <c r="I2995" t="n">
        <v>0</v>
      </c>
      <c r="J2995" t="n">
        <v>0</v>
      </c>
      <c r="K2995" t="n">
        <v>0</v>
      </c>
      <c r="L2995" t="n">
        <v>0</v>
      </c>
      <c r="M2995" t="n">
        <v>0</v>
      </c>
      <c r="N2995" t="n">
        <v>0</v>
      </c>
      <c r="O2995" t="n">
        <v>0</v>
      </c>
      <c r="P2995" t="n">
        <v>0</v>
      </c>
      <c r="Q2995" t="n">
        <v>0</v>
      </c>
      <c r="R2995" s="2" t="inlineStr"/>
    </row>
    <row r="2996" ht="15" customHeight="1">
      <c r="A2996" t="inlineStr">
        <is>
          <t>A 50879-2024</t>
        </is>
      </c>
      <c r="B2996" s="1" t="n">
        <v>45602.65221064815</v>
      </c>
      <c r="C2996" s="1" t="n">
        <v>45952</v>
      </c>
      <c r="D2996" t="inlineStr">
        <is>
          <t>VÄSTRA GÖTALANDS LÄN</t>
        </is>
      </c>
      <c r="E2996" t="inlineStr">
        <is>
          <t>UDDEVALLA</t>
        </is>
      </c>
      <c r="G2996" t="n">
        <v>2.5</v>
      </c>
      <c r="H2996" t="n">
        <v>0</v>
      </c>
      <c r="I2996" t="n">
        <v>0</v>
      </c>
      <c r="J2996" t="n">
        <v>0</v>
      </c>
      <c r="K2996" t="n">
        <v>0</v>
      </c>
      <c r="L2996" t="n">
        <v>0</v>
      </c>
      <c r="M2996" t="n">
        <v>0</v>
      </c>
      <c r="N2996" t="n">
        <v>0</v>
      </c>
      <c r="O2996" t="n">
        <v>0</v>
      </c>
      <c r="P2996" t="n">
        <v>0</v>
      </c>
      <c r="Q2996" t="n">
        <v>0</v>
      </c>
      <c r="R2996" s="2" t="inlineStr"/>
    </row>
    <row r="2997" ht="15" customHeight="1">
      <c r="A2997" t="inlineStr">
        <is>
          <t>A 8980-2023</t>
        </is>
      </c>
      <c r="B2997" s="1" t="n">
        <v>44979.53782407408</v>
      </c>
      <c r="C2997" s="1" t="n">
        <v>45952</v>
      </c>
      <c r="D2997" t="inlineStr">
        <is>
          <t>VÄSTRA GÖTALANDS LÄN</t>
        </is>
      </c>
      <c r="E2997" t="inlineStr">
        <is>
          <t>ALINGSÅS</t>
        </is>
      </c>
      <c r="G2997" t="n">
        <v>0.8</v>
      </c>
      <c r="H2997" t="n">
        <v>0</v>
      </c>
      <c r="I2997" t="n">
        <v>0</v>
      </c>
      <c r="J2997" t="n">
        <v>0</v>
      </c>
      <c r="K2997" t="n">
        <v>0</v>
      </c>
      <c r="L2997" t="n">
        <v>0</v>
      </c>
      <c r="M2997" t="n">
        <v>0</v>
      </c>
      <c r="N2997" t="n">
        <v>0</v>
      </c>
      <c r="O2997" t="n">
        <v>0</v>
      </c>
      <c r="P2997" t="n">
        <v>0</v>
      </c>
      <c r="Q2997" t="n">
        <v>0</v>
      </c>
      <c r="R2997" s="2" t="inlineStr"/>
    </row>
    <row r="2998" ht="15" customHeight="1">
      <c r="A2998" t="inlineStr">
        <is>
          <t>A 11397-2022</t>
        </is>
      </c>
      <c r="B2998" s="1" t="n">
        <v>44630.53233796296</v>
      </c>
      <c r="C2998" s="1" t="n">
        <v>45952</v>
      </c>
      <c r="D2998" t="inlineStr">
        <is>
          <t>VÄSTRA GÖTALANDS LÄN</t>
        </is>
      </c>
      <c r="E2998" t="inlineStr">
        <is>
          <t>MARIESTAD</t>
        </is>
      </c>
      <c r="G2998" t="n">
        <v>1.5</v>
      </c>
      <c r="H2998" t="n">
        <v>0</v>
      </c>
      <c r="I2998" t="n">
        <v>0</v>
      </c>
      <c r="J2998" t="n">
        <v>0</v>
      </c>
      <c r="K2998" t="n">
        <v>0</v>
      </c>
      <c r="L2998" t="n">
        <v>0</v>
      </c>
      <c r="M2998" t="n">
        <v>0</v>
      </c>
      <c r="N2998" t="n">
        <v>0</v>
      </c>
      <c r="O2998" t="n">
        <v>0</v>
      </c>
      <c r="P2998" t="n">
        <v>0</v>
      </c>
      <c r="Q2998" t="n">
        <v>0</v>
      </c>
      <c r="R2998" s="2" t="inlineStr"/>
    </row>
    <row r="2999" ht="15" customHeight="1">
      <c r="A2999" t="inlineStr">
        <is>
          <t>A 5439-2022</t>
        </is>
      </c>
      <c r="B2999" s="1" t="n">
        <v>44595</v>
      </c>
      <c r="C2999" s="1" t="n">
        <v>45952</v>
      </c>
      <c r="D2999" t="inlineStr">
        <is>
          <t>VÄSTRA GÖTALANDS LÄN</t>
        </is>
      </c>
      <c r="E2999" t="inlineStr">
        <is>
          <t>KARLSBORG</t>
        </is>
      </c>
      <c r="G2999" t="n">
        <v>0.7</v>
      </c>
      <c r="H2999" t="n">
        <v>0</v>
      </c>
      <c r="I2999" t="n">
        <v>0</v>
      </c>
      <c r="J2999" t="n">
        <v>0</v>
      </c>
      <c r="K2999" t="n">
        <v>0</v>
      </c>
      <c r="L2999" t="n">
        <v>0</v>
      </c>
      <c r="M2999" t="n">
        <v>0</v>
      </c>
      <c r="N2999" t="n">
        <v>0</v>
      </c>
      <c r="O2999" t="n">
        <v>0</v>
      </c>
      <c r="P2999" t="n">
        <v>0</v>
      </c>
      <c r="Q2999" t="n">
        <v>0</v>
      </c>
      <c r="R2999" s="2" t="inlineStr"/>
    </row>
    <row r="3000" ht="15" customHeight="1">
      <c r="A3000" t="inlineStr">
        <is>
          <t>A 33020-2021</t>
        </is>
      </c>
      <c r="B3000" s="1" t="n">
        <v>44376</v>
      </c>
      <c r="C3000" s="1" t="n">
        <v>45952</v>
      </c>
      <c r="D3000" t="inlineStr">
        <is>
          <t>VÄSTRA GÖTALANDS LÄN</t>
        </is>
      </c>
      <c r="E3000" t="inlineStr">
        <is>
          <t>TRANEMO</t>
        </is>
      </c>
      <c r="G3000" t="n">
        <v>2.9</v>
      </c>
      <c r="H3000" t="n">
        <v>0</v>
      </c>
      <c r="I3000" t="n">
        <v>0</v>
      </c>
      <c r="J3000" t="n">
        <v>0</v>
      </c>
      <c r="K3000" t="n">
        <v>0</v>
      </c>
      <c r="L3000" t="n">
        <v>0</v>
      </c>
      <c r="M3000" t="n">
        <v>0</v>
      </c>
      <c r="N3000" t="n">
        <v>0</v>
      </c>
      <c r="O3000" t="n">
        <v>0</v>
      </c>
      <c r="P3000" t="n">
        <v>0</v>
      </c>
      <c r="Q3000" t="n">
        <v>0</v>
      </c>
      <c r="R3000" s="2" t="inlineStr"/>
    </row>
    <row r="3001" ht="15" customHeight="1">
      <c r="A3001" t="inlineStr">
        <is>
          <t>A 226-2024</t>
        </is>
      </c>
      <c r="B3001" s="1" t="n">
        <v>45293</v>
      </c>
      <c r="C3001" s="1" t="n">
        <v>45952</v>
      </c>
      <c r="D3001" t="inlineStr">
        <is>
          <t>VÄSTRA GÖTALANDS LÄN</t>
        </is>
      </c>
      <c r="E3001" t="inlineStr">
        <is>
          <t>TANUM</t>
        </is>
      </c>
      <c r="G3001" t="n">
        <v>6.2</v>
      </c>
      <c r="H3001" t="n">
        <v>0</v>
      </c>
      <c r="I3001" t="n">
        <v>0</v>
      </c>
      <c r="J3001" t="n">
        <v>0</v>
      </c>
      <c r="K3001" t="n">
        <v>0</v>
      </c>
      <c r="L3001" t="n">
        <v>0</v>
      </c>
      <c r="M3001" t="n">
        <v>0</v>
      </c>
      <c r="N3001" t="n">
        <v>0</v>
      </c>
      <c r="O3001" t="n">
        <v>0</v>
      </c>
      <c r="P3001" t="n">
        <v>0</v>
      </c>
      <c r="Q3001" t="n">
        <v>0</v>
      </c>
      <c r="R3001" s="2" t="inlineStr"/>
    </row>
    <row r="3002" ht="15" customHeight="1">
      <c r="A3002" t="inlineStr">
        <is>
          <t>A 44956-2024</t>
        </is>
      </c>
      <c r="B3002" s="1" t="n">
        <v>45575.45246527778</v>
      </c>
      <c r="C3002" s="1" t="n">
        <v>45952</v>
      </c>
      <c r="D3002" t="inlineStr">
        <is>
          <t>VÄSTRA GÖTALANDS LÄN</t>
        </is>
      </c>
      <c r="E3002" t="inlineStr">
        <is>
          <t>BORÅS</t>
        </is>
      </c>
      <c r="G3002" t="n">
        <v>0.3</v>
      </c>
      <c r="H3002" t="n">
        <v>0</v>
      </c>
      <c r="I3002" t="n">
        <v>0</v>
      </c>
      <c r="J3002" t="n">
        <v>0</v>
      </c>
      <c r="K3002" t="n">
        <v>0</v>
      </c>
      <c r="L3002" t="n">
        <v>0</v>
      </c>
      <c r="M3002" t="n">
        <v>0</v>
      </c>
      <c r="N3002" t="n">
        <v>0</v>
      </c>
      <c r="O3002" t="n">
        <v>0</v>
      </c>
      <c r="P3002" t="n">
        <v>0</v>
      </c>
      <c r="Q3002" t="n">
        <v>0</v>
      </c>
      <c r="R3002" s="2" t="inlineStr"/>
    </row>
    <row r="3003" ht="15" customHeight="1">
      <c r="A3003" t="inlineStr">
        <is>
          <t>A 45000-2024</t>
        </is>
      </c>
      <c r="B3003" s="1" t="n">
        <v>45575</v>
      </c>
      <c r="C3003" s="1" t="n">
        <v>45952</v>
      </c>
      <c r="D3003" t="inlineStr">
        <is>
          <t>VÄSTRA GÖTALANDS LÄN</t>
        </is>
      </c>
      <c r="E3003" t="inlineStr">
        <is>
          <t>STENUNGSUND</t>
        </is>
      </c>
      <c r="G3003" t="n">
        <v>1.2</v>
      </c>
      <c r="H3003" t="n">
        <v>0</v>
      </c>
      <c r="I3003" t="n">
        <v>0</v>
      </c>
      <c r="J3003" t="n">
        <v>0</v>
      </c>
      <c r="K3003" t="n">
        <v>0</v>
      </c>
      <c r="L3003" t="n">
        <v>0</v>
      </c>
      <c r="M3003" t="n">
        <v>0</v>
      </c>
      <c r="N3003" t="n">
        <v>0</v>
      </c>
      <c r="O3003" t="n">
        <v>0</v>
      </c>
      <c r="P3003" t="n">
        <v>0</v>
      </c>
      <c r="Q3003" t="n">
        <v>0</v>
      </c>
      <c r="R3003" s="2" t="inlineStr"/>
    </row>
    <row r="3004" ht="15" customHeight="1">
      <c r="A3004" t="inlineStr">
        <is>
          <t>A 56853-2024</t>
        </is>
      </c>
      <c r="B3004" s="1" t="n">
        <v>45628.53997685185</v>
      </c>
      <c r="C3004" s="1" t="n">
        <v>45952</v>
      </c>
      <c r="D3004" t="inlineStr">
        <is>
          <t>VÄSTRA GÖTALANDS LÄN</t>
        </is>
      </c>
      <c r="E3004" t="inlineStr">
        <is>
          <t>MARIESTAD</t>
        </is>
      </c>
      <c r="G3004" t="n">
        <v>1.5</v>
      </c>
      <c r="H3004" t="n">
        <v>0</v>
      </c>
      <c r="I3004" t="n">
        <v>0</v>
      </c>
      <c r="J3004" t="n">
        <v>0</v>
      </c>
      <c r="K3004" t="n">
        <v>0</v>
      </c>
      <c r="L3004" t="n">
        <v>0</v>
      </c>
      <c r="M3004" t="n">
        <v>0</v>
      </c>
      <c r="N3004" t="n">
        <v>0</v>
      </c>
      <c r="O3004" t="n">
        <v>0</v>
      </c>
      <c r="P3004" t="n">
        <v>0</v>
      </c>
      <c r="Q3004" t="n">
        <v>0</v>
      </c>
      <c r="R3004" s="2" t="inlineStr"/>
    </row>
    <row r="3005" ht="15" customHeight="1">
      <c r="A3005" t="inlineStr">
        <is>
          <t>A 56856-2024</t>
        </is>
      </c>
      <c r="B3005" s="1" t="n">
        <v>45628.54497685185</v>
      </c>
      <c r="C3005" s="1" t="n">
        <v>45952</v>
      </c>
      <c r="D3005" t="inlineStr">
        <is>
          <t>VÄSTRA GÖTALANDS LÄN</t>
        </is>
      </c>
      <c r="E3005" t="inlineStr">
        <is>
          <t>VARA</t>
        </is>
      </c>
      <c r="G3005" t="n">
        <v>1.2</v>
      </c>
      <c r="H3005" t="n">
        <v>0</v>
      </c>
      <c r="I3005" t="n">
        <v>0</v>
      </c>
      <c r="J3005" t="n">
        <v>0</v>
      </c>
      <c r="K3005" t="n">
        <v>0</v>
      </c>
      <c r="L3005" t="n">
        <v>0</v>
      </c>
      <c r="M3005" t="n">
        <v>0</v>
      </c>
      <c r="N3005" t="n">
        <v>0</v>
      </c>
      <c r="O3005" t="n">
        <v>0</v>
      </c>
      <c r="P3005" t="n">
        <v>0</v>
      </c>
      <c r="Q3005" t="n">
        <v>0</v>
      </c>
      <c r="R3005" s="2" t="inlineStr"/>
    </row>
    <row r="3006" ht="15" customHeight="1">
      <c r="A3006" t="inlineStr">
        <is>
          <t>A 24284-2023</t>
        </is>
      </c>
      <c r="B3006" s="1" t="n">
        <v>45079.88011574074</v>
      </c>
      <c r="C3006" s="1" t="n">
        <v>45952</v>
      </c>
      <c r="D3006" t="inlineStr">
        <is>
          <t>VÄSTRA GÖTALANDS LÄN</t>
        </is>
      </c>
      <c r="E3006" t="inlineStr">
        <is>
          <t>FÄRGELANDA</t>
        </is>
      </c>
      <c r="G3006" t="n">
        <v>3.8</v>
      </c>
      <c r="H3006" t="n">
        <v>0</v>
      </c>
      <c r="I3006" t="n">
        <v>0</v>
      </c>
      <c r="J3006" t="n">
        <v>0</v>
      </c>
      <c r="K3006" t="n">
        <v>0</v>
      </c>
      <c r="L3006" t="n">
        <v>0</v>
      </c>
      <c r="M3006" t="n">
        <v>0</v>
      </c>
      <c r="N3006" t="n">
        <v>0</v>
      </c>
      <c r="O3006" t="n">
        <v>0</v>
      </c>
      <c r="P3006" t="n">
        <v>0</v>
      </c>
      <c r="Q3006" t="n">
        <v>0</v>
      </c>
      <c r="R3006" s="2" t="inlineStr"/>
    </row>
    <row r="3007" ht="15" customHeight="1">
      <c r="A3007" t="inlineStr">
        <is>
          <t>A 30772-2023</t>
        </is>
      </c>
      <c r="B3007" s="1" t="n">
        <v>45112</v>
      </c>
      <c r="C3007" s="1" t="n">
        <v>45952</v>
      </c>
      <c r="D3007" t="inlineStr">
        <is>
          <t>VÄSTRA GÖTALANDS LÄN</t>
        </is>
      </c>
      <c r="E3007" t="inlineStr">
        <is>
          <t>BOLLEBYGD</t>
        </is>
      </c>
      <c r="G3007" t="n">
        <v>1</v>
      </c>
      <c r="H3007" t="n">
        <v>0</v>
      </c>
      <c r="I3007" t="n">
        <v>0</v>
      </c>
      <c r="J3007" t="n">
        <v>0</v>
      </c>
      <c r="K3007" t="n">
        <v>0</v>
      </c>
      <c r="L3007" t="n">
        <v>0</v>
      </c>
      <c r="M3007" t="n">
        <v>0</v>
      </c>
      <c r="N3007" t="n">
        <v>0</v>
      </c>
      <c r="O3007" t="n">
        <v>0</v>
      </c>
      <c r="P3007" t="n">
        <v>0</v>
      </c>
      <c r="Q3007" t="n">
        <v>0</v>
      </c>
      <c r="R3007" s="2" t="inlineStr"/>
    </row>
    <row r="3008" ht="15" customHeight="1">
      <c r="A3008" t="inlineStr">
        <is>
          <t>A 51158-2024</t>
        </is>
      </c>
      <c r="B3008" s="1" t="n">
        <v>45603.57714120371</v>
      </c>
      <c r="C3008" s="1" t="n">
        <v>45952</v>
      </c>
      <c r="D3008" t="inlineStr">
        <is>
          <t>VÄSTRA GÖTALANDS LÄN</t>
        </is>
      </c>
      <c r="E3008" t="inlineStr">
        <is>
          <t>ULRICEHAMN</t>
        </is>
      </c>
      <c r="F3008" t="inlineStr">
        <is>
          <t>Kommuner</t>
        </is>
      </c>
      <c r="G3008" t="n">
        <v>1</v>
      </c>
      <c r="H3008" t="n">
        <v>0</v>
      </c>
      <c r="I3008" t="n">
        <v>0</v>
      </c>
      <c r="J3008" t="n">
        <v>0</v>
      </c>
      <c r="K3008" t="n">
        <v>0</v>
      </c>
      <c r="L3008" t="n">
        <v>0</v>
      </c>
      <c r="M3008" t="n">
        <v>0</v>
      </c>
      <c r="N3008" t="n">
        <v>0</v>
      </c>
      <c r="O3008" t="n">
        <v>0</v>
      </c>
      <c r="P3008" t="n">
        <v>0</v>
      </c>
      <c r="Q3008" t="n">
        <v>0</v>
      </c>
      <c r="R3008" s="2" t="inlineStr"/>
    </row>
    <row r="3009" ht="15" customHeight="1">
      <c r="A3009" t="inlineStr">
        <is>
          <t>A 59106-2021</t>
        </is>
      </c>
      <c r="B3009" s="1" t="n">
        <v>44490.4315625</v>
      </c>
      <c r="C3009" s="1" t="n">
        <v>45952</v>
      </c>
      <c r="D3009" t="inlineStr">
        <is>
          <t>VÄSTRA GÖTALANDS LÄN</t>
        </is>
      </c>
      <c r="E3009" t="inlineStr">
        <is>
          <t>FÄRGELANDA</t>
        </is>
      </c>
      <c r="G3009" t="n">
        <v>0.6</v>
      </c>
      <c r="H3009" t="n">
        <v>0</v>
      </c>
      <c r="I3009" t="n">
        <v>0</v>
      </c>
      <c r="J3009" t="n">
        <v>0</v>
      </c>
      <c r="K3009" t="n">
        <v>0</v>
      </c>
      <c r="L3009" t="n">
        <v>0</v>
      </c>
      <c r="M3009" t="n">
        <v>0</v>
      </c>
      <c r="N3009" t="n">
        <v>0</v>
      </c>
      <c r="O3009" t="n">
        <v>0</v>
      </c>
      <c r="P3009" t="n">
        <v>0</v>
      </c>
      <c r="Q3009" t="n">
        <v>0</v>
      </c>
      <c r="R3009" s="2" t="inlineStr"/>
    </row>
    <row r="3010" ht="15" customHeight="1">
      <c r="A3010" t="inlineStr">
        <is>
          <t>A 69817-2021</t>
        </is>
      </c>
      <c r="B3010" s="1" t="n">
        <v>44532</v>
      </c>
      <c r="C3010" s="1" t="n">
        <v>45952</v>
      </c>
      <c r="D3010" t="inlineStr">
        <is>
          <t>VÄSTRA GÖTALANDS LÄN</t>
        </is>
      </c>
      <c r="E3010" t="inlineStr">
        <is>
          <t>TÖREBODA</t>
        </is>
      </c>
      <c r="G3010" t="n">
        <v>0.7</v>
      </c>
      <c r="H3010" t="n">
        <v>0</v>
      </c>
      <c r="I3010" t="n">
        <v>0</v>
      </c>
      <c r="J3010" t="n">
        <v>0</v>
      </c>
      <c r="K3010" t="n">
        <v>0</v>
      </c>
      <c r="L3010" t="n">
        <v>0</v>
      </c>
      <c r="M3010" t="n">
        <v>0</v>
      </c>
      <c r="N3010" t="n">
        <v>0</v>
      </c>
      <c r="O3010" t="n">
        <v>0</v>
      </c>
      <c r="P3010" t="n">
        <v>0</v>
      </c>
      <c r="Q3010" t="n">
        <v>0</v>
      </c>
      <c r="R3010" s="2" t="inlineStr"/>
    </row>
    <row r="3011" ht="15" customHeight="1">
      <c r="A3011" t="inlineStr">
        <is>
          <t>A 68392-2021</t>
        </is>
      </c>
      <c r="B3011" s="1" t="n">
        <v>44526</v>
      </c>
      <c r="C3011" s="1" t="n">
        <v>45952</v>
      </c>
      <c r="D3011" t="inlineStr">
        <is>
          <t>VÄSTRA GÖTALANDS LÄN</t>
        </is>
      </c>
      <c r="E3011" t="inlineStr">
        <is>
          <t>STRÖMSTAD</t>
        </is>
      </c>
      <c r="G3011" t="n">
        <v>2.9</v>
      </c>
      <c r="H3011" t="n">
        <v>0</v>
      </c>
      <c r="I3011" t="n">
        <v>0</v>
      </c>
      <c r="J3011" t="n">
        <v>0</v>
      </c>
      <c r="K3011" t="n">
        <v>0</v>
      </c>
      <c r="L3011" t="n">
        <v>0</v>
      </c>
      <c r="M3011" t="n">
        <v>0</v>
      </c>
      <c r="N3011" t="n">
        <v>0</v>
      </c>
      <c r="O3011" t="n">
        <v>0</v>
      </c>
      <c r="P3011" t="n">
        <v>0</v>
      </c>
      <c r="Q3011" t="n">
        <v>0</v>
      </c>
      <c r="R3011" s="2" t="inlineStr"/>
    </row>
    <row r="3012" ht="15" customHeight="1">
      <c r="A3012" t="inlineStr">
        <is>
          <t>A 24976-2022</t>
        </is>
      </c>
      <c r="B3012" s="1" t="n">
        <v>44728.73445601852</v>
      </c>
      <c r="C3012" s="1" t="n">
        <v>45952</v>
      </c>
      <c r="D3012" t="inlineStr">
        <is>
          <t>VÄSTRA GÖTALANDS LÄN</t>
        </is>
      </c>
      <c r="E3012" t="inlineStr">
        <is>
          <t>SKARA</t>
        </is>
      </c>
      <c r="G3012" t="n">
        <v>0.8</v>
      </c>
      <c r="H3012" t="n">
        <v>0</v>
      </c>
      <c r="I3012" t="n">
        <v>0</v>
      </c>
      <c r="J3012" t="n">
        <v>0</v>
      </c>
      <c r="K3012" t="n">
        <v>0</v>
      </c>
      <c r="L3012" t="n">
        <v>0</v>
      </c>
      <c r="M3012" t="n">
        <v>0</v>
      </c>
      <c r="N3012" t="n">
        <v>0</v>
      </c>
      <c r="O3012" t="n">
        <v>0</v>
      </c>
      <c r="P3012" t="n">
        <v>0</v>
      </c>
      <c r="Q3012" t="n">
        <v>0</v>
      </c>
      <c r="R3012" s="2" t="inlineStr"/>
    </row>
    <row r="3013" ht="15" customHeight="1">
      <c r="A3013" t="inlineStr">
        <is>
          <t>A 8011-2021</t>
        </is>
      </c>
      <c r="B3013" s="1" t="n">
        <v>44243</v>
      </c>
      <c r="C3013" s="1" t="n">
        <v>45952</v>
      </c>
      <c r="D3013" t="inlineStr">
        <is>
          <t>VÄSTRA GÖTALANDS LÄN</t>
        </is>
      </c>
      <c r="E3013" t="inlineStr">
        <is>
          <t>ALINGSÅS</t>
        </is>
      </c>
      <c r="F3013" t="inlineStr">
        <is>
          <t>Kyrkan</t>
        </is>
      </c>
      <c r="G3013" t="n">
        <v>1.4</v>
      </c>
      <c r="H3013" t="n">
        <v>0</v>
      </c>
      <c r="I3013" t="n">
        <v>0</v>
      </c>
      <c r="J3013" t="n">
        <v>0</v>
      </c>
      <c r="K3013" t="n">
        <v>0</v>
      </c>
      <c r="L3013" t="n">
        <v>0</v>
      </c>
      <c r="M3013" t="n">
        <v>0</v>
      </c>
      <c r="N3013" t="n">
        <v>0</v>
      </c>
      <c r="O3013" t="n">
        <v>0</v>
      </c>
      <c r="P3013" t="n">
        <v>0</v>
      </c>
      <c r="Q3013" t="n">
        <v>0</v>
      </c>
      <c r="R3013" s="2" t="inlineStr"/>
    </row>
    <row r="3014" ht="15" customHeight="1">
      <c r="A3014" t="inlineStr">
        <is>
          <t>A 23070-2022</t>
        </is>
      </c>
      <c r="B3014" s="1" t="n">
        <v>44719.45615740741</v>
      </c>
      <c r="C3014" s="1" t="n">
        <v>45952</v>
      </c>
      <c r="D3014" t="inlineStr">
        <is>
          <t>VÄSTRA GÖTALANDS LÄN</t>
        </is>
      </c>
      <c r="E3014" t="inlineStr">
        <is>
          <t>STENUNGSUND</t>
        </is>
      </c>
      <c r="G3014" t="n">
        <v>4.1</v>
      </c>
      <c r="H3014" t="n">
        <v>0</v>
      </c>
      <c r="I3014" t="n">
        <v>0</v>
      </c>
      <c r="J3014" t="n">
        <v>0</v>
      </c>
      <c r="K3014" t="n">
        <v>0</v>
      </c>
      <c r="L3014" t="n">
        <v>0</v>
      </c>
      <c r="M3014" t="n">
        <v>0</v>
      </c>
      <c r="N3014" t="n">
        <v>0</v>
      </c>
      <c r="O3014" t="n">
        <v>0</v>
      </c>
      <c r="P3014" t="n">
        <v>0</v>
      </c>
      <c r="Q3014" t="n">
        <v>0</v>
      </c>
      <c r="R3014" s="2" t="inlineStr"/>
    </row>
    <row r="3015" ht="15" customHeight="1">
      <c r="A3015" t="inlineStr">
        <is>
          <t>A 18473-2021</t>
        </is>
      </c>
      <c r="B3015" s="1" t="n">
        <v>44306</v>
      </c>
      <c r="C3015" s="1" t="n">
        <v>45952</v>
      </c>
      <c r="D3015" t="inlineStr">
        <is>
          <t>VÄSTRA GÖTALANDS LÄN</t>
        </is>
      </c>
      <c r="E3015" t="inlineStr">
        <is>
          <t>ULRICEHAMN</t>
        </is>
      </c>
      <c r="G3015" t="n">
        <v>2.1</v>
      </c>
      <c r="H3015" t="n">
        <v>0</v>
      </c>
      <c r="I3015" t="n">
        <v>0</v>
      </c>
      <c r="J3015" t="n">
        <v>0</v>
      </c>
      <c r="K3015" t="n">
        <v>0</v>
      </c>
      <c r="L3015" t="n">
        <v>0</v>
      </c>
      <c r="M3015" t="n">
        <v>0</v>
      </c>
      <c r="N3015" t="n">
        <v>0</v>
      </c>
      <c r="O3015" t="n">
        <v>0</v>
      </c>
      <c r="P3015" t="n">
        <v>0</v>
      </c>
      <c r="Q3015" t="n">
        <v>0</v>
      </c>
      <c r="R3015" s="2" t="inlineStr"/>
    </row>
    <row r="3016" ht="15" customHeight="1">
      <c r="A3016" t="inlineStr">
        <is>
          <t>A 5308-2023</t>
        </is>
      </c>
      <c r="B3016" s="1" t="n">
        <v>44959.55680555556</v>
      </c>
      <c r="C3016" s="1" t="n">
        <v>45952</v>
      </c>
      <c r="D3016" t="inlineStr">
        <is>
          <t>VÄSTRA GÖTALANDS LÄN</t>
        </is>
      </c>
      <c r="E3016" t="inlineStr">
        <is>
          <t>SKÖVDE</t>
        </is>
      </c>
      <c r="G3016" t="n">
        <v>2.2</v>
      </c>
      <c r="H3016" t="n">
        <v>0</v>
      </c>
      <c r="I3016" t="n">
        <v>0</v>
      </c>
      <c r="J3016" t="n">
        <v>0</v>
      </c>
      <c r="K3016" t="n">
        <v>0</v>
      </c>
      <c r="L3016" t="n">
        <v>0</v>
      </c>
      <c r="M3016" t="n">
        <v>0</v>
      </c>
      <c r="N3016" t="n">
        <v>0</v>
      </c>
      <c r="O3016" t="n">
        <v>0</v>
      </c>
      <c r="P3016" t="n">
        <v>0</v>
      </c>
      <c r="Q3016" t="n">
        <v>0</v>
      </c>
      <c r="R3016" s="2" t="inlineStr"/>
    </row>
    <row r="3017" ht="15" customHeight="1">
      <c r="A3017" t="inlineStr">
        <is>
          <t>A 49780-2023</t>
        </is>
      </c>
      <c r="B3017" s="1" t="n">
        <v>45212</v>
      </c>
      <c r="C3017" s="1" t="n">
        <v>45952</v>
      </c>
      <c r="D3017" t="inlineStr">
        <is>
          <t>VÄSTRA GÖTALANDS LÄN</t>
        </is>
      </c>
      <c r="E3017" t="inlineStr">
        <is>
          <t>UDDEVALLA</t>
        </is>
      </c>
      <c r="G3017" t="n">
        <v>7.3</v>
      </c>
      <c r="H3017" t="n">
        <v>0</v>
      </c>
      <c r="I3017" t="n">
        <v>0</v>
      </c>
      <c r="J3017" t="n">
        <v>0</v>
      </c>
      <c r="K3017" t="n">
        <v>0</v>
      </c>
      <c r="L3017" t="n">
        <v>0</v>
      </c>
      <c r="M3017" t="n">
        <v>0</v>
      </c>
      <c r="N3017" t="n">
        <v>0</v>
      </c>
      <c r="O3017" t="n">
        <v>0</v>
      </c>
      <c r="P3017" t="n">
        <v>0</v>
      </c>
      <c r="Q3017" t="n">
        <v>0</v>
      </c>
      <c r="R3017" s="2" t="inlineStr"/>
    </row>
    <row r="3018" ht="15" customHeight="1">
      <c r="A3018" t="inlineStr">
        <is>
          <t>A 34598-2021</t>
        </is>
      </c>
      <c r="B3018" s="1" t="n">
        <v>44382</v>
      </c>
      <c r="C3018" s="1" t="n">
        <v>45952</v>
      </c>
      <c r="D3018" t="inlineStr">
        <is>
          <t>VÄSTRA GÖTALANDS LÄN</t>
        </is>
      </c>
      <c r="E3018" t="inlineStr">
        <is>
          <t>VÄNERSBORG</t>
        </is>
      </c>
      <c r="F3018" t="inlineStr">
        <is>
          <t>Sveaskog</t>
        </is>
      </c>
      <c r="G3018" t="n">
        <v>1.5</v>
      </c>
      <c r="H3018" t="n">
        <v>0</v>
      </c>
      <c r="I3018" t="n">
        <v>0</v>
      </c>
      <c r="J3018" t="n">
        <v>0</v>
      </c>
      <c r="K3018" t="n">
        <v>0</v>
      </c>
      <c r="L3018" t="n">
        <v>0</v>
      </c>
      <c r="M3018" t="n">
        <v>0</v>
      </c>
      <c r="N3018" t="n">
        <v>0</v>
      </c>
      <c r="O3018" t="n">
        <v>0</v>
      </c>
      <c r="P3018" t="n">
        <v>0</v>
      </c>
      <c r="Q3018" t="n">
        <v>0</v>
      </c>
      <c r="R3018" s="2" t="inlineStr"/>
    </row>
    <row r="3019" ht="15" customHeight="1">
      <c r="A3019" t="inlineStr">
        <is>
          <t>A 11657-2021</t>
        </is>
      </c>
      <c r="B3019" s="1" t="n">
        <v>44264.70421296296</v>
      </c>
      <c r="C3019" s="1" t="n">
        <v>45952</v>
      </c>
      <c r="D3019" t="inlineStr">
        <is>
          <t>VÄSTRA GÖTALANDS LÄN</t>
        </is>
      </c>
      <c r="E3019" t="inlineStr">
        <is>
          <t>MELLERUD</t>
        </is>
      </c>
      <c r="G3019" t="n">
        <v>1.4</v>
      </c>
      <c r="H3019" t="n">
        <v>0</v>
      </c>
      <c r="I3019" t="n">
        <v>0</v>
      </c>
      <c r="J3019" t="n">
        <v>0</v>
      </c>
      <c r="K3019" t="n">
        <v>0</v>
      </c>
      <c r="L3019" t="n">
        <v>0</v>
      </c>
      <c r="M3019" t="n">
        <v>0</v>
      </c>
      <c r="N3019" t="n">
        <v>0</v>
      </c>
      <c r="O3019" t="n">
        <v>0</v>
      </c>
      <c r="P3019" t="n">
        <v>0</v>
      </c>
      <c r="Q3019" t="n">
        <v>0</v>
      </c>
      <c r="R3019" s="2" t="inlineStr"/>
    </row>
    <row r="3020" ht="15" customHeight="1">
      <c r="A3020" t="inlineStr">
        <is>
          <t>A 22789-2022</t>
        </is>
      </c>
      <c r="B3020" s="1" t="n">
        <v>44715</v>
      </c>
      <c r="C3020" s="1" t="n">
        <v>45952</v>
      </c>
      <c r="D3020" t="inlineStr">
        <is>
          <t>VÄSTRA GÖTALANDS LÄN</t>
        </is>
      </c>
      <c r="E3020" t="inlineStr">
        <is>
          <t>TIBRO</t>
        </is>
      </c>
      <c r="G3020" t="n">
        <v>6</v>
      </c>
      <c r="H3020" t="n">
        <v>0</v>
      </c>
      <c r="I3020" t="n">
        <v>0</v>
      </c>
      <c r="J3020" t="n">
        <v>0</v>
      </c>
      <c r="K3020" t="n">
        <v>0</v>
      </c>
      <c r="L3020" t="n">
        <v>0</v>
      </c>
      <c r="M3020" t="n">
        <v>0</v>
      </c>
      <c r="N3020" t="n">
        <v>0</v>
      </c>
      <c r="O3020" t="n">
        <v>0</v>
      </c>
      <c r="P3020" t="n">
        <v>0</v>
      </c>
      <c r="Q3020" t="n">
        <v>0</v>
      </c>
      <c r="R3020" s="2" t="inlineStr"/>
    </row>
    <row r="3021" ht="15" customHeight="1">
      <c r="A3021" t="inlineStr">
        <is>
          <t>A 44429-2023</t>
        </is>
      </c>
      <c r="B3021" s="1" t="n">
        <v>45189.35101851852</v>
      </c>
      <c r="C3021" s="1" t="n">
        <v>45952</v>
      </c>
      <c r="D3021" t="inlineStr">
        <is>
          <t>VÄSTRA GÖTALANDS LÄN</t>
        </is>
      </c>
      <c r="E3021" t="inlineStr">
        <is>
          <t>ALE</t>
        </is>
      </c>
      <c r="G3021" t="n">
        <v>0.1</v>
      </c>
      <c r="H3021" t="n">
        <v>0</v>
      </c>
      <c r="I3021" t="n">
        <v>0</v>
      </c>
      <c r="J3021" t="n">
        <v>0</v>
      </c>
      <c r="K3021" t="n">
        <v>0</v>
      </c>
      <c r="L3021" t="n">
        <v>0</v>
      </c>
      <c r="M3021" t="n">
        <v>0</v>
      </c>
      <c r="N3021" t="n">
        <v>0</v>
      </c>
      <c r="O3021" t="n">
        <v>0</v>
      </c>
      <c r="P3021" t="n">
        <v>0</v>
      </c>
      <c r="Q3021" t="n">
        <v>0</v>
      </c>
      <c r="R3021" s="2" t="inlineStr"/>
    </row>
    <row r="3022" ht="15" customHeight="1">
      <c r="A3022" t="inlineStr">
        <is>
          <t>A 18440-2025</t>
        </is>
      </c>
      <c r="B3022" s="1" t="n">
        <v>45762.65361111111</v>
      </c>
      <c r="C3022" s="1" t="n">
        <v>45952</v>
      </c>
      <c r="D3022" t="inlineStr">
        <is>
          <t>VÄSTRA GÖTALANDS LÄN</t>
        </is>
      </c>
      <c r="E3022" t="inlineStr">
        <is>
          <t>MELLERUD</t>
        </is>
      </c>
      <c r="G3022" t="n">
        <v>1.3</v>
      </c>
      <c r="H3022" t="n">
        <v>0</v>
      </c>
      <c r="I3022" t="n">
        <v>0</v>
      </c>
      <c r="J3022" t="n">
        <v>0</v>
      </c>
      <c r="K3022" t="n">
        <v>0</v>
      </c>
      <c r="L3022" t="n">
        <v>0</v>
      </c>
      <c r="M3022" t="n">
        <v>0</v>
      </c>
      <c r="N3022" t="n">
        <v>0</v>
      </c>
      <c r="O3022" t="n">
        <v>0</v>
      </c>
      <c r="P3022" t="n">
        <v>0</v>
      </c>
      <c r="Q3022" t="n">
        <v>0</v>
      </c>
      <c r="R3022" s="2" t="inlineStr"/>
    </row>
    <row r="3023" ht="15" customHeight="1">
      <c r="A3023" t="inlineStr">
        <is>
          <t>A 3629-2021</t>
        </is>
      </c>
      <c r="B3023" s="1" t="n">
        <v>44221</v>
      </c>
      <c r="C3023" s="1" t="n">
        <v>45952</v>
      </c>
      <c r="D3023" t="inlineStr">
        <is>
          <t>VÄSTRA GÖTALANDS LÄN</t>
        </is>
      </c>
      <c r="E3023" t="inlineStr">
        <is>
          <t>HÄRRYDA</t>
        </is>
      </c>
      <c r="G3023" t="n">
        <v>1.2</v>
      </c>
      <c r="H3023" t="n">
        <v>0</v>
      </c>
      <c r="I3023" t="n">
        <v>0</v>
      </c>
      <c r="J3023" t="n">
        <v>0</v>
      </c>
      <c r="K3023" t="n">
        <v>0</v>
      </c>
      <c r="L3023" t="n">
        <v>0</v>
      </c>
      <c r="M3023" t="n">
        <v>0</v>
      </c>
      <c r="N3023" t="n">
        <v>0</v>
      </c>
      <c r="O3023" t="n">
        <v>0</v>
      </c>
      <c r="P3023" t="n">
        <v>0</v>
      </c>
      <c r="Q3023" t="n">
        <v>0</v>
      </c>
      <c r="R3023" s="2" t="inlineStr"/>
    </row>
    <row r="3024" ht="15" customHeight="1">
      <c r="A3024" t="inlineStr">
        <is>
          <t>A 66724-2020</t>
        </is>
      </c>
      <c r="B3024" s="1" t="n">
        <v>44179</v>
      </c>
      <c r="C3024" s="1" t="n">
        <v>45952</v>
      </c>
      <c r="D3024" t="inlineStr">
        <is>
          <t>VÄSTRA GÖTALANDS LÄN</t>
        </is>
      </c>
      <c r="E3024" t="inlineStr">
        <is>
          <t>TRANEMO</t>
        </is>
      </c>
      <c r="G3024" t="n">
        <v>1.3</v>
      </c>
      <c r="H3024" t="n">
        <v>0</v>
      </c>
      <c r="I3024" t="n">
        <v>0</v>
      </c>
      <c r="J3024" t="n">
        <v>0</v>
      </c>
      <c r="K3024" t="n">
        <v>0</v>
      </c>
      <c r="L3024" t="n">
        <v>0</v>
      </c>
      <c r="M3024" t="n">
        <v>0</v>
      </c>
      <c r="N3024" t="n">
        <v>0</v>
      </c>
      <c r="O3024" t="n">
        <v>0</v>
      </c>
      <c r="P3024" t="n">
        <v>0</v>
      </c>
      <c r="Q3024" t="n">
        <v>0</v>
      </c>
      <c r="R3024" s="2" t="inlineStr"/>
    </row>
    <row r="3025" ht="15" customHeight="1">
      <c r="A3025" t="inlineStr">
        <is>
          <t>A 66728-2020</t>
        </is>
      </c>
      <c r="B3025" s="1" t="n">
        <v>44179</v>
      </c>
      <c r="C3025" s="1" t="n">
        <v>45952</v>
      </c>
      <c r="D3025" t="inlineStr">
        <is>
          <t>VÄSTRA GÖTALANDS LÄN</t>
        </is>
      </c>
      <c r="E3025" t="inlineStr">
        <is>
          <t>HERRLJUNGA</t>
        </is>
      </c>
      <c r="G3025" t="n">
        <v>4.1</v>
      </c>
      <c r="H3025" t="n">
        <v>0</v>
      </c>
      <c r="I3025" t="n">
        <v>0</v>
      </c>
      <c r="J3025" t="n">
        <v>0</v>
      </c>
      <c r="K3025" t="n">
        <v>0</v>
      </c>
      <c r="L3025" t="n">
        <v>0</v>
      </c>
      <c r="M3025" t="n">
        <v>0</v>
      </c>
      <c r="N3025" t="n">
        <v>0</v>
      </c>
      <c r="O3025" t="n">
        <v>0</v>
      </c>
      <c r="P3025" t="n">
        <v>0</v>
      </c>
      <c r="Q3025" t="n">
        <v>0</v>
      </c>
      <c r="R3025" s="2" t="inlineStr"/>
    </row>
    <row r="3026" ht="15" customHeight="1">
      <c r="A3026" t="inlineStr">
        <is>
          <t>A 64102-2023</t>
        </is>
      </c>
      <c r="B3026" s="1" t="n">
        <v>45279</v>
      </c>
      <c r="C3026" s="1" t="n">
        <v>45952</v>
      </c>
      <c r="D3026" t="inlineStr">
        <is>
          <t>VÄSTRA GÖTALANDS LÄN</t>
        </is>
      </c>
      <c r="E3026" t="inlineStr">
        <is>
          <t>UDDEVALLA</t>
        </is>
      </c>
      <c r="G3026" t="n">
        <v>3</v>
      </c>
      <c r="H3026" t="n">
        <v>0</v>
      </c>
      <c r="I3026" t="n">
        <v>0</v>
      </c>
      <c r="J3026" t="n">
        <v>0</v>
      </c>
      <c r="K3026" t="n">
        <v>0</v>
      </c>
      <c r="L3026" t="n">
        <v>0</v>
      </c>
      <c r="M3026" t="n">
        <v>0</v>
      </c>
      <c r="N3026" t="n">
        <v>0</v>
      </c>
      <c r="O3026" t="n">
        <v>0</v>
      </c>
      <c r="P3026" t="n">
        <v>0</v>
      </c>
      <c r="Q3026" t="n">
        <v>0</v>
      </c>
      <c r="R3026" s="2" t="inlineStr"/>
    </row>
    <row r="3027" ht="15" customHeight="1">
      <c r="A3027" t="inlineStr">
        <is>
          <t>A 7558-2025</t>
        </is>
      </c>
      <c r="B3027" s="1" t="n">
        <v>45705.58423611111</v>
      </c>
      <c r="C3027" s="1" t="n">
        <v>45952</v>
      </c>
      <c r="D3027" t="inlineStr">
        <is>
          <t>VÄSTRA GÖTALANDS LÄN</t>
        </is>
      </c>
      <c r="E3027" t="inlineStr">
        <is>
          <t>TROLLHÄTTAN</t>
        </is>
      </c>
      <c r="G3027" t="n">
        <v>1.5</v>
      </c>
      <c r="H3027" t="n">
        <v>0</v>
      </c>
      <c r="I3027" t="n">
        <v>0</v>
      </c>
      <c r="J3027" t="n">
        <v>0</v>
      </c>
      <c r="K3027" t="n">
        <v>0</v>
      </c>
      <c r="L3027" t="n">
        <v>0</v>
      </c>
      <c r="M3027" t="n">
        <v>0</v>
      </c>
      <c r="N3027" t="n">
        <v>0</v>
      </c>
      <c r="O3027" t="n">
        <v>0</v>
      </c>
      <c r="P3027" t="n">
        <v>0</v>
      </c>
      <c r="Q3027" t="n">
        <v>0</v>
      </c>
      <c r="R3027" s="2" t="inlineStr"/>
    </row>
    <row r="3028" ht="15" customHeight="1">
      <c r="A3028" t="inlineStr">
        <is>
          <t>A 17684-2022</t>
        </is>
      </c>
      <c r="B3028" s="1" t="n">
        <v>44680.57590277777</v>
      </c>
      <c r="C3028" s="1" t="n">
        <v>45952</v>
      </c>
      <c r="D3028" t="inlineStr">
        <is>
          <t>VÄSTRA GÖTALANDS LÄN</t>
        </is>
      </c>
      <c r="E3028" t="inlineStr">
        <is>
          <t>TRANEMO</t>
        </is>
      </c>
      <c r="G3028" t="n">
        <v>0.6</v>
      </c>
      <c r="H3028" t="n">
        <v>0</v>
      </c>
      <c r="I3028" t="n">
        <v>0</v>
      </c>
      <c r="J3028" t="n">
        <v>0</v>
      </c>
      <c r="K3028" t="n">
        <v>0</v>
      </c>
      <c r="L3028" t="n">
        <v>0</v>
      </c>
      <c r="M3028" t="n">
        <v>0</v>
      </c>
      <c r="N3028" t="n">
        <v>0</v>
      </c>
      <c r="O3028" t="n">
        <v>0</v>
      </c>
      <c r="P3028" t="n">
        <v>0</v>
      </c>
      <c r="Q3028" t="n">
        <v>0</v>
      </c>
      <c r="R3028" s="2" t="inlineStr"/>
    </row>
    <row r="3029" ht="15" customHeight="1">
      <c r="A3029" t="inlineStr">
        <is>
          <t>A 4782-2024</t>
        </is>
      </c>
      <c r="B3029" s="1" t="n">
        <v>45328</v>
      </c>
      <c r="C3029" s="1" t="n">
        <v>45952</v>
      </c>
      <c r="D3029" t="inlineStr">
        <is>
          <t>VÄSTRA GÖTALANDS LÄN</t>
        </is>
      </c>
      <c r="E3029" t="inlineStr">
        <is>
          <t>BOLLEBYGD</t>
        </is>
      </c>
      <c r="G3029" t="n">
        <v>0.6</v>
      </c>
      <c r="H3029" t="n">
        <v>0</v>
      </c>
      <c r="I3029" t="n">
        <v>0</v>
      </c>
      <c r="J3029" t="n">
        <v>0</v>
      </c>
      <c r="K3029" t="n">
        <v>0</v>
      </c>
      <c r="L3029" t="n">
        <v>0</v>
      </c>
      <c r="M3029" t="n">
        <v>0</v>
      </c>
      <c r="N3029" t="n">
        <v>0</v>
      </c>
      <c r="O3029" t="n">
        <v>0</v>
      </c>
      <c r="P3029" t="n">
        <v>0</v>
      </c>
      <c r="Q3029" t="n">
        <v>0</v>
      </c>
      <c r="R3029" s="2" t="inlineStr"/>
    </row>
    <row r="3030" ht="15" customHeight="1">
      <c r="A3030" t="inlineStr">
        <is>
          <t>A 21324-2022</t>
        </is>
      </c>
      <c r="B3030" s="1" t="n">
        <v>44705.59672453703</v>
      </c>
      <c r="C3030" s="1" t="n">
        <v>45952</v>
      </c>
      <c r="D3030" t="inlineStr">
        <is>
          <t>VÄSTRA GÖTALANDS LÄN</t>
        </is>
      </c>
      <c r="E3030" t="inlineStr">
        <is>
          <t>ÅMÅL</t>
        </is>
      </c>
      <c r="G3030" t="n">
        <v>3.3</v>
      </c>
      <c r="H3030" t="n">
        <v>0</v>
      </c>
      <c r="I3030" t="n">
        <v>0</v>
      </c>
      <c r="J3030" t="n">
        <v>0</v>
      </c>
      <c r="K3030" t="n">
        <v>0</v>
      </c>
      <c r="L3030" t="n">
        <v>0</v>
      </c>
      <c r="M3030" t="n">
        <v>0</v>
      </c>
      <c r="N3030" t="n">
        <v>0</v>
      </c>
      <c r="O3030" t="n">
        <v>0</v>
      </c>
      <c r="P3030" t="n">
        <v>0</v>
      </c>
      <c r="Q3030" t="n">
        <v>0</v>
      </c>
      <c r="R3030" s="2" t="inlineStr"/>
    </row>
    <row r="3031" ht="15" customHeight="1">
      <c r="A3031" t="inlineStr">
        <is>
          <t>A 1882-2022</t>
        </is>
      </c>
      <c r="B3031" s="1" t="n">
        <v>44574</v>
      </c>
      <c r="C3031" s="1" t="n">
        <v>45952</v>
      </c>
      <c r="D3031" t="inlineStr">
        <is>
          <t>VÄSTRA GÖTALANDS LÄN</t>
        </is>
      </c>
      <c r="E3031" t="inlineStr">
        <is>
          <t>TIBRO</t>
        </is>
      </c>
      <c r="G3031" t="n">
        <v>23</v>
      </c>
      <c r="H3031" t="n">
        <v>0</v>
      </c>
      <c r="I3031" t="n">
        <v>0</v>
      </c>
      <c r="J3031" t="n">
        <v>0</v>
      </c>
      <c r="K3031" t="n">
        <v>0</v>
      </c>
      <c r="L3031" t="n">
        <v>0</v>
      </c>
      <c r="M3031" t="n">
        <v>0</v>
      </c>
      <c r="N3031" t="n">
        <v>0</v>
      </c>
      <c r="O3031" t="n">
        <v>0</v>
      </c>
      <c r="P3031" t="n">
        <v>0</v>
      </c>
      <c r="Q3031" t="n">
        <v>0</v>
      </c>
      <c r="R3031" s="2" t="inlineStr"/>
    </row>
    <row r="3032" ht="15" customHeight="1">
      <c r="A3032" t="inlineStr">
        <is>
          <t>A 4457-2021</t>
        </is>
      </c>
      <c r="B3032" s="1" t="n">
        <v>44224</v>
      </c>
      <c r="C3032" s="1" t="n">
        <v>45952</v>
      </c>
      <c r="D3032" t="inlineStr">
        <is>
          <t>VÄSTRA GÖTALANDS LÄN</t>
        </is>
      </c>
      <c r="E3032" t="inlineStr">
        <is>
          <t>SVENLJUNGA</t>
        </is>
      </c>
      <c r="G3032" t="n">
        <v>1.5</v>
      </c>
      <c r="H3032" t="n">
        <v>0</v>
      </c>
      <c r="I3032" t="n">
        <v>0</v>
      </c>
      <c r="J3032" t="n">
        <v>0</v>
      </c>
      <c r="K3032" t="n">
        <v>0</v>
      </c>
      <c r="L3032" t="n">
        <v>0</v>
      </c>
      <c r="M3032" t="n">
        <v>0</v>
      </c>
      <c r="N3032" t="n">
        <v>0</v>
      </c>
      <c r="O3032" t="n">
        <v>0</v>
      </c>
      <c r="P3032" t="n">
        <v>0</v>
      </c>
      <c r="Q3032" t="n">
        <v>0</v>
      </c>
      <c r="R3032" s="2" t="inlineStr"/>
    </row>
    <row r="3033" ht="15" customHeight="1">
      <c r="A3033" t="inlineStr">
        <is>
          <t>A 41740-2024</t>
        </is>
      </c>
      <c r="B3033" s="1" t="n">
        <v>45561.27222222222</v>
      </c>
      <c r="C3033" s="1" t="n">
        <v>45952</v>
      </c>
      <c r="D3033" t="inlineStr">
        <is>
          <t>VÄSTRA GÖTALANDS LÄN</t>
        </is>
      </c>
      <c r="E3033" t="inlineStr">
        <is>
          <t>ULRICEHAMN</t>
        </is>
      </c>
      <c r="G3033" t="n">
        <v>2.6</v>
      </c>
      <c r="H3033" t="n">
        <v>0</v>
      </c>
      <c r="I3033" t="n">
        <v>0</v>
      </c>
      <c r="J3033" t="n">
        <v>0</v>
      </c>
      <c r="K3033" t="n">
        <v>0</v>
      </c>
      <c r="L3033" t="n">
        <v>0</v>
      </c>
      <c r="M3033" t="n">
        <v>0</v>
      </c>
      <c r="N3033" t="n">
        <v>0</v>
      </c>
      <c r="O3033" t="n">
        <v>0</v>
      </c>
      <c r="P3033" t="n">
        <v>0</v>
      </c>
      <c r="Q3033" t="n">
        <v>0</v>
      </c>
      <c r="R3033" s="2" t="inlineStr"/>
    </row>
    <row r="3034" ht="15" customHeight="1">
      <c r="A3034" t="inlineStr">
        <is>
          <t>A 25545-2021</t>
        </is>
      </c>
      <c r="B3034" s="1" t="n">
        <v>44343.32159722222</v>
      </c>
      <c r="C3034" s="1" t="n">
        <v>45952</v>
      </c>
      <c r="D3034" t="inlineStr">
        <is>
          <t>VÄSTRA GÖTALANDS LÄN</t>
        </is>
      </c>
      <c r="E3034" t="inlineStr">
        <is>
          <t>STRÖMSTAD</t>
        </is>
      </c>
      <c r="G3034" t="n">
        <v>4</v>
      </c>
      <c r="H3034" t="n">
        <v>0</v>
      </c>
      <c r="I3034" t="n">
        <v>0</v>
      </c>
      <c r="J3034" t="n">
        <v>0</v>
      </c>
      <c r="K3034" t="n">
        <v>0</v>
      </c>
      <c r="L3034" t="n">
        <v>0</v>
      </c>
      <c r="M3034" t="n">
        <v>0</v>
      </c>
      <c r="N3034" t="n">
        <v>0</v>
      </c>
      <c r="O3034" t="n">
        <v>0</v>
      </c>
      <c r="P3034" t="n">
        <v>0</v>
      </c>
      <c r="Q3034" t="n">
        <v>0</v>
      </c>
      <c r="R3034" s="2" t="inlineStr"/>
    </row>
    <row r="3035" ht="15" customHeight="1">
      <c r="A3035" t="inlineStr">
        <is>
          <t>A 42902-2021</t>
        </is>
      </c>
      <c r="B3035" s="1" t="n">
        <v>44431.35026620371</v>
      </c>
      <c r="C3035" s="1" t="n">
        <v>45952</v>
      </c>
      <c r="D3035" t="inlineStr">
        <is>
          <t>VÄSTRA GÖTALANDS LÄN</t>
        </is>
      </c>
      <c r="E3035" t="inlineStr">
        <is>
          <t>VARA</t>
        </is>
      </c>
      <c r="G3035" t="n">
        <v>1.9</v>
      </c>
      <c r="H3035" t="n">
        <v>0</v>
      </c>
      <c r="I3035" t="n">
        <v>0</v>
      </c>
      <c r="J3035" t="n">
        <v>0</v>
      </c>
      <c r="K3035" t="n">
        <v>0</v>
      </c>
      <c r="L3035" t="n">
        <v>0</v>
      </c>
      <c r="M3035" t="n">
        <v>0</v>
      </c>
      <c r="N3035" t="n">
        <v>0</v>
      </c>
      <c r="O3035" t="n">
        <v>0</v>
      </c>
      <c r="P3035" t="n">
        <v>0</v>
      </c>
      <c r="Q3035" t="n">
        <v>0</v>
      </c>
      <c r="R3035" s="2" t="inlineStr"/>
    </row>
    <row r="3036" ht="15" customHeight="1">
      <c r="A3036" t="inlineStr">
        <is>
          <t>A 39774-2021</t>
        </is>
      </c>
      <c r="B3036" s="1" t="n">
        <v>44417.55487268518</v>
      </c>
      <c r="C3036" s="1" t="n">
        <v>45952</v>
      </c>
      <c r="D3036" t="inlineStr">
        <is>
          <t>VÄSTRA GÖTALANDS LÄN</t>
        </is>
      </c>
      <c r="E3036" t="inlineStr">
        <is>
          <t>ULRICEHAMN</t>
        </is>
      </c>
      <c r="G3036" t="n">
        <v>3.9</v>
      </c>
      <c r="H3036" t="n">
        <v>0</v>
      </c>
      <c r="I3036" t="n">
        <v>0</v>
      </c>
      <c r="J3036" t="n">
        <v>0</v>
      </c>
      <c r="K3036" t="n">
        <v>0</v>
      </c>
      <c r="L3036" t="n">
        <v>0</v>
      </c>
      <c r="M3036" t="n">
        <v>0</v>
      </c>
      <c r="N3036" t="n">
        <v>0</v>
      </c>
      <c r="O3036" t="n">
        <v>0</v>
      </c>
      <c r="P3036" t="n">
        <v>0</v>
      </c>
      <c r="Q3036" t="n">
        <v>0</v>
      </c>
      <c r="R3036" s="2" t="inlineStr"/>
    </row>
    <row r="3037" ht="15" customHeight="1">
      <c r="A3037" t="inlineStr">
        <is>
          <t>A 31298-2022</t>
        </is>
      </c>
      <c r="B3037" s="1" t="n">
        <v>44772</v>
      </c>
      <c r="C3037" s="1" t="n">
        <v>45952</v>
      </c>
      <c r="D3037" t="inlineStr">
        <is>
          <t>VÄSTRA GÖTALANDS LÄN</t>
        </is>
      </c>
      <c r="E3037" t="inlineStr">
        <is>
          <t>ULRICEHAMN</t>
        </is>
      </c>
      <c r="G3037" t="n">
        <v>2.6</v>
      </c>
      <c r="H3037" t="n">
        <v>0</v>
      </c>
      <c r="I3037" t="n">
        <v>0</v>
      </c>
      <c r="J3037" t="n">
        <v>0</v>
      </c>
      <c r="K3037" t="n">
        <v>0</v>
      </c>
      <c r="L3037" t="n">
        <v>0</v>
      </c>
      <c r="M3037" t="n">
        <v>0</v>
      </c>
      <c r="N3037" t="n">
        <v>0</v>
      </c>
      <c r="O3037" t="n">
        <v>0</v>
      </c>
      <c r="P3037" t="n">
        <v>0</v>
      </c>
      <c r="Q3037" t="n">
        <v>0</v>
      </c>
      <c r="R3037" s="2" t="inlineStr"/>
    </row>
    <row r="3038" ht="15" customHeight="1">
      <c r="A3038" t="inlineStr">
        <is>
          <t>A 62220-2022</t>
        </is>
      </c>
      <c r="B3038" s="1" t="n">
        <v>44922.66780092593</v>
      </c>
      <c r="C3038" s="1" t="n">
        <v>45952</v>
      </c>
      <c r="D3038" t="inlineStr">
        <is>
          <t>VÄSTRA GÖTALANDS LÄN</t>
        </is>
      </c>
      <c r="E3038" t="inlineStr">
        <is>
          <t>TIBRO</t>
        </is>
      </c>
      <c r="G3038" t="n">
        <v>1.5</v>
      </c>
      <c r="H3038" t="n">
        <v>0</v>
      </c>
      <c r="I3038" t="n">
        <v>0</v>
      </c>
      <c r="J3038" t="n">
        <v>0</v>
      </c>
      <c r="K3038" t="n">
        <v>0</v>
      </c>
      <c r="L3038" t="n">
        <v>0</v>
      </c>
      <c r="M3038" t="n">
        <v>0</v>
      </c>
      <c r="N3038" t="n">
        <v>0</v>
      </c>
      <c r="O3038" t="n">
        <v>0</v>
      </c>
      <c r="P3038" t="n">
        <v>0</v>
      </c>
      <c r="Q3038" t="n">
        <v>0</v>
      </c>
      <c r="R3038" s="2" t="inlineStr"/>
    </row>
    <row r="3039" ht="15" customHeight="1">
      <c r="A3039" t="inlineStr">
        <is>
          <t>A 48494-2024</t>
        </is>
      </c>
      <c r="B3039" s="1" t="n">
        <v>45592.75105324074</v>
      </c>
      <c r="C3039" s="1" t="n">
        <v>45952</v>
      </c>
      <c r="D3039" t="inlineStr">
        <is>
          <t>VÄSTRA GÖTALANDS LÄN</t>
        </is>
      </c>
      <c r="E3039" t="inlineStr">
        <is>
          <t>VÄNERSBORG</t>
        </is>
      </c>
      <c r="G3039" t="n">
        <v>0.9</v>
      </c>
      <c r="H3039" t="n">
        <v>0</v>
      </c>
      <c r="I3039" t="n">
        <v>0</v>
      </c>
      <c r="J3039" t="n">
        <v>0</v>
      </c>
      <c r="K3039" t="n">
        <v>0</v>
      </c>
      <c r="L3039" t="n">
        <v>0</v>
      </c>
      <c r="M3039" t="n">
        <v>0</v>
      </c>
      <c r="N3039" t="n">
        <v>0</v>
      </c>
      <c r="O3039" t="n">
        <v>0</v>
      </c>
      <c r="P3039" t="n">
        <v>0</v>
      </c>
      <c r="Q3039" t="n">
        <v>0</v>
      </c>
      <c r="R3039" s="2" t="inlineStr"/>
    </row>
    <row r="3040" ht="15" customHeight="1">
      <c r="A3040" t="inlineStr">
        <is>
          <t>A 62369-2023</t>
        </is>
      </c>
      <c r="B3040" s="1" t="n">
        <v>45268.30483796296</v>
      </c>
      <c r="C3040" s="1" t="n">
        <v>45952</v>
      </c>
      <c r="D3040" t="inlineStr">
        <is>
          <t>VÄSTRA GÖTALANDS LÄN</t>
        </is>
      </c>
      <c r="E3040" t="inlineStr">
        <is>
          <t>ORUST</t>
        </is>
      </c>
      <c r="G3040" t="n">
        <v>5.4</v>
      </c>
      <c r="H3040" t="n">
        <v>0</v>
      </c>
      <c r="I3040" t="n">
        <v>0</v>
      </c>
      <c r="J3040" t="n">
        <v>0</v>
      </c>
      <c r="K3040" t="n">
        <v>0</v>
      </c>
      <c r="L3040" t="n">
        <v>0</v>
      </c>
      <c r="M3040" t="n">
        <v>0</v>
      </c>
      <c r="N3040" t="n">
        <v>0</v>
      </c>
      <c r="O3040" t="n">
        <v>0</v>
      </c>
      <c r="P3040" t="n">
        <v>0</v>
      </c>
      <c r="Q3040" t="n">
        <v>0</v>
      </c>
      <c r="R3040" s="2" t="inlineStr"/>
    </row>
    <row r="3041" ht="15" customHeight="1">
      <c r="A3041" t="inlineStr">
        <is>
          <t>A 62448-2023</t>
        </is>
      </c>
      <c r="B3041" s="1" t="n">
        <v>45268.4834375</v>
      </c>
      <c r="C3041" s="1" t="n">
        <v>45952</v>
      </c>
      <c r="D3041" t="inlineStr">
        <is>
          <t>VÄSTRA GÖTALANDS LÄN</t>
        </is>
      </c>
      <c r="E3041" t="inlineStr">
        <is>
          <t>BORÅS</t>
        </is>
      </c>
      <c r="G3041" t="n">
        <v>0.7</v>
      </c>
      <c r="H3041" t="n">
        <v>0</v>
      </c>
      <c r="I3041" t="n">
        <v>0</v>
      </c>
      <c r="J3041" t="n">
        <v>0</v>
      </c>
      <c r="K3041" t="n">
        <v>0</v>
      </c>
      <c r="L3041" t="n">
        <v>0</v>
      </c>
      <c r="M3041" t="n">
        <v>0</v>
      </c>
      <c r="N3041" t="n">
        <v>0</v>
      </c>
      <c r="O3041" t="n">
        <v>0</v>
      </c>
      <c r="P3041" t="n">
        <v>0</v>
      </c>
      <c r="Q3041" t="n">
        <v>0</v>
      </c>
      <c r="R3041" s="2" t="inlineStr"/>
    </row>
    <row r="3042" ht="15" customHeight="1">
      <c r="A3042" t="inlineStr">
        <is>
          <t>A 17109-2022</t>
        </is>
      </c>
      <c r="B3042" s="1" t="n">
        <v>44677</v>
      </c>
      <c r="C3042" s="1" t="n">
        <v>45952</v>
      </c>
      <c r="D3042" t="inlineStr">
        <is>
          <t>VÄSTRA GÖTALANDS LÄN</t>
        </is>
      </c>
      <c r="E3042" t="inlineStr">
        <is>
          <t>MELLERUD</t>
        </is>
      </c>
      <c r="G3042" t="n">
        <v>0.6</v>
      </c>
      <c r="H3042" t="n">
        <v>0</v>
      </c>
      <c r="I3042" t="n">
        <v>0</v>
      </c>
      <c r="J3042" t="n">
        <v>0</v>
      </c>
      <c r="K3042" t="n">
        <v>0</v>
      </c>
      <c r="L3042" t="n">
        <v>0</v>
      </c>
      <c r="M3042" t="n">
        <v>0</v>
      </c>
      <c r="N3042" t="n">
        <v>0</v>
      </c>
      <c r="O3042" t="n">
        <v>0</v>
      </c>
      <c r="P3042" t="n">
        <v>0</v>
      </c>
      <c r="Q3042" t="n">
        <v>0</v>
      </c>
      <c r="R3042" s="2" t="inlineStr"/>
    </row>
    <row r="3043" ht="15" customHeight="1">
      <c r="A3043" t="inlineStr">
        <is>
          <t>A 32161-2021</t>
        </is>
      </c>
      <c r="B3043" s="1" t="n">
        <v>44371</v>
      </c>
      <c r="C3043" s="1" t="n">
        <v>45952</v>
      </c>
      <c r="D3043" t="inlineStr">
        <is>
          <t>VÄSTRA GÖTALANDS LÄN</t>
        </is>
      </c>
      <c r="E3043" t="inlineStr">
        <is>
          <t>ULRICEHAMN</t>
        </is>
      </c>
      <c r="G3043" t="n">
        <v>0.5</v>
      </c>
      <c r="H3043" t="n">
        <v>0</v>
      </c>
      <c r="I3043" t="n">
        <v>0</v>
      </c>
      <c r="J3043" t="n">
        <v>0</v>
      </c>
      <c r="K3043" t="n">
        <v>0</v>
      </c>
      <c r="L3043" t="n">
        <v>0</v>
      </c>
      <c r="M3043" t="n">
        <v>0</v>
      </c>
      <c r="N3043" t="n">
        <v>0</v>
      </c>
      <c r="O3043" t="n">
        <v>0</v>
      </c>
      <c r="P3043" t="n">
        <v>0</v>
      </c>
      <c r="Q3043" t="n">
        <v>0</v>
      </c>
      <c r="R3043" s="2" t="inlineStr"/>
    </row>
    <row r="3044" ht="15" customHeight="1">
      <c r="A3044" t="inlineStr">
        <is>
          <t>A 17056-2021</t>
        </is>
      </c>
      <c r="B3044" s="1" t="n">
        <v>44296.52827546297</v>
      </c>
      <c r="C3044" s="1" t="n">
        <v>45952</v>
      </c>
      <c r="D3044" t="inlineStr">
        <is>
          <t>VÄSTRA GÖTALANDS LÄN</t>
        </is>
      </c>
      <c r="E3044" t="inlineStr">
        <is>
          <t>TRANEMO</t>
        </is>
      </c>
      <c r="G3044" t="n">
        <v>0.2</v>
      </c>
      <c r="H3044" t="n">
        <v>0</v>
      </c>
      <c r="I3044" t="n">
        <v>0</v>
      </c>
      <c r="J3044" t="n">
        <v>0</v>
      </c>
      <c r="K3044" t="n">
        <v>0</v>
      </c>
      <c r="L3044" t="n">
        <v>0</v>
      </c>
      <c r="M3044" t="n">
        <v>0</v>
      </c>
      <c r="N3044" t="n">
        <v>0</v>
      </c>
      <c r="O3044" t="n">
        <v>0</v>
      </c>
      <c r="P3044" t="n">
        <v>0</v>
      </c>
      <c r="Q3044" t="n">
        <v>0</v>
      </c>
      <c r="R3044" s="2" t="inlineStr"/>
    </row>
    <row r="3045" ht="15" customHeight="1">
      <c r="A3045" t="inlineStr">
        <is>
          <t>A 42919-2021</t>
        </is>
      </c>
      <c r="B3045" s="1" t="n">
        <v>44429</v>
      </c>
      <c r="C3045" s="1" t="n">
        <v>45952</v>
      </c>
      <c r="D3045" t="inlineStr">
        <is>
          <t>VÄSTRA GÖTALANDS LÄN</t>
        </is>
      </c>
      <c r="E3045" t="inlineStr">
        <is>
          <t>FALKÖPING</t>
        </is>
      </c>
      <c r="G3045" t="n">
        <v>3.5</v>
      </c>
      <c r="H3045" t="n">
        <v>0</v>
      </c>
      <c r="I3045" t="n">
        <v>0</v>
      </c>
      <c r="J3045" t="n">
        <v>0</v>
      </c>
      <c r="K3045" t="n">
        <v>0</v>
      </c>
      <c r="L3045" t="n">
        <v>0</v>
      </c>
      <c r="M3045" t="n">
        <v>0</v>
      </c>
      <c r="N3045" t="n">
        <v>0</v>
      </c>
      <c r="O3045" t="n">
        <v>0</v>
      </c>
      <c r="P3045" t="n">
        <v>0</v>
      </c>
      <c r="Q3045" t="n">
        <v>0</v>
      </c>
      <c r="R3045" s="2" t="inlineStr"/>
    </row>
    <row r="3046" ht="15" customHeight="1">
      <c r="A3046" t="inlineStr">
        <is>
          <t>A 42923-2021</t>
        </is>
      </c>
      <c r="B3046" s="1" t="n">
        <v>44429</v>
      </c>
      <c r="C3046" s="1" t="n">
        <v>45952</v>
      </c>
      <c r="D3046" t="inlineStr">
        <is>
          <t>VÄSTRA GÖTALANDS LÄN</t>
        </is>
      </c>
      <c r="E3046" t="inlineStr">
        <is>
          <t>FALKÖPING</t>
        </is>
      </c>
      <c r="G3046" t="n">
        <v>1.1</v>
      </c>
      <c r="H3046" t="n">
        <v>0</v>
      </c>
      <c r="I3046" t="n">
        <v>0</v>
      </c>
      <c r="J3046" t="n">
        <v>0</v>
      </c>
      <c r="K3046" t="n">
        <v>0</v>
      </c>
      <c r="L3046" t="n">
        <v>0</v>
      </c>
      <c r="M3046" t="n">
        <v>0</v>
      </c>
      <c r="N3046" t="n">
        <v>0</v>
      </c>
      <c r="O3046" t="n">
        <v>0</v>
      </c>
      <c r="P3046" t="n">
        <v>0</v>
      </c>
      <c r="Q3046" t="n">
        <v>0</v>
      </c>
      <c r="R3046" s="2" t="inlineStr"/>
    </row>
    <row r="3047" ht="15" customHeight="1">
      <c r="A3047" t="inlineStr">
        <is>
          <t>A 47469-2021</t>
        </is>
      </c>
      <c r="B3047" s="1" t="n">
        <v>44447</v>
      </c>
      <c r="C3047" s="1" t="n">
        <v>45952</v>
      </c>
      <c r="D3047" t="inlineStr">
        <is>
          <t>VÄSTRA GÖTALANDS LÄN</t>
        </is>
      </c>
      <c r="E3047" t="inlineStr">
        <is>
          <t>ULRICEHAMN</t>
        </is>
      </c>
      <c r="G3047" t="n">
        <v>3.6</v>
      </c>
      <c r="H3047" t="n">
        <v>0</v>
      </c>
      <c r="I3047" t="n">
        <v>0</v>
      </c>
      <c r="J3047" t="n">
        <v>0</v>
      </c>
      <c r="K3047" t="n">
        <v>0</v>
      </c>
      <c r="L3047" t="n">
        <v>0</v>
      </c>
      <c r="M3047" t="n">
        <v>0</v>
      </c>
      <c r="N3047" t="n">
        <v>0</v>
      </c>
      <c r="O3047" t="n">
        <v>0</v>
      </c>
      <c r="P3047" t="n">
        <v>0</v>
      </c>
      <c r="Q3047" t="n">
        <v>0</v>
      </c>
      <c r="R3047" s="2" t="inlineStr"/>
    </row>
    <row r="3048" ht="15" customHeight="1">
      <c r="A3048" t="inlineStr">
        <is>
          <t>A 47984-2021</t>
        </is>
      </c>
      <c r="B3048" s="1" t="n">
        <v>44449.3241550926</v>
      </c>
      <c r="C3048" s="1" t="n">
        <v>45952</v>
      </c>
      <c r="D3048" t="inlineStr">
        <is>
          <t>VÄSTRA GÖTALANDS LÄN</t>
        </is>
      </c>
      <c r="E3048" t="inlineStr">
        <is>
          <t>TRANEMO</t>
        </is>
      </c>
      <c r="G3048" t="n">
        <v>1.3</v>
      </c>
      <c r="H3048" t="n">
        <v>0</v>
      </c>
      <c r="I3048" t="n">
        <v>0</v>
      </c>
      <c r="J3048" t="n">
        <v>0</v>
      </c>
      <c r="K3048" t="n">
        <v>0</v>
      </c>
      <c r="L3048" t="n">
        <v>0</v>
      </c>
      <c r="M3048" t="n">
        <v>0</v>
      </c>
      <c r="N3048" t="n">
        <v>0</v>
      </c>
      <c r="O3048" t="n">
        <v>0</v>
      </c>
      <c r="P3048" t="n">
        <v>0</v>
      </c>
      <c r="Q3048" t="n">
        <v>0</v>
      </c>
      <c r="R3048" s="2" t="inlineStr"/>
    </row>
    <row r="3049" ht="15" customHeight="1">
      <c r="A3049" t="inlineStr">
        <is>
          <t>A 38059-2022</t>
        </is>
      </c>
      <c r="B3049" s="1" t="n">
        <v>44811.6625462963</v>
      </c>
      <c r="C3049" s="1" t="n">
        <v>45952</v>
      </c>
      <c r="D3049" t="inlineStr">
        <is>
          <t>VÄSTRA GÖTALANDS LÄN</t>
        </is>
      </c>
      <c r="E3049" t="inlineStr">
        <is>
          <t>LILLA EDET</t>
        </is>
      </c>
      <c r="G3049" t="n">
        <v>0.4</v>
      </c>
      <c r="H3049" t="n">
        <v>0</v>
      </c>
      <c r="I3049" t="n">
        <v>0</v>
      </c>
      <c r="J3049" t="n">
        <v>0</v>
      </c>
      <c r="K3049" t="n">
        <v>0</v>
      </c>
      <c r="L3049" t="n">
        <v>0</v>
      </c>
      <c r="M3049" t="n">
        <v>0</v>
      </c>
      <c r="N3049" t="n">
        <v>0</v>
      </c>
      <c r="O3049" t="n">
        <v>0</v>
      </c>
      <c r="P3049" t="n">
        <v>0</v>
      </c>
      <c r="Q3049" t="n">
        <v>0</v>
      </c>
      <c r="R3049" s="2" t="inlineStr"/>
    </row>
    <row r="3050" ht="15" customHeight="1">
      <c r="A3050" t="inlineStr">
        <is>
          <t>A 38064-2022</t>
        </is>
      </c>
      <c r="B3050" s="1" t="n">
        <v>44811.66424768518</v>
      </c>
      <c r="C3050" s="1" t="n">
        <v>45952</v>
      </c>
      <c r="D3050" t="inlineStr">
        <is>
          <t>VÄSTRA GÖTALANDS LÄN</t>
        </is>
      </c>
      <c r="E3050" t="inlineStr">
        <is>
          <t>GRÄSTORP</t>
        </is>
      </c>
      <c r="G3050" t="n">
        <v>1.5</v>
      </c>
      <c r="H3050" t="n">
        <v>0</v>
      </c>
      <c r="I3050" t="n">
        <v>0</v>
      </c>
      <c r="J3050" t="n">
        <v>0</v>
      </c>
      <c r="K3050" t="n">
        <v>0</v>
      </c>
      <c r="L3050" t="n">
        <v>0</v>
      </c>
      <c r="M3050" t="n">
        <v>0</v>
      </c>
      <c r="N3050" t="n">
        <v>0</v>
      </c>
      <c r="O3050" t="n">
        <v>0</v>
      </c>
      <c r="P3050" t="n">
        <v>0</v>
      </c>
      <c r="Q3050" t="n">
        <v>0</v>
      </c>
      <c r="R3050" s="2" t="inlineStr"/>
    </row>
    <row r="3051" ht="15" customHeight="1">
      <c r="A3051" t="inlineStr">
        <is>
          <t>A 856-2021</t>
        </is>
      </c>
      <c r="B3051" s="1" t="n">
        <v>44204</v>
      </c>
      <c r="C3051" s="1" t="n">
        <v>45952</v>
      </c>
      <c r="D3051" t="inlineStr">
        <is>
          <t>VÄSTRA GÖTALANDS LÄN</t>
        </is>
      </c>
      <c r="E3051" t="inlineStr">
        <is>
          <t>BORÅS</t>
        </is>
      </c>
      <c r="G3051" t="n">
        <v>1</v>
      </c>
      <c r="H3051" t="n">
        <v>0</v>
      </c>
      <c r="I3051" t="n">
        <v>0</v>
      </c>
      <c r="J3051" t="n">
        <v>0</v>
      </c>
      <c r="K3051" t="n">
        <v>0</v>
      </c>
      <c r="L3051" t="n">
        <v>0</v>
      </c>
      <c r="M3051" t="n">
        <v>0</v>
      </c>
      <c r="N3051" t="n">
        <v>0</v>
      </c>
      <c r="O3051" t="n">
        <v>0</v>
      </c>
      <c r="P3051" t="n">
        <v>0</v>
      </c>
      <c r="Q3051" t="n">
        <v>0</v>
      </c>
      <c r="R3051" s="2" t="inlineStr"/>
    </row>
    <row r="3052" ht="15" customHeight="1">
      <c r="A3052" t="inlineStr">
        <is>
          <t>A 296-2022</t>
        </is>
      </c>
      <c r="B3052" s="1" t="n">
        <v>44565.47288194444</v>
      </c>
      <c r="C3052" s="1" t="n">
        <v>45952</v>
      </c>
      <c r="D3052" t="inlineStr">
        <is>
          <t>VÄSTRA GÖTALANDS LÄN</t>
        </is>
      </c>
      <c r="E3052" t="inlineStr">
        <is>
          <t>LILLA EDET</t>
        </is>
      </c>
      <c r="G3052" t="n">
        <v>0.7</v>
      </c>
      <c r="H3052" t="n">
        <v>0</v>
      </c>
      <c r="I3052" t="n">
        <v>0</v>
      </c>
      <c r="J3052" t="n">
        <v>0</v>
      </c>
      <c r="K3052" t="n">
        <v>0</v>
      </c>
      <c r="L3052" t="n">
        <v>0</v>
      </c>
      <c r="M3052" t="n">
        <v>0</v>
      </c>
      <c r="N3052" t="n">
        <v>0</v>
      </c>
      <c r="O3052" t="n">
        <v>0</v>
      </c>
      <c r="P3052" t="n">
        <v>0</v>
      </c>
      <c r="Q3052" t="n">
        <v>0</v>
      </c>
      <c r="R3052" s="2" t="inlineStr"/>
    </row>
    <row r="3053" ht="15" customHeight="1">
      <c r="A3053" t="inlineStr">
        <is>
          <t>A 318-2022</t>
        </is>
      </c>
      <c r="B3053" s="1" t="n">
        <v>44565.56469907407</v>
      </c>
      <c r="C3053" s="1" t="n">
        <v>45952</v>
      </c>
      <c r="D3053" t="inlineStr">
        <is>
          <t>VÄSTRA GÖTALANDS LÄN</t>
        </is>
      </c>
      <c r="E3053" t="inlineStr">
        <is>
          <t>TROLLHÄTTAN</t>
        </is>
      </c>
      <c r="G3053" t="n">
        <v>8.6</v>
      </c>
      <c r="H3053" t="n">
        <v>0</v>
      </c>
      <c r="I3053" t="n">
        <v>0</v>
      </c>
      <c r="J3053" t="n">
        <v>0</v>
      </c>
      <c r="K3053" t="n">
        <v>0</v>
      </c>
      <c r="L3053" t="n">
        <v>0</v>
      </c>
      <c r="M3053" t="n">
        <v>0</v>
      </c>
      <c r="N3053" t="n">
        <v>0</v>
      </c>
      <c r="O3053" t="n">
        <v>0</v>
      </c>
      <c r="P3053" t="n">
        <v>0</v>
      </c>
      <c r="Q3053" t="n">
        <v>0</v>
      </c>
      <c r="R3053" s="2" t="inlineStr"/>
    </row>
    <row r="3054" ht="15" customHeight="1">
      <c r="A3054" t="inlineStr">
        <is>
          <t>A 50336-2021</t>
        </is>
      </c>
      <c r="B3054" s="1" t="n">
        <v>44459.41528935185</v>
      </c>
      <c r="C3054" s="1" t="n">
        <v>45952</v>
      </c>
      <c r="D3054" t="inlineStr">
        <is>
          <t>VÄSTRA GÖTALANDS LÄN</t>
        </is>
      </c>
      <c r="E3054" t="inlineStr">
        <is>
          <t>MUNKEDAL</t>
        </is>
      </c>
      <c r="G3054" t="n">
        <v>2.7</v>
      </c>
      <c r="H3054" t="n">
        <v>0</v>
      </c>
      <c r="I3054" t="n">
        <v>0</v>
      </c>
      <c r="J3054" t="n">
        <v>0</v>
      </c>
      <c r="K3054" t="n">
        <v>0</v>
      </c>
      <c r="L3054" t="n">
        <v>0</v>
      </c>
      <c r="M3054" t="n">
        <v>0</v>
      </c>
      <c r="N3054" t="n">
        <v>0</v>
      </c>
      <c r="O3054" t="n">
        <v>0</v>
      </c>
      <c r="P3054" t="n">
        <v>0</v>
      </c>
      <c r="Q3054" t="n">
        <v>0</v>
      </c>
      <c r="R3054" s="2" t="inlineStr"/>
    </row>
    <row r="3055" ht="15" customHeight="1">
      <c r="A3055" t="inlineStr">
        <is>
          <t>A 21275-2021</t>
        </is>
      </c>
      <c r="B3055" s="1" t="n">
        <v>44320</v>
      </c>
      <c r="C3055" s="1" t="n">
        <v>45952</v>
      </c>
      <c r="D3055" t="inlineStr">
        <is>
          <t>VÄSTRA GÖTALANDS LÄN</t>
        </is>
      </c>
      <c r="E3055" t="inlineStr">
        <is>
          <t>TÖREBODA</t>
        </is>
      </c>
      <c r="G3055" t="n">
        <v>1.7</v>
      </c>
      <c r="H3055" t="n">
        <v>0</v>
      </c>
      <c r="I3055" t="n">
        <v>0</v>
      </c>
      <c r="J3055" t="n">
        <v>0</v>
      </c>
      <c r="K3055" t="n">
        <v>0</v>
      </c>
      <c r="L3055" t="n">
        <v>0</v>
      </c>
      <c r="M3055" t="n">
        <v>0</v>
      </c>
      <c r="N3055" t="n">
        <v>0</v>
      </c>
      <c r="O3055" t="n">
        <v>0</v>
      </c>
      <c r="P3055" t="n">
        <v>0</v>
      </c>
      <c r="Q3055" t="n">
        <v>0</v>
      </c>
      <c r="R3055" s="2" t="inlineStr"/>
    </row>
    <row r="3056" ht="15" customHeight="1">
      <c r="A3056" t="inlineStr">
        <is>
          <t>A 56937-2020</t>
        </is>
      </c>
      <c r="B3056" s="1" t="n">
        <v>44137</v>
      </c>
      <c r="C3056" s="1" t="n">
        <v>45952</v>
      </c>
      <c r="D3056" t="inlineStr">
        <is>
          <t>VÄSTRA GÖTALANDS LÄN</t>
        </is>
      </c>
      <c r="E3056" t="inlineStr">
        <is>
          <t>TÖREBODA</t>
        </is>
      </c>
      <c r="G3056" t="n">
        <v>1.1</v>
      </c>
      <c r="H3056" t="n">
        <v>0</v>
      </c>
      <c r="I3056" t="n">
        <v>0</v>
      </c>
      <c r="J3056" t="n">
        <v>0</v>
      </c>
      <c r="K3056" t="n">
        <v>0</v>
      </c>
      <c r="L3056" t="n">
        <v>0</v>
      </c>
      <c r="M3056" t="n">
        <v>0</v>
      </c>
      <c r="N3056" t="n">
        <v>0</v>
      </c>
      <c r="O3056" t="n">
        <v>0</v>
      </c>
      <c r="P3056" t="n">
        <v>0</v>
      </c>
      <c r="Q3056" t="n">
        <v>0</v>
      </c>
      <c r="R3056" s="2" t="inlineStr"/>
    </row>
    <row r="3057" ht="15" customHeight="1">
      <c r="A3057" t="inlineStr">
        <is>
          <t>A 51868-2021</t>
        </is>
      </c>
      <c r="B3057" s="1" t="n">
        <v>44462.73247685185</v>
      </c>
      <c r="C3057" s="1" t="n">
        <v>45952</v>
      </c>
      <c r="D3057" t="inlineStr">
        <is>
          <t>VÄSTRA GÖTALANDS LÄN</t>
        </is>
      </c>
      <c r="E3057" t="inlineStr">
        <is>
          <t>UDDEVALLA</t>
        </is>
      </c>
      <c r="G3057" t="n">
        <v>0.8</v>
      </c>
      <c r="H3057" t="n">
        <v>0</v>
      </c>
      <c r="I3057" t="n">
        <v>0</v>
      </c>
      <c r="J3057" t="n">
        <v>0</v>
      </c>
      <c r="K3057" t="n">
        <v>0</v>
      </c>
      <c r="L3057" t="n">
        <v>0</v>
      </c>
      <c r="M3057" t="n">
        <v>0</v>
      </c>
      <c r="N3057" t="n">
        <v>0</v>
      </c>
      <c r="O3057" t="n">
        <v>0</v>
      </c>
      <c r="P3057" t="n">
        <v>0</v>
      </c>
      <c r="Q3057" t="n">
        <v>0</v>
      </c>
      <c r="R3057" s="2" t="inlineStr"/>
    </row>
    <row r="3058" ht="15" customHeight="1">
      <c r="A3058" t="inlineStr">
        <is>
          <t>A 33092-2021</t>
        </is>
      </c>
      <c r="B3058" s="1" t="n">
        <v>44376.6027662037</v>
      </c>
      <c r="C3058" s="1" t="n">
        <v>45952</v>
      </c>
      <c r="D3058" t="inlineStr">
        <is>
          <t>VÄSTRA GÖTALANDS LÄN</t>
        </is>
      </c>
      <c r="E3058" t="inlineStr">
        <is>
          <t>VARA</t>
        </is>
      </c>
      <c r="G3058" t="n">
        <v>4.3</v>
      </c>
      <c r="H3058" t="n">
        <v>0</v>
      </c>
      <c r="I3058" t="n">
        <v>0</v>
      </c>
      <c r="J3058" t="n">
        <v>0</v>
      </c>
      <c r="K3058" t="n">
        <v>0</v>
      </c>
      <c r="L3058" t="n">
        <v>0</v>
      </c>
      <c r="M3058" t="n">
        <v>0</v>
      </c>
      <c r="N3058" t="n">
        <v>0</v>
      </c>
      <c r="O3058" t="n">
        <v>0</v>
      </c>
      <c r="P3058" t="n">
        <v>0</v>
      </c>
      <c r="Q3058" t="n">
        <v>0</v>
      </c>
      <c r="R3058" s="2" t="inlineStr"/>
    </row>
    <row r="3059" ht="15" customHeight="1">
      <c r="A3059" t="inlineStr">
        <is>
          <t>A 40935-2021</t>
        </is>
      </c>
      <c r="B3059" s="1" t="n">
        <v>44421</v>
      </c>
      <c r="C3059" s="1" t="n">
        <v>45952</v>
      </c>
      <c r="D3059" t="inlineStr">
        <is>
          <t>VÄSTRA GÖTALANDS LÄN</t>
        </is>
      </c>
      <c r="E3059" t="inlineStr">
        <is>
          <t>GULLSPÅNG</t>
        </is>
      </c>
      <c r="G3059" t="n">
        <v>1.3</v>
      </c>
      <c r="H3059" t="n">
        <v>0</v>
      </c>
      <c r="I3059" t="n">
        <v>0</v>
      </c>
      <c r="J3059" t="n">
        <v>0</v>
      </c>
      <c r="K3059" t="n">
        <v>0</v>
      </c>
      <c r="L3059" t="n">
        <v>0</v>
      </c>
      <c r="M3059" t="n">
        <v>0</v>
      </c>
      <c r="N3059" t="n">
        <v>0</v>
      </c>
      <c r="O3059" t="n">
        <v>0</v>
      </c>
      <c r="P3059" t="n">
        <v>0</v>
      </c>
      <c r="Q3059" t="n">
        <v>0</v>
      </c>
      <c r="R3059" s="2" t="inlineStr"/>
    </row>
    <row r="3060" ht="15" customHeight="1">
      <c r="A3060" t="inlineStr">
        <is>
          <t>A 40224-2024</t>
        </is>
      </c>
      <c r="B3060" s="1" t="n">
        <v>45554.59815972222</v>
      </c>
      <c r="C3060" s="1" t="n">
        <v>45952</v>
      </c>
      <c r="D3060" t="inlineStr">
        <is>
          <t>VÄSTRA GÖTALANDS LÄN</t>
        </is>
      </c>
      <c r="E3060" t="inlineStr">
        <is>
          <t>VARA</t>
        </is>
      </c>
      <c r="F3060" t="inlineStr">
        <is>
          <t>Kommuner</t>
        </is>
      </c>
      <c r="G3060" t="n">
        <v>1.4</v>
      </c>
      <c r="H3060" t="n">
        <v>0</v>
      </c>
      <c r="I3060" t="n">
        <v>0</v>
      </c>
      <c r="J3060" t="n">
        <v>0</v>
      </c>
      <c r="K3060" t="n">
        <v>0</v>
      </c>
      <c r="L3060" t="n">
        <v>0</v>
      </c>
      <c r="M3060" t="n">
        <v>0</v>
      </c>
      <c r="N3060" t="n">
        <v>0</v>
      </c>
      <c r="O3060" t="n">
        <v>0</v>
      </c>
      <c r="P3060" t="n">
        <v>0</v>
      </c>
      <c r="Q3060" t="n">
        <v>0</v>
      </c>
      <c r="R3060" s="2" t="inlineStr"/>
    </row>
    <row r="3061" ht="15" customHeight="1">
      <c r="A3061" t="inlineStr">
        <is>
          <t>A 62233-2022</t>
        </is>
      </c>
      <c r="B3061" s="1" t="n">
        <v>44922</v>
      </c>
      <c r="C3061" s="1" t="n">
        <v>45952</v>
      </c>
      <c r="D3061" t="inlineStr">
        <is>
          <t>VÄSTRA GÖTALANDS LÄN</t>
        </is>
      </c>
      <c r="E3061" t="inlineStr">
        <is>
          <t>HJO</t>
        </is>
      </c>
      <c r="G3061" t="n">
        <v>5</v>
      </c>
      <c r="H3061" t="n">
        <v>0</v>
      </c>
      <c r="I3061" t="n">
        <v>0</v>
      </c>
      <c r="J3061" t="n">
        <v>0</v>
      </c>
      <c r="K3061" t="n">
        <v>0</v>
      </c>
      <c r="L3061" t="n">
        <v>0</v>
      </c>
      <c r="M3061" t="n">
        <v>0</v>
      </c>
      <c r="N3061" t="n">
        <v>0</v>
      </c>
      <c r="O3061" t="n">
        <v>0</v>
      </c>
      <c r="P3061" t="n">
        <v>0</v>
      </c>
      <c r="Q3061" t="n">
        <v>0</v>
      </c>
      <c r="R3061" s="2" t="inlineStr"/>
    </row>
    <row r="3062" ht="15" customHeight="1">
      <c r="A3062" t="inlineStr">
        <is>
          <t>A 149-2023</t>
        </is>
      </c>
      <c r="B3062" s="1" t="n">
        <v>44928.54091435186</v>
      </c>
      <c r="C3062" s="1" t="n">
        <v>45952</v>
      </c>
      <c r="D3062" t="inlineStr">
        <is>
          <t>VÄSTRA GÖTALANDS LÄN</t>
        </is>
      </c>
      <c r="E3062" t="inlineStr">
        <is>
          <t>FÄRGELANDA</t>
        </is>
      </c>
      <c r="G3062" t="n">
        <v>3.5</v>
      </c>
      <c r="H3062" t="n">
        <v>0</v>
      </c>
      <c r="I3062" t="n">
        <v>0</v>
      </c>
      <c r="J3062" t="n">
        <v>0</v>
      </c>
      <c r="K3062" t="n">
        <v>0</v>
      </c>
      <c r="L3062" t="n">
        <v>0</v>
      </c>
      <c r="M3062" t="n">
        <v>0</v>
      </c>
      <c r="N3062" t="n">
        <v>0</v>
      </c>
      <c r="O3062" t="n">
        <v>0</v>
      </c>
      <c r="P3062" t="n">
        <v>0</v>
      </c>
      <c r="Q3062" t="n">
        <v>0</v>
      </c>
      <c r="R3062" s="2" t="inlineStr"/>
    </row>
    <row r="3063" ht="15" customHeight="1">
      <c r="A3063" t="inlineStr">
        <is>
          <t>A 12877-2024</t>
        </is>
      </c>
      <c r="B3063" s="1" t="n">
        <v>45385.31694444444</v>
      </c>
      <c r="C3063" s="1" t="n">
        <v>45952</v>
      </c>
      <c r="D3063" t="inlineStr">
        <is>
          <t>VÄSTRA GÖTALANDS LÄN</t>
        </is>
      </c>
      <c r="E3063" t="inlineStr">
        <is>
          <t>BENGTSFORS</t>
        </is>
      </c>
      <c r="F3063" t="inlineStr">
        <is>
          <t>Övriga Aktiebolag</t>
        </is>
      </c>
      <c r="G3063" t="n">
        <v>1.3</v>
      </c>
      <c r="H3063" t="n">
        <v>0</v>
      </c>
      <c r="I3063" t="n">
        <v>0</v>
      </c>
      <c r="J3063" t="n">
        <v>0</v>
      </c>
      <c r="K3063" t="n">
        <v>0</v>
      </c>
      <c r="L3063" t="n">
        <v>0</v>
      </c>
      <c r="M3063" t="n">
        <v>0</v>
      </c>
      <c r="N3063" t="n">
        <v>0</v>
      </c>
      <c r="O3063" t="n">
        <v>0</v>
      </c>
      <c r="P3063" t="n">
        <v>0</v>
      </c>
      <c r="Q3063" t="n">
        <v>0</v>
      </c>
      <c r="R3063" s="2" t="inlineStr"/>
    </row>
    <row r="3064" ht="15" customHeight="1">
      <c r="A3064" t="inlineStr">
        <is>
          <t>A 48948-2021</t>
        </is>
      </c>
      <c r="B3064" s="1" t="n">
        <v>44453</v>
      </c>
      <c r="C3064" s="1" t="n">
        <v>45952</v>
      </c>
      <c r="D3064" t="inlineStr">
        <is>
          <t>VÄSTRA GÖTALANDS LÄN</t>
        </is>
      </c>
      <c r="E3064" t="inlineStr">
        <is>
          <t>FÄRGELANDA</t>
        </is>
      </c>
      <c r="G3064" t="n">
        <v>5.3</v>
      </c>
      <c r="H3064" t="n">
        <v>0</v>
      </c>
      <c r="I3064" t="n">
        <v>0</v>
      </c>
      <c r="J3064" t="n">
        <v>0</v>
      </c>
      <c r="K3064" t="n">
        <v>0</v>
      </c>
      <c r="L3064" t="n">
        <v>0</v>
      </c>
      <c r="M3064" t="n">
        <v>0</v>
      </c>
      <c r="N3064" t="n">
        <v>0</v>
      </c>
      <c r="O3064" t="n">
        <v>0</v>
      </c>
      <c r="P3064" t="n">
        <v>0</v>
      </c>
      <c r="Q3064" t="n">
        <v>0</v>
      </c>
      <c r="R3064" s="2" t="inlineStr"/>
    </row>
    <row r="3065" ht="15" customHeight="1">
      <c r="A3065" t="inlineStr">
        <is>
          <t>A 63038-2021</t>
        </is>
      </c>
      <c r="B3065" s="1" t="n">
        <v>44505.4665625</v>
      </c>
      <c r="C3065" s="1" t="n">
        <v>45952</v>
      </c>
      <c r="D3065" t="inlineStr">
        <is>
          <t>VÄSTRA GÖTALANDS LÄN</t>
        </is>
      </c>
      <c r="E3065" t="inlineStr">
        <is>
          <t>BORÅS</t>
        </is>
      </c>
      <c r="G3065" t="n">
        <v>0.9</v>
      </c>
      <c r="H3065" t="n">
        <v>0</v>
      </c>
      <c r="I3065" t="n">
        <v>0</v>
      </c>
      <c r="J3065" t="n">
        <v>0</v>
      </c>
      <c r="K3065" t="n">
        <v>0</v>
      </c>
      <c r="L3065" t="n">
        <v>0</v>
      </c>
      <c r="M3065" t="n">
        <v>0</v>
      </c>
      <c r="N3065" t="n">
        <v>0</v>
      </c>
      <c r="O3065" t="n">
        <v>0</v>
      </c>
      <c r="P3065" t="n">
        <v>0</v>
      </c>
      <c r="Q3065" t="n">
        <v>0</v>
      </c>
      <c r="R3065" s="2" t="inlineStr"/>
    </row>
    <row r="3066" ht="15" customHeight="1">
      <c r="A3066" t="inlineStr">
        <is>
          <t>A 31214-2021</t>
        </is>
      </c>
      <c r="B3066" s="1" t="n">
        <v>44368</v>
      </c>
      <c r="C3066" s="1" t="n">
        <v>45952</v>
      </c>
      <c r="D3066" t="inlineStr">
        <is>
          <t>VÄSTRA GÖTALANDS LÄN</t>
        </is>
      </c>
      <c r="E3066" t="inlineStr">
        <is>
          <t>BENGTSFORS</t>
        </is>
      </c>
      <c r="G3066" t="n">
        <v>2.8</v>
      </c>
      <c r="H3066" t="n">
        <v>0</v>
      </c>
      <c r="I3066" t="n">
        <v>0</v>
      </c>
      <c r="J3066" t="n">
        <v>0</v>
      </c>
      <c r="K3066" t="n">
        <v>0</v>
      </c>
      <c r="L3066" t="n">
        <v>0</v>
      </c>
      <c r="M3066" t="n">
        <v>0</v>
      </c>
      <c r="N3066" t="n">
        <v>0</v>
      </c>
      <c r="O3066" t="n">
        <v>0</v>
      </c>
      <c r="P3066" t="n">
        <v>0</v>
      </c>
      <c r="Q3066" t="n">
        <v>0</v>
      </c>
      <c r="R3066" s="2" t="inlineStr"/>
    </row>
    <row r="3067" ht="15" customHeight="1">
      <c r="A3067" t="inlineStr">
        <is>
          <t>A 6631-2022</t>
        </is>
      </c>
      <c r="B3067" s="1" t="n">
        <v>44601.88369212963</v>
      </c>
      <c r="C3067" s="1" t="n">
        <v>45952</v>
      </c>
      <c r="D3067" t="inlineStr">
        <is>
          <t>VÄSTRA GÖTALANDS LÄN</t>
        </is>
      </c>
      <c r="E3067" t="inlineStr">
        <is>
          <t>TÖREBODA</t>
        </is>
      </c>
      <c r="G3067" t="n">
        <v>2.8</v>
      </c>
      <c r="H3067" t="n">
        <v>0</v>
      </c>
      <c r="I3067" t="n">
        <v>0</v>
      </c>
      <c r="J3067" t="n">
        <v>0</v>
      </c>
      <c r="K3067" t="n">
        <v>0</v>
      </c>
      <c r="L3067" t="n">
        <v>0</v>
      </c>
      <c r="M3067" t="n">
        <v>0</v>
      </c>
      <c r="N3067" t="n">
        <v>0</v>
      </c>
      <c r="O3067" t="n">
        <v>0</v>
      </c>
      <c r="P3067" t="n">
        <v>0</v>
      </c>
      <c r="Q3067" t="n">
        <v>0</v>
      </c>
      <c r="R3067" s="2" t="inlineStr"/>
    </row>
    <row r="3068" ht="15" customHeight="1">
      <c r="A3068" t="inlineStr">
        <is>
          <t>A 54279-2022</t>
        </is>
      </c>
      <c r="B3068" s="1" t="n">
        <v>44882.3575</v>
      </c>
      <c r="C3068" s="1" t="n">
        <v>45952</v>
      </c>
      <c r="D3068" t="inlineStr">
        <is>
          <t>VÄSTRA GÖTALANDS LÄN</t>
        </is>
      </c>
      <c r="E3068" t="inlineStr">
        <is>
          <t>SVENLJUNGA</t>
        </is>
      </c>
      <c r="G3068" t="n">
        <v>1</v>
      </c>
      <c r="H3068" t="n">
        <v>0</v>
      </c>
      <c r="I3068" t="n">
        <v>0</v>
      </c>
      <c r="J3068" t="n">
        <v>0</v>
      </c>
      <c r="K3068" t="n">
        <v>0</v>
      </c>
      <c r="L3068" t="n">
        <v>0</v>
      </c>
      <c r="M3068" t="n">
        <v>0</v>
      </c>
      <c r="N3068" t="n">
        <v>0</v>
      </c>
      <c r="O3068" t="n">
        <v>0</v>
      </c>
      <c r="P3068" t="n">
        <v>0</v>
      </c>
      <c r="Q3068" t="n">
        <v>0</v>
      </c>
      <c r="R3068" s="2" t="inlineStr"/>
    </row>
    <row r="3069" ht="15" customHeight="1">
      <c r="A3069" t="inlineStr">
        <is>
          <t>A 32814-2022</t>
        </is>
      </c>
      <c r="B3069" s="1" t="n">
        <v>44784.3796875</v>
      </c>
      <c r="C3069" s="1" t="n">
        <v>45952</v>
      </c>
      <c r="D3069" t="inlineStr">
        <is>
          <t>VÄSTRA GÖTALANDS LÄN</t>
        </is>
      </c>
      <c r="E3069" t="inlineStr">
        <is>
          <t>HJO</t>
        </is>
      </c>
      <c r="G3069" t="n">
        <v>2.8</v>
      </c>
      <c r="H3069" t="n">
        <v>0</v>
      </c>
      <c r="I3069" t="n">
        <v>0</v>
      </c>
      <c r="J3069" t="n">
        <v>0</v>
      </c>
      <c r="K3069" t="n">
        <v>0</v>
      </c>
      <c r="L3069" t="n">
        <v>0</v>
      </c>
      <c r="M3069" t="n">
        <v>0</v>
      </c>
      <c r="N3069" t="n">
        <v>0</v>
      </c>
      <c r="O3069" t="n">
        <v>0</v>
      </c>
      <c r="P3069" t="n">
        <v>0</v>
      </c>
      <c r="Q3069" t="n">
        <v>0</v>
      </c>
      <c r="R3069" s="2" t="inlineStr"/>
    </row>
    <row r="3070" ht="15" customHeight="1">
      <c r="A3070" t="inlineStr">
        <is>
          <t>A 32868-2022</t>
        </is>
      </c>
      <c r="B3070" s="1" t="n">
        <v>44784.50792824074</v>
      </c>
      <c r="C3070" s="1" t="n">
        <v>45952</v>
      </c>
      <c r="D3070" t="inlineStr">
        <is>
          <t>VÄSTRA GÖTALANDS LÄN</t>
        </is>
      </c>
      <c r="E3070" t="inlineStr">
        <is>
          <t>MARK</t>
        </is>
      </c>
      <c r="G3070" t="n">
        <v>0.6</v>
      </c>
      <c r="H3070" t="n">
        <v>0</v>
      </c>
      <c r="I3070" t="n">
        <v>0</v>
      </c>
      <c r="J3070" t="n">
        <v>0</v>
      </c>
      <c r="K3070" t="n">
        <v>0</v>
      </c>
      <c r="L3070" t="n">
        <v>0</v>
      </c>
      <c r="M3070" t="n">
        <v>0</v>
      </c>
      <c r="N3070" t="n">
        <v>0</v>
      </c>
      <c r="O3070" t="n">
        <v>0</v>
      </c>
      <c r="P3070" t="n">
        <v>0</v>
      </c>
      <c r="Q3070" t="n">
        <v>0</v>
      </c>
      <c r="R3070" s="2" t="inlineStr"/>
    </row>
    <row r="3071" ht="15" customHeight="1">
      <c r="A3071" t="inlineStr">
        <is>
          <t>A 32869-2022</t>
        </is>
      </c>
      <c r="B3071" s="1" t="n">
        <v>44784.51399305555</v>
      </c>
      <c r="C3071" s="1" t="n">
        <v>45952</v>
      </c>
      <c r="D3071" t="inlineStr">
        <is>
          <t>VÄSTRA GÖTALANDS LÄN</t>
        </is>
      </c>
      <c r="E3071" t="inlineStr">
        <is>
          <t>HÄRRYDA</t>
        </is>
      </c>
      <c r="G3071" t="n">
        <v>0.7</v>
      </c>
      <c r="H3071" t="n">
        <v>0</v>
      </c>
      <c r="I3071" t="n">
        <v>0</v>
      </c>
      <c r="J3071" t="n">
        <v>0</v>
      </c>
      <c r="K3071" t="n">
        <v>0</v>
      </c>
      <c r="L3071" t="n">
        <v>0</v>
      </c>
      <c r="M3071" t="n">
        <v>0</v>
      </c>
      <c r="N3071" t="n">
        <v>0</v>
      </c>
      <c r="O3071" t="n">
        <v>0</v>
      </c>
      <c r="P3071" t="n">
        <v>0</v>
      </c>
      <c r="Q3071" t="n">
        <v>0</v>
      </c>
      <c r="R3071" s="2" t="inlineStr"/>
    </row>
    <row r="3072" ht="15" customHeight="1">
      <c r="A3072" t="inlineStr">
        <is>
          <t>A 69286-2021</t>
        </is>
      </c>
      <c r="B3072" s="1" t="n">
        <v>44531.45315972222</v>
      </c>
      <c r="C3072" s="1" t="n">
        <v>45952</v>
      </c>
      <c r="D3072" t="inlineStr">
        <is>
          <t>VÄSTRA GÖTALANDS LÄN</t>
        </is>
      </c>
      <c r="E3072" t="inlineStr">
        <is>
          <t>TÖREBODA</t>
        </is>
      </c>
      <c r="G3072" t="n">
        <v>5.2</v>
      </c>
      <c r="H3072" t="n">
        <v>0</v>
      </c>
      <c r="I3072" t="n">
        <v>0</v>
      </c>
      <c r="J3072" t="n">
        <v>0</v>
      </c>
      <c r="K3072" t="n">
        <v>0</v>
      </c>
      <c r="L3072" t="n">
        <v>0</v>
      </c>
      <c r="M3072" t="n">
        <v>0</v>
      </c>
      <c r="N3072" t="n">
        <v>0</v>
      </c>
      <c r="O3072" t="n">
        <v>0</v>
      </c>
      <c r="P3072" t="n">
        <v>0</v>
      </c>
      <c r="Q3072" t="n">
        <v>0</v>
      </c>
      <c r="R3072" s="2" t="inlineStr"/>
    </row>
    <row r="3073" ht="15" customHeight="1">
      <c r="A3073" t="inlineStr">
        <is>
          <t>A 59809-2021</t>
        </is>
      </c>
      <c r="B3073" s="1" t="n">
        <v>44494.53561342593</v>
      </c>
      <c r="C3073" s="1" t="n">
        <v>45952</v>
      </c>
      <c r="D3073" t="inlineStr">
        <is>
          <t>VÄSTRA GÖTALANDS LÄN</t>
        </is>
      </c>
      <c r="E3073" t="inlineStr">
        <is>
          <t>ÅMÅL</t>
        </is>
      </c>
      <c r="G3073" t="n">
        <v>0.9</v>
      </c>
      <c r="H3073" t="n">
        <v>0</v>
      </c>
      <c r="I3073" t="n">
        <v>0</v>
      </c>
      <c r="J3073" t="n">
        <v>0</v>
      </c>
      <c r="K3073" t="n">
        <v>0</v>
      </c>
      <c r="L3073" t="n">
        <v>0</v>
      </c>
      <c r="M3073" t="n">
        <v>0</v>
      </c>
      <c r="N3073" t="n">
        <v>0</v>
      </c>
      <c r="O3073" t="n">
        <v>0</v>
      </c>
      <c r="P3073" t="n">
        <v>0</v>
      </c>
      <c r="Q3073" t="n">
        <v>0</v>
      </c>
      <c r="R3073" s="2" t="inlineStr"/>
    </row>
    <row r="3074" ht="15" customHeight="1">
      <c r="A3074" t="inlineStr">
        <is>
          <t>A 44642-2021</t>
        </is>
      </c>
      <c r="B3074" s="1" t="n">
        <v>44437.68137731482</v>
      </c>
      <c r="C3074" s="1" t="n">
        <v>45952</v>
      </c>
      <c r="D3074" t="inlineStr">
        <is>
          <t>VÄSTRA GÖTALANDS LÄN</t>
        </is>
      </c>
      <c r="E3074" t="inlineStr">
        <is>
          <t>BENGTSFORS</t>
        </is>
      </c>
      <c r="G3074" t="n">
        <v>1.4</v>
      </c>
      <c r="H3074" t="n">
        <v>0</v>
      </c>
      <c r="I3074" t="n">
        <v>0</v>
      </c>
      <c r="J3074" t="n">
        <v>0</v>
      </c>
      <c r="K3074" t="n">
        <v>0</v>
      </c>
      <c r="L3074" t="n">
        <v>0</v>
      </c>
      <c r="M3074" t="n">
        <v>0</v>
      </c>
      <c r="N3074" t="n">
        <v>0</v>
      </c>
      <c r="O3074" t="n">
        <v>0</v>
      </c>
      <c r="P3074" t="n">
        <v>0</v>
      </c>
      <c r="Q3074" t="n">
        <v>0</v>
      </c>
      <c r="R3074" s="2" t="inlineStr"/>
    </row>
    <row r="3075" ht="15" customHeight="1">
      <c r="A3075" t="inlineStr">
        <is>
          <t>A 31110-2022</t>
        </is>
      </c>
      <c r="B3075" s="1" t="n">
        <v>44769.6740162037</v>
      </c>
      <c r="C3075" s="1" t="n">
        <v>45952</v>
      </c>
      <c r="D3075" t="inlineStr">
        <is>
          <t>VÄSTRA GÖTALANDS LÄN</t>
        </is>
      </c>
      <c r="E3075" t="inlineStr">
        <is>
          <t>BENGTSFORS</t>
        </is>
      </c>
      <c r="G3075" t="n">
        <v>13</v>
      </c>
      <c r="H3075" t="n">
        <v>0</v>
      </c>
      <c r="I3075" t="n">
        <v>0</v>
      </c>
      <c r="J3075" t="n">
        <v>0</v>
      </c>
      <c r="K3075" t="n">
        <v>0</v>
      </c>
      <c r="L3075" t="n">
        <v>0</v>
      </c>
      <c r="M3075" t="n">
        <v>0</v>
      </c>
      <c r="N3075" t="n">
        <v>0</v>
      </c>
      <c r="O3075" t="n">
        <v>0</v>
      </c>
      <c r="P3075" t="n">
        <v>0</v>
      </c>
      <c r="Q3075" t="n">
        <v>0</v>
      </c>
      <c r="R3075" s="2" t="inlineStr"/>
    </row>
    <row r="3076" ht="15" customHeight="1">
      <c r="A3076" t="inlineStr">
        <is>
          <t>A 18596-2024</t>
        </is>
      </c>
      <c r="B3076" s="1" t="n">
        <v>45425</v>
      </c>
      <c r="C3076" s="1" t="n">
        <v>45952</v>
      </c>
      <c r="D3076" t="inlineStr">
        <is>
          <t>VÄSTRA GÖTALANDS LÄN</t>
        </is>
      </c>
      <c r="E3076" t="inlineStr">
        <is>
          <t>TIDAHOLM</t>
        </is>
      </c>
      <c r="G3076" t="n">
        <v>3.1</v>
      </c>
      <c r="H3076" t="n">
        <v>0</v>
      </c>
      <c r="I3076" t="n">
        <v>0</v>
      </c>
      <c r="J3076" t="n">
        <v>0</v>
      </c>
      <c r="K3076" t="n">
        <v>0</v>
      </c>
      <c r="L3076" t="n">
        <v>0</v>
      </c>
      <c r="M3076" t="n">
        <v>0</v>
      </c>
      <c r="N3076" t="n">
        <v>0</v>
      </c>
      <c r="O3076" t="n">
        <v>0</v>
      </c>
      <c r="P3076" t="n">
        <v>0</v>
      </c>
      <c r="Q3076" t="n">
        <v>0</v>
      </c>
      <c r="R3076" s="2" t="inlineStr"/>
    </row>
    <row r="3077" ht="15" customHeight="1">
      <c r="A3077" t="inlineStr">
        <is>
          <t>A 29939-2021</t>
        </is>
      </c>
      <c r="B3077" s="1" t="n">
        <v>44363.29069444445</v>
      </c>
      <c r="C3077" s="1" t="n">
        <v>45952</v>
      </c>
      <c r="D3077" t="inlineStr">
        <is>
          <t>VÄSTRA GÖTALANDS LÄN</t>
        </is>
      </c>
      <c r="E3077" t="inlineStr">
        <is>
          <t>MARIESTAD</t>
        </is>
      </c>
      <c r="G3077" t="n">
        <v>1.9</v>
      </c>
      <c r="H3077" t="n">
        <v>0</v>
      </c>
      <c r="I3077" t="n">
        <v>0</v>
      </c>
      <c r="J3077" t="n">
        <v>0</v>
      </c>
      <c r="K3077" t="n">
        <v>0</v>
      </c>
      <c r="L3077" t="n">
        <v>0</v>
      </c>
      <c r="M3077" t="n">
        <v>0</v>
      </c>
      <c r="N3077" t="n">
        <v>0</v>
      </c>
      <c r="O3077" t="n">
        <v>0</v>
      </c>
      <c r="P3077" t="n">
        <v>0</v>
      </c>
      <c r="Q3077" t="n">
        <v>0</v>
      </c>
      <c r="R3077" s="2" t="inlineStr"/>
    </row>
    <row r="3078" ht="15" customHeight="1">
      <c r="A3078" t="inlineStr">
        <is>
          <t>A 30061-2021</t>
        </is>
      </c>
      <c r="B3078" s="1" t="n">
        <v>44363</v>
      </c>
      <c r="C3078" s="1" t="n">
        <v>45952</v>
      </c>
      <c r="D3078" t="inlineStr">
        <is>
          <t>VÄSTRA GÖTALANDS LÄN</t>
        </is>
      </c>
      <c r="E3078" t="inlineStr">
        <is>
          <t>VÅRGÅRDA</t>
        </is>
      </c>
      <c r="G3078" t="n">
        <v>0.6</v>
      </c>
      <c r="H3078" t="n">
        <v>0</v>
      </c>
      <c r="I3078" t="n">
        <v>0</v>
      </c>
      <c r="J3078" t="n">
        <v>0</v>
      </c>
      <c r="K3078" t="n">
        <v>0</v>
      </c>
      <c r="L3078" t="n">
        <v>0</v>
      </c>
      <c r="M3078" t="n">
        <v>0</v>
      </c>
      <c r="N3078" t="n">
        <v>0</v>
      </c>
      <c r="O3078" t="n">
        <v>0</v>
      </c>
      <c r="P3078" t="n">
        <v>0</v>
      </c>
      <c r="Q3078" t="n">
        <v>0</v>
      </c>
      <c r="R3078" s="2" t="inlineStr"/>
    </row>
    <row r="3079" ht="15" customHeight="1">
      <c r="A3079" t="inlineStr">
        <is>
          <t>A 24363-2024</t>
        </is>
      </c>
      <c r="B3079" s="1" t="n">
        <v>45457.60121527778</v>
      </c>
      <c r="C3079" s="1" t="n">
        <v>45952</v>
      </c>
      <c r="D3079" t="inlineStr">
        <is>
          <t>VÄSTRA GÖTALANDS LÄN</t>
        </is>
      </c>
      <c r="E3079" t="inlineStr">
        <is>
          <t>TÖREBODA</t>
        </is>
      </c>
      <c r="F3079" t="inlineStr">
        <is>
          <t>Övriga statliga verk och myndigheter</t>
        </is>
      </c>
      <c r="G3079" t="n">
        <v>1.1</v>
      </c>
      <c r="H3079" t="n">
        <v>0</v>
      </c>
      <c r="I3079" t="n">
        <v>0</v>
      </c>
      <c r="J3079" t="n">
        <v>0</v>
      </c>
      <c r="K3079" t="n">
        <v>0</v>
      </c>
      <c r="L3079" t="n">
        <v>0</v>
      </c>
      <c r="M3079" t="n">
        <v>0</v>
      </c>
      <c r="N3079" t="n">
        <v>0</v>
      </c>
      <c r="O3079" t="n">
        <v>0</v>
      </c>
      <c r="P3079" t="n">
        <v>0</v>
      </c>
      <c r="Q3079" t="n">
        <v>0</v>
      </c>
      <c r="R3079" s="2" t="inlineStr"/>
    </row>
    <row r="3080" ht="15" customHeight="1">
      <c r="A3080" t="inlineStr">
        <is>
          <t>A 17951-2023</t>
        </is>
      </c>
      <c r="B3080" s="1" t="n">
        <v>45040</v>
      </c>
      <c r="C3080" s="1" t="n">
        <v>45952</v>
      </c>
      <c r="D3080" t="inlineStr">
        <is>
          <t>VÄSTRA GÖTALANDS LÄN</t>
        </is>
      </c>
      <c r="E3080" t="inlineStr">
        <is>
          <t>VÅRGÅRDA</t>
        </is>
      </c>
      <c r="G3080" t="n">
        <v>1.8</v>
      </c>
      <c r="H3080" t="n">
        <v>0</v>
      </c>
      <c r="I3080" t="n">
        <v>0</v>
      </c>
      <c r="J3080" t="n">
        <v>0</v>
      </c>
      <c r="K3080" t="n">
        <v>0</v>
      </c>
      <c r="L3080" t="n">
        <v>0</v>
      </c>
      <c r="M3080" t="n">
        <v>0</v>
      </c>
      <c r="N3080" t="n">
        <v>0</v>
      </c>
      <c r="O3080" t="n">
        <v>0</v>
      </c>
      <c r="P3080" t="n">
        <v>0</v>
      </c>
      <c r="Q3080" t="n">
        <v>0</v>
      </c>
      <c r="R3080" s="2" t="inlineStr"/>
    </row>
    <row r="3081" ht="15" customHeight="1">
      <c r="A3081" t="inlineStr">
        <is>
          <t>A 19572-2022</t>
        </is>
      </c>
      <c r="B3081" s="1" t="n">
        <v>44693.84070601852</v>
      </c>
      <c r="C3081" s="1" t="n">
        <v>45952</v>
      </c>
      <c r="D3081" t="inlineStr">
        <is>
          <t>VÄSTRA GÖTALANDS LÄN</t>
        </is>
      </c>
      <c r="E3081" t="inlineStr">
        <is>
          <t>TIDAHOLM</t>
        </is>
      </c>
      <c r="G3081" t="n">
        <v>2.7</v>
      </c>
      <c r="H3081" t="n">
        <v>0</v>
      </c>
      <c r="I3081" t="n">
        <v>0</v>
      </c>
      <c r="J3081" t="n">
        <v>0</v>
      </c>
      <c r="K3081" t="n">
        <v>0</v>
      </c>
      <c r="L3081" t="n">
        <v>0</v>
      </c>
      <c r="M3081" t="n">
        <v>0</v>
      </c>
      <c r="N3081" t="n">
        <v>0</v>
      </c>
      <c r="O3081" t="n">
        <v>0</v>
      </c>
      <c r="P3081" t="n">
        <v>0</v>
      </c>
      <c r="Q3081" t="n">
        <v>0</v>
      </c>
      <c r="R3081" s="2" t="inlineStr"/>
    </row>
    <row r="3082" ht="15" customHeight="1">
      <c r="A3082" t="inlineStr">
        <is>
          <t>A 73025-2021</t>
        </is>
      </c>
      <c r="B3082" s="1" t="n">
        <v>44550.35263888889</v>
      </c>
      <c r="C3082" s="1" t="n">
        <v>45952</v>
      </c>
      <c r="D3082" t="inlineStr">
        <is>
          <t>VÄSTRA GÖTALANDS LÄN</t>
        </is>
      </c>
      <c r="E3082" t="inlineStr">
        <is>
          <t>TIDAHOLM</t>
        </is>
      </c>
      <c r="G3082" t="n">
        <v>7.7</v>
      </c>
      <c r="H3082" t="n">
        <v>0</v>
      </c>
      <c r="I3082" t="n">
        <v>0</v>
      </c>
      <c r="J3082" t="n">
        <v>0</v>
      </c>
      <c r="K3082" t="n">
        <v>0</v>
      </c>
      <c r="L3082" t="n">
        <v>0</v>
      </c>
      <c r="M3082" t="n">
        <v>0</v>
      </c>
      <c r="N3082" t="n">
        <v>0</v>
      </c>
      <c r="O3082" t="n">
        <v>0</v>
      </c>
      <c r="P3082" t="n">
        <v>0</v>
      </c>
      <c r="Q3082" t="n">
        <v>0</v>
      </c>
      <c r="R3082" s="2" t="inlineStr"/>
    </row>
    <row r="3083" ht="15" customHeight="1">
      <c r="A3083" t="inlineStr">
        <is>
          <t>A 73028-2021</t>
        </is>
      </c>
      <c r="B3083" s="1" t="n">
        <v>44550.35586805556</v>
      </c>
      <c r="C3083" s="1" t="n">
        <v>45952</v>
      </c>
      <c r="D3083" t="inlineStr">
        <is>
          <t>VÄSTRA GÖTALANDS LÄN</t>
        </is>
      </c>
      <c r="E3083" t="inlineStr">
        <is>
          <t>TIDAHOLM</t>
        </is>
      </c>
      <c r="G3083" t="n">
        <v>1.2</v>
      </c>
      <c r="H3083" t="n">
        <v>0</v>
      </c>
      <c r="I3083" t="n">
        <v>0</v>
      </c>
      <c r="J3083" t="n">
        <v>0</v>
      </c>
      <c r="K3083" t="n">
        <v>0</v>
      </c>
      <c r="L3083" t="n">
        <v>0</v>
      </c>
      <c r="M3083" t="n">
        <v>0</v>
      </c>
      <c r="N3083" t="n">
        <v>0</v>
      </c>
      <c r="O3083" t="n">
        <v>0</v>
      </c>
      <c r="P3083" t="n">
        <v>0</v>
      </c>
      <c r="Q3083" t="n">
        <v>0</v>
      </c>
      <c r="R3083" s="2" t="inlineStr"/>
    </row>
    <row r="3084" ht="15" customHeight="1">
      <c r="A3084" t="inlineStr">
        <is>
          <t>A 73034-2021</t>
        </is>
      </c>
      <c r="B3084" s="1" t="n">
        <v>44550.36349537037</v>
      </c>
      <c r="C3084" s="1" t="n">
        <v>45952</v>
      </c>
      <c r="D3084" t="inlineStr">
        <is>
          <t>VÄSTRA GÖTALANDS LÄN</t>
        </is>
      </c>
      <c r="E3084" t="inlineStr">
        <is>
          <t>TIDAHOLM</t>
        </is>
      </c>
      <c r="G3084" t="n">
        <v>1</v>
      </c>
      <c r="H3084" t="n">
        <v>0</v>
      </c>
      <c r="I3084" t="n">
        <v>0</v>
      </c>
      <c r="J3084" t="n">
        <v>0</v>
      </c>
      <c r="K3084" t="n">
        <v>0</v>
      </c>
      <c r="L3084" t="n">
        <v>0</v>
      </c>
      <c r="M3084" t="n">
        <v>0</v>
      </c>
      <c r="N3084" t="n">
        <v>0</v>
      </c>
      <c r="O3084" t="n">
        <v>0</v>
      </c>
      <c r="P3084" t="n">
        <v>0</v>
      </c>
      <c r="Q3084" t="n">
        <v>0</v>
      </c>
      <c r="R3084" s="2" t="inlineStr"/>
    </row>
    <row r="3085" ht="15" customHeight="1">
      <c r="A3085" t="inlineStr">
        <is>
          <t>A 34759-2021</t>
        </is>
      </c>
      <c r="B3085" s="1" t="n">
        <v>44382</v>
      </c>
      <c r="C3085" s="1" t="n">
        <v>45952</v>
      </c>
      <c r="D3085" t="inlineStr">
        <is>
          <t>VÄSTRA GÖTALANDS LÄN</t>
        </is>
      </c>
      <c r="E3085" t="inlineStr">
        <is>
          <t>TANUM</t>
        </is>
      </c>
      <c r="G3085" t="n">
        <v>4.7</v>
      </c>
      <c r="H3085" t="n">
        <v>0</v>
      </c>
      <c r="I3085" t="n">
        <v>0</v>
      </c>
      <c r="J3085" t="n">
        <v>0</v>
      </c>
      <c r="K3085" t="n">
        <v>0</v>
      </c>
      <c r="L3085" t="n">
        <v>0</v>
      </c>
      <c r="M3085" t="n">
        <v>0</v>
      </c>
      <c r="N3085" t="n">
        <v>0</v>
      </c>
      <c r="O3085" t="n">
        <v>0</v>
      </c>
      <c r="P3085" t="n">
        <v>0</v>
      </c>
      <c r="Q3085" t="n">
        <v>0</v>
      </c>
      <c r="R3085" s="2" t="inlineStr"/>
    </row>
    <row r="3086" ht="15" customHeight="1">
      <c r="A3086" t="inlineStr">
        <is>
          <t>A 8097-2024</t>
        </is>
      </c>
      <c r="B3086" s="1" t="n">
        <v>45351.45969907408</v>
      </c>
      <c r="C3086" s="1" t="n">
        <v>45952</v>
      </c>
      <c r="D3086" t="inlineStr">
        <is>
          <t>VÄSTRA GÖTALANDS LÄN</t>
        </is>
      </c>
      <c r="E3086" t="inlineStr">
        <is>
          <t>BORÅS</t>
        </is>
      </c>
      <c r="G3086" t="n">
        <v>4.2</v>
      </c>
      <c r="H3086" t="n">
        <v>0</v>
      </c>
      <c r="I3086" t="n">
        <v>0</v>
      </c>
      <c r="J3086" t="n">
        <v>0</v>
      </c>
      <c r="K3086" t="n">
        <v>0</v>
      </c>
      <c r="L3086" t="n">
        <v>0</v>
      </c>
      <c r="M3086" t="n">
        <v>0</v>
      </c>
      <c r="N3086" t="n">
        <v>0</v>
      </c>
      <c r="O3086" t="n">
        <v>0</v>
      </c>
      <c r="P3086" t="n">
        <v>0</v>
      </c>
      <c r="Q3086" t="n">
        <v>0</v>
      </c>
      <c r="R3086" s="2" t="inlineStr"/>
    </row>
    <row r="3087" ht="15" customHeight="1">
      <c r="A3087" t="inlineStr">
        <is>
          <t>A 54647-2021</t>
        </is>
      </c>
      <c r="B3087" s="1" t="n">
        <v>44473.62083333333</v>
      </c>
      <c r="C3087" s="1" t="n">
        <v>45952</v>
      </c>
      <c r="D3087" t="inlineStr">
        <is>
          <t>VÄSTRA GÖTALANDS LÄN</t>
        </is>
      </c>
      <c r="E3087" t="inlineStr">
        <is>
          <t>MARK</t>
        </is>
      </c>
      <c r="G3087" t="n">
        <v>3.1</v>
      </c>
      <c r="H3087" t="n">
        <v>0</v>
      </c>
      <c r="I3087" t="n">
        <v>0</v>
      </c>
      <c r="J3087" t="n">
        <v>0</v>
      </c>
      <c r="K3087" t="n">
        <v>0</v>
      </c>
      <c r="L3087" t="n">
        <v>0</v>
      </c>
      <c r="M3087" t="n">
        <v>0</v>
      </c>
      <c r="N3087" t="n">
        <v>0</v>
      </c>
      <c r="O3087" t="n">
        <v>0</v>
      </c>
      <c r="P3087" t="n">
        <v>0</v>
      </c>
      <c r="Q3087" t="n">
        <v>0</v>
      </c>
      <c r="R3087" s="2" t="inlineStr"/>
    </row>
    <row r="3088" ht="15" customHeight="1">
      <c r="A3088" t="inlineStr">
        <is>
          <t>A 17971-2022</t>
        </is>
      </c>
      <c r="B3088" s="1" t="n">
        <v>44683</v>
      </c>
      <c r="C3088" s="1" t="n">
        <v>45952</v>
      </c>
      <c r="D3088" t="inlineStr">
        <is>
          <t>VÄSTRA GÖTALANDS LÄN</t>
        </is>
      </c>
      <c r="E3088" t="inlineStr">
        <is>
          <t>MUNKEDAL</t>
        </is>
      </c>
      <c r="G3088" t="n">
        <v>0.9</v>
      </c>
      <c r="H3088" t="n">
        <v>0</v>
      </c>
      <c r="I3088" t="n">
        <v>0</v>
      </c>
      <c r="J3088" t="n">
        <v>0</v>
      </c>
      <c r="K3088" t="n">
        <v>0</v>
      </c>
      <c r="L3088" t="n">
        <v>0</v>
      </c>
      <c r="M3088" t="n">
        <v>0</v>
      </c>
      <c r="N3088" t="n">
        <v>0</v>
      </c>
      <c r="O3088" t="n">
        <v>0</v>
      </c>
      <c r="P3088" t="n">
        <v>0</v>
      </c>
      <c r="Q3088" t="n">
        <v>0</v>
      </c>
      <c r="R3088" s="2" t="inlineStr"/>
    </row>
    <row r="3089" ht="15" customHeight="1">
      <c r="A3089" t="inlineStr">
        <is>
          <t>A 30284-2022</t>
        </is>
      </c>
      <c r="B3089" s="1" t="n">
        <v>44760</v>
      </c>
      <c r="C3089" s="1" t="n">
        <v>45952</v>
      </c>
      <c r="D3089" t="inlineStr">
        <is>
          <t>VÄSTRA GÖTALANDS LÄN</t>
        </is>
      </c>
      <c r="E3089" t="inlineStr">
        <is>
          <t>LILLA EDET</t>
        </is>
      </c>
      <c r="G3089" t="n">
        <v>0.4</v>
      </c>
      <c r="H3089" t="n">
        <v>0</v>
      </c>
      <c r="I3089" t="n">
        <v>0</v>
      </c>
      <c r="J3089" t="n">
        <v>0</v>
      </c>
      <c r="K3089" t="n">
        <v>0</v>
      </c>
      <c r="L3089" t="n">
        <v>0</v>
      </c>
      <c r="M3089" t="n">
        <v>0</v>
      </c>
      <c r="N3089" t="n">
        <v>0</v>
      </c>
      <c r="O3089" t="n">
        <v>0</v>
      </c>
      <c r="P3089" t="n">
        <v>0</v>
      </c>
      <c r="Q3089" t="n">
        <v>0</v>
      </c>
      <c r="R3089" s="2" t="inlineStr"/>
    </row>
    <row r="3090" ht="15" customHeight="1">
      <c r="A3090" t="inlineStr">
        <is>
          <t>A 30287-2022</t>
        </is>
      </c>
      <c r="B3090" s="1" t="n">
        <v>44760</v>
      </c>
      <c r="C3090" s="1" t="n">
        <v>45952</v>
      </c>
      <c r="D3090" t="inlineStr">
        <is>
          <t>VÄSTRA GÖTALANDS LÄN</t>
        </is>
      </c>
      <c r="E3090" t="inlineStr">
        <is>
          <t>LILLA EDET</t>
        </is>
      </c>
      <c r="G3090" t="n">
        <v>0.4</v>
      </c>
      <c r="H3090" t="n">
        <v>0</v>
      </c>
      <c r="I3090" t="n">
        <v>0</v>
      </c>
      <c r="J3090" t="n">
        <v>0</v>
      </c>
      <c r="K3090" t="n">
        <v>0</v>
      </c>
      <c r="L3090" t="n">
        <v>0</v>
      </c>
      <c r="M3090" t="n">
        <v>0</v>
      </c>
      <c r="N3090" t="n">
        <v>0</v>
      </c>
      <c r="O3090" t="n">
        <v>0</v>
      </c>
      <c r="P3090" t="n">
        <v>0</v>
      </c>
      <c r="Q3090" t="n">
        <v>0</v>
      </c>
      <c r="R3090" s="2" t="inlineStr"/>
    </row>
    <row r="3091" ht="15" customHeight="1">
      <c r="A3091" t="inlineStr">
        <is>
          <t>A 65072-2021</t>
        </is>
      </c>
      <c r="B3091" s="1" t="n">
        <v>44515.37336805555</v>
      </c>
      <c r="C3091" s="1" t="n">
        <v>45952</v>
      </c>
      <c r="D3091" t="inlineStr">
        <is>
          <t>VÄSTRA GÖTALANDS LÄN</t>
        </is>
      </c>
      <c r="E3091" t="inlineStr">
        <is>
          <t>SVENLJUNGA</t>
        </is>
      </c>
      <c r="G3091" t="n">
        <v>0</v>
      </c>
      <c r="H3091" t="n">
        <v>0</v>
      </c>
      <c r="I3091" t="n">
        <v>0</v>
      </c>
      <c r="J3091" t="n">
        <v>0</v>
      </c>
      <c r="K3091" t="n">
        <v>0</v>
      </c>
      <c r="L3091" t="n">
        <v>0</v>
      </c>
      <c r="M3091" t="n">
        <v>0</v>
      </c>
      <c r="N3091" t="n">
        <v>0</v>
      </c>
      <c r="O3091" t="n">
        <v>0</v>
      </c>
      <c r="P3091" t="n">
        <v>0</v>
      </c>
      <c r="Q3091" t="n">
        <v>0</v>
      </c>
      <c r="R3091" s="2" t="inlineStr"/>
    </row>
    <row r="3092" ht="15" customHeight="1">
      <c r="A3092" t="inlineStr">
        <is>
          <t>A 39044-2022</t>
        </is>
      </c>
      <c r="B3092" s="1" t="n">
        <v>44817.35599537037</v>
      </c>
      <c r="C3092" s="1" t="n">
        <v>45952</v>
      </c>
      <c r="D3092" t="inlineStr">
        <is>
          <t>VÄSTRA GÖTALANDS LÄN</t>
        </is>
      </c>
      <c r="E3092" t="inlineStr">
        <is>
          <t>HERRLJUNGA</t>
        </is>
      </c>
      <c r="G3092" t="n">
        <v>1.7</v>
      </c>
      <c r="H3092" t="n">
        <v>0</v>
      </c>
      <c r="I3092" t="n">
        <v>0</v>
      </c>
      <c r="J3092" t="n">
        <v>0</v>
      </c>
      <c r="K3092" t="n">
        <v>0</v>
      </c>
      <c r="L3092" t="n">
        <v>0</v>
      </c>
      <c r="M3092" t="n">
        <v>0</v>
      </c>
      <c r="N3092" t="n">
        <v>0</v>
      </c>
      <c r="O3092" t="n">
        <v>0</v>
      </c>
      <c r="P3092" t="n">
        <v>0</v>
      </c>
      <c r="Q3092" t="n">
        <v>0</v>
      </c>
      <c r="R3092" s="2" t="inlineStr"/>
    </row>
    <row r="3093" ht="15" customHeight="1">
      <c r="A3093" t="inlineStr">
        <is>
          <t>A 37848-2022</t>
        </is>
      </c>
      <c r="B3093" s="1" t="n">
        <v>44811.28633101852</v>
      </c>
      <c r="C3093" s="1" t="n">
        <v>45952</v>
      </c>
      <c r="D3093" t="inlineStr">
        <is>
          <t>VÄSTRA GÖTALANDS LÄN</t>
        </is>
      </c>
      <c r="E3093" t="inlineStr">
        <is>
          <t>VÅRGÅRDA</t>
        </is>
      </c>
      <c r="G3093" t="n">
        <v>1.3</v>
      </c>
      <c r="H3093" t="n">
        <v>0</v>
      </c>
      <c r="I3093" t="n">
        <v>0</v>
      </c>
      <c r="J3093" t="n">
        <v>0</v>
      </c>
      <c r="K3093" t="n">
        <v>0</v>
      </c>
      <c r="L3093" t="n">
        <v>0</v>
      </c>
      <c r="M3093" t="n">
        <v>0</v>
      </c>
      <c r="N3093" t="n">
        <v>0</v>
      </c>
      <c r="O3093" t="n">
        <v>0</v>
      </c>
      <c r="P3093" t="n">
        <v>0</v>
      </c>
      <c r="Q3093" t="n">
        <v>0</v>
      </c>
      <c r="R3093" s="2" t="inlineStr"/>
    </row>
    <row r="3094" ht="15" customHeight="1">
      <c r="A3094" t="inlineStr">
        <is>
          <t>A 37868-2022</t>
        </is>
      </c>
      <c r="B3094" s="1" t="n">
        <v>44811</v>
      </c>
      <c r="C3094" s="1" t="n">
        <v>45952</v>
      </c>
      <c r="D3094" t="inlineStr">
        <is>
          <t>VÄSTRA GÖTALANDS LÄN</t>
        </is>
      </c>
      <c r="E3094" t="inlineStr">
        <is>
          <t>MARK</t>
        </is>
      </c>
      <c r="G3094" t="n">
        <v>0.5</v>
      </c>
      <c r="H3094" t="n">
        <v>0</v>
      </c>
      <c r="I3094" t="n">
        <v>0</v>
      </c>
      <c r="J3094" t="n">
        <v>0</v>
      </c>
      <c r="K3094" t="n">
        <v>0</v>
      </c>
      <c r="L3094" t="n">
        <v>0</v>
      </c>
      <c r="M3094" t="n">
        <v>0</v>
      </c>
      <c r="N3094" t="n">
        <v>0</v>
      </c>
      <c r="O3094" t="n">
        <v>0</v>
      </c>
      <c r="P3094" t="n">
        <v>0</v>
      </c>
      <c r="Q3094" t="n">
        <v>0</v>
      </c>
      <c r="R3094" s="2" t="inlineStr"/>
    </row>
    <row r="3095" ht="15" customHeight="1">
      <c r="A3095" t="inlineStr">
        <is>
          <t>A 6898-2023</t>
        </is>
      </c>
      <c r="B3095" s="1" t="n">
        <v>44967</v>
      </c>
      <c r="C3095" s="1" t="n">
        <v>45952</v>
      </c>
      <c r="D3095" t="inlineStr">
        <is>
          <t>VÄSTRA GÖTALANDS LÄN</t>
        </is>
      </c>
      <c r="E3095" t="inlineStr">
        <is>
          <t>LIDKÖPING</t>
        </is>
      </c>
      <c r="G3095" t="n">
        <v>18</v>
      </c>
      <c r="H3095" t="n">
        <v>0</v>
      </c>
      <c r="I3095" t="n">
        <v>0</v>
      </c>
      <c r="J3095" t="n">
        <v>0</v>
      </c>
      <c r="K3095" t="n">
        <v>0</v>
      </c>
      <c r="L3095" t="n">
        <v>0</v>
      </c>
      <c r="M3095" t="n">
        <v>0</v>
      </c>
      <c r="N3095" t="n">
        <v>0</v>
      </c>
      <c r="O3095" t="n">
        <v>0</v>
      </c>
      <c r="P3095" t="n">
        <v>0</v>
      </c>
      <c r="Q3095" t="n">
        <v>0</v>
      </c>
      <c r="R3095" s="2" t="inlineStr"/>
    </row>
    <row r="3096" ht="15" customHeight="1">
      <c r="A3096" t="inlineStr">
        <is>
          <t>A 68081-2021</t>
        </is>
      </c>
      <c r="B3096" s="1" t="n">
        <v>44526.32285879629</v>
      </c>
      <c r="C3096" s="1" t="n">
        <v>45952</v>
      </c>
      <c r="D3096" t="inlineStr">
        <is>
          <t>VÄSTRA GÖTALANDS LÄN</t>
        </is>
      </c>
      <c r="E3096" t="inlineStr">
        <is>
          <t>MARIESTAD</t>
        </is>
      </c>
      <c r="F3096" t="inlineStr">
        <is>
          <t>Sveaskog</t>
        </is>
      </c>
      <c r="G3096" t="n">
        <v>0.8</v>
      </c>
      <c r="H3096" t="n">
        <v>0</v>
      </c>
      <c r="I3096" t="n">
        <v>0</v>
      </c>
      <c r="J3096" t="n">
        <v>0</v>
      </c>
      <c r="K3096" t="n">
        <v>0</v>
      </c>
      <c r="L3096" t="n">
        <v>0</v>
      </c>
      <c r="M3096" t="n">
        <v>0</v>
      </c>
      <c r="N3096" t="n">
        <v>0</v>
      </c>
      <c r="O3096" t="n">
        <v>0</v>
      </c>
      <c r="P3096" t="n">
        <v>0</v>
      </c>
      <c r="Q3096" t="n">
        <v>0</v>
      </c>
      <c r="R3096" s="2" t="inlineStr"/>
    </row>
    <row r="3097" ht="15" customHeight="1">
      <c r="A3097" t="inlineStr">
        <is>
          <t>A 21690-2024</t>
        </is>
      </c>
      <c r="B3097" s="1" t="n">
        <v>45442.44256944444</v>
      </c>
      <c r="C3097" s="1" t="n">
        <v>45952</v>
      </c>
      <c r="D3097" t="inlineStr">
        <is>
          <t>VÄSTRA GÖTALANDS LÄN</t>
        </is>
      </c>
      <c r="E3097" t="inlineStr">
        <is>
          <t>FALKÖPING</t>
        </is>
      </c>
      <c r="G3097" t="n">
        <v>2.5</v>
      </c>
      <c r="H3097" t="n">
        <v>0</v>
      </c>
      <c r="I3097" t="n">
        <v>0</v>
      </c>
      <c r="J3097" t="n">
        <v>0</v>
      </c>
      <c r="K3097" t="n">
        <v>0</v>
      </c>
      <c r="L3097" t="n">
        <v>0</v>
      </c>
      <c r="M3097" t="n">
        <v>0</v>
      </c>
      <c r="N3097" t="n">
        <v>0</v>
      </c>
      <c r="O3097" t="n">
        <v>0</v>
      </c>
      <c r="P3097" t="n">
        <v>0</v>
      </c>
      <c r="Q3097" t="n">
        <v>0</v>
      </c>
      <c r="R3097" s="2" t="inlineStr"/>
    </row>
    <row r="3098" ht="15" customHeight="1">
      <c r="A3098" t="inlineStr">
        <is>
          <t>A 2995-2024</t>
        </is>
      </c>
      <c r="B3098" s="1" t="n">
        <v>45315</v>
      </c>
      <c r="C3098" s="1" t="n">
        <v>45952</v>
      </c>
      <c r="D3098" t="inlineStr">
        <is>
          <t>VÄSTRA GÖTALANDS LÄN</t>
        </is>
      </c>
      <c r="E3098" t="inlineStr">
        <is>
          <t>VÅRGÅRDA</t>
        </is>
      </c>
      <c r="G3098" t="n">
        <v>0.6</v>
      </c>
      <c r="H3098" t="n">
        <v>0</v>
      </c>
      <c r="I3098" t="n">
        <v>0</v>
      </c>
      <c r="J3098" t="n">
        <v>0</v>
      </c>
      <c r="K3098" t="n">
        <v>0</v>
      </c>
      <c r="L3098" t="n">
        <v>0</v>
      </c>
      <c r="M3098" t="n">
        <v>0</v>
      </c>
      <c r="N3098" t="n">
        <v>0</v>
      </c>
      <c r="O3098" t="n">
        <v>0</v>
      </c>
      <c r="P3098" t="n">
        <v>0</v>
      </c>
      <c r="Q3098" t="n">
        <v>0</v>
      </c>
      <c r="R3098" s="2" t="inlineStr"/>
    </row>
    <row r="3099" ht="15" customHeight="1">
      <c r="A3099" t="inlineStr">
        <is>
          <t>A 3023-2024</t>
        </is>
      </c>
      <c r="B3099" s="1" t="n">
        <v>45316</v>
      </c>
      <c r="C3099" s="1" t="n">
        <v>45952</v>
      </c>
      <c r="D3099" t="inlineStr">
        <is>
          <t>VÄSTRA GÖTALANDS LÄN</t>
        </is>
      </c>
      <c r="E3099" t="inlineStr">
        <is>
          <t>TRANEMO</t>
        </is>
      </c>
      <c r="G3099" t="n">
        <v>4.8</v>
      </c>
      <c r="H3099" t="n">
        <v>0</v>
      </c>
      <c r="I3099" t="n">
        <v>0</v>
      </c>
      <c r="J3099" t="n">
        <v>0</v>
      </c>
      <c r="K3099" t="n">
        <v>0</v>
      </c>
      <c r="L3099" t="n">
        <v>0</v>
      </c>
      <c r="M3099" t="n">
        <v>0</v>
      </c>
      <c r="N3099" t="n">
        <v>0</v>
      </c>
      <c r="O3099" t="n">
        <v>0</v>
      </c>
      <c r="P3099" t="n">
        <v>0</v>
      </c>
      <c r="Q3099" t="n">
        <v>0</v>
      </c>
      <c r="R3099" s="2" t="inlineStr"/>
    </row>
    <row r="3100" ht="15" customHeight="1">
      <c r="A3100" t="inlineStr">
        <is>
          <t>A 33033-2024</t>
        </is>
      </c>
      <c r="B3100" s="1" t="n">
        <v>45517</v>
      </c>
      <c r="C3100" s="1" t="n">
        <v>45952</v>
      </c>
      <c r="D3100" t="inlineStr">
        <is>
          <t>VÄSTRA GÖTALANDS LÄN</t>
        </is>
      </c>
      <c r="E3100" t="inlineStr">
        <is>
          <t>VÄNERSBORG</t>
        </is>
      </c>
      <c r="G3100" t="n">
        <v>3</v>
      </c>
      <c r="H3100" t="n">
        <v>0</v>
      </c>
      <c r="I3100" t="n">
        <v>0</v>
      </c>
      <c r="J3100" t="n">
        <v>0</v>
      </c>
      <c r="K3100" t="n">
        <v>0</v>
      </c>
      <c r="L3100" t="n">
        <v>0</v>
      </c>
      <c r="M3100" t="n">
        <v>0</v>
      </c>
      <c r="N3100" t="n">
        <v>0</v>
      </c>
      <c r="O3100" t="n">
        <v>0</v>
      </c>
      <c r="P3100" t="n">
        <v>0</v>
      </c>
      <c r="Q3100" t="n">
        <v>0</v>
      </c>
      <c r="R3100" s="2" t="inlineStr"/>
    </row>
    <row r="3101" ht="15" customHeight="1">
      <c r="A3101" t="inlineStr">
        <is>
          <t>A 65457-2021</t>
        </is>
      </c>
      <c r="B3101" s="1" t="n">
        <v>44516</v>
      </c>
      <c r="C3101" s="1" t="n">
        <v>45952</v>
      </c>
      <c r="D3101" t="inlineStr">
        <is>
          <t>VÄSTRA GÖTALANDS LÄN</t>
        </is>
      </c>
      <c r="E3101" t="inlineStr">
        <is>
          <t>UDDEVALLA</t>
        </is>
      </c>
      <c r="G3101" t="n">
        <v>8.5</v>
      </c>
      <c r="H3101" t="n">
        <v>0</v>
      </c>
      <c r="I3101" t="n">
        <v>0</v>
      </c>
      <c r="J3101" t="n">
        <v>0</v>
      </c>
      <c r="K3101" t="n">
        <v>0</v>
      </c>
      <c r="L3101" t="n">
        <v>0</v>
      </c>
      <c r="M3101" t="n">
        <v>0</v>
      </c>
      <c r="N3101" t="n">
        <v>0</v>
      </c>
      <c r="O3101" t="n">
        <v>0</v>
      </c>
      <c r="P3101" t="n">
        <v>0</v>
      </c>
      <c r="Q3101" t="n">
        <v>0</v>
      </c>
      <c r="R3101" s="2" t="inlineStr"/>
    </row>
    <row r="3102" ht="15" customHeight="1">
      <c r="A3102" t="inlineStr">
        <is>
          <t>A 63950-2021</t>
        </is>
      </c>
      <c r="B3102" s="1" t="n">
        <v>44509</v>
      </c>
      <c r="C3102" s="1" t="n">
        <v>45952</v>
      </c>
      <c r="D3102" t="inlineStr">
        <is>
          <t>VÄSTRA GÖTALANDS LÄN</t>
        </is>
      </c>
      <c r="E3102" t="inlineStr">
        <is>
          <t>TIDAHOLM</t>
        </is>
      </c>
      <c r="G3102" t="n">
        <v>5</v>
      </c>
      <c r="H3102" t="n">
        <v>0</v>
      </c>
      <c r="I3102" t="n">
        <v>0</v>
      </c>
      <c r="J3102" t="n">
        <v>0</v>
      </c>
      <c r="K3102" t="n">
        <v>0</v>
      </c>
      <c r="L3102" t="n">
        <v>0</v>
      </c>
      <c r="M3102" t="n">
        <v>0</v>
      </c>
      <c r="N3102" t="n">
        <v>0</v>
      </c>
      <c r="O3102" t="n">
        <v>0</v>
      </c>
      <c r="P3102" t="n">
        <v>0</v>
      </c>
      <c r="Q3102" t="n">
        <v>0</v>
      </c>
      <c r="R3102" s="2" t="inlineStr"/>
    </row>
    <row r="3103" ht="15" customHeight="1">
      <c r="A3103" t="inlineStr">
        <is>
          <t>A 8178-2022</t>
        </is>
      </c>
      <c r="B3103" s="1" t="n">
        <v>44609.65611111111</v>
      </c>
      <c r="C3103" s="1" t="n">
        <v>45952</v>
      </c>
      <c r="D3103" t="inlineStr">
        <is>
          <t>VÄSTRA GÖTALANDS LÄN</t>
        </is>
      </c>
      <c r="E3103" t="inlineStr">
        <is>
          <t>ULRICEHAMN</t>
        </is>
      </c>
      <c r="G3103" t="n">
        <v>0.7</v>
      </c>
      <c r="H3103" t="n">
        <v>0</v>
      </c>
      <c r="I3103" t="n">
        <v>0</v>
      </c>
      <c r="J3103" t="n">
        <v>0</v>
      </c>
      <c r="K3103" t="n">
        <v>0</v>
      </c>
      <c r="L3103" t="n">
        <v>0</v>
      </c>
      <c r="M3103" t="n">
        <v>0</v>
      </c>
      <c r="N3103" t="n">
        <v>0</v>
      </c>
      <c r="O3103" t="n">
        <v>0</v>
      </c>
      <c r="P3103" t="n">
        <v>0</v>
      </c>
      <c r="Q3103" t="n">
        <v>0</v>
      </c>
      <c r="R3103" s="2" t="inlineStr"/>
    </row>
    <row r="3104" ht="15" customHeight="1">
      <c r="A3104" t="inlineStr">
        <is>
          <t>A 4870-2022</t>
        </is>
      </c>
      <c r="B3104" s="1" t="n">
        <v>44593.32331018519</v>
      </c>
      <c r="C3104" s="1" t="n">
        <v>45952</v>
      </c>
      <c r="D3104" t="inlineStr">
        <is>
          <t>VÄSTRA GÖTALANDS LÄN</t>
        </is>
      </c>
      <c r="E3104" t="inlineStr">
        <is>
          <t>ULRICEHAMN</t>
        </is>
      </c>
      <c r="G3104" t="n">
        <v>1.1</v>
      </c>
      <c r="H3104" t="n">
        <v>0</v>
      </c>
      <c r="I3104" t="n">
        <v>0</v>
      </c>
      <c r="J3104" t="n">
        <v>0</v>
      </c>
      <c r="K3104" t="n">
        <v>0</v>
      </c>
      <c r="L3104" t="n">
        <v>0</v>
      </c>
      <c r="M3104" t="n">
        <v>0</v>
      </c>
      <c r="N3104" t="n">
        <v>0</v>
      </c>
      <c r="O3104" t="n">
        <v>0</v>
      </c>
      <c r="P3104" t="n">
        <v>0</v>
      </c>
      <c r="Q3104" t="n">
        <v>0</v>
      </c>
      <c r="R3104" s="2" t="inlineStr"/>
    </row>
    <row r="3105" ht="15" customHeight="1">
      <c r="A3105" t="inlineStr">
        <is>
          <t>A 14813-2023</t>
        </is>
      </c>
      <c r="B3105" s="1" t="n">
        <v>45014.64974537037</v>
      </c>
      <c r="C3105" s="1" t="n">
        <v>45952</v>
      </c>
      <c r="D3105" t="inlineStr">
        <is>
          <t>VÄSTRA GÖTALANDS LÄN</t>
        </is>
      </c>
      <c r="E3105" t="inlineStr">
        <is>
          <t>FÄRGELANDA</t>
        </is>
      </c>
      <c r="F3105" t="inlineStr">
        <is>
          <t>Kommuner</t>
        </is>
      </c>
      <c r="G3105" t="n">
        <v>1.8</v>
      </c>
      <c r="H3105" t="n">
        <v>0</v>
      </c>
      <c r="I3105" t="n">
        <v>0</v>
      </c>
      <c r="J3105" t="n">
        <v>0</v>
      </c>
      <c r="K3105" t="n">
        <v>0</v>
      </c>
      <c r="L3105" t="n">
        <v>0</v>
      </c>
      <c r="M3105" t="n">
        <v>0</v>
      </c>
      <c r="N3105" t="n">
        <v>0</v>
      </c>
      <c r="O3105" t="n">
        <v>0</v>
      </c>
      <c r="P3105" t="n">
        <v>0</v>
      </c>
      <c r="Q3105" t="n">
        <v>0</v>
      </c>
      <c r="R3105" s="2" t="inlineStr"/>
    </row>
    <row r="3106" ht="15" customHeight="1">
      <c r="A3106" t="inlineStr">
        <is>
          <t>A 24686-2022</t>
        </is>
      </c>
      <c r="B3106" s="1" t="n">
        <v>44727.70273148148</v>
      </c>
      <c r="C3106" s="1" t="n">
        <v>45952</v>
      </c>
      <c r="D3106" t="inlineStr">
        <is>
          <t>VÄSTRA GÖTALANDS LÄN</t>
        </is>
      </c>
      <c r="E3106" t="inlineStr">
        <is>
          <t>ESSUNGA</t>
        </is>
      </c>
      <c r="G3106" t="n">
        <v>8.6</v>
      </c>
      <c r="H3106" t="n">
        <v>0</v>
      </c>
      <c r="I3106" t="n">
        <v>0</v>
      </c>
      <c r="J3106" t="n">
        <v>0</v>
      </c>
      <c r="K3106" t="n">
        <v>0</v>
      </c>
      <c r="L3106" t="n">
        <v>0</v>
      </c>
      <c r="M3106" t="n">
        <v>0</v>
      </c>
      <c r="N3106" t="n">
        <v>0</v>
      </c>
      <c r="O3106" t="n">
        <v>0</v>
      </c>
      <c r="P3106" t="n">
        <v>0</v>
      </c>
      <c r="Q3106" t="n">
        <v>0</v>
      </c>
      <c r="R3106" s="2" t="inlineStr"/>
    </row>
    <row r="3107" ht="15" customHeight="1">
      <c r="A3107" t="inlineStr">
        <is>
          <t>A 59986-2023</t>
        </is>
      </c>
      <c r="B3107" s="1" t="n">
        <v>45257.81895833334</v>
      </c>
      <c r="C3107" s="1" t="n">
        <v>45952</v>
      </c>
      <c r="D3107" t="inlineStr">
        <is>
          <t>VÄSTRA GÖTALANDS LÄN</t>
        </is>
      </c>
      <c r="E3107" t="inlineStr">
        <is>
          <t>HJO</t>
        </is>
      </c>
      <c r="G3107" t="n">
        <v>7.7</v>
      </c>
      <c r="H3107" t="n">
        <v>0</v>
      </c>
      <c r="I3107" t="n">
        <v>0</v>
      </c>
      <c r="J3107" t="n">
        <v>0</v>
      </c>
      <c r="K3107" t="n">
        <v>0</v>
      </c>
      <c r="L3107" t="n">
        <v>0</v>
      </c>
      <c r="M3107" t="n">
        <v>0</v>
      </c>
      <c r="N3107" t="n">
        <v>0</v>
      </c>
      <c r="O3107" t="n">
        <v>0</v>
      </c>
      <c r="P3107" t="n">
        <v>0</v>
      </c>
      <c r="Q3107" t="n">
        <v>0</v>
      </c>
      <c r="R3107" s="2" t="inlineStr"/>
    </row>
    <row r="3108" ht="15" customHeight="1">
      <c r="A3108" t="inlineStr">
        <is>
          <t>A 36289-2024</t>
        </is>
      </c>
      <c r="B3108" s="1" t="n">
        <v>45534</v>
      </c>
      <c r="C3108" s="1" t="n">
        <v>45952</v>
      </c>
      <c r="D3108" t="inlineStr">
        <is>
          <t>VÄSTRA GÖTALANDS LÄN</t>
        </is>
      </c>
      <c r="E3108" t="inlineStr">
        <is>
          <t>ÅMÅL</t>
        </is>
      </c>
      <c r="F3108" t="inlineStr">
        <is>
          <t>Bergvik skog väst AB</t>
        </is>
      </c>
      <c r="G3108" t="n">
        <v>11.2</v>
      </c>
      <c r="H3108" t="n">
        <v>0</v>
      </c>
      <c r="I3108" t="n">
        <v>0</v>
      </c>
      <c r="J3108" t="n">
        <v>0</v>
      </c>
      <c r="K3108" t="n">
        <v>0</v>
      </c>
      <c r="L3108" t="n">
        <v>0</v>
      </c>
      <c r="M3108" t="n">
        <v>0</v>
      </c>
      <c r="N3108" t="n">
        <v>0</v>
      </c>
      <c r="O3108" t="n">
        <v>0</v>
      </c>
      <c r="P3108" t="n">
        <v>0</v>
      </c>
      <c r="Q3108" t="n">
        <v>0</v>
      </c>
      <c r="R3108" s="2" t="inlineStr"/>
    </row>
    <row r="3109" ht="15" customHeight="1">
      <c r="A3109" t="inlineStr">
        <is>
          <t>A 68153-2020</t>
        </is>
      </c>
      <c r="B3109" s="1" t="n">
        <v>44183</v>
      </c>
      <c r="C3109" s="1" t="n">
        <v>45952</v>
      </c>
      <c r="D3109" t="inlineStr">
        <is>
          <t>VÄSTRA GÖTALANDS LÄN</t>
        </is>
      </c>
      <c r="E3109" t="inlineStr">
        <is>
          <t>BORÅS</t>
        </is>
      </c>
      <c r="G3109" t="n">
        <v>1</v>
      </c>
      <c r="H3109" t="n">
        <v>0</v>
      </c>
      <c r="I3109" t="n">
        <v>0</v>
      </c>
      <c r="J3109" t="n">
        <v>0</v>
      </c>
      <c r="K3109" t="n">
        <v>0</v>
      </c>
      <c r="L3109" t="n">
        <v>0</v>
      </c>
      <c r="M3109" t="n">
        <v>0</v>
      </c>
      <c r="N3109" t="n">
        <v>0</v>
      </c>
      <c r="O3109" t="n">
        <v>0</v>
      </c>
      <c r="P3109" t="n">
        <v>0</v>
      </c>
      <c r="Q3109" t="n">
        <v>0</v>
      </c>
      <c r="R3109" s="2" t="inlineStr"/>
    </row>
    <row r="3110" ht="15" customHeight="1">
      <c r="A3110" t="inlineStr">
        <is>
          <t>A 68157-2020</t>
        </is>
      </c>
      <c r="B3110" s="1" t="n">
        <v>44183</v>
      </c>
      <c r="C3110" s="1" t="n">
        <v>45952</v>
      </c>
      <c r="D3110" t="inlineStr">
        <is>
          <t>VÄSTRA GÖTALANDS LÄN</t>
        </is>
      </c>
      <c r="E3110" t="inlineStr">
        <is>
          <t>BORÅS</t>
        </is>
      </c>
      <c r="G3110" t="n">
        <v>2.4</v>
      </c>
      <c r="H3110" t="n">
        <v>0</v>
      </c>
      <c r="I3110" t="n">
        <v>0</v>
      </c>
      <c r="J3110" t="n">
        <v>0</v>
      </c>
      <c r="K3110" t="n">
        <v>0</v>
      </c>
      <c r="L3110" t="n">
        <v>0</v>
      </c>
      <c r="M3110" t="n">
        <v>0</v>
      </c>
      <c r="N3110" t="n">
        <v>0</v>
      </c>
      <c r="O3110" t="n">
        <v>0</v>
      </c>
      <c r="P3110" t="n">
        <v>0</v>
      </c>
      <c r="Q3110" t="n">
        <v>0</v>
      </c>
      <c r="R3110" s="2" t="inlineStr"/>
    </row>
    <row r="3111" ht="15" customHeight="1">
      <c r="A3111" t="inlineStr">
        <is>
          <t>A 68596-2021</t>
        </is>
      </c>
      <c r="B3111" s="1" t="n">
        <v>44529.54961805556</v>
      </c>
      <c r="C3111" s="1" t="n">
        <v>45952</v>
      </c>
      <c r="D3111" t="inlineStr">
        <is>
          <t>VÄSTRA GÖTALANDS LÄN</t>
        </is>
      </c>
      <c r="E3111" t="inlineStr">
        <is>
          <t>MUNKEDAL</t>
        </is>
      </c>
      <c r="G3111" t="n">
        <v>0.9</v>
      </c>
      <c r="H3111" t="n">
        <v>0</v>
      </c>
      <c r="I3111" t="n">
        <v>0</v>
      </c>
      <c r="J3111" t="n">
        <v>0</v>
      </c>
      <c r="K3111" t="n">
        <v>0</v>
      </c>
      <c r="L3111" t="n">
        <v>0</v>
      </c>
      <c r="M3111" t="n">
        <v>0</v>
      </c>
      <c r="N3111" t="n">
        <v>0</v>
      </c>
      <c r="O3111" t="n">
        <v>0</v>
      </c>
      <c r="P3111" t="n">
        <v>0</v>
      </c>
      <c r="Q3111" t="n">
        <v>0</v>
      </c>
      <c r="R3111" s="2" t="inlineStr"/>
    </row>
    <row r="3112" ht="15" customHeight="1">
      <c r="A3112" t="inlineStr">
        <is>
          <t>A 20355-2025</t>
        </is>
      </c>
      <c r="B3112" s="1" t="n">
        <v>45775.39359953703</v>
      </c>
      <c r="C3112" s="1" t="n">
        <v>45952</v>
      </c>
      <c r="D3112" t="inlineStr">
        <is>
          <t>VÄSTRA GÖTALANDS LÄN</t>
        </is>
      </c>
      <c r="E3112" t="inlineStr">
        <is>
          <t>FALKÖPING</t>
        </is>
      </c>
      <c r="G3112" t="n">
        <v>8.199999999999999</v>
      </c>
      <c r="H3112" t="n">
        <v>0</v>
      </c>
      <c r="I3112" t="n">
        <v>0</v>
      </c>
      <c r="J3112" t="n">
        <v>0</v>
      </c>
      <c r="K3112" t="n">
        <v>0</v>
      </c>
      <c r="L3112" t="n">
        <v>0</v>
      </c>
      <c r="M3112" t="n">
        <v>0</v>
      </c>
      <c r="N3112" t="n">
        <v>0</v>
      </c>
      <c r="O3112" t="n">
        <v>0</v>
      </c>
      <c r="P3112" t="n">
        <v>0</v>
      </c>
      <c r="Q3112" t="n">
        <v>0</v>
      </c>
      <c r="R3112" s="2" t="inlineStr"/>
    </row>
    <row r="3113" ht="15" customHeight="1">
      <c r="A3113" t="inlineStr">
        <is>
          <t>A 12343-2023</t>
        </is>
      </c>
      <c r="B3113" s="1" t="n">
        <v>44999.39836805555</v>
      </c>
      <c r="C3113" s="1" t="n">
        <v>45952</v>
      </c>
      <c r="D3113" t="inlineStr">
        <is>
          <t>VÄSTRA GÖTALANDS LÄN</t>
        </is>
      </c>
      <c r="E3113" t="inlineStr">
        <is>
          <t>TANUM</t>
        </is>
      </c>
      <c r="G3113" t="n">
        <v>0.7</v>
      </c>
      <c r="H3113" t="n">
        <v>0</v>
      </c>
      <c r="I3113" t="n">
        <v>0</v>
      </c>
      <c r="J3113" t="n">
        <v>0</v>
      </c>
      <c r="K3113" t="n">
        <v>0</v>
      </c>
      <c r="L3113" t="n">
        <v>0</v>
      </c>
      <c r="M3113" t="n">
        <v>0</v>
      </c>
      <c r="N3113" t="n">
        <v>0</v>
      </c>
      <c r="O3113" t="n">
        <v>0</v>
      </c>
      <c r="P3113" t="n">
        <v>0</v>
      </c>
      <c r="Q3113" t="n">
        <v>0</v>
      </c>
      <c r="R3113" s="2" t="inlineStr"/>
    </row>
    <row r="3114" ht="15" customHeight="1">
      <c r="A3114" t="inlineStr">
        <is>
          <t>A 59616-2022</t>
        </is>
      </c>
      <c r="B3114" s="1" t="n">
        <v>44907.86938657407</v>
      </c>
      <c r="C3114" s="1" t="n">
        <v>45952</v>
      </c>
      <c r="D3114" t="inlineStr">
        <is>
          <t>VÄSTRA GÖTALANDS LÄN</t>
        </is>
      </c>
      <c r="E3114" t="inlineStr">
        <is>
          <t>BENGTSFORS</t>
        </is>
      </c>
      <c r="G3114" t="n">
        <v>4.9</v>
      </c>
      <c r="H3114" t="n">
        <v>0</v>
      </c>
      <c r="I3114" t="n">
        <v>0</v>
      </c>
      <c r="J3114" t="n">
        <v>0</v>
      </c>
      <c r="K3114" t="n">
        <v>0</v>
      </c>
      <c r="L3114" t="n">
        <v>0</v>
      </c>
      <c r="M3114" t="n">
        <v>0</v>
      </c>
      <c r="N3114" t="n">
        <v>0</v>
      </c>
      <c r="O3114" t="n">
        <v>0</v>
      </c>
      <c r="P3114" t="n">
        <v>0</v>
      </c>
      <c r="Q3114" t="n">
        <v>0</v>
      </c>
      <c r="R3114" s="2" t="inlineStr"/>
    </row>
    <row r="3115" ht="15" customHeight="1">
      <c r="A3115" t="inlineStr">
        <is>
          <t>A 59619-2022</t>
        </is>
      </c>
      <c r="B3115" s="1" t="n">
        <v>44907.88240740741</v>
      </c>
      <c r="C3115" s="1" t="n">
        <v>45952</v>
      </c>
      <c r="D3115" t="inlineStr">
        <is>
          <t>VÄSTRA GÖTALANDS LÄN</t>
        </is>
      </c>
      <c r="E3115" t="inlineStr">
        <is>
          <t>VÅRGÅRDA</t>
        </is>
      </c>
      <c r="G3115" t="n">
        <v>3.3</v>
      </c>
      <c r="H3115" t="n">
        <v>0</v>
      </c>
      <c r="I3115" t="n">
        <v>0</v>
      </c>
      <c r="J3115" t="n">
        <v>0</v>
      </c>
      <c r="K3115" t="n">
        <v>0</v>
      </c>
      <c r="L3115" t="n">
        <v>0</v>
      </c>
      <c r="M3115" t="n">
        <v>0</v>
      </c>
      <c r="N3115" t="n">
        <v>0</v>
      </c>
      <c r="O3115" t="n">
        <v>0</v>
      </c>
      <c r="P3115" t="n">
        <v>0</v>
      </c>
      <c r="Q3115" t="n">
        <v>0</v>
      </c>
      <c r="R3115" s="2" t="inlineStr"/>
    </row>
    <row r="3116" ht="15" customHeight="1">
      <c r="A3116" t="inlineStr">
        <is>
          <t>A 73268-2021</t>
        </is>
      </c>
      <c r="B3116" s="1" t="n">
        <v>44550</v>
      </c>
      <c r="C3116" s="1" t="n">
        <v>45952</v>
      </c>
      <c r="D3116" t="inlineStr">
        <is>
          <t>VÄSTRA GÖTALANDS LÄN</t>
        </is>
      </c>
      <c r="E3116" t="inlineStr">
        <is>
          <t>BORÅS</t>
        </is>
      </c>
      <c r="G3116" t="n">
        <v>3.7</v>
      </c>
      <c r="H3116" t="n">
        <v>0</v>
      </c>
      <c r="I3116" t="n">
        <v>0</v>
      </c>
      <c r="J3116" t="n">
        <v>0</v>
      </c>
      <c r="K3116" t="n">
        <v>0</v>
      </c>
      <c r="L3116" t="n">
        <v>0</v>
      </c>
      <c r="M3116" t="n">
        <v>0</v>
      </c>
      <c r="N3116" t="n">
        <v>0</v>
      </c>
      <c r="O3116" t="n">
        <v>0</v>
      </c>
      <c r="P3116" t="n">
        <v>0</v>
      </c>
      <c r="Q3116" t="n">
        <v>0</v>
      </c>
      <c r="R3116" s="2" t="inlineStr"/>
    </row>
    <row r="3117" ht="15" customHeight="1">
      <c r="A3117" t="inlineStr">
        <is>
          <t>A 12059-2022</t>
        </is>
      </c>
      <c r="B3117" s="1" t="n">
        <v>44636</v>
      </c>
      <c r="C3117" s="1" t="n">
        <v>45952</v>
      </c>
      <c r="D3117" t="inlineStr">
        <is>
          <t>VÄSTRA GÖTALANDS LÄN</t>
        </is>
      </c>
      <c r="E3117" t="inlineStr">
        <is>
          <t>FÄRGELANDA</t>
        </is>
      </c>
      <c r="G3117" t="n">
        <v>1.4</v>
      </c>
      <c r="H3117" t="n">
        <v>0</v>
      </c>
      <c r="I3117" t="n">
        <v>0</v>
      </c>
      <c r="J3117" t="n">
        <v>0</v>
      </c>
      <c r="K3117" t="n">
        <v>0</v>
      </c>
      <c r="L3117" t="n">
        <v>0</v>
      </c>
      <c r="M3117" t="n">
        <v>0</v>
      </c>
      <c r="N3117" t="n">
        <v>0</v>
      </c>
      <c r="O3117" t="n">
        <v>0</v>
      </c>
      <c r="P3117" t="n">
        <v>0</v>
      </c>
      <c r="Q3117" t="n">
        <v>0</v>
      </c>
      <c r="R3117" s="2" t="inlineStr"/>
    </row>
    <row r="3118" ht="15" customHeight="1">
      <c r="A3118" t="inlineStr">
        <is>
          <t>A 61904-2021</t>
        </is>
      </c>
      <c r="B3118" s="1" t="n">
        <v>44502.34490740741</v>
      </c>
      <c r="C3118" s="1" t="n">
        <v>45952</v>
      </c>
      <c r="D3118" t="inlineStr">
        <is>
          <t>VÄSTRA GÖTALANDS LÄN</t>
        </is>
      </c>
      <c r="E3118" t="inlineStr">
        <is>
          <t>UDDEVALLA</t>
        </is>
      </c>
      <c r="G3118" t="n">
        <v>2</v>
      </c>
      <c r="H3118" t="n">
        <v>0</v>
      </c>
      <c r="I3118" t="n">
        <v>0</v>
      </c>
      <c r="J3118" t="n">
        <v>0</v>
      </c>
      <c r="K3118" t="n">
        <v>0</v>
      </c>
      <c r="L3118" t="n">
        <v>0</v>
      </c>
      <c r="M3118" t="n">
        <v>0</v>
      </c>
      <c r="N3118" t="n">
        <v>0</v>
      </c>
      <c r="O3118" t="n">
        <v>0</v>
      </c>
      <c r="P3118" t="n">
        <v>0</v>
      </c>
      <c r="Q3118" t="n">
        <v>0</v>
      </c>
      <c r="R3118" s="2" t="inlineStr"/>
    </row>
    <row r="3119" ht="15" customHeight="1">
      <c r="A3119" t="inlineStr">
        <is>
          <t>A 33931-2021</t>
        </is>
      </c>
      <c r="B3119" s="1" t="n">
        <v>44378.75256944444</v>
      </c>
      <c r="C3119" s="1" t="n">
        <v>45952</v>
      </c>
      <c r="D3119" t="inlineStr">
        <is>
          <t>VÄSTRA GÖTALANDS LÄN</t>
        </is>
      </c>
      <c r="E3119" t="inlineStr">
        <is>
          <t>TANUM</t>
        </is>
      </c>
      <c r="G3119" t="n">
        <v>0.6</v>
      </c>
      <c r="H3119" t="n">
        <v>0</v>
      </c>
      <c r="I3119" t="n">
        <v>0</v>
      </c>
      <c r="J3119" t="n">
        <v>0</v>
      </c>
      <c r="K3119" t="n">
        <v>0</v>
      </c>
      <c r="L3119" t="n">
        <v>0</v>
      </c>
      <c r="M3119" t="n">
        <v>0</v>
      </c>
      <c r="N3119" t="n">
        <v>0</v>
      </c>
      <c r="O3119" t="n">
        <v>0</v>
      </c>
      <c r="P3119" t="n">
        <v>0</v>
      </c>
      <c r="Q3119" t="n">
        <v>0</v>
      </c>
      <c r="R3119" s="2" t="inlineStr"/>
    </row>
    <row r="3120" ht="15" customHeight="1">
      <c r="A3120" t="inlineStr">
        <is>
          <t>A 59375-2020</t>
        </is>
      </c>
      <c r="B3120" s="1" t="n">
        <v>44148.3558912037</v>
      </c>
      <c r="C3120" s="1" t="n">
        <v>45952</v>
      </c>
      <c r="D3120" t="inlineStr">
        <is>
          <t>VÄSTRA GÖTALANDS LÄN</t>
        </is>
      </c>
      <c r="E3120" t="inlineStr">
        <is>
          <t>BORÅS</t>
        </is>
      </c>
      <c r="G3120" t="n">
        <v>0.4</v>
      </c>
      <c r="H3120" t="n">
        <v>0</v>
      </c>
      <c r="I3120" t="n">
        <v>0</v>
      </c>
      <c r="J3120" t="n">
        <v>0</v>
      </c>
      <c r="K3120" t="n">
        <v>0</v>
      </c>
      <c r="L3120" t="n">
        <v>0</v>
      </c>
      <c r="M3120" t="n">
        <v>0</v>
      </c>
      <c r="N3120" t="n">
        <v>0</v>
      </c>
      <c r="O3120" t="n">
        <v>0</v>
      </c>
      <c r="P3120" t="n">
        <v>0</v>
      </c>
      <c r="Q3120" t="n">
        <v>0</v>
      </c>
      <c r="R3120" s="2" t="inlineStr"/>
    </row>
    <row r="3121" ht="15" customHeight="1">
      <c r="A3121" t="inlineStr">
        <is>
          <t>A 39321-2022</t>
        </is>
      </c>
      <c r="B3121" s="1" t="n">
        <v>44817.71060185185</v>
      </c>
      <c r="C3121" s="1" t="n">
        <v>45952</v>
      </c>
      <c r="D3121" t="inlineStr">
        <is>
          <t>VÄSTRA GÖTALANDS LÄN</t>
        </is>
      </c>
      <c r="E3121" t="inlineStr">
        <is>
          <t>TIDAHOLM</t>
        </is>
      </c>
      <c r="G3121" t="n">
        <v>0.6</v>
      </c>
      <c r="H3121" t="n">
        <v>0</v>
      </c>
      <c r="I3121" t="n">
        <v>0</v>
      </c>
      <c r="J3121" t="n">
        <v>0</v>
      </c>
      <c r="K3121" t="n">
        <v>0</v>
      </c>
      <c r="L3121" t="n">
        <v>0</v>
      </c>
      <c r="M3121" t="n">
        <v>0</v>
      </c>
      <c r="N3121" t="n">
        <v>0</v>
      </c>
      <c r="O3121" t="n">
        <v>0</v>
      </c>
      <c r="P3121" t="n">
        <v>0</v>
      </c>
      <c r="Q3121" t="n">
        <v>0</v>
      </c>
      <c r="R3121" s="2" t="inlineStr"/>
    </row>
    <row r="3122" ht="15" customHeight="1">
      <c r="A3122" t="inlineStr">
        <is>
          <t>A 62294-2022</t>
        </is>
      </c>
      <c r="B3122" s="1" t="n">
        <v>44923</v>
      </c>
      <c r="C3122" s="1" t="n">
        <v>45952</v>
      </c>
      <c r="D3122" t="inlineStr">
        <is>
          <t>VÄSTRA GÖTALANDS LÄN</t>
        </is>
      </c>
      <c r="E3122" t="inlineStr">
        <is>
          <t>TROLLHÄTTAN</t>
        </is>
      </c>
      <c r="G3122" t="n">
        <v>0.6</v>
      </c>
      <c r="H3122" t="n">
        <v>0</v>
      </c>
      <c r="I3122" t="n">
        <v>0</v>
      </c>
      <c r="J3122" t="n">
        <v>0</v>
      </c>
      <c r="K3122" t="n">
        <v>0</v>
      </c>
      <c r="L3122" t="n">
        <v>0</v>
      </c>
      <c r="M3122" t="n">
        <v>0</v>
      </c>
      <c r="N3122" t="n">
        <v>0</v>
      </c>
      <c r="O3122" t="n">
        <v>0</v>
      </c>
      <c r="P3122" t="n">
        <v>0</v>
      </c>
      <c r="Q3122" t="n">
        <v>0</v>
      </c>
      <c r="R3122" s="2" t="inlineStr"/>
    </row>
    <row r="3123" ht="15" customHeight="1">
      <c r="A3123" t="inlineStr">
        <is>
          <t>A 41497-2022</t>
        </is>
      </c>
      <c r="B3123" s="1" t="n">
        <v>44826.95922453704</v>
      </c>
      <c r="C3123" s="1" t="n">
        <v>45952</v>
      </c>
      <c r="D3123" t="inlineStr">
        <is>
          <t>VÄSTRA GÖTALANDS LÄN</t>
        </is>
      </c>
      <c r="E3123" t="inlineStr">
        <is>
          <t>VÅRGÅRDA</t>
        </is>
      </c>
      <c r="G3123" t="n">
        <v>2.7</v>
      </c>
      <c r="H3123" t="n">
        <v>0</v>
      </c>
      <c r="I3123" t="n">
        <v>0</v>
      </c>
      <c r="J3123" t="n">
        <v>0</v>
      </c>
      <c r="K3123" t="n">
        <v>0</v>
      </c>
      <c r="L3123" t="n">
        <v>0</v>
      </c>
      <c r="M3123" t="n">
        <v>0</v>
      </c>
      <c r="N3123" t="n">
        <v>0</v>
      </c>
      <c r="O3123" t="n">
        <v>0</v>
      </c>
      <c r="P3123" t="n">
        <v>0</v>
      </c>
      <c r="Q3123" t="n">
        <v>0</v>
      </c>
      <c r="R3123" s="2" t="inlineStr"/>
    </row>
    <row r="3124" ht="15" customHeight="1">
      <c r="A3124" t="inlineStr">
        <is>
          <t>A 62710-2021</t>
        </is>
      </c>
      <c r="B3124" s="1" t="n">
        <v>44502</v>
      </c>
      <c r="C3124" s="1" t="n">
        <v>45952</v>
      </c>
      <c r="D3124" t="inlineStr">
        <is>
          <t>VÄSTRA GÖTALANDS LÄN</t>
        </is>
      </c>
      <c r="E3124" t="inlineStr">
        <is>
          <t>ESSUNGA</t>
        </is>
      </c>
      <c r="G3124" t="n">
        <v>1.3</v>
      </c>
      <c r="H3124" t="n">
        <v>0</v>
      </c>
      <c r="I3124" t="n">
        <v>0</v>
      </c>
      <c r="J3124" t="n">
        <v>0</v>
      </c>
      <c r="K3124" t="n">
        <v>0</v>
      </c>
      <c r="L3124" t="n">
        <v>0</v>
      </c>
      <c r="M3124" t="n">
        <v>0</v>
      </c>
      <c r="N3124" t="n">
        <v>0</v>
      </c>
      <c r="O3124" t="n">
        <v>0</v>
      </c>
      <c r="P3124" t="n">
        <v>0</v>
      </c>
      <c r="Q3124" t="n">
        <v>0</v>
      </c>
      <c r="R3124" s="2" t="inlineStr"/>
    </row>
    <row r="3125" ht="15" customHeight="1">
      <c r="A3125" t="inlineStr">
        <is>
          <t>A 59114-2021</t>
        </is>
      </c>
      <c r="B3125" s="1" t="n">
        <v>44490.43811342592</v>
      </c>
      <c r="C3125" s="1" t="n">
        <v>45952</v>
      </c>
      <c r="D3125" t="inlineStr">
        <is>
          <t>VÄSTRA GÖTALANDS LÄN</t>
        </is>
      </c>
      <c r="E3125" t="inlineStr">
        <is>
          <t>GÖTENE</t>
        </is>
      </c>
      <c r="G3125" t="n">
        <v>0.4</v>
      </c>
      <c r="H3125" t="n">
        <v>0</v>
      </c>
      <c r="I3125" t="n">
        <v>0</v>
      </c>
      <c r="J3125" t="n">
        <v>0</v>
      </c>
      <c r="K3125" t="n">
        <v>0</v>
      </c>
      <c r="L3125" t="n">
        <v>0</v>
      </c>
      <c r="M3125" t="n">
        <v>0</v>
      </c>
      <c r="N3125" t="n">
        <v>0</v>
      </c>
      <c r="O3125" t="n">
        <v>0</v>
      </c>
      <c r="P3125" t="n">
        <v>0</v>
      </c>
      <c r="Q3125" t="n">
        <v>0</v>
      </c>
      <c r="R3125" s="2" t="inlineStr"/>
    </row>
    <row r="3126" ht="15" customHeight="1">
      <c r="A3126" t="inlineStr">
        <is>
          <t>A 35622-2021</t>
        </is>
      </c>
      <c r="B3126" s="1" t="n">
        <v>44386.3971875</v>
      </c>
      <c r="C3126" s="1" t="n">
        <v>45952</v>
      </c>
      <c r="D3126" t="inlineStr">
        <is>
          <t>VÄSTRA GÖTALANDS LÄN</t>
        </is>
      </c>
      <c r="E3126" t="inlineStr">
        <is>
          <t>TANUM</t>
        </is>
      </c>
      <c r="G3126" t="n">
        <v>7.3</v>
      </c>
      <c r="H3126" t="n">
        <v>0</v>
      </c>
      <c r="I3126" t="n">
        <v>0</v>
      </c>
      <c r="J3126" t="n">
        <v>0</v>
      </c>
      <c r="K3126" t="n">
        <v>0</v>
      </c>
      <c r="L3126" t="n">
        <v>0</v>
      </c>
      <c r="M3126" t="n">
        <v>0</v>
      </c>
      <c r="N3126" t="n">
        <v>0</v>
      </c>
      <c r="O3126" t="n">
        <v>0</v>
      </c>
      <c r="P3126" t="n">
        <v>0</v>
      </c>
      <c r="Q3126" t="n">
        <v>0</v>
      </c>
      <c r="R3126" s="2" t="inlineStr"/>
    </row>
    <row r="3127" ht="15" customHeight="1">
      <c r="A3127" t="inlineStr">
        <is>
          <t>A 35771-2021</t>
        </is>
      </c>
      <c r="B3127" s="1" t="n">
        <v>44386</v>
      </c>
      <c r="C3127" s="1" t="n">
        <v>45952</v>
      </c>
      <c r="D3127" t="inlineStr">
        <is>
          <t>VÄSTRA GÖTALANDS LÄN</t>
        </is>
      </c>
      <c r="E3127" t="inlineStr">
        <is>
          <t>HJO</t>
        </is>
      </c>
      <c r="G3127" t="n">
        <v>2.2</v>
      </c>
      <c r="H3127" t="n">
        <v>0</v>
      </c>
      <c r="I3127" t="n">
        <v>0</v>
      </c>
      <c r="J3127" t="n">
        <v>0</v>
      </c>
      <c r="K3127" t="n">
        <v>0</v>
      </c>
      <c r="L3127" t="n">
        <v>0</v>
      </c>
      <c r="M3127" t="n">
        <v>0</v>
      </c>
      <c r="N3127" t="n">
        <v>0</v>
      </c>
      <c r="O3127" t="n">
        <v>0</v>
      </c>
      <c r="P3127" t="n">
        <v>0</v>
      </c>
      <c r="Q3127" t="n">
        <v>0</v>
      </c>
      <c r="R3127" s="2" t="inlineStr"/>
    </row>
    <row r="3128" ht="15" customHeight="1">
      <c r="A3128" t="inlineStr">
        <is>
          <t>A 33162-2024</t>
        </is>
      </c>
      <c r="B3128" s="1" t="n">
        <v>45518</v>
      </c>
      <c r="C3128" s="1" t="n">
        <v>45952</v>
      </c>
      <c r="D3128" t="inlineStr">
        <is>
          <t>VÄSTRA GÖTALANDS LÄN</t>
        </is>
      </c>
      <c r="E3128" t="inlineStr">
        <is>
          <t>GÖTENE</t>
        </is>
      </c>
      <c r="G3128" t="n">
        <v>2.2</v>
      </c>
      <c r="H3128" t="n">
        <v>0</v>
      </c>
      <c r="I3128" t="n">
        <v>0</v>
      </c>
      <c r="J3128" t="n">
        <v>0</v>
      </c>
      <c r="K3128" t="n">
        <v>0</v>
      </c>
      <c r="L3128" t="n">
        <v>0</v>
      </c>
      <c r="M3128" t="n">
        <v>0</v>
      </c>
      <c r="N3128" t="n">
        <v>0</v>
      </c>
      <c r="O3128" t="n">
        <v>0</v>
      </c>
      <c r="P3128" t="n">
        <v>0</v>
      </c>
      <c r="Q3128" t="n">
        <v>0</v>
      </c>
      <c r="R3128" s="2" t="inlineStr"/>
    </row>
    <row r="3129" ht="15" customHeight="1">
      <c r="A3129" t="inlineStr">
        <is>
          <t>A 53447-2021</t>
        </is>
      </c>
      <c r="B3129" s="1" t="n">
        <v>44468.68621527778</v>
      </c>
      <c r="C3129" s="1" t="n">
        <v>45952</v>
      </c>
      <c r="D3129" t="inlineStr">
        <is>
          <t>VÄSTRA GÖTALANDS LÄN</t>
        </is>
      </c>
      <c r="E3129" t="inlineStr">
        <is>
          <t>FALKÖPING</t>
        </is>
      </c>
      <c r="G3129" t="n">
        <v>1.3</v>
      </c>
      <c r="H3129" t="n">
        <v>0</v>
      </c>
      <c r="I3129" t="n">
        <v>0</v>
      </c>
      <c r="J3129" t="n">
        <v>0</v>
      </c>
      <c r="K3129" t="n">
        <v>0</v>
      </c>
      <c r="L3129" t="n">
        <v>0</v>
      </c>
      <c r="M3129" t="n">
        <v>0</v>
      </c>
      <c r="N3129" t="n">
        <v>0</v>
      </c>
      <c r="O3129" t="n">
        <v>0</v>
      </c>
      <c r="P3129" t="n">
        <v>0</v>
      </c>
      <c r="Q3129" t="n">
        <v>0</v>
      </c>
      <c r="R3129" s="2" t="inlineStr"/>
    </row>
    <row r="3130" ht="15" customHeight="1">
      <c r="A3130" t="inlineStr">
        <is>
          <t>A 36881-2021</t>
        </is>
      </c>
      <c r="B3130" s="1" t="n">
        <v>44393</v>
      </c>
      <c r="C3130" s="1" t="n">
        <v>45952</v>
      </c>
      <c r="D3130" t="inlineStr">
        <is>
          <t>VÄSTRA GÖTALANDS LÄN</t>
        </is>
      </c>
      <c r="E3130" t="inlineStr">
        <is>
          <t>ULRICEHAMN</t>
        </is>
      </c>
      <c r="G3130" t="n">
        <v>1.2</v>
      </c>
      <c r="H3130" t="n">
        <v>0</v>
      </c>
      <c r="I3130" t="n">
        <v>0</v>
      </c>
      <c r="J3130" t="n">
        <v>0</v>
      </c>
      <c r="K3130" t="n">
        <v>0</v>
      </c>
      <c r="L3130" t="n">
        <v>0</v>
      </c>
      <c r="M3130" t="n">
        <v>0</v>
      </c>
      <c r="N3130" t="n">
        <v>0</v>
      </c>
      <c r="O3130" t="n">
        <v>0</v>
      </c>
      <c r="P3130" t="n">
        <v>0</v>
      </c>
      <c r="Q3130" t="n">
        <v>0</v>
      </c>
      <c r="R3130" s="2" t="inlineStr"/>
    </row>
    <row r="3131" ht="15" customHeight="1">
      <c r="A3131" t="inlineStr">
        <is>
          <t>A 46020-2023</t>
        </is>
      </c>
      <c r="B3131" s="1" t="n">
        <v>45196.39703703704</v>
      </c>
      <c r="C3131" s="1" t="n">
        <v>45952</v>
      </c>
      <c r="D3131" t="inlineStr">
        <is>
          <t>VÄSTRA GÖTALANDS LÄN</t>
        </is>
      </c>
      <c r="E3131" t="inlineStr">
        <is>
          <t>TRANEMO</t>
        </is>
      </c>
      <c r="G3131" t="n">
        <v>1.2</v>
      </c>
      <c r="H3131" t="n">
        <v>0</v>
      </c>
      <c r="I3131" t="n">
        <v>0</v>
      </c>
      <c r="J3131" t="n">
        <v>0</v>
      </c>
      <c r="K3131" t="n">
        <v>0</v>
      </c>
      <c r="L3131" t="n">
        <v>0</v>
      </c>
      <c r="M3131" t="n">
        <v>0</v>
      </c>
      <c r="N3131" t="n">
        <v>0</v>
      </c>
      <c r="O3131" t="n">
        <v>0</v>
      </c>
      <c r="P3131" t="n">
        <v>0</v>
      </c>
      <c r="Q3131" t="n">
        <v>0</v>
      </c>
      <c r="R3131" s="2" t="inlineStr"/>
    </row>
    <row r="3132" ht="15" customHeight="1">
      <c r="A3132" t="inlineStr">
        <is>
          <t>A 46050-2023</t>
        </is>
      </c>
      <c r="B3132" s="1" t="n">
        <v>45196.44567129629</v>
      </c>
      <c r="C3132" s="1" t="n">
        <v>45952</v>
      </c>
      <c r="D3132" t="inlineStr">
        <is>
          <t>VÄSTRA GÖTALANDS LÄN</t>
        </is>
      </c>
      <c r="E3132" t="inlineStr">
        <is>
          <t>DALS-ED</t>
        </is>
      </c>
      <c r="F3132" t="inlineStr">
        <is>
          <t>Kommuner</t>
        </is>
      </c>
      <c r="G3132" t="n">
        <v>6.5</v>
      </c>
      <c r="H3132" t="n">
        <v>0</v>
      </c>
      <c r="I3132" t="n">
        <v>0</v>
      </c>
      <c r="J3132" t="n">
        <v>0</v>
      </c>
      <c r="K3132" t="n">
        <v>0</v>
      </c>
      <c r="L3132" t="n">
        <v>0</v>
      </c>
      <c r="M3132" t="n">
        <v>0</v>
      </c>
      <c r="N3132" t="n">
        <v>0</v>
      </c>
      <c r="O3132" t="n">
        <v>0</v>
      </c>
      <c r="P3132" t="n">
        <v>0</v>
      </c>
      <c r="Q3132" t="n">
        <v>0</v>
      </c>
      <c r="R3132" s="2" t="inlineStr"/>
    </row>
    <row r="3133" ht="15" customHeight="1">
      <c r="A3133" t="inlineStr">
        <is>
          <t>A 37130-2021</t>
        </is>
      </c>
      <c r="B3133" s="1" t="n">
        <v>44395</v>
      </c>
      <c r="C3133" s="1" t="n">
        <v>45952</v>
      </c>
      <c r="D3133" t="inlineStr">
        <is>
          <t>VÄSTRA GÖTALANDS LÄN</t>
        </is>
      </c>
      <c r="E3133" t="inlineStr">
        <is>
          <t>TANUM</t>
        </is>
      </c>
      <c r="G3133" t="n">
        <v>4</v>
      </c>
      <c r="H3133" t="n">
        <v>0</v>
      </c>
      <c r="I3133" t="n">
        <v>0</v>
      </c>
      <c r="J3133" t="n">
        <v>0</v>
      </c>
      <c r="K3133" t="n">
        <v>0</v>
      </c>
      <c r="L3133" t="n">
        <v>0</v>
      </c>
      <c r="M3133" t="n">
        <v>0</v>
      </c>
      <c r="N3133" t="n">
        <v>0</v>
      </c>
      <c r="O3133" t="n">
        <v>0</v>
      </c>
      <c r="P3133" t="n">
        <v>0</v>
      </c>
      <c r="Q3133" t="n">
        <v>0</v>
      </c>
      <c r="R3133" s="2" t="inlineStr"/>
    </row>
    <row r="3134" ht="15" customHeight="1">
      <c r="A3134" t="inlineStr">
        <is>
          <t>A 61986-2021</t>
        </is>
      </c>
      <c r="B3134" s="1" t="n">
        <v>44502</v>
      </c>
      <c r="C3134" s="1" t="n">
        <v>45952</v>
      </c>
      <c r="D3134" t="inlineStr">
        <is>
          <t>VÄSTRA GÖTALANDS LÄN</t>
        </is>
      </c>
      <c r="E3134" t="inlineStr">
        <is>
          <t>TIBRO</t>
        </is>
      </c>
      <c r="F3134" t="inlineStr">
        <is>
          <t>Kommuner</t>
        </is>
      </c>
      <c r="G3134" t="n">
        <v>1.7</v>
      </c>
      <c r="H3134" t="n">
        <v>0</v>
      </c>
      <c r="I3134" t="n">
        <v>0</v>
      </c>
      <c r="J3134" t="n">
        <v>0</v>
      </c>
      <c r="K3134" t="n">
        <v>0</v>
      </c>
      <c r="L3134" t="n">
        <v>0</v>
      </c>
      <c r="M3134" t="n">
        <v>0</v>
      </c>
      <c r="N3134" t="n">
        <v>0</v>
      </c>
      <c r="O3134" t="n">
        <v>0</v>
      </c>
      <c r="P3134" t="n">
        <v>0</v>
      </c>
      <c r="Q3134" t="n">
        <v>0</v>
      </c>
      <c r="R3134" s="2" t="inlineStr"/>
    </row>
    <row r="3135" ht="15" customHeight="1">
      <c r="A3135" t="inlineStr">
        <is>
          <t>A 62007-2021</t>
        </is>
      </c>
      <c r="B3135" s="1" t="n">
        <v>44502</v>
      </c>
      <c r="C3135" s="1" t="n">
        <v>45952</v>
      </c>
      <c r="D3135" t="inlineStr">
        <is>
          <t>VÄSTRA GÖTALANDS LÄN</t>
        </is>
      </c>
      <c r="E3135" t="inlineStr">
        <is>
          <t>STENUNGSUND</t>
        </is>
      </c>
      <c r="G3135" t="n">
        <v>1</v>
      </c>
      <c r="H3135" t="n">
        <v>0</v>
      </c>
      <c r="I3135" t="n">
        <v>0</v>
      </c>
      <c r="J3135" t="n">
        <v>0</v>
      </c>
      <c r="K3135" t="n">
        <v>0</v>
      </c>
      <c r="L3135" t="n">
        <v>0</v>
      </c>
      <c r="M3135" t="n">
        <v>0</v>
      </c>
      <c r="N3135" t="n">
        <v>0</v>
      </c>
      <c r="O3135" t="n">
        <v>0</v>
      </c>
      <c r="P3135" t="n">
        <v>0</v>
      </c>
      <c r="Q3135" t="n">
        <v>0</v>
      </c>
      <c r="R3135" s="2" t="inlineStr"/>
    </row>
    <row r="3136" ht="15" customHeight="1">
      <c r="A3136" t="inlineStr">
        <is>
          <t>A 49115-2022</t>
        </is>
      </c>
      <c r="B3136" s="1" t="n">
        <v>44860</v>
      </c>
      <c r="C3136" s="1" t="n">
        <v>45952</v>
      </c>
      <c r="D3136" t="inlineStr">
        <is>
          <t>VÄSTRA GÖTALANDS LÄN</t>
        </is>
      </c>
      <c r="E3136" t="inlineStr">
        <is>
          <t>TIDAHOLM</t>
        </is>
      </c>
      <c r="G3136" t="n">
        <v>2.7</v>
      </c>
      <c r="H3136" t="n">
        <v>0</v>
      </c>
      <c r="I3136" t="n">
        <v>0</v>
      </c>
      <c r="J3136" t="n">
        <v>0</v>
      </c>
      <c r="K3136" t="n">
        <v>0</v>
      </c>
      <c r="L3136" t="n">
        <v>0</v>
      </c>
      <c r="M3136" t="n">
        <v>0</v>
      </c>
      <c r="N3136" t="n">
        <v>0</v>
      </c>
      <c r="O3136" t="n">
        <v>0</v>
      </c>
      <c r="P3136" t="n">
        <v>0</v>
      </c>
      <c r="Q3136" t="n">
        <v>0</v>
      </c>
      <c r="R3136" s="2" t="inlineStr"/>
    </row>
    <row r="3137" ht="15" customHeight="1">
      <c r="A3137" t="inlineStr">
        <is>
          <t>A 9423-2022</t>
        </is>
      </c>
      <c r="B3137" s="1" t="n">
        <v>44616</v>
      </c>
      <c r="C3137" s="1" t="n">
        <v>45952</v>
      </c>
      <c r="D3137" t="inlineStr">
        <is>
          <t>VÄSTRA GÖTALANDS LÄN</t>
        </is>
      </c>
      <c r="E3137" t="inlineStr">
        <is>
          <t>GULLSPÅNG</t>
        </is>
      </c>
      <c r="F3137" t="inlineStr">
        <is>
          <t>Kyrkan</t>
        </is>
      </c>
      <c r="G3137" t="n">
        <v>8.6</v>
      </c>
      <c r="H3137" t="n">
        <v>0</v>
      </c>
      <c r="I3137" t="n">
        <v>0</v>
      </c>
      <c r="J3137" t="n">
        <v>0</v>
      </c>
      <c r="K3137" t="n">
        <v>0</v>
      </c>
      <c r="L3137" t="n">
        <v>0</v>
      </c>
      <c r="M3137" t="n">
        <v>0</v>
      </c>
      <c r="N3137" t="n">
        <v>0</v>
      </c>
      <c r="O3137" t="n">
        <v>0</v>
      </c>
      <c r="P3137" t="n">
        <v>0</v>
      </c>
      <c r="Q3137" t="n">
        <v>0</v>
      </c>
      <c r="R3137" s="2" t="inlineStr"/>
    </row>
    <row r="3138" ht="15" customHeight="1">
      <c r="A3138" t="inlineStr">
        <is>
          <t>A 48295-2022</t>
        </is>
      </c>
      <c r="B3138" s="1" t="n">
        <v>44858.51763888889</v>
      </c>
      <c r="C3138" s="1" t="n">
        <v>45952</v>
      </c>
      <c r="D3138" t="inlineStr">
        <is>
          <t>VÄSTRA GÖTALANDS LÄN</t>
        </is>
      </c>
      <c r="E3138" t="inlineStr">
        <is>
          <t>DALS-ED</t>
        </is>
      </c>
      <c r="G3138" t="n">
        <v>2.4</v>
      </c>
      <c r="H3138" t="n">
        <v>0</v>
      </c>
      <c r="I3138" t="n">
        <v>0</v>
      </c>
      <c r="J3138" t="n">
        <v>0</v>
      </c>
      <c r="K3138" t="n">
        <v>0</v>
      </c>
      <c r="L3138" t="n">
        <v>0</v>
      </c>
      <c r="M3138" t="n">
        <v>0</v>
      </c>
      <c r="N3138" t="n">
        <v>0</v>
      </c>
      <c r="O3138" t="n">
        <v>0</v>
      </c>
      <c r="P3138" t="n">
        <v>0</v>
      </c>
      <c r="Q3138" t="n">
        <v>0</v>
      </c>
      <c r="R3138" s="2" t="inlineStr"/>
    </row>
    <row r="3139" ht="15" customHeight="1">
      <c r="A3139" t="inlineStr">
        <is>
          <t>A 31333-2024</t>
        </is>
      </c>
      <c r="B3139" s="1" t="n">
        <v>45504</v>
      </c>
      <c r="C3139" s="1" t="n">
        <v>45952</v>
      </c>
      <c r="D3139" t="inlineStr">
        <is>
          <t>VÄSTRA GÖTALANDS LÄN</t>
        </is>
      </c>
      <c r="E3139" t="inlineStr">
        <is>
          <t>ÅMÅL</t>
        </is>
      </c>
      <c r="G3139" t="n">
        <v>3.9</v>
      </c>
      <c r="H3139" t="n">
        <v>0</v>
      </c>
      <c r="I3139" t="n">
        <v>0</v>
      </c>
      <c r="J3139" t="n">
        <v>0</v>
      </c>
      <c r="K3139" t="n">
        <v>0</v>
      </c>
      <c r="L3139" t="n">
        <v>0</v>
      </c>
      <c r="M3139" t="n">
        <v>0</v>
      </c>
      <c r="N3139" t="n">
        <v>0</v>
      </c>
      <c r="O3139" t="n">
        <v>0</v>
      </c>
      <c r="P3139" t="n">
        <v>0</v>
      </c>
      <c r="Q3139" t="n">
        <v>0</v>
      </c>
      <c r="R3139" s="2" t="inlineStr"/>
    </row>
    <row r="3140" ht="15" customHeight="1">
      <c r="A3140" t="inlineStr">
        <is>
          <t>A 74340-2021</t>
        </is>
      </c>
      <c r="B3140" s="1" t="n">
        <v>44559.48967592593</v>
      </c>
      <c r="C3140" s="1" t="n">
        <v>45952</v>
      </c>
      <c r="D3140" t="inlineStr">
        <is>
          <t>VÄSTRA GÖTALANDS LÄN</t>
        </is>
      </c>
      <c r="E3140" t="inlineStr">
        <is>
          <t>TIDAHOLM</t>
        </is>
      </c>
      <c r="G3140" t="n">
        <v>0.9</v>
      </c>
      <c r="H3140" t="n">
        <v>0</v>
      </c>
      <c r="I3140" t="n">
        <v>0</v>
      </c>
      <c r="J3140" t="n">
        <v>0</v>
      </c>
      <c r="K3140" t="n">
        <v>0</v>
      </c>
      <c r="L3140" t="n">
        <v>0</v>
      </c>
      <c r="M3140" t="n">
        <v>0</v>
      </c>
      <c r="N3140" t="n">
        <v>0</v>
      </c>
      <c r="O3140" t="n">
        <v>0</v>
      </c>
      <c r="P3140" t="n">
        <v>0</v>
      </c>
      <c r="Q3140" t="n">
        <v>0</v>
      </c>
      <c r="R3140" s="2" t="inlineStr"/>
    </row>
    <row r="3141" ht="15" customHeight="1">
      <c r="A3141" t="inlineStr">
        <is>
          <t>A 18345-2021</t>
        </is>
      </c>
      <c r="B3141" s="1" t="n">
        <v>44305</v>
      </c>
      <c r="C3141" s="1" t="n">
        <v>45952</v>
      </c>
      <c r="D3141" t="inlineStr">
        <is>
          <t>VÄSTRA GÖTALANDS LÄN</t>
        </is>
      </c>
      <c r="E3141" t="inlineStr">
        <is>
          <t>SKÖVDE</t>
        </is>
      </c>
      <c r="G3141" t="n">
        <v>2.1</v>
      </c>
      <c r="H3141" t="n">
        <v>0</v>
      </c>
      <c r="I3141" t="n">
        <v>0</v>
      </c>
      <c r="J3141" t="n">
        <v>0</v>
      </c>
      <c r="K3141" t="n">
        <v>0</v>
      </c>
      <c r="L3141" t="n">
        <v>0</v>
      </c>
      <c r="M3141" t="n">
        <v>0</v>
      </c>
      <c r="N3141" t="n">
        <v>0</v>
      </c>
      <c r="O3141" t="n">
        <v>0</v>
      </c>
      <c r="P3141" t="n">
        <v>0</v>
      </c>
      <c r="Q3141" t="n">
        <v>0</v>
      </c>
      <c r="R3141" s="2" t="inlineStr"/>
    </row>
    <row r="3142" ht="15" customHeight="1">
      <c r="A3142" t="inlineStr">
        <is>
          <t>A 18358-2021</t>
        </is>
      </c>
      <c r="B3142" s="1" t="n">
        <v>44305</v>
      </c>
      <c r="C3142" s="1" t="n">
        <v>45952</v>
      </c>
      <c r="D3142" t="inlineStr">
        <is>
          <t>VÄSTRA GÖTALANDS LÄN</t>
        </is>
      </c>
      <c r="E3142" t="inlineStr">
        <is>
          <t>HERRLJUNGA</t>
        </is>
      </c>
      <c r="G3142" t="n">
        <v>1.8</v>
      </c>
      <c r="H3142" t="n">
        <v>0</v>
      </c>
      <c r="I3142" t="n">
        <v>0</v>
      </c>
      <c r="J3142" t="n">
        <v>0</v>
      </c>
      <c r="K3142" t="n">
        <v>0</v>
      </c>
      <c r="L3142" t="n">
        <v>0</v>
      </c>
      <c r="M3142" t="n">
        <v>0</v>
      </c>
      <c r="N3142" t="n">
        <v>0</v>
      </c>
      <c r="O3142" t="n">
        <v>0</v>
      </c>
      <c r="P3142" t="n">
        <v>0</v>
      </c>
      <c r="Q3142" t="n">
        <v>0</v>
      </c>
      <c r="R3142" s="2" t="inlineStr"/>
    </row>
    <row r="3143" ht="15" customHeight="1">
      <c r="A3143" t="inlineStr">
        <is>
          <t>A 3045-2022</t>
        </is>
      </c>
      <c r="B3143" s="1" t="n">
        <v>44582</v>
      </c>
      <c r="C3143" s="1" t="n">
        <v>45952</v>
      </c>
      <c r="D3143" t="inlineStr">
        <is>
          <t>VÄSTRA GÖTALANDS LÄN</t>
        </is>
      </c>
      <c r="E3143" t="inlineStr">
        <is>
          <t>ALINGSÅS</t>
        </is>
      </c>
      <c r="G3143" t="n">
        <v>0.5</v>
      </c>
      <c r="H3143" t="n">
        <v>0</v>
      </c>
      <c r="I3143" t="n">
        <v>0</v>
      </c>
      <c r="J3143" t="n">
        <v>0</v>
      </c>
      <c r="K3143" t="n">
        <v>0</v>
      </c>
      <c r="L3143" t="n">
        <v>0</v>
      </c>
      <c r="M3143" t="n">
        <v>0</v>
      </c>
      <c r="N3143" t="n">
        <v>0</v>
      </c>
      <c r="O3143" t="n">
        <v>0</v>
      </c>
      <c r="P3143" t="n">
        <v>0</v>
      </c>
      <c r="Q3143" t="n">
        <v>0</v>
      </c>
      <c r="R3143" s="2" t="inlineStr"/>
    </row>
    <row r="3144" ht="15" customHeight="1">
      <c r="A3144" t="inlineStr">
        <is>
          <t>A 62683-2020</t>
        </is>
      </c>
      <c r="B3144" s="1" t="n">
        <v>44161</v>
      </c>
      <c r="C3144" s="1" t="n">
        <v>45952</v>
      </c>
      <c r="D3144" t="inlineStr">
        <is>
          <t>VÄSTRA GÖTALANDS LÄN</t>
        </is>
      </c>
      <c r="E3144" t="inlineStr">
        <is>
          <t>TANUM</t>
        </is>
      </c>
      <c r="G3144" t="n">
        <v>1.7</v>
      </c>
      <c r="H3144" t="n">
        <v>0</v>
      </c>
      <c r="I3144" t="n">
        <v>0</v>
      </c>
      <c r="J3144" t="n">
        <v>0</v>
      </c>
      <c r="K3144" t="n">
        <v>0</v>
      </c>
      <c r="L3144" t="n">
        <v>0</v>
      </c>
      <c r="M3144" t="n">
        <v>0</v>
      </c>
      <c r="N3144" t="n">
        <v>0</v>
      </c>
      <c r="O3144" t="n">
        <v>0</v>
      </c>
      <c r="P3144" t="n">
        <v>0</v>
      </c>
      <c r="Q3144" t="n">
        <v>0</v>
      </c>
      <c r="R3144" s="2" t="inlineStr"/>
    </row>
    <row r="3145" ht="15" customHeight="1">
      <c r="A3145" t="inlineStr">
        <is>
          <t>A 38134-2022</t>
        </is>
      </c>
      <c r="B3145" s="1" t="n">
        <v>44812</v>
      </c>
      <c r="C3145" s="1" t="n">
        <v>45952</v>
      </c>
      <c r="D3145" t="inlineStr">
        <is>
          <t>VÄSTRA GÖTALANDS LÄN</t>
        </is>
      </c>
      <c r="E3145" t="inlineStr">
        <is>
          <t>TIDAHOLM</t>
        </is>
      </c>
      <c r="G3145" t="n">
        <v>2.4</v>
      </c>
      <c r="H3145" t="n">
        <v>0</v>
      </c>
      <c r="I3145" t="n">
        <v>0</v>
      </c>
      <c r="J3145" t="n">
        <v>0</v>
      </c>
      <c r="K3145" t="n">
        <v>0</v>
      </c>
      <c r="L3145" t="n">
        <v>0</v>
      </c>
      <c r="M3145" t="n">
        <v>0</v>
      </c>
      <c r="N3145" t="n">
        <v>0</v>
      </c>
      <c r="O3145" t="n">
        <v>0</v>
      </c>
      <c r="P3145" t="n">
        <v>0</v>
      </c>
      <c r="Q3145" t="n">
        <v>0</v>
      </c>
      <c r="R3145" s="2" t="inlineStr"/>
    </row>
    <row r="3146" ht="15" customHeight="1">
      <c r="A3146" t="inlineStr">
        <is>
          <t>A 40592-2022</t>
        </is>
      </c>
      <c r="B3146" s="1" t="n">
        <v>44823</v>
      </c>
      <c r="C3146" s="1" t="n">
        <v>45952</v>
      </c>
      <c r="D3146" t="inlineStr">
        <is>
          <t>VÄSTRA GÖTALANDS LÄN</t>
        </is>
      </c>
      <c r="E3146" t="inlineStr">
        <is>
          <t>SKÖVDE</t>
        </is>
      </c>
      <c r="G3146" t="n">
        <v>0.4</v>
      </c>
      <c r="H3146" t="n">
        <v>0</v>
      </c>
      <c r="I3146" t="n">
        <v>0</v>
      </c>
      <c r="J3146" t="n">
        <v>0</v>
      </c>
      <c r="K3146" t="n">
        <v>0</v>
      </c>
      <c r="L3146" t="n">
        <v>0</v>
      </c>
      <c r="M3146" t="n">
        <v>0</v>
      </c>
      <c r="N3146" t="n">
        <v>0</v>
      </c>
      <c r="O3146" t="n">
        <v>0</v>
      </c>
      <c r="P3146" t="n">
        <v>0</v>
      </c>
      <c r="Q3146" t="n">
        <v>0</v>
      </c>
      <c r="R3146" s="2" t="inlineStr"/>
    </row>
    <row r="3147" ht="15" customHeight="1">
      <c r="A3147" t="inlineStr">
        <is>
          <t>A 11282-2022</t>
        </is>
      </c>
      <c r="B3147" s="1" t="n">
        <v>44629.92052083334</v>
      </c>
      <c r="C3147" s="1" t="n">
        <v>45952</v>
      </c>
      <c r="D3147" t="inlineStr">
        <is>
          <t>VÄSTRA GÖTALANDS LÄN</t>
        </is>
      </c>
      <c r="E3147" t="inlineStr">
        <is>
          <t>SKÖVDE</t>
        </is>
      </c>
      <c r="G3147" t="n">
        <v>1.1</v>
      </c>
      <c r="H3147" t="n">
        <v>0</v>
      </c>
      <c r="I3147" t="n">
        <v>0</v>
      </c>
      <c r="J3147" t="n">
        <v>0</v>
      </c>
      <c r="K3147" t="n">
        <v>0</v>
      </c>
      <c r="L3147" t="n">
        <v>0</v>
      </c>
      <c r="M3147" t="n">
        <v>0</v>
      </c>
      <c r="N3147" t="n">
        <v>0</v>
      </c>
      <c r="O3147" t="n">
        <v>0</v>
      </c>
      <c r="P3147" t="n">
        <v>0</v>
      </c>
      <c r="Q3147" t="n">
        <v>0</v>
      </c>
      <c r="R3147" s="2" t="inlineStr"/>
    </row>
    <row r="3148" ht="15" customHeight="1">
      <c r="A3148" t="inlineStr">
        <is>
          <t>A 29956-2024</t>
        </is>
      </c>
      <c r="B3148" s="1" t="n">
        <v>45488.45196759259</v>
      </c>
      <c r="C3148" s="1" t="n">
        <v>45952</v>
      </c>
      <c r="D3148" t="inlineStr">
        <is>
          <t>VÄSTRA GÖTALANDS LÄN</t>
        </is>
      </c>
      <c r="E3148" t="inlineStr">
        <is>
          <t>MUNKEDAL</t>
        </is>
      </c>
      <c r="G3148" t="n">
        <v>0.9</v>
      </c>
      <c r="H3148" t="n">
        <v>0</v>
      </c>
      <c r="I3148" t="n">
        <v>0</v>
      </c>
      <c r="J3148" t="n">
        <v>0</v>
      </c>
      <c r="K3148" t="n">
        <v>0</v>
      </c>
      <c r="L3148" t="n">
        <v>0</v>
      </c>
      <c r="M3148" t="n">
        <v>0</v>
      </c>
      <c r="N3148" t="n">
        <v>0</v>
      </c>
      <c r="O3148" t="n">
        <v>0</v>
      </c>
      <c r="P3148" t="n">
        <v>0</v>
      </c>
      <c r="Q3148" t="n">
        <v>0</v>
      </c>
      <c r="R3148" s="2" t="inlineStr"/>
    </row>
    <row r="3149" ht="15" customHeight="1">
      <c r="A3149" t="inlineStr">
        <is>
          <t>A 29959-2024</t>
        </is>
      </c>
      <c r="B3149" s="1" t="n">
        <v>45488.45628472222</v>
      </c>
      <c r="C3149" s="1" t="n">
        <v>45952</v>
      </c>
      <c r="D3149" t="inlineStr">
        <is>
          <t>VÄSTRA GÖTALANDS LÄN</t>
        </is>
      </c>
      <c r="E3149" t="inlineStr">
        <is>
          <t>MUNKEDAL</t>
        </is>
      </c>
      <c r="G3149" t="n">
        <v>0.5</v>
      </c>
      <c r="H3149" t="n">
        <v>0</v>
      </c>
      <c r="I3149" t="n">
        <v>0</v>
      </c>
      <c r="J3149" t="n">
        <v>0</v>
      </c>
      <c r="K3149" t="n">
        <v>0</v>
      </c>
      <c r="L3149" t="n">
        <v>0</v>
      </c>
      <c r="M3149" t="n">
        <v>0</v>
      </c>
      <c r="N3149" t="n">
        <v>0</v>
      </c>
      <c r="O3149" t="n">
        <v>0</v>
      </c>
      <c r="P3149" t="n">
        <v>0</v>
      </c>
      <c r="Q3149" t="n">
        <v>0</v>
      </c>
      <c r="R3149" s="2" t="inlineStr"/>
    </row>
    <row r="3150" ht="15" customHeight="1">
      <c r="A3150" t="inlineStr">
        <is>
          <t>A 3468-2021</t>
        </is>
      </c>
      <c r="B3150" s="1" t="n">
        <v>44218</v>
      </c>
      <c r="C3150" s="1" t="n">
        <v>45952</v>
      </c>
      <c r="D3150" t="inlineStr">
        <is>
          <t>VÄSTRA GÖTALANDS LÄN</t>
        </is>
      </c>
      <c r="E3150" t="inlineStr">
        <is>
          <t>DALS-ED</t>
        </is>
      </c>
      <c r="G3150" t="n">
        <v>1.3</v>
      </c>
      <c r="H3150" t="n">
        <v>0</v>
      </c>
      <c r="I3150" t="n">
        <v>0</v>
      </c>
      <c r="J3150" t="n">
        <v>0</v>
      </c>
      <c r="K3150" t="n">
        <v>0</v>
      </c>
      <c r="L3150" t="n">
        <v>0</v>
      </c>
      <c r="M3150" t="n">
        <v>0</v>
      </c>
      <c r="N3150" t="n">
        <v>0</v>
      </c>
      <c r="O3150" t="n">
        <v>0</v>
      </c>
      <c r="P3150" t="n">
        <v>0</v>
      </c>
      <c r="Q3150" t="n">
        <v>0</v>
      </c>
      <c r="R3150" s="2" t="inlineStr"/>
    </row>
    <row r="3151" ht="15" customHeight="1">
      <c r="A3151" t="inlineStr">
        <is>
          <t>A 51924-2022</t>
        </is>
      </c>
      <c r="B3151" s="1" t="n">
        <v>44872.64039351852</v>
      </c>
      <c r="C3151" s="1" t="n">
        <v>45952</v>
      </c>
      <c r="D3151" t="inlineStr">
        <is>
          <t>VÄSTRA GÖTALANDS LÄN</t>
        </is>
      </c>
      <c r="E3151" t="inlineStr">
        <is>
          <t>SVENLJUNGA</t>
        </is>
      </c>
      <c r="G3151" t="n">
        <v>0.7</v>
      </c>
      <c r="H3151" t="n">
        <v>0</v>
      </c>
      <c r="I3151" t="n">
        <v>0</v>
      </c>
      <c r="J3151" t="n">
        <v>0</v>
      </c>
      <c r="K3151" t="n">
        <v>0</v>
      </c>
      <c r="L3151" t="n">
        <v>0</v>
      </c>
      <c r="M3151" t="n">
        <v>0</v>
      </c>
      <c r="N3151" t="n">
        <v>0</v>
      </c>
      <c r="O3151" t="n">
        <v>0</v>
      </c>
      <c r="P3151" t="n">
        <v>0</v>
      </c>
      <c r="Q3151" t="n">
        <v>0</v>
      </c>
      <c r="R3151" s="2" t="inlineStr"/>
    </row>
    <row r="3152" ht="15" customHeight="1">
      <c r="A3152" t="inlineStr">
        <is>
          <t>A 43608-2021</t>
        </is>
      </c>
      <c r="B3152" s="1" t="n">
        <v>44433.48688657407</v>
      </c>
      <c r="C3152" s="1" t="n">
        <v>45952</v>
      </c>
      <c r="D3152" t="inlineStr">
        <is>
          <t>VÄSTRA GÖTALANDS LÄN</t>
        </is>
      </c>
      <c r="E3152" t="inlineStr">
        <is>
          <t>TRANEMO</t>
        </is>
      </c>
      <c r="G3152" t="n">
        <v>1.4</v>
      </c>
      <c r="H3152" t="n">
        <v>0</v>
      </c>
      <c r="I3152" t="n">
        <v>0</v>
      </c>
      <c r="J3152" t="n">
        <v>0</v>
      </c>
      <c r="K3152" t="n">
        <v>0</v>
      </c>
      <c r="L3152" t="n">
        <v>0</v>
      </c>
      <c r="M3152" t="n">
        <v>0</v>
      </c>
      <c r="N3152" t="n">
        <v>0</v>
      </c>
      <c r="O3152" t="n">
        <v>0</v>
      </c>
      <c r="P3152" t="n">
        <v>0</v>
      </c>
      <c r="Q3152" t="n">
        <v>0</v>
      </c>
      <c r="R3152" s="2" t="inlineStr"/>
    </row>
    <row r="3153" ht="15" customHeight="1">
      <c r="A3153" t="inlineStr">
        <is>
          <t>A 53761-2024</t>
        </is>
      </c>
      <c r="B3153" s="1" t="n">
        <v>45615.50958333333</v>
      </c>
      <c r="C3153" s="1" t="n">
        <v>45952</v>
      </c>
      <c r="D3153" t="inlineStr">
        <is>
          <t>VÄSTRA GÖTALANDS LÄN</t>
        </is>
      </c>
      <c r="E3153" t="inlineStr">
        <is>
          <t>STRÖMSTAD</t>
        </is>
      </c>
      <c r="G3153" t="n">
        <v>3.3</v>
      </c>
      <c r="H3153" t="n">
        <v>0</v>
      </c>
      <c r="I3153" t="n">
        <v>0</v>
      </c>
      <c r="J3153" t="n">
        <v>0</v>
      </c>
      <c r="K3153" t="n">
        <v>0</v>
      </c>
      <c r="L3153" t="n">
        <v>0</v>
      </c>
      <c r="M3153" t="n">
        <v>0</v>
      </c>
      <c r="N3153" t="n">
        <v>0</v>
      </c>
      <c r="O3153" t="n">
        <v>0</v>
      </c>
      <c r="P3153" t="n">
        <v>0</v>
      </c>
      <c r="Q3153" t="n">
        <v>0</v>
      </c>
      <c r="R3153" s="2" t="inlineStr"/>
    </row>
    <row r="3154" ht="15" customHeight="1">
      <c r="A3154" t="inlineStr">
        <is>
          <t>A 2026-2025</t>
        </is>
      </c>
      <c r="B3154" s="1" t="n">
        <v>45672.48296296296</v>
      </c>
      <c r="C3154" s="1" t="n">
        <v>45952</v>
      </c>
      <c r="D3154" t="inlineStr">
        <is>
          <t>VÄSTRA GÖTALANDS LÄN</t>
        </is>
      </c>
      <c r="E3154" t="inlineStr">
        <is>
          <t>UDDEVALLA</t>
        </is>
      </c>
      <c r="G3154" t="n">
        <v>3.2</v>
      </c>
      <c r="H3154" t="n">
        <v>0</v>
      </c>
      <c r="I3154" t="n">
        <v>0</v>
      </c>
      <c r="J3154" t="n">
        <v>0</v>
      </c>
      <c r="K3154" t="n">
        <v>0</v>
      </c>
      <c r="L3154" t="n">
        <v>0</v>
      </c>
      <c r="M3154" t="n">
        <v>0</v>
      </c>
      <c r="N3154" t="n">
        <v>0</v>
      </c>
      <c r="O3154" t="n">
        <v>0</v>
      </c>
      <c r="P3154" t="n">
        <v>0</v>
      </c>
      <c r="Q3154" t="n">
        <v>0</v>
      </c>
      <c r="R3154" s="2" t="inlineStr"/>
    </row>
    <row r="3155" ht="15" customHeight="1">
      <c r="A3155" t="inlineStr">
        <is>
          <t>A 8240-2022</t>
        </is>
      </c>
      <c r="B3155" s="1" t="n">
        <v>44609</v>
      </c>
      <c r="C3155" s="1" t="n">
        <v>45952</v>
      </c>
      <c r="D3155" t="inlineStr">
        <is>
          <t>VÄSTRA GÖTALANDS LÄN</t>
        </is>
      </c>
      <c r="E3155" t="inlineStr">
        <is>
          <t>BORÅS</t>
        </is>
      </c>
      <c r="G3155" t="n">
        <v>0.1</v>
      </c>
      <c r="H3155" t="n">
        <v>0</v>
      </c>
      <c r="I3155" t="n">
        <v>0</v>
      </c>
      <c r="J3155" t="n">
        <v>0</v>
      </c>
      <c r="K3155" t="n">
        <v>0</v>
      </c>
      <c r="L3155" t="n">
        <v>0</v>
      </c>
      <c r="M3155" t="n">
        <v>0</v>
      </c>
      <c r="N3155" t="n">
        <v>0</v>
      </c>
      <c r="O3155" t="n">
        <v>0</v>
      </c>
      <c r="P3155" t="n">
        <v>0</v>
      </c>
      <c r="Q3155" t="n">
        <v>0</v>
      </c>
      <c r="R3155" s="2" t="inlineStr"/>
    </row>
    <row r="3156" ht="15" customHeight="1">
      <c r="A3156" t="inlineStr">
        <is>
          <t>A 33329-2022</t>
        </is>
      </c>
      <c r="B3156" s="1" t="n">
        <v>44788.45302083333</v>
      </c>
      <c r="C3156" s="1" t="n">
        <v>45952</v>
      </c>
      <c r="D3156" t="inlineStr">
        <is>
          <t>VÄSTRA GÖTALANDS LÄN</t>
        </is>
      </c>
      <c r="E3156" t="inlineStr">
        <is>
          <t>TRANEMO</t>
        </is>
      </c>
      <c r="G3156" t="n">
        <v>0.6</v>
      </c>
      <c r="H3156" t="n">
        <v>0</v>
      </c>
      <c r="I3156" t="n">
        <v>0</v>
      </c>
      <c r="J3156" t="n">
        <v>0</v>
      </c>
      <c r="K3156" t="n">
        <v>0</v>
      </c>
      <c r="L3156" t="n">
        <v>0</v>
      </c>
      <c r="M3156" t="n">
        <v>0</v>
      </c>
      <c r="N3156" t="n">
        <v>0</v>
      </c>
      <c r="O3156" t="n">
        <v>0</v>
      </c>
      <c r="P3156" t="n">
        <v>0</v>
      </c>
      <c r="Q3156" t="n">
        <v>0</v>
      </c>
      <c r="R3156" s="2" t="inlineStr"/>
    </row>
    <row r="3157" ht="15" customHeight="1">
      <c r="A3157" t="inlineStr">
        <is>
          <t>A 13341-2022</t>
        </is>
      </c>
      <c r="B3157" s="1" t="n">
        <v>44645</v>
      </c>
      <c r="C3157" s="1" t="n">
        <v>45952</v>
      </c>
      <c r="D3157" t="inlineStr">
        <is>
          <t>VÄSTRA GÖTALANDS LÄN</t>
        </is>
      </c>
      <c r="E3157" t="inlineStr">
        <is>
          <t>SVENLJUNGA</t>
        </is>
      </c>
      <c r="F3157" t="inlineStr">
        <is>
          <t>Kommuner</t>
        </is>
      </c>
      <c r="G3157" t="n">
        <v>6.5</v>
      </c>
      <c r="H3157" t="n">
        <v>0</v>
      </c>
      <c r="I3157" t="n">
        <v>0</v>
      </c>
      <c r="J3157" t="n">
        <v>0</v>
      </c>
      <c r="K3157" t="n">
        <v>0</v>
      </c>
      <c r="L3157" t="n">
        <v>0</v>
      </c>
      <c r="M3157" t="n">
        <v>0</v>
      </c>
      <c r="N3157" t="n">
        <v>0</v>
      </c>
      <c r="O3157" t="n">
        <v>0</v>
      </c>
      <c r="P3157" t="n">
        <v>0</v>
      </c>
      <c r="Q3157" t="n">
        <v>0</v>
      </c>
      <c r="R3157" s="2" t="inlineStr"/>
    </row>
    <row r="3158" ht="15" customHeight="1">
      <c r="A3158" t="inlineStr">
        <is>
          <t>A 9097-2022</t>
        </is>
      </c>
      <c r="B3158" s="1" t="n">
        <v>44615.50123842592</v>
      </c>
      <c r="C3158" s="1" t="n">
        <v>45952</v>
      </c>
      <c r="D3158" t="inlineStr">
        <is>
          <t>VÄSTRA GÖTALANDS LÄN</t>
        </is>
      </c>
      <c r="E3158" t="inlineStr">
        <is>
          <t>BENGTSFORS</t>
        </is>
      </c>
      <c r="G3158" t="n">
        <v>1.7</v>
      </c>
      <c r="H3158" t="n">
        <v>0</v>
      </c>
      <c r="I3158" t="n">
        <v>0</v>
      </c>
      <c r="J3158" t="n">
        <v>0</v>
      </c>
      <c r="K3158" t="n">
        <v>0</v>
      </c>
      <c r="L3158" t="n">
        <v>0</v>
      </c>
      <c r="M3158" t="n">
        <v>0</v>
      </c>
      <c r="N3158" t="n">
        <v>0</v>
      </c>
      <c r="O3158" t="n">
        <v>0</v>
      </c>
      <c r="P3158" t="n">
        <v>0</v>
      </c>
      <c r="Q3158" t="n">
        <v>0</v>
      </c>
      <c r="R3158" s="2" t="inlineStr"/>
    </row>
    <row r="3159" ht="15" customHeight="1">
      <c r="A3159" t="inlineStr">
        <is>
          <t>A 9189-2022</t>
        </is>
      </c>
      <c r="B3159" s="1" t="n">
        <v>44615.89261574074</v>
      </c>
      <c r="C3159" s="1" t="n">
        <v>45952</v>
      </c>
      <c r="D3159" t="inlineStr">
        <is>
          <t>VÄSTRA GÖTALANDS LÄN</t>
        </is>
      </c>
      <c r="E3159" t="inlineStr">
        <is>
          <t>VÅRGÅRDA</t>
        </is>
      </c>
      <c r="G3159" t="n">
        <v>4.6</v>
      </c>
      <c r="H3159" t="n">
        <v>0</v>
      </c>
      <c r="I3159" t="n">
        <v>0</v>
      </c>
      <c r="J3159" t="n">
        <v>0</v>
      </c>
      <c r="K3159" t="n">
        <v>0</v>
      </c>
      <c r="L3159" t="n">
        <v>0</v>
      </c>
      <c r="M3159" t="n">
        <v>0</v>
      </c>
      <c r="N3159" t="n">
        <v>0</v>
      </c>
      <c r="O3159" t="n">
        <v>0</v>
      </c>
      <c r="P3159" t="n">
        <v>0</v>
      </c>
      <c r="Q3159" t="n">
        <v>0</v>
      </c>
      <c r="R3159" s="2" t="inlineStr"/>
    </row>
    <row r="3160" ht="15" customHeight="1">
      <c r="A3160" t="inlineStr">
        <is>
          <t>A 17670-2025</t>
        </is>
      </c>
      <c r="B3160" s="1" t="n">
        <v>45758.3678125</v>
      </c>
      <c r="C3160" s="1" t="n">
        <v>45952</v>
      </c>
      <c r="D3160" t="inlineStr">
        <is>
          <t>VÄSTRA GÖTALANDS LÄN</t>
        </is>
      </c>
      <c r="E3160" t="inlineStr">
        <is>
          <t>TIDAHOLM</t>
        </is>
      </c>
      <c r="G3160" t="n">
        <v>1.6</v>
      </c>
      <c r="H3160" t="n">
        <v>0</v>
      </c>
      <c r="I3160" t="n">
        <v>0</v>
      </c>
      <c r="J3160" t="n">
        <v>0</v>
      </c>
      <c r="K3160" t="n">
        <v>0</v>
      </c>
      <c r="L3160" t="n">
        <v>0</v>
      </c>
      <c r="M3160" t="n">
        <v>0</v>
      </c>
      <c r="N3160" t="n">
        <v>0</v>
      </c>
      <c r="O3160" t="n">
        <v>0</v>
      </c>
      <c r="P3160" t="n">
        <v>0</v>
      </c>
      <c r="Q3160" t="n">
        <v>0</v>
      </c>
      <c r="R3160" s="2" t="inlineStr"/>
    </row>
    <row r="3161" ht="15" customHeight="1">
      <c r="A3161" t="inlineStr">
        <is>
          <t>A 2441-2022</t>
        </is>
      </c>
      <c r="B3161" s="1" t="n">
        <v>44579</v>
      </c>
      <c r="C3161" s="1" t="n">
        <v>45952</v>
      </c>
      <c r="D3161" t="inlineStr">
        <is>
          <t>VÄSTRA GÖTALANDS LÄN</t>
        </is>
      </c>
      <c r="E3161" t="inlineStr">
        <is>
          <t>SVENLJUNGA</t>
        </is>
      </c>
      <c r="G3161" t="n">
        <v>4.2</v>
      </c>
      <c r="H3161" t="n">
        <v>0</v>
      </c>
      <c r="I3161" t="n">
        <v>0</v>
      </c>
      <c r="J3161" t="n">
        <v>0</v>
      </c>
      <c r="K3161" t="n">
        <v>0</v>
      </c>
      <c r="L3161" t="n">
        <v>0</v>
      </c>
      <c r="M3161" t="n">
        <v>0</v>
      </c>
      <c r="N3161" t="n">
        <v>0</v>
      </c>
      <c r="O3161" t="n">
        <v>0</v>
      </c>
      <c r="P3161" t="n">
        <v>0</v>
      </c>
      <c r="Q3161" t="n">
        <v>0</v>
      </c>
      <c r="R3161" s="2" t="inlineStr"/>
    </row>
    <row r="3162" ht="15" customHeight="1">
      <c r="A3162" t="inlineStr">
        <is>
          <t>A 23443-2021</t>
        </is>
      </c>
      <c r="B3162" s="1" t="n">
        <v>44333.82861111111</v>
      </c>
      <c r="C3162" s="1" t="n">
        <v>45952</v>
      </c>
      <c r="D3162" t="inlineStr">
        <is>
          <t>VÄSTRA GÖTALANDS LÄN</t>
        </is>
      </c>
      <c r="E3162" t="inlineStr">
        <is>
          <t>TANUM</t>
        </is>
      </c>
      <c r="G3162" t="n">
        <v>1.6</v>
      </c>
      <c r="H3162" t="n">
        <v>0</v>
      </c>
      <c r="I3162" t="n">
        <v>0</v>
      </c>
      <c r="J3162" t="n">
        <v>0</v>
      </c>
      <c r="K3162" t="n">
        <v>0</v>
      </c>
      <c r="L3162" t="n">
        <v>0</v>
      </c>
      <c r="M3162" t="n">
        <v>0</v>
      </c>
      <c r="N3162" t="n">
        <v>0</v>
      </c>
      <c r="O3162" t="n">
        <v>0</v>
      </c>
      <c r="P3162" t="n">
        <v>0</v>
      </c>
      <c r="Q3162" t="n">
        <v>0</v>
      </c>
      <c r="R3162" s="2" t="inlineStr"/>
    </row>
    <row r="3163" ht="15" customHeight="1">
      <c r="A3163" t="inlineStr">
        <is>
          <t>A 56517-2024</t>
        </is>
      </c>
      <c r="B3163" s="1" t="n">
        <v>45625</v>
      </c>
      <c r="C3163" s="1" t="n">
        <v>45952</v>
      </c>
      <c r="D3163" t="inlineStr">
        <is>
          <t>VÄSTRA GÖTALANDS LÄN</t>
        </is>
      </c>
      <c r="E3163" t="inlineStr">
        <is>
          <t>GULLSPÅNG</t>
        </is>
      </c>
      <c r="G3163" t="n">
        <v>1.3</v>
      </c>
      <c r="H3163" t="n">
        <v>0</v>
      </c>
      <c r="I3163" t="n">
        <v>0</v>
      </c>
      <c r="J3163" t="n">
        <v>0</v>
      </c>
      <c r="K3163" t="n">
        <v>0</v>
      </c>
      <c r="L3163" t="n">
        <v>0</v>
      </c>
      <c r="M3163" t="n">
        <v>0</v>
      </c>
      <c r="N3163" t="n">
        <v>0</v>
      </c>
      <c r="O3163" t="n">
        <v>0</v>
      </c>
      <c r="P3163" t="n">
        <v>0</v>
      </c>
      <c r="Q3163" t="n">
        <v>0</v>
      </c>
      <c r="R3163" s="2" t="inlineStr"/>
    </row>
    <row r="3164" ht="15" customHeight="1">
      <c r="A3164" t="inlineStr">
        <is>
          <t>A 56531-2024</t>
        </is>
      </c>
      <c r="B3164" s="1" t="n">
        <v>45625</v>
      </c>
      <c r="C3164" s="1" t="n">
        <v>45952</v>
      </c>
      <c r="D3164" t="inlineStr">
        <is>
          <t>VÄSTRA GÖTALANDS LÄN</t>
        </is>
      </c>
      <c r="E3164" t="inlineStr">
        <is>
          <t>GULLSPÅNG</t>
        </is>
      </c>
      <c r="G3164" t="n">
        <v>0.9</v>
      </c>
      <c r="H3164" t="n">
        <v>0</v>
      </c>
      <c r="I3164" t="n">
        <v>0</v>
      </c>
      <c r="J3164" t="n">
        <v>0</v>
      </c>
      <c r="K3164" t="n">
        <v>0</v>
      </c>
      <c r="L3164" t="n">
        <v>0</v>
      </c>
      <c r="M3164" t="n">
        <v>0</v>
      </c>
      <c r="N3164" t="n">
        <v>0</v>
      </c>
      <c r="O3164" t="n">
        <v>0</v>
      </c>
      <c r="P3164" t="n">
        <v>0</v>
      </c>
      <c r="Q3164" t="n">
        <v>0</v>
      </c>
      <c r="R3164" s="2" t="inlineStr"/>
    </row>
    <row r="3165" ht="15" customHeight="1">
      <c r="A3165" t="inlineStr">
        <is>
          <t>A 2798-2022</t>
        </is>
      </c>
      <c r="B3165" s="1" t="n">
        <v>44581.38091435185</v>
      </c>
      <c r="C3165" s="1" t="n">
        <v>45952</v>
      </c>
      <c r="D3165" t="inlineStr">
        <is>
          <t>VÄSTRA GÖTALANDS LÄN</t>
        </is>
      </c>
      <c r="E3165" t="inlineStr">
        <is>
          <t>FÄRGELANDA</t>
        </is>
      </c>
      <c r="G3165" t="n">
        <v>1.3</v>
      </c>
      <c r="H3165" t="n">
        <v>0</v>
      </c>
      <c r="I3165" t="n">
        <v>0</v>
      </c>
      <c r="J3165" t="n">
        <v>0</v>
      </c>
      <c r="K3165" t="n">
        <v>0</v>
      </c>
      <c r="L3165" t="n">
        <v>0</v>
      </c>
      <c r="M3165" t="n">
        <v>0</v>
      </c>
      <c r="N3165" t="n">
        <v>0</v>
      </c>
      <c r="O3165" t="n">
        <v>0</v>
      </c>
      <c r="P3165" t="n">
        <v>0</v>
      </c>
      <c r="Q3165" t="n">
        <v>0</v>
      </c>
      <c r="R3165" s="2" t="inlineStr"/>
    </row>
    <row r="3166" ht="15" customHeight="1">
      <c r="A3166" t="inlineStr">
        <is>
          <t>A 56175-2021</t>
        </is>
      </c>
      <c r="B3166" s="1" t="n">
        <v>44477</v>
      </c>
      <c r="C3166" s="1" t="n">
        <v>45952</v>
      </c>
      <c r="D3166" t="inlineStr">
        <is>
          <t>VÄSTRA GÖTALANDS LÄN</t>
        </is>
      </c>
      <c r="E3166" t="inlineStr">
        <is>
          <t>HJO</t>
        </is>
      </c>
      <c r="G3166" t="n">
        <v>2.2</v>
      </c>
      <c r="H3166" t="n">
        <v>0</v>
      </c>
      <c r="I3166" t="n">
        <v>0</v>
      </c>
      <c r="J3166" t="n">
        <v>0</v>
      </c>
      <c r="K3166" t="n">
        <v>0</v>
      </c>
      <c r="L3166" t="n">
        <v>0</v>
      </c>
      <c r="M3166" t="n">
        <v>0</v>
      </c>
      <c r="N3166" t="n">
        <v>0</v>
      </c>
      <c r="O3166" t="n">
        <v>0</v>
      </c>
      <c r="P3166" t="n">
        <v>0</v>
      </c>
      <c r="Q3166" t="n">
        <v>0</v>
      </c>
      <c r="R3166" s="2" t="inlineStr"/>
    </row>
    <row r="3167" ht="15" customHeight="1">
      <c r="A3167" t="inlineStr">
        <is>
          <t>A 56770-2021</t>
        </is>
      </c>
      <c r="B3167" s="1" t="n">
        <v>44480</v>
      </c>
      <c r="C3167" s="1" t="n">
        <v>45952</v>
      </c>
      <c r="D3167" t="inlineStr">
        <is>
          <t>VÄSTRA GÖTALANDS LÄN</t>
        </is>
      </c>
      <c r="E3167" t="inlineStr">
        <is>
          <t>ULRICEHAMN</t>
        </is>
      </c>
      <c r="G3167" t="n">
        <v>8.199999999999999</v>
      </c>
      <c r="H3167" t="n">
        <v>0</v>
      </c>
      <c r="I3167" t="n">
        <v>0</v>
      </c>
      <c r="J3167" t="n">
        <v>0</v>
      </c>
      <c r="K3167" t="n">
        <v>0</v>
      </c>
      <c r="L3167" t="n">
        <v>0</v>
      </c>
      <c r="M3167" t="n">
        <v>0</v>
      </c>
      <c r="N3167" t="n">
        <v>0</v>
      </c>
      <c r="O3167" t="n">
        <v>0</v>
      </c>
      <c r="P3167" t="n">
        <v>0</v>
      </c>
      <c r="Q3167" t="n">
        <v>0</v>
      </c>
      <c r="R3167" s="2" t="inlineStr"/>
    </row>
    <row r="3168" ht="15" customHeight="1">
      <c r="A3168" t="inlineStr">
        <is>
          <t>A 56831-2021</t>
        </is>
      </c>
      <c r="B3168" s="1" t="n">
        <v>44481.61975694444</v>
      </c>
      <c r="C3168" s="1" t="n">
        <v>45952</v>
      </c>
      <c r="D3168" t="inlineStr">
        <is>
          <t>VÄSTRA GÖTALANDS LÄN</t>
        </is>
      </c>
      <c r="E3168" t="inlineStr">
        <is>
          <t>SKÖVDE</t>
        </is>
      </c>
      <c r="G3168" t="n">
        <v>1.4</v>
      </c>
      <c r="H3168" t="n">
        <v>0</v>
      </c>
      <c r="I3168" t="n">
        <v>0</v>
      </c>
      <c r="J3168" t="n">
        <v>0</v>
      </c>
      <c r="K3168" t="n">
        <v>0</v>
      </c>
      <c r="L3168" t="n">
        <v>0</v>
      </c>
      <c r="M3168" t="n">
        <v>0</v>
      </c>
      <c r="N3168" t="n">
        <v>0</v>
      </c>
      <c r="O3168" t="n">
        <v>0</v>
      </c>
      <c r="P3168" t="n">
        <v>0</v>
      </c>
      <c r="Q3168" t="n">
        <v>0</v>
      </c>
      <c r="R3168" s="2" t="inlineStr"/>
    </row>
    <row r="3169" ht="15" customHeight="1">
      <c r="A3169" t="inlineStr">
        <is>
          <t>A 19784-2022</t>
        </is>
      </c>
      <c r="B3169" s="1" t="n">
        <v>44694.73462962963</v>
      </c>
      <c r="C3169" s="1" t="n">
        <v>45952</v>
      </c>
      <c r="D3169" t="inlineStr">
        <is>
          <t>VÄSTRA GÖTALANDS LÄN</t>
        </is>
      </c>
      <c r="E3169" t="inlineStr">
        <is>
          <t>ORUST</t>
        </is>
      </c>
      <c r="G3169" t="n">
        <v>2.6</v>
      </c>
      <c r="H3169" t="n">
        <v>0</v>
      </c>
      <c r="I3169" t="n">
        <v>0</v>
      </c>
      <c r="J3169" t="n">
        <v>0</v>
      </c>
      <c r="K3169" t="n">
        <v>0</v>
      </c>
      <c r="L3169" t="n">
        <v>0</v>
      </c>
      <c r="M3169" t="n">
        <v>0</v>
      </c>
      <c r="N3169" t="n">
        <v>0</v>
      </c>
      <c r="O3169" t="n">
        <v>0</v>
      </c>
      <c r="P3169" t="n">
        <v>0</v>
      </c>
      <c r="Q3169" t="n">
        <v>0</v>
      </c>
      <c r="R3169" s="2" t="inlineStr"/>
    </row>
    <row r="3170" ht="15" customHeight="1">
      <c r="A3170" t="inlineStr">
        <is>
          <t>A 19785-2022</t>
        </is>
      </c>
      <c r="B3170" s="1" t="n">
        <v>44694</v>
      </c>
      <c r="C3170" s="1" t="n">
        <v>45952</v>
      </c>
      <c r="D3170" t="inlineStr">
        <is>
          <t>VÄSTRA GÖTALANDS LÄN</t>
        </is>
      </c>
      <c r="E3170" t="inlineStr">
        <is>
          <t>ORUST</t>
        </is>
      </c>
      <c r="G3170" t="n">
        <v>1.1</v>
      </c>
      <c r="H3170" t="n">
        <v>0</v>
      </c>
      <c r="I3170" t="n">
        <v>0</v>
      </c>
      <c r="J3170" t="n">
        <v>0</v>
      </c>
      <c r="K3170" t="n">
        <v>0</v>
      </c>
      <c r="L3170" t="n">
        <v>0</v>
      </c>
      <c r="M3170" t="n">
        <v>0</v>
      </c>
      <c r="N3170" t="n">
        <v>0</v>
      </c>
      <c r="O3170" t="n">
        <v>0</v>
      </c>
      <c r="P3170" t="n">
        <v>0</v>
      </c>
      <c r="Q3170" t="n">
        <v>0</v>
      </c>
      <c r="R3170" s="2" t="inlineStr"/>
    </row>
    <row r="3171" ht="15" customHeight="1">
      <c r="A3171" t="inlineStr">
        <is>
          <t>A 52012-2022</t>
        </is>
      </c>
      <c r="B3171" s="1" t="n">
        <v>44872.93511574074</v>
      </c>
      <c r="C3171" s="1" t="n">
        <v>45952</v>
      </c>
      <c r="D3171" t="inlineStr">
        <is>
          <t>VÄSTRA GÖTALANDS LÄN</t>
        </is>
      </c>
      <c r="E3171" t="inlineStr">
        <is>
          <t>ORUST</t>
        </is>
      </c>
      <c r="G3171" t="n">
        <v>0.6</v>
      </c>
      <c r="H3171" t="n">
        <v>0</v>
      </c>
      <c r="I3171" t="n">
        <v>0</v>
      </c>
      <c r="J3171" t="n">
        <v>0</v>
      </c>
      <c r="K3171" t="n">
        <v>0</v>
      </c>
      <c r="L3171" t="n">
        <v>0</v>
      </c>
      <c r="M3171" t="n">
        <v>0</v>
      </c>
      <c r="N3171" t="n">
        <v>0</v>
      </c>
      <c r="O3171" t="n">
        <v>0</v>
      </c>
      <c r="P3171" t="n">
        <v>0</v>
      </c>
      <c r="Q3171" t="n">
        <v>0</v>
      </c>
      <c r="R3171" s="2" t="inlineStr"/>
    </row>
    <row r="3172" ht="15" customHeight="1">
      <c r="A3172" t="inlineStr">
        <is>
          <t>A 43404-2024</t>
        </is>
      </c>
      <c r="B3172" s="1" t="n">
        <v>45568.61741898148</v>
      </c>
      <c r="C3172" s="1" t="n">
        <v>45952</v>
      </c>
      <c r="D3172" t="inlineStr">
        <is>
          <t>VÄSTRA GÖTALANDS LÄN</t>
        </is>
      </c>
      <c r="E3172" t="inlineStr">
        <is>
          <t>MARK</t>
        </is>
      </c>
      <c r="G3172" t="n">
        <v>2.5</v>
      </c>
      <c r="H3172" t="n">
        <v>0</v>
      </c>
      <c r="I3172" t="n">
        <v>0</v>
      </c>
      <c r="J3172" t="n">
        <v>0</v>
      </c>
      <c r="K3172" t="n">
        <v>0</v>
      </c>
      <c r="L3172" t="n">
        <v>0</v>
      </c>
      <c r="M3172" t="n">
        <v>0</v>
      </c>
      <c r="N3172" t="n">
        <v>0</v>
      </c>
      <c r="O3172" t="n">
        <v>0</v>
      </c>
      <c r="P3172" t="n">
        <v>0</v>
      </c>
      <c r="Q3172" t="n">
        <v>0</v>
      </c>
      <c r="R3172" s="2" t="inlineStr"/>
    </row>
    <row r="3173" ht="15" customHeight="1">
      <c r="A3173" t="inlineStr">
        <is>
          <t>A 69666-2021</t>
        </is>
      </c>
      <c r="B3173" s="1" t="n">
        <v>44532</v>
      </c>
      <c r="C3173" s="1" t="n">
        <v>45952</v>
      </c>
      <c r="D3173" t="inlineStr">
        <is>
          <t>VÄSTRA GÖTALANDS LÄN</t>
        </is>
      </c>
      <c r="E3173" t="inlineStr">
        <is>
          <t>ÅMÅL</t>
        </is>
      </c>
      <c r="G3173" t="n">
        <v>0.8</v>
      </c>
      <c r="H3173" t="n">
        <v>0</v>
      </c>
      <c r="I3173" t="n">
        <v>0</v>
      </c>
      <c r="J3173" t="n">
        <v>0</v>
      </c>
      <c r="K3173" t="n">
        <v>0</v>
      </c>
      <c r="L3173" t="n">
        <v>0</v>
      </c>
      <c r="M3173" t="n">
        <v>0</v>
      </c>
      <c r="N3173" t="n">
        <v>0</v>
      </c>
      <c r="O3173" t="n">
        <v>0</v>
      </c>
      <c r="P3173" t="n">
        <v>0</v>
      </c>
      <c r="Q3173" t="n">
        <v>0</v>
      </c>
      <c r="R3173" s="2" t="inlineStr"/>
    </row>
    <row r="3174" ht="15" customHeight="1">
      <c r="A3174" t="inlineStr">
        <is>
          <t>A 54875-2022</t>
        </is>
      </c>
      <c r="B3174" s="1" t="n">
        <v>44886.33082175926</v>
      </c>
      <c r="C3174" s="1" t="n">
        <v>45952</v>
      </c>
      <c r="D3174" t="inlineStr">
        <is>
          <t>VÄSTRA GÖTALANDS LÄN</t>
        </is>
      </c>
      <c r="E3174" t="inlineStr">
        <is>
          <t>BORÅS</t>
        </is>
      </c>
      <c r="G3174" t="n">
        <v>0.4</v>
      </c>
      <c r="H3174" t="n">
        <v>0</v>
      </c>
      <c r="I3174" t="n">
        <v>0</v>
      </c>
      <c r="J3174" t="n">
        <v>0</v>
      </c>
      <c r="K3174" t="n">
        <v>0</v>
      </c>
      <c r="L3174" t="n">
        <v>0</v>
      </c>
      <c r="M3174" t="n">
        <v>0</v>
      </c>
      <c r="N3174" t="n">
        <v>0</v>
      </c>
      <c r="O3174" t="n">
        <v>0</v>
      </c>
      <c r="P3174" t="n">
        <v>0</v>
      </c>
      <c r="Q3174" t="n">
        <v>0</v>
      </c>
      <c r="R3174" s="2" t="inlineStr"/>
    </row>
    <row r="3175" ht="15" customHeight="1">
      <c r="A3175" t="inlineStr">
        <is>
          <t>A 11449-2022</t>
        </is>
      </c>
      <c r="B3175" s="1" t="n">
        <v>44630</v>
      </c>
      <c r="C3175" s="1" t="n">
        <v>45952</v>
      </c>
      <c r="D3175" t="inlineStr">
        <is>
          <t>VÄSTRA GÖTALANDS LÄN</t>
        </is>
      </c>
      <c r="E3175" t="inlineStr">
        <is>
          <t>TRANEMO</t>
        </is>
      </c>
      <c r="G3175" t="n">
        <v>1.2</v>
      </c>
      <c r="H3175" t="n">
        <v>0</v>
      </c>
      <c r="I3175" t="n">
        <v>0</v>
      </c>
      <c r="J3175" t="n">
        <v>0</v>
      </c>
      <c r="K3175" t="n">
        <v>0</v>
      </c>
      <c r="L3175" t="n">
        <v>0</v>
      </c>
      <c r="M3175" t="n">
        <v>0</v>
      </c>
      <c r="N3175" t="n">
        <v>0</v>
      </c>
      <c r="O3175" t="n">
        <v>0</v>
      </c>
      <c r="P3175" t="n">
        <v>0</v>
      </c>
      <c r="Q3175" t="n">
        <v>0</v>
      </c>
      <c r="R3175" s="2" t="inlineStr"/>
    </row>
    <row r="3176" ht="15" customHeight="1">
      <c r="A3176" t="inlineStr">
        <is>
          <t>A 53081-2023</t>
        </is>
      </c>
      <c r="B3176" s="1" t="n">
        <v>45227.62710648148</v>
      </c>
      <c r="C3176" s="1" t="n">
        <v>45952</v>
      </c>
      <c r="D3176" t="inlineStr">
        <is>
          <t>VÄSTRA GÖTALANDS LÄN</t>
        </is>
      </c>
      <c r="E3176" t="inlineStr">
        <is>
          <t>TRANEMO</t>
        </is>
      </c>
      <c r="G3176" t="n">
        <v>1</v>
      </c>
      <c r="H3176" t="n">
        <v>0</v>
      </c>
      <c r="I3176" t="n">
        <v>0</v>
      </c>
      <c r="J3176" t="n">
        <v>0</v>
      </c>
      <c r="K3176" t="n">
        <v>0</v>
      </c>
      <c r="L3176" t="n">
        <v>0</v>
      </c>
      <c r="M3176" t="n">
        <v>0</v>
      </c>
      <c r="N3176" t="n">
        <v>0</v>
      </c>
      <c r="O3176" t="n">
        <v>0</v>
      </c>
      <c r="P3176" t="n">
        <v>0</v>
      </c>
      <c r="Q3176" t="n">
        <v>0</v>
      </c>
      <c r="R3176" s="2" t="inlineStr"/>
    </row>
    <row r="3177" ht="15" customHeight="1">
      <c r="A3177" t="inlineStr">
        <is>
          <t>A 29980-2024</t>
        </is>
      </c>
      <c r="B3177" s="1" t="n">
        <v>45488.48725694444</v>
      </c>
      <c r="C3177" s="1" t="n">
        <v>45952</v>
      </c>
      <c r="D3177" t="inlineStr">
        <is>
          <t>VÄSTRA GÖTALANDS LÄN</t>
        </is>
      </c>
      <c r="E3177" t="inlineStr">
        <is>
          <t>TANUM</t>
        </is>
      </c>
      <c r="G3177" t="n">
        <v>2.4</v>
      </c>
      <c r="H3177" t="n">
        <v>0</v>
      </c>
      <c r="I3177" t="n">
        <v>0</v>
      </c>
      <c r="J3177" t="n">
        <v>0</v>
      </c>
      <c r="K3177" t="n">
        <v>0</v>
      </c>
      <c r="L3177" t="n">
        <v>0</v>
      </c>
      <c r="M3177" t="n">
        <v>0</v>
      </c>
      <c r="N3177" t="n">
        <v>0</v>
      </c>
      <c r="O3177" t="n">
        <v>0</v>
      </c>
      <c r="P3177" t="n">
        <v>0</v>
      </c>
      <c r="Q3177" t="n">
        <v>0</v>
      </c>
      <c r="R3177" s="2" t="inlineStr"/>
    </row>
    <row r="3178" ht="15" customHeight="1">
      <c r="A3178" t="inlineStr">
        <is>
          <t>A 63756-2020</t>
        </is>
      </c>
      <c r="B3178" s="1" t="n">
        <v>44166</v>
      </c>
      <c r="C3178" s="1" t="n">
        <v>45952</v>
      </c>
      <c r="D3178" t="inlineStr">
        <is>
          <t>VÄSTRA GÖTALANDS LÄN</t>
        </is>
      </c>
      <c r="E3178" t="inlineStr">
        <is>
          <t>VARA</t>
        </is>
      </c>
      <c r="G3178" t="n">
        <v>4.7</v>
      </c>
      <c r="H3178" t="n">
        <v>0</v>
      </c>
      <c r="I3178" t="n">
        <v>0</v>
      </c>
      <c r="J3178" t="n">
        <v>0</v>
      </c>
      <c r="K3178" t="n">
        <v>0</v>
      </c>
      <c r="L3178" t="n">
        <v>0</v>
      </c>
      <c r="M3178" t="n">
        <v>0</v>
      </c>
      <c r="N3178" t="n">
        <v>0</v>
      </c>
      <c r="O3178" t="n">
        <v>0</v>
      </c>
      <c r="P3178" t="n">
        <v>0</v>
      </c>
      <c r="Q3178" t="n">
        <v>0</v>
      </c>
      <c r="R3178" s="2" t="inlineStr"/>
    </row>
    <row r="3179" ht="15" customHeight="1">
      <c r="A3179" t="inlineStr">
        <is>
          <t>A 37240-2021</t>
        </is>
      </c>
      <c r="B3179" s="1" t="n">
        <v>44396</v>
      </c>
      <c r="C3179" s="1" t="n">
        <v>45952</v>
      </c>
      <c r="D3179" t="inlineStr">
        <is>
          <t>VÄSTRA GÖTALANDS LÄN</t>
        </is>
      </c>
      <c r="E3179" t="inlineStr">
        <is>
          <t>TRANEMO</t>
        </is>
      </c>
      <c r="G3179" t="n">
        <v>2.8</v>
      </c>
      <c r="H3179" t="n">
        <v>0</v>
      </c>
      <c r="I3179" t="n">
        <v>0</v>
      </c>
      <c r="J3179" t="n">
        <v>0</v>
      </c>
      <c r="K3179" t="n">
        <v>0</v>
      </c>
      <c r="L3179" t="n">
        <v>0</v>
      </c>
      <c r="M3179" t="n">
        <v>0</v>
      </c>
      <c r="N3179" t="n">
        <v>0</v>
      </c>
      <c r="O3179" t="n">
        <v>0</v>
      </c>
      <c r="P3179" t="n">
        <v>0</v>
      </c>
      <c r="Q3179" t="n">
        <v>0</v>
      </c>
      <c r="R3179" s="2" t="inlineStr"/>
    </row>
    <row r="3180" ht="15" customHeight="1">
      <c r="A3180" t="inlineStr">
        <is>
          <t>A 37241-2021</t>
        </is>
      </c>
      <c r="B3180" s="1" t="n">
        <v>44396</v>
      </c>
      <c r="C3180" s="1" t="n">
        <v>45952</v>
      </c>
      <c r="D3180" t="inlineStr">
        <is>
          <t>VÄSTRA GÖTALANDS LÄN</t>
        </is>
      </c>
      <c r="E3180" t="inlineStr">
        <is>
          <t>TIBRO</t>
        </is>
      </c>
      <c r="G3180" t="n">
        <v>5</v>
      </c>
      <c r="H3180" t="n">
        <v>0</v>
      </c>
      <c r="I3180" t="n">
        <v>0</v>
      </c>
      <c r="J3180" t="n">
        <v>0</v>
      </c>
      <c r="K3180" t="n">
        <v>0</v>
      </c>
      <c r="L3180" t="n">
        <v>0</v>
      </c>
      <c r="M3180" t="n">
        <v>0</v>
      </c>
      <c r="N3180" t="n">
        <v>0</v>
      </c>
      <c r="O3180" t="n">
        <v>0</v>
      </c>
      <c r="P3180" t="n">
        <v>0</v>
      </c>
      <c r="Q3180" t="n">
        <v>0</v>
      </c>
      <c r="R3180" s="2" t="inlineStr"/>
    </row>
    <row r="3181" ht="15" customHeight="1">
      <c r="A3181" t="inlineStr">
        <is>
          <t>A 12264-2024</t>
        </is>
      </c>
      <c r="B3181" s="1" t="n">
        <v>45378.46585648148</v>
      </c>
      <c r="C3181" s="1" t="n">
        <v>45952</v>
      </c>
      <c r="D3181" t="inlineStr">
        <is>
          <t>VÄSTRA GÖTALANDS LÄN</t>
        </is>
      </c>
      <c r="E3181" t="inlineStr">
        <is>
          <t>TROLLHÄTTAN</t>
        </is>
      </c>
      <c r="G3181" t="n">
        <v>1.5</v>
      </c>
      <c r="H3181" t="n">
        <v>0</v>
      </c>
      <c r="I3181" t="n">
        <v>0</v>
      </c>
      <c r="J3181" t="n">
        <v>0</v>
      </c>
      <c r="K3181" t="n">
        <v>0</v>
      </c>
      <c r="L3181" t="n">
        <v>0</v>
      </c>
      <c r="M3181" t="n">
        <v>0</v>
      </c>
      <c r="N3181" t="n">
        <v>0</v>
      </c>
      <c r="O3181" t="n">
        <v>0</v>
      </c>
      <c r="P3181" t="n">
        <v>0</v>
      </c>
      <c r="Q3181" t="n">
        <v>0</v>
      </c>
      <c r="R3181" s="2" t="inlineStr"/>
    </row>
    <row r="3182" ht="15" customHeight="1">
      <c r="A3182" t="inlineStr">
        <is>
          <t>A 12266-2024</t>
        </is>
      </c>
      <c r="B3182" s="1" t="n">
        <v>45378.46766203704</v>
      </c>
      <c r="C3182" s="1" t="n">
        <v>45952</v>
      </c>
      <c r="D3182" t="inlineStr">
        <is>
          <t>VÄSTRA GÖTALANDS LÄN</t>
        </is>
      </c>
      <c r="E3182" t="inlineStr">
        <is>
          <t>TROLLHÄTTAN</t>
        </is>
      </c>
      <c r="G3182" t="n">
        <v>0.5</v>
      </c>
      <c r="H3182" t="n">
        <v>0</v>
      </c>
      <c r="I3182" t="n">
        <v>0</v>
      </c>
      <c r="J3182" t="n">
        <v>0</v>
      </c>
      <c r="K3182" t="n">
        <v>0</v>
      </c>
      <c r="L3182" t="n">
        <v>0</v>
      </c>
      <c r="M3182" t="n">
        <v>0</v>
      </c>
      <c r="N3182" t="n">
        <v>0</v>
      </c>
      <c r="O3182" t="n">
        <v>0</v>
      </c>
      <c r="P3182" t="n">
        <v>0</v>
      </c>
      <c r="Q3182" t="n">
        <v>0</v>
      </c>
      <c r="R3182" s="2" t="inlineStr"/>
    </row>
    <row r="3183" ht="15" customHeight="1">
      <c r="A3183" t="inlineStr">
        <is>
          <t>A 64234-2021</t>
        </is>
      </c>
      <c r="B3183" s="1" t="n">
        <v>44510.64112268519</v>
      </c>
      <c r="C3183" s="1" t="n">
        <v>45952</v>
      </c>
      <c r="D3183" t="inlineStr">
        <is>
          <t>VÄSTRA GÖTALANDS LÄN</t>
        </is>
      </c>
      <c r="E3183" t="inlineStr">
        <is>
          <t>VÅRGÅRDA</t>
        </is>
      </c>
      <c r="G3183" t="n">
        <v>1.4</v>
      </c>
      <c r="H3183" t="n">
        <v>0</v>
      </c>
      <c r="I3183" t="n">
        <v>0</v>
      </c>
      <c r="J3183" t="n">
        <v>0</v>
      </c>
      <c r="K3183" t="n">
        <v>0</v>
      </c>
      <c r="L3183" t="n">
        <v>0</v>
      </c>
      <c r="M3183" t="n">
        <v>0</v>
      </c>
      <c r="N3183" t="n">
        <v>0</v>
      </c>
      <c r="O3183" t="n">
        <v>0</v>
      </c>
      <c r="P3183" t="n">
        <v>0</v>
      </c>
      <c r="Q3183" t="n">
        <v>0</v>
      </c>
      <c r="R3183" s="2" t="inlineStr"/>
    </row>
    <row r="3184" ht="15" customHeight="1">
      <c r="A3184" t="inlineStr">
        <is>
          <t>A 43360-2022</t>
        </is>
      </c>
      <c r="B3184" s="1" t="n">
        <v>44834</v>
      </c>
      <c r="C3184" s="1" t="n">
        <v>45952</v>
      </c>
      <c r="D3184" t="inlineStr">
        <is>
          <t>VÄSTRA GÖTALANDS LÄN</t>
        </is>
      </c>
      <c r="E3184" t="inlineStr">
        <is>
          <t>MUNKEDAL</t>
        </is>
      </c>
      <c r="G3184" t="n">
        <v>2.2</v>
      </c>
      <c r="H3184" t="n">
        <v>0</v>
      </c>
      <c r="I3184" t="n">
        <v>0</v>
      </c>
      <c r="J3184" t="n">
        <v>0</v>
      </c>
      <c r="K3184" t="n">
        <v>0</v>
      </c>
      <c r="L3184" t="n">
        <v>0</v>
      </c>
      <c r="M3184" t="n">
        <v>0</v>
      </c>
      <c r="N3184" t="n">
        <v>0</v>
      </c>
      <c r="O3184" t="n">
        <v>0</v>
      </c>
      <c r="P3184" t="n">
        <v>0</v>
      </c>
      <c r="Q3184" t="n">
        <v>0</v>
      </c>
      <c r="R3184" s="2" t="inlineStr"/>
    </row>
    <row r="3185" ht="15" customHeight="1">
      <c r="A3185" t="inlineStr">
        <is>
          <t>A 5294-2023</t>
        </is>
      </c>
      <c r="B3185" s="1" t="n">
        <v>44959.53804398148</v>
      </c>
      <c r="C3185" s="1" t="n">
        <v>45952</v>
      </c>
      <c r="D3185" t="inlineStr">
        <is>
          <t>VÄSTRA GÖTALANDS LÄN</t>
        </is>
      </c>
      <c r="E3185" t="inlineStr">
        <is>
          <t>ULRICEHAMN</t>
        </is>
      </c>
      <c r="G3185" t="n">
        <v>3</v>
      </c>
      <c r="H3185" t="n">
        <v>0</v>
      </c>
      <c r="I3185" t="n">
        <v>0</v>
      </c>
      <c r="J3185" t="n">
        <v>0</v>
      </c>
      <c r="K3185" t="n">
        <v>0</v>
      </c>
      <c r="L3185" t="n">
        <v>0</v>
      </c>
      <c r="M3185" t="n">
        <v>0</v>
      </c>
      <c r="N3185" t="n">
        <v>0</v>
      </c>
      <c r="O3185" t="n">
        <v>0</v>
      </c>
      <c r="P3185" t="n">
        <v>0</v>
      </c>
      <c r="Q3185" t="n">
        <v>0</v>
      </c>
      <c r="R3185" s="2" t="inlineStr"/>
    </row>
    <row r="3186" ht="15" customHeight="1">
      <c r="A3186" t="inlineStr">
        <is>
          <t>A 9140-2022</t>
        </is>
      </c>
      <c r="B3186" s="1" t="n">
        <v>44615</v>
      </c>
      <c r="C3186" s="1" t="n">
        <v>45952</v>
      </c>
      <c r="D3186" t="inlineStr">
        <is>
          <t>VÄSTRA GÖTALANDS LÄN</t>
        </is>
      </c>
      <c r="E3186" t="inlineStr">
        <is>
          <t>TIDAHOLM</t>
        </is>
      </c>
      <c r="G3186" t="n">
        <v>2.4</v>
      </c>
      <c r="H3186" t="n">
        <v>0</v>
      </c>
      <c r="I3186" t="n">
        <v>0</v>
      </c>
      <c r="J3186" t="n">
        <v>0</v>
      </c>
      <c r="K3186" t="n">
        <v>0</v>
      </c>
      <c r="L3186" t="n">
        <v>0</v>
      </c>
      <c r="M3186" t="n">
        <v>0</v>
      </c>
      <c r="N3186" t="n">
        <v>0</v>
      </c>
      <c r="O3186" t="n">
        <v>0</v>
      </c>
      <c r="P3186" t="n">
        <v>0</v>
      </c>
      <c r="Q3186" t="n">
        <v>0</v>
      </c>
      <c r="R3186" s="2" t="inlineStr"/>
    </row>
    <row r="3187" ht="15" customHeight="1">
      <c r="A3187" t="inlineStr">
        <is>
          <t>A 35629-2022</t>
        </is>
      </c>
      <c r="B3187" s="1" t="n">
        <v>44799.53682870371</v>
      </c>
      <c r="C3187" s="1" t="n">
        <v>45952</v>
      </c>
      <c r="D3187" t="inlineStr">
        <is>
          <t>VÄSTRA GÖTALANDS LÄN</t>
        </is>
      </c>
      <c r="E3187" t="inlineStr">
        <is>
          <t>DALS-ED</t>
        </is>
      </c>
      <c r="G3187" t="n">
        <v>1.9</v>
      </c>
      <c r="H3187" t="n">
        <v>0</v>
      </c>
      <c r="I3187" t="n">
        <v>0</v>
      </c>
      <c r="J3187" t="n">
        <v>0</v>
      </c>
      <c r="K3187" t="n">
        <v>0</v>
      </c>
      <c r="L3187" t="n">
        <v>0</v>
      </c>
      <c r="M3187" t="n">
        <v>0</v>
      </c>
      <c r="N3187" t="n">
        <v>0</v>
      </c>
      <c r="O3187" t="n">
        <v>0</v>
      </c>
      <c r="P3187" t="n">
        <v>0</v>
      </c>
      <c r="Q3187" t="n">
        <v>0</v>
      </c>
      <c r="R3187" s="2" t="inlineStr"/>
    </row>
    <row r="3188" ht="15" customHeight="1">
      <c r="A3188" t="inlineStr">
        <is>
          <t>A 43522-2022</t>
        </is>
      </c>
      <c r="B3188" s="1" t="n">
        <v>44837.37662037037</v>
      </c>
      <c r="C3188" s="1" t="n">
        <v>45952</v>
      </c>
      <c r="D3188" t="inlineStr">
        <is>
          <t>VÄSTRA GÖTALANDS LÄN</t>
        </is>
      </c>
      <c r="E3188" t="inlineStr">
        <is>
          <t>TÖREBODA</t>
        </is>
      </c>
      <c r="G3188" t="n">
        <v>0.6</v>
      </c>
      <c r="H3188" t="n">
        <v>0</v>
      </c>
      <c r="I3188" t="n">
        <v>0</v>
      </c>
      <c r="J3188" t="n">
        <v>0</v>
      </c>
      <c r="K3188" t="n">
        <v>0</v>
      </c>
      <c r="L3188" t="n">
        <v>0</v>
      </c>
      <c r="M3188" t="n">
        <v>0</v>
      </c>
      <c r="N3188" t="n">
        <v>0</v>
      </c>
      <c r="O3188" t="n">
        <v>0</v>
      </c>
      <c r="P3188" t="n">
        <v>0</v>
      </c>
      <c r="Q3188" t="n">
        <v>0</v>
      </c>
      <c r="R3188" s="2" t="inlineStr"/>
    </row>
    <row r="3189" ht="15" customHeight="1">
      <c r="A3189" t="inlineStr">
        <is>
          <t>A 39839-2024</t>
        </is>
      </c>
      <c r="B3189" s="1" t="n">
        <v>45553.42306712963</v>
      </c>
      <c r="C3189" s="1" t="n">
        <v>45952</v>
      </c>
      <c r="D3189" t="inlineStr">
        <is>
          <t>VÄSTRA GÖTALANDS LÄN</t>
        </is>
      </c>
      <c r="E3189" t="inlineStr">
        <is>
          <t>ULRICEHAMN</t>
        </is>
      </c>
      <c r="G3189" t="n">
        <v>1.7</v>
      </c>
      <c r="H3189" t="n">
        <v>0</v>
      </c>
      <c r="I3189" t="n">
        <v>0</v>
      </c>
      <c r="J3189" t="n">
        <v>0</v>
      </c>
      <c r="K3189" t="n">
        <v>0</v>
      </c>
      <c r="L3189" t="n">
        <v>0</v>
      </c>
      <c r="M3189" t="n">
        <v>0</v>
      </c>
      <c r="N3189" t="n">
        <v>0</v>
      </c>
      <c r="O3189" t="n">
        <v>0</v>
      </c>
      <c r="P3189" t="n">
        <v>0</v>
      </c>
      <c r="Q3189" t="n">
        <v>0</v>
      </c>
      <c r="R3189" s="2" t="inlineStr"/>
    </row>
    <row r="3190" ht="15" customHeight="1">
      <c r="A3190" t="inlineStr">
        <is>
          <t>A 10118-2022</t>
        </is>
      </c>
      <c r="B3190" s="1" t="n">
        <v>44621.91310185185</v>
      </c>
      <c r="C3190" s="1" t="n">
        <v>45952</v>
      </c>
      <c r="D3190" t="inlineStr">
        <is>
          <t>VÄSTRA GÖTALANDS LÄN</t>
        </is>
      </c>
      <c r="E3190" t="inlineStr">
        <is>
          <t>VÅRGÅRDA</t>
        </is>
      </c>
      <c r="G3190" t="n">
        <v>0.5</v>
      </c>
      <c r="H3190" t="n">
        <v>0</v>
      </c>
      <c r="I3190" t="n">
        <v>0</v>
      </c>
      <c r="J3190" t="n">
        <v>0</v>
      </c>
      <c r="K3190" t="n">
        <v>0</v>
      </c>
      <c r="L3190" t="n">
        <v>0</v>
      </c>
      <c r="M3190" t="n">
        <v>0</v>
      </c>
      <c r="N3190" t="n">
        <v>0</v>
      </c>
      <c r="O3190" t="n">
        <v>0</v>
      </c>
      <c r="P3190" t="n">
        <v>0</v>
      </c>
      <c r="Q3190" t="n">
        <v>0</v>
      </c>
      <c r="R3190" s="2" t="inlineStr"/>
    </row>
    <row r="3191" ht="15" customHeight="1">
      <c r="A3191" t="inlineStr">
        <is>
          <t>A 20279-2022</t>
        </is>
      </c>
      <c r="B3191" s="1" t="n">
        <v>44698.71788194445</v>
      </c>
      <c r="C3191" s="1" t="n">
        <v>45952</v>
      </c>
      <c r="D3191" t="inlineStr">
        <is>
          <t>VÄSTRA GÖTALANDS LÄN</t>
        </is>
      </c>
      <c r="E3191" t="inlineStr">
        <is>
          <t>SKÖVDE</t>
        </is>
      </c>
      <c r="G3191" t="n">
        <v>0.7</v>
      </c>
      <c r="H3191" t="n">
        <v>0</v>
      </c>
      <c r="I3191" t="n">
        <v>0</v>
      </c>
      <c r="J3191" t="n">
        <v>0</v>
      </c>
      <c r="K3191" t="n">
        <v>0</v>
      </c>
      <c r="L3191" t="n">
        <v>0</v>
      </c>
      <c r="M3191" t="n">
        <v>0</v>
      </c>
      <c r="N3191" t="n">
        <v>0</v>
      </c>
      <c r="O3191" t="n">
        <v>0</v>
      </c>
      <c r="P3191" t="n">
        <v>0</v>
      </c>
      <c r="Q3191" t="n">
        <v>0</v>
      </c>
      <c r="R3191" s="2" t="inlineStr"/>
    </row>
    <row r="3192" ht="15" customHeight="1">
      <c r="A3192" t="inlineStr">
        <is>
          <t>A 9779-2024</t>
        </is>
      </c>
      <c r="B3192" s="1" t="n">
        <v>45362.65846064815</v>
      </c>
      <c r="C3192" s="1" t="n">
        <v>45952</v>
      </c>
      <c r="D3192" t="inlineStr">
        <is>
          <t>VÄSTRA GÖTALANDS LÄN</t>
        </is>
      </c>
      <c r="E3192" t="inlineStr">
        <is>
          <t>TRANEMO</t>
        </is>
      </c>
      <c r="G3192" t="n">
        <v>3.3</v>
      </c>
      <c r="H3192" t="n">
        <v>0</v>
      </c>
      <c r="I3192" t="n">
        <v>0</v>
      </c>
      <c r="J3192" t="n">
        <v>0</v>
      </c>
      <c r="K3192" t="n">
        <v>0</v>
      </c>
      <c r="L3192" t="n">
        <v>0</v>
      </c>
      <c r="M3192" t="n">
        <v>0</v>
      </c>
      <c r="N3192" t="n">
        <v>0</v>
      </c>
      <c r="O3192" t="n">
        <v>0</v>
      </c>
      <c r="P3192" t="n">
        <v>0</v>
      </c>
      <c r="Q3192" t="n">
        <v>0</v>
      </c>
      <c r="R3192" s="2" t="inlineStr"/>
    </row>
    <row r="3193" ht="15" customHeight="1">
      <c r="A3193" t="inlineStr">
        <is>
          <t>A 21367-2022</t>
        </is>
      </c>
      <c r="B3193" s="1" t="n">
        <v>44705</v>
      </c>
      <c r="C3193" s="1" t="n">
        <v>45952</v>
      </c>
      <c r="D3193" t="inlineStr">
        <is>
          <t>VÄSTRA GÖTALANDS LÄN</t>
        </is>
      </c>
      <c r="E3193" t="inlineStr">
        <is>
          <t>DALS-ED</t>
        </is>
      </c>
      <c r="G3193" t="n">
        <v>6.8</v>
      </c>
      <c r="H3193" t="n">
        <v>0</v>
      </c>
      <c r="I3193" t="n">
        <v>0</v>
      </c>
      <c r="J3193" t="n">
        <v>0</v>
      </c>
      <c r="K3193" t="n">
        <v>0</v>
      </c>
      <c r="L3193" t="n">
        <v>0</v>
      </c>
      <c r="M3193" t="n">
        <v>0</v>
      </c>
      <c r="N3193" t="n">
        <v>0</v>
      </c>
      <c r="O3193" t="n">
        <v>0</v>
      </c>
      <c r="P3193" t="n">
        <v>0</v>
      </c>
      <c r="Q3193" t="n">
        <v>0</v>
      </c>
      <c r="R3193" s="2" t="inlineStr"/>
    </row>
    <row r="3194" ht="15" customHeight="1">
      <c r="A3194" t="inlineStr">
        <is>
          <t>A 46707-2022</t>
        </is>
      </c>
      <c r="B3194" s="1" t="n">
        <v>44851.38383101852</v>
      </c>
      <c r="C3194" s="1" t="n">
        <v>45952</v>
      </c>
      <c r="D3194" t="inlineStr">
        <is>
          <t>VÄSTRA GÖTALANDS LÄN</t>
        </is>
      </c>
      <c r="E3194" t="inlineStr">
        <is>
          <t>TIBRO</t>
        </is>
      </c>
      <c r="G3194" t="n">
        <v>0.6</v>
      </c>
      <c r="H3194" t="n">
        <v>0</v>
      </c>
      <c r="I3194" t="n">
        <v>0</v>
      </c>
      <c r="J3194" t="n">
        <v>0</v>
      </c>
      <c r="K3194" t="n">
        <v>0</v>
      </c>
      <c r="L3194" t="n">
        <v>0</v>
      </c>
      <c r="M3194" t="n">
        <v>0</v>
      </c>
      <c r="N3194" t="n">
        <v>0</v>
      </c>
      <c r="O3194" t="n">
        <v>0</v>
      </c>
      <c r="P3194" t="n">
        <v>0</v>
      </c>
      <c r="Q3194" t="n">
        <v>0</v>
      </c>
      <c r="R3194" s="2" t="inlineStr"/>
    </row>
    <row r="3195" ht="15" customHeight="1">
      <c r="A3195" t="inlineStr">
        <is>
          <t>A 58706-2023</t>
        </is>
      </c>
      <c r="B3195" s="1" t="n">
        <v>45251</v>
      </c>
      <c r="C3195" s="1" t="n">
        <v>45952</v>
      </c>
      <c r="D3195" t="inlineStr">
        <is>
          <t>VÄSTRA GÖTALANDS LÄN</t>
        </is>
      </c>
      <c r="E3195" t="inlineStr">
        <is>
          <t>FALKÖPING</t>
        </is>
      </c>
      <c r="G3195" t="n">
        <v>8.800000000000001</v>
      </c>
      <c r="H3195" t="n">
        <v>0</v>
      </c>
      <c r="I3195" t="n">
        <v>0</v>
      </c>
      <c r="J3195" t="n">
        <v>0</v>
      </c>
      <c r="K3195" t="n">
        <v>0</v>
      </c>
      <c r="L3195" t="n">
        <v>0</v>
      </c>
      <c r="M3195" t="n">
        <v>0</v>
      </c>
      <c r="N3195" t="n">
        <v>0</v>
      </c>
      <c r="O3195" t="n">
        <v>0</v>
      </c>
      <c r="P3195" t="n">
        <v>0</v>
      </c>
      <c r="Q3195" t="n">
        <v>0</v>
      </c>
      <c r="R3195" s="2" t="inlineStr"/>
    </row>
    <row r="3196" ht="15" customHeight="1">
      <c r="A3196" t="inlineStr">
        <is>
          <t>A 37177-2022</t>
        </is>
      </c>
      <c r="B3196" s="1" t="n">
        <v>44806.61495370371</v>
      </c>
      <c r="C3196" s="1" t="n">
        <v>45952</v>
      </c>
      <c r="D3196" t="inlineStr">
        <is>
          <t>VÄSTRA GÖTALANDS LÄN</t>
        </is>
      </c>
      <c r="E3196" t="inlineStr">
        <is>
          <t>BENGTSFORS</t>
        </is>
      </c>
      <c r="F3196" t="inlineStr">
        <is>
          <t>Övriga Aktiebolag</t>
        </is>
      </c>
      <c r="G3196" t="n">
        <v>1.4</v>
      </c>
      <c r="H3196" t="n">
        <v>0</v>
      </c>
      <c r="I3196" t="n">
        <v>0</v>
      </c>
      <c r="J3196" t="n">
        <v>0</v>
      </c>
      <c r="K3196" t="n">
        <v>0</v>
      </c>
      <c r="L3196" t="n">
        <v>0</v>
      </c>
      <c r="M3196" t="n">
        <v>0</v>
      </c>
      <c r="N3196" t="n">
        <v>0</v>
      </c>
      <c r="O3196" t="n">
        <v>0</v>
      </c>
      <c r="P3196" t="n">
        <v>0</v>
      </c>
      <c r="Q3196" t="n">
        <v>0</v>
      </c>
      <c r="R3196" s="2" t="inlineStr"/>
    </row>
    <row r="3197" ht="15" customHeight="1">
      <c r="A3197" t="inlineStr">
        <is>
          <t>A 10056-2022</t>
        </is>
      </c>
      <c r="B3197" s="1" t="n">
        <v>44621</v>
      </c>
      <c r="C3197" s="1" t="n">
        <v>45952</v>
      </c>
      <c r="D3197" t="inlineStr">
        <is>
          <t>VÄSTRA GÖTALANDS LÄN</t>
        </is>
      </c>
      <c r="E3197" t="inlineStr">
        <is>
          <t>GULLSPÅNG</t>
        </is>
      </c>
      <c r="G3197" t="n">
        <v>1.9</v>
      </c>
      <c r="H3197" t="n">
        <v>0</v>
      </c>
      <c r="I3197" t="n">
        <v>0</v>
      </c>
      <c r="J3197" t="n">
        <v>0</v>
      </c>
      <c r="K3197" t="n">
        <v>0</v>
      </c>
      <c r="L3197" t="n">
        <v>0</v>
      </c>
      <c r="M3197" t="n">
        <v>0</v>
      </c>
      <c r="N3197" t="n">
        <v>0</v>
      </c>
      <c r="O3197" t="n">
        <v>0</v>
      </c>
      <c r="P3197" t="n">
        <v>0</v>
      </c>
      <c r="Q3197" t="n">
        <v>0</v>
      </c>
      <c r="R3197" s="2" t="inlineStr"/>
    </row>
    <row r="3198" ht="15" customHeight="1">
      <c r="A3198" t="inlineStr">
        <is>
          <t>A 23129-2022</t>
        </is>
      </c>
      <c r="B3198" s="1" t="n">
        <v>44719.59027777778</v>
      </c>
      <c r="C3198" s="1" t="n">
        <v>45952</v>
      </c>
      <c r="D3198" t="inlineStr">
        <is>
          <t>VÄSTRA GÖTALANDS LÄN</t>
        </is>
      </c>
      <c r="E3198" t="inlineStr">
        <is>
          <t>ALINGSÅS</t>
        </is>
      </c>
      <c r="G3198" t="n">
        <v>0.7</v>
      </c>
      <c r="H3198" t="n">
        <v>0</v>
      </c>
      <c r="I3198" t="n">
        <v>0</v>
      </c>
      <c r="J3198" t="n">
        <v>0</v>
      </c>
      <c r="K3198" t="n">
        <v>0</v>
      </c>
      <c r="L3198" t="n">
        <v>0</v>
      </c>
      <c r="M3198" t="n">
        <v>0</v>
      </c>
      <c r="N3198" t="n">
        <v>0</v>
      </c>
      <c r="O3198" t="n">
        <v>0</v>
      </c>
      <c r="P3198" t="n">
        <v>0</v>
      </c>
      <c r="Q3198" t="n">
        <v>0</v>
      </c>
      <c r="R3198" s="2" t="inlineStr"/>
    </row>
    <row r="3199" ht="15" customHeight="1">
      <c r="A3199" t="inlineStr">
        <is>
          <t>A 46724-2022</t>
        </is>
      </c>
      <c r="B3199" s="1" t="n">
        <v>44851</v>
      </c>
      <c r="C3199" s="1" t="n">
        <v>45952</v>
      </c>
      <c r="D3199" t="inlineStr">
        <is>
          <t>VÄSTRA GÖTALANDS LÄN</t>
        </is>
      </c>
      <c r="E3199" t="inlineStr">
        <is>
          <t>STRÖMSTAD</t>
        </is>
      </c>
      <c r="G3199" t="n">
        <v>1</v>
      </c>
      <c r="H3199" t="n">
        <v>0</v>
      </c>
      <c r="I3199" t="n">
        <v>0</v>
      </c>
      <c r="J3199" t="n">
        <v>0</v>
      </c>
      <c r="K3199" t="n">
        <v>0</v>
      </c>
      <c r="L3199" t="n">
        <v>0</v>
      </c>
      <c r="M3199" t="n">
        <v>0</v>
      </c>
      <c r="N3199" t="n">
        <v>0</v>
      </c>
      <c r="O3199" t="n">
        <v>0</v>
      </c>
      <c r="P3199" t="n">
        <v>0</v>
      </c>
      <c r="Q3199" t="n">
        <v>0</v>
      </c>
      <c r="R3199" s="2" t="inlineStr"/>
    </row>
    <row r="3200" ht="15" customHeight="1">
      <c r="A3200" t="inlineStr">
        <is>
          <t>A 5823-2024</t>
        </is>
      </c>
      <c r="B3200" s="1" t="n">
        <v>45335.55476851852</v>
      </c>
      <c r="C3200" s="1" t="n">
        <v>45952</v>
      </c>
      <c r="D3200" t="inlineStr">
        <is>
          <t>VÄSTRA GÖTALANDS LÄN</t>
        </is>
      </c>
      <c r="E3200" t="inlineStr">
        <is>
          <t>GULLSPÅNG</t>
        </is>
      </c>
      <c r="G3200" t="n">
        <v>0.7</v>
      </c>
      <c r="H3200" t="n">
        <v>0</v>
      </c>
      <c r="I3200" t="n">
        <v>0</v>
      </c>
      <c r="J3200" t="n">
        <v>0</v>
      </c>
      <c r="K3200" t="n">
        <v>0</v>
      </c>
      <c r="L3200" t="n">
        <v>0</v>
      </c>
      <c r="M3200" t="n">
        <v>0</v>
      </c>
      <c r="N3200" t="n">
        <v>0</v>
      </c>
      <c r="O3200" t="n">
        <v>0</v>
      </c>
      <c r="P3200" t="n">
        <v>0</v>
      </c>
      <c r="Q3200" t="n">
        <v>0</v>
      </c>
      <c r="R3200" s="2" t="inlineStr"/>
    </row>
    <row r="3201" ht="15" customHeight="1">
      <c r="A3201" t="inlineStr">
        <is>
          <t>A 55043-2022</t>
        </is>
      </c>
      <c r="B3201" s="1" t="n">
        <v>44886.56302083333</v>
      </c>
      <c r="C3201" s="1" t="n">
        <v>45952</v>
      </c>
      <c r="D3201" t="inlineStr">
        <is>
          <t>VÄSTRA GÖTALANDS LÄN</t>
        </is>
      </c>
      <c r="E3201" t="inlineStr">
        <is>
          <t>VARA</t>
        </is>
      </c>
      <c r="F3201" t="inlineStr">
        <is>
          <t>Sveaskog</t>
        </is>
      </c>
      <c r="G3201" t="n">
        <v>3.7</v>
      </c>
      <c r="H3201" t="n">
        <v>0</v>
      </c>
      <c r="I3201" t="n">
        <v>0</v>
      </c>
      <c r="J3201" t="n">
        <v>0</v>
      </c>
      <c r="K3201" t="n">
        <v>0</v>
      </c>
      <c r="L3201" t="n">
        <v>0</v>
      </c>
      <c r="M3201" t="n">
        <v>0</v>
      </c>
      <c r="N3201" t="n">
        <v>0</v>
      </c>
      <c r="O3201" t="n">
        <v>0</v>
      </c>
      <c r="P3201" t="n">
        <v>0</v>
      </c>
      <c r="Q3201" t="n">
        <v>0</v>
      </c>
      <c r="R3201" s="2" t="inlineStr"/>
    </row>
    <row r="3202" ht="15" customHeight="1">
      <c r="A3202" t="inlineStr">
        <is>
          <t>A 69623-2020</t>
        </is>
      </c>
      <c r="B3202" s="1" t="n">
        <v>44195</v>
      </c>
      <c r="C3202" s="1" t="n">
        <v>45952</v>
      </c>
      <c r="D3202" t="inlineStr">
        <is>
          <t>VÄSTRA GÖTALANDS LÄN</t>
        </is>
      </c>
      <c r="E3202" t="inlineStr">
        <is>
          <t>ULRICEHAMN</t>
        </is>
      </c>
      <c r="G3202" t="n">
        <v>2.8</v>
      </c>
      <c r="H3202" t="n">
        <v>0</v>
      </c>
      <c r="I3202" t="n">
        <v>0</v>
      </c>
      <c r="J3202" t="n">
        <v>0</v>
      </c>
      <c r="K3202" t="n">
        <v>0</v>
      </c>
      <c r="L3202" t="n">
        <v>0</v>
      </c>
      <c r="M3202" t="n">
        <v>0</v>
      </c>
      <c r="N3202" t="n">
        <v>0</v>
      </c>
      <c r="O3202" t="n">
        <v>0</v>
      </c>
      <c r="P3202" t="n">
        <v>0</v>
      </c>
      <c r="Q3202" t="n">
        <v>0</v>
      </c>
      <c r="R3202" s="2" t="inlineStr"/>
    </row>
    <row r="3203" ht="15" customHeight="1">
      <c r="A3203" t="inlineStr">
        <is>
          <t>A 24381-2023</t>
        </is>
      </c>
      <c r="B3203" s="1" t="n">
        <v>45076</v>
      </c>
      <c r="C3203" s="1" t="n">
        <v>45952</v>
      </c>
      <c r="D3203" t="inlineStr">
        <is>
          <t>VÄSTRA GÖTALANDS LÄN</t>
        </is>
      </c>
      <c r="E3203" t="inlineStr">
        <is>
          <t>TÖREBODA</t>
        </is>
      </c>
      <c r="G3203" t="n">
        <v>4.4</v>
      </c>
      <c r="H3203" t="n">
        <v>0</v>
      </c>
      <c r="I3203" t="n">
        <v>0</v>
      </c>
      <c r="J3203" t="n">
        <v>0</v>
      </c>
      <c r="K3203" t="n">
        <v>0</v>
      </c>
      <c r="L3203" t="n">
        <v>0</v>
      </c>
      <c r="M3203" t="n">
        <v>0</v>
      </c>
      <c r="N3203" t="n">
        <v>0</v>
      </c>
      <c r="O3203" t="n">
        <v>0</v>
      </c>
      <c r="P3203" t="n">
        <v>0</v>
      </c>
      <c r="Q3203" t="n">
        <v>0</v>
      </c>
      <c r="R3203" s="2" t="inlineStr"/>
    </row>
    <row r="3204" ht="15" customHeight="1">
      <c r="A3204" t="inlineStr">
        <is>
          <t>A 48433-2022</t>
        </is>
      </c>
      <c r="B3204" s="1" t="n">
        <v>44858.64818287037</v>
      </c>
      <c r="C3204" s="1" t="n">
        <v>45952</v>
      </c>
      <c r="D3204" t="inlineStr">
        <is>
          <t>VÄSTRA GÖTALANDS LÄN</t>
        </is>
      </c>
      <c r="E3204" t="inlineStr">
        <is>
          <t>ÅMÅL</t>
        </is>
      </c>
      <c r="G3204" t="n">
        <v>1.5</v>
      </c>
      <c r="H3204" t="n">
        <v>0</v>
      </c>
      <c r="I3204" t="n">
        <v>0</v>
      </c>
      <c r="J3204" t="n">
        <v>0</v>
      </c>
      <c r="K3204" t="n">
        <v>0</v>
      </c>
      <c r="L3204" t="n">
        <v>0</v>
      </c>
      <c r="M3204" t="n">
        <v>0</v>
      </c>
      <c r="N3204" t="n">
        <v>0</v>
      </c>
      <c r="O3204" t="n">
        <v>0</v>
      </c>
      <c r="P3204" t="n">
        <v>0</v>
      </c>
      <c r="Q3204" t="n">
        <v>0</v>
      </c>
      <c r="R3204" s="2" t="inlineStr"/>
    </row>
    <row r="3205" ht="15" customHeight="1">
      <c r="A3205" t="inlineStr">
        <is>
          <t>A 1686-2021</t>
        </is>
      </c>
      <c r="B3205" s="1" t="n">
        <v>44209</v>
      </c>
      <c r="C3205" s="1" t="n">
        <v>45952</v>
      </c>
      <c r="D3205" t="inlineStr">
        <is>
          <t>VÄSTRA GÖTALANDS LÄN</t>
        </is>
      </c>
      <c r="E3205" t="inlineStr">
        <is>
          <t>BENGTSFORS</t>
        </is>
      </c>
      <c r="G3205" t="n">
        <v>0.9</v>
      </c>
      <c r="H3205" t="n">
        <v>0</v>
      </c>
      <c r="I3205" t="n">
        <v>0</v>
      </c>
      <c r="J3205" t="n">
        <v>0</v>
      </c>
      <c r="K3205" t="n">
        <v>0</v>
      </c>
      <c r="L3205" t="n">
        <v>0</v>
      </c>
      <c r="M3205" t="n">
        <v>0</v>
      </c>
      <c r="N3205" t="n">
        <v>0</v>
      </c>
      <c r="O3205" t="n">
        <v>0</v>
      </c>
      <c r="P3205" t="n">
        <v>0</v>
      </c>
      <c r="Q3205" t="n">
        <v>0</v>
      </c>
      <c r="R3205" s="2" t="inlineStr"/>
    </row>
    <row r="3206" ht="15" customHeight="1">
      <c r="A3206" t="inlineStr">
        <is>
          <t>A 55077-2024</t>
        </is>
      </c>
      <c r="B3206" s="1" t="n">
        <v>45621.42699074074</v>
      </c>
      <c r="C3206" s="1" t="n">
        <v>45952</v>
      </c>
      <c r="D3206" t="inlineStr">
        <is>
          <t>VÄSTRA GÖTALANDS LÄN</t>
        </is>
      </c>
      <c r="E3206" t="inlineStr">
        <is>
          <t>DALS-ED</t>
        </is>
      </c>
      <c r="G3206" t="n">
        <v>0.5</v>
      </c>
      <c r="H3206" t="n">
        <v>0</v>
      </c>
      <c r="I3206" t="n">
        <v>0</v>
      </c>
      <c r="J3206" t="n">
        <v>0</v>
      </c>
      <c r="K3206" t="n">
        <v>0</v>
      </c>
      <c r="L3206" t="n">
        <v>0</v>
      </c>
      <c r="M3206" t="n">
        <v>0</v>
      </c>
      <c r="N3206" t="n">
        <v>0</v>
      </c>
      <c r="O3206" t="n">
        <v>0</v>
      </c>
      <c r="P3206" t="n">
        <v>0</v>
      </c>
      <c r="Q3206" t="n">
        <v>0</v>
      </c>
      <c r="R3206" s="2" t="inlineStr"/>
    </row>
    <row r="3207" ht="15" customHeight="1">
      <c r="A3207" t="inlineStr">
        <is>
          <t>A 69413-2021</t>
        </is>
      </c>
      <c r="B3207" s="1" t="n">
        <v>44531.61189814815</v>
      </c>
      <c r="C3207" s="1" t="n">
        <v>45952</v>
      </c>
      <c r="D3207" t="inlineStr">
        <is>
          <t>VÄSTRA GÖTALANDS LÄN</t>
        </is>
      </c>
      <c r="E3207" t="inlineStr">
        <is>
          <t>BOLLEBYGD</t>
        </is>
      </c>
      <c r="G3207" t="n">
        <v>3.6</v>
      </c>
      <c r="H3207" t="n">
        <v>0</v>
      </c>
      <c r="I3207" t="n">
        <v>0</v>
      </c>
      <c r="J3207" t="n">
        <v>0</v>
      </c>
      <c r="K3207" t="n">
        <v>0</v>
      </c>
      <c r="L3207" t="n">
        <v>0</v>
      </c>
      <c r="M3207" t="n">
        <v>0</v>
      </c>
      <c r="N3207" t="n">
        <v>0</v>
      </c>
      <c r="O3207" t="n">
        <v>0</v>
      </c>
      <c r="P3207" t="n">
        <v>0</v>
      </c>
      <c r="Q3207" t="n">
        <v>0</v>
      </c>
      <c r="R3207" s="2" t="inlineStr"/>
    </row>
    <row r="3208" ht="15" customHeight="1">
      <c r="A3208" t="inlineStr">
        <is>
          <t>A 41981-2024</t>
        </is>
      </c>
      <c r="B3208" s="1" t="n">
        <v>45561.63293981482</v>
      </c>
      <c r="C3208" s="1" t="n">
        <v>45952</v>
      </c>
      <c r="D3208" t="inlineStr">
        <is>
          <t>VÄSTRA GÖTALANDS LÄN</t>
        </is>
      </c>
      <c r="E3208" t="inlineStr">
        <is>
          <t>BORÅS</t>
        </is>
      </c>
      <c r="G3208" t="n">
        <v>0.9</v>
      </c>
      <c r="H3208" t="n">
        <v>0</v>
      </c>
      <c r="I3208" t="n">
        <v>0</v>
      </c>
      <c r="J3208" t="n">
        <v>0</v>
      </c>
      <c r="K3208" t="n">
        <v>0</v>
      </c>
      <c r="L3208" t="n">
        <v>0</v>
      </c>
      <c r="M3208" t="n">
        <v>0</v>
      </c>
      <c r="N3208" t="n">
        <v>0</v>
      </c>
      <c r="O3208" t="n">
        <v>0</v>
      </c>
      <c r="P3208" t="n">
        <v>0</v>
      </c>
      <c r="Q3208" t="n">
        <v>0</v>
      </c>
      <c r="R3208" s="2" t="inlineStr"/>
    </row>
    <row r="3209" ht="15" customHeight="1">
      <c r="A3209" t="inlineStr">
        <is>
          <t>A 61626-2024</t>
        </is>
      </c>
      <c r="B3209" s="1" t="n">
        <v>45646.66194444444</v>
      </c>
      <c r="C3209" s="1" t="n">
        <v>45952</v>
      </c>
      <c r="D3209" t="inlineStr">
        <is>
          <t>VÄSTRA GÖTALANDS LÄN</t>
        </is>
      </c>
      <c r="E3209" t="inlineStr">
        <is>
          <t>STRÖMSTAD</t>
        </is>
      </c>
      <c r="G3209" t="n">
        <v>7.3</v>
      </c>
      <c r="H3209" t="n">
        <v>0</v>
      </c>
      <c r="I3209" t="n">
        <v>0</v>
      </c>
      <c r="J3209" t="n">
        <v>0</v>
      </c>
      <c r="K3209" t="n">
        <v>0</v>
      </c>
      <c r="L3209" t="n">
        <v>0</v>
      </c>
      <c r="M3209" t="n">
        <v>0</v>
      </c>
      <c r="N3209" t="n">
        <v>0</v>
      </c>
      <c r="O3209" t="n">
        <v>0</v>
      </c>
      <c r="P3209" t="n">
        <v>0</v>
      </c>
      <c r="Q3209" t="n">
        <v>0</v>
      </c>
      <c r="R3209" s="2" t="inlineStr"/>
    </row>
    <row r="3210" ht="15" customHeight="1">
      <c r="A3210" t="inlineStr">
        <is>
          <t>A 44001-2021</t>
        </is>
      </c>
      <c r="B3210" s="1" t="n">
        <v>44434.48554398148</v>
      </c>
      <c r="C3210" s="1" t="n">
        <v>45952</v>
      </c>
      <c r="D3210" t="inlineStr">
        <is>
          <t>VÄSTRA GÖTALANDS LÄN</t>
        </is>
      </c>
      <c r="E3210" t="inlineStr">
        <is>
          <t>VÅRGÅRDA</t>
        </is>
      </c>
      <c r="G3210" t="n">
        <v>1.2</v>
      </c>
      <c r="H3210" t="n">
        <v>0</v>
      </c>
      <c r="I3210" t="n">
        <v>0</v>
      </c>
      <c r="J3210" t="n">
        <v>0</v>
      </c>
      <c r="K3210" t="n">
        <v>0</v>
      </c>
      <c r="L3210" t="n">
        <v>0</v>
      </c>
      <c r="M3210" t="n">
        <v>0</v>
      </c>
      <c r="N3210" t="n">
        <v>0</v>
      </c>
      <c r="O3210" t="n">
        <v>0</v>
      </c>
      <c r="P3210" t="n">
        <v>0</v>
      </c>
      <c r="Q3210" t="n">
        <v>0</v>
      </c>
      <c r="R3210" s="2" t="inlineStr"/>
    </row>
    <row r="3211" ht="15" customHeight="1">
      <c r="A3211" t="inlineStr">
        <is>
          <t>A 36244-2022</t>
        </is>
      </c>
      <c r="B3211" s="1" t="n">
        <v>44803</v>
      </c>
      <c r="C3211" s="1" t="n">
        <v>45952</v>
      </c>
      <c r="D3211" t="inlineStr">
        <is>
          <t>VÄSTRA GÖTALANDS LÄN</t>
        </is>
      </c>
      <c r="E3211" t="inlineStr">
        <is>
          <t>GÖTENE</t>
        </is>
      </c>
      <c r="G3211" t="n">
        <v>1.3</v>
      </c>
      <c r="H3211" t="n">
        <v>0</v>
      </c>
      <c r="I3211" t="n">
        <v>0</v>
      </c>
      <c r="J3211" t="n">
        <v>0</v>
      </c>
      <c r="K3211" t="n">
        <v>0</v>
      </c>
      <c r="L3211" t="n">
        <v>0</v>
      </c>
      <c r="M3211" t="n">
        <v>0</v>
      </c>
      <c r="N3211" t="n">
        <v>0</v>
      </c>
      <c r="O3211" t="n">
        <v>0</v>
      </c>
      <c r="P3211" t="n">
        <v>0</v>
      </c>
      <c r="Q3211" t="n">
        <v>0</v>
      </c>
      <c r="R3211" s="2" t="inlineStr"/>
    </row>
    <row r="3212" ht="15" customHeight="1">
      <c r="A3212" t="inlineStr">
        <is>
          <t>A 69125-2020</t>
        </is>
      </c>
      <c r="B3212" s="1" t="n">
        <v>44188</v>
      </c>
      <c r="C3212" s="1" t="n">
        <v>45952</v>
      </c>
      <c r="D3212" t="inlineStr">
        <is>
          <t>VÄSTRA GÖTALANDS LÄN</t>
        </is>
      </c>
      <c r="E3212" t="inlineStr">
        <is>
          <t>BORÅS</t>
        </is>
      </c>
      <c r="G3212" t="n">
        <v>2.5</v>
      </c>
      <c r="H3212" t="n">
        <v>0</v>
      </c>
      <c r="I3212" t="n">
        <v>0</v>
      </c>
      <c r="J3212" t="n">
        <v>0</v>
      </c>
      <c r="K3212" t="n">
        <v>0</v>
      </c>
      <c r="L3212" t="n">
        <v>0</v>
      </c>
      <c r="M3212" t="n">
        <v>0</v>
      </c>
      <c r="N3212" t="n">
        <v>0</v>
      </c>
      <c r="O3212" t="n">
        <v>0</v>
      </c>
      <c r="P3212" t="n">
        <v>0</v>
      </c>
      <c r="Q3212" t="n">
        <v>0</v>
      </c>
      <c r="R3212" s="2" t="inlineStr"/>
    </row>
    <row r="3213" ht="15" customHeight="1">
      <c r="A3213" t="inlineStr">
        <is>
          <t>A 14425-2022</t>
        </is>
      </c>
      <c r="B3213" s="1" t="n">
        <v>44652</v>
      </c>
      <c r="C3213" s="1" t="n">
        <v>45952</v>
      </c>
      <c r="D3213" t="inlineStr">
        <is>
          <t>VÄSTRA GÖTALANDS LÄN</t>
        </is>
      </c>
      <c r="E3213" t="inlineStr">
        <is>
          <t>MARK</t>
        </is>
      </c>
      <c r="G3213" t="n">
        <v>0.5</v>
      </c>
      <c r="H3213" t="n">
        <v>0</v>
      </c>
      <c r="I3213" t="n">
        <v>0</v>
      </c>
      <c r="J3213" t="n">
        <v>0</v>
      </c>
      <c r="K3213" t="n">
        <v>0</v>
      </c>
      <c r="L3213" t="n">
        <v>0</v>
      </c>
      <c r="M3213" t="n">
        <v>0</v>
      </c>
      <c r="N3213" t="n">
        <v>0</v>
      </c>
      <c r="O3213" t="n">
        <v>0</v>
      </c>
      <c r="P3213" t="n">
        <v>0</v>
      </c>
      <c r="Q3213" t="n">
        <v>0</v>
      </c>
      <c r="R3213" s="2" t="inlineStr"/>
    </row>
    <row r="3214" ht="15" customHeight="1">
      <c r="A3214" t="inlineStr">
        <is>
          <t>A 46573-2021</t>
        </is>
      </c>
      <c r="B3214" s="1" t="n">
        <v>44445</v>
      </c>
      <c r="C3214" s="1" t="n">
        <v>45952</v>
      </c>
      <c r="D3214" t="inlineStr">
        <is>
          <t>VÄSTRA GÖTALANDS LÄN</t>
        </is>
      </c>
      <c r="E3214" t="inlineStr">
        <is>
          <t>MARIESTAD</t>
        </is>
      </c>
      <c r="G3214" t="n">
        <v>5.2</v>
      </c>
      <c r="H3214" t="n">
        <v>0</v>
      </c>
      <c r="I3214" t="n">
        <v>0</v>
      </c>
      <c r="J3214" t="n">
        <v>0</v>
      </c>
      <c r="K3214" t="n">
        <v>0</v>
      </c>
      <c r="L3214" t="n">
        <v>0</v>
      </c>
      <c r="M3214" t="n">
        <v>0</v>
      </c>
      <c r="N3214" t="n">
        <v>0</v>
      </c>
      <c r="O3214" t="n">
        <v>0</v>
      </c>
      <c r="P3214" t="n">
        <v>0</v>
      </c>
      <c r="Q3214" t="n">
        <v>0</v>
      </c>
      <c r="R3214" s="2" t="inlineStr"/>
    </row>
    <row r="3215" ht="15" customHeight="1">
      <c r="A3215" t="inlineStr">
        <is>
          <t>A 22585-2022</t>
        </is>
      </c>
      <c r="B3215" s="1" t="n">
        <v>44714</v>
      </c>
      <c r="C3215" s="1" t="n">
        <v>45952</v>
      </c>
      <c r="D3215" t="inlineStr">
        <is>
          <t>VÄSTRA GÖTALANDS LÄN</t>
        </is>
      </c>
      <c r="E3215" t="inlineStr">
        <is>
          <t>SKARA</t>
        </is>
      </c>
      <c r="G3215" t="n">
        <v>1.6</v>
      </c>
      <c r="H3215" t="n">
        <v>0</v>
      </c>
      <c r="I3215" t="n">
        <v>0</v>
      </c>
      <c r="J3215" t="n">
        <v>0</v>
      </c>
      <c r="K3215" t="n">
        <v>0</v>
      </c>
      <c r="L3215" t="n">
        <v>0</v>
      </c>
      <c r="M3215" t="n">
        <v>0</v>
      </c>
      <c r="N3215" t="n">
        <v>0</v>
      </c>
      <c r="O3215" t="n">
        <v>0</v>
      </c>
      <c r="P3215" t="n">
        <v>0</v>
      </c>
      <c r="Q3215" t="n">
        <v>0</v>
      </c>
      <c r="R3215" s="2" t="inlineStr"/>
    </row>
    <row r="3216" ht="15" customHeight="1">
      <c r="A3216" t="inlineStr">
        <is>
          <t>A 34589-2022</t>
        </is>
      </c>
      <c r="B3216" s="1" t="n">
        <v>44795.36982638889</v>
      </c>
      <c r="C3216" s="1" t="n">
        <v>45952</v>
      </c>
      <c r="D3216" t="inlineStr">
        <is>
          <t>VÄSTRA GÖTALANDS LÄN</t>
        </is>
      </c>
      <c r="E3216" t="inlineStr">
        <is>
          <t>GULLSPÅNG</t>
        </is>
      </c>
      <c r="G3216" t="n">
        <v>0.6</v>
      </c>
      <c r="H3216" t="n">
        <v>0</v>
      </c>
      <c r="I3216" t="n">
        <v>0</v>
      </c>
      <c r="J3216" t="n">
        <v>0</v>
      </c>
      <c r="K3216" t="n">
        <v>0</v>
      </c>
      <c r="L3216" t="n">
        <v>0</v>
      </c>
      <c r="M3216" t="n">
        <v>0</v>
      </c>
      <c r="N3216" t="n">
        <v>0</v>
      </c>
      <c r="O3216" t="n">
        <v>0</v>
      </c>
      <c r="P3216" t="n">
        <v>0</v>
      </c>
      <c r="Q3216" t="n">
        <v>0</v>
      </c>
      <c r="R3216" s="2" t="inlineStr"/>
    </row>
    <row r="3217" ht="15" customHeight="1">
      <c r="A3217" t="inlineStr">
        <is>
          <t>A 69114-2020</t>
        </is>
      </c>
      <c r="B3217" s="1" t="n">
        <v>44188</v>
      </c>
      <c r="C3217" s="1" t="n">
        <v>45952</v>
      </c>
      <c r="D3217" t="inlineStr">
        <is>
          <t>VÄSTRA GÖTALANDS LÄN</t>
        </is>
      </c>
      <c r="E3217" t="inlineStr">
        <is>
          <t>FÄRGELANDA</t>
        </is>
      </c>
      <c r="G3217" t="n">
        <v>2.1</v>
      </c>
      <c r="H3217" t="n">
        <v>0</v>
      </c>
      <c r="I3217" t="n">
        <v>0</v>
      </c>
      <c r="J3217" t="n">
        <v>0</v>
      </c>
      <c r="K3217" t="n">
        <v>0</v>
      </c>
      <c r="L3217" t="n">
        <v>0</v>
      </c>
      <c r="M3217" t="n">
        <v>0</v>
      </c>
      <c r="N3217" t="n">
        <v>0</v>
      </c>
      <c r="O3217" t="n">
        <v>0</v>
      </c>
      <c r="P3217" t="n">
        <v>0</v>
      </c>
      <c r="Q3217" t="n">
        <v>0</v>
      </c>
      <c r="R3217" s="2" t="inlineStr"/>
    </row>
    <row r="3218" ht="15" customHeight="1">
      <c r="A3218" t="inlineStr">
        <is>
          <t>A 69118-2020</t>
        </is>
      </c>
      <c r="B3218" s="1" t="n">
        <v>44188</v>
      </c>
      <c r="C3218" s="1" t="n">
        <v>45952</v>
      </c>
      <c r="D3218" t="inlineStr">
        <is>
          <t>VÄSTRA GÖTALANDS LÄN</t>
        </is>
      </c>
      <c r="E3218" t="inlineStr">
        <is>
          <t>VÅRGÅRDA</t>
        </is>
      </c>
      <c r="G3218" t="n">
        <v>0.9</v>
      </c>
      <c r="H3218" t="n">
        <v>0</v>
      </c>
      <c r="I3218" t="n">
        <v>0</v>
      </c>
      <c r="J3218" t="n">
        <v>0</v>
      </c>
      <c r="K3218" t="n">
        <v>0</v>
      </c>
      <c r="L3218" t="n">
        <v>0</v>
      </c>
      <c r="M3218" t="n">
        <v>0</v>
      </c>
      <c r="N3218" t="n">
        <v>0</v>
      </c>
      <c r="O3218" t="n">
        <v>0</v>
      </c>
      <c r="P3218" t="n">
        <v>0</v>
      </c>
      <c r="Q3218" t="n">
        <v>0</v>
      </c>
      <c r="R3218" s="2" t="inlineStr"/>
    </row>
    <row r="3219" ht="15" customHeight="1">
      <c r="A3219" t="inlineStr">
        <is>
          <t>A 69122-2020</t>
        </is>
      </c>
      <c r="B3219" s="1" t="n">
        <v>44188</v>
      </c>
      <c r="C3219" s="1" t="n">
        <v>45952</v>
      </c>
      <c r="D3219" t="inlineStr">
        <is>
          <t>VÄSTRA GÖTALANDS LÄN</t>
        </is>
      </c>
      <c r="E3219" t="inlineStr">
        <is>
          <t>DALS-ED</t>
        </is>
      </c>
      <c r="G3219" t="n">
        <v>2.7</v>
      </c>
      <c r="H3219" t="n">
        <v>0</v>
      </c>
      <c r="I3219" t="n">
        <v>0</v>
      </c>
      <c r="J3219" t="n">
        <v>0</v>
      </c>
      <c r="K3219" t="n">
        <v>0</v>
      </c>
      <c r="L3219" t="n">
        <v>0</v>
      </c>
      <c r="M3219" t="n">
        <v>0</v>
      </c>
      <c r="N3219" t="n">
        <v>0</v>
      </c>
      <c r="O3219" t="n">
        <v>0</v>
      </c>
      <c r="P3219" t="n">
        <v>0</v>
      </c>
      <c r="Q3219" t="n">
        <v>0</v>
      </c>
      <c r="R3219" s="2" t="inlineStr"/>
    </row>
    <row r="3220" ht="15" customHeight="1">
      <c r="A3220" t="inlineStr">
        <is>
          <t>A 49273-2022</t>
        </is>
      </c>
      <c r="B3220" s="1" t="n">
        <v>44861.43894675926</v>
      </c>
      <c r="C3220" s="1" t="n">
        <v>45952</v>
      </c>
      <c r="D3220" t="inlineStr">
        <is>
          <t>VÄSTRA GÖTALANDS LÄN</t>
        </is>
      </c>
      <c r="E3220" t="inlineStr">
        <is>
          <t>GRÄSTORP</t>
        </is>
      </c>
      <c r="G3220" t="n">
        <v>0.4</v>
      </c>
      <c r="H3220" t="n">
        <v>0</v>
      </c>
      <c r="I3220" t="n">
        <v>0</v>
      </c>
      <c r="J3220" t="n">
        <v>0</v>
      </c>
      <c r="K3220" t="n">
        <v>0</v>
      </c>
      <c r="L3220" t="n">
        <v>0</v>
      </c>
      <c r="M3220" t="n">
        <v>0</v>
      </c>
      <c r="N3220" t="n">
        <v>0</v>
      </c>
      <c r="O3220" t="n">
        <v>0</v>
      </c>
      <c r="P3220" t="n">
        <v>0</v>
      </c>
      <c r="Q3220" t="n">
        <v>0</v>
      </c>
      <c r="R3220" s="2" t="inlineStr"/>
    </row>
    <row r="3221" ht="15" customHeight="1">
      <c r="A3221" t="inlineStr">
        <is>
          <t>A 12419-2022</t>
        </is>
      </c>
      <c r="B3221" s="1" t="n">
        <v>44638.3171875</v>
      </c>
      <c r="C3221" s="1" t="n">
        <v>45952</v>
      </c>
      <c r="D3221" t="inlineStr">
        <is>
          <t>VÄSTRA GÖTALANDS LÄN</t>
        </is>
      </c>
      <c r="E3221" t="inlineStr">
        <is>
          <t>SVENLJUNGA</t>
        </is>
      </c>
      <c r="G3221" t="n">
        <v>0.6</v>
      </c>
      <c r="H3221" t="n">
        <v>0</v>
      </c>
      <c r="I3221" t="n">
        <v>0</v>
      </c>
      <c r="J3221" t="n">
        <v>0</v>
      </c>
      <c r="K3221" t="n">
        <v>0</v>
      </c>
      <c r="L3221" t="n">
        <v>0</v>
      </c>
      <c r="M3221" t="n">
        <v>0</v>
      </c>
      <c r="N3221" t="n">
        <v>0</v>
      </c>
      <c r="O3221" t="n">
        <v>0</v>
      </c>
      <c r="P3221" t="n">
        <v>0</v>
      </c>
      <c r="Q3221" t="n">
        <v>0</v>
      </c>
      <c r="R3221" s="2" t="inlineStr"/>
    </row>
    <row r="3222" ht="15" customHeight="1">
      <c r="A3222" t="inlineStr">
        <is>
          <t>A 12443-2022</t>
        </is>
      </c>
      <c r="B3222" s="1" t="n">
        <v>44638</v>
      </c>
      <c r="C3222" s="1" t="n">
        <v>45952</v>
      </c>
      <c r="D3222" t="inlineStr">
        <is>
          <t>VÄSTRA GÖTALANDS LÄN</t>
        </is>
      </c>
      <c r="E3222" t="inlineStr">
        <is>
          <t>ULRICEHAMN</t>
        </is>
      </c>
      <c r="G3222" t="n">
        <v>9.800000000000001</v>
      </c>
      <c r="H3222" t="n">
        <v>0</v>
      </c>
      <c r="I3222" t="n">
        <v>0</v>
      </c>
      <c r="J3222" t="n">
        <v>0</v>
      </c>
      <c r="K3222" t="n">
        <v>0</v>
      </c>
      <c r="L3222" t="n">
        <v>0</v>
      </c>
      <c r="M3222" t="n">
        <v>0</v>
      </c>
      <c r="N3222" t="n">
        <v>0</v>
      </c>
      <c r="O3222" t="n">
        <v>0</v>
      </c>
      <c r="P3222" t="n">
        <v>0</v>
      </c>
      <c r="Q3222" t="n">
        <v>0</v>
      </c>
      <c r="R3222" s="2" t="inlineStr"/>
    </row>
    <row r="3223" ht="15" customHeight="1">
      <c r="A3223" t="inlineStr">
        <is>
          <t>A 51451-2022</t>
        </is>
      </c>
      <c r="B3223" s="1" t="n">
        <v>44869.50684027778</v>
      </c>
      <c r="C3223" s="1" t="n">
        <v>45952</v>
      </c>
      <c r="D3223" t="inlineStr">
        <is>
          <t>VÄSTRA GÖTALANDS LÄN</t>
        </is>
      </c>
      <c r="E3223" t="inlineStr">
        <is>
          <t>GÖTENE</t>
        </is>
      </c>
      <c r="G3223" t="n">
        <v>0.5</v>
      </c>
      <c r="H3223" t="n">
        <v>0</v>
      </c>
      <c r="I3223" t="n">
        <v>0</v>
      </c>
      <c r="J3223" t="n">
        <v>0</v>
      </c>
      <c r="K3223" t="n">
        <v>0</v>
      </c>
      <c r="L3223" t="n">
        <v>0</v>
      </c>
      <c r="M3223" t="n">
        <v>0</v>
      </c>
      <c r="N3223" t="n">
        <v>0</v>
      </c>
      <c r="O3223" t="n">
        <v>0</v>
      </c>
      <c r="P3223" t="n">
        <v>0</v>
      </c>
      <c r="Q3223" t="n">
        <v>0</v>
      </c>
      <c r="R3223" s="2" t="inlineStr"/>
    </row>
    <row r="3224" ht="15" customHeight="1">
      <c r="A3224" t="inlineStr">
        <is>
          <t>A 12256-2023</t>
        </is>
      </c>
      <c r="B3224" s="1" t="n">
        <v>44998</v>
      </c>
      <c r="C3224" s="1" t="n">
        <v>45952</v>
      </c>
      <c r="D3224" t="inlineStr">
        <is>
          <t>VÄSTRA GÖTALANDS LÄN</t>
        </is>
      </c>
      <c r="E3224" t="inlineStr">
        <is>
          <t>TRANEMO</t>
        </is>
      </c>
      <c r="G3224" t="n">
        <v>1.2</v>
      </c>
      <c r="H3224" t="n">
        <v>0</v>
      </c>
      <c r="I3224" t="n">
        <v>0</v>
      </c>
      <c r="J3224" t="n">
        <v>0</v>
      </c>
      <c r="K3224" t="n">
        <v>0</v>
      </c>
      <c r="L3224" t="n">
        <v>0</v>
      </c>
      <c r="M3224" t="n">
        <v>0</v>
      </c>
      <c r="N3224" t="n">
        <v>0</v>
      </c>
      <c r="O3224" t="n">
        <v>0</v>
      </c>
      <c r="P3224" t="n">
        <v>0</v>
      </c>
      <c r="Q3224" t="n">
        <v>0</v>
      </c>
      <c r="R3224" s="2" t="inlineStr"/>
    </row>
    <row r="3225" ht="15" customHeight="1">
      <c r="A3225" t="inlineStr">
        <is>
          <t>A 32230-2022</t>
        </is>
      </c>
      <c r="B3225" s="1" t="n">
        <v>44781.46791666667</v>
      </c>
      <c r="C3225" s="1" t="n">
        <v>45952</v>
      </c>
      <c r="D3225" t="inlineStr">
        <is>
          <t>VÄSTRA GÖTALANDS LÄN</t>
        </is>
      </c>
      <c r="E3225" t="inlineStr">
        <is>
          <t>MARK</t>
        </is>
      </c>
      <c r="G3225" t="n">
        <v>0.9</v>
      </c>
      <c r="H3225" t="n">
        <v>0</v>
      </c>
      <c r="I3225" t="n">
        <v>0</v>
      </c>
      <c r="J3225" t="n">
        <v>0</v>
      </c>
      <c r="K3225" t="n">
        <v>0</v>
      </c>
      <c r="L3225" t="n">
        <v>0</v>
      </c>
      <c r="M3225" t="n">
        <v>0</v>
      </c>
      <c r="N3225" t="n">
        <v>0</v>
      </c>
      <c r="O3225" t="n">
        <v>0</v>
      </c>
      <c r="P3225" t="n">
        <v>0</v>
      </c>
      <c r="Q3225" t="n">
        <v>0</v>
      </c>
      <c r="R3225" s="2" t="inlineStr"/>
    </row>
    <row r="3226" ht="15" customHeight="1">
      <c r="A3226" t="inlineStr">
        <is>
          <t>A 59474-2022</t>
        </is>
      </c>
      <c r="B3226" s="1" t="n">
        <v>44900</v>
      </c>
      <c r="C3226" s="1" t="n">
        <v>45952</v>
      </c>
      <c r="D3226" t="inlineStr">
        <is>
          <t>VÄSTRA GÖTALANDS LÄN</t>
        </is>
      </c>
      <c r="E3226" t="inlineStr">
        <is>
          <t>UDDEVALLA</t>
        </is>
      </c>
      <c r="F3226" t="inlineStr">
        <is>
          <t>Kyrkan</t>
        </is>
      </c>
      <c r="G3226" t="n">
        <v>2.2</v>
      </c>
      <c r="H3226" t="n">
        <v>0</v>
      </c>
      <c r="I3226" t="n">
        <v>0</v>
      </c>
      <c r="J3226" t="n">
        <v>0</v>
      </c>
      <c r="K3226" t="n">
        <v>0</v>
      </c>
      <c r="L3226" t="n">
        <v>0</v>
      </c>
      <c r="M3226" t="n">
        <v>0</v>
      </c>
      <c r="N3226" t="n">
        <v>0</v>
      </c>
      <c r="O3226" t="n">
        <v>0</v>
      </c>
      <c r="P3226" t="n">
        <v>0</v>
      </c>
      <c r="Q3226" t="n">
        <v>0</v>
      </c>
      <c r="R3226" s="2" t="inlineStr"/>
    </row>
    <row r="3227" ht="15" customHeight="1">
      <c r="A3227" t="inlineStr">
        <is>
          <t>A 6354-2025</t>
        </is>
      </c>
      <c r="B3227" s="1" t="n">
        <v>45699.3550462963</v>
      </c>
      <c r="C3227" s="1" t="n">
        <v>45952</v>
      </c>
      <c r="D3227" t="inlineStr">
        <is>
          <t>VÄSTRA GÖTALANDS LÄN</t>
        </is>
      </c>
      <c r="E3227" t="inlineStr">
        <is>
          <t>TROLLHÄTTAN</t>
        </is>
      </c>
      <c r="G3227" t="n">
        <v>19.3</v>
      </c>
      <c r="H3227" t="n">
        <v>0</v>
      </c>
      <c r="I3227" t="n">
        <v>0</v>
      </c>
      <c r="J3227" t="n">
        <v>0</v>
      </c>
      <c r="K3227" t="n">
        <v>0</v>
      </c>
      <c r="L3227" t="n">
        <v>0</v>
      </c>
      <c r="M3227" t="n">
        <v>0</v>
      </c>
      <c r="N3227" t="n">
        <v>0</v>
      </c>
      <c r="O3227" t="n">
        <v>0</v>
      </c>
      <c r="P3227" t="n">
        <v>0</v>
      </c>
      <c r="Q3227" t="n">
        <v>0</v>
      </c>
      <c r="R3227" s="2" t="inlineStr"/>
    </row>
    <row r="3228" ht="15" customHeight="1">
      <c r="A3228" t="inlineStr">
        <is>
          <t>A 3774-2021</t>
        </is>
      </c>
      <c r="B3228" s="1" t="n">
        <v>44221</v>
      </c>
      <c r="C3228" s="1" t="n">
        <v>45952</v>
      </c>
      <c r="D3228" t="inlineStr">
        <is>
          <t>VÄSTRA GÖTALANDS LÄN</t>
        </is>
      </c>
      <c r="E3228" t="inlineStr">
        <is>
          <t>ULRICEHAMN</t>
        </is>
      </c>
      <c r="G3228" t="n">
        <v>1.7</v>
      </c>
      <c r="H3228" t="n">
        <v>0</v>
      </c>
      <c r="I3228" t="n">
        <v>0</v>
      </c>
      <c r="J3228" t="n">
        <v>0</v>
      </c>
      <c r="K3228" t="n">
        <v>0</v>
      </c>
      <c r="L3228" t="n">
        <v>0</v>
      </c>
      <c r="M3228" t="n">
        <v>0</v>
      </c>
      <c r="N3228" t="n">
        <v>0</v>
      </c>
      <c r="O3228" t="n">
        <v>0</v>
      </c>
      <c r="P3228" t="n">
        <v>0</v>
      </c>
      <c r="Q3228" t="n">
        <v>0</v>
      </c>
      <c r="R3228" s="2" t="inlineStr"/>
    </row>
    <row r="3229" ht="15" customHeight="1">
      <c r="A3229" t="inlineStr">
        <is>
          <t>A 5606-2024</t>
        </is>
      </c>
      <c r="B3229" s="1" t="n">
        <v>45334</v>
      </c>
      <c r="C3229" s="1" t="n">
        <v>45952</v>
      </c>
      <c r="D3229" t="inlineStr">
        <is>
          <t>VÄSTRA GÖTALANDS LÄN</t>
        </is>
      </c>
      <c r="E3229" t="inlineStr">
        <is>
          <t>SVENLJUNGA</t>
        </is>
      </c>
      <c r="G3229" t="n">
        <v>1.3</v>
      </c>
      <c r="H3229" t="n">
        <v>0</v>
      </c>
      <c r="I3229" t="n">
        <v>0</v>
      </c>
      <c r="J3229" t="n">
        <v>0</v>
      </c>
      <c r="K3229" t="n">
        <v>0</v>
      </c>
      <c r="L3229" t="n">
        <v>0</v>
      </c>
      <c r="M3229" t="n">
        <v>0</v>
      </c>
      <c r="N3229" t="n">
        <v>0</v>
      </c>
      <c r="O3229" t="n">
        <v>0</v>
      </c>
      <c r="P3229" t="n">
        <v>0</v>
      </c>
      <c r="Q3229" t="n">
        <v>0</v>
      </c>
      <c r="R3229" s="2" t="inlineStr"/>
    </row>
    <row r="3230" ht="15" customHeight="1">
      <c r="A3230" t="inlineStr">
        <is>
          <t>A 52262-2023</t>
        </is>
      </c>
      <c r="B3230" s="1" t="n">
        <v>45217</v>
      </c>
      <c r="C3230" s="1" t="n">
        <v>45952</v>
      </c>
      <c r="D3230" t="inlineStr">
        <is>
          <t>VÄSTRA GÖTALANDS LÄN</t>
        </is>
      </c>
      <c r="E3230" t="inlineStr">
        <is>
          <t>STRÖMSTAD</t>
        </is>
      </c>
      <c r="G3230" t="n">
        <v>1.7</v>
      </c>
      <c r="H3230" t="n">
        <v>0</v>
      </c>
      <c r="I3230" t="n">
        <v>0</v>
      </c>
      <c r="J3230" t="n">
        <v>0</v>
      </c>
      <c r="K3230" t="n">
        <v>0</v>
      </c>
      <c r="L3230" t="n">
        <v>0</v>
      </c>
      <c r="M3230" t="n">
        <v>0</v>
      </c>
      <c r="N3230" t="n">
        <v>0</v>
      </c>
      <c r="O3230" t="n">
        <v>0</v>
      </c>
      <c r="P3230" t="n">
        <v>0</v>
      </c>
      <c r="Q3230" t="n">
        <v>0</v>
      </c>
      <c r="R3230" s="2" t="inlineStr"/>
    </row>
    <row r="3231" ht="15" customHeight="1">
      <c r="A3231" t="inlineStr">
        <is>
          <t>A 30754-2023</t>
        </is>
      </c>
      <c r="B3231" s="1" t="n">
        <v>45112</v>
      </c>
      <c r="C3231" s="1" t="n">
        <v>45952</v>
      </c>
      <c r="D3231" t="inlineStr">
        <is>
          <t>VÄSTRA GÖTALANDS LÄN</t>
        </is>
      </c>
      <c r="E3231" t="inlineStr">
        <is>
          <t>BOLLEBYGD</t>
        </is>
      </c>
      <c r="G3231" t="n">
        <v>1.7</v>
      </c>
      <c r="H3231" t="n">
        <v>0</v>
      </c>
      <c r="I3231" t="n">
        <v>0</v>
      </c>
      <c r="J3231" t="n">
        <v>0</v>
      </c>
      <c r="K3231" t="n">
        <v>0</v>
      </c>
      <c r="L3231" t="n">
        <v>0</v>
      </c>
      <c r="M3231" t="n">
        <v>0</v>
      </c>
      <c r="N3231" t="n">
        <v>0</v>
      </c>
      <c r="O3231" t="n">
        <v>0</v>
      </c>
      <c r="P3231" t="n">
        <v>0</v>
      </c>
      <c r="Q3231" t="n">
        <v>0</v>
      </c>
      <c r="R3231" s="2" t="inlineStr"/>
    </row>
    <row r="3232" ht="15" customHeight="1">
      <c r="A3232" t="inlineStr">
        <is>
          <t>A 30769-2023</t>
        </is>
      </c>
      <c r="B3232" s="1" t="n">
        <v>45112</v>
      </c>
      <c r="C3232" s="1" t="n">
        <v>45952</v>
      </c>
      <c r="D3232" t="inlineStr">
        <is>
          <t>VÄSTRA GÖTALANDS LÄN</t>
        </is>
      </c>
      <c r="E3232" t="inlineStr">
        <is>
          <t>BOLLEBYGD</t>
        </is>
      </c>
      <c r="G3232" t="n">
        <v>2.1</v>
      </c>
      <c r="H3232" t="n">
        <v>0</v>
      </c>
      <c r="I3232" t="n">
        <v>0</v>
      </c>
      <c r="J3232" t="n">
        <v>0</v>
      </c>
      <c r="K3232" t="n">
        <v>0</v>
      </c>
      <c r="L3232" t="n">
        <v>0</v>
      </c>
      <c r="M3232" t="n">
        <v>0</v>
      </c>
      <c r="N3232" t="n">
        <v>0</v>
      </c>
      <c r="O3232" t="n">
        <v>0</v>
      </c>
      <c r="P3232" t="n">
        <v>0</v>
      </c>
      <c r="Q3232" t="n">
        <v>0</v>
      </c>
      <c r="R3232" s="2" t="inlineStr"/>
    </row>
    <row r="3233" ht="15" customHeight="1">
      <c r="A3233" t="inlineStr">
        <is>
          <t>A 30794-2023</t>
        </is>
      </c>
      <c r="B3233" s="1" t="n">
        <v>45112.75039351852</v>
      </c>
      <c r="C3233" s="1" t="n">
        <v>45952</v>
      </c>
      <c r="D3233" t="inlineStr">
        <is>
          <t>VÄSTRA GÖTALANDS LÄN</t>
        </is>
      </c>
      <c r="E3233" t="inlineStr">
        <is>
          <t>BOLLEBYGD</t>
        </is>
      </c>
      <c r="G3233" t="n">
        <v>0.7</v>
      </c>
      <c r="H3233" t="n">
        <v>0</v>
      </c>
      <c r="I3233" t="n">
        <v>0</v>
      </c>
      <c r="J3233" t="n">
        <v>0</v>
      </c>
      <c r="K3233" t="n">
        <v>0</v>
      </c>
      <c r="L3233" t="n">
        <v>0</v>
      </c>
      <c r="M3233" t="n">
        <v>0</v>
      </c>
      <c r="N3233" t="n">
        <v>0</v>
      </c>
      <c r="O3233" t="n">
        <v>0</v>
      </c>
      <c r="P3233" t="n">
        <v>0</v>
      </c>
      <c r="Q3233" t="n">
        <v>0</v>
      </c>
      <c r="R3233" s="2" t="inlineStr"/>
    </row>
    <row r="3234" ht="15" customHeight="1">
      <c r="A3234" t="inlineStr">
        <is>
          <t>A 2294-2022</t>
        </is>
      </c>
      <c r="B3234" s="1" t="n">
        <v>44578</v>
      </c>
      <c r="C3234" s="1" t="n">
        <v>45952</v>
      </c>
      <c r="D3234" t="inlineStr">
        <is>
          <t>VÄSTRA GÖTALANDS LÄN</t>
        </is>
      </c>
      <c r="E3234" t="inlineStr">
        <is>
          <t>FALKÖPING</t>
        </is>
      </c>
      <c r="G3234" t="n">
        <v>1</v>
      </c>
      <c r="H3234" t="n">
        <v>0</v>
      </c>
      <c r="I3234" t="n">
        <v>0</v>
      </c>
      <c r="J3234" t="n">
        <v>0</v>
      </c>
      <c r="K3234" t="n">
        <v>0</v>
      </c>
      <c r="L3234" t="n">
        <v>0</v>
      </c>
      <c r="M3234" t="n">
        <v>0</v>
      </c>
      <c r="N3234" t="n">
        <v>0</v>
      </c>
      <c r="O3234" t="n">
        <v>0</v>
      </c>
      <c r="P3234" t="n">
        <v>0</v>
      </c>
      <c r="Q3234" t="n">
        <v>0</v>
      </c>
      <c r="R3234" s="2" t="inlineStr"/>
    </row>
    <row r="3235" ht="15" customHeight="1">
      <c r="A3235" t="inlineStr">
        <is>
          <t>A 64837-2021</t>
        </is>
      </c>
      <c r="B3235" s="1" t="n">
        <v>44512</v>
      </c>
      <c r="C3235" s="1" t="n">
        <v>45952</v>
      </c>
      <c r="D3235" t="inlineStr">
        <is>
          <t>VÄSTRA GÖTALANDS LÄN</t>
        </is>
      </c>
      <c r="E3235" t="inlineStr">
        <is>
          <t>BENGTSFORS</t>
        </is>
      </c>
      <c r="G3235" t="n">
        <v>3.7</v>
      </c>
      <c r="H3235" t="n">
        <v>0</v>
      </c>
      <c r="I3235" t="n">
        <v>0</v>
      </c>
      <c r="J3235" t="n">
        <v>0</v>
      </c>
      <c r="K3235" t="n">
        <v>0</v>
      </c>
      <c r="L3235" t="n">
        <v>0</v>
      </c>
      <c r="M3235" t="n">
        <v>0</v>
      </c>
      <c r="N3235" t="n">
        <v>0</v>
      </c>
      <c r="O3235" t="n">
        <v>0</v>
      </c>
      <c r="P3235" t="n">
        <v>0</v>
      </c>
      <c r="Q3235" t="n">
        <v>0</v>
      </c>
      <c r="R3235" s="2" t="inlineStr"/>
    </row>
    <row r="3236" ht="15" customHeight="1">
      <c r="A3236" t="inlineStr">
        <is>
          <t>A 39171-2022</t>
        </is>
      </c>
      <c r="B3236" s="1" t="n">
        <v>44817</v>
      </c>
      <c r="C3236" s="1" t="n">
        <v>45952</v>
      </c>
      <c r="D3236" t="inlineStr">
        <is>
          <t>VÄSTRA GÖTALANDS LÄN</t>
        </is>
      </c>
      <c r="E3236" t="inlineStr">
        <is>
          <t>MELLERUD</t>
        </is>
      </c>
      <c r="G3236" t="n">
        <v>0.5</v>
      </c>
      <c r="H3236" t="n">
        <v>0</v>
      </c>
      <c r="I3236" t="n">
        <v>0</v>
      </c>
      <c r="J3236" t="n">
        <v>0</v>
      </c>
      <c r="K3236" t="n">
        <v>0</v>
      </c>
      <c r="L3236" t="n">
        <v>0</v>
      </c>
      <c r="M3236" t="n">
        <v>0</v>
      </c>
      <c r="N3236" t="n">
        <v>0</v>
      </c>
      <c r="O3236" t="n">
        <v>0</v>
      </c>
      <c r="P3236" t="n">
        <v>0</v>
      </c>
      <c r="Q3236" t="n">
        <v>0</v>
      </c>
      <c r="R3236" s="2" t="inlineStr"/>
    </row>
    <row r="3237" ht="15" customHeight="1">
      <c r="A3237" t="inlineStr">
        <is>
          <t>A 10415-2022</t>
        </is>
      </c>
      <c r="B3237" s="1" t="n">
        <v>44623.45966435185</v>
      </c>
      <c r="C3237" s="1" t="n">
        <v>45952</v>
      </c>
      <c r="D3237" t="inlineStr">
        <is>
          <t>VÄSTRA GÖTALANDS LÄN</t>
        </is>
      </c>
      <c r="E3237" t="inlineStr">
        <is>
          <t>FALKÖPING</t>
        </is>
      </c>
      <c r="G3237" t="n">
        <v>3.6</v>
      </c>
      <c r="H3237" t="n">
        <v>0</v>
      </c>
      <c r="I3237" t="n">
        <v>0</v>
      </c>
      <c r="J3237" t="n">
        <v>0</v>
      </c>
      <c r="K3237" t="n">
        <v>0</v>
      </c>
      <c r="L3237" t="n">
        <v>0</v>
      </c>
      <c r="M3237" t="n">
        <v>0</v>
      </c>
      <c r="N3237" t="n">
        <v>0</v>
      </c>
      <c r="O3237" t="n">
        <v>0</v>
      </c>
      <c r="P3237" t="n">
        <v>0</v>
      </c>
      <c r="Q3237" t="n">
        <v>0</v>
      </c>
      <c r="R3237" s="2" t="inlineStr"/>
    </row>
    <row r="3238" ht="15" customHeight="1">
      <c r="A3238" t="inlineStr">
        <is>
          <t>A 57976-2024</t>
        </is>
      </c>
      <c r="B3238" s="1" t="n">
        <v>45631.60872685185</v>
      </c>
      <c r="C3238" s="1" t="n">
        <v>45952</v>
      </c>
      <c r="D3238" t="inlineStr">
        <is>
          <t>VÄSTRA GÖTALANDS LÄN</t>
        </is>
      </c>
      <c r="E3238" t="inlineStr">
        <is>
          <t>BENGTSFORS</t>
        </is>
      </c>
      <c r="G3238" t="n">
        <v>1.8</v>
      </c>
      <c r="H3238" t="n">
        <v>0</v>
      </c>
      <c r="I3238" t="n">
        <v>0</v>
      </c>
      <c r="J3238" t="n">
        <v>0</v>
      </c>
      <c r="K3238" t="n">
        <v>0</v>
      </c>
      <c r="L3238" t="n">
        <v>0</v>
      </c>
      <c r="M3238" t="n">
        <v>0</v>
      </c>
      <c r="N3238" t="n">
        <v>0</v>
      </c>
      <c r="O3238" t="n">
        <v>0</v>
      </c>
      <c r="P3238" t="n">
        <v>0</v>
      </c>
      <c r="Q3238" t="n">
        <v>0</v>
      </c>
      <c r="R3238" s="2" t="inlineStr"/>
    </row>
    <row r="3239" ht="15" customHeight="1">
      <c r="A3239" t="inlineStr">
        <is>
          <t>A 34356-2023</t>
        </is>
      </c>
      <c r="B3239" s="1" t="n">
        <v>45139</v>
      </c>
      <c r="C3239" s="1" t="n">
        <v>45952</v>
      </c>
      <c r="D3239" t="inlineStr">
        <is>
          <t>VÄSTRA GÖTALANDS LÄN</t>
        </is>
      </c>
      <c r="E3239" t="inlineStr">
        <is>
          <t>TROLLHÄTTAN</t>
        </is>
      </c>
      <c r="G3239" t="n">
        <v>6.7</v>
      </c>
      <c r="H3239" t="n">
        <v>0</v>
      </c>
      <c r="I3239" t="n">
        <v>0</v>
      </c>
      <c r="J3239" t="n">
        <v>0</v>
      </c>
      <c r="K3239" t="n">
        <v>0</v>
      </c>
      <c r="L3239" t="n">
        <v>0</v>
      </c>
      <c r="M3239" t="n">
        <v>0</v>
      </c>
      <c r="N3239" t="n">
        <v>0</v>
      </c>
      <c r="O3239" t="n">
        <v>0</v>
      </c>
      <c r="P3239" t="n">
        <v>0</v>
      </c>
      <c r="Q3239" t="n">
        <v>0</v>
      </c>
      <c r="R3239" s="2" t="inlineStr"/>
    </row>
    <row r="3240" ht="15" customHeight="1">
      <c r="A3240" t="inlineStr">
        <is>
          <t>A 9096-2025</t>
        </is>
      </c>
      <c r="B3240" s="1" t="n">
        <v>45713.68238425926</v>
      </c>
      <c r="C3240" s="1" t="n">
        <v>45952</v>
      </c>
      <c r="D3240" t="inlineStr">
        <is>
          <t>VÄSTRA GÖTALANDS LÄN</t>
        </is>
      </c>
      <c r="E3240" t="inlineStr">
        <is>
          <t>BORÅS</t>
        </is>
      </c>
      <c r="G3240" t="n">
        <v>0.4</v>
      </c>
      <c r="H3240" t="n">
        <v>0</v>
      </c>
      <c r="I3240" t="n">
        <v>0</v>
      </c>
      <c r="J3240" t="n">
        <v>0</v>
      </c>
      <c r="K3240" t="n">
        <v>0</v>
      </c>
      <c r="L3240" t="n">
        <v>0</v>
      </c>
      <c r="M3240" t="n">
        <v>0</v>
      </c>
      <c r="N3240" t="n">
        <v>0</v>
      </c>
      <c r="O3240" t="n">
        <v>0</v>
      </c>
      <c r="P3240" t="n">
        <v>0</v>
      </c>
      <c r="Q3240" t="n">
        <v>0</v>
      </c>
      <c r="R3240" s="2" t="inlineStr"/>
    </row>
    <row r="3241" ht="15" customHeight="1">
      <c r="A3241" t="inlineStr">
        <is>
          <t>A 32167-2021</t>
        </is>
      </c>
      <c r="B3241" s="1" t="n">
        <v>44371</v>
      </c>
      <c r="C3241" s="1" t="n">
        <v>45952</v>
      </c>
      <c r="D3241" t="inlineStr">
        <is>
          <t>VÄSTRA GÖTALANDS LÄN</t>
        </is>
      </c>
      <c r="E3241" t="inlineStr">
        <is>
          <t>MARIESTAD</t>
        </is>
      </c>
      <c r="G3241" t="n">
        <v>0.6</v>
      </c>
      <c r="H3241" t="n">
        <v>0</v>
      </c>
      <c r="I3241" t="n">
        <v>0</v>
      </c>
      <c r="J3241" t="n">
        <v>0</v>
      </c>
      <c r="K3241" t="n">
        <v>0</v>
      </c>
      <c r="L3241" t="n">
        <v>0</v>
      </c>
      <c r="M3241" t="n">
        <v>0</v>
      </c>
      <c r="N3241" t="n">
        <v>0</v>
      </c>
      <c r="O3241" t="n">
        <v>0</v>
      </c>
      <c r="P3241" t="n">
        <v>0</v>
      </c>
      <c r="Q3241" t="n">
        <v>0</v>
      </c>
      <c r="R3241" s="2" t="inlineStr"/>
    </row>
    <row r="3242" ht="15" customHeight="1">
      <c r="A3242" t="inlineStr">
        <is>
          <t>A 18489-2022</t>
        </is>
      </c>
      <c r="B3242" s="1" t="n">
        <v>44686.59855324074</v>
      </c>
      <c r="C3242" s="1" t="n">
        <v>45952</v>
      </c>
      <c r="D3242" t="inlineStr">
        <is>
          <t>VÄSTRA GÖTALANDS LÄN</t>
        </is>
      </c>
      <c r="E3242" t="inlineStr">
        <is>
          <t>TIDAHOLM</t>
        </is>
      </c>
      <c r="G3242" t="n">
        <v>0.6</v>
      </c>
      <c r="H3242" t="n">
        <v>0</v>
      </c>
      <c r="I3242" t="n">
        <v>0</v>
      </c>
      <c r="J3242" t="n">
        <v>0</v>
      </c>
      <c r="K3242" t="n">
        <v>0</v>
      </c>
      <c r="L3242" t="n">
        <v>0</v>
      </c>
      <c r="M3242" t="n">
        <v>0</v>
      </c>
      <c r="N3242" t="n">
        <v>0</v>
      </c>
      <c r="O3242" t="n">
        <v>0</v>
      </c>
      <c r="P3242" t="n">
        <v>0</v>
      </c>
      <c r="Q3242" t="n">
        <v>0</v>
      </c>
      <c r="R3242" s="2" t="inlineStr"/>
    </row>
    <row r="3243" ht="15" customHeight="1">
      <c r="A3243" t="inlineStr">
        <is>
          <t>A 18533-2022</t>
        </is>
      </c>
      <c r="B3243" s="1" t="n">
        <v>44686.73731481482</v>
      </c>
      <c r="C3243" s="1" t="n">
        <v>45952</v>
      </c>
      <c r="D3243" t="inlineStr">
        <is>
          <t>VÄSTRA GÖTALANDS LÄN</t>
        </is>
      </c>
      <c r="E3243" t="inlineStr">
        <is>
          <t>TROLLHÄTTAN</t>
        </is>
      </c>
      <c r="G3243" t="n">
        <v>2.5</v>
      </c>
      <c r="H3243" t="n">
        <v>0</v>
      </c>
      <c r="I3243" t="n">
        <v>0</v>
      </c>
      <c r="J3243" t="n">
        <v>0</v>
      </c>
      <c r="K3243" t="n">
        <v>0</v>
      </c>
      <c r="L3243" t="n">
        <v>0</v>
      </c>
      <c r="M3243" t="n">
        <v>0</v>
      </c>
      <c r="N3243" t="n">
        <v>0</v>
      </c>
      <c r="O3243" t="n">
        <v>0</v>
      </c>
      <c r="P3243" t="n">
        <v>0</v>
      </c>
      <c r="Q3243" t="n">
        <v>0</v>
      </c>
      <c r="R3243" s="2" t="inlineStr"/>
    </row>
    <row r="3244" ht="15" customHeight="1">
      <c r="A3244" t="inlineStr">
        <is>
          <t>A 47656-2022</t>
        </is>
      </c>
      <c r="B3244" s="1" t="n">
        <v>44854.45597222223</v>
      </c>
      <c r="C3244" s="1" t="n">
        <v>45952</v>
      </c>
      <c r="D3244" t="inlineStr">
        <is>
          <t>VÄSTRA GÖTALANDS LÄN</t>
        </is>
      </c>
      <c r="E3244" t="inlineStr">
        <is>
          <t>HJO</t>
        </is>
      </c>
      <c r="G3244" t="n">
        <v>0.9</v>
      </c>
      <c r="H3244" t="n">
        <v>0</v>
      </c>
      <c r="I3244" t="n">
        <v>0</v>
      </c>
      <c r="J3244" t="n">
        <v>0</v>
      </c>
      <c r="K3244" t="n">
        <v>0</v>
      </c>
      <c r="L3244" t="n">
        <v>0</v>
      </c>
      <c r="M3244" t="n">
        <v>0</v>
      </c>
      <c r="N3244" t="n">
        <v>0</v>
      </c>
      <c r="O3244" t="n">
        <v>0</v>
      </c>
      <c r="P3244" t="n">
        <v>0</v>
      </c>
      <c r="Q3244" t="n">
        <v>0</v>
      </c>
      <c r="R3244" s="2" t="inlineStr"/>
    </row>
    <row r="3245" ht="15" customHeight="1">
      <c r="A3245" t="inlineStr">
        <is>
          <t>A 15672-2022</t>
        </is>
      </c>
      <c r="B3245" s="1" t="n">
        <v>44663.21403935185</v>
      </c>
      <c r="C3245" s="1" t="n">
        <v>45952</v>
      </c>
      <c r="D3245" t="inlineStr">
        <is>
          <t>VÄSTRA GÖTALANDS LÄN</t>
        </is>
      </c>
      <c r="E3245" t="inlineStr">
        <is>
          <t>ULRICEHAMN</t>
        </is>
      </c>
      <c r="G3245" t="n">
        <v>1.1</v>
      </c>
      <c r="H3245" t="n">
        <v>0</v>
      </c>
      <c r="I3245" t="n">
        <v>0</v>
      </c>
      <c r="J3245" t="n">
        <v>0</v>
      </c>
      <c r="K3245" t="n">
        <v>0</v>
      </c>
      <c r="L3245" t="n">
        <v>0</v>
      </c>
      <c r="M3245" t="n">
        <v>0</v>
      </c>
      <c r="N3245" t="n">
        <v>0</v>
      </c>
      <c r="O3245" t="n">
        <v>0</v>
      </c>
      <c r="P3245" t="n">
        <v>0</v>
      </c>
      <c r="Q3245" t="n">
        <v>0</v>
      </c>
      <c r="R3245" s="2" t="inlineStr"/>
    </row>
    <row r="3246" ht="15" customHeight="1">
      <c r="A3246" t="inlineStr">
        <is>
          <t>A 49188-2021</t>
        </is>
      </c>
      <c r="B3246" s="1" t="n">
        <v>44454.32574074074</v>
      </c>
      <c r="C3246" s="1" t="n">
        <v>45952</v>
      </c>
      <c r="D3246" t="inlineStr">
        <is>
          <t>VÄSTRA GÖTALANDS LÄN</t>
        </is>
      </c>
      <c r="E3246" t="inlineStr">
        <is>
          <t>SVENLJUNGA</t>
        </is>
      </c>
      <c r="G3246" t="n">
        <v>0.4</v>
      </c>
      <c r="H3246" t="n">
        <v>0</v>
      </c>
      <c r="I3246" t="n">
        <v>0</v>
      </c>
      <c r="J3246" t="n">
        <v>0</v>
      </c>
      <c r="K3246" t="n">
        <v>0</v>
      </c>
      <c r="L3246" t="n">
        <v>0</v>
      </c>
      <c r="M3246" t="n">
        <v>0</v>
      </c>
      <c r="N3246" t="n">
        <v>0</v>
      </c>
      <c r="O3246" t="n">
        <v>0</v>
      </c>
      <c r="P3246" t="n">
        <v>0</v>
      </c>
      <c r="Q3246" t="n">
        <v>0</v>
      </c>
      <c r="R3246" s="2" t="inlineStr"/>
    </row>
    <row r="3247" ht="15" customHeight="1">
      <c r="A3247" t="inlineStr">
        <is>
          <t>A 10976-2022</t>
        </is>
      </c>
      <c r="B3247" s="1" t="n">
        <v>44628.42969907408</v>
      </c>
      <c r="C3247" s="1" t="n">
        <v>45952</v>
      </c>
      <c r="D3247" t="inlineStr">
        <is>
          <t>VÄSTRA GÖTALANDS LÄN</t>
        </is>
      </c>
      <c r="E3247" t="inlineStr">
        <is>
          <t>VÄNERSBORG</t>
        </is>
      </c>
      <c r="G3247" t="n">
        <v>0.6</v>
      </c>
      <c r="H3247" t="n">
        <v>0</v>
      </c>
      <c r="I3247" t="n">
        <v>0</v>
      </c>
      <c r="J3247" t="n">
        <v>0</v>
      </c>
      <c r="K3247" t="n">
        <v>0</v>
      </c>
      <c r="L3247" t="n">
        <v>0</v>
      </c>
      <c r="M3247" t="n">
        <v>0</v>
      </c>
      <c r="N3247" t="n">
        <v>0</v>
      </c>
      <c r="O3247" t="n">
        <v>0</v>
      </c>
      <c r="P3247" t="n">
        <v>0</v>
      </c>
      <c r="Q3247" t="n">
        <v>0</v>
      </c>
      <c r="R3247" s="2" t="inlineStr"/>
    </row>
    <row r="3248" ht="15" customHeight="1">
      <c r="A3248" t="inlineStr">
        <is>
          <t>A 58342-2021</t>
        </is>
      </c>
      <c r="B3248" s="1" t="n">
        <v>44488.41126157407</v>
      </c>
      <c r="C3248" s="1" t="n">
        <v>45952</v>
      </c>
      <c r="D3248" t="inlineStr">
        <is>
          <t>VÄSTRA GÖTALANDS LÄN</t>
        </is>
      </c>
      <c r="E3248" t="inlineStr">
        <is>
          <t>SVENLJUNGA</t>
        </is>
      </c>
      <c r="G3248" t="n">
        <v>3.3</v>
      </c>
      <c r="H3248" t="n">
        <v>0</v>
      </c>
      <c r="I3248" t="n">
        <v>0</v>
      </c>
      <c r="J3248" t="n">
        <v>0</v>
      </c>
      <c r="K3248" t="n">
        <v>0</v>
      </c>
      <c r="L3248" t="n">
        <v>0</v>
      </c>
      <c r="M3248" t="n">
        <v>0</v>
      </c>
      <c r="N3248" t="n">
        <v>0</v>
      </c>
      <c r="O3248" t="n">
        <v>0</v>
      </c>
      <c r="P3248" t="n">
        <v>0</v>
      </c>
      <c r="Q3248" t="n">
        <v>0</v>
      </c>
      <c r="R3248" s="2" t="inlineStr"/>
    </row>
    <row r="3249" ht="15" customHeight="1">
      <c r="A3249" t="inlineStr">
        <is>
          <t>A 27685-2022</t>
        </is>
      </c>
      <c r="B3249" s="1" t="n">
        <v>44743.43195601852</v>
      </c>
      <c r="C3249" s="1" t="n">
        <v>45952</v>
      </c>
      <c r="D3249" t="inlineStr">
        <is>
          <t>VÄSTRA GÖTALANDS LÄN</t>
        </is>
      </c>
      <c r="E3249" t="inlineStr">
        <is>
          <t>DALS-ED</t>
        </is>
      </c>
      <c r="G3249" t="n">
        <v>0.7</v>
      </c>
      <c r="H3249" t="n">
        <v>0</v>
      </c>
      <c r="I3249" t="n">
        <v>0</v>
      </c>
      <c r="J3249" t="n">
        <v>0</v>
      </c>
      <c r="K3249" t="n">
        <v>0</v>
      </c>
      <c r="L3249" t="n">
        <v>0</v>
      </c>
      <c r="M3249" t="n">
        <v>0</v>
      </c>
      <c r="N3249" t="n">
        <v>0</v>
      </c>
      <c r="O3249" t="n">
        <v>0</v>
      </c>
      <c r="P3249" t="n">
        <v>0</v>
      </c>
      <c r="Q3249" t="n">
        <v>0</v>
      </c>
      <c r="R3249" s="2" t="inlineStr"/>
    </row>
    <row r="3250" ht="15" customHeight="1">
      <c r="A3250" t="inlineStr">
        <is>
          <t>A 71117-2021</t>
        </is>
      </c>
      <c r="B3250" s="1" t="n">
        <v>44539.37436342592</v>
      </c>
      <c r="C3250" s="1" t="n">
        <v>45952</v>
      </c>
      <c r="D3250" t="inlineStr">
        <is>
          <t>VÄSTRA GÖTALANDS LÄN</t>
        </is>
      </c>
      <c r="E3250" t="inlineStr">
        <is>
          <t>MARK</t>
        </is>
      </c>
      <c r="G3250" t="n">
        <v>1.7</v>
      </c>
      <c r="H3250" t="n">
        <v>0</v>
      </c>
      <c r="I3250" t="n">
        <v>0</v>
      </c>
      <c r="J3250" t="n">
        <v>0</v>
      </c>
      <c r="K3250" t="n">
        <v>0</v>
      </c>
      <c r="L3250" t="n">
        <v>0</v>
      </c>
      <c r="M3250" t="n">
        <v>0</v>
      </c>
      <c r="N3250" t="n">
        <v>0</v>
      </c>
      <c r="O3250" t="n">
        <v>0</v>
      </c>
      <c r="P3250" t="n">
        <v>0</v>
      </c>
      <c r="Q3250" t="n">
        <v>0</v>
      </c>
      <c r="R3250" s="2" t="inlineStr"/>
    </row>
    <row r="3251" ht="15" customHeight="1">
      <c r="A3251" t="inlineStr">
        <is>
          <t>A 71252-2021</t>
        </is>
      </c>
      <c r="B3251" s="1" t="n">
        <v>44539</v>
      </c>
      <c r="C3251" s="1" t="n">
        <v>45952</v>
      </c>
      <c r="D3251" t="inlineStr">
        <is>
          <t>VÄSTRA GÖTALANDS LÄN</t>
        </is>
      </c>
      <c r="E3251" t="inlineStr">
        <is>
          <t>MELLERUD</t>
        </is>
      </c>
      <c r="G3251" t="n">
        <v>2.7</v>
      </c>
      <c r="H3251" t="n">
        <v>0</v>
      </c>
      <c r="I3251" t="n">
        <v>0</v>
      </c>
      <c r="J3251" t="n">
        <v>0</v>
      </c>
      <c r="K3251" t="n">
        <v>0</v>
      </c>
      <c r="L3251" t="n">
        <v>0</v>
      </c>
      <c r="M3251" t="n">
        <v>0</v>
      </c>
      <c r="N3251" t="n">
        <v>0</v>
      </c>
      <c r="O3251" t="n">
        <v>0</v>
      </c>
      <c r="P3251" t="n">
        <v>0</v>
      </c>
      <c r="Q3251" t="n">
        <v>0</v>
      </c>
      <c r="R3251" s="2" t="inlineStr"/>
    </row>
    <row r="3252" ht="15" customHeight="1">
      <c r="A3252" t="inlineStr">
        <is>
          <t>A 66807-2021</t>
        </is>
      </c>
      <c r="B3252" s="1" t="n">
        <v>44522.37459490741</v>
      </c>
      <c r="C3252" s="1" t="n">
        <v>45952</v>
      </c>
      <c r="D3252" t="inlineStr">
        <is>
          <t>VÄSTRA GÖTALANDS LÄN</t>
        </is>
      </c>
      <c r="E3252" t="inlineStr">
        <is>
          <t>TRANEMO</t>
        </is>
      </c>
      <c r="G3252" t="n">
        <v>1.9</v>
      </c>
      <c r="H3252" t="n">
        <v>0</v>
      </c>
      <c r="I3252" t="n">
        <v>0</v>
      </c>
      <c r="J3252" t="n">
        <v>0</v>
      </c>
      <c r="K3252" t="n">
        <v>0</v>
      </c>
      <c r="L3252" t="n">
        <v>0</v>
      </c>
      <c r="M3252" t="n">
        <v>0</v>
      </c>
      <c r="N3252" t="n">
        <v>0</v>
      </c>
      <c r="O3252" t="n">
        <v>0</v>
      </c>
      <c r="P3252" t="n">
        <v>0</v>
      </c>
      <c r="Q3252" t="n">
        <v>0</v>
      </c>
      <c r="R3252" s="2" t="inlineStr"/>
    </row>
    <row r="3253" ht="15" customHeight="1">
      <c r="A3253" t="inlineStr">
        <is>
          <t>A 32170-2023</t>
        </is>
      </c>
      <c r="B3253" s="1" t="n">
        <v>45119</v>
      </c>
      <c r="C3253" s="1" t="n">
        <v>45952</v>
      </c>
      <c r="D3253" t="inlineStr">
        <is>
          <t>VÄSTRA GÖTALANDS LÄN</t>
        </is>
      </c>
      <c r="E3253" t="inlineStr">
        <is>
          <t>BORÅS</t>
        </is>
      </c>
      <c r="G3253" t="n">
        <v>7</v>
      </c>
      <c r="H3253" t="n">
        <v>0</v>
      </c>
      <c r="I3253" t="n">
        <v>0</v>
      </c>
      <c r="J3253" t="n">
        <v>0</v>
      </c>
      <c r="K3253" t="n">
        <v>0</v>
      </c>
      <c r="L3253" t="n">
        <v>0</v>
      </c>
      <c r="M3253" t="n">
        <v>0</v>
      </c>
      <c r="N3253" t="n">
        <v>0</v>
      </c>
      <c r="O3253" t="n">
        <v>0</v>
      </c>
      <c r="P3253" t="n">
        <v>0</v>
      </c>
      <c r="Q3253" t="n">
        <v>0</v>
      </c>
      <c r="R3253" s="2" t="inlineStr"/>
    </row>
    <row r="3254" ht="15" customHeight="1">
      <c r="A3254" t="inlineStr">
        <is>
          <t>A 51229-2022</t>
        </is>
      </c>
      <c r="B3254" s="1" t="n">
        <v>44868</v>
      </c>
      <c r="C3254" s="1" t="n">
        <v>45952</v>
      </c>
      <c r="D3254" t="inlineStr">
        <is>
          <t>VÄSTRA GÖTALANDS LÄN</t>
        </is>
      </c>
      <c r="E3254" t="inlineStr">
        <is>
          <t>BOLLEBYGD</t>
        </is>
      </c>
      <c r="G3254" t="n">
        <v>5.8</v>
      </c>
      <c r="H3254" t="n">
        <v>0</v>
      </c>
      <c r="I3254" t="n">
        <v>0</v>
      </c>
      <c r="J3254" t="n">
        <v>0</v>
      </c>
      <c r="K3254" t="n">
        <v>0</v>
      </c>
      <c r="L3254" t="n">
        <v>0</v>
      </c>
      <c r="M3254" t="n">
        <v>0</v>
      </c>
      <c r="N3254" t="n">
        <v>0</v>
      </c>
      <c r="O3254" t="n">
        <v>0</v>
      </c>
      <c r="P3254" t="n">
        <v>0</v>
      </c>
      <c r="Q3254" t="n">
        <v>0</v>
      </c>
      <c r="R3254" s="2" t="inlineStr"/>
    </row>
    <row r="3255" ht="15" customHeight="1">
      <c r="A3255" t="inlineStr">
        <is>
          <t>A 42508-2022</t>
        </is>
      </c>
      <c r="B3255" s="1" t="n">
        <v>44831.58648148148</v>
      </c>
      <c r="C3255" s="1" t="n">
        <v>45952</v>
      </c>
      <c r="D3255" t="inlineStr">
        <is>
          <t>VÄSTRA GÖTALANDS LÄN</t>
        </is>
      </c>
      <c r="E3255" t="inlineStr">
        <is>
          <t>HERRLJUNGA</t>
        </is>
      </c>
      <c r="G3255" t="n">
        <v>0.7</v>
      </c>
      <c r="H3255" t="n">
        <v>0</v>
      </c>
      <c r="I3255" t="n">
        <v>0</v>
      </c>
      <c r="J3255" t="n">
        <v>0</v>
      </c>
      <c r="K3255" t="n">
        <v>0</v>
      </c>
      <c r="L3255" t="n">
        <v>0</v>
      </c>
      <c r="M3255" t="n">
        <v>0</v>
      </c>
      <c r="N3255" t="n">
        <v>0</v>
      </c>
      <c r="O3255" t="n">
        <v>0</v>
      </c>
      <c r="P3255" t="n">
        <v>0</v>
      </c>
      <c r="Q3255" t="n">
        <v>0</v>
      </c>
      <c r="R3255" s="2" t="inlineStr"/>
    </row>
    <row r="3256" ht="15" customHeight="1">
      <c r="A3256" t="inlineStr">
        <is>
          <t>A 8684-2024</t>
        </is>
      </c>
      <c r="B3256" s="1" t="n">
        <v>45356.36320601852</v>
      </c>
      <c r="C3256" s="1" t="n">
        <v>45952</v>
      </c>
      <c r="D3256" t="inlineStr">
        <is>
          <t>VÄSTRA GÖTALANDS LÄN</t>
        </is>
      </c>
      <c r="E3256" t="inlineStr">
        <is>
          <t>STENUNGSUND</t>
        </is>
      </c>
      <c r="G3256" t="n">
        <v>2.3</v>
      </c>
      <c r="H3256" t="n">
        <v>0</v>
      </c>
      <c r="I3256" t="n">
        <v>0</v>
      </c>
      <c r="J3256" t="n">
        <v>0</v>
      </c>
      <c r="K3256" t="n">
        <v>0</v>
      </c>
      <c r="L3256" t="n">
        <v>0</v>
      </c>
      <c r="M3256" t="n">
        <v>0</v>
      </c>
      <c r="N3256" t="n">
        <v>0</v>
      </c>
      <c r="O3256" t="n">
        <v>0</v>
      </c>
      <c r="P3256" t="n">
        <v>0</v>
      </c>
      <c r="Q3256" t="n">
        <v>0</v>
      </c>
      <c r="R3256" s="2" t="inlineStr"/>
    </row>
    <row r="3257" ht="15" customHeight="1">
      <c r="A3257" t="inlineStr">
        <is>
          <t>A 8185-2022</t>
        </is>
      </c>
      <c r="B3257" s="1" t="n">
        <v>44609</v>
      </c>
      <c r="C3257" s="1" t="n">
        <v>45952</v>
      </c>
      <c r="D3257" t="inlineStr">
        <is>
          <t>VÄSTRA GÖTALANDS LÄN</t>
        </is>
      </c>
      <c r="E3257" t="inlineStr">
        <is>
          <t>MUNKEDAL</t>
        </is>
      </c>
      <c r="G3257" t="n">
        <v>3.1</v>
      </c>
      <c r="H3257" t="n">
        <v>0</v>
      </c>
      <c r="I3257" t="n">
        <v>0</v>
      </c>
      <c r="J3257" t="n">
        <v>0</v>
      </c>
      <c r="K3257" t="n">
        <v>0</v>
      </c>
      <c r="L3257" t="n">
        <v>0</v>
      </c>
      <c r="M3257" t="n">
        <v>0</v>
      </c>
      <c r="N3257" t="n">
        <v>0</v>
      </c>
      <c r="O3257" t="n">
        <v>0</v>
      </c>
      <c r="P3257" t="n">
        <v>0</v>
      </c>
      <c r="Q3257" t="n">
        <v>0</v>
      </c>
      <c r="R3257" s="2" t="inlineStr"/>
    </row>
    <row r="3258" ht="15" customHeight="1">
      <c r="A3258" t="inlineStr">
        <is>
          <t>A 58478-2022</t>
        </is>
      </c>
      <c r="B3258" s="1" t="n">
        <v>44902</v>
      </c>
      <c r="C3258" s="1" t="n">
        <v>45952</v>
      </c>
      <c r="D3258" t="inlineStr">
        <is>
          <t>VÄSTRA GÖTALANDS LÄN</t>
        </is>
      </c>
      <c r="E3258" t="inlineStr">
        <is>
          <t>SVENLJUNGA</t>
        </is>
      </c>
      <c r="G3258" t="n">
        <v>0.7</v>
      </c>
      <c r="H3258" t="n">
        <v>0</v>
      </c>
      <c r="I3258" t="n">
        <v>0</v>
      </c>
      <c r="J3258" t="n">
        <v>0</v>
      </c>
      <c r="K3258" t="n">
        <v>0</v>
      </c>
      <c r="L3258" t="n">
        <v>0</v>
      </c>
      <c r="M3258" t="n">
        <v>0</v>
      </c>
      <c r="N3258" t="n">
        <v>0</v>
      </c>
      <c r="O3258" t="n">
        <v>0</v>
      </c>
      <c r="P3258" t="n">
        <v>0</v>
      </c>
      <c r="Q3258" t="n">
        <v>0</v>
      </c>
      <c r="R3258" s="2" t="inlineStr"/>
    </row>
    <row r="3259" ht="15" customHeight="1">
      <c r="A3259" t="inlineStr">
        <is>
          <t>A 58481-2022</t>
        </is>
      </c>
      <c r="B3259" s="1" t="n">
        <v>44902</v>
      </c>
      <c r="C3259" s="1" t="n">
        <v>45952</v>
      </c>
      <c r="D3259" t="inlineStr">
        <is>
          <t>VÄSTRA GÖTALANDS LÄN</t>
        </is>
      </c>
      <c r="E3259" t="inlineStr">
        <is>
          <t>HÄRRYDA</t>
        </is>
      </c>
      <c r="G3259" t="n">
        <v>2.4</v>
      </c>
      <c r="H3259" t="n">
        <v>0</v>
      </c>
      <c r="I3259" t="n">
        <v>0</v>
      </c>
      <c r="J3259" t="n">
        <v>0</v>
      </c>
      <c r="K3259" t="n">
        <v>0</v>
      </c>
      <c r="L3259" t="n">
        <v>0</v>
      </c>
      <c r="M3259" t="n">
        <v>0</v>
      </c>
      <c r="N3259" t="n">
        <v>0</v>
      </c>
      <c r="O3259" t="n">
        <v>0</v>
      </c>
      <c r="P3259" t="n">
        <v>0</v>
      </c>
      <c r="Q3259" t="n">
        <v>0</v>
      </c>
      <c r="R3259" s="2" t="inlineStr"/>
    </row>
    <row r="3260" ht="15" customHeight="1">
      <c r="A3260" t="inlineStr">
        <is>
          <t>A 46391-2021</t>
        </is>
      </c>
      <c r="B3260" s="1" t="n">
        <v>44443</v>
      </c>
      <c r="C3260" s="1" t="n">
        <v>45952</v>
      </c>
      <c r="D3260" t="inlineStr">
        <is>
          <t>VÄSTRA GÖTALANDS LÄN</t>
        </is>
      </c>
      <c r="E3260" t="inlineStr">
        <is>
          <t>ALE</t>
        </is>
      </c>
      <c r="G3260" t="n">
        <v>1.3</v>
      </c>
      <c r="H3260" t="n">
        <v>0</v>
      </c>
      <c r="I3260" t="n">
        <v>0</v>
      </c>
      <c r="J3260" t="n">
        <v>0</v>
      </c>
      <c r="K3260" t="n">
        <v>0</v>
      </c>
      <c r="L3260" t="n">
        <v>0</v>
      </c>
      <c r="M3260" t="n">
        <v>0</v>
      </c>
      <c r="N3260" t="n">
        <v>0</v>
      </c>
      <c r="O3260" t="n">
        <v>0</v>
      </c>
      <c r="P3260" t="n">
        <v>0</v>
      </c>
      <c r="Q3260" t="n">
        <v>0</v>
      </c>
      <c r="R3260" s="2" t="inlineStr"/>
    </row>
    <row r="3261" ht="15" customHeight="1">
      <c r="A3261" t="inlineStr">
        <is>
          <t>A 1233-2022</t>
        </is>
      </c>
      <c r="B3261" s="1" t="n">
        <v>44572</v>
      </c>
      <c r="C3261" s="1" t="n">
        <v>45952</v>
      </c>
      <c r="D3261" t="inlineStr">
        <is>
          <t>VÄSTRA GÖTALANDS LÄN</t>
        </is>
      </c>
      <c r="E3261" t="inlineStr">
        <is>
          <t>FÄRGELANDA</t>
        </is>
      </c>
      <c r="G3261" t="n">
        <v>1.6</v>
      </c>
      <c r="H3261" t="n">
        <v>0</v>
      </c>
      <c r="I3261" t="n">
        <v>0</v>
      </c>
      <c r="J3261" t="n">
        <v>0</v>
      </c>
      <c r="K3261" t="n">
        <v>0</v>
      </c>
      <c r="L3261" t="n">
        <v>0</v>
      </c>
      <c r="M3261" t="n">
        <v>0</v>
      </c>
      <c r="N3261" t="n">
        <v>0</v>
      </c>
      <c r="O3261" t="n">
        <v>0</v>
      </c>
      <c r="P3261" t="n">
        <v>0</v>
      </c>
      <c r="Q3261" t="n">
        <v>0</v>
      </c>
      <c r="R3261" s="2" t="inlineStr"/>
    </row>
    <row r="3262" ht="15" customHeight="1">
      <c r="A3262" t="inlineStr">
        <is>
          <t>A 55575-2021</t>
        </is>
      </c>
      <c r="B3262" s="1" t="n">
        <v>44475</v>
      </c>
      <c r="C3262" s="1" t="n">
        <v>45952</v>
      </c>
      <c r="D3262" t="inlineStr">
        <is>
          <t>VÄSTRA GÖTALANDS LÄN</t>
        </is>
      </c>
      <c r="E3262" t="inlineStr">
        <is>
          <t>SKÖVDE</t>
        </is>
      </c>
      <c r="G3262" t="n">
        <v>1.6</v>
      </c>
      <c r="H3262" t="n">
        <v>0</v>
      </c>
      <c r="I3262" t="n">
        <v>0</v>
      </c>
      <c r="J3262" t="n">
        <v>0</v>
      </c>
      <c r="K3262" t="n">
        <v>0</v>
      </c>
      <c r="L3262" t="n">
        <v>0</v>
      </c>
      <c r="M3262" t="n">
        <v>0</v>
      </c>
      <c r="N3262" t="n">
        <v>0</v>
      </c>
      <c r="O3262" t="n">
        <v>0</v>
      </c>
      <c r="P3262" t="n">
        <v>0</v>
      </c>
      <c r="Q3262" t="n">
        <v>0</v>
      </c>
      <c r="R3262" s="2" t="inlineStr"/>
    </row>
    <row r="3263" ht="15" customHeight="1">
      <c r="A3263" t="inlineStr">
        <is>
          <t>A 55581-2021</t>
        </is>
      </c>
      <c r="B3263" s="1" t="n">
        <v>44475.84278935185</v>
      </c>
      <c r="C3263" s="1" t="n">
        <v>45952</v>
      </c>
      <c r="D3263" t="inlineStr">
        <is>
          <t>VÄSTRA GÖTALANDS LÄN</t>
        </is>
      </c>
      <c r="E3263" t="inlineStr">
        <is>
          <t>ÅMÅL</t>
        </is>
      </c>
      <c r="G3263" t="n">
        <v>2.7</v>
      </c>
      <c r="H3263" t="n">
        <v>0</v>
      </c>
      <c r="I3263" t="n">
        <v>0</v>
      </c>
      <c r="J3263" t="n">
        <v>0</v>
      </c>
      <c r="K3263" t="n">
        <v>0</v>
      </c>
      <c r="L3263" t="n">
        <v>0</v>
      </c>
      <c r="M3263" t="n">
        <v>0</v>
      </c>
      <c r="N3263" t="n">
        <v>0</v>
      </c>
      <c r="O3263" t="n">
        <v>0</v>
      </c>
      <c r="P3263" t="n">
        <v>0</v>
      </c>
      <c r="Q3263" t="n">
        <v>0</v>
      </c>
      <c r="R3263" s="2" t="inlineStr"/>
    </row>
    <row r="3264" ht="15" customHeight="1">
      <c r="A3264" t="inlineStr">
        <is>
          <t>A 15548-2022</t>
        </is>
      </c>
      <c r="B3264" s="1" t="n">
        <v>44662.48648148148</v>
      </c>
      <c r="C3264" s="1" t="n">
        <v>45952</v>
      </c>
      <c r="D3264" t="inlineStr">
        <is>
          <t>VÄSTRA GÖTALANDS LÄN</t>
        </is>
      </c>
      <c r="E3264" t="inlineStr">
        <is>
          <t>VÅRGÅRDA</t>
        </is>
      </c>
      <c r="G3264" t="n">
        <v>0.5</v>
      </c>
      <c r="H3264" t="n">
        <v>0</v>
      </c>
      <c r="I3264" t="n">
        <v>0</v>
      </c>
      <c r="J3264" t="n">
        <v>0</v>
      </c>
      <c r="K3264" t="n">
        <v>0</v>
      </c>
      <c r="L3264" t="n">
        <v>0</v>
      </c>
      <c r="M3264" t="n">
        <v>0</v>
      </c>
      <c r="N3264" t="n">
        <v>0</v>
      </c>
      <c r="O3264" t="n">
        <v>0</v>
      </c>
      <c r="P3264" t="n">
        <v>0</v>
      </c>
      <c r="Q3264" t="n">
        <v>0</v>
      </c>
      <c r="R3264" s="2" t="inlineStr"/>
    </row>
    <row r="3265" ht="15" customHeight="1">
      <c r="A3265" t="inlineStr">
        <is>
          <t>A 58793-2022</t>
        </is>
      </c>
      <c r="B3265" s="1" t="n">
        <v>44903.42074074074</v>
      </c>
      <c r="C3265" s="1" t="n">
        <v>45952</v>
      </c>
      <c r="D3265" t="inlineStr">
        <is>
          <t>VÄSTRA GÖTALANDS LÄN</t>
        </is>
      </c>
      <c r="E3265" t="inlineStr">
        <is>
          <t>LYSEKIL</t>
        </is>
      </c>
      <c r="G3265" t="n">
        <v>1.5</v>
      </c>
      <c r="H3265" t="n">
        <v>0</v>
      </c>
      <c r="I3265" t="n">
        <v>0</v>
      </c>
      <c r="J3265" t="n">
        <v>0</v>
      </c>
      <c r="K3265" t="n">
        <v>0</v>
      </c>
      <c r="L3265" t="n">
        <v>0</v>
      </c>
      <c r="M3265" t="n">
        <v>0</v>
      </c>
      <c r="N3265" t="n">
        <v>0</v>
      </c>
      <c r="O3265" t="n">
        <v>0</v>
      </c>
      <c r="P3265" t="n">
        <v>0</v>
      </c>
      <c r="Q3265" t="n">
        <v>0</v>
      </c>
      <c r="R3265" s="2" t="inlineStr"/>
    </row>
    <row r="3266" ht="15" customHeight="1">
      <c r="A3266" t="inlineStr">
        <is>
          <t>A 63592-2021</t>
        </is>
      </c>
      <c r="B3266" s="1" t="n">
        <v>44508</v>
      </c>
      <c r="C3266" s="1" t="n">
        <v>45952</v>
      </c>
      <c r="D3266" t="inlineStr">
        <is>
          <t>VÄSTRA GÖTALANDS LÄN</t>
        </is>
      </c>
      <c r="E3266" t="inlineStr">
        <is>
          <t>HÄRRYDA</t>
        </is>
      </c>
      <c r="G3266" t="n">
        <v>8.699999999999999</v>
      </c>
      <c r="H3266" t="n">
        <v>0</v>
      </c>
      <c r="I3266" t="n">
        <v>0</v>
      </c>
      <c r="J3266" t="n">
        <v>0</v>
      </c>
      <c r="K3266" t="n">
        <v>0</v>
      </c>
      <c r="L3266" t="n">
        <v>0</v>
      </c>
      <c r="M3266" t="n">
        <v>0</v>
      </c>
      <c r="N3266" t="n">
        <v>0</v>
      </c>
      <c r="O3266" t="n">
        <v>0</v>
      </c>
      <c r="P3266" t="n">
        <v>0</v>
      </c>
      <c r="Q3266" t="n">
        <v>0</v>
      </c>
      <c r="R3266" s="2" t="inlineStr"/>
    </row>
    <row r="3267" ht="15" customHeight="1">
      <c r="A3267" t="inlineStr">
        <is>
          <t>A 24914-2021</t>
        </is>
      </c>
      <c r="B3267" s="1" t="n">
        <v>44341.39423611111</v>
      </c>
      <c r="C3267" s="1" t="n">
        <v>45952</v>
      </c>
      <c r="D3267" t="inlineStr">
        <is>
          <t>VÄSTRA GÖTALANDS LÄN</t>
        </is>
      </c>
      <c r="E3267" t="inlineStr">
        <is>
          <t>BENGTSFORS</t>
        </is>
      </c>
      <c r="G3267" t="n">
        <v>1.1</v>
      </c>
      <c r="H3267" t="n">
        <v>0</v>
      </c>
      <c r="I3267" t="n">
        <v>0</v>
      </c>
      <c r="J3267" t="n">
        <v>0</v>
      </c>
      <c r="K3267" t="n">
        <v>0</v>
      </c>
      <c r="L3267" t="n">
        <v>0</v>
      </c>
      <c r="M3267" t="n">
        <v>0</v>
      </c>
      <c r="N3267" t="n">
        <v>0</v>
      </c>
      <c r="O3267" t="n">
        <v>0</v>
      </c>
      <c r="P3267" t="n">
        <v>0</v>
      </c>
      <c r="Q3267" t="n">
        <v>0</v>
      </c>
      <c r="R3267" s="2" t="inlineStr"/>
    </row>
    <row r="3268" ht="15" customHeight="1">
      <c r="A3268" t="inlineStr">
        <is>
          <t>A 40297-2024</t>
        </is>
      </c>
      <c r="B3268" s="1" t="n">
        <v>45554</v>
      </c>
      <c r="C3268" s="1" t="n">
        <v>45952</v>
      </c>
      <c r="D3268" t="inlineStr">
        <is>
          <t>VÄSTRA GÖTALANDS LÄN</t>
        </is>
      </c>
      <c r="E3268" t="inlineStr">
        <is>
          <t>UDDEVALLA</t>
        </is>
      </c>
      <c r="G3268" t="n">
        <v>6.7</v>
      </c>
      <c r="H3268" t="n">
        <v>0</v>
      </c>
      <c r="I3268" t="n">
        <v>0</v>
      </c>
      <c r="J3268" t="n">
        <v>0</v>
      </c>
      <c r="K3268" t="n">
        <v>0</v>
      </c>
      <c r="L3268" t="n">
        <v>0</v>
      </c>
      <c r="M3268" t="n">
        <v>0</v>
      </c>
      <c r="N3268" t="n">
        <v>0</v>
      </c>
      <c r="O3268" t="n">
        <v>0</v>
      </c>
      <c r="P3268" t="n">
        <v>0</v>
      </c>
      <c r="Q3268" t="n">
        <v>0</v>
      </c>
      <c r="R3268" s="2" t="inlineStr"/>
    </row>
    <row r="3269" ht="15" customHeight="1">
      <c r="A3269" t="inlineStr">
        <is>
          <t>A 54275-2022</t>
        </is>
      </c>
      <c r="B3269" s="1" t="n">
        <v>44882.34469907408</v>
      </c>
      <c r="C3269" s="1" t="n">
        <v>45952</v>
      </c>
      <c r="D3269" t="inlineStr">
        <is>
          <t>VÄSTRA GÖTALANDS LÄN</t>
        </is>
      </c>
      <c r="E3269" t="inlineStr">
        <is>
          <t>BORÅS</t>
        </is>
      </c>
      <c r="G3269" t="n">
        <v>2.4</v>
      </c>
      <c r="H3269" t="n">
        <v>0</v>
      </c>
      <c r="I3269" t="n">
        <v>0</v>
      </c>
      <c r="J3269" t="n">
        <v>0</v>
      </c>
      <c r="K3269" t="n">
        <v>0</v>
      </c>
      <c r="L3269" t="n">
        <v>0</v>
      </c>
      <c r="M3269" t="n">
        <v>0</v>
      </c>
      <c r="N3269" t="n">
        <v>0</v>
      </c>
      <c r="O3269" t="n">
        <v>0</v>
      </c>
      <c r="P3269" t="n">
        <v>0</v>
      </c>
      <c r="Q3269" t="n">
        <v>0</v>
      </c>
      <c r="R3269" s="2" t="inlineStr"/>
    </row>
    <row r="3270" ht="15" customHeight="1">
      <c r="A3270" t="inlineStr">
        <is>
          <t>A 1352-2021</t>
        </is>
      </c>
      <c r="B3270" s="1" t="n">
        <v>44208</v>
      </c>
      <c r="C3270" s="1" t="n">
        <v>45952</v>
      </c>
      <c r="D3270" t="inlineStr">
        <is>
          <t>VÄSTRA GÖTALANDS LÄN</t>
        </is>
      </c>
      <c r="E3270" t="inlineStr">
        <is>
          <t>STRÖMSTAD</t>
        </is>
      </c>
      <c r="G3270" t="n">
        <v>1.4</v>
      </c>
      <c r="H3270" t="n">
        <v>0</v>
      </c>
      <c r="I3270" t="n">
        <v>0</v>
      </c>
      <c r="J3270" t="n">
        <v>0</v>
      </c>
      <c r="K3270" t="n">
        <v>0</v>
      </c>
      <c r="L3270" t="n">
        <v>0</v>
      </c>
      <c r="M3270" t="n">
        <v>0</v>
      </c>
      <c r="N3270" t="n">
        <v>0</v>
      </c>
      <c r="O3270" t="n">
        <v>0</v>
      </c>
      <c r="P3270" t="n">
        <v>0</v>
      </c>
      <c r="Q3270" t="n">
        <v>0</v>
      </c>
      <c r="R3270" s="2" t="inlineStr"/>
    </row>
    <row r="3271" ht="15" customHeight="1">
      <c r="A3271" t="inlineStr">
        <is>
          <t>A 41725-2024</t>
        </is>
      </c>
      <c r="B3271" s="1" t="n">
        <v>45560.86376157407</v>
      </c>
      <c r="C3271" s="1" t="n">
        <v>45952</v>
      </c>
      <c r="D3271" t="inlineStr">
        <is>
          <t>VÄSTRA GÖTALANDS LÄN</t>
        </is>
      </c>
      <c r="E3271" t="inlineStr">
        <is>
          <t>HÄRRYDA</t>
        </is>
      </c>
      <c r="G3271" t="n">
        <v>1.7</v>
      </c>
      <c r="H3271" t="n">
        <v>0</v>
      </c>
      <c r="I3271" t="n">
        <v>0</v>
      </c>
      <c r="J3271" t="n">
        <v>0</v>
      </c>
      <c r="K3271" t="n">
        <v>0</v>
      </c>
      <c r="L3271" t="n">
        <v>0</v>
      </c>
      <c r="M3271" t="n">
        <v>0</v>
      </c>
      <c r="N3271" t="n">
        <v>0</v>
      </c>
      <c r="O3271" t="n">
        <v>0</v>
      </c>
      <c r="P3271" t="n">
        <v>0</v>
      </c>
      <c r="Q3271" t="n">
        <v>0</v>
      </c>
      <c r="R3271" s="2" t="inlineStr"/>
    </row>
    <row r="3272" ht="15" customHeight="1">
      <c r="A3272" t="inlineStr">
        <is>
          <t>A 41726-2024</t>
        </is>
      </c>
      <c r="B3272" s="1" t="n">
        <v>45560.87462962963</v>
      </c>
      <c r="C3272" s="1" t="n">
        <v>45952</v>
      </c>
      <c r="D3272" t="inlineStr">
        <is>
          <t>VÄSTRA GÖTALANDS LÄN</t>
        </is>
      </c>
      <c r="E3272" t="inlineStr">
        <is>
          <t>ÅMÅL</t>
        </is>
      </c>
      <c r="G3272" t="n">
        <v>1</v>
      </c>
      <c r="H3272" t="n">
        <v>0</v>
      </c>
      <c r="I3272" t="n">
        <v>0</v>
      </c>
      <c r="J3272" t="n">
        <v>0</v>
      </c>
      <c r="K3272" t="n">
        <v>0</v>
      </c>
      <c r="L3272" t="n">
        <v>0</v>
      </c>
      <c r="M3272" t="n">
        <v>0</v>
      </c>
      <c r="N3272" t="n">
        <v>0</v>
      </c>
      <c r="O3272" t="n">
        <v>0</v>
      </c>
      <c r="P3272" t="n">
        <v>0</v>
      </c>
      <c r="Q3272" t="n">
        <v>0</v>
      </c>
      <c r="R3272" s="2" t="inlineStr"/>
    </row>
    <row r="3273" ht="15" customHeight="1">
      <c r="A3273" t="inlineStr">
        <is>
          <t>A 30177-2021</t>
        </is>
      </c>
      <c r="B3273" s="1" t="n">
        <v>44363</v>
      </c>
      <c r="C3273" s="1" t="n">
        <v>45952</v>
      </c>
      <c r="D3273" t="inlineStr">
        <is>
          <t>VÄSTRA GÖTALANDS LÄN</t>
        </is>
      </c>
      <c r="E3273" t="inlineStr">
        <is>
          <t>BOLLEBYGD</t>
        </is>
      </c>
      <c r="F3273" t="inlineStr">
        <is>
          <t>Kyrkan</t>
        </is>
      </c>
      <c r="G3273" t="n">
        <v>1</v>
      </c>
      <c r="H3273" t="n">
        <v>0</v>
      </c>
      <c r="I3273" t="n">
        <v>0</v>
      </c>
      <c r="J3273" t="n">
        <v>0</v>
      </c>
      <c r="K3273" t="n">
        <v>0</v>
      </c>
      <c r="L3273" t="n">
        <v>0</v>
      </c>
      <c r="M3273" t="n">
        <v>0</v>
      </c>
      <c r="N3273" t="n">
        <v>0</v>
      </c>
      <c r="O3273" t="n">
        <v>0</v>
      </c>
      <c r="P3273" t="n">
        <v>0</v>
      </c>
      <c r="Q3273" t="n">
        <v>0</v>
      </c>
      <c r="R3273" s="2" t="inlineStr"/>
    </row>
    <row r="3274" ht="15" customHeight="1">
      <c r="A3274" t="inlineStr">
        <is>
          <t>A 34744-2021</t>
        </is>
      </c>
      <c r="B3274" s="1" t="n">
        <v>44382.6750462963</v>
      </c>
      <c r="C3274" s="1" t="n">
        <v>45952</v>
      </c>
      <c r="D3274" t="inlineStr">
        <is>
          <t>VÄSTRA GÖTALANDS LÄN</t>
        </is>
      </c>
      <c r="E3274" t="inlineStr">
        <is>
          <t>SKÖVDE</t>
        </is>
      </c>
      <c r="G3274" t="n">
        <v>2</v>
      </c>
      <c r="H3274" t="n">
        <v>0</v>
      </c>
      <c r="I3274" t="n">
        <v>0</v>
      </c>
      <c r="J3274" t="n">
        <v>0</v>
      </c>
      <c r="K3274" t="n">
        <v>0</v>
      </c>
      <c r="L3274" t="n">
        <v>0</v>
      </c>
      <c r="M3274" t="n">
        <v>0</v>
      </c>
      <c r="N3274" t="n">
        <v>0</v>
      </c>
      <c r="O3274" t="n">
        <v>0</v>
      </c>
      <c r="P3274" t="n">
        <v>0</v>
      </c>
      <c r="Q3274" t="n">
        <v>0</v>
      </c>
      <c r="R3274" s="2" t="inlineStr"/>
    </row>
    <row r="3275" ht="15" customHeight="1">
      <c r="A3275" t="inlineStr">
        <is>
          <t>A 10166-2022</t>
        </is>
      </c>
      <c r="B3275" s="1" t="n">
        <v>44622</v>
      </c>
      <c r="C3275" s="1" t="n">
        <v>45952</v>
      </c>
      <c r="D3275" t="inlineStr">
        <is>
          <t>VÄSTRA GÖTALANDS LÄN</t>
        </is>
      </c>
      <c r="E3275" t="inlineStr">
        <is>
          <t>MARK</t>
        </is>
      </c>
      <c r="G3275" t="n">
        <v>0.8</v>
      </c>
      <c r="H3275" t="n">
        <v>0</v>
      </c>
      <c r="I3275" t="n">
        <v>0</v>
      </c>
      <c r="J3275" t="n">
        <v>0</v>
      </c>
      <c r="K3275" t="n">
        <v>0</v>
      </c>
      <c r="L3275" t="n">
        <v>0</v>
      </c>
      <c r="M3275" t="n">
        <v>0</v>
      </c>
      <c r="N3275" t="n">
        <v>0</v>
      </c>
      <c r="O3275" t="n">
        <v>0</v>
      </c>
      <c r="P3275" t="n">
        <v>0</v>
      </c>
      <c r="Q3275" t="n">
        <v>0</v>
      </c>
      <c r="R3275" s="2" t="inlineStr"/>
    </row>
    <row r="3276" ht="15" customHeight="1">
      <c r="A3276" t="inlineStr">
        <is>
          <t>A 10171-2022</t>
        </is>
      </c>
      <c r="B3276" s="1" t="n">
        <v>44622</v>
      </c>
      <c r="C3276" s="1" t="n">
        <v>45952</v>
      </c>
      <c r="D3276" t="inlineStr">
        <is>
          <t>VÄSTRA GÖTALANDS LÄN</t>
        </is>
      </c>
      <c r="E3276" t="inlineStr">
        <is>
          <t>FALKÖPING</t>
        </is>
      </c>
      <c r="G3276" t="n">
        <v>0.5</v>
      </c>
      <c r="H3276" t="n">
        <v>0</v>
      </c>
      <c r="I3276" t="n">
        <v>0</v>
      </c>
      <c r="J3276" t="n">
        <v>0</v>
      </c>
      <c r="K3276" t="n">
        <v>0</v>
      </c>
      <c r="L3276" t="n">
        <v>0</v>
      </c>
      <c r="M3276" t="n">
        <v>0</v>
      </c>
      <c r="N3276" t="n">
        <v>0</v>
      </c>
      <c r="O3276" t="n">
        <v>0</v>
      </c>
      <c r="P3276" t="n">
        <v>0</v>
      </c>
      <c r="Q3276" t="n">
        <v>0</v>
      </c>
      <c r="R3276" s="2" t="inlineStr"/>
    </row>
    <row r="3277" ht="15" customHeight="1">
      <c r="A3277" t="inlineStr">
        <is>
          <t>A 25967-2021</t>
        </is>
      </c>
      <c r="B3277" s="1" t="n">
        <v>44344</v>
      </c>
      <c r="C3277" s="1" t="n">
        <v>45952</v>
      </c>
      <c r="D3277" t="inlineStr">
        <is>
          <t>VÄSTRA GÖTALANDS LÄN</t>
        </is>
      </c>
      <c r="E3277" t="inlineStr">
        <is>
          <t>HÄRRYDA</t>
        </is>
      </c>
      <c r="G3277" t="n">
        <v>5.4</v>
      </c>
      <c r="H3277" t="n">
        <v>0</v>
      </c>
      <c r="I3277" t="n">
        <v>0</v>
      </c>
      <c r="J3277" t="n">
        <v>0</v>
      </c>
      <c r="K3277" t="n">
        <v>0</v>
      </c>
      <c r="L3277" t="n">
        <v>0</v>
      </c>
      <c r="M3277" t="n">
        <v>0</v>
      </c>
      <c r="N3277" t="n">
        <v>0</v>
      </c>
      <c r="O3277" t="n">
        <v>0</v>
      </c>
      <c r="P3277" t="n">
        <v>0</v>
      </c>
      <c r="Q3277" t="n">
        <v>0</v>
      </c>
      <c r="R3277" s="2" t="inlineStr"/>
    </row>
    <row r="3278" ht="15" customHeight="1">
      <c r="A3278" t="inlineStr">
        <is>
          <t>A 30042-2021</t>
        </is>
      </c>
      <c r="B3278" s="1" t="n">
        <v>44363</v>
      </c>
      <c r="C3278" s="1" t="n">
        <v>45952</v>
      </c>
      <c r="D3278" t="inlineStr">
        <is>
          <t>VÄSTRA GÖTALANDS LÄN</t>
        </is>
      </c>
      <c r="E3278" t="inlineStr">
        <is>
          <t>LILLA EDET</t>
        </is>
      </c>
      <c r="G3278" t="n">
        <v>2.5</v>
      </c>
      <c r="H3278" t="n">
        <v>0</v>
      </c>
      <c r="I3278" t="n">
        <v>0</v>
      </c>
      <c r="J3278" t="n">
        <v>0</v>
      </c>
      <c r="K3278" t="n">
        <v>0</v>
      </c>
      <c r="L3278" t="n">
        <v>0</v>
      </c>
      <c r="M3278" t="n">
        <v>0</v>
      </c>
      <c r="N3278" t="n">
        <v>0</v>
      </c>
      <c r="O3278" t="n">
        <v>0</v>
      </c>
      <c r="P3278" t="n">
        <v>0</v>
      </c>
      <c r="Q3278" t="n">
        <v>0</v>
      </c>
      <c r="R3278" s="2" t="inlineStr"/>
    </row>
    <row r="3279" ht="15" customHeight="1">
      <c r="A3279" t="inlineStr">
        <is>
          <t>A 30045-2021</t>
        </is>
      </c>
      <c r="B3279" s="1" t="n">
        <v>44363</v>
      </c>
      <c r="C3279" s="1" t="n">
        <v>45952</v>
      </c>
      <c r="D3279" t="inlineStr">
        <is>
          <t>VÄSTRA GÖTALANDS LÄN</t>
        </is>
      </c>
      <c r="E3279" t="inlineStr">
        <is>
          <t>LILLA EDET</t>
        </is>
      </c>
      <c r="G3279" t="n">
        <v>1.4</v>
      </c>
      <c r="H3279" t="n">
        <v>0</v>
      </c>
      <c r="I3279" t="n">
        <v>0</v>
      </c>
      <c r="J3279" t="n">
        <v>0</v>
      </c>
      <c r="K3279" t="n">
        <v>0</v>
      </c>
      <c r="L3279" t="n">
        <v>0</v>
      </c>
      <c r="M3279" t="n">
        <v>0</v>
      </c>
      <c r="N3279" t="n">
        <v>0</v>
      </c>
      <c r="O3279" t="n">
        <v>0</v>
      </c>
      <c r="P3279" t="n">
        <v>0</v>
      </c>
      <c r="Q3279" t="n">
        <v>0</v>
      </c>
      <c r="R3279" s="2" t="inlineStr"/>
    </row>
    <row r="3280" ht="15" customHeight="1">
      <c r="A3280" t="inlineStr">
        <is>
          <t>A 10503-2022</t>
        </is>
      </c>
      <c r="B3280" s="1" t="n">
        <v>44623</v>
      </c>
      <c r="C3280" s="1" t="n">
        <v>45952</v>
      </c>
      <c r="D3280" t="inlineStr">
        <is>
          <t>VÄSTRA GÖTALANDS LÄN</t>
        </is>
      </c>
      <c r="E3280" t="inlineStr">
        <is>
          <t>VARA</t>
        </is>
      </c>
      <c r="G3280" t="n">
        <v>0.8</v>
      </c>
      <c r="H3280" t="n">
        <v>0</v>
      </c>
      <c r="I3280" t="n">
        <v>0</v>
      </c>
      <c r="J3280" t="n">
        <v>0</v>
      </c>
      <c r="K3280" t="n">
        <v>0</v>
      </c>
      <c r="L3280" t="n">
        <v>0</v>
      </c>
      <c r="M3280" t="n">
        <v>0</v>
      </c>
      <c r="N3280" t="n">
        <v>0</v>
      </c>
      <c r="O3280" t="n">
        <v>0</v>
      </c>
      <c r="P3280" t="n">
        <v>0</v>
      </c>
      <c r="Q3280" t="n">
        <v>0</v>
      </c>
      <c r="R3280" s="2" t="inlineStr"/>
    </row>
    <row r="3281" ht="15" customHeight="1">
      <c r="A3281" t="inlineStr">
        <is>
          <t>A 10558-2022</t>
        </is>
      </c>
      <c r="B3281" s="1" t="n">
        <v>44624.30858796297</v>
      </c>
      <c r="C3281" s="1" t="n">
        <v>45952</v>
      </c>
      <c r="D3281" t="inlineStr">
        <is>
          <t>VÄSTRA GÖTALANDS LÄN</t>
        </is>
      </c>
      <c r="E3281" t="inlineStr">
        <is>
          <t>ULRICEHAMN</t>
        </is>
      </c>
      <c r="G3281" t="n">
        <v>0.8</v>
      </c>
      <c r="H3281" t="n">
        <v>0</v>
      </c>
      <c r="I3281" t="n">
        <v>0</v>
      </c>
      <c r="J3281" t="n">
        <v>0</v>
      </c>
      <c r="K3281" t="n">
        <v>0</v>
      </c>
      <c r="L3281" t="n">
        <v>0</v>
      </c>
      <c r="M3281" t="n">
        <v>0</v>
      </c>
      <c r="N3281" t="n">
        <v>0</v>
      </c>
      <c r="O3281" t="n">
        <v>0</v>
      </c>
      <c r="P3281" t="n">
        <v>0</v>
      </c>
      <c r="Q3281" t="n">
        <v>0</v>
      </c>
      <c r="R3281" s="2" t="inlineStr"/>
    </row>
    <row r="3282" ht="15" customHeight="1">
      <c r="A3282" t="inlineStr">
        <is>
          <t>A 5177-2022</t>
        </is>
      </c>
      <c r="B3282" s="1" t="n">
        <v>44594</v>
      </c>
      <c r="C3282" s="1" t="n">
        <v>45952</v>
      </c>
      <c r="D3282" t="inlineStr">
        <is>
          <t>VÄSTRA GÖTALANDS LÄN</t>
        </is>
      </c>
      <c r="E3282" t="inlineStr">
        <is>
          <t>SKÖVDE</t>
        </is>
      </c>
      <c r="F3282" t="inlineStr">
        <is>
          <t>Kommuner</t>
        </is>
      </c>
      <c r="G3282" t="n">
        <v>0.5</v>
      </c>
      <c r="H3282" t="n">
        <v>0</v>
      </c>
      <c r="I3282" t="n">
        <v>0</v>
      </c>
      <c r="J3282" t="n">
        <v>0</v>
      </c>
      <c r="K3282" t="n">
        <v>0</v>
      </c>
      <c r="L3282" t="n">
        <v>0</v>
      </c>
      <c r="M3282" t="n">
        <v>0</v>
      </c>
      <c r="N3282" t="n">
        <v>0</v>
      </c>
      <c r="O3282" t="n">
        <v>0</v>
      </c>
      <c r="P3282" t="n">
        <v>0</v>
      </c>
      <c r="Q3282" t="n">
        <v>0</v>
      </c>
      <c r="R3282" s="2" t="inlineStr"/>
    </row>
    <row r="3283" ht="15" customHeight="1">
      <c r="A3283" t="inlineStr">
        <is>
          <t>A 52777-2021</t>
        </is>
      </c>
      <c r="B3283" s="1" t="n">
        <v>44467</v>
      </c>
      <c r="C3283" s="1" t="n">
        <v>45952</v>
      </c>
      <c r="D3283" t="inlineStr">
        <is>
          <t>VÄSTRA GÖTALANDS LÄN</t>
        </is>
      </c>
      <c r="E3283" t="inlineStr">
        <is>
          <t>LERUM</t>
        </is>
      </c>
      <c r="G3283" t="n">
        <v>0.7</v>
      </c>
      <c r="H3283" t="n">
        <v>0</v>
      </c>
      <c r="I3283" t="n">
        <v>0</v>
      </c>
      <c r="J3283" t="n">
        <v>0</v>
      </c>
      <c r="K3283" t="n">
        <v>0</v>
      </c>
      <c r="L3283" t="n">
        <v>0</v>
      </c>
      <c r="M3283" t="n">
        <v>0</v>
      </c>
      <c r="N3283" t="n">
        <v>0</v>
      </c>
      <c r="O3283" t="n">
        <v>0</v>
      </c>
      <c r="P3283" t="n">
        <v>0</v>
      </c>
      <c r="Q3283" t="n">
        <v>0</v>
      </c>
      <c r="R3283" s="2" t="inlineStr"/>
    </row>
    <row r="3284" ht="15" customHeight="1">
      <c r="A3284" t="inlineStr">
        <is>
          <t>A 52806-2021</t>
        </is>
      </c>
      <c r="B3284" s="1" t="n">
        <v>44456</v>
      </c>
      <c r="C3284" s="1" t="n">
        <v>45952</v>
      </c>
      <c r="D3284" t="inlineStr">
        <is>
          <t>VÄSTRA GÖTALANDS LÄN</t>
        </is>
      </c>
      <c r="E3284" t="inlineStr">
        <is>
          <t>TIDAHOLM</t>
        </is>
      </c>
      <c r="G3284" t="n">
        <v>2.2</v>
      </c>
      <c r="H3284" t="n">
        <v>0</v>
      </c>
      <c r="I3284" t="n">
        <v>0</v>
      </c>
      <c r="J3284" t="n">
        <v>0</v>
      </c>
      <c r="K3284" t="n">
        <v>0</v>
      </c>
      <c r="L3284" t="n">
        <v>0</v>
      </c>
      <c r="M3284" t="n">
        <v>0</v>
      </c>
      <c r="N3284" t="n">
        <v>0</v>
      </c>
      <c r="O3284" t="n">
        <v>0</v>
      </c>
      <c r="P3284" t="n">
        <v>0</v>
      </c>
      <c r="Q3284" t="n">
        <v>0</v>
      </c>
      <c r="R3284" s="2" t="inlineStr"/>
    </row>
    <row r="3285" ht="15" customHeight="1">
      <c r="A3285" t="inlineStr">
        <is>
          <t>A 13076-2023</t>
        </is>
      </c>
      <c r="B3285" s="1" t="n">
        <v>45002</v>
      </c>
      <c r="C3285" s="1" t="n">
        <v>45952</v>
      </c>
      <c r="D3285" t="inlineStr">
        <is>
          <t>VÄSTRA GÖTALANDS LÄN</t>
        </is>
      </c>
      <c r="E3285" t="inlineStr">
        <is>
          <t>KARLSBORG</t>
        </is>
      </c>
      <c r="G3285" t="n">
        <v>2.2</v>
      </c>
      <c r="H3285" t="n">
        <v>0</v>
      </c>
      <c r="I3285" t="n">
        <v>0</v>
      </c>
      <c r="J3285" t="n">
        <v>0</v>
      </c>
      <c r="K3285" t="n">
        <v>0</v>
      </c>
      <c r="L3285" t="n">
        <v>0</v>
      </c>
      <c r="M3285" t="n">
        <v>0</v>
      </c>
      <c r="N3285" t="n">
        <v>0</v>
      </c>
      <c r="O3285" t="n">
        <v>0</v>
      </c>
      <c r="P3285" t="n">
        <v>0</v>
      </c>
      <c r="Q3285" t="n">
        <v>0</v>
      </c>
      <c r="R3285" s="2" t="inlineStr"/>
    </row>
    <row r="3286" ht="15" customHeight="1">
      <c r="A3286" t="inlineStr">
        <is>
          <t>A 719-2021</t>
        </is>
      </c>
      <c r="B3286" s="1" t="n">
        <v>44204</v>
      </c>
      <c r="C3286" s="1" t="n">
        <v>45952</v>
      </c>
      <c r="D3286" t="inlineStr">
        <is>
          <t>VÄSTRA GÖTALANDS LÄN</t>
        </is>
      </c>
      <c r="E3286" t="inlineStr">
        <is>
          <t>GÖTENE</t>
        </is>
      </c>
      <c r="G3286" t="n">
        <v>1</v>
      </c>
      <c r="H3286" t="n">
        <v>0</v>
      </c>
      <c r="I3286" t="n">
        <v>0</v>
      </c>
      <c r="J3286" t="n">
        <v>0</v>
      </c>
      <c r="K3286" t="n">
        <v>0</v>
      </c>
      <c r="L3286" t="n">
        <v>0</v>
      </c>
      <c r="M3286" t="n">
        <v>0</v>
      </c>
      <c r="N3286" t="n">
        <v>0</v>
      </c>
      <c r="O3286" t="n">
        <v>0</v>
      </c>
      <c r="P3286" t="n">
        <v>0</v>
      </c>
      <c r="Q3286" t="n">
        <v>0</v>
      </c>
      <c r="R3286" s="2" t="inlineStr"/>
    </row>
    <row r="3287" ht="15" customHeight="1">
      <c r="A3287" t="inlineStr">
        <is>
          <t>A 46231-2022</t>
        </is>
      </c>
      <c r="B3287" s="1" t="n">
        <v>44847</v>
      </c>
      <c r="C3287" s="1" t="n">
        <v>45952</v>
      </c>
      <c r="D3287" t="inlineStr">
        <is>
          <t>VÄSTRA GÖTALANDS LÄN</t>
        </is>
      </c>
      <c r="E3287" t="inlineStr">
        <is>
          <t>SKÖVDE</t>
        </is>
      </c>
      <c r="G3287" t="n">
        <v>0.6</v>
      </c>
      <c r="H3287" t="n">
        <v>0</v>
      </c>
      <c r="I3287" t="n">
        <v>0</v>
      </c>
      <c r="J3287" t="n">
        <v>0</v>
      </c>
      <c r="K3287" t="n">
        <v>0</v>
      </c>
      <c r="L3287" t="n">
        <v>0</v>
      </c>
      <c r="M3287" t="n">
        <v>0</v>
      </c>
      <c r="N3287" t="n">
        <v>0</v>
      </c>
      <c r="O3287" t="n">
        <v>0</v>
      </c>
      <c r="P3287" t="n">
        <v>0</v>
      </c>
      <c r="Q3287" t="n">
        <v>0</v>
      </c>
      <c r="R3287" s="2" t="inlineStr"/>
    </row>
    <row r="3288" ht="15" customHeight="1">
      <c r="A3288" t="inlineStr">
        <is>
          <t>A 29373-2022</t>
        </is>
      </c>
      <c r="B3288" s="1" t="n">
        <v>44753</v>
      </c>
      <c r="C3288" s="1" t="n">
        <v>45952</v>
      </c>
      <c r="D3288" t="inlineStr">
        <is>
          <t>VÄSTRA GÖTALANDS LÄN</t>
        </is>
      </c>
      <c r="E3288" t="inlineStr">
        <is>
          <t>VÄNERSBORG</t>
        </is>
      </c>
      <c r="F3288" t="inlineStr">
        <is>
          <t>Sveaskog</t>
        </is>
      </c>
      <c r="G3288" t="n">
        <v>12.5</v>
      </c>
      <c r="H3288" t="n">
        <v>0</v>
      </c>
      <c r="I3288" t="n">
        <v>0</v>
      </c>
      <c r="J3288" t="n">
        <v>0</v>
      </c>
      <c r="K3288" t="n">
        <v>0</v>
      </c>
      <c r="L3288" t="n">
        <v>0</v>
      </c>
      <c r="M3288" t="n">
        <v>0</v>
      </c>
      <c r="N3288" t="n">
        <v>0</v>
      </c>
      <c r="O3288" t="n">
        <v>0</v>
      </c>
      <c r="P3288" t="n">
        <v>0</v>
      </c>
      <c r="Q3288" t="n">
        <v>0</v>
      </c>
      <c r="R3288" s="2" t="inlineStr"/>
    </row>
    <row r="3289" ht="15" customHeight="1">
      <c r="A3289" t="inlineStr">
        <is>
          <t>A 45986-2021</t>
        </is>
      </c>
      <c r="B3289" s="1" t="n">
        <v>44441</v>
      </c>
      <c r="C3289" s="1" t="n">
        <v>45952</v>
      </c>
      <c r="D3289" t="inlineStr">
        <is>
          <t>VÄSTRA GÖTALANDS LÄN</t>
        </is>
      </c>
      <c r="E3289" t="inlineStr">
        <is>
          <t>ALE</t>
        </is>
      </c>
      <c r="G3289" t="n">
        <v>1.4</v>
      </c>
      <c r="H3289" t="n">
        <v>0</v>
      </c>
      <c r="I3289" t="n">
        <v>0</v>
      </c>
      <c r="J3289" t="n">
        <v>0</v>
      </c>
      <c r="K3289" t="n">
        <v>0</v>
      </c>
      <c r="L3289" t="n">
        <v>0</v>
      </c>
      <c r="M3289" t="n">
        <v>0</v>
      </c>
      <c r="N3289" t="n">
        <v>0</v>
      </c>
      <c r="O3289" t="n">
        <v>0</v>
      </c>
      <c r="P3289" t="n">
        <v>0</v>
      </c>
      <c r="Q3289" t="n">
        <v>0</v>
      </c>
      <c r="R3289" s="2" t="inlineStr"/>
    </row>
    <row r="3290" ht="15" customHeight="1">
      <c r="A3290" t="inlineStr">
        <is>
          <t>A 9154-2022</t>
        </is>
      </c>
      <c r="B3290" s="1" t="n">
        <v>44615</v>
      </c>
      <c r="C3290" s="1" t="n">
        <v>45952</v>
      </c>
      <c r="D3290" t="inlineStr">
        <is>
          <t>VÄSTRA GÖTALANDS LÄN</t>
        </is>
      </c>
      <c r="E3290" t="inlineStr">
        <is>
          <t>DALS-ED</t>
        </is>
      </c>
      <c r="G3290" t="n">
        <v>0.7</v>
      </c>
      <c r="H3290" t="n">
        <v>0</v>
      </c>
      <c r="I3290" t="n">
        <v>0</v>
      </c>
      <c r="J3290" t="n">
        <v>0</v>
      </c>
      <c r="K3290" t="n">
        <v>0</v>
      </c>
      <c r="L3290" t="n">
        <v>0</v>
      </c>
      <c r="M3290" t="n">
        <v>0</v>
      </c>
      <c r="N3290" t="n">
        <v>0</v>
      </c>
      <c r="O3290" t="n">
        <v>0</v>
      </c>
      <c r="P3290" t="n">
        <v>0</v>
      </c>
      <c r="Q3290" t="n">
        <v>0</v>
      </c>
      <c r="R3290" s="2" t="inlineStr"/>
    </row>
    <row r="3291" ht="15" customHeight="1">
      <c r="A3291" t="inlineStr">
        <is>
          <t>A 9159-2022</t>
        </is>
      </c>
      <c r="B3291" s="1" t="n">
        <v>44615.65287037037</v>
      </c>
      <c r="C3291" s="1" t="n">
        <v>45952</v>
      </c>
      <c r="D3291" t="inlineStr">
        <is>
          <t>VÄSTRA GÖTALANDS LÄN</t>
        </is>
      </c>
      <c r="E3291" t="inlineStr">
        <is>
          <t>TIDAHOLM</t>
        </is>
      </c>
      <c r="G3291" t="n">
        <v>2.4</v>
      </c>
      <c r="H3291" t="n">
        <v>0</v>
      </c>
      <c r="I3291" t="n">
        <v>0</v>
      </c>
      <c r="J3291" t="n">
        <v>0</v>
      </c>
      <c r="K3291" t="n">
        <v>0</v>
      </c>
      <c r="L3291" t="n">
        <v>0</v>
      </c>
      <c r="M3291" t="n">
        <v>0</v>
      </c>
      <c r="N3291" t="n">
        <v>0</v>
      </c>
      <c r="O3291" t="n">
        <v>0</v>
      </c>
      <c r="P3291" t="n">
        <v>0</v>
      </c>
      <c r="Q3291" t="n">
        <v>0</v>
      </c>
      <c r="R3291" s="2" t="inlineStr"/>
    </row>
    <row r="3292" ht="15" customHeight="1">
      <c r="A3292" t="inlineStr">
        <is>
          <t>A 9163-2022</t>
        </is>
      </c>
      <c r="B3292" s="1" t="n">
        <v>44615</v>
      </c>
      <c r="C3292" s="1" t="n">
        <v>45952</v>
      </c>
      <c r="D3292" t="inlineStr">
        <is>
          <t>VÄSTRA GÖTALANDS LÄN</t>
        </is>
      </c>
      <c r="E3292" t="inlineStr">
        <is>
          <t>TIDAHOLM</t>
        </is>
      </c>
      <c r="G3292" t="n">
        <v>0.9</v>
      </c>
      <c r="H3292" t="n">
        <v>0</v>
      </c>
      <c r="I3292" t="n">
        <v>0</v>
      </c>
      <c r="J3292" t="n">
        <v>0</v>
      </c>
      <c r="K3292" t="n">
        <v>0</v>
      </c>
      <c r="L3292" t="n">
        <v>0</v>
      </c>
      <c r="M3292" t="n">
        <v>0</v>
      </c>
      <c r="N3292" t="n">
        <v>0</v>
      </c>
      <c r="O3292" t="n">
        <v>0</v>
      </c>
      <c r="P3292" t="n">
        <v>0</v>
      </c>
      <c r="Q3292" t="n">
        <v>0</v>
      </c>
      <c r="R3292" s="2" t="inlineStr"/>
    </row>
    <row r="3293" ht="15" customHeight="1">
      <c r="A3293" t="inlineStr">
        <is>
          <t>A 54208-2022</t>
        </is>
      </c>
      <c r="B3293" s="1" t="n">
        <v>44881.7462962963</v>
      </c>
      <c r="C3293" s="1" t="n">
        <v>45952</v>
      </c>
      <c r="D3293" t="inlineStr">
        <is>
          <t>VÄSTRA GÖTALANDS LÄN</t>
        </is>
      </c>
      <c r="E3293" t="inlineStr">
        <is>
          <t>ULRICEHAMN</t>
        </is>
      </c>
      <c r="G3293" t="n">
        <v>2.9</v>
      </c>
      <c r="H3293" t="n">
        <v>0</v>
      </c>
      <c r="I3293" t="n">
        <v>0</v>
      </c>
      <c r="J3293" t="n">
        <v>0</v>
      </c>
      <c r="K3293" t="n">
        <v>0</v>
      </c>
      <c r="L3293" t="n">
        <v>0</v>
      </c>
      <c r="M3293" t="n">
        <v>0</v>
      </c>
      <c r="N3293" t="n">
        <v>0</v>
      </c>
      <c r="O3293" t="n">
        <v>0</v>
      </c>
      <c r="P3293" t="n">
        <v>0</v>
      </c>
      <c r="Q3293" t="n">
        <v>0</v>
      </c>
      <c r="R3293" s="2" t="inlineStr"/>
    </row>
    <row r="3294" ht="15" customHeight="1">
      <c r="A3294" t="inlineStr">
        <is>
          <t>A 6628-2021</t>
        </is>
      </c>
      <c r="B3294" s="1" t="n">
        <v>44236</v>
      </c>
      <c r="C3294" s="1" t="n">
        <v>45952</v>
      </c>
      <c r="D3294" t="inlineStr">
        <is>
          <t>VÄSTRA GÖTALANDS LÄN</t>
        </is>
      </c>
      <c r="E3294" t="inlineStr">
        <is>
          <t>HERRLJUNGA</t>
        </is>
      </c>
      <c r="G3294" t="n">
        <v>0.4</v>
      </c>
      <c r="H3294" t="n">
        <v>0</v>
      </c>
      <c r="I3294" t="n">
        <v>0</v>
      </c>
      <c r="J3294" t="n">
        <v>0</v>
      </c>
      <c r="K3294" t="n">
        <v>0</v>
      </c>
      <c r="L3294" t="n">
        <v>0</v>
      </c>
      <c r="M3294" t="n">
        <v>0</v>
      </c>
      <c r="N3294" t="n">
        <v>0</v>
      </c>
      <c r="O3294" t="n">
        <v>0</v>
      </c>
      <c r="P3294" t="n">
        <v>0</v>
      </c>
      <c r="Q3294" t="n">
        <v>0</v>
      </c>
      <c r="R3294" s="2" t="inlineStr"/>
    </row>
    <row r="3295" ht="15" customHeight="1">
      <c r="A3295" t="inlineStr">
        <is>
          <t>A 35539-2021</t>
        </is>
      </c>
      <c r="B3295" s="1" t="n">
        <v>44385</v>
      </c>
      <c r="C3295" s="1" t="n">
        <v>45952</v>
      </c>
      <c r="D3295" t="inlineStr">
        <is>
          <t>VÄSTRA GÖTALANDS LÄN</t>
        </is>
      </c>
      <c r="E3295" t="inlineStr">
        <is>
          <t>FÄRGELANDA</t>
        </is>
      </c>
      <c r="G3295" t="n">
        <v>0.9</v>
      </c>
      <c r="H3295" t="n">
        <v>0</v>
      </c>
      <c r="I3295" t="n">
        <v>0</v>
      </c>
      <c r="J3295" t="n">
        <v>0</v>
      </c>
      <c r="K3295" t="n">
        <v>0</v>
      </c>
      <c r="L3295" t="n">
        <v>0</v>
      </c>
      <c r="M3295" t="n">
        <v>0</v>
      </c>
      <c r="N3295" t="n">
        <v>0</v>
      </c>
      <c r="O3295" t="n">
        <v>0</v>
      </c>
      <c r="P3295" t="n">
        <v>0</v>
      </c>
      <c r="Q3295" t="n">
        <v>0</v>
      </c>
      <c r="R3295" s="2" t="inlineStr"/>
    </row>
    <row r="3296" ht="15" customHeight="1">
      <c r="A3296" t="inlineStr">
        <is>
          <t>A 29791-2023</t>
        </is>
      </c>
      <c r="B3296" s="1" t="n">
        <v>45107.52193287037</v>
      </c>
      <c r="C3296" s="1" t="n">
        <v>45952</v>
      </c>
      <c r="D3296" t="inlineStr">
        <is>
          <t>VÄSTRA GÖTALANDS LÄN</t>
        </is>
      </c>
      <c r="E3296" t="inlineStr">
        <is>
          <t>BENGTSFORS</t>
        </is>
      </c>
      <c r="G3296" t="n">
        <v>4.9</v>
      </c>
      <c r="H3296" t="n">
        <v>0</v>
      </c>
      <c r="I3296" t="n">
        <v>0</v>
      </c>
      <c r="J3296" t="n">
        <v>0</v>
      </c>
      <c r="K3296" t="n">
        <v>0</v>
      </c>
      <c r="L3296" t="n">
        <v>0</v>
      </c>
      <c r="M3296" t="n">
        <v>0</v>
      </c>
      <c r="N3296" t="n">
        <v>0</v>
      </c>
      <c r="O3296" t="n">
        <v>0</v>
      </c>
      <c r="P3296" t="n">
        <v>0</v>
      </c>
      <c r="Q3296" t="n">
        <v>0</v>
      </c>
      <c r="R3296" s="2" t="inlineStr"/>
    </row>
    <row r="3297" ht="15" customHeight="1">
      <c r="A3297" t="inlineStr">
        <is>
          <t>A 11575-2022</t>
        </is>
      </c>
      <c r="B3297" s="1" t="n">
        <v>44631</v>
      </c>
      <c r="C3297" s="1" t="n">
        <v>45952</v>
      </c>
      <c r="D3297" t="inlineStr">
        <is>
          <t>VÄSTRA GÖTALANDS LÄN</t>
        </is>
      </c>
      <c r="E3297" t="inlineStr">
        <is>
          <t>MARK</t>
        </is>
      </c>
      <c r="G3297" t="n">
        <v>1</v>
      </c>
      <c r="H3297" t="n">
        <v>0</v>
      </c>
      <c r="I3297" t="n">
        <v>0</v>
      </c>
      <c r="J3297" t="n">
        <v>0</v>
      </c>
      <c r="K3297" t="n">
        <v>0</v>
      </c>
      <c r="L3297" t="n">
        <v>0</v>
      </c>
      <c r="M3297" t="n">
        <v>0</v>
      </c>
      <c r="N3297" t="n">
        <v>0</v>
      </c>
      <c r="O3297" t="n">
        <v>0</v>
      </c>
      <c r="P3297" t="n">
        <v>0</v>
      </c>
      <c r="Q3297" t="n">
        <v>0</v>
      </c>
      <c r="R3297" s="2" t="inlineStr"/>
    </row>
    <row r="3298" ht="15" customHeight="1">
      <c r="A3298" t="inlineStr">
        <is>
          <t>A 29087-2021</t>
        </is>
      </c>
      <c r="B3298" s="1" t="n">
        <v>44358</v>
      </c>
      <c r="C3298" s="1" t="n">
        <v>45952</v>
      </c>
      <c r="D3298" t="inlineStr">
        <is>
          <t>VÄSTRA GÖTALANDS LÄN</t>
        </is>
      </c>
      <c r="E3298" t="inlineStr">
        <is>
          <t>MUNKEDAL</t>
        </is>
      </c>
      <c r="G3298" t="n">
        <v>1.5</v>
      </c>
      <c r="H3298" t="n">
        <v>0</v>
      </c>
      <c r="I3298" t="n">
        <v>0</v>
      </c>
      <c r="J3298" t="n">
        <v>0</v>
      </c>
      <c r="K3298" t="n">
        <v>0</v>
      </c>
      <c r="L3298" t="n">
        <v>0</v>
      </c>
      <c r="M3298" t="n">
        <v>0</v>
      </c>
      <c r="N3298" t="n">
        <v>0</v>
      </c>
      <c r="O3298" t="n">
        <v>0</v>
      </c>
      <c r="P3298" t="n">
        <v>0</v>
      </c>
      <c r="Q3298" t="n">
        <v>0</v>
      </c>
      <c r="R3298" s="2" t="inlineStr"/>
    </row>
    <row r="3299" ht="15" customHeight="1">
      <c r="A3299" t="inlineStr">
        <is>
          <t>A 4991-2022</t>
        </is>
      </c>
      <c r="B3299" s="1" t="n">
        <v>44593.60039351852</v>
      </c>
      <c r="C3299" s="1" t="n">
        <v>45952</v>
      </c>
      <c r="D3299" t="inlineStr">
        <is>
          <t>VÄSTRA GÖTALANDS LÄN</t>
        </is>
      </c>
      <c r="E3299" t="inlineStr">
        <is>
          <t>TANUM</t>
        </is>
      </c>
      <c r="G3299" t="n">
        <v>1</v>
      </c>
      <c r="H3299" t="n">
        <v>0</v>
      </c>
      <c r="I3299" t="n">
        <v>0</v>
      </c>
      <c r="J3299" t="n">
        <v>0</v>
      </c>
      <c r="K3299" t="n">
        <v>0</v>
      </c>
      <c r="L3299" t="n">
        <v>0</v>
      </c>
      <c r="M3299" t="n">
        <v>0</v>
      </c>
      <c r="N3299" t="n">
        <v>0</v>
      </c>
      <c r="O3299" t="n">
        <v>0</v>
      </c>
      <c r="P3299" t="n">
        <v>0</v>
      </c>
      <c r="Q3299" t="n">
        <v>0</v>
      </c>
      <c r="R3299" s="2" t="inlineStr"/>
    </row>
    <row r="3300" ht="15" customHeight="1">
      <c r="A3300" t="inlineStr">
        <is>
          <t>A 58052-2020</t>
        </is>
      </c>
      <c r="B3300" s="1" t="n">
        <v>44144</v>
      </c>
      <c r="C3300" s="1" t="n">
        <v>45952</v>
      </c>
      <c r="D3300" t="inlineStr">
        <is>
          <t>VÄSTRA GÖTALANDS LÄN</t>
        </is>
      </c>
      <c r="E3300" t="inlineStr">
        <is>
          <t>VÄNERSBORG</t>
        </is>
      </c>
      <c r="G3300" t="n">
        <v>1.3</v>
      </c>
      <c r="H3300" t="n">
        <v>0</v>
      </c>
      <c r="I3300" t="n">
        <v>0</v>
      </c>
      <c r="J3300" t="n">
        <v>0</v>
      </c>
      <c r="K3300" t="n">
        <v>0</v>
      </c>
      <c r="L3300" t="n">
        <v>0</v>
      </c>
      <c r="M3300" t="n">
        <v>0</v>
      </c>
      <c r="N3300" t="n">
        <v>0</v>
      </c>
      <c r="O3300" t="n">
        <v>0</v>
      </c>
      <c r="P3300" t="n">
        <v>0</v>
      </c>
      <c r="Q3300" t="n">
        <v>0</v>
      </c>
      <c r="R3300" s="2" t="inlineStr"/>
    </row>
    <row r="3301" ht="15" customHeight="1">
      <c r="A3301" t="inlineStr">
        <is>
          <t>A 5715-2021</t>
        </is>
      </c>
      <c r="B3301" s="1" t="n">
        <v>44229</v>
      </c>
      <c r="C3301" s="1" t="n">
        <v>45952</v>
      </c>
      <c r="D3301" t="inlineStr">
        <is>
          <t>VÄSTRA GÖTALANDS LÄN</t>
        </is>
      </c>
      <c r="E3301" t="inlineStr">
        <is>
          <t>TANUM</t>
        </is>
      </c>
      <c r="G3301" t="n">
        <v>1.3</v>
      </c>
      <c r="H3301" t="n">
        <v>0</v>
      </c>
      <c r="I3301" t="n">
        <v>0</v>
      </c>
      <c r="J3301" t="n">
        <v>0</v>
      </c>
      <c r="K3301" t="n">
        <v>0</v>
      </c>
      <c r="L3301" t="n">
        <v>0</v>
      </c>
      <c r="M3301" t="n">
        <v>0</v>
      </c>
      <c r="N3301" t="n">
        <v>0</v>
      </c>
      <c r="O3301" t="n">
        <v>0</v>
      </c>
      <c r="P3301" t="n">
        <v>0</v>
      </c>
      <c r="Q3301" t="n">
        <v>0</v>
      </c>
      <c r="R3301" s="2" t="inlineStr"/>
    </row>
    <row r="3302" ht="15" customHeight="1">
      <c r="A3302" t="inlineStr">
        <is>
          <t>A 29822-2023</t>
        </is>
      </c>
      <c r="B3302" s="1" t="n">
        <v>45107.56379629629</v>
      </c>
      <c r="C3302" s="1" t="n">
        <v>45952</v>
      </c>
      <c r="D3302" t="inlineStr">
        <is>
          <t>VÄSTRA GÖTALANDS LÄN</t>
        </is>
      </c>
      <c r="E3302" t="inlineStr">
        <is>
          <t>TIBRO</t>
        </is>
      </c>
      <c r="G3302" t="n">
        <v>1.5</v>
      </c>
      <c r="H3302" t="n">
        <v>0</v>
      </c>
      <c r="I3302" t="n">
        <v>0</v>
      </c>
      <c r="J3302" t="n">
        <v>0</v>
      </c>
      <c r="K3302" t="n">
        <v>0</v>
      </c>
      <c r="L3302" t="n">
        <v>0</v>
      </c>
      <c r="M3302" t="n">
        <v>0</v>
      </c>
      <c r="N3302" t="n">
        <v>0</v>
      </c>
      <c r="O3302" t="n">
        <v>0</v>
      </c>
      <c r="P3302" t="n">
        <v>0</v>
      </c>
      <c r="Q3302" t="n">
        <v>0</v>
      </c>
      <c r="R3302" s="2" t="inlineStr"/>
    </row>
    <row r="3303" ht="15" customHeight="1">
      <c r="A3303" t="inlineStr">
        <is>
          <t>A 26362-2024</t>
        </is>
      </c>
      <c r="B3303" s="1" t="n">
        <v>45469.38258101852</v>
      </c>
      <c r="C3303" s="1" t="n">
        <v>45952</v>
      </c>
      <c r="D3303" t="inlineStr">
        <is>
          <t>VÄSTRA GÖTALANDS LÄN</t>
        </is>
      </c>
      <c r="E3303" t="inlineStr">
        <is>
          <t>VÅRGÅRDA</t>
        </is>
      </c>
      <c r="G3303" t="n">
        <v>3.2</v>
      </c>
      <c r="H3303" t="n">
        <v>0</v>
      </c>
      <c r="I3303" t="n">
        <v>0</v>
      </c>
      <c r="J3303" t="n">
        <v>0</v>
      </c>
      <c r="K3303" t="n">
        <v>0</v>
      </c>
      <c r="L3303" t="n">
        <v>0</v>
      </c>
      <c r="M3303" t="n">
        <v>0</v>
      </c>
      <c r="N3303" t="n">
        <v>0</v>
      </c>
      <c r="O3303" t="n">
        <v>0</v>
      </c>
      <c r="P3303" t="n">
        <v>0</v>
      </c>
      <c r="Q3303" t="n">
        <v>0</v>
      </c>
      <c r="R3303" s="2" t="inlineStr"/>
    </row>
    <row r="3304" ht="15" customHeight="1">
      <c r="A3304" t="inlineStr">
        <is>
          <t>A 32642-2022</t>
        </is>
      </c>
      <c r="B3304" s="1" t="n">
        <v>44783</v>
      </c>
      <c r="C3304" s="1" t="n">
        <v>45952</v>
      </c>
      <c r="D3304" t="inlineStr">
        <is>
          <t>VÄSTRA GÖTALANDS LÄN</t>
        </is>
      </c>
      <c r="E3304" t="inlineStr">
        <is>
          <t>MELLERUD</t>
        </is>
      </c>
      <c r="G3304" t="n">
        <v>4.2</v>
      </c>
      <c r="H3304" t="n">
        <v>0</v>
      </c>
      <c r="I3304" t="n">
        <v>0</v>
      </c>
      <c r="J3304" t="n">
        <v>0</v>
      </c>
      <c r="K3304" t="n">
        <v>0</v>
      </c>
      <c r="L3304" t="n">
        <v>0</v>
      </c>
      <c r="M3304" t="n">
        <v>0</v>
      </c>
      <c r="N3304" t="n">
        <v>0</v>
      </c>
      <c r="O3304" t="n">
        <v>0</v>
      </c>
      <c r="P3304" t="n">
        <v>0</v>
      </c>
      <c r="Q3304" t="n">
        <v>0</v>
      </c>
      <c r="R3304" s="2" t="inlineStr"/>
    </row>
    <row r="3305" ht="15" customHeight="1">
      <c r="A3305" t="inlineStr">
        <is>
          <t>A 35149-2022</t>
        </is>
      </c>
      <c r="B3305" s="1" t="n">
        <v>44797</v>
      </c>
      <c r="C3305" s="1" t="n">
        <v>45952</v>
      </c>
      <c r="D3305" t="inlineStr">
        <is>
          <t>VÄSTRA GÖTALANDS LÄN</t>
        </is>
      </c>
      <c r="E3305" t="inlineStr">
        <is>
          <t>GULLSPÅNG</t>
        </is>
      </c>
      <c r="G3305" t="n">
        <v>1.5</v>
      </c>
      <c r="H3305" t="n">
        <v>0</v>
      </c>
      <c r="I3305" t="n">
        <v>0</v>
      </c>
      <c r="J3305" t="n">
        <v>0</v>
      </c>
      <c r="K3305" t="n">
        <v>0</v>
      </c>
      <c r="L3305" t="n">
        <v>0</v>
      </c>
      <c r="M3305" t="n">
        <v>0</v>
      </c>
      <c r="N3305" t="n">
        <v>0</v>
      </c>
      <c r="O3305" t="n">
        <v>0</v>
      </c>
      <c r="P3305" t="n">
        <v>0</v>
      </c>
      <c r="Q3305" t="n">
        <v>0</v>
      </c>
      <c r="R3305" s="2" t="inlineStr"/>
    </row>
    <row r="3306" ht="15" customHeight="1">
      <c r="A3306" t="inlineStr">
        <is>
          <t>A 33527-2021</t>
        </is>
      </c>
      <c r="B3306" s="1" t="n">
        <v>44377.79693287037</v>
      </c>
      <c r="C3306" s="1" t="n">
        <v>45952</v>
      </c>
      <c r="D3306" t="inlineStr">
        <is>
          <t>VÄSTRA GÖTALANDS LÄN</t>
        </is>
      </c>
      <c r="E3306" t="inlineStr">
        <is>
          <t>LILLA EDET</t>
        </is>
      </c>
      <c r="G3306" t="n">
        <v>2.3</v>
      </c>
      <c r="H3306" t="n">
        <v>0</v>
      </c>
      <c r="I3306" t="n">
        <v>0</v>
      </c>
      <c r="J3306" t="n">
        <v>0</v>
      </c>
      <c r="K3306" t="n">
        <v>0</v>
      </c>
      <c r="L3306" t="n">
        <v>0</v>
      </c>
      <c r="M3306" t="n">
        <v>0</v>
      </c>
      <c r="N3306" t="n">
        <v>0</v>
      </c>
      <c r="O3306" t="n">
        <v>0</v>
      </c>
      <c r="P3306" t="n">
        <v>0</v>
      </c>
      <c r="Q3306" t="n">
        <v>0</v>
      </c>
      <c r="R3306" s="2" t="inlineStr"/>
    </row>
    <row r="3307" ht="15" customHeight="1">
      <c r="A3307" t="inlineStr">
        <is>
          <t>A 50647-2021</t>
        </is>
      </c>
      <c r="B3307" s="1" t="n">
        <v>44459</v>
      </c>
      <c r="C3307" s="1" t="n">
        <v>45952</v>
      </c>
      <c r="D3307" t="inlineStr">
        <is>
          <t>VÄSTRA GÖTALANDS LÄN</t>
        </is>
      </c>
      <c r="E3307" t="inlineStr">
        <is>
          <t>BOLLEBYGD</t>
        </is>
      </c>
      <c r="G3307" t="n">
        <v>0.7</v>
      </c>
      <c r="H3307" t="n">
        <v>0</v>
      </c>
      <c r="I3307" t="n">
        <v>0</v>
      </c>
      <c r="J3307" t="n">
        <v>0</v>
      </c>
      <c r="K3307" t="n">
        <v>0</v>
      </c>
      <c r="L3307" t="n">
        <v>0</v>
      </c>
      <c r="M3307" t="n">
        <v>0</v>
      </c>
      <c r="N3307" t="n">
        <v>0</v>
      </c>
      <c r="O3307" t="n">
        <v>0</v>
      </c>
      <c r="P3307" t="n">
        <v>0</v>
      </c>
      <c r="Q3307" t="n">
        <v>0</v>
      </c>
      <c r="R3307" s="2" t="inlineStr"/>
    </row>
    <row r="3308" ht="15" customHeight="1">
      <c r="A3308" t="inlineStr">
        <is>
          <t>A 12234-2024</t>
        </is>
      </c>
      <c r="B3308" s="1" t="n">
        <v>45378.36106481482</v>
      </c>
      <c r="C3308" s="1" t="n">
        <v>45952</v>
      </c>
      <c r="D3308" t="inlineStr">
        <is>
          <t>VÄSTRA GÖTALANDS LÄN</t>
        </is>
      </c>
      <c r="E3308" t="inlineStr">
        <is>
          <t>LILLA EDET</t>
        </is>
      </c>
      <c r="G3308" t="n">
        <v>1.3</v>
      </c>
      <c r="H3308" t="n">
        <v>0</v>
      </c>
      <c r="I3308" t="n">
        <v>0</v>
      </c>
      <c r="J3308" t="n">
        <v>0</v>
      </c>
      <c r="K3308" t="n">
        <v>0</v>
      </c>
      <c r="L3308" t="n">
        <v>0</v>
      </c>
      <c r="M3308" t="n">
        <v>0</v>
      </c>
      <c r="N3308" t="n">
        <v>0</v>
      </c>
      <c r="O3308" t="n">
        <v>0</v>
      </c>
      <c r="P3308" t="n">
        <v>0</v>
      </c>
      <c r="Q3308" t="n">
        <v>0</v>
      </c>
      <c r="R3308" s="2" t="inlineStr"/>
    </row>
    <row r="3309" ht="15" customHeight="1">
      <c r="A3309" t="inlineStr">
        <is>
          <t>A 16770-2024</t>
        </is>
      </c>
      <c r="B3309" s="1" t="n">
        <v>45411.38792824074</v>
      </c>
      <c r="C3309" s="1" t="n">
        <v>45952</v>
      </c>
      <c r="D3309" t="inlineStr">
        <is>
          <t>VÄSTRA GÖTALANDS LÄN</t>
        </is>
      </c>
      <c r="E3309" t="inlineStr">
        <is>
          <t>SVENLJUNGA</t>
        </is>
      </c>
      <c r="G3309" t="n">
        <v>2.6</v>
      </c>
      <c r="H3309" t="n">
        <v>0</v>
      </c>
      <c r="I3309" t="n">
        <v>0</v>
      </c>
      <c r="J3309" t="n">
        <v>0</v>
      </c>
      <c r="K3309" t="n">
        <v>0</v>
      </c>
      <c r="L3309" t="n">
        <v>0</v>
      </c>
      <c r="M3309" t="n">
        <v>0</v>
      </c>
      <c r="N3309" t="n">
        <v>0</v>
      </c>
      <c r="O3309" t="n">
        <v>0</v>
      </c>
      <c r="P3309" t="n">
        <v>0</v>
      </c>
      <c r="Q3309" t="n">
        <v>0</v>
      </c>
      <c r="R3309" s="2" t="inlineStr"/>
    </row>
    <row r="3310" ht="15" customHeight="1">
      <c r="A3310" t="inlineStr">
        <is>
          <t>A 2483-2022</t>
        </is>
      </c>
      <c r="B3310" s="1" t="n">
        <v>44579</v>
      </c>
      <c r="C3310" s="1" t="n">
        <v>45952</v>
      </c>
      <c r="D3310" t="inlineStr">
        <is>
          <t>VÄSTRA GÖTALANDS LÄN</t>
        </is>
      </c>
      <c r="E3310" t="inlineStr">
        <is>
          <t>MUNKEDAL</t>
        </is>
      </c>
      <c r="F3310" t="inlineStr">
        <is>
          <t>Kyrkan</t>
        </is>
      </c>
      <c r="G3310" t="n">
        <v>3.2</v>
      </c>
      <c r="H3310" t="n">
        <v>0</v>
      </c>
      <c r="I3310" t="n">
        <v>0</v>
      </c>
      <c r="J3310" t="n">
        <v>0</v>
      </c>
      <c r="K3310" t="n">
        <v>0</v>
      </c>
      <c r="L3310" t="n">
        <v>0</v>
      </c>
      <c r="M3310" t="n">
        <v>0</v>
      </c>
      <c r="N3310" t="n">
        <v>0</v>
      </c>
      <c r="O3310" t="n">
        <v>0</v>
      </c>
      <c r="P3310" t="n">
        <v>0</v>
      </c>
      <c r="Q3310" t="n">
        <v>0</v>
      </c>
      <c r="R3310" s="2" t="inlineStr"/>
    </row>
    <row r="3311" ht="15" customHeight="1">
      <c r="A3311" t="inlineStr">
        <is>
          <t>A 59857-2021</t>
        </is>
      </c>
      <c r="B3311" s="1" t="n">
        <v>44494</v>
      </c>
      <c r="C3311" s="1" t="n">
        <v>45952</v>
      </c>
      <c r="D3311" t="inlineStr">
        <is>
          <t>VÄSTRA GÖTALANDS LÄN</t>
        </is>
      </c>
      <c r="E3311" t="inlineStr">
        <is>
          <t>UDDEVALLA</t>
        </is>
      </c>
      <c r="G3311" t="n">
        <v>1.5</v>
      </c>
      <c r="H3311" t="n">
        <v>0</v>
      </c>
      <c r="I3311" t="n">
        <v>0</v>
      </c>
      <c r="J3311" t="n">
        <v>0</v>
      </c>
      <c r="K3311" t="n">
        <v>0</v>
      </c>
      <c r="L3311" t="n">
        <v>0</v>
      </c>
      <c r="M3311" t="n">
        <v>0</v>
      </c>
      <c r="N3311" t="n">
        <v>0</v>
      </c>
      <c r="O3311" t="n">
        <v>0</v>
      </c>
      <c r="P3311" t="n">
        <v>0</v>
      </c>
      <c r="Q3311" t="n">
        <v>0</v>
      </c>
      <c r="R3311" s="2" t="inlineStr"/>
    </row>
    <row r="3312" ht="15" customHeight="1">
      <c r="A3312" t="inlineStr">
        <is>
          <t>A 4084-2021</t>
        </is>
      </c>
      <c r="B3312" s="1" t="n">
        <v>44222</v>
      </c>
      <c r="C3312" s="1" t="n">
        <v>45952</v>
      </c>
      <c r="D3312" t="inlineStr">
        <is>
          <t>VÄSTRA GÖTALANDS LÄN</t>
        </is>
      </c>
      <c r="E3312" t="inlineStr">
        <is>
          <t>FÄRGELANDA</t>
        </is>
      </c>
      <c r="G3312" t="n">
        <v>14.8</v>
      </c>
      <c r="H3312" t="n">
        <v>0</v>
      </c>
      <c r="I3312" t="n">
        <v>0</v>
      </c>
      <c r="J3312" t="n">
        <v>0</v>
      </c>
      <c r="K3312" t="n">
        <v>0</v>
      </c>
      <c r="L3312" t="n">
        <v>0</v>
      </c>
      <c r="M3312" t="n">
        <v>0</v>
      </c>
      <c r="N3312" t="n">
        <v>0</v>
      </c>
      <c r="O3312" t="n">
        <v>0</v>
      </c>
      <c r="P3312" t="n">
        <v>0</v>
      </c>
      <c r="Q3312" t="n">
        <v>0</v>
      </c>
      <c r="R3312" s="2" t="inlineStr"/>
    </row>
    <row r="3313" ht="15" customHeight="1">
      <c r="A3313" t="inlineStr">
        <is>
          <t>A 34544-2022</t>
        </is>
      </c>
      <c r="B3313" s="1" t="n">
        <v>44793.74420138889</v>
      </c>
      <c r="C3313" s="1" t="n">
        <v>45952</v>
      </c>
      <c r="D3313" t="inlineStr">
        <is>
          <t>VÄSTRA GÖTALANDS LÄN</t>
        </is>
      </c>
      <c r="E3313" t="inlineStr">
        <is>
          <t>TRANEMO</t>
        </is>
      </c>
      <c r="G3313" t="n">
        <v>0.6</v>
      </c>
      <c r="H3313" t="n">
        <v>0</v>
      </c>
      <c r="I3313" t="n">
        <v>0</v>
      </c>
      <c r="J3313" t="n">
        <v>0</v>
      </c>
      <c r="K3313" t="n">
        <v>0</v>
      </c>
      <c r="L3313" t="n">
        <v>0</v>
      </c>
      <c r="M3313" t="n">
        <v>0</v>
      </c>
      <c r="N3313" t="n">
        <v>0</v>
      </c>
      <c r="O3313" t="n">
        <v>0</v>
      </c>
      <c r="P3313" t="n">
        <v>0</v>
      </c>
      <c r="Q3313" t="n">
        <v>0</v>
      </c>
      <c r="R3313" s="2" t="inlineStr"/>
    </row>
    <row r="3314" ht="15" customHeight="1">
      <c r="A3314" t="inlineStr">
        <is>
          <t>A 23317-2022</t>
        </is>
      </c>
      <c r="B3314" s="1" t="n">
        <v>44720.48855324074</v>
      </c>
      <c r="C3314" s="1" t="n">
        <v>45952</v>
      </c>
      <c r="D3314" t="inlineStr">
        <is>
          <t>VÄSTRA GÖTALANDS LÄN</t>
        </is>
      </c>
      <c r="E3314" t="inlineStr">
        <is>
          <t>DALS-ED</t>
        </is>
      </c>
      <c r="G3314" t="n">
        <v>6.9</v>
      </c>
      <c r="H3314" t="n">
        <v>0</v>
      </c>
      <c r="I3314" t="n">
        <v>0</v>
      </c>
      <c r="J3314" t="n">
        <v>0</v>
      </c>
      <c r="K3314" t="n">
        <v>0</v>
      </c>
      <c r="L3314" t="n">
        <v>0</v>
      </c>
      <c r="M3314" t="n">
        <v>0</v>
      </c>
      <c r="N3314" t="n">
        <v>0</v>
      </c>
      <c r="O3314" t="n">
        <v>0</v>
      </c>
      <c r="P3314" t="n">
        <v>0</v>
      </c>
      <c r="Q3314" t="n">
        <v>0</v>
      </c>
      <c r="R3314" s="2" t="inlineStr"/>
    </row>
    <row r="3315" ht="15" customHeight="1">
      <c r="A3315" t="inlineStr">
        <is>
          <t>A 33190-2021</t>
        </is>
      </c>
      <c r="B3315" s="1" t="n">
        <v>44376.87699074074</v>
      </c>
      <c r="C3315" s="1" t="n">
        <v>45952</v>
      </c>
      <c r="D3315" t="inlineStr">
        <is>
          <t>VÄSTRA GÖTALANDS LÄN</t>
        </is>
      </c>
      <c r="E3315" t="inlineStr">
        <is>
          <t>DALS-ED</t>
        </is>
      </c>
      <c r="G3315" t="n">
        <v>2.8</v>
      </c>
      <c r="H3315" t="n">
        <v>0</v>
      </c>
      <c r="I3315" t="n">
        <v>0</v>
      </c>
      <c r="J3315" t="n">
        <v>0</v>
      </c>
      <c r="K3315" t="n">
        <v>0</v>
      </c>
      <c r="L3315" t="n">
        <v>0</v>
      </c>
      <c r="M3315" t="n">
        <v>0</v>
      </c>
      <c r="N3315" t="n">
        <v>0</v>
      </c>
      <c r="O3315" t="n">
        <v>0</v>
      </c>
      <c r="P3315" t="n">
        <v>0</v>
      </c>
      <c r="Q3315" t="n">
        <v>0</v>
      </c>
      <c r="R3315" s="2" t="inlineStr"/>
    </row>
    <row r="3316" ht="15" customHeight="1">
      <c r="A3316" t="inlineStr">
        <is>
          <t>A 63883-2020</t>
        </is>
      </c>
      <c r="B3316" s="1" t="n">
        <v>44166</v>
      </c>
      <c r="C3316" s="1" t="n">
        <v>45952</v>
      </c>
      <c r="D3316" t="inlineStr">
        <is>
          <t>VÄSTRA GÖTALANDS LÄN</t>
        </is>
      </c>
      <c r="E3316" t="inlineStr">
        <is>
          <t>MÖLNDAL</t>
        </is>
      </c>
      <c r="G3316" t="n">
        <v>0.2</v>
      </c>
      <c r="H3316" t="n">
        <v>0</v>
      </c>
      <c r="I3316" t="n">
        <v>0</v>
      </c>
      <c r="J3316" t="n">
        <v>0</v>
      </c>
      <c r="K3316" t="n">
        <v>0</v>
      </c>
      <c r="L3316" t="n">
        <v>0</v>
      </c>
      <c r="M3316" t="n">
        <v>0</v>
      </c>
      <c r="N3316" t="n">
        <v>0</v>
      </c>
      <c r="O3316" t="n">
        <v>0</v>
      </c>
      <c r="P3316" t="n">
        <v>0</v>
      </c>
      <c r="Q3316" t="n">
        <v>0</v>
      </c>
      <c r="R3316" s="2" t="inlineStr"/>
    </row>
    <row r="3317" ht="15" customHeight="1">
      <c r="A3317" t="inlineStr">
        <is>
          <t>A 63967-2020</t>
        </is>
      </c>
      <c r="B3317" s="1" t="n">
        <v>44167</v>
      </c>
      <c r="C3317" s="1" t="n">
        <v>45952</v>
      </c>
      <c r="D3317" t="inlineStr">
        <is>
          <t>VÄSTRA GÖTALANDS LÄN</t>
        </is>
      </c>
      <c r="E3317" t="inlineStr">
        <is>
          <t>MARIESTAD</t>
        </is>
      </c>
      <c r="G3317" t="n">
        <v>2.3</v>
      </c>
      <c r="H3317" t="n">
        <v>0</v>
      </c>
      <c r="I3317" t="n">
        <v>0</v>
      </c>
      <c r="J3317" t="n">
        <v>0</v>
      </c>
      <c r="K3317" t="n">
        <v>0</v>
      </c>
      <c r="L3317" t="n">
        <v>0</v>
      </c>
      <c r="M3317" t="n">
        <v>0</v>
      </c>
      <c r="N3317" t="n">
        <v>0</v>
      </c>
      <c r="O3317" t="n">
        <v>0</v>
      </c>
      <c r="P3317" t="n">
        <v>0</v>
      </c>
      <c r="Q3317" t="n">
        <v>0</v>
      </c>
      <c r="R3317" s="2" t="inlineStr"/>
    </row>
    <row r="3318" ht="15" customHeight="1">
      <c r="A3318" t="inlineStr">
        <is>
          <t>A 22846-2021</t>
        </is>
      </c>
      <c r="B3318" s="1" t="n">
        <v>44328</v>
      </c>
      <c r="C3318" s="1" t="n">
        <v>45952</v>
      </c>
      <c r="D3318" t="inlineStr">
        <is>
          <t>VÄSTRA GÖTALANDS LÄN</t>
        </is>
      </c>
      <c r="E3318" t="inlineStr">
        <is>
          <t>MARK</t>
        </is>
      </c>
      <c r="G3318" t="n">
        <v>8.300000000000001</v>
      </c>
      <c r="H3318" t="n">
        <v>0</v>
      </c>
      <c r="I3318" t="n">
        <v>0</v>
      </c>
      <c r="J3318" t="n">
        <v>0</v>
      </c>
      <c r="K3318" t="n">
        <v>0</v>
      </c>
      <c r="L3318" t="n">
        <v>0</v>
      </c>
      <c r="M3318" t="n">
        <v>0</v>
      </c>
      <c r="N3318" t="n">
        <v>0</v>
      </c>
      <c r="O3318" t="n">
        <v>0</v>
      </c>
      <c r="P3318" t="n">
        <v>0</v>
      </c>
      <c r="Q3318" t="n">
        <v>0</v>
      </c>
      <c r="R3318" s="2" t="inlineStr"/>
    </row>
    <row r="3319" ht="15" customHeight="1">
      <c r="A3319" t="inlineStr">
        <is>
          <t>A 12544-2022</t>
        </is>
      </c>
      <c r="B3319" s="1" t="n">
        <v>44638.65868055556</v>
      </c>
      <c r="C3319" s="1" t="n">
        <v>45952</v>
      </c>
      <c r="D3319" t="inlineStr">
        <is>
          <t>VÄSTRA GÖTALANDS LÄN</t>
        </is>
      </c>
      <c r="E3319" t="inlineStr">
        <is>
          <t>HJO</t>
        </is>
      </c>
      <c r="G3319" t="n">
        <v>0.5</v>
      </c>
      <c r="H3319" t="n">
        <v>0</v>
      </c>
      <c r="I3319" t="n">
        <v>0</v>
      </c>
      <c r="J3319" t="n">
        <v>0</v>
      </c>
      <c r="K3319" t="n">
        <v>0</v>
      </c>
      <c r="L3319" t="n">
        <v>0</v>
      </c>
      <c r="M3319" t="n">
        <v>0</v>
      </c>
      <c r="N3319" t="n">
        <v>0</v>
      </c>
      <c r="O3319" t="n">
        <v>0</v>
      </c>
      <c r="P3319" t="n">
        <v>0</v>
      </c>
      <c r="Q3319" t="n">
        <v>0</v>
      </c>
      <c r="R3319" s="2" t="inlineStr"/>
    </row>
    <row r="3320" ht="15" customHeight="1">
      <c r="A3320" t="inlineStr">
        <is>
          <t>A 101-2025</t>
        </is>
      </c>
      <c r="B3320" s="1" t="n">
        <v>45649</v>
      </c>
      <c r="C3320" s="1" t="n">
        <v>45952</v>
      </c>
      <c r="D3320" t="inlineStr">
        <is>
          <t>VÄSTRA GÖTALANDS LÄN</t>
        </is>
      </c>
      <c r="E3320" t="inlineStr">
        <is>
          <t>TANUM</t>
        </is>
      </c>
      <c r="G3320" t="n">
        <v>1.3</v>
      </c>
      <c r="H3320" t="n">
        <v>0</v>
      </c>
      <c r="I3320" t="n">
        <v>0</v>
      </c>
      <c r="J3320" t="n">
        <v>0</v>
      </c>
      <c r="K3320" t="n">
        <v>0</v>
      </c>
      <c r="L3320" t="n">
        <v>0</v>
      </c>
      <c r="M3320" t="n">
        <v>0</v>
      </c>
      <c r="N3320" t="n">
        <v>0</v>
      </c>
      <c r="O3320" t="n">
        <v>0</v>
      </c>
      <c r="P3320" t="n">
        <v>0</v>
      </c>
      <c r="Q3320" t="n">
        <v>0</v>
      </c>
      <c r="R3320" s="2" t="inlineStr"/>
    </row>
    <row r="3321" ht="15" customHeight="1">
      <c r="A3321" t="inlineStr">
        <is>
          <t>A 57959-2022</t>
        </is>
      </c>
      <c r="B3321" s="1" t="n">
        <v>44900.43155092592</v>
      </c>
      <c r="C3321" s="1" t="n">
        <v>45952</v>
      </c>
      <c r="D3321" t="inlineStr">
        <is>
          <t>VÄSTRA GÖTALANDS LÄN</t>
        </is>
      </c>
      <c r="E3321" t="inlineStr">
        <is>
          <t>HERRLJUNGA</t>
        </is>
      </c>
      <c r="G3321" t="n">
        <v>4.8</v>
      </c>
      <c r="H3321" t="n">
        <v>0</v>
      </c>
      <c r="I3321" t="n">
        <v>0</v>
      </c>
      <c r="J3321" t="n">
        <v>0</v>
      </c>
      <c r="K3321" t="n">
        <v>0</v>
      </c>
      <c r="L3321" t="n">
        <v>0</v>
      </c>
      <c r="M3321" t="n">
        <v>0</v>
      </c>
      <c r="N3321" t="n">
        <v>0</v>
      </c>
      <c r="O3321" t="n">
        <v>0</v>
      </c>
      <c r="P3321" t="n">
        <v>0</v>
      </c>
      <c r="Q3321" t="n">
        <v>0</v>
      </c>
      <c r="R3321" s="2" t="inlineStr"/>
    </row>
    <row r="3322" ht="15" customHeight="1">
      <c r="A3322" t="inlineStr">
        <is>
          <t>A 57961-2022</t>
        </is>
      </c>
      <c r="B3322" s="1" t="n">
        <v>44900</v>
      </c>
      <c r="C3322" s="1" t="n">
        <v>45952</v>
      </c>
      <c r="D3322" t="inlineStr">
        <is>
          <t>VÄSTRA GÖTALANDS LÄN</t>
        </is>
      </c>
      <c r="E3322" t="inlineStr">
        <is>
          <t>HERRLJUNGA</t>
        </is>
      </c>
      <c r="G3322" t="n">
        <v>1</v>
      </c>
      <c r="H3322" t="n">
        <v>0</v>
      </c>
      <c r="I3322" t="n">
        <v>0</v>
      </c>
      <c r="J3322" t="n">
        <v>0</v>
      </c>
      <c r="K3322" t="n">
        <v>0</v>
      </c>
      <c r="L3322" t="n">
        <v>0</v>
      </c>
      <c r="M3322" t="n">
        <v>0</v>
      </c>
      <c r="N3322" t="n">
        <v>0</v>
      </c>
      <c r="O3322" t="n">
        <v>0</v>
      </c>
      <c r="P3322" t="n">
        <v>0</v>
      </c>
      <c r="Q3322" t="n">
        <v>0</v>
      </c>
      <c r="R3322" s="2" t="inlineStr"/>
    </row>
    <row r="3323" ht="15" customHeight="1">
      <c r="A3323" t="inlineStr">
        <is>
          <t>A 57962-2022</t>
        </is>
      </c>
      <c r="B3323" s="1" t="n">
        <v>44900.43293981482</v>
      </c>
      <c r="C3323" s="1" t="n">
        <v>45952</v>
      </c>
      <c r="D3323" t="inlineStr">
        <is>
          <t>VÄSTRA GÖTALANDS LÄN</t>
        </is>
      </c>
      <c r="E3323" t="inlineStr">
        <is>
          <t>TIDAHOLM</t>
        </is>
      </c>
      <c r="F3323" t="inlineStr">
        <is>
          <t>Sveaskog</t>
        </is>
      </c>
      <c r="G3323" t="n">
        <v>2.9</v>
      </c>
      <c r="H3323" t="n">
        <v>0</v>
      </c>
      <c r="I3323" t="n">
        <v>0</v>
      </c>
      <c r="J3323" t="n">
        <v>0</v>
      </c>
      <c r="K3323" t="n">
        <v>0</v>
      </c>
      <c r="L3323" t="n">
        <v>0</v>
      </c>
      <c r="M3323" t="n">
        <v>0</v>
      </c>
      <c r="N3323" t="n">
        <v>0</v>
      </c>
      <c r="O3323" t="n">
        <v>0</v>
      </c>
      <c r="P3323" t="n">
        <v>0</v>
      </c>
      <c r="Q3323" t="n">
        <v>0</v>
      </c>
      <c r="R3323" s="2" t="inlineStr"/>
    </row>
    <row r="3324" ht="15" customHeight="1">
      <c r="A3324" t="inlineStr">
        <is>
          <t>A 34676-2022</t>
        </is>
      </c>
      <c r="B3324" s="1" t="n">
        <v>44795.48758101852</v>
      </c>
      <c r="C3324" s="1" t="n">
        <v>45952</v>
      </c>
      <c r="D3324" t="inlineStr">
        <is>
          <t>VÄSTRA GÖTALANDS LÄN</t>
        </is>
      </c>
      <c r="E3324" t="inlineStr">
        <is>
          <t>KARLSBORG</t>
        </is>
      </c>
      <c r="F3324" t="inlineStr">
        <is>
          <t>Sveaskog</t>
        </is>
      </c>
      <c r="G3324" t="n">
        <v>0.8</v>
      </c>
      <c r="H3324" t="n">
        <v>0</v>
      </c>
      <c r="I3324" t="n">
        <v>0</v>
      </c>
      <c r="J3324" t="n">
        <v>0</v>
      </c>
      <c r="K3324" t="n">
        <v>0</v>
      </c>
      <c r="L3324" t="n">
        <v>0</v>
      </c>
      <c r="M3324" t="n">
        <v>0</v>
      </c>
      <c r="N3324" t="n">
        <v>0</v>
      </c>
      <c r="O3324" t="n">
        <v>0</v>
      </c>
      <c r="P3324" t="n">
        <v>0</v>
      </c>
      <c r="Q3324" t="n">
        <v>0</v>
      </c>
      <c r="R3324" s="2" t="inlineStr"/>
    </row>
    <row r="3325" ht="15" customHeight="1">
      <c r="A3325" t="inlineStr">
        <is>
          <t>A 34684-2022</t>
        </is>
      </c>
      <c r="B3325" s="1" t="n">
        <v>44795.51157407407</v>
      </c>
      <c r="C3325" s="1" t="n">
        <v>45952</v>
      </c>
      <c r="D3325" t="inlineStr">
        <is>
          <t>VÄSTRA GÖTALANDS LÄN</t>
        </is>
      </c>
      <c r="E3325" t="inlineStr">
        <is>
          <t>ALINGSÅS</t>
        </is>
      </c>
      <c r="G3325" t="n">
        <v>0.1</v>
      </c>
      <c r="H3325" t="n">
        <v>0</v>
      </c>
      <c r="I3325" t="n">
        <v>0</v>
      </c>
      <c r="J3325" t="n">
        <v>0</v>
      </c>
      <c r="K3325" t="n">
        <v>0</v>
      </c>
      <c r="L3325" t="n">
        <v>0</v>
      </c>
      <c r="M3325" t="n">
        <v>0</v>
      </c>
      <c r="N3325" t="n">
        <v>0</v>
      </c>
      <c r="O3325" t="n">
        <v>0</v>
      </c>
      <c r="P3325" t="n">
        <v>0</v>
      </c>
      <c r="Q3325" t="n">
        <v>0</v>
      </c>
      <c r="R3325" s="2" t="inlineStr"/>
    </row>
    <row r="3326" ht="15" customHeight="1">
      <c r="A3326" t="inlineStr">
        <is>
          <t>A 48904-2024</t>
        </is>
      </c>
      <c r="B3326" s="1" t="n">
        <v>45594.35560185185</v>
      </c>
      <c r="C3326" s="1" t="n">
        <v>45952</v>
      </c>
      <c r="D3326" t="inlineStr">
        <is>
          <t>VÄSTRA GÖTALANDS LÄN</t>
        </is>
      </c>
      <c r="E3326" t="inlineStr">
        <is>
          <t>LILLA EDET</t>
        </is>
      </c>
      <c r="G3326" t="n">
        <v>3.9</v>
      </c>
      <c r="H3326" t="n">
        <v>0</v>
      </c>
      <c r="I3326" t="n">
        <v>0</v>
      </c>
      <c r="J3326" t="n">
        <v>0</v>
      </c>
      <c r="K3326" t="n">
        <v>0</v>
      </c>
      <c r="L3326" t="n">
        <v>0</v>
      </c>
      <c r="M3326" t="n">
        <v>0</v>
      </c>
      <c r="N3326" t="n">
        <v>0</v>
      </c>
      <c r="O3326" t="n">
        <v>0</v>
      </c>
      <c r="P3326" t="n">
        <v>0</v>
      </c>
      <c r="Q3326" t="n">
        <v>0</v>
      </c>
      <c r="R3326" s="2" t="inlineStr"/>
    </row>
    <row r="3327" ht="15" customHeight="1">
      <c r="A3327" t="inlineStr">
        <is>
          <t>A 22050-2023</t>
        </is>
      </c>
      <c r="B3327" s="1" t="n">
        <v>45069</v>
      </c>
      <c r="C3327" s="1" t="n">
        <v>45952</v>
      </c>
      <c r="D3327" t="inlineStr">
        <is>
          <t>VÄSTRA GÖTALANDS LÄN</t>
        </is>
      </c>
      <c r="E3327" t="inlineStr">
        <is>
          <t>HJO</t>
        </is>
      </c>
      <c r="F3327" t="inlineStr">
        <is>
          <t>Sveaskog</t>
        </is>
      </c>
      <c r="G3327" t="n">
        <v>2.6</v>
      </c>
      <c r="H3327" t="n">
        <v>0</v>
      </c>
      <c r="I3327" t="n">
        <v>0</v>
      </c>
      <c r="J3327" t="n">
        <v>0</v>
      </c>
      <c r="K3327" t="n">
        <v>0</v>
      </c>
      <c r="L3327" t="n">
        <v>0</v>
      </c>
      <c r="M3327" t="n">
        <v>0</v>
      </c>
      <c r="N3327" t="n">
        <v>0</v>
      </c>
      <c r="O3327" t="n">
        <v>0</v>
      </c>
      <c r="P3327" t="n">
        <v>0</v>
      </c>
      <c r="Q3327" t="n">
        <v>0</v>
      </c>
      <c r="R3327" s="2" t="inlineStr"/>
    </row>
    <row r="3328" ht="15" customHeight="1">
      <c r="A3328" t="inlineStr">
        <is>
          <t>A 41457-2023</t>
        </is>
      </c>
      <c r="B3328" s="1" t="n">
        <v>45175</v>
      </c>
      <c r="C3328" s="1" t="n">
        <v>45952</v>
      </c>
      <c r="D3328" t="inlineStr">
        <is>
          <t>VÄSTRA GÖTALANDS LÄN</t>
        </is>
      </c>
      <c r="E3328" t="inlineStr">
        <is>
          <t>HÄRRYDA</t>
        </is>
      </c>
      <c r="G3328" t="n">
        <v>0.7</v>
      </c>
      <c r="H3328" t="n">
        <v>0</v>
      </c>
      <c r="I3328" t="n">
        <v>0</v>
      </c>
      <c r="J3328" t="n">
        <v>0</v>
      </c>
      <c r="K3328" t="n">
        <v>0</v>
      </c>
      <c r="L3328" t="n">
        <v>0</v>
      </c>
      <c r="M3328" t="n">
        <v>0</v>
      </c>
      <c r="N3328" t="n">
        <v>0</v>
      </c>
      <c r="O3328" t="n">
        <v>0</v>
      </c>
      <c r="P3328" t="n">
        <v>0</v>
      </c>
      <c r="Q3328" t="n">
        <v>0</v>
      </c>
      <c r="R3328" s="2" t="inlineStr"/>
    </row>
    <row r="3329" ht="15" customHeight="1">
      <c r="A3329" t="inlineStr">
        <is>
          <t>A 60433-2024</t>
        </is>
      </c>
      <c r="B3329" s="1" t="n">
        <v>45643.57449074074</v>
      </c>
      <c r="C3329" s="1" t="n">
        <v>45952</v>
      </c>
      <c r="D3329" t="inlineStr">
        <is>
          <t>VÄSTRA GÖTALANDS LÄN</t>
        </is>
      </c>
      <c r="E3329" t="inlineStr">
        <is>
          <t>TÖREBODA</t>
        </is>
      </c>
      <c r="G3329" t="n">
        <v>1</v>
      </c>
      <c r="H3329" t="n">
        <v>0</v>
      </c>
      <c r="I3329" t="n">
        <v>0</v>
      </c>
      <c r="J3329" t="n">
        <v>0</v>
      </c>
      <c r="K3329" t="n">
        <v>0</v>
      </c>
      <c r="L3329" t="n">
        <v>0</v>
      </c>
      <c r="M3329" t="n">
        <v>0</v>
      </c>
      <c r="N3329" t="n">
        <v>0</v>
      </c>
      <c r="O3329" t="n">
        <v>0</v>
      </c>
      <c r="P3329" t="n">
        <v>0</v>
      </c>
      <c r="Q3329" t="n">
        <v>0</v>
      </c>
      <c r="R3329" s="2" t="inlineStr"/>
    </row>
    <row r="3330" ht="15" customHeight="1">
      <c r="A3330" t="inlineStr">
        <is>
          <t>A 34120-2024</t>
        </is>
      </c>
      <c r="B3330" s="1" t="n">
        <v>45524.30751157407</v>
      </c>
      <c r="C3330" s="1" t="n">
        <v>45952</v>
      </c>
      <c r="D3330" t="inlineStr">
        <is>
          <t>VÄSTRA GÖTALANDS LÄN</t>
        </is>
      </c>
      <c r="E3330" t="inlineStr">
        <is>
          <t>KARLSBORG</t>
        </is>
      </c>
      <c r="F3330" t="inlineStr">
        <is>
          <t>Övriga Aktiebolag</t>
        </is>
      </c>
      <c r="G3330" t="n">
        <v>0.7</v>
      </c>
      <c r="H3330" t="n">
        <v>0</v>
      </c>
      <c r="I3330" t="n">
        <v>0</v>
      </c>
      <c r="J3330" t="n">
        <v>0</v>
      </c>
      <c r="K3330" t="n">
        <v>0</v>
      </c>
      <c r="L3330" t="n">
        <v>0</v>
      </c>
      <c r="M3330" t="n">
        <v>0</v>
      </c>
      <c r="N3330" t="n">
        <v>0</v>
      </c>
      <c r="O3330" t="n">
        <v>0</v>
      </c>
      <c r="P3330" t="n">
        <v>0</v>
      </c>
      <c r="Q3330" t="n">
        <v>0</v>
      </c>
      <c r="R3330" s="2" t="inlineStr"/>
    </row>
    <row r="3331" ht="15" customHeight="1">
      <c r="A3331" t="inlineStr">
        <is>
          <t>A 34123-2024</t>
        </is>
      </c>
      <c r="B3331" s="1" t="n">
        <v>45524</v>
      </c>
      <c r="C3331" s="1" t="n">
        <v>45952</v>
      </c>
      <c r="D3331" t="inlineStr">
        <is>
          <t>VÄSTRA GÖTALANDS LÄN</t>
        </is>
      </c>
      <c r="E3331" t="inlineStr">
        <is>
          <t>KARLSBORG</t>
        </is>
      </c>
      <c r="F3331" t="inlineStr">
        <is>
          <t>Övriga Aktiebolag</t>
        </is>
      </c>
      <c r="G3331" t="n">
        <v>1.8</v>
      </c>
      <c r="H3331" t="n">
        <v>0</v>
      </c>
      <c r="I3331" t="n">
        <v>0</v>
      </c>
      <c r="J3331" t="n">
        <v>0</v>
      </c>
      <c r="K3331" t="n">
        <v>0</v>
      </c>
      <c r="L3331" t="n">
        <v>0</v>
      </c>
      <c r="M3331" t="n">
        <v>0</v>
      </c>
      <c r="N3331" t="n">
        <v>0</v>
      </c>
      <c r="O3331" t="n">
        <v>0</v>
      </c>
      <c r="P3331" t="n">
        <v>0</v>
      </c>
      <c r="Q3331" t="n">
        <v>0</v>
      </c>
      <c r="R3331" s="2" t="inlineStr"/>
    </row>
    <row r="3332" ht="15" customHeight="1">
      <c r="A3332" t="inlineStr">
        <is>
          <t>A 40940-2022</t>
        </is>
      </c>
      <c r="B3332" s="1" t="n">
        <v>44823</v>
      </c>
      <c r="C3332" s="1" t="n">
        <v>45952</v>
      </c>
      <c r="D3332" t="inlineStr">
        <is>
          <t>VÄSTRA GÖTALANDS LÄN</t>
        </is>
      </c>
      <c r="E3332" t="inlineStr">
        <is>
          <t>MUNKEDAL</t>
        </is>
      </c>
      <c r="G3332" t="n">
        <v>1.2</v>
      </c>
      <c r="H3332" t="n">
        <v>0</v>
      </c>
      <c r="I3332" t="n">
        <v>0</v>
      </c>
      <c r="J3332" t="n">
        <v>0</v>
      </c>
      <c r="K3332" t="n">
        <v>0</v>
      </c>
      <c r="L3332" t="n">
        <v>0</v>
      </c>
      <c r="M3332" t="n">
        <v>0</v>
      </c>
      <c r="N3332" t="n">
        <v>0</v>
      </c>
      <c r="O3332" t="n">
        <v>0</v>
      </c>
      <c r="P3332" t="n">
        <v>0</v>
      </c>
      <c r="Q3332" t="n">
        <v>0</v>
      </c>
      <c r="R3332" s="2" t="inlineStr"/>
    </row>
    <row r="3333" ht="15" customHeight="1">
      <c r="A3333" t="inlineStr">
        <is>
          <t>A 11414-2022</t>
        </is>
      </c>
      <c r="B3333" s="1" t="n">
        <v>44630</v>
      </c>
      <c r="C3333" s="1" t="n">
        <v>45952</v>
      </c>
      <c r="D3333" t="inlineStr">
        <is>
          <t>VÄSTRA GÖTALANDS LÄN</t>
        </is>
      </c>
      <c r="E3333" t="inlineStr">
        <is>
          <t>MARK</t>
        </is>
      </c>
      <c r="F3333" t="inlineStr">
        <is>
          <t>Sveaskog</t>
        </is>
      </c>
      <c r="G3333" t="n">
        <v>4</v>
      </c>
      <c r="H3333" t="n">
        <v>0</v>
      </c>
      <c r="I3333" t="n">
        <v>0</v>
      </c>
      <c r="J3333" t="n">
        <v>0</v>
      </c>
      <c r="K3333" t="n">
        <v>0</v>
      </c>
      <c r="L3333" t="n">
        <v>0</v>
      </c>
      <c r="M3333" t="n">
        <v>0</v>
      </c>
      <c r="N3333" t="n">
        <v>0</v>
      </c>
      <c r="O3333" t="n">
        <v>0</v>
      </c>
      <c r="P3333" t="n">
        <v>0</v>
      </c>
      <c r="Q3333" t="n">
        <v>0</v>
      </c>
      <c r="R3333" s="2" t="inlineStr"/>
    </row>
    <row r="3334" ht="15" customHeight="1">
      <c r="A3334" t="inlineStr">
        <is>
          <t>A 64350-2023</t>
        </is>
      </c>
      <c r="B3334" s="1" t="n">
        <v>45280</v>
      </c>
      <c r="C3334" s="1" t="n">
        <v>45952</v>
      </c>
      <c r="D3334" t="inlineStr">
        <is>
          <t>VÄSTRA GÖTALANDS LÄN</t>
        </is>
      </c>
      <c r="E3334" t="inlineStr">
        <is>
          <t>GULLSPÅNG</t>
        </is>
      </c>
      <c r="G3334" t="n">
        <v>3.9</v>
      </c>
      <c r="H3334" t="n">
        <v>0</v>
      </c>
      <c r="I3334" t="n">
        <v>0</v>
      </c>
      <c r="J3334" t="n">
        <v>0</v>
      </c>
      <c r="K3334" t="n">
        <v>0</v>
      </c>
      <c r="L3334" t="n">
        <v>0</v>
      </c>
      <c r="M3334" t="n">
        <v>0</v>
      </c>
      <c r="N3334" t="n">
        <v>0</v>
      </c>
      <c r="O3334" t="n">
        <v>0</v>
      </c>
      <c r="P3334" t="n">
        <v>0</v>
      </c>
      <c r="Q3334" t="n">
        <v>0</v>
      </c>
      <c r="R3334" s="2" t="inlineStr"/>
    </row>
    <row r="3335" ht="15" customHeight="1">
      <c r="A3335" t="inlineStr">
        <is>
          <t>A 27039-2022</t>
        </is>
      </c>
      <c r="B3335" s="1" t="n">
        <v>44740</v>
      </c>
      <c r="C3335" s="1" t="n">
        <v>45952</v>
      </c>
      <c r="D3335" t="inlineStr">
        <is>
          <t>VÄSTRA GÖTALANDS LÄN</t>
        </is>
      </c>
      <c r="E3335" t="inlineStr">
        <is>
          <t>BORÅS</t>
        </is>
      </c>
      <c r="G3335" t="n">
        <v>2.2</v>
      </c>
      <c r="H3335" t="n">
        <v>0</v>
      </c>
      <c r="I3335" t="n">
        <v>0</v>
      </c>
      <c r="J3335" t="n">
        <v>0</v>
      </c>
      <c r="K3335" t="n">
        <v>0</v>
      </c>
      <c r="L3335" t="n">
        <v>0</v>
      </c>
      <c r="M3335" t="n">
        <v>0</v>
      </c>
      <c r="N3335" t="n">
        <v>0</v>
      </c>
      <c r="O3335" t="n">
        <v>0</v>
      </c>
      <c r="P3335" t="n">
        <v>0</v>
      </c>
      <c r="Q3335" t="n">
        <v>0</v>
      </c>
      <c r="R3335" s="2" t="inlineStr"/>
    </row>
    <row r="3336" ht="15" customHeight="1">
      <c r="A3336" t="inlineStr">
        <is>
          <t>A 21240-2023</t>
        </is>
      </c>
      <c r="B3336" s="1" t="n">
        <v>45058</v>
      </c>
      <c r="C3336" s="1" t="n">
        <v>45952</v>
      </c>
      <c r="D3336" t="inlineStr">
        <is>
          <t>VÄSTRA GÖTALANDS LÄN</t>
        </is>
      </c>
      <c r="E3336" t="inlineStr">
        <is>
          <t>KUNGÄLV</t>
        </is>
      </c>
      <c r="G3336" t="n">
        <v>2.3</v>
      </c>
      <c r="H3336" t="n">
        <v>0</v>
      </c>
      <c r="I3336" t="n">
        <v>0</v>
      </c>
      <c r="J3336" t="n">
        <v>0</v>
      </c>
      <c r="K3336" t="n">
        <v>0</v>
      </c>
      <c r="L3336" t="n">
        <v>0</v>
      </c>
      <c r="M3336" t="n">
        <v>0</v>
      </c>
      <c r="N3336" t="n">
        <v>0</v>
      </c>
      <c r="O3336" t="n">
        <v>0</v>
      </c>
      <c r="P3336" t="n">
        <v>0</v>
      </c>
      <c r="Q3336" t="n">
        <v>0</v>
      </c>
      <c r="R3336" s="2" t="inlineStr"/>
    </row>
    <row r="3337" ht="15" customHeight="1">
      <c r="A3337" t="inlineStr">
        <is>
          <t>A 21290-2023</t>
        </is>
      </c>
      <c r="B3337" s="1" t="n">
        <v>45062.64560185185</v>
      </c>
      <c r="C3337" s="1" t="n">
        <v>45952</v>
      </c>
      <c r="D3337" t="inlineStr">
        <is>
          <t>VÄSTRA GÖTALANDS LÄN</t>
        </is>
      </c>
      <c r="E3337" t="inlineStr">
        <is>
          <t>DALS-ED</t>
        </is>
      </c>
      <c r="G3337" t="n">
        <v>0.7</v>
      </c>
      <c r="H3337" t="n">
        <v>0</v>
      </c>
      <c r="I3337" t="n">
        <v>0</v>
      </c>
      <c r="J3337" t="n">
        <v>0</v>
      </c>
      <c r="K3337" t="n">
        <v>0</v>
      </c>
      <c r="L3337" t="n">
        <v>0</v>
      </c>
      <c r="M3337" t="n">
        <v>0</v>
      </c>
      <c r="N3337" t="n">
        <v>0</v>
      </c>
      <c r="O3337" t="n">
        <v>0</v>
      </c>
      <c r="P3337" t="n">
        <v>0</v>
      </c>
      <c r="Q3337" t="n">
        <v>0</v>
      </c>
      <c r="R3337" s="2" t="inlineStr"/>
    </row>
    <row r="3338" ht="15" customHeight="1">
      <c r="A3338" t="inlineStr">
        <is>
          <t>A 36888-2021</t>
        </is>
      </c>
      <c r="B3338" s="1" t="n">
        <v>44393</v>
      </c>
      <c r="C3338" s="1" t="n">
        <v>45952</v>
      </c>
      <c r="D3338" t="inlineStr">
        <is>
          <t>VÄSTRA GÖTALANDS LÄN</t>
        </is>
      </c>
      <c r="E3338" t="inlineStr">
        <is>
          <t>ULRICEHAMN</t>
        </is>
      </c>
      <c r="G3338" t="n">
        <v>2.1</v>
      </c>
      <c r="H3338" t="n">
        <v>0</v>
      </c>
      <c r="I3338" t="n">
        <v>0</v>
      </c>
      <c r="J3338" t="n">
        <v>0</v>
      </c>
      <c r="K3338" t="n">
        <v>0</v>
      </c>
      <c r="L3338" t="n">
        <v>0</v>
      </c>
      <c r="M3338" t="n">
        <v>0</v>
      </c>
      <c r="N3338" t="n">
        <v>0</v>
      </c>
      <c r="O3338" t="n">
        <v>0</v>
      </c>
      <c r="P3338" t="n">
        <v>0</v>
      </c>
      <c r="Q3338" t="n">
        <v>0</v>
      </c>
      <c r="R3338" s="2" t="inlineStr"/>
    </row>
    <row r="3339" ht="15" customHeight="1">
      <c r="A3339" t="inlineStr">
        <is>
          <t>A 20210-2022</t>
        </is>
      </c>
      <c r="B3339" s="1" t="n">
        <v>44698</v>
      </c>
      <c r="C3339" s="1" t="n">
        <v>45952</v>
      </c>
      <c r="D3339" t="inlineStr">
        <is>
          <t>VÄSTRA GÖTALANDS LÄN</t>
        </is>
      </c>
      <c r="E3339" t="inlineStr">
        <is>
          <t>TÖREBODA</t>
        </is>
      </c>
      <c r="G3339" t="n">
        <v>1.8</v>
      </c>
      <c r="H3339" t="n">
        <v>0</v>
      </c>
      <c r="I3339" t="n">
        <v>0</v>
      </c>
      <c r="J3339" t="n">
        <v>0</v>
      </c>
      <c r="K3339" t="n">
        <v>0</v>
      </c>
      <c r="L3339" t="n">
        <v>0</v>
      </c>
      <c r="M3339" t="n">
        <v>0</v>
      </c>
      <c r="N3339" t="n">
        <v>0</v>
      </c>
      <c r="O3339" t="n">
        <v>0</v>
      </c>
      <c r="P3339" t="n">
        <v>0</v>
      </c>
      <c r="Q3339" t="n">
        <v>0</v>
      </c>
      <c r="R3339" s="2" t="inlineStr"/>
    </row>
    <row r="3340" ht="15" customHeight="1">
      <c r="A3340" t="inlineStr">
        <is>
          <t>A 40173-2021</t>
        </is>
      </c>
      <c r="B3340" s="1" t="n">
        <v>44418.68386574074</v>
      </c>
      <c r="C3340" s="1" t="n">
        <v>45952</v>
      </c>
      <c r="D3340" t="inlineStr">
        <is>
          <t>VÄSTRA GÖTALANDS LÄN</t>
        </is>
      </c>
      <c r="E3340" t="inlineStr">
        <is>
          <t>FALKÖPING</t>
        </is>
      </c>
      <c r="G3340" t="n">
        <v>1.2</v>
      </c>
      <c r="H3340" t="n">
        <v>0</v>
      </c>
      <c r="I3340" t="n">
        <v>0</v>
      </c>
      <c r="J3340" t="n">
        <v>0</v>
      </c>
      <c r="K3340" t="n">
        <v>0</v>
      </c>
      <c r="L3340" t="n">
        <v>0</v>
      </c>
      <c r="M3340" t="n">
        <v>0</v>
      </c>
      <c r="N3340" t="n">
        <v>0</v>
      </c>
      <c r="O3340" t="n">
        <v>0</v>
      </c>
      <c r="P3340" t="n">
        <v>0</v>
      </c>
      <c r="Q3340" t="n">
        <v>0</v>
      </c>
      <c r="R3340" s="2" t="inlineStr"/>
    </row>
    <row r="3341" ht="15" customHeight="1">
      <c r="A3341" t="inlineStr">
        <is>
          <t>A 33654-2022</t>
        </is>
      </c>
      <c r="B3341" s="1" t="n">
        <v>44789</v>
      </c>
      <c r="C3341" s="1" t="n">
        <v>45952</v>
      </c>
      <c r="D3341" t="inlineStr">
        <is>
          <t>VÄSTRA GÖTALANDS LÄN</t>
        </is>
      </c>
      <c r="E3341" t="inlineStr">
        <is>
          <t>LIDKÖPING</t>
        </is>
      </c>
      <c r="G3341" t="n">
        <v>0.8</v>
      </c>
      <c r="H3341" t="n">
        <v>0</v>
      </c>
      <c r="I3341" t="n">
        <v>0</v>
      </c>
      <c r="J3341" t="n">
        <v>0</v>
      </c>
      <c r="K3341" t="n">
        <v>0</v>
      </c>
      <c r="L3341" t="n">
        <v>0</v>
      </c>
      <c r="M3341" t="n">
        <v>0</v>
      </c>
      <c r="N3341" t="n">
        <v>0</v>
      </c>
      <c r="O3341" t="n">
        <v>0</v>
      </c>
      <c r="P3341" t="n">
        <v>0</v>
      </c>
      <c r="Q3341" t="n">
        <v>0</v>
      </c>
      <c r="R3341" s="2" t="inlineStr"/>
    </row>
    <row r="3342" ht="15" customHeight="1">
      <c r="A3342" t="inlineStr">
        <is>
          <t>A 9273-2022</t>
        </is>
      </c>
      <c r="B3342" s="1" t="n">
        <v>44616</v>
      </c>
      <c r="C3342" s="1" t="n">
        <v>45952</v>
      </c>
      <c r="D3342" t="inlineStr">
        <is>
          <t>VÄSTRA GÖTALANDS LÄN</t>
        </is>
      </c>
      <c r="E3342" t="inlineStr">
        <is>
          <t>STENUNGSUND</t>
        </is>
      </c>
      <c r="G3342" t="n">
        <v>3.9</v>
      </c>
      <c r="H3342" t="n">
        <v>0</v>
      </c>
      <c r="I3342" t="n">
        <v>0</v>
      </c>
      <c r="J3342" t="n">
        <v>0</v>
      </c>
      <c r="K3342" t="n">
        <v>0</v>
      </c>
      <c r="L3342" t="n">
        <v>0</v>
      </c>
      <c r="M3342" t="n">
        <v>0</v>
      </c>
      <c r="N3342" t="n">
        <v>0</v>
      </c>
      <c r="O3342" t="n">
        <v>0</v>
      </c>
      <c r="P3342" t="n">
        <v>0</v>
      </c>
      <c r="Q3342" t="n">
        <v>0</v>
      </c>
      <c r="R3342" s="2" t="inlineStr"/>
    </row>
    <row r="3343" ht="15" customHeight="1">
      <c r="A3343" t="inlineStr">
        <is>
          <t>A 940-2021</t>
        </is>
      </c>
      <c r="B3343" s="1" t="n">
        <v>44204</v>
      </c>
      <c r="C3343" s="1" t="n">
        <v>45952</v>
      </c>
      <c r="D3343" t="inlineStr">
        <is>
          <t>VÄSTRA GÖTALANDS LÄN</t>
        </is>
      </c>
      <c r="E3343" t="inlineStr">
        <is>
          <t>ULRICEHAMN</t>
        </is>
      </c>
      <c r="G3343" t="n">
        <v>1.8</v>
      </c>
      <c r="H3343" t="n">
        <v>0</v>
      </c>
      <c r="I3343" t="n">
        <v>0</v>
      </c>
      <c r="J3343" t="n">
        <v>0</v>
      </c>
      <c r="K3343" t="n">
        <v>0</v>
      </c>
      <c r="L3343" t="n">
        <v>0</v>
      </c>
      <c r="M3343" t="n">
        <v>0</v>
      </c>
      <c r="N3343" t="n">
        <v>0</v>
      </c>
      <c r="O3343" t="n">
        <v>0</v>
      </c>
      <c r="P3343" t="n">
        <v>0</v>
      </c>
      <c r="Q3343" t="n">
        <v>0</v>
      </c>
      <c r="R3343" s="2" t="inlineStr"/>
    </row>
    <row r="3344" ht="15" customHeight="1">
      <c r="A3344" t="inlineStr">
        <is>
          <t>A 56920-2020</t>
        </is>
      </c>
      <c r="B3344" s="1" t="n">
        <v>44138</v>
      </c>
      <c r="C3344" s="1" t="n">
        <v>45952</v>
      </c>
      <c r="D3344" t="inlineStr">
        <is>
          <t>VÄSTRA GÖTALANDS LÄN</t>
        </is>
      </c>
      <c r="E3344" t="inlineStr">
        <is>
          <t>SVENLJUNGA</t>
        </is>
      </c>
      <c r="G3344" t="n">
        <v>2.3</v>
      </c>
      <c r="H3344" t="n">
        <v>0</v>
      </c>
      <c r="I3344" t="n">
        <v>0</v>
      </c>
      <c r="J3344" t="n">
        <v>0</v>
      </c>
      <c r="K3344" t="n">
        <v>0</v>
      </c>
      <c r="L3344" t="n">
        <v>0</v>
      </c>
      <c r="M3344" t="n">
        <v>0</v>
      </c>
      <c r="N3344" t="n">
        <v>0</v>
      </c>
      <c r="O3344" t="n">
        <v>0</v>
      </c>
      <c r="P3344" t="n">
        <v>0</v>
      </c>
      <c r="Q3344" t="n">
        <v>0</v>
      </c>
      <c r="R3344" s="2" t="inlineStr"/>
    </row>
    <row r="3345" ht="15" customHeight="1">
      <c r="A3345" t="inlineStr">
        <is>
          <t>A 53197-2022</t>
        </is>
      </c>
      <c r="B3345" s="1" t="n">
        <v>44876.589375</v>
      </c>
      <c r="C3345" s="1" t="n">
        <v>45952</v>
      </c>
      <c r="D3345" t="inlineStr">
        <is>
          <t>VÄSTRA GÖTALANDS LÄN</t>
        </is>
      </c>
      <c r="E3345" t="inlineStr">
        <is>
          <t>BENGTSFORS</t>
        </is>
      </c>
      <c r="G3345" t="n">
        <v>4.1</v>
      </c>
      <c r="H3345" t="n">
        <v>0</v>
      </c>
      <c r="I3345" t="n">
        <v>0</v>
      </c>
      <c r="J3345" t="n">
        <v>0</v>
      </c>
      <c r="K3345" t="n">
        <v>0</v>
      </c>
      <c r="L3345" t="n">
        <v>0</v>
      </c>
      <c r="M3345" t="n">
        <v>0</v>
      </c>
      <c r="N3345" t="n">
        <v>0</v>
      </c>
      <c r="O3345" t="n">
        <v>0</v>
      </c>
      <c r="P3345" t="n">
        <v>0</v>
      </c>
      <c r="Q3345" t="n">
        <v>0</v>
      </c>
      <c r="R3345" s="2" t="inlineStr"/>
    </row>
    <row r="3346" ht="15" customHeight="1">
      <c r="A3346" t="inlineStr">
        <is>
          <t>A 61391-2021</t>
        </is>
      </c>
      <c r="B3346" s="1" t="n">
        <v>44500.76238425926</v>
      </c>
      <c r="C3346" s="1" t="n">
        <v>45952</v>
      </c>
      <c r="D3346" t="inlineStr">
        <is>
          <t>VÄSTRA GÖTALANDS LÄN</t>
        </is>
      </c>
      <c r="E3346" t="inlineStr">
        <is>
          <t>TRANEMO</t>
        </is>
      </c>
      <c r="G3346" t="n">
        <v>1.3</v>
      </c>
      <c r="H3346" t="n">
        <v>0</v>
      </c>
      <c r="I3346" t="n">
        <v>0</v>
      </c>
      <c r="J3346" t="n">
        <v>0</v>
      </c>
      <c r="K3346" t="n">
        <v>0</v>
      </c>
      <c r="L3346" t="n">
        <v>0</v>
      </c>
      <c r="M3346" t="n">
        <v>0</v>
      </c>
      <c r="N3346" t="n">
        <v>0</v>
      </c>
      <c r="O3346" t="n">
        <v>0</v>
      </c>
      <c r="P3346" t="n">
        <v>0</v>
      </c>
      <c r="Q3346" t="n">
        <v>0</v>
      </c>
      <c r="R3346" s="2" t="inlineStr"/>
    </row>
    <row r="3347" ht="15" customHeight="1">
      <c r="A3347" t="inlineStr">
        <is>
          <t>A 61148-2021</t>
        </is>
      </c>
      <c r="B3347" s="1" t="n">
        <v>44498</v>
      </c>
      <c r="C3347" s="1" t="n">
        <v>45952</v>
      </c>
      <c r="D3347" t="inlineStr">
        <is>
          <t>VÄSTRA GÖTALANDS LÄN</t>
        </is>
      </c>
      <c r="E3347" t="inlineStr">
        <is>
          <t>GÖTENE</t>
        </is>
      </c>
      <c r="G3347" t="n">
        <v>0.3</v>
      </c>
      <c r="H3347" t="n">
        <v>0</v>
      </c>
      <c r="I3347" t="n">
        <v>0</v>
      </c>
      <c r="J3347" t="n">
        <v>0</v>
      </c>
      <c r="K3347" t="n">
        <v>0</v>
      </c>
      <c r="L3347" t="n">
        <v>0</v>
      </c>
      <c r="M3347" t="n">
        <v>0</v>
      </c>
      <c r="N3347" t="n">
        <v>0</v>
      </c>
      <c r="O3347" t="n">
        <v>0</v>
      </c>
      <c r="P3347" t="n">
        <v>0</v>
      </c>
      <c r="Q3347" t="n">
        <v>0</v>
      </c>
      <c r="R3347" s="2" t="inlineStr"/>
    </row>
    <row r="3348" ht="15" customHeight="1">
      <c r="A3348" t="inlineStr">
        <is>
          <t>A 39962-2021</t>
        </is>
      </c>
      <c r="B3348" s="1" t="n">
        <v>44417</v>
      </c>
      <c r="C3348" s="1" t="n">
        <v>45952</v>
      </c>
      <c r="D3348" t="inlineStr">
        <is>
          <t>VÄSTRA GÖTALANDS LÄN</t>
        </is>
      </c>
      <c r="E3348" t="inlineStr">
        <is>
          <t>TANUM</t>
        </is>
      </c>
      <c r="G3348" t="n">
        <v>5.1</v>
      </c>
      <c r="H3348" t="n">
        <v>0</v>
      </c>
      <c r="I3348" t="n">
        <v>0</v>
      </c>
      <c r="J3348" t="n">
        <v>0</v>
      </c>
      <c r="K3348" t="n">
        <v>0</v>
      </c>
      <c r="L3348" t="n">
        <v>0</v>
      </c>
      <c r="M3348" t="n">
        <v>0</v>
      </c>
      <c r="N3348" t="n">
        <v>0</v>
      </c>
      <c r="O3348" t="n">
        <v>0</v>
      </c>
      <c r="P3348" t="n">
        <v>0</v>
      </c>
      <c r="Q3348" t="n">
        <v>0</v>
      </c>
      <c r="R3348" s="2" t="inlineStr"/>
    </row>
    <row r="3349" ht="15" customHeight="1">
      <c r="A3349" t="inlineStr">
        <is>
          <t>A 29499-2021</t>
        </is>
      </c>
      <c r="B3349" s="1" t="n">
        <v>44361</v>
      </c>
      <c r="C3349" s="1" t="n">
        <v>45952</v>
      </c>
      <c r="D3349" t="inlineStr">
        <is>
          <t>VÄSTRA GÖTALANDS LÄN</t>
        </is>
      </c>
      <c r="E3349" t="inlineStr">
        <is>
          <t>TANUM</t>
        </is>
      </c>
      <c r="G3349" t="n">
        <v>3.3</v>
      </c>
      <c r="H3349" t="n">
        <v>0</v>
      </c>
      <c r="I3349" t="n">
        <v>0</v>
      </c>
      <c r="J3349" t="n">
        <v>0</v>
      </c>
      <c r="K3349" t="n">
        <v>0</v>
      </c>
      <c r="L3349" t="n">
        <v>0</v>
      </c>
      <c r="M3349" t="n">
        <v>0</v>
      </c>
      <c r="N3349" t="n">
        <v>0</v>
      </c>
      <c r="O3349" t="n">
        <v>0</v>
      </c>
      <c r="P3349" t="n">
        <v>0</v>
      </c>
      <c r="Q3349" t="n">
        <v>0</v>
      </c>
      <c r="R3349" s="2" t="inlineStr"/>
    </row>
    <row r="3350" ht="15" customHeight="1">
      <c r="A3350" t="inlineStr">
        <is>
          <t>A 61253-2020</t>
        </is>
      </c>
      <c r="B3350" s="1" t="n">
        <v>44155</v>
      </c>
      <c r="C3350" s="1" t="n">
        <v>45952</v>
      </c>
      <c r="D3350" t="inlineStr">
        <is>
          <t>VÄSTRA GÖTALANDS LÄN</t>
        </is>
      </c>
      <c r="E3350" t="inlineStr">
        <is>
          <t>FALKÖPING</t>
        </is>
      </c>
      <c r="G3350" t="n">
        <v>1.5</v>
      </c>
      <c r="H3350" t="n">
        <v>0</v>
      </c>
      <c r="I3350" t="n">
        <v>0</v>
      </c>
      <c r="J3350" t="n">
        <v>0</v>
      </c>
      <c r="K3350" t="n">
        <v>0</v>
      </c>
      <c r="L3350" t="n">
        <v>0</v>
      </c>
      <c r="M3350" t="n">
        <v>0</v>
      </c>
      <c r="N3350" t="n">
        <v>0</v>
      </c>
      <c r="O3350" t="n">
        <v>0</v>
      </c>
      <c r="P3350" t="n">
        <v>0</v>
      </c>
      <c r="Q3350" t="n">
        <v>0</v>
      </c>
      <c r="R3350" s="2" t="inlineStr"/>
    </row>
    <row r="3351" ht="15" customHeight="1">
      <c r="A3351" t="inlineStr">
        <is>
          <t>A 7748-2021</t>
        </is>
      </c>
      <c r="B3351" s="1" t="n">
        <v>44242</v>
      </c>
      <c r="C3351" s="1" t="n">
        <v>45952</v>
      </c>
      <c r="D3351" t="inlineStr">
        <is>
          <t>VÄSTRA GÖTALANDS LÄN</t>
        </is>
      </c>
      <c r="E3351" t="inlineStr">
        <is>
          <t>TANUM</t>
        </is>
      </c>
      <c r="G3351" t="n">
        <v>3.4</v>
      </c>
      <c r="H3351" t="n">
        <v>0</v>
      </c>
      <c r="I3351" t="n">
        <v>0</v>
      </c>
      <c r="J3351" t="n">
        <v>0</v>
      </c>
      <c r="K3351" t="n">
        <v>0</v>
      </c>
      <c r="L3351" t="n">
        <v>0</v>
      </c>
      <c r="M3351" t="n">
        <v>0</v>
      </c>
      <c r="N3351" t="n">
        <v>0</v>
      </c>
      <c r="O3351" t="n">
        <v>0</v>
      </c>
      <c r="P3351" t="n">
        <v>0</v>
      </c>
      <c r="Q3351" t="n">
        <v>0</v>
      </c>
      <c r="R3351" s="2" t="inlineStr"/>
    </row>
    <row r="3352" ht="15" customHeight="1">
      <c r="A3352" t="inlineStr">
        <is>
          <t>A 47702-2024</t>
        </is>
      </c>
      <c r="B3352" s="1" t="n">
        <v>45588.46540509259</v>
      </c>
      <c r="C3352" s="1" t="n">
        <v>45952</v>
      </c>
      <c r="D3352" t="inlineStr">
        <is>
          <t>VÄSTRA GÖTALANDS LÄN</t>
        </is>
      </c>
      <c r="E3352" t="inlineStr">
        <is>
          <t>ÅMÅL</t>
        </is>
      </c>
      <c r="G3352" t="n">
        <v>2.4</v>
      </c>
      <c r="H3352" t="n">
        <v>0</v>
      </c>
      <c r="I3352" t="n">
        <v>0</v>
      </c>
      <c r="J3352" t="n">
        <v>0</v>
      </c>
      <c r="K3352" t="n">
        <v>0</v>
      </c>
      <c r="L3352" t="n">
        <v>0</v>
      </c>
      <c r="M3352" t="n">
        <v>0</v>
      </c>
      <c r="N3352" t="n">
        <v>0</v>
      </c>
      <c r="O3352" t="n">
        <v>0</v>
      </c>
      <c r="P3352" t="n">
        <v>0</v>
      </c>
      <c r="Q3352" t="n">
        <v>0</v>
      </c>
      <c r="R3352" s="2" t="inlineStr"/>
    </row>
    <row r="3353" ht="15" customHeight="1">
      <c r="A3353" t="inlineStr">
        <is>
          <t>A 59166-2021</t>
        </is>
      </c>
      <c r="B3353" s="1" t="n">
        <v>44490</v>
      </c>
      <c r="C3353" s="1" t="n">
        <v>45952</v>
      </c>
      <c r="D3353" t="inlineStr">
        <is>
          <t>VÄSTRA GÖTALANDS LÄN</t>
        </is>
      </c>
      <c r="E3353" t="inlineStr">
        <is>
          <t>TANUM</t>
        </is>
      </c>
      <c r="G3353" t="n">
        <v>2</v>
      </c>
      <c r="H3353" t="n">
        <v>0</v>
      </c>
      <c r="I3353" t="n">
        <v>0</v>
      </c>
      <c r="J3353" t="n">
        <v>0</v>
      </c>
      <c r="K3353" t="n">
        <v>0</v>
      </c>
      <c r="L3353" t="n">
        <v>0</v>
      </c>
      <c r="M3353" t="n">
        <v>0</v>
      </c>
      <c r="N3353" t="n">
        <v>0</v>
      </c>
      <c r="O3353" t="n">
        <v>0</v>
      </c>
      <c r="P3353" t="n">
        <v>0</v>
      </c>
      <c r="Q3353" t="n">
        <v>0</v>
      </c>
      <c r="R3353" s="2" t="inlineStr"/>
    </row>
    <row r="3354" ht="15" customHeight="1">
      <c r="A3354" t="inlineStr">
        <is>
          <t>A 38984-2023</t>
        </is>
      </c>
      <c r="B3354" s="1" t="n">
        <v>45163.65268518519</v>
      </c>
      <c r="C3354" s="1" t="n">
        <v>45952</v>
      </c>
      <c r="D3354" t="inlineStr">
        <is>
          <t>VÄSTRA GÖTALANDS LÄN</t>
        </is>
      </c>
      <c r="E3354" t="inlineStr">
        <is>
          <t>ULRICEHAMN</t>
        </is>
      </c>
      <c r="G3354" t="n">
        <v>4.5</v>
      </c>
      <c r="H3354" t="n">
        <v>0</v>
      </c>
      <c r="I3354" t="n">
        <v>0</v>
      </c>
      <c r="J3354" t="n">
        <v>0</v>
      </c>
      <c r="K3354" t="n">
        <v>0</v>
      </c>
      <c r="L3354" t="n">
        <v>0</v>
      </c>
      <c r="M3354" t="n">
        <v>0</v>
      </c>
      <c r="N3354" t="n">
        <v>0</v>
      </c>
      <c r="O3354" t="n">
        <v>0</v>
      </c>
      <c r="P3354" t="n">
        <v>0</v>
      </c>
      <c r="Q3354" t="n">
        <v>0</v>
      </c>
      <c r="R3354" s="2" t="inlineStr"/>
    </row>
    <row r="3355" ht="15" customHeight="1">
      <c r="A3355" t="inlineStr">
        <is>
          <t>A 7933-2022</t>
        </is>
      </c>
      <c r="B3355" s="1" t="n">
        <v>44608</v>
      </c>
      <c r="C3355" s="1" t="n">
        <v>45952</v>
      </c>
      <c r="D3355" t="inlineStr">
        <is>
          <t>VÄSTRA GÖTALANDS LÄN</t>
        </is>
      </c>
      <c r="E3355" t="inlineStr">
        <is>
          <t>DALS-ED</t>
        </is>
      </c>
      <c r="G3355" t="n">
        <v>5.2</v>
      </c>
      <c r="H3355" t="n">
        <v>0</v>
      </c>
      <c r="I3355" t="n">
        <v>0</v>
      </c>
      <c r="J3355" t="n">
        <v>0</v>
      </c>
      <c r="K3355" t="n">
        <v>0</v>
      </c>
      <c r="L3355" t="n">
        <v>0</v>
      </c>
      <c r="M3355" t="n">
        <v>0</v>
      </c>
      <c r="N3355" t="n">
        <v>0</v>
      </c>
      <c r="O3355" t="n">
        <v>0</v>
      </c>
      <c r="P3355" t="n">
        <v>0</v>
      </c>
      <c r="Q3355" t="n">
        <v>0</v>
      </c>
      <c r="R3355" s="2" t="inlineStr"/>
    </row>
    <row r="3356" ht="15" customHeight="1">
      <c r="A3356" t="inlineStr">
        <is>
          <t>A 5530-2021</t>
        </is>
      </c>
      <c r="B3356" s="1" t="n">
        <v>44230</v>
      </c>
      <c r="C3356" s="1" t="n">
        <v>45952</v>
      </c>
      <c r="D3356" t="inlineStr">
        <is>
          <t>VÄSTRA GÖTALANDS LÄN</t>
        </is>
      </c>
      <c r="E3356" t="inlineStr">
        <is>
          <t>TÖREBODA</t>
        </is>
      </c>
      <c r="G3356" t="n">
        <v>1.3</v>
      </c>
      <c r="H3356" t="n">
        <v>0</v>
      </c>
      <c r="I3356" t="n">
        <v>0</v>
      </c>
      <c r="J3356" t="n">
        <v>0</v>
      </c>
      <c r="K3356" t="n">
        <v>0</v>
      </c>
      <c r="L3356" t="n">
        <v>0</v>
      </c>
      <c r="M3356" t="n">
        <v>0</v>
      </c>
      <c r="N3356" t="n">
        <v>0</v>
      </c>
      <c r="O3356" t="n">
        <v>0</v>
      </c>
      <c r="P3356" t="n">
        <v>0</v>
      </c>
      <c r="Q3356" t="n">
        <v>0</v>
      </c>
      <c r="R3356" s="2" t="inlineStr"/>
    </row>
    <row r="3357" ht="15" customHeight="1">
      <c r="A3357" t="inlineStr">
        <is>
          <t>A 9726-2021</t>
        </is>
      </c>
      <c r="B3357" s="1" t="n">
        <v>44252</v>
      </c>
      <c r="C3357" s="1" t="n">
        <v>45952</v>
      </c>
      <c r="D3357" t="inlineStr">
        <is>
          <t>VÄSTRA GÖTALANDS LÄN</t>
        </is>
      </c>
      <c r="E3357" t="inlineStr">
        <is>
          <t>ALINGSÅS</t>
        </is>
      </c>
      <c r="G3357" t="n">
        <v>3.3</v>
      </c>
      <c r="H3357" t="n">
        <v>0</v>
      </c>
      <c r="I3357" t="n">
        <v>0</v>
      </c>
      <c r="J3357" t="n">
        <v>0</v>
      </c>
      <c r="K3357" t="n">
        <v>0</v>
      </c>
      <c r="L3357" t="n">
        <v>0</v>
      </c>
      <c r="M3357" t="n">
        <v>0</v>
      </c>
      <c r="N3357" t="n">
        <v>0</v>
      </c>
      <c r="O3357" t="n">
        <v>0</v>
      </c>
      <c r="P3357" t="n">
        <v>0</v>
      </c>
      <c r="Q3357" t="n">
        <v>0</v>
      </c>
      <c r="R3357" s="2" t="inlineStr"/>
    </row>
    <row r="3358" ht="15" customHeight="1">
      <c r="A3358" t="inlineStr">
        <is>
          <t>A 29078-2021</t>
        </is>
      </c>
      <c r="B3358" s="1" t="n">
        <v>44358.5559375</v>
      </c>
      <c r="C3358" s="1" t="n">
        <v>45952</v>
      </c>
      <c r="D3358" t="inlineStr">
        <is>
          <t>VÄSTRA GÖTALANDS LÄN</t>
        </is>
      </c>
      <c r="E3358" t="inlineStr">
        <is>
          <t>MUNKEDAL</t>
        </is>
      </c>
      <c r="G3358" t="n">
        <v>0.9</v>
      </c>
      <c r="H3358" t="n">
        <v>0</v>
      </c>
      <c r="I3358" t="n">
        <v>0</v>
      </c>
      <c r="J3358" t="n">
        <v>0</v>
      </c>
      <c r="K3358" t="n">
        <v>0</v>
      </c>
      <c r="L3358" t="n">
        <v>0</v>
      </c>
      <c r="M3358" t="n">
        <v>0</v>
      </c>
      <c r="N3358" t="n">
        <v>0</v>
      </c>
      <c r="O3358" t="n">
        <v>0</v>
      </c>
      <c r="P3358" t="n">
        <v>0</v>
      </c>
      <c r="Q3358" t="n">
        <v>0</v>
      </c>
      <c r="R3358" s="2" t="inlineStr"/>
    </row>
    <row r="3359" ht="15" customHeight="1">
      <c r="A3359" t="inlineStr">
        <is>
          <t>A 54102-2024</t>
        </is>
      </c>
      <c r="B3359" s="1" t="n">
        <v>45616.52491898148</v>
      </c>
      <c r="C3359" s="1" t="n">
        <v>45952</v>
      </c>
      <c r="D3359" t="inlineStr">
        <is>
          <t>VÄSTRA GÖTALANDS LÄN</t>
        </is>
      </c>
      <c r="E3359" t="inlineStr">
        <is>
          <t>FALKÖPING</t>
        </is>
      </c>
      <c r="G3359" t="n">
        <v>3.1</v>
      </c>
      <c r="H3359" t="n">
        <v>0</v>
      </c>
      <c r="I3359" t="n">
        <v>0</v>
      </c>
      <c r="J3359" t="n">
        <v>0</v>
      </c>
      <c r="K3359" t="n">
        <v>0</v>
      </c>
      <c r="L3359" t="n">
        <v>0</v>
      </c>
      <c r="M3359" t="n">
        <v>0</v>
      </c>
      <c r="N3359" t="n">
        <v>0</v>
      </c>
      <c r="O3359" t="n">
        <v>0</v>
      </c>
      <c r="P3359" t="n">
        <v>0</v>
      </c>
      <c r="Q3359" t="n">
        <v>0</v>
      </c>
      <c r="R3359" s="2" t="inlineStr"/>
    </row>
    <row r="3360" ht="15" customHeight="1">
      <c r="A3360" t="inlineStr">
        <is>
          <t>A 48255-2024</t>
        </is>
      </c>
      <c r="B3360" s="1" t="n">
        <v>45590.41381944445</v>
      </c>
      <c r="C3360" s="1" t="n">
        <v>45952</v>
      </c>
      <c r="D3360" t="inlineStr">
        <is>
          <t>VÄSTRA GÖTALANDS LÄN</t>
        </is>
      </c>
      <c r="E3360" t="inlineStr">
        <is>
          <t>MARIESTAD</t>
        </is>
      </c>
      <c r="F3360" t="inlineStr">
        <is>
          <t>Kyrkan</t>
        </is>
      </c>
      <c r="G3360" t="n">
        <v>2.8</v>
      </c>
      <c r="H3360" t="n">
        <v>0</v>
      </c>
      <c r="I3360" t="n">
        <v>0</v>
      </c>
      <c r="J3360" t="n">
        <v>0</v>
      </c>
      <c r="K3360" t="n">
        <v>0</v>
      </c>
      <c r="L3360" t="n">
        <v>0</v>
      </c>
      <c r="M3360" t="n">
        <v>0</v>
      </c>
      <c r="N3360" t="n">
        <v>0</v>
      </c>
      <c r="O3360" t="n">
        <v>0</v>
      </c>
      <c r="P3360" t="n">
        <v>0</v>
      </c>
      <c r="Q3360" t="n">
        <v>0</v>
      </c>
      <c r="R3360" s="2" t="inlineStr"/>
    </row>
    <row r="3361" ht="15" customHeight="1">
      <c r="A3361" t="inlineStr">
        <is>
          <t>A 55417-2020</t>
        </is>
      </c>
      <c r="B3361" s="1" t="n">
        <v>44131.43902777778</v>
      </c>
      <c r="C3361" s="1" t="n">
        <v>45952</v>
      </c>
      <c r="D3361" t="inlineStr">
        <is>
          <t>VÄSTRA GÖTALANDS LÄN</t>
        </is>
      </c>
      <c r="E3361" t="inlineStr">
        <is>
          <t>TANUM</t>
        </is>
      </c>
      <c r="G3361" t="n">
        <v>2.7</v>
      </c>
      <c r="H3361" t="n">
        <v>0</v>
      </c>
      <c r="I3361" t="n">
        <v>0</v>
      </c>
      <c r="J3361" t="n">
        <v>0</v>
      </c>
      <c r="K3361" t="n">
        <v>0</v>
      </c>
      <c r="L3361" t="n">
        <v>0</v>
      </c>
      <c r="M3361" t="n">
        <v>0</v>
      </c>
      <c r="N3361" t="n">
        <v>0</v>
      </c>
      <c r="O3361" t="n">
        <v>0</v>
      </c>
      <c r="P3361" t="n">
        <v>0</v>
      </c>
      <c r="Q3361" t="n">
        <v>0</v>
      </c>
      <c r="R3361" s="2" t="inlineStr"/>
    </row>
    <row r="3362" ht="15" customHeight="1">
      <c r="A3362" t="inlineStr">
        <is>
          <t>A 26319-2023</t>
        </is>
      </c>
      <c r="B3362" s="1" t="n">
        <v>45091</v>
      </c>
      <c r="C3362" s="1" t="n">
        <v>45952</v>
      </c>
      <c r="D3362" t="inlineStr">
        <is>
          <t>VÄSTRA GÖTALANDS LÄN</t>
        </is>
      </c>
      <c r="E3362" t="inlineStr">
        <is>
          <t>FALKÖPING</t>
        </is>
      </c>
      <c r="G3362" t="n">
        <v>1.7</v>
      </c>
      <c r="H3362" t="n">
        <v>0</v>
      </c>
      <c r="I3362" t="n">
        <v>0</v>
      </c>
      <c r="J3362" t="n">
        <v>0</v>
      </c>
      <c r="K3362" t="n">
        <v>0</v>
      </c>
      <c r="L3362" t="n">
        <v>0</v>
      </c>
      <c r="M3362" t="n">
        <v>0</v>
      </c>
      <c r="N3362" t="n">
        <v>0</v>
      </c>
      <c r="O3362" t="n">
        <v>0</v>
      </c>
      <c r="P3362" t="n">
        <v>0</v>
      </c>
      <c r="Q3362" t="n">
        <v>0</v>
      </c>
      <c r="R3362" s="2" t="inlineStr"/>
    </row>
    <row r="3363" ht="15" customHeight="1">
      <c r="A3363" t="inlineStr">
        <is>
          <t>A 26943-2023</t>
        </is>
      </c>
      <c r="B3363" s="1" t="n">
        <v>45093</v>
      </c>
      <c r="C3363" s="1" t="n">
        <v>45952</v>
      </c>
      <c r="D3363" t="inlineStr">
        <is>
          <t>VÄSTRA GÖTALANDS LÄN</t>
        </is>
      </c>
      <c r="E3363" t="inlineStr">
        <is>
          <t>MARK</t>
        </is>
      </c>
      <c r="G3363" t="n">
        <v>0.3</v>
      </c>
      <c r="H3363" t="n">
        <v>0</v>
      </c>
      <c r="I3363" t="n">
        <v>0</v>
      </c>
      <c r="J3363" t="n">
        <v>0</v>
      </c>
      <c r="K3363" t="n">
        <v>0</v>
      </c>
      <c r="L3363" t="n">
        <v>0</v>
      </c>
      <c r="M3363" t="n">
        <v>0</v>
      </c>
      <c r="N3363" t="n">
        <v>0</v>
      </c>
      <c r="O3363" t="n">
        <v>0</v>
      </c>
      <c r="P3363" t="n">
        <v>0</v>
      </c>
      <c r="Q3363" t="n">
        <v>0</v>
      </c>
      <c r="R3363" s="2" t="inlineStr"/>
    </row>
    <row r="3364" ht="15" customHeight="1">
      <c r="A3364" t="inlineStr">
        <is>
          <t>A 34217-2022</t>
        </is>
      </c>
      <c r="B3364" s="1" t="n">
        <v>44791</v>
      </c>
      <c r="C3364" s="1" t="n">
        <v>45952</v>
      </c>
      <c r="D3364" t="inlineStr">
        <is>
          <t>VÄSTRA GÖTALANDS LÄN</t>
        </is>
      </c>
      <c r="E3364" t="inlineStr">
        <is>
          <t>ORUST</t>
        </is>
      </c>
      <c r="G3364" t="n">
        <v>1.5</v>
      </c>
      <c r="H3364" t="n">
        <v>0</v>
      </c>
      <c r="I3364" t="n">
        <v>0</v>
      </c>
      <c r="J3364" t="n">
        <v>0</v>
      </c>
      <c r="K3364" t="n">
        <v>0</v>
      </c>
      <c r="L3364" t="n">
        <v>0</v>
      </c>
      <c r="M3364" t="n">
        <v>0</v>
      </c>
      <c r="N3364" t="n">
        <v>0</v>
      </c>
      <c r="O3364" t="n">
        <v>0</v>
      </c>
      <c r="P3364" t="n">
        <v>0</v>
      </c>
      <c r="Q3364" t="n">
        <v>0</v>
      </c>
      <c r="R3364" s="2" t="inlineStr"/>
    </row>
    <row r="3365" ht="15" customHeight="1">
      <c r="A3365" t="inlineStr">
        <is>
          <t>A 3178-2024</t>
        </is>
      </c>
      <c r="B3365" s="1" t="n">
        <v>45316</v>
      </c>
      <c r="C3365" s="1" t="n">
        <v>45952</v>
      </c>
      <c r="D3365" t="inlineStr">
        <is>
          <t>VÄSTRA GÖTALANDS LÄN</t>
        </is>
      </c>
      <c r="E3365" t="inlineStr">
        <is>
          <t>STRÖMSTAD</t>
        </is>
      </c>
      <c r="F3365" t="inlineStr">
        <is>
          <t>Kommuner</t>
        </is>
      </c>
      <c r="G3365" t="n">
        <v>8.6</v>
      </c>
      <c r="H3365" t="n">
        <v>0</v>
      </c>
      <c r="I3365" t="n">
        <v>0</v>
      </c>
      <c r="J3365" t="n">
        <v>0</v>
      </c>
      <c r="K3365" t="n">
        <v>0</v>
      </c>
      <c r="L3365" t="n">
        <v>0</v>
      </c>
      <c r="M3365" t="n">
        <v>0</v>
      </c>
      <c r="N3365" t="n">
        <v>0</v>
      </c>
      <c r="O3365" t="n">
        <v>0</v>
      </c>
      <c r="P3365" t="n">
        <v>0</v>
      </c>
      <c r="Q3365" t="n">
        <v>0</v>
      </c>
      <c r="R3365" s="2" t="inlineStr"/>
    </row>
    <row r="3366" ht="15" customHeight="1">
      <c r="A3366" t="inlineStr">
        <is>
          <t>A 11023-2023</t>
        </is>
      </c>
      <c r="B3366" s="1" t="n">
        <v>44991.85997685185</v>
      </c>
      <c r="C3366" s="1" t="n">
        <v>45952</v>
      </c>
      <c r="D3366" t="inlineStr">
        <is>
          <t>VÄSTRA GÖTALANDS LÄN</t>
        </is>
      </c>
      <c r="E3366" t="inlineStr">
        <is>
          <t>ALINGSÅS</t>
        </is>
      </c>
      <c r="G3366" t="n">
        <v>1.2</v>
      </c>
      <c r="H3366" t="n">
        <v>0</v>
      </c>
      <c r="I3366" t="n">
        <v>0</v>
      </c>
      <c r="J3366" t="n">
        <v>0</v>
      </c>
      <c r="K3366" t="n">
        <v>0</v>
      </c>
      <c r="L3366" t="n">
        <v>0</v>
      </c>
      <c r="M3366" t="n">
        <v>0</v>
      </c>
      <c r="N3366" t="n">
        <v>0</v>
      </c>
      <c r="O3366" t="n">
        <v>0</v>
      </c>
      <c r="P3366" t="n">
        <v>0</v>
      </c>
      <c r="Q3366" t="n">
        <v>0</v>
      </c>
      <c r="R3366" s="2" t="inlineStr"/>
    </row>
    <row r="3367" ht="15" customHeight="1">
      <c r="A3367" t="inlineStr">
        <is>
          <t>A 9184-2022</t>
        </is>
      </c>
      <c r="B3367" s="1" t="n">
        <v>44615</v>
      </c>
      <c r="C3367" s="1" t="n">
        <v>45952</v>
      </c>
      <c r="D3367" t="inlineStr">
        <is>
          <t>VÄSTRA GÖTALANDS LÄN</t>
        </is>
      </c>
      <c r="E3367" t="inlineStr">
        <is>
          <t>HJO</t>
        </is>
      </c>
      <c r="G3367" t="n">
        <v>2</v>
      </c>
      <c r="H3367" t="n">
        <v>0</v>
      </c>
      <c r="I3367" t="n">
        <v>0</v>
      </c>
      <c r="J3367" t="n">
        <v>0</v>
      </c>
      <c r="K3367" t="n">
        <v>0</v>
      </c>
      <c r="L3367" t="n">
        <v>0</v>
      </c>
      <c r="M3367" t="n">
        <v>0</v>
      </c>
      <c r="N3367" t="n">
        <v>0</v>
      </c>
      <c r="O3367" t="n">
        <v>0</v>
      </c>
      <c r="P3367" t="n">
        <v>0</v>
      </c>
      <c r="Q3367" t="n">
        <v>0</v>
      </c>
      <c r="R3367" s="2" t="inlineStr"/>
    </row>
    <row r="3368" ht="15" customHeight="1">
      <c r="A3368" t="inlineStr">
        <is>
          <t>A 27858-2021</t>
        </is>
      </c>
      <c r="B3368" s="1" t="n">
        <v>44354.61337962963</v>
      </c>
      <c r="C3368" s="1" t="n">
        <v>45952</v>
      </c>
      <c r="D3368" t="inlineStr">
        <is>
          <t>VÄSTRA GÖTALANDS LÄN</t>
        </is>
      </c>
      <c r="E3368" t="inlineStr">
        <is>
          <t>MARIESTAD</t>
        </is>
      </c>
      <c r="G3368" t="n">
        <v>2.2</v>
      </c>
      <c r="H3368" t="n">
        <v>0</v>
      </c>
      <c r="I3368" t="n">
        <v>0</v>
      </c>
      <c r="J3368" t="n">
        <v>0</v>
      </c>
      <c r="K3368" t="n">
        <v>0</v>
      </c>
      <c r="L3368" t="n">
        <v>0</v>
      </c>
      <c r="M3368" t="n">
        <v>0</v>
      </c>
      <c r="N3368" t="n">
        <v>0</v>
      </c>
      <c r="O3368" t="n">
        <v>0</v>
      </c>
      <c r="P3368" t="n">
        <v>0</v>
      </c>
      <c r="Q3368" t="n">
        <v>0</v>
      </c>
      <c r="R3368" s="2" t="inlineStr"/>
    </row>
    <row r="3369" ht="15" customHeight="1">
      <c r="A3369" t="inlineStr">
        <is>
          <t>A 41005-2021</t>
        </is>
      </c>
      <c r="B3369" s="1" t="n">
        <v>44421.61880787037</v>
      </c>
      <c r="C3369" s="1" t="n">
        <v>45952</v>
      </c>
      <c r="D3369" t="inlineStr">
        <is>
          <t>VÄSTRA GÖTALANDS LÄN</t>
        </is>
      </c>
      <c r="E3369" t="inlineStr">
        <is>
          <t>ULRICEHAMN</t>
        </is>
      </c>
      <c r="G3369" t="n">
        <v>2.2</v>
      </c>
      <c r="H3369" t="n">
        <v>0</v>
      </c>
      <c r="I3369" t="n">
        <v>0</v>
      </c>
      <c r="J3369" t="n">
        <v>0</v>
      </c>
      <c r="K3369" t="n">
        <v>0</v>
      </c>
      <c r="L3369" t="n">
        <v>0</v>
      </c>
      <c r="M3369" t="n">
        <v>0</v>
      </c>
      <c r="N3369" t="n">
        <v>0</v>
      </c>
      <c r="O3369" t="n">
        <v>0</v>
      </c>
      <c r="P3369" t="n">
        <v>0</v>
      </c>
      <c r="Q3369" t="n">
        <v>0</v>
      </c>
      <c r="R3369" s="2" t="inlineStr"/>
    </row>
    <row r="3370" ht="15" customHeight="1">
      <c r="A3370" t="inlineStr">
        <is>
          <t>A 46067-2021</t>
        </is>
      </c>
      <c r="B3370" s="1" t="n">
        <v>44442.30737268519</v>
      </c>
      <c r="C3370" s="1" t="n">
        <v>45952</v>
      </c>
      <c r="D3370" t="inlineStr">
        <is>
          <t>VÄSTRA GÖTALANDS LÄN</t>
        </is>
      </c>
      <c r="E3370" t="inlineStr">
        <is>
          <t>GÖTENE</t>
        </is>
      </c>
      <c r="G3370" t="n">
        <v>1.8</v>
      </c>
      <c r="H3370" t="n">
        <v>0</v>
      </c>
      <c r="I3370" t="n">
        <v>0</v>
      </c>
      <c r="J3370" t="n">
        <v>0</v>
      </c>
      <c r="K3370" t="n">
        <v>0</v>
      </c>
      <c r="L3370" t="n">
        <v>0</v>
      </c>
      <c r="M3370" t="n">
        <v>0</v>
      </c>
      <c r="N3370" t="n">
        <v>0</v>
      </c>
      <c r="O3370" t="n">
        <v>0</v>
      </c>
      <c r="P3370" t="n">
        <v>0</v>
      </c>
      <c r="Q3370" t="n">
        <v>0</v>
      </c>
      <c r="R3370" s="2" t="inlineStr"/>
    </row>
    <row r="3371" ht="15" customHeight="1">
      <c r="A3371" t="inlineStr">
        <is>
          <t>A 55517-2020</t>
        </is>
      </c>
      <c r="B3371" s="1" t="n">
        <v>44131</v>
      </c>
      <c r="C3371" s="1" t="n">
        <v>45952</v>
      </c>
      <c r="D3371" t="inlineStr">
        <is>
          <t>VÄSTRA GÖTALANDS LÄN</t>
        </is>
      </c>
      <c r="E3371" t="inlineStr">
        <is>
          <t>MARK</t>
        </is>
      </c>
      <c r="G3371" t="n">
        <v>0.8</v>
      </c>
      <c r="H3371" t="n">
        <v>0</v>
      </c>
      <c r="I3371" t="n">
        <v>0</v>
      </c>
      <c r="J3371" t="n">
        <v>0</v>
      </c>
      <c r="K3371" t="n">
        <v>0</v>
      </c>
      <c r="L3371" t="n">
        <v>0</v>
      </c>
      <c r="M3371" t="n">
        <v>0</v>
      </c>
      <c r="N3371" t="n">
        <v>0</v>
      </c>
      <c r="O3371" t="n">
        <v>0</v>
      </c>
      <c r="P3371" t="n">
        <v>0</v>
      </c>
      <c r="Q3371" t="n">
        <v>0</v>
      </c>
      <c r="R3371" s="2" t="inlineStr"/>
    </row>
    <row r="3372" ht="15" customHeight="1">
      <c r="A3372" t="inlineStr">
        <is>
          <t>A 26650-2022</t>
        </is>
      </c>
      <c r="B3372" s="1" t="n">
        <v>44739.6103125</v>
      </c>
      <c r="C3372" s="1" t="n">
        <v>45952</v>
      </c>
      <c r="D3372" t="inlineStr">
        <is>
          <t>VÄSTRA GÖTALANDS LÄN</t>
        </is>
      </c>
      <c r="E3372" t="inlineStr">
        <is>
          <t>MÖLNDAL</t>
        </is>
      </c>
      <c r="G3372" t="n">
        <v>0.5</v>
      </c>
      <c r="H3372" t="n">
        <v>0</v>
      </c>
      <c r="I3372" t="n">
        <v>0</v>
      </c>
      <c r="J3372" t="n">
        <v>0</v>
      </c>
      <c r="K3372" t="n">
        <v>0</v>
      </c>
      <c r="L3372" t="n">
        <v>0</v>
      </c>
      <c r="M3372" t="n">
        <v>0</v>
      </c>
      <c r="N3372" t="n">
        <v>0</v>
      </c>
      <c r="O3372" t="n">
        <v>0</v>
      </c>
      <c r="P3372" t="n">
        <v>0</v>
      </c>
      <c r="Q3372" t="n">
        <v>0</v>
      </c>
      <c r="R3372" s="2" t="inlineStr"/>
    </row>
    <row r="3373" ht="15" customHeight="1">
      <c r="A3373" t="inlineStr">
        <is>
          <t>A 21372-2022</t>
        </is>
      </c>
      <c r="B3373" s="1" t="n">
        <v>44705</v>
      </c>
      <c r="C3373" s="1" t="n">
        <v>45952</v>
      </c>
      <c r="D3373" t="inlineStr">
        <is>
          <t>VÄSTRA GÖTALANDS LÄN</t>
        </is>
      </c>
      <c r="E3373" t="inlineStr">
        <is>
          <t>DALS-ED</t>
        </is>
      </c>
      <c r="G3373" t="n">
        <v>0.9</v>
      </c>
      <c r="H3373" t="n">
        <v>0</v>
      </c>
      <c r="I3373" t="n">
        <v>0</v>
      </c>
      <c r="J3373" t="n">
        <v>0</v>
      </c>
      <c r="K3373" t="n">
        <v>0</v>
      </c>
      <c r="L3373" t="n">
        <v>0</v>
      </c>
      <c r="M3373" t="n">
        <v>0</v>
      </c>
      <c r="N3373" t="n">
        <v>0</v>
      </c>
      <c r="O3373" t="n">
        <v>0</v>
      </c>
      <c r="P3373" t="n">
        <v>0</v>
      </c>
      <c r="Q3373" t="n">
        <v>0</v>
      </c>
      <c r="R3373" s="2" t="inlineStr"/>
    </row>
    <row r="3374" ht="15" customHeight="1">
      <c r="A3374" t="inlineStr">
        <is>
          <t>A 12945-2024</t>
        </is>
      </c>
      <c r="B3374" s="1" t="n">
        <v>45385.47545138889</v>
      </c>
      <c r="C3374" s="1" t="n">
        <v>45952</v>
      </c>
      <c r="D3374" t="inlineStr">
        <is>
          <t>VÄSTRA GÖTALANDS LÄN</t>
        </is>
      </c>
      <c r="E3374" t="inlineStr">
        <is>
          <t>STRÖMSTAD</t>
        </is>
      </c>
      <c r="G3374" t="n">
        <v>6.1</v>
      </c>
      <c r="H3374" t="n">
        <v>0</v>
      </c>
      <c r="I3374" t="n">
        <v>0</v>
      </c>
      <c r="J3374" t="n">
        <v>0</v>
      </c>
      <c r="K3374" t="n">
        <v>0</v>
      </c>
      <c r="L3374" t="n">
        <v>0</v>
      </c>
      <c r="M3374" t="n">
        <v>0</v>
      </c>
      <c r="N3374" t="n">
        <v>0</v>
      </c>
      <c r="O3374" t="n">
        <v>0</v>
      </c>
      <c r="P3374" t="n">
        <v>0</v>
      </c>
      <c r="Q3374" t="n">
        <v>0</v>
      </c>
      <c r="R3374" s="2" t="inlineStr"/>
    </row>
    <row r="3375" ht="15" customHeight="1">
      <c r="A3375" t="inlineStr">
        <is>
          <t>A 27030-2023</t>
        </is>
      </c>
      <c r="B3375" s="1" t="n">
        <v>45095</v>
      </c>
      <c r="C3375" s="1" t="n">
        <v>45952</v>
      </c>
      <c r="D3375" t="inlineStr">
        <is>
          <t>VÄSTRA GÖTALANDS LÄN</t>
        </is>
      </c>
      <c r="E3375" t="inlineStr">
        <is>
          <t>STENUNGSUND</t>
        </is>
      </c>
      <c r="G3375" t="n">
        <v>3.1</v>
      </c>
      <c r="H3375" t="n">
        <v>0</v>
      </c>
      <c r="I3375" t="n">
        <v>0</v>
      </c>
      <c r="J3375" t="n">
        <v>0</v>
      </c>
      <c r="K3375" t="n">
        <v>0</v>
      </c>
      <c r="L3375" t="n">
        <v>0</v>
      </c>
      <c r="M3375" t="n">
        <v>0</v>
      </c>
      <c r="N3375" t="n">
        <v>0</v>
      </c>
      <c r="O3375" t="n">
        <v>0</v>
      </c>
      <c r="P3375" t="n">
        <v>0</v>
      </c>
      <c r="Q3375" t="n">
        <v>0</v>
      </c>
      <c r="R3375" s="2" t="inlineStr"/>
    </row>
    <row r="3376" ht="15" customHeight="1">
      <c r="A3376" t="inlineStr">
        <is>
          <t>A 39568-2024</t>
        </is>
      </c>
      <c r="B3376" s="1" t="n">
        <v>45552.35871527778</v>
      </c>
      <c r="C3376" s="1" t="n">
        <v>45952</v>
      </c>
      <c r="D3376" t="inlineStr">
        <is>
          <t>VÄSTRA GÖTALANDS LÄN</t>
        </is>
      </c>
      <c r="E3376" t="inlineStr">
        <is>
          <t>ULRICEHAMN</t>
        </is>
      </c>
      <c r="G3376" t="n">
        <v>1.1</v>
      </c>
      <c r="H3376" t="n">
        <v>0</v>
      </c>
      <c r="I3376" t="n">
        <v>0</v>
      </c>
      <c r="J3376" t="n">
        <v>0</v>
      </c>
      <c r="K3376" t="n">
        <v>0</v>
      </c>
      <c r="L3376" t="n">
        <v>0</v>
      </c>
      <c r="M3376" t="n">
        <v>0</v>
      </c>
      <c r="N3376" t="n">
        <v>0</v>
      </c>
      <c r="O3376" t="n">
        <v>0</v>
      </c>
      <c r="P3376" t="n">
        <v>0</v>
      </c>
      <c r="Q3376" t="n">
        <v>0</v>
      </c>
      <c r="R3376" s="2" t="inlineStr"/>
    </row>
    <row r="3377" ht="15" customHeight="1">
      <c r="A3377" t="inlineStr">
        <is>
          <t>A 39652-2024</t>
        </is>
      </c>
      <c r="B3377" s="1" t="n">
        <v>45552.48734953703</v>
      </c>
      <c r="C3377" s="1" t="n">
        <v>45952</v>
      </c>
      <c r="D3377" t="inlineStr">
        <is>
          <t>VÄSTRA GÖTALANDS LÄN</t>
        </is>
      </c>
      <c r="E3377" t="inlineStr">
        <is>
          <t>TÖREBODA</t>
        </is>
      </c>
      <c r="G3377" t="n">
        <v>3.9</v>
      </c>
      <c r="H3377" t="n">
        <v>0</v>
      </c>
      <c r="I3377" t="n">
        <v>0</v>
      </c>
      <c r="J3377" t="n">
        <v>0</v>
      </c>
      <c r="K3377" t="n">
        <v>0</v>
      </c>
      <c r="L3377" t="n">
        <v>0</v>
      </c>
      <c r="M3377" t="n">
        <v>0</v>
      </c>
      <c r="N3377" t="n">
        <v>0</v>
      </c>
      <c r="O3377" t="n">
        <v>0</v>
      </c>
      <c r="P3377" t="n">
        <v>0</v>
      </c>
      <c r="Q3377" t="n">
        <v>0</v>
      </c>
      <c r="R3377" s="2" t="inlineStr"/>
    </row>
    <row r="3378" ht="15" customHeight="1">
      <c r="A3378" t="inlineStr">
        <is>
          <t>A 23819-2022</t>
        </is>
      </c>
      <c r="B3378" s="1" t="n">
        <v>44722</v>
      </c>
      <c r="C3378" s="1" t="n">
        <v>45952</v>
      </c>
      <c r="D3378" t="inlineStr">
        <is>
          <t>VÄSTRA GÖTALANDS LÄN</t>
        </is>
      </c>
      <c r="E3378" t="inlineStr">
        <is>
          <t>STRÖMSTAD</t>
        </is>
      </c>
      <c r="G3378" t="n">
        <v>3.7</v>
      </c>
      <c r="H3378" t="n">
        <v>0</v>
      </c>
      <c r="I3378" t="n">
        <v>0</v>
      </c>
      <c r="J3378" t="n">
        <v>0</v>
      </c>
      <c r="K3378" t="n">
        <v>0</v>
      </c>
      <c r="L3378" t="n">
        <v>0</v>
      </c>
      <c r="M3378" t="n">
        <v>0</v>
      </c>
      <c r="N3378" t="n">
        <v>0</v>
      </c>
      <c r="O3378" t="n">
        <v>0</v>
      </c>
      <c r="P3378" t="n">
        <v>0</v>
      </c>
      <c r="Q3378" t="n">
        <v>0</v>
      </c>
      <c r="R3378" s="2" t="inlineStr"/>
    </row>
    <row r="3379" ht="15" customHeight="1">
      <c r="A3379" t="inlineStr">
        <is>
          <t>A 57217-2020</t>
        </is>
      </c>
      <c r="B3379" s="1" t="n">
        <v>44139</v>
      </c>
      <c r="C3379" s="1" t="n">
        <v>45952</v>
      </c>
      <c r="D3379" t="inlineStr">
        <is>
          <t>VÄSTRA GÖTALANDS LÄN</t>
        </is>
      </c>
      <c r="E3379" t="inlineStr">
        <is>
          <t>STRÖMSTAD</t>
        </is>
      </c>
      <c r="G3379" t="n">
        <v>8.300000000000001</v>
      </c>
      <c r="H3379" t="n">
        <v>0</v>
      </c>
      <c r="I3379" t="n">
        <v>0</v>
      </c>
      <c r="J3379" t="n">
        <v>0</v>
      </c>
      <c r="K3379" t="n">
        <v>0</v>
      </c>
      <c r="L3379" t="n">
        <v>0</v>
      </c>
      <c r="M3379" t="n">
        <v>0</v>
      </c>
      <c r="N3379" t="n">
        <v>0</v>
      </c>
      <c r="O3379" t="n">
        <v>0</v>
      </c>
      <c r="P3379" t="n">
        <v>0</v>
      </c>
      <c r="Q3379" t="n">
        <v>0</v>
      </c>
      <c r="R3379" s="2" t="inlineStr"/>
    </row>
    <row r="3380" ht="15" customHeight="1">
      <c r="A3380" t="inlineStr">
        <is>
          <t>A 40264-2024</t>
        </is>
      </c>
      <c r="B3380" s="1" t="n">
        <v>45554.63769675926</v>
      </c>
      <c r="C3380" s="1" t="n">
        <v>45952</v>
      </c>
      <c r="D3380" t="inlineStr">
        <is>
          <t>VÄSTRA GÖTALANDS LÄN</t>
        </is>
      </c>
      <c r="E3380" t="inlineStr">
        <is>
          <t>SKARA</t>
        </is>
      </c>
      <c r="G3380" t="n">
        <v>2.8</v>
      </c>
      <c r="H3380" t="n">
        <v>0</v>
      </c>
      <c r="I3380" t="n">
        <v>0</v>
      </c>
      <c r="J3380" t="n">
        <v>0</v>
      </c>
      <c r="K3380" t="n">
        <v>0</v>
      </c>
      <c r="L3380" t="n">
        <v>0</v>
      </c>
      <c r="M3380" t="n">
        <v>0</v>
      </c>
      <c r="N3380" t="n">
        <v>0</v>
      </c>
      <c r="O3380" t="n">
        <v>0</v>
      </c>
      <c r="P3380" t="n">
        <v>0</v>
      </c>
      <c r="Q3380" t="n">
        <v>0</v>
      </c>
      <c r="R3380" s="2" t="inlineStr"/>
    </row>
    <row r="3381" ht="15" customHeight="1">
      <c r="A3381" t="inlineStr">
        <is>
          <t>A 52377-2024</t>
        </is>
      </c>
      <c r="B3381" s="1" t="n">
        <v>45609.40314814815</v>
      </c>
      <c r="C3381" s="1" t="n">
        <v>45952</v>
      </c>
      <c r="D3381" t="inlineStr">
        <is>
          <t>VÄSTRA GÖTALANDS LÄN</t>
        </is>
      </c>
      <c r="E3381" t="inlineStr">
        <is>
          <t>SVENLJUNGA</t>
        </is>
      </c>
      <c r="G3381" t="n">
        <v>0.8</v>
      </c>
      <c r="H3381" t="n">
        <v>0</v>
      </c>
      <c r="I3381" t="n">
        <v>0</v>
      </c>
      <c r="J3381" t="n">
        <v>0</v>
      </c>
      <c r="K3381" t="n">
        <v>0</v>
      </c>
      <c r="L3381" t="n">
        <v>0</v>
      </c>
      <c r="M3381" t="n">
        <v>0</v>
      </c>
      <c r="N3381" t="n">
        <v>0</v>
      </c>
      <c r="O3381" t="n">
        <v>0</v>
      </c>
      <c r="P3381" t="n">
        <v>0</v>
      </c>
      <c r="Q3381" t="n">
        <v>0</v>
      </c>
      <c r="R3381" s="2" t="inlineStr"/>
    </row>
    <row r="3382" ht="15" customHeight="1">
      <c r="A3382" t="inlineStr">
        <is>
          <t>A 8124-2023</t>
        </is>
      </c>
      <c r="B3382" s="1" t="n">
        <v>44974</v>
      </c>
      <c r="C3382" s="1" t="n">
        <v>45952</v>
      </c>
      <c r="D3382" t="inlineStr">
        <is>
          <t>VÄSTRA GÖTALANDS LÄN</t>
        </is>
      </c>
      <c r="E3382" t="inlineStr">
        <is>
          <t>LIDKÖPING</t>
        </is>
      </c>
      <c r="G3382" t="n">
        <v>1.5</v>
      </c>
      <c r="H3382" t="n">
        <v>0</v>
      </c>
      <c r="I3382" t="n">
        <v>0</v>
      </c>
      <c r="J3382" t="n">
        <v>0</v>
      </c>
      <c r="K3382" t="n">
        <v>0</v>
      </c>
      <c r="L3382" t="n">
        <v>0</v>
      </c>
      <c r="M3382" t="n">
        <v>0</v>
      </c>
      <c r="N3382" t="n">
        <v>0</v>
      </c>
      <c r="O3382" t="n">
        <v>0</v>
      </c>
      <c r="P3382" t="n">
        <v>0</v>
      </c>
      <c r="Q3382" t="n">
        <v>0</v>
      </c>
      <c r="R3382" s="2" t="inlineStr"/>
    </row>
    <row r="3383" ht="15" customHeight="1">
      <c r="A3383" t="inlineStr">
        <is>
          <t>A 244-2025</t>
        </is>
      </c>
      <c r="B3383" s="1" t="n">
        <v>45660.41302083333</v>
      </c>
      <c r="C3383" s="1" t="n">
        <v>45952</v>
      </c>
      <c r="D3383" t="inlineStr">
        <is>
          <t>VÄSTRA GÖTALANDS LÄN</t>
        </is>
      </c>
      <c r="E3383" t="inlineStr">
        <is>
          <t>BORÅS</t>
        </is>
      </c>
      <c r="G3383" t="n">
        <v>0.8</v>
      </c>
      <c r="H3383" t="n">
        <v>0</v>
      </c>
      <c r="I3383" t="n">
        <v>0</v>
      </c>
      <c r="J3383" t="n">
        <v>0</v>
      </c>
      <c r="K3383" t="n">
        <v>0</v>
      </c>
      <c r="L3383" t="n">
        <v>0</v>
      </c>
      <c r="M3383" t="n">
        <v>0</v>
      </c>
      <c r="N3383" t="n">
        <v>0</v>
      </c>
      <c r="O3383" t="n">
        <v>0</v>
      </c>
      <c r="P3383" t="n">
        <v>0</v>
      </c>
      <c r="Q3383" t="n">
        <v>0</v>
      </c>
      <c r="R3383" s="2" t="inlineStr"/>
    </row>
    <row r="3384" ht="15" customHeight="1">
      <c r="A3384" t="inlineStr">
        <is>
          <t>A 20412-2022</t>
        </is>
      </c>
      <c r="B3384" s="1" t="n">
        <v>44699</v>
      </c>
      <c r="C3384" s="1" t="n">
        <v>45952</v>
      </c>
      <c r="D3384" t="inlineStr">
        <is>
          <t>VÄSTRA GÖTALANDS LÄN</t>
        </is>
      </c>
      <c r="E3384" t="inlineStr">
        <is>
          <t>MARK</t>
        </is>
      </c>
      <c r="G3384" t="n">
        <v>1.6</v>
      </c>
      <c r="H3384" t="n">
        <v>0</v>
      </c>
      <c r="I3384" t="n">
        <v>0</v>
      </c>
      <c r="J3384" t="n">
        <v>0</v>
      </c>
      <c r="K3384" t="n">
        <v>0</v>
      </c>
      <c r="L3384" t="n">
        <v>0</v>
      </c>
      <c r="M3384" t="n">
        <v>0</v>
      </c>
      <c r="N3384" t="n">
        <v>0</v>
      </c>
      <c r="O3384" t="n">
        <v>0</v>
      </c>
      <c r="P3384" t="n">
        <v>0</v>
      </c>
      <c r="Q3384" t="n">
        <v>0</v>
      </c>
      <c r="R3384" s="2" t="inlineStr"/>
    </row>
    <row r="3385" ht="15" customHeight="1">
      <c r="A3385" t="inlineStr">
        <is>
          <t>A 8176-2023</t>
        </is>
      </c>
      <c r="B3385" s="1" t="n">
        <v>44974</v>
      </c>
      <c r="C3385" s="1" t="n">
        <v>45952</v>
      </c>
      <c r="D3385" t="inlineStr">
        <is>
          <t>VÄSTRA GÖTALANDS LÄN</t>
        </is>
      </c>
      <c r="E3385" t="inlineStr">
        <is>
          <t>ÅMÅL</t>
        </is>
      </c>
      <c r="G3385" t="n">
        <v>0.8</v>
      </c>
      <c r="H3385" t="n">
        <v>0</v>
      </c>
      <c r="I3385" t="n">
        <v>0</v>
      </c>
      <c r="J3385" t="n">
        <v>0</v>
      </c>
      <c r="K3385" t="n">
        <v>0</v>
      </c>
      <c r="L3385" t="n">
        <v>0</v>
      </c>
      <c r="M3385" t="n">
        <v>0</v>
      </c>
      <c r="N3385" t="n">
        <v>0</v>
      </c>
      <c r="O3385" t="n">
        <v>0</v>
      </c>
      <c r="P3385" t="n">
        <v>0</v>
      </c>
      <c r="Q3385" t="n">
        <v>0</v>
      </c>
      <c r="R3385" s="2" t="inlineStr"/>
    </row>
    <row r="3386" ht="15" customHeight="1">
      <c r="A3386" t="inlineStr">
        <is>
          <t>A 63406-2020</t>
        </is>
      </c>
      <c r="B3386" s="1" t="n">
        <v>44165</v>
      </c>
      <c r="C3386" s="1" t="n">
        <v>45952</v>
      </c>
      <c r="D3386" t="inlineStr">
        <is>
          <t>VÄSTRA GÖTALANDS LÄN</t>
        </is>
      </c>
      <c r="E3386" t="inlineStr">
        <is>
          <t>MARIESTAD</t>
        </is>
      </c>
      <c r="G3386" t="n">
        <v>0.8</v>
      </c>
      <c r="H3386" t="n">
        <v>0</v>
      </c>
      <c r="I3386" t="n">
        <v>0</v>
      </c>
      <c r="J3386" t="n">
        <v>0</v>
      </c>
      <c r="K3386" t="n">
        <v>0</v>
      </c>
      <c r="L3386" t="n">
        <v>0</v>
      </c>
      <c r="M3386" t="n">
        <v>0</v>
      </c>
      <c r="N3386" t="n">
        <v>0</v>
      </c>
      <c r="O3386" t="n">
        <v>0</v>
      </c>
      <c r="P3386" t="n">
        <v>0</v>
      </c>
      <c r="Q3386" t="n">
        <v>0</v>
      </c>
      <c r="R3386" s="2" t="inlineStr"/>
    </row>
    <row r="3387" ht="15" customHeight="1">
      <c r="A3387" t="inlineStr">
        <is>
          <t>A 55936-2020</t>
        </is>
      </c>
      <c r="B3387" s="1" t="n">
        <v>44133</v>
      </c>
      <c r="C3387" s="1" t="n">
        <v>45952</v>
      </c>
      <c r="D3387" t="inlineStr">
        <is>
          <t>VÄSTRA GÖTALANDS LÄN</t>
        </is>
      </c>
      <c r="E3387" t="inlineStr">
        <is>
          <t>TIDAHOLM</t>
        </is>
      </c>
      <c r="G3387" t="n">
        <v>1.5</v>
      </c>
      <c r="H3387" t="n">
        <v>0</v>
      </c>
      <c r="I3387" t="n">
        <v>0</v>
      </c>
      <c r="J3387" t="n">
        <v>0</v>
      </c>
      <c r="K3387" t="n">
        <v>0</v>
      </c>
      <c r="L3387" t="n">
        <v>0</v>
      </c>
      <c r="M3387" t="n">
        <v>0</v>
      </c>
      <c r="N3387" t="n">
        <v>0</v>
      </c>
      <c r="O3387" t="n">
        <v>0</v>
      </c>
      <c r="P3387" t="n">
        <v>0</v>
      </c>
      <c r="Q3387" t="n">
        <v>0</v>
      </c>
      <c r="R3387" s="2" t="inlineStr"/>
    </row>
    <row r="3388" ht="15" customHeight="1">
      <c r="A3388" t="inlineStr">
        <is>
          <t>A 38945-2022</t>
        </is>
      </c>
      <c r="B3388" s="1" t="n">
        <v>44816</v>
      </c>
      <c r="C3388" s="1" t="n">
        <v>45952</v>
      </c>
      <c r="D3388" t="inlineStr">
        <is>
          <t>VÄSTRA GÖTALANDS LÄN</t>
        </is>
      </c>
      <c r="E3388" t="inlineStr">
        <is>
          <t>GÖTENE</t>
        </is>
      </c>
      <c r="G3388" t="n">
        <v>2.6</v>
      </c>
      <c r="H3388" t="n">
        <v>0</v>
      </c>
      <c r="I3388" t="n">
        <v>0</v>
      </c>
      <c r="J3388" t="n">
        <v>0</v>
      </c>
      <c r="K3388" t="n">
        <v>0</v>
      </c>
      <c r="L3388" t="n">
        <v>0</v>
      </c>
      <c r="M3388" t="n">
        <v>0</v>
      </c>
      <c r="N3388" t="n">
        <v>0</v>
      </c>
      <c r="O3388" t="n">
        <v>0</v>
      </c>
      <c r="P3388" t="n">
        <v>0</v>
      </c>
      <c r="Q3388" t="n">
        <v>0</v>
      </c>
      <c r="R3388" s="2" t="inlineStr"/>
    </row>
    <row r="3389" ht="15" customHeight="1">
      <c r="A3389" t="inlineStr">
        <is>
          <t>A 17338-2022</t>
        </is>
      </c>
      <c r="B3389" s="1" t="n">
        <v>44678</v>
      </c>
      <c r="C3389" s="1" t="n">
        <v>45952</v>
      </c>
      <c r="D3389" t="inlineStr">
        <is>
          <t>VÄSTRA GÖTALANDS LÄN</t>
        </is>
      </c>
      <c r="E3389" t="inlineStr">
        <is>
          <t>MUNKEDAL</t>
        </is>
      </c>
      <c r="G3389" t="n">
        <v>4.4</v>
      </c>
      <c r="H3389" t="n">
        <v>0</v>
      </c>
      <c r="I3389" t="n">
        <v>0</v>
      </c>
      <c r="J3389" t="n">
        <v>0</v>
      </c>
      <c r="K3389" t="n">
        <v>0</v>
      </c>
      <c r="L3389" t="n">
        <v>0</v>
      </c>
      <c r="M3389" t="n">
        <v>0</v>
      </c>
      <c r="N3389" t="n">
        <v>0</v>
      </c>
      <c r="O3389" t="n">
        <v>0</v>
      </c>
      <c r="P3389" t="n">
        <v>0</v>
      </c>
      <c r="Q3389" t="n">
        <v>0</v>
      </c>
      <c r="R3389" s="2" t="inlineStr"/>
    </row>
    <row r="3390" ht="15" customHeight="1">
      <c r="A3390" t="inlineStr">
        <is>
          <t>A 13506-2022</t>
        </is>
      </c>
      <c r="B3390" s="1" t="n">
        <v>44648.29912037037</v>
      </c>
      <c r="C3390" s="1" t="n">
        <v>45952</v>
      </c>
      <c r="D3390" t="inlineStr">
        <is>
          <t>VÄSTRA GÖTALANDS LÄN</t>
        </is>
      </c>
      <c r="E3390" t="inlineStr">
        <is>
          <t>VÅRGÅRDA</t>
        </is>
      </c>
      <c r="G3390" t="n">
        <v>1.5</v>
      </c>
      <c r="H3390" t="n">
        <v>0</v>
      </c>
      <c r="I3390" t="n">
        <v>0</v>
      </c>
      <c r="J3390" t="n">
        <v>0</v>
      </c>
      <c r="K3390" t="n">
        <v>0</v>
      </c>
      <c r="L3390" t="n">
        <v>0</v>
      </c>
      <c r="M3390" t="n">
        <v>0</v>
      </c>
      <c r="N3390" t="n">
        <v>0</v>
      </c>
      <c r="O3390" t="n">
        <v>0</v>
      </c>
      <c r="P3390" t="n">
        <v>0</v>
      </c>
      <c r="Q3390" t="n">
        <v>0</v>
      </c>
      <c r="R3390" s="2" t="inlineStr"/>
    </row>
    <row r="3391" ht="15" customHeight="1">
      <c r="A3391" t="inlineStr">
        <is>
          <t>A 61739-2020</t>
        </is>
      </c>
      <c r="B3391" s="1" t="n">
        <v>44158</v>
      </c>
      <c r="C3391" s="1" t="n">
        <v>45952</v>
      </c>
      <c r="D3391" t="inlineStr">
        <is>
          <t>VÄSTRA GÖTALANDS LÄN</t>
        </is>
      </c>
      <c r="E3391" t="inlineStr">
        <is>
          <t>ÅMÅL</t>
        </is>
      </c>
      <c r="G3391" t="n">
        <v>2.3</v>
      </c>
      <c r="H3391" t="n">
        <v>0</v>
      </c>
      <c r="I3391" t="n">
        <v>0</v>
      </c>
      <c r="J3391" t="n">
        <v>0</v>
      </c>
      <c r="K3391" t="n">
        <v>0</v>
      </c>
      <c r="L3391" t="n">
        <v>0</v>
      </c>
      <c r="M3391" t="n">
        <v>0</v>
      </c>
      <c r="N3391" t="n">
        <v>0</v>
      </c>
      <c r="O3391" t="n">
        <v>0</v>
      </c>
      <c r="P3391" t="n">
        <v>0</v>
      </c>
      <c r="Q3391" t="n">
        <v>0</v>
      </c>
      <c r="R3391" s="2" t="inlineStr"/>
    </row>
    <row r="3392" ht="15" customHeight="1">
      <c r="A3392" t="inlineStr">
        <is>
          <t>A 62013-2020</t>
        </is>
      </c>
      <c r="B3392" s="1" t="n">
        <v>44157</v>
      </c>
      <c r="C3392" s="1" t="n">
        <v>45952</v>
      </c>
      <c r="D3392" t="inlineStr">
        <is>
          <t>VÄSTRA GÖTALANDS LÄN</t>
        </is>
      </c>
      <c r="E3392" t="inlineStr">
        <is>
          <t>VARA</t>
        </is>
      </c>
      <c r="G3392" t="n">
        <v>1.5</v>
      </c>
      <c r="H3392" t="n">
        <v>0</v>
      </c>
      <c r="I3392" t="n">
        <v>0</v>
      </c>
      <c r="J3392" t="n">
        <v>0</v>
      </c>
      <c r="K3392" t="n">
        <v>0</v>
      </c>
      <c r="L3392" t="n">
        <v>0</v>
      </c>
      <c r="M3392" t="n">
        <v>0</v>
      </c>
      <c r="N3392" t="n">
        <v>0</v>
      </c>
      <c r="O3392" t="n">
        <v>0</v>
      </c>
      <c r="P3392" t="n">
        <v>0</v>
      </c>
      <c r="Q3392" t="n">
        <v>0</v>
      </c>
      <c r="R3392" s="2" t="inlineStr"/>
    </row>
    <row r="3393" ht="15" customHeight="1">
      <c r="A3393" t="inlineStr">
        <is>
          <t>A 35770-2022</t>
        </is>
      </c>
      <c r="B3393" s="1" t="n">
        <v>44800.77560185185</v>
      </c>
      <c r="C3393" s="1" t="n">
        <v>45952</v>
      </c>
      <c r="D3393" t="inlineStr">
        <is>
          <t>VÄSTRA GÖTALANDS LÄN</t>
        </is>
      </c>
      <c r="E3393" t="inlineStr">
        <is>
          <t>TRANEMO</t>
        </is>
      </c>
      <c r="G3393" t="n">
        <v>0.2</v>
      </c>
      <c r="H3393" t="n">
        <v>0</v>
      </c>
      <c r="I3393" t="n">
        <v>0</v>
      </c>
      <c r="J3393" t="n">
        <v>0</v>
      </c>
      <c r="K3393" t="n">
        <v>0</v>
      </c>
      <c r="L3393" t="n">
        <v>0</v>
      </c>
      <c r="M3393" t="n">
        <v>0</v>
      </c>
      <c r="N3393" t="n">
        <v>0</v>
      </c>
      <c r="O3393" t="n">
        <v>0</v>
      </c>
      <c r="P3393" t="n">
        <v>0</v>
      </c>
      <c r="Q3393" t="n">
        <v>0</v>
      </c>
      <c r="R3393" s="2" t="inlineStr"/>
    </row>
    <row r="3394" ht="15" customHeight="1">
      <c r="A3394" t="inlineStr">
        <is>
          <t>A 55992-2020</t>
        </is>
      </c>
      <c r="B3394" s="1" t="n">
        <v>44133</v>
      </c>
      <c r="C3394" s="1" t="n">
        <v>45952</v>
      </c>
      <c r="D3394" t="inlineStr">
        <is>
          <t>VÄSTRA GÖTALANDS LÄN</t>
        </is>
      </c>
      <c r="E3394" t="inlineStr">
        <is>
          <t>SVENLJUNGA</t>
        </is>
      </c>
      <c r="G3394" t="n">
        <v>3.9</v>
      </c>
      <c r="H3394" t="n">
        <v>0</v>
      </c>
      <c r="I3394" t="n">
        <v>0</v>
      </c>
      <c r="J3394" t="n">
        <v>0</v>
      </c>
      <c r="K3394" t="n">
        <v>0</v>
      </c>
      <c r="L3394" t="n">
        <v>0</v>
      </c>
      <c r="M3394" t="n">
        <v>0</v>
      </c>
      <c r="N3394" t="n">
        <v>0</v>
      </c>
      <c r="O3394" t="n">
        <v>0</v>
      </c>
      <c r="P3394" t="n">
        <v>0</v>
      </c>
      <c r="Q3394" t="n">
        <v>0</v>
      </c>
      <c r="R3394" s="2" t="inlineStr"/>
    </row>
    <row r="3395" ht="15" customHeight="1">
      <c r="A3395" t="inlineStr">
        <is>
          <t>A 23877-2022</t>
        </is>
      </c>
      <c r="B3395" s="1" t="n">
        <v>44722.56074074074</v>
      </c>
      <c r="C3395" s="1" t="n">
        <v>45952</v>
      </c>
      <c r="D3395" t="inlineStr">
        <is>
          <t>VÄSTRA GÖTALANDS LÄN</t>
        </is>
      </c>
      <c r="E3395" t="inlineStr">
        <is>
          <t>MÖLNDAL</t>
        </is>
      </c>
      <c r="G3395" t="n">
        <v>0.5</v>
      </c>
      <c r="H3395" t="n">
        <v>0</v>
      </c>
      <c r="I3395" t="n">
        <v>0</v>
      </c>
      <c r="J3395" t="n">
        <v>0</v>
      </c>
      <c r="K3395" t="n">
        <v>0</v>
      </c>
      <c r="L3395" t="n">
        <v>0</v>
      </c>
      <c r="M3395" t="n">
        <v>0</v>
      </c>
      <c r="N3395" t="n">
        <v>0</v>
      </c>
      <c r="O3395" t="n">
        <v>0</v>
      </c>
      <c r="P3395" t="n">
        <v>0</v>
      </c>
      <c r="Q3395" t="n">
        <v>0</v>
      </c>
      <c r="R3395" s="2" t="inlineStr"/>
    </row>
    <row r="3396" ht="15" customHeight="1">
      <c r="A3396" t="inlineStr">
        <is>
          <t>A 65341-2021</t>
        </is>
      </c>
      <c r="B3396" s="1" t="n">
        <v>44515.64600694444</v>
      </c>
      <c r="C3396" s="1" t="n">
        <v>45952</v>
      </c>
      <c r="D3396" t="inlineStr">
        <is>
          <t>VÄSTRA GÖTALANDS LÄN</t>
        </is>
      </c>
      <c r="E3396" t="inlineStr">
        <is>
          <t>LIDKÖPING</t>
        </is>
      </c>
      <c r="G3396" t="n">
        <v>0.8</v>
      </c>
      <c r="H3396" t="n">
        <v>0</v>
      </c>
      <c r="I3396" t="n">
        <v>0</v>
      </c>
      <c r="J3396" t="n">
        <v>0</v>
      </c>
      <c r="K3396" t="n">
        <v>0</v>
      </c>
      <c r="L3396" t="n">
        <v>0</v>
      </c>
      <c r="M3396" t="n">
        <v>0</v>
      </c>
      <c r="N3396" t="n">
        <v>0</v>
      </c>
      <c r="O3396" t="n">
        <v>0</v>
      </c>
      <c r="P3396" t="n">
        <v>0</v>
      </c>
      <c r="Q3396" t="n">
        <v>0</v>
      </c>
      <c r="R3396" s="2" t="inlineStr"/>
    </row>
    <row r="3397" ht="15" customHeight="1">
      <c r="A3397" t="inlineStr">
        <is>
          <t>A 17410-2022</t>
        </is>
      </c>
      <c r="B3397" s="1" t="n">
        <v>44678</v>
      </c>
      <c r="C3397" s="1" t="n">
        <v>45952</v>
      </c>
      <c r="D3397" t="inlineStr">
        <is>
          <t>VÄSTRA GÖTALANDS LÄN</t>
        </is>
      </c>
      <c r="E3397" t="inlineStr">
        <is>
          <t>BORÅS</t>
        </is>
      </c>
      <c r="G3397" t="n">
        <v>1.9</v>
      </c>
      <c r="H3397" t="n">
        <v>0</v>
      </c>
      <c r="I3397" t="n">
        <v>0</v>
      </c>
      <c r="J3397" t="n">
        <v>0</v>
      </c>
      <c r="K3397" t="n">
        <v>0</v>
      </c>
      <c r="L3397" t="n">
        <v>0</v>
      </c>
      <c r="M3397" t="n">
        <v>0</v>
      </c>
      <c r="N3397" t="n">
        <v>0</v>
      </c>
      <c r="O3397" t="n">
        <v>0</v>
      </c>
      <c r="P3397" t="n">
        <v>0</v>
      </c>
      <c r="Q3397" t="n">
        <v>0</v>
      </c>
      <c r="R3397" s="2" t="inlineStr"/>
    </row>
    <row r="3398" ht="15" customHeight="1">
      <c r="A3398" t="inlineStr">
        <is>
          <t>A 66488-2020</t>
        </is>
      </c>
      <c r="B3398" s="1" t="n">
        <v>44177</v>
      </c>
      <c r="C3398" s="1" t="n">
        <v>45952</v>
      </c>
      <c r="D3398" t="inlineStr">
        <is>
          <t>VÄSTRA GÖTALANDS LÄN</t>
        </is>
      </c>
      <c r="E3398" t="inlineStr">
        <is>
          <t>UDDEVALLA</t>
        </is>
      </c>
      <c r="G3398" t="n">
        <v>13.8</v>
      </c>
      <c r="H3398" t="n">
        <v>0</v>
      </c>
      <c r="I3398" t="n">
        <v>0</v>
      </c>
      <c r="J3398" t="n">
        <v>0</v>
      </c>
      <c r="K3398" t="n">
        <v>0</v>
      </c>
      <c r="L3398" t="n">
        <v>0</v>
      </c>
      <c r="M3398" t="n">
        <v>0</v>
      </c>
      <c r="N3398" t="n">
        <v>0</v>
      </c>
      <c r="O3398" t="n">
        <v>0</v>
      </c>
      <c r="P3398" t="n">
        <v>0</v>
      </c>
      <c r="Q3398" t="n">
        <v>0</v>
      </c>
      <c r="R3398" s="2" t="inlineStr"/>
    </row>
    <row r="3399" ht="15" customHeight="1">
      <c r="A3399" t="inlineStr">
        <is>
          <t>A 402-2025</t>
        </is>
      </c>
      <c r="B3399" s="1" t="n">
        <v>45663.58502314815</v>
      </c>
      <c r="C3399" s="1" t="n">
        <v>45952</v>
      </c>
      <c r="D3399" t="inlineStr">
        <is>
          <t>VÄSTRA GÖTALANDS LÄN</t>
        </is>
      </c>
      <c r="E3399" t="inlineStr">
        <is>
          <t>BENGTSFORS</t>
        </is>
      </c>
      <c r="G3399" t="n">
        <v>4.1</v>
      </c>
      <c r="H3399" t="n">
        <v>0</v>
      </c>
      <c r="I3399" t="n">
        <v>0</v>
      </c>
      <c r="J3399" t="n">
        <v>0</v>
      </c>
      <c r="K3399" t="n">
        <v>0</v>
      </c>
      <c r="L3399" t="n">
        <v>0</v>
      </c>
      <c r="M3399" t="n">
        <v>0</v>
      </c>
      <c r="N3399" t="n">
        <v>0</v>
      </c>
      <c r="O3399" t="n">
        <v>0</v>
      </c>
      <c r="P3399" t="n">
        <v>0</v>
      </c>
      <c r="Q3399" t="n">
        <v>0</v>
      </c>
      <c r="R3399" s="2" t="inlineStr"/>
    </row>
    <row r="3400" ht="15" customHeight="1">
      <c r="A3400" t="inlineStr">
        <is>
          <t>A 403-2025</t>
        </is>
      </c>
      <c r="B3400" s="1" t="n">
        <v>45663.59096064815</v>
      </c>
      <c r="C3400" s="1" t="n">
        <v>45952</v>
      </c>
      <c r="D3400" t="inlineStr">
        <is>
          <t>VÄSTRA GÖTALANDS LÄN</t>
        </is>
      </c>
      <c r="E3400" t="inlineStr">
        <is>
          <t>BENGTSFORS</t>
        </is>
      </c>
      <c r="G3400" t="n">
        <v>0.6</v>
      </c>
      <c r="H3400" t="n">
        <v>0</v>
      </c>
      <c r="I3400" t="n">
        <v>0</v>
      </c>
      <c r="J3400" t="n">
        <v>0</v>
      </c>
      <c r="K3400" t="n">
        <v>0</v>
      </c>
      <c r="L3400" t="n">
        <v>0</v>
      </c>
      <c r="M3400" t="n">
        <v>0</v>
      </c>
      <c r="N3400" t="n">
        <v>0</v>
      </c>
      <c r="O3400" t="n">
        <v>0</v>
      </c>
      <c r="P3400" t="n">
        <v>0</v>
      </c>
      <c r="Q3400" t="n">
        <v>0</v>
      </c>
      <c r="R3400" s="2" t="inlineStr"/>
    </row>
    <row r="3401" ht="15" customHeight="1">
      <c r="A3401" t="inlineStr">
        <is>
          <t>A 58832-2023</t>
        </is>
      </c>
      <c r="B3401" s="1" t="n">
        <v>45247</v>
      </c>
      <c r="C3401" s="1" t="n">
        <v>45952</v>
      </c>
      <c r="D3401" t="inlineStr">
        <is>
          <t>VÄSTRA GÖTALANDS LÄN</t>
        </is>
      </c>
      <c r="E3401" t="inlineStr">
        <is>
          <t>GULLSPÅNG</t>
        </is>
      </c>
      <c r="G3401" t="n">
        <v>5.2</v>
      </c>
      <c r="H3401" t="n">
        <v>0</v>
      </c>
      <c r="I3401" t="n">
        <v>0</v>
      </c>
      <c r="J3401" t="n">
        <v>0</v>
      </c>
      <c r="K3401" t="n">
        <v>0</v>
      </c>
      <c r="L3401" t="n">
        <v>0</v>
      </c>
      <c r="M3401" t="n">
        <v>0</v>
      </c>
      <c r="N3401" t="n">
        <v>0</v>
      </c>
      <c r="O3401" t="n">
        <v>0</v>
      </c>
      <c r="P3401" t="n">
        <v>0</v>
      </c>
      <c r="Q3401" t="n">
        <v>0</v>
      </c>
      <c r="R3401" s="2" t="inlineStr"/>
    </row>
    <row r="3402" ht="15" customHeight="1">
      <c r="A3402" t="inlineStr">
        <is>
          <t>A 38594-2023</t>
        </is>
      </c>
      <c r="B3402" s="1" t="n">
        <v>45162</v>
      </c>
      <c r="C3402" s="1" t="n">
        <v>45952</v>
      </c>
      <c r="D3402" t="inlineStr">
        <is>
          <t>VÄSTRA GÖTALANDS LÄN</t>
        </is>
      </c>
      <c r="E3402" t="inlineStr">
        <is>
          <t>ULRICEHAMN</t>
        </is>
      </c>
      <c r="G3402" t="n">
        <v>1.3</v>
      </c>
      <c r="H3402" t="n">
        <v>0</v>
      </c>
      <c r="I3402" t="n">
        <v>0</v>
      </c>
      <c r="J3402" t="n">
        <v>0</v>
      </c>
      <c r="K3402" t="n">
        <v>0</v>
      </c>
      <c r="L3402" t="n">
        <v>0</v>
      </c>
      <c r="M3402" t="n">
        <v>0</v>
      </c>
      <c r="N3402" t="n">
        <v>0</v>
      </c>
      <c r="O3402" t="n">
        <v>0</v>
      </c>
      <c r="P3402" t="n">
        <v>0</v>
      </c>
      <c r="Q3402" t="n">
        <v>0</v>
      </c>
      <c r="R3402" s="2" t="inlineStr"/>
    </row>
    <row r="3403" ht="15" customHeight="1">
      <c r="A3403" t="inlineStr">
        <is>
          <t>A 53822-2022</t>
        </is>
      </c>
      <c r="B3403" s="1" t="n">
        <v>44880</v>
      </c>
      <c r="C3403" s="1" t="n">
        <v>45952</v>
      </c>
      <c r="D3403" t="inlineStr">
        <is>
          <t>VÄSTRA GÖTALANDS LÄN</t>
        </is>
      </c>
      <c r="E3403" t="inlineStr">
        <is>
          <t>MARIESTAD</t>
        </is>
      </c>
      <c r="G3403" t="n">
        <v>0.5</v>
      </c>
      <c r="H3403" t="n">
        <v>0</v>
      </c>
      <c r="I3403" t="n">
        <v>0</v>
      </c>
      <c r="J3403" t="n">
        <v>0</v>
      </c>
      <c r="K3403" t="n">
        <v>0</v>
      </c>
      <c r="L3403" t="n">
        <v>0</v>
      </c>
      <c r="M3403" t="n">
        <v>0</v>
      </c>
      <c r="N3403" t="n">
        <v>0</v>
      </c>
      <c r="O3403" t="n">
        <v>0</v>
      </c>
      <c r="P3403" t="n">
        <v>0</v>
      </c>
      <c r="Q3403" t="n">
        <v>0</v>
      </c>
      <c r="R3403" s="2" t="inlineStr"/>
    </row>
    <row r="3404" ht="15" customHeight="1">
      <c r="A3404" t="inlineStr">
        <is>
          <t>A 21547-2022</t>
        </is>
      </c>
      <c r="B3404" s="1" t="n">
        <v>44706.55664351852</v>
      </c>
      <c r="C3404" s="1" t="n">
        <v>45952</v>
      </c>
      <c r="D3404" t="inlineStr">
        <is>
          <t>VÄSTRA GÖTALANDS LÄN</t>
        </is>
      </c>
      <c r="E3404" t="inlineStr">
        <is>
          <t>FÄRGELANDA</t>
        </is>
      </c>
      <c r="G3404" t="n">
        <v>3.1</v>
      </c>
      <c r="H3404" t="n">
        <v>0</v>
      </c>
      <c r="I3404" t="n">
        <v>0</v>
      </c>
      <c r="J3404" t="n">
        <v>0</v>
      </c>
      <c r="K3404" t="n">
        <v>0</v>
      </c>
      <c r="L3404" t="n">
        <v>0</v>
      </c>
      <c r="M3404" t="n">
        <v>0</v>
      </c>
      <c r="N3404" t="n">
        <v>0</v>
      </c>
      <c r="O3404" t="n">
        <v>0</v>
      </c>
      <c r="P3404" t="n">
        <v>0</v>
      </c>
      <c r="Q3404" t="n">
        <v>0</v>
      </c>
      <c r="R3404" s="2" t="inlineStr"/>
    </row>
    <row r="3405" ht="15" customHeight="1">
      <c r="A3405" t="inlineStr">
        <is>
          <t>A 22557-2021</t>
        </is>
      </c>
      <c r="B3405" s="1" t="n">
        <v>44322</v>
      </c>
      <c r="C3405" s="1" t="n">
        <v>45952</v>
      </c>
      <c r="D3405" t="inlineStr">
        <is>
          <t>VÄSTRA GÖTALANDS LÄN</t>
        </is>
      </c>
      <c r="E3405" t="inlineStr">
        <is>
          <t>VÄNERSBORG</t>
        </is>
      </c>
      <c r="G3405" t="n">
        <v>2.7</v>
      </c>
      <c r="H3405" t="n">
        <v>0</v>
      </c>
      <c r="I3405" t="n">
        <v>0</v>
      </c>
      <c r="J3405" t="n">
        <v>0</v>
      </c>
      <c r="K3405" t="n">
        <v>0</v>
      </c>
      <c r="L3405" t="n">
        <v>0</v>
      </c>
      <c r="M3405" t="n">
        <v>0</v>
      </c>
      <c r="N3405" t="n">
        <v>0</v>
      </c>
      <c r="O3405" t="n">
        <v>0</v>
      </c>
      <c r="P3405" t="n">
        <v>0</v>
      </c>
      <c r="Q3405" t="n">
        <v>0</v>
      </c>
      <c r="R3405" s="2" t="inlineStr"/>
    </row>
    <row r="3406" ht="15" customHeight="1">
      <c r="A3406" t="inlineStr">
        <is>
          <t>A 34056-2021</t>
        </is>
      </c>
      <c r="B3406" s="1" t="n">
        <v>44379</v>
      </c>
      <c r="C3406" s="1" t="n">
        <v>45952</v>
      </c>
      <c r="D3406" t="inlineStr">
        <is>
          <t>VÄSTRA GÖTALANDS LÄN</t>
        </is>
      </c>
      <c r="E3406" t="inlineStr">
        <is>
          <t>BENGTSFORS</t>
        </is>
      </c>
      <c r="G3406" t="n">
        <v>6.7</v>
      </c>
      <c r="H3406" t="n">
        <v>0</v>
      </c>
      <c r="I3406" t="n">
        <v>0</v>
      </c>
      <c r="J3406" t="n">
        <v>0</v>
      </c>
      <c r="K3406" t="n">
        <v>0</v>
      </c>
      <c r="L3406" t="n">
        <v>0</v>
      </c>
      <c r="M3406" t="n">
        <v>0</v>
      </c>
      <c r="N3406" t="n">
        <v>0</v>
      </c>
      <c r="O3406" t="n">
        <v>0</v>
      </c>
      <c r="P3406" t="n">
        <v>0</v>
      </c>
      <c r="Q3406" t="n">
        <v>0</v>
      </c>
      <c r="R3406" s="2" t="inlineStr"/>
    </row>
    <row r="3407" ht="15" customHeight="1">
      <c r="A3407" t="inlineStr">
        <is>
          <t>A 62851-2020</t>
        </is>
      </c>
      <c r="B3407" s="1" t="n">
        <v>44161</v>
      </c>
      <c r="C3407" s="1" t="n">
        <v>45952</v>
      </c>
      <c r="D3407" t="inlineStr">
        <is>
          <t>VÄSTRA GÖTALANDS LÄN</t>
        </is>
      </c>
      <c r="E3407" t="inlineStr">
        <is>
          <t>BENGTSFORS</t>
        </is>
      </c>
      <c r="G3407" t="n">
        <v>1.4</v>
      </c>
      <c r="H3407" t="n">
        <v>0</v>
      </c>
      <c r="I3407" t="n">
        <v>0</v>
      </c>
      <c r="J3407" t="n">
        <v>0</v>
      </c>
      <c r="K3407" t="n">
        <v>0</v>
      </c>
      <c r="L3407" t="n">
        <v>0</v>
      </c>
      <c r="M3407" t="n">
        <v>0</v>
      </c>
      <c r="N3407" t="n">
        <v>0</v>
      </c>
      <c r="O3407" t="n">
        <v>0</v>
      </c>
      <c r="P3407" t="n">
        <v>0</v>
      </c>
      <c r="Q3407" t="n">
        <v>0</v>
      </c>
      <c r="R3407" s="2" t="inlineStr"/>
    </row>
    <row r="3408" ht="15" customHeight="1">
      <c r="A3408" t="inlineStr">
        <is>
          <t>A 62852-2020</t>
        </is>
      </c>
      <c r="B3408" s="1" t="n">
        <v>44161</v>
      </c>
      <c r="C3408" s="1" t="n">
        <v>45952</v>
      </c>
      <c r="D3408" t="inlineStr">
        <is>
          <t>VÄSTRA GÖTALANDS LÄN</t>
        </is>
      </c>
      <c r="E3408" t="inlineStr">
        <is>
          <t>BENGTSFORS</t>
        </is>
      </c>
      <c r="G3408" t="n">
        <v>0.7</v>
      </c>
      <c r="H3408" t="n">
        <v>0</v>
      </c>
      <c r="I3408" t="n">
        <v>0</v>
      </c>
      <c r="J3408" t="n">
        <v>0</v>
      </c>
      <c r="K3408" t="n">
        <v>0</v>
      </c>
      <c r="L3408" t="n">
        <v>0</v>
      </c>
      <c r="M3408" t="n">
        <v>0</v>
      </c>
      <c r="N3408" t="n">
        <v>0</v>
      </c>
      <c r="O3408" t="n">
        <v>0</v>
      </c>
      <c r="P3408" t="n">
        <v>0</v>
      </c>
      <c r="Q3408" t="n">
        <v>0</v>
      </c>
      <c r="R3408" s="2" t="inlineStr"/>
    </row>
    <row r="3409" ht="15" customHeight="1">
      <c r="A3409" t="inlineStr">
        <is>
          <t>A 48149-2023</t>
        </is>
      </c>
      <c r="B3409" s="1" t="n">
        <v>45201</v>
      </c>
      <c r="C3409" s="1" t="n">
        <v>45952</v>
      </c>
      <c r="D3409" t="inlineStr">
        <is>
          <t>VÄSTRA GÖTALANDS LÄN</t>
        </is>
      </c>
      <c r="E3409" t="inlineStr">
        <is>
          <t>SKÖVDE</t>
        </is>
      </c>
      <c r="G3409" t="n">
        <v>6.2</v>
      </c>
      <c r="H3409" t="n">
        <v>0</v>
      </c>
      <c r="I3409" t="n">
        <v>0</v>
      </c>
      <c r="J3409" t="n">
        <v>0</v>
      </c>
      <c r="K3409" t="n">
        <v>0</v>
      </c>
      <c r="L3409" t="n">
        <v>0</v>
      </c>
      <c r="M3409" t="n">
        <v>0</v>
      </c>
      <c r="N3409" t="n">
        <v>0</v>
      </c>
      <c r="O3409" t="n">
        <v>0</v>
      </c>
      <c r="P3409" t="n">
        <v>0</v>
      </c>
      <c r="Q3409" t="n">
        <v>0</v>
      </c>
      <c r="R3409" s="2" t="inlineStr"/>
    </row>
    <row r="3410" ht="15" customHeight="1">
      <c r="A3410" t="inlineStr">
        <is>
          <t>A 24093-2022</t>
        </is>
      </c>
      <c r="B3410" s="1" t="n">
        <v>44725</v>
      </c>
      <c r="C3410" s="1" t="n">
        <v>45952</v>
      </c>
      <c r="D3410" t="inlineStr">
        <is>
          <t>VÄSTRA GÖTALANDS LÄN</t>
        </is>
      </c>
      <c r="E3410" t="inlineStr">
        <is>
          <t>TANUM</t>
        </is>
      </c>
      <c r="G3410" t="n">
        <v>0.7</v>
      </c>
      <c r="H3410" t="n">
        <v>0</v>
      </c>
      <c r="I3410" t="n">
        <v>0</v>
      </c>
      <c r="J3410" t="n">
        <v>0</v>
      </c>
      <c r="K3410" t="n">
        <v>0</v>
      </c>
      <c r="L3410" t="n">
        <v>0</v>
      </c>
      <c r="M3410" t="n">
        <v>0</v>
      </c>
      <c r="N3410" t="n">
        <v>0</v>
      </c>
      <c r="O3410" t="n">
        <v>0</v>
      </c>
      <c r="P3410" t="n">
        <v>0</v>
      </c>
      <c r="Q3410" t="n">
        <v>0</v>
      </c>
      <c r="R3410" s="2" t="inlineStr"/>
    </row>
    <row r="3411" ht="15" customHeight="1">
      <c r="A3411" t="inlineStr">
        <is>
          <t>A 24146-2022</t>
        </is>
      </c>
      <c r="B3411" s="1" t="n">
        <v>44725</v>
      </c>
      <c r="C3411" s="1" t="n">
        <v>45952</v>
      </c>
      <c r="D3411" t="inlineStr">
        <is>
          <t>VÄSTRA GÖTALANDS LÄN</t>
        </is>
      </c>
      <c r="E3411" t="inlineStr">
        <is>
          <t>MARK</t>
        </is>
      </c>
      <c r="G3411" t="n">
        <v>3.3</v>
      </c>
      <c r="H3411" t="n">
        <v>0</v>
      </c>
      <c r="I3411" t="n">
        <v>0</v>
      </c>
      <c r="J3411" t="n">
        <v>0</v>
      </c>
      <c r="K3411" t="n">
        <v>0</v>
      </c>
      <c r="L3411" t="n">
        <v>0</v>
      </c>
      <c r="M3411" t="n">
        <v>0</v>
      </c>
      <c r="N3411" t="n">
        <v>0</v>
      </c>
      <c r="O3411" t="n">
        <v>0</v>
      </c>
      <c r="P3411" t="n">
        <v>0</v>
      </c>
      <c r="Q3411" t="n">
        <v>0</v>
      </c>
      <c r="R3411" s="2" t="inlineStr"/>
    </row>
    <row r="3412" ht="15" customHeight="1">
      <c r="A3412" t="inlineStr">
        <is>
          <t>A 62712-2020</t>
        </is>
      </c>
      <c r="B3412" s="1" t="n">
        <v>44161</v>
      </c>
      <c r="C3412" s="1" t="n">
        <v>45952</v>
      </c>
      <c r="D3412" t="inlineStr">
        <is>
          <t>VÄSTRA GÖTALANDS LÄN</t>
        </is>
      </c>
      <c r="E3412" t="inlineStr">
        <is>
          <t>MUNKEDAL</t>
        </is>
      </c>
      <c r="G3412" t="n">
        <v>1.1</v>
      </c>
      <c r="H3412" t="n">
        <v>0</v>
      </c>
      <c r="I3412" t="n">
        <v>0</v>
      </c>
      <c r="J3412" t="n">
        <v>0</v>
      </c>
      <c r="K3412" t="n">
        <v>0</v>
      </c>
      <c r="L3412" t="n">
        <v>0</v>
      </c>
      <c r="M3412" t="n">
        <v>0</v>
      </c>
      <c r="N3412" t="n">
        <v>0</v>
      </c>
      <c r="O3412" t="n">
        <v>0</v>
      </c>
      <c r="P3412" t="n">
        <v>0</v>
      </c>
      <c r="Q3412" t="n">
        <v>0</v>
      </c>
      <c r="R3412" s="2" t="inlineStr"/>
    </row>
    <row r="3413" ht="15" customHeight="1">
      <c r="A3413" t="inlineStr">
        <is>
          <t>A 53609-2021</t>
        </is>
      </c>
      <c r="B3413" s="1" t="n">
        <v>44469.3720949074</v>
      </c>
      <c r="C3413" s="1" t="n">
        <v>45952</v>
      </c>
      <c r="D3413" t="inlineStr">
        <is>
          <t>VÄSTRA GÖTALANDS LÄN</t>
        </is>
      </c>
      <c r="E3413" t="inlineStr">
        <is>
          <t>MARK</t>
        </is>
      </c>
      <c r="G3413" t="n">
        <v>3.7</v>
      </c>
      <c r="H3413" t="n">
        <v>0</v>
      </c>
      <c r="I3413" t="n">
        <v>0</v>
      </c>
      <c r="J3413" t="n">
        <v>0</v>
      </c>
      <c r="K3413" t="n">
        <v>0</v>
      </c>
      <c r="L3413" t="n">
        <v>0</v>
      </c>
      <c r="M3413" t="n">
        <v>0</v>
      </c>
      <c r="N3413" t="n">
        <v>0</v>
      </c>
      <c r="O3413" t="n">
        <v>0</v>
      </c>
      <c r="P3413" t="n">
        <v>0</v>
      </c>
      <c r="Q3413" t="n">
        <v>0</v>
      </c>
      <c r="R3413" s="2" t="inlineStr"/>
    </row>
    <row r="3414" ht="15" customHeight="1">
      <c r="A3414" t="inlineStr">
        <is>
          <t>A 3293-2021</t>
        </is>
      </c>
      <c r="B3414" s="1" t="n">
        <v>44217</v>
      </c>
      <c r="C3414" s="1" t="n">
        <v>45952</v>
      </c>
      <c r="D3414" t="inlineStr">
        <is>
          <t>VÄSTRA GÖTALANDS LÄN</t>
        </is>
      </c>
      <c r="E3414" t="inlineStr">
        <is>
          <t>ALE</t>
        </is>
      </c>
      <c r="G3414" t="n">
        <v>4.2</v>
      </c>
      <c r="H3414" t="n">
        <v>0</v>
      </c>
      <c r="I3414" t="n">
        <v>0</v>
      </c>
      <c r="J3414" t="n">
        <v>0</v>
      </c>
      <c r="K3414" t="n">
        <v>0</v>
      </c>
      <c r="L3414" t="n">
        <v>0</v>
      </c>
      <c r="M3414" t="n">
        <v>0</v>
      </c>
      <c r="N3414" t="n">
        <v>0</v>
      </c>
      <c r="O3414" t="n">
        <v>0</v>
      </c>
      <c r="P3414" t="n">
        <v>0</v>
      </c>
      <c r="Q3414" t="n">
        <v>0</v>
      </c>
      <c r="R3414" s="2" t="inlineStr"/>
    </row>
    <row r="3415" ht="15" customHeight="1">
      <c r="A3415" t="inlineStr">
        <is>
          <t>A 30078-2023</t>
        </is>
      </c>
      <c r="B3415" s="1" t="n">
        <v>45110.43325231481</v>
      </c>
      <c r="C3415" s="1" t="n">
        <v>45952</v>
      </c>
      <c r="D3415" t="inlineStr">
        <is>
          <t>VÄSTRA GÖTALANDS LÄN</t>
        </is>
      </c>
      <c r="E3415" t="inlineStr">
        <is>
          <t>BORÅS</t>
        </is>
      </c>
      <c r="G3415" t="n">
        <v>0.7</v>
      </c>
      <c r="H3415" t="n">
        <v>0</v>
      </c>
      <c r="I3415" t="n">
        <v>0</v>
      </c>
      <c r="J3415" t="n">
        <v>0</v>
      </c>
      <c r="K3415" t="n">
        <v>0</v>
      </c>
      <c r="L3415" t="n">
        <v>0</v>
      </c>
      <c r="M3415" t="n">
        <v>0</v>
      </c>
      <c r="N3415" t="n">
        <v>0</v>
      </c>
      <c r="O3415" t="n">
        <v>0</v>
      </c>
      <c r="P3415" t="n">
        <v>0</v>
      </c>
      <c r="Q3415" t="n">
        <v>0</v>
      </c>
      <c r="R3415" s="2" t="inlineStr"/>
    </row>
    <row r="3416" ht="15" customHeight="1">
      <c r="A3416" t="inlineStr">
        <is>
          <t>A 30080-2023</t>
        </is>
      </c>
      <c r="B3416" s="1" t="n">
        <v>45110.43502314815</v>
      </c>
      <c r="C3416" s="1" t="n">
        <v>45952</v>
      </c>
      <c r="D3416" t="inlineStr">
        <is>
          <t>VÄSTRA GÖTALANDS LÄN</t>
        </is>
      </c>
      <c r="E3416" t="inlineStr">
        <is>
          <t>SKARA</t>
        </is>
      </c>
      <c r="G3416" t="n">
        <v>0.6</v>
      </c>
      <c r="H3416" t="n">
        <v>0</v>
      </c>
      <c r="I3416" t="n">
        <v>0</v>
      </c>
      <c r="J3416" t="n">
        <v>0</v>
      </c>
      <c r="K3416" t="n">
        <v>0</v>
      </c>
      <c r="L3416" t="n">
        <v>0</v>
      </c>
      <c r="M3416" t="n">
        <v>0</v>
      </c>
      <c r="N3416" t="n">
        <v>0</v>
      </c>
      <c r="O3416" t="n">
        <v>0</v>
      </c>
      <c r="P3416" t="n">
        <v>0</v>
      </c>
      <c r="Q3416" t="n">
        <v>0</v>
      </c>
      <c r="R3416" s="2" t="inlineStr"/>
    </row>
    <row r="3417" ht="15" customHeight="1">
      <c r="A3417" t="inlineStr">
        <is>
          <t>A 25043-2022</t>
        </is>
      </c>
      <c r="B3417" s="1" t="n">
        <v>44729</v>
      </c>
      <c r="C3417" s="1" t="n">
        <v>45952</v>
      </c>
      <c r="D3417" t="inlineStr">
        <is>
          <t>VÄSTRA GÖTALANDS LÄN</t>
        </is>
      </c>
      <c r="E3417" t="inlineStr">
        <is>
          <t>FALKÖPING</t>
        </is>
      </c>
      <c r="G3417" t="n">
        <v>0.5</v>
      </c>
      <c r="H3417" t="n">
        <v>0</v>
      </c>
      <c r="I3417" t="n">
        <v>0</v>
      </c>
      <c r="J3417" t="n">
        <v>0</v>
      </c>
      <c r="K3417" t="n">
        <v>0</v>
      </c>
      <c r="L3417" t="n">
        <v>0</v>
      </c>
      <c r="M3417" t="n">
        <v>0</v>
      </c>
      <c r="N3417" t="n">
        <v>0</v>
      </c>
      <c r="O3417" t="n">
        <v>0</v>
      </c>
      <c r="P3417" t="n">
        <v>0</v>
      </c>
      <c r="Q3417" t="n">
        <v>0</v>
      </c>
      <c r="R3417" s="2" t="inlineStr"/>
    </row>
    <row r="3418" ht="15" customHeight="1">
      <c r="A3418" t="inlineStr">
        <is>
          <t>A 30083-2023</t>
        </is>
      </c>
      <c r="B3418" s="1" t="n">
        <v>45110.43634259259</v>
      </c>
      <c r="C3418" s="1" t="n">
        <v>45952</v>
      </c>
      <c r="D3418" t="inlineStr">
        <is>
          <t>VÄSTRA GÖTALANDS LÄN</t>
        </is>
      </c>
      <c r="E3418" t="inlineStr">
        <is>
          <t>SKARA</t>
        </is>
      </c>
      <c r="G3418" t="n">
        <v>0.5</v>
      </c>
      <c r="H3418" t="n">
        <v>0</v>
      </c>
      <c r="I3418" t="n">
        <v>0</v>
      </c>
      <c r="J3418" t="n">
        <v>0</v>
      </c>
      <c r="K3418" t="n">
        <v>0</v>
      </c>
      <c r="L3418" t="n">
        <v>0</v>
      </c>
      <c r="M3418" t="n">
        <v>0</v>
      </c>
      <c r="N3418" t="n">
        <v>0</v>
      </c>
      <c r="O3418" t="n">
        <v>0</v>
      </c>
      <c r="P3418" t="n">
        <v>0</v>
      </c>
      <c r="Q3418" t="n">
        <v>0</v>
      </c>
      <c r="R3418" s="2" t="inlineStr"/>
    </row>
    <row r="3419" ht="15" customHeight="1">
      <c r="A3419" t="inlineStr">
        <is>
          <t>A 38-2022</t>
        </is>
      </c>
      <c r="B3419" s="1" t="n">
        <v>44564.37274305556</v>
      </c>
      <c r="C3419" s="1" t="n">
        <v>45952</v>
      </c>
      <c r="D3419" t="inlineStr">
        <is>
          <t>VÄSTRA GÖTALANDS LÄN</t>
        </is>
      </c>
      <c r="E3419" t="inlineStr">
        <is>
          <t>MÖLNDAL</t>
        </is>
      </c>
      <c r="G3419" t="n">
        <v>1</v>
      </c>
      <c r="H3419" t="n">
        <v>0</v>
      </c>
      <c r="I3419" t="n">
        <v>0</v>
      </c>
      <c r="J3419" t="n">
        <v>0</v>
      </c>
      <c r="K3419" t="n">
        <v>0</v>
      </c>
      <c r="L3419" t="n">
        <v>0</v>
      </c>
      <c r="M3419" t="n">
        <v>0</v>
      </c>
      <c r="N3419" t="n">
        <v>0</v>
      </c>
      <c r="O3419" t="n">
        <v>0</v>
      </c>
      <c r="P3419" t="n">
        <v>0</v>
      </c>
      <c r="Q3419" t="n">
        <v>0</v>
      </c>
      <c r="R3419" s="2" t="inlineStr"/>
    </row>
    <row r="3420" ht="15" customHeight="1">
      <c r="A3420" t="inlineStr">
        <is>
          <t>A 20584-2023</t>
        </is>
      </c>
      <c r="B3420" s="1" t="n">
        <v>45057</v>
      </c>
      <c r="C3420" s="1" t="n">
        <v>45952</v>
      </c>
      <c r="D3420" t="inlineStr">
        <is>
          <t>VÄSTRA GÖTALANDS LÄN</t>
        </is>
      </c>
      <c r="E3420" t="inlineStr">
        <is>
          <t>VÄNERSBORG</t>
        </is>
      </c>
      <c r="G3420" t="n">
        <v>1.9</v>
      </c>
      <c r="H3420" t="n">
        <v>0</v>
      </c>
      <c r="I3420" t="n">
        <v>0</v>
      </c>
      <c r="J3420" t="n">
        <v>0</v>
      </c>
      <c r="K3420" t="n">
        <v>0</v>
      </c>
      <c r="L3420" t="n">
        <v>0</v>
      </c>
      <c r="M3420" t="n">
        <v>0</v>
      </c>
      <c r="N3420" t="n">
        <v>0</v>
      </c>
      <c r="O3420" t="n">
        <v>0</v>
      </c>
      <c r="P3420" t="n">
        <v>0</v>
      </c>
      <c r="Q3420" t="n">
        <v>0</v>
      </c>
      <c r="R3420" s="2" t="inlineStr"/>
    </row>
    <row r="3421" ht="15" customHeight="1">
      <c r="A3421" t="inlineStr">
        <is>
          <t>A 38442-2023</t>
        </is>
      </c>
      <c r="B3421" s="1" t="n">
        <v>45162.39668981481</v>
      </c>
      <c r="C3421" s="1" t="n">
        <v>45952</v>
      </c>
      <c r="D3421" t="inlineStr">
        <is>
          <t>VÄSTRA GÖTALANDS LÄN</t>
        </is>
      </c>
      <c r="E3421" t="inlineStr">
        <is>
          <t>LILLA EDET</t>
        </is>
      </c>
      <c r="G3421" t="n">
        <v>1.2</v>
      </c>
      <c r="H3421" t="n">
        <v>0</v>
      </c>
      <c r="I3421" t="n">
        <v>0</v>
      </c>
      <c r="J3421" t="n">
        <v>0</v>
      </c>
      <c r="K3421" t="n">
        <v>0</v>
      </c>
      <c r="L3421" t="n">
        <v>0</v>
      </c>
      <c r="M3421" t="n">
        <v>0</v>
      </c>
      <c r="N3421" t="n">
        <v>0</v>
      </c>
      <c r="O3421" t="n">
        <v>0</v>
      </c>
      <c r="P3421" t="n">
        <v>0</v>
      </c>
      <c r="Q3421" t="n">
        <v>0</v>
      </c>
      <c r="R3421" s="2" t="inlineStr"/>
    </row>
    <row r="3422" ht="15" customHeight="1">
      <c r="A3422" t="inlineStr">
        <is>
          <t>A 58988-2022</t>
        </is>
      </c>
      <c r="B3422" s="1" t="n">
        <v>44903</v>
      </c>
      <c r="C3422" s="1" t="n">
        <v>45952</v>
      </c>
      <c r="D3422" t="inlineStr">
        <is>
          <t>VÄSTRA GÖTALANDS LÄN</t>
        </is>
      </c>
      <c r="E3422" t="inlineStr">
        <is>
          <t>TIDAHOLM</t>
        </is>
      </c>
      <c r="G3422" t="n">
        <v>5.7</v>
      </c>
      <c r="H3422" t="n">
        <v>0</v>
      </c>
      <c r="I3422" t="n">
        <v>0</v>
      </c>
      <c r="J3422" t="n">
        <v>0</v>
      </c>
      <c r="K3422" t="n">
        <v>0</v>
      </c>
      <c r="L3422" t="n">
        <v>0</v>
      </c>
      <c r="M3422" t="n">
        <v>0</v>
      </c>
      <c r="N3422" t="n">
        <v>0</v>
      </c>
      <c r="O3422" t="n">
        <v>0</v>
      </c>
      <c r="P3422" t="n">
        <v>0</v>
      </c>
      <c r="Q3422" t="n">
        <v>0</v>
      </c>
      <c r="R3422" s="2" t="inlineStr"/>
    </row>
    <row r="3423" ht="15" customHeight="1">
      <c r="A3423" t="inlineStr">
        <is>
          <t>A 58990-2022</t>
        </is>
      </c>
      <c r="B3423" s="1" t="n">
        <v>44903</v>
      </c>
      <c r="C3423" s="1" t="n">
        <v>45952</v>
      </c>
      <c r="D3423" t="inlineStr">
        <is>
          <t>VÄSTRA GÖTALANDS LÄN</t>
        </is>
      </c>
      <c r="E3423" t="inlineStr">
        <is>
          <t>ALINGSÅS</t>
        </is>
      </c>
      <c r="F3423" t="inlineStr">
        <is>
          <t>Kyrkan</t>
        </is>
      </c>
      <c r="G3423" t="n">
        <v>5</v>
      </c>
      <c r="H3423" t="n">
        <v>0</v>
      </c>
      <c r="I3423" t="n">
        <v>0</v>
      </c>
      <c r="J3423" t="n">
        <v>0</v>
      </c>
      <c r="K3423" t="n">
        <v>0</v>
      </c>
      <c r="L3423" t="n">
        <v>0</v>
      </c>
      <c r="M3423" t="n">
        <v>0</v>
      </c>
      <c r="N3423" t="n">
        <v>0</v>
      </c>
      <c r="O3423" t="n">
        <v>0</v>
      </c>
      <c r="P3423" t="n">
        <v>0</v>
      </c>
      <c r="Q3423" t="n">
        <v>0</v>
      </c>
      <c r="R3423" s="2" t="inlineStr"/>
    </row>
    <row r="3424" ht="15" customHeight="1">
      <c r="A3424" t="inlineStr">
        <is>
          <t>A 61621-2023</t>
        </is>
      </c>
      <c r="B3424" s="1" t="n">
        <v>45261</v>
      </c>
      <c r="C3424" s="1" t="n">
        <v>45952</v>
      </c>
      <c r="D3424" t="inlineStr">
        <is>
          <t>VÄSTRA GÖTALANDS LÄN</t>
        </is>
      </c>
      <c r="E3424" t="inlineStr">
        <is>
          <t>MUNKEDAL</t>
        </is>
      </c>
      <c r="F3424" t="inlineStr">
        <is>
          <t>Övriga Aktiebolag</t>
        </is>
      </c>
      <c r="G3424" t="n">
        <v>0.6</v>
      </c>
      <c r="H3424" t="n">
        <v>0</v>
      </c>
      <c r="I3424" t="n">
        <v>0</v>
      </c>
      <c r="J3424" t="n">
        <v>0</v>
      </c>
      <c r="K3424" t="n">
        <v>0</v>
      </c>
      <c r="L3424" t="n">
        <v>0</v>
      </c>
      <c r="M3424" t="n">
        <v>0</v>
      </c>
      <c r="N3424" t="n">
        <v>0</v>
      </c>
      <c r="O3424" t="n">
        <v>0</v>
      </c>
      <c r="P3424" t="n">
        <v>0</v>
      </c>
      <c r="Q3424" t="n">
        <v>0</v>
      </c>
      <c r="R3424" s="2" t="inlineStr"/>
    </row>
    <row r="3425" ht="15" customHeight="1">
      <c r="A3425" t="inlineStr">
        <is>
          <t>A 11622-2024</t>
        </is>
      </c>
      <c r="B3425" s="1" t="n">
        <v>45373.44097222222</v>
      </c>
      <c r="C3425" s="1" t="n">
        <v>45952</v>
      </c>
      <c r="D3425" t="inlineStr">
        <is>
          <t>VÄSTRA GÖTALANDS LÄN</t>
        </is>
      </c>
      <c r="E3425" t="inlineStr">
        <is>
          <t>BENGTSFORS</t>
        </is>
      </c>
      <c r="G3425" t="n">
        <v>3.1</v>
      </c>
      <c r="H3425" t="n">
        <v>0</v>
      </c>
      <c r="I3425" t="n">
        <v>0</v>
      </c>
      <c r="J3425" t="n">
        <v>0</v>
      </c>
      <c r="K3425" t="n">
        <v>0</v>
      </c>
      <c r="L3425" t="n">
        <v>0</v>
      </c>
      <c r="M3425" t="n">
        <v>0</v>
      </c>
      <c r="N3425" t="n">
        <v>0</v>
      </c>
      <c r="O3425" t="n">
        <v>0</v>
      </c>
      <c r="P3425" t="n">
        <v>0</v>
      </c>
      <c r="Q3425" t="n">
        <v>0</v>
      </c>
      <c r="R3425" s="2" t="inlineStr"/>
    </row>
    <row r="3426" ht="15" customHeight="1">
      <c r="A3426" t="inlineStr">
        <is>
          <t>A 47605-2021</t>
        </is>
      </c>
      <c r="B3426" s="1" t="n">
        <v>44448</v>
      </c>
      <c r="C3426" s="1" t="n">
        <v>45952</v>
      </c>
      <c r="D3426" t="inlineStr">
        <is>
          <t>VÄSTRA GÖTALANDS LÄN</t>
        </is>
      </c>
      <c r="E3426" t="inlineStr">
        <is>
          <t>ULRICEHAMN</t>
        </is>
      </c>
      <c r="G3426" t="n">
        <v>3.2</v>
      </c>
      <c r="H3426" t="n">
        <v>0</v>
      </c>
      <c r="I3426" t="n">
        <v>0</v>
      </c>
      <c r="J3426" t="n">
        <v>0</v>
      </c>
      <c r="K3426" t="n">
        <v>0</v>
      </c>
      <c r="L3426" t="n">
        <v>0</v>
      </c>
      <c r="M3426" t="n">
        <v>0</v>
      </c>
      <c r="N3426" t="n">
        <v>0</v>
      </c>
      <c r="O3426" t="n">
        <v>0</v>
      </c>
      <c r="P3426" t="n">
        <v>0</v>
      </c>
      <c r="Q3426" t="n">
        <v>0</v>
      </c>
      <c r="R3426" s="2" t="inlineStr"/>
    </row>
    <row r="3427" ht="15" customHeight="1">
      <c r="A3427" t="inlineStr">
        <is>
          <t>A 30157-2022</t>
        </is>
      </c>
      <c r="B3427" s="1" t="n">
        <v>44757</v>
      </c>
      <c r="C3427" s="1" t="n">
        <v>45952</v>
      </c>
      <c r="D3427" t="inlineStr">
        <is>
          <t>VÄSTRA GÖTALANDS LÄN</t>
        </is>
      </c>
      <c r="E3427" t="inlineStr">
        <is>
          <t>TROLLHÄTTAN</t>
        </is>
      </c>
      <c r="G3427" t="n">
        <v>4.3</v>
      </c>
      <c r="H3427" t="n">
        <v>0</v>
      </c>
      <c r="I3427" t="n">
        <v>0</v>
      </c>
      <c r="J3427" t="n">
        <v>0</v>
      </c>
      <c r="K3427" t="n">
        <v>0</v>
      </c>
      <c r="L3427" t="n">
        <v>0</v>
      </c>
      <c r="M3427" t="n">
        <v>0</v>
      </c>
      <c r="N3427" t="n">
        <v>0</v>
      </c>
      <c r="O3427" t="n">
        <v>0</v>
      </c>
      <c r="P3427" t="n">
        <v>0</v>
      </c>
      <c r="Q3427" t="n">
        <v>0</v>
      </c>
      <c r="R3427" s="2" t="inlineStr"/>
    </row>
    <row r="3428" ht="15" customHeight="1">
      <c r="A3428" t="inlineStr">
        <is>
          <t>A 26938-2023</t>
        </is>
      </c>
      <c r="B3428" s="1" t="n">
        <v>45093</v>
      </c>
      <c r="C3428" s="1" t="n">
        <v>45952</v>
      </c>
      <c r="D3428" t="inlineStr">
        <is>
          <t>VÄSTRA GÖTALANDS LÄN</t>
        </is>
      </c>
      <c r="E3428" t="inlineStr">
        <is>
          <t>MARK</t>
        </is>
      </c>
      <c r="G3428" t="n">
        <v>3.2</v>
      </c>
      <c r="H3428" t="n">
        <v>0</v>
      </c>
      <c r="I3428" t="n">
        <v>0</v>
      </c>
      <c r="J3428" t="n">
        <v>0</v>
      </c>
      <c r="K3428" t="n">
        <v>0</v>
      </c>
      <c r="L3428" t="n">
        <v>0</v>
      </c>
      <c r="M3428" t="n">
        <v>0</v>
      </c>
      <c r="N3428" t="n">
        <v>0</v>
      </c>
      <c r="O3428" t="n">
        <v>0</v>
      </c>
      <c r="P3428" t="n">
        <v>0</v>
      </c>
      <c r="Q3428" t="n">
        <v>0</v>
      </c>
      <c r="R3428" s="2" t="inlineStr"/>
    </row>
    <row r="3429" ht="15" customHeight="1">
      <c r="A3429" t="inlineStr">
        <is>
          <t>A 35238-2023</t>
        </is>
      </c>
      <c r="B3429" s="1" t="n">
        <v>45145.74743055556</v>
      </c>
      <c r="C3429" s="1" t="n">
        <v>45952</v>
      </c>
      <c r="D3429" t="inlineStr">
        <is>
          <t>VÄSTRA GÖTALANDS LÄN</t>
        </is>
      </c>
      <c r="E3429" t="inlineStr">
        <is>
          <t>TÖREBODA</t>
        </is>
      </c>
      <c r="G3429" t="n">
        <v>1.9</v>
      </c>
      <c r="H3429" t="n">
        <v>0</v>
      </c>
      <c r="I3429" t="n">
        <v>0</v>
      </c>
      <c r="J3429" t="n">
        <v>0</v>
      </c>
      <c r="K3429" t="n">
        <v>0</v>
      </c>
      <c r="L3429" t="n">
        <v>0</v>
      </c>
      <c r="M3429" t="n">
        <v>0</v>
      </c>
      <c r="N3429" t="n">
        <v>0</v>
      </c>
      <c r="O3429" t="n">
        <v>0</v>
      </c>
      <c r="P3429" t="n">
        <v>0</v>
      </c>
      <c r="Q3429" t="n">
        <v>0</v>
      </c>
      <c r="R3429" s="2" t="inlineStr"/>
    </row>
    <row r="3430" ht="15" customHeight="1">
      <c r="A3430" t="inlineStr">
        <is>
          <t>A 45943-2021</t>
        </is>
      </c>
      <c r="B3430" s="1" t="n">
        <v>44441</v>
      </c>
      <c r="C3430" s="1" t="n">
        <v>45952</v>
      </c>
      <c r="D3430" t="inlineStr">
        <is>
          <t>VÄSTRA GÖTALANDS LÄN</t>
        </is>
      </c>
      <c r="E3430" t="inlineStr">
        <is>
          <t>VARA</t>
        </is>
      </c>
      <c r="G3430" t="n">
        <v>1.4</v>
      </c>
      <c r="H3430" t="n">
        <v>0</v>
      </c>
      <c r="I3430" t="n">
        <v>0</v>
      </c>
      <c r="J3430" t="n">
        <v>0</v>
      </c>
      <c r="K3430" t="n">
        <v>0</v>
      </c>
      <c r="L3430" t="n">
        <v>0</v>
      </c>
      <c r="M3430" t="n">
        <v>0</v>
      </c>
      <c r="N3430" t="n">
        <v>0</v>
      </c>
      <c r="O3430" t="n">
        <v>0</v>
      </c>
      <c r="P3430" t="n">
        <v>0</v>
      </c>
      <c r="Q3430" t="n">
        <v>0</v>
      </c>
      <c r="R3430" s="2" t="inlineStr"/>
    </row>
    <row r="3431" ht="15" customHeight="1">
      <c r="A3431" t="inlineStr">
        <is>
          <t>A 46835-2021</t>
        </is>
      </c>
      <c r="B3431" s="1" t="n">
        <v>44446</v>
      </c>
      <c r="C3431" s="1" t="n">
        <v>45952</v>
      </c>
      <c r="D3431" t="inlineStr">
        <is>
          <t>VÄSTRA GÖTALANDS LÄN</t>
        </is>
      </c>
      <c r="E3431" t="inlineStr">
        <is>
          <t>MARIESTAD</t>
        </is>
      </c>
      <c r="G3431" t="n">
        <v>3.3</v>
      </c>
      <c r="H3431" t="n">
        <v>0</v>
      </c>
      <c r="I3431" t="n">
        <v>0</v>
      </c>
      <c r="J3431" t="n">
        <v>0</v>
      </c>
      <c r="K3431" t="n">
        <v>0</v>
      </c>
      <c r="L3431" t="n">
        <v>0</v>
      </c>
      <c r="M3431" t="n">
        <v>0</v>
      </c>
      <c r="N3431" t="n">
        <v>0</v>
      </c>
      <c r="O3431" t="n">
        <v>0</v>
      </c>
      <c r="P3431" t="n">
        <v>0</v>
      </c>
      <c r="Q3431" t="n">
        <v>0</v>
      </c>
      <c r="R3431" s="2" t="inlineStr"/>
    </row>
    <row r="3432" ht="15" customHeight="1">
      <c r="A3432" t="inlineStr">
        <is>
          <t>A 26333-2022</t>
        </is>
      </c>
      <c r="B3432" s="1" t="n">
        <v>44735</v>
      </c>
      <c r="C3432" s="1" t="n">
        <v>45952</v>
      </c>
      <c r="D3432" t="inlineStr">
        <is>
          <t>VÄSTRA GÖTALANDS LÄN</t>
        </is>
      </c>
      <c r="E3432" t="inlineStr">
        <is>
          <t>GULLSPÅNG</t>
        </is>
      </c>
      <c r="G3432" t="n">
        <v>0.6</v>
      </c>
      <c r="H3432" t="n">
        <v>0</v>
      </c>
      <c r="I3432" t="n">
        <v>0</v>
      </c>
      <c r="J3432" t="n">
        <v>0</v>
      </c>
      <c r="K3432" t="n">
        <v>0</v>
      </c>
      <c r="L3432" t="n">
        <v>0</v>
      </c>
      <c r="M3432" t="n">
        <v>0</v>
      </c>
      <c r="N3432" t="n">
        <v>0</v>
      </c>
      <c r="O3432" t="n">
        <v>0</v>
      </c>
      <c r="P3432" t="n">
        <v>0</v>
      </c>
      <c r="Q3432" t="n">
        <v>0</v>
      </c>
      <c r="R3432" s="2" t="inlineStr"/>
    </row>
    <row r="3433" ht="15" customHeight="1">
      <c r="A3433" t="inlineStr">
        <is>
          <t>A 29392-2024</t>
        </is>
      </c>
      <c r="B3433" s="1" t="n">
        <v>45483</v>
      </c>
      <c r="C3433" s="1" t="n">
        <v>45952</v>
      </c>
      <c r="D3433" t="inlineStr">
        <is>
          <t>VÄSTRA GÖTALANDS LÄN</t>
        </is>
      </c>
      <c r="E3433" t="inlineStr">
        <is>
          <t>TIDAHOLM</t>
        </is>
      </c>
      <c r="G3433" t="n">
        <v>1.5</v>
      </c>
      <c r="H3433" t="n">
        <v>0</v>
      </c>
      <c r="I3433" t="n">
        <v>0</v>
      </c>
      <c r="J3433" t="n">
        <v>0</v>
      </c>
      <c r="K3433" t="n">
        <v>0</v>
      </c>
      <c r="L3433" t="n">
        <v>0</v>
      </c>
      <c r="M3433" t="n">
        <v>0</v>
      </c>
      <c r="N3433" t="n">
        <v>0</v>
      </c>
      <c r="O3433" t="n">
        <v>0</v>
      </c>
      <c r="P3433" t="n">
        <v>0</v>
      </c>
      <c r="Q3433" t="n">
        <v>0</v>
      </c>
      <c r="R3433" s="2" t="inlineStr"/>
    </row>
    <row r="3434" ht="15" customHeight="1">
      <c r="A3434" t="inlineStr">
        <is>
          <t>A 35939-2022</t>
        </is>
      </c>
      <c r="B3434" s="1" t="n">
        <v>44802</v>
      </c>
      <c r="C3434" s="1" t="n">
        <v>45952</v>
      </c>
      <c r="D3434" t="inlineStr">
        <is>
          <t>VÄSTRA GÖTALANDS LÄN</t>
        </is>
      </c>
      <c r="E3434" t="inlineStr">
        <is>
          <t>FALKÖPING</t>
        </is>
      </c>
      <c r="G3434" t="n">
        <v>0.7</v>
      </c>
      <c r="H3434" t="n">
        <v>0</v>
      </c>
      <c r="I3434" t="n">
        <v>0</v>
      </c>
      <c r="J3434" t="n">
        <v>0</v>
      </c>
      <c r="K3434" t="n">
        <v>0</v>
      </c>
      <c r="L3434" t="n">
        <v>0</v>
      </c>
      <c r="M3434" t="n">
        <v>0</v>
      </c>
      <c r="N3434" t="n">
        <v>0</v>
      </c>
      <c r="O3434" t="n">
        <v>0</v>
      </c>
      <c r="P3434" t="n">
        <v>0</v>
      </c>
      <c r="Q3434" t="n">
        <v>0</v>
      </c>
      <c r="R3434" s="2" t="inlineStr"/>
    </row>
    <row r="3435" ht="15" customHeight="1">
      <c r="A3435" t="inlineStr">
        <is>
          <t>A 31880-2023</t>
        </is>
      </c>
      <c r="B3435" s="1" t="n">
        <v>45106</v>
      </c>
      <c r="C3435" s="1" t="n">
        <v>45952</v>
      </c>
      <c r="D3435" t="inlineStr">
        <is>
          <t>VÄSTRA GÖTALANDS LÄN</t>
        </is>
      </c>
      <c r="E3435" t="inlineStr">
        <is>
          <t>MARK</t>
        </is>
      </c>
      <c r="G3435" t="n">
        <v>0.7</v>
      </c>
      <c r="H3435" t="n">
        <v>0</v>
      </c>
      <c r="I3435" t="n">
        <v>0</v>
      </c>
      <c r="J3435" t="n">
        <v>0</v>
      </c>
      <c r="K3435" t="n">
        <v>0</v>
      </c>
      <c r="L3435" t="n">
        <v>0</v>
      </c>
      <c r="M3435" t="n">
        <v>0</v>
      </c>
      <c r="N3435" t="n">
        <v>0</v>
      </c>
      <c r="O3435" t="n">
        <v>0</v>
      </c>
      <c r="P3435" t="n">
        <v>0</v>
      </c>
      <c r="Q3435" t="n">
        <v>0</v>
      </c>
      <c r="R3435" s="2" t="inlineStr"/>
    </row>
    <row r="3436" ht="15" customHeight="1">
      <c r="A3436" t="inlineStr">
        <is>
          <t>A 51067-2022</t>
        </is>
      </c>
      <c r="B3436" s="1" t="n">
        <v>44868.36377314815</v>
      </c>
      <c r="C3436" s="1" t="n">
        <v>45952</v>
      </c>
      <c r="D3436" t="inlineStr">
        <is>
          <t>VÄSTRA GÖTALANDS LÄN</t>
        </is>
      </c>
      <c r="E3436" t="inlineStr">
        <is>
          <t>ÅMÅL</t>
        </is>
      </c>
      <c r="G3436" t="n">
        <v>3</v>
      </c>
      <c r="H3436" t="n">
        <v>0</v>
      </c>
      <c r="I3436" t="n">
        <v>0</v>
      </c>
      <c r="J3436" t="n">
        <v>0</v>
      </c>
      <c r="K3436" t="n">
        <v>0</v>
      </c>
      <c r="L3436" t="n">
        <v>0</v>
      </c>
      <c r="M3436" t="n">
        <v>0</v>
      </c>
      <c r="N3436" t="n">
        <v>0</v>
      </c>
      <c r="O3436" t="n">
        <v>0</v>
      </c>
      <c r="P3436" t="n">
        <v>0</v>
      </c>
      <c r="Q3436" t="n">
        <v>0</v>
      </c>
      <c r="R3436" s="2" t="inlineStr"/>
    </row>
    <row r="3437" ht="15" customHeight="1">
      <c r="A3437" t="inlineStr">
        <is>
          <t>A 48937-2024</t>
        </is>
      </c>
      <c r="B3437" s="1" t="n">
        <v>45594.41428240741</v>
      </c>
      <c r="C3437" s="1" t="n">
        <v>45952</v>
      </c>
      <c r="D3437" t="inlineStr">
        <is>
          <t>VÄSTRA GÖTALANDS LÄN</t>
        </is>
      </c>
      <c r="E3437" t="inlineStr">
        <is>
          <t>SVENLJUNGA</t>
        </is>
      </c>
      <c r="G3437" t="n">
        <v>0.9</v>
      </c>
      <c r="H3437" t="n">
        <v>0</v>
      </c>
      <c r="I3437" t="n">
        <v>0</v>
      </c>
      <c r="J3437" t="n">
        <v>0</v>
      </c>
      <c r="K3437" t="n">
        <v>0</v>
      </c>
      <c r="L3437" t="n">
        <v>0</v>
      </c>
      <c r="M3437" t="n">
        <v>0</v>
      </c>
      <c r="N3437" t="n">
        <v>0</v>
      </c>
      <c r="O3437" t="n">
        <v>0</v>
      </c>
      <c r="P3437" t="n">
        <v>0</v>
      </c>
      <c r="Q3437" t="n">
        <v>0</v>
      </c>
      <c r="R3437" s="2" t="inlineStr"/>
    </row>
    <row r="3438" ht="15" customHeight="1">
      <c r="A3438" t="inlineStr">
        <is>
          <t>A 21588-2022</t>
        </is>
      </c>
      <c r="B3438" s="1" t="n">
        <v>44706</v>
      </c>
      <c r="C3438" s="1" t="n">
        <v>45952</v>
      </c>
      <c r="D3438" t="inlineStr">
        <is>
          <t>VÄSTRA GÖTALANDS LÄN</t>
        </is>
      </c>
      <c r="E3438" t="inlineStr">
        <is>
          <t>FÄRGELANDA</t>
        </is>
      </c>
      <c r="G3438" t="n">
        <v>1.1</v>
      </c>
      <c r="H3438" t="n">
        <v>0</v>
      </c>
      <c r="I3438" t="n">
        <v>0</v>
      </c>
      <c r="J3438" t="n">
        <v>0</v>
      </c>
      <c r="K3438" t="n">
        <v>0</v>
      </c>
      <c r="L3438" t="n">
        <v>0</v>
      </c>
      <c r="M3438" t="n">
        <v>0</v>
      </c>
      <c r="N3438" t="n">
        <v>0</v>
      </c>
      <c r="O3438" t="n">
        <v>0</v>
      </c>
      <c r="P3438" t="n">
        <v>0</v>
      </c>
      <c r="Q3438" t="n">
        <v>0</v>
      </c>
      <c r="R3438" s="2" t="inlineStr"/>
    </row>
    <row r="3439" ht="15" customHeight="1">
      <c r="A3439" t="inlineStr">
        <is>
          <t>A 2478-2021</t>
        </is>
      </c>
      <c r="B3439" s="1" t="n">
        <v>44214</v>
      </c>
      <c r="C3439" s="1" t="n">
        <v>45952</v>
      </c>
      <c r="D3439" t="inlineStr">
        <is>
          <t>VÄSTRA GÖTALANDS LÄN</t>
        </is>
      </c>
      <c r="E3439" t="inlineStr">
        <is>
          <t>VÅRGÅRDA</t>
        </is>
      </c>
      <c r="G3439" t="n">
        <v>3.7</v>
      </c>
      <c r="H3439" t="n">
        <v>0</v>
      </c>
      <c r="I3439" t="n">
        <v>0</v>
      </c>
      <c r="J3439" t="n">
        <v>0</v>
      </c>
      <c r="K3439" t="n">
        <v>0</v>
      </c>
      <c r="L3439" t="n">
        <v>0</v>
      </c>
      <c r="M3439" t="n">
        <v>0</v>
      </c>
      <c r="N3439" t="n">
        <v>0</v>
      </c>
      <c r="O3439" t="n">
        <v>0</v>
      </c>
      <c r="P3439" t="n">
        <v>0</v>
      </c>
      <c r="Q3439" t="n">
        <v>0</v>
      </c>
      <c r="R3439" s="2" t="inlineStr"/>
    </row>
    <row r="3440" ht="15" customHeight="1">
      <c r="A3440" t="inlineStr">
        <is>
          <t>A 31967-2024</t>
        </is>
      </c>
      <c r="B3440" s="1" t="n">
        <v>45510</v>
      </c>
      <c r="C3440" s="1" t="n">
        <v>45952</v>
      </c>
      <c r="D3440" t="inlineStr">
        <is>
          <t>VÄSTRA GÖTALANDS LÄN</t>
        </is>
      </c>
      <c r="E3440" t="inlineStr">
        <is>
          <t>VARA</t>
        </is>
      </c>
      <c r="G3440" t="n">
        <v>9.1</v>
      </c>
      <c r="H3440" t="n">
        <v>0</v>
      </c>
      <c r="I3440" t="n">
        <v>0</v>
      </c>
      <c r="J3440" t="n">
        <v>0</v>
      </c>
      <c r="K3440" t="n">
        <v>0</v>
      </c>
      <c r="L3440" t="n">
        <v>0</v>
      </c>
      <c r="M3440" t="n">
        <v>0</v>
      </c>
      <c r="N3440" t="n">
        <v>0</v>
      </c>
      <c r="O3440" t="n">
        <v>0</v>
      </c>
      <c r="P3440" t="n">
        <v>0</v>
      </c>
      <c r="Q3440" t="n">
        <v>0</v>
      </c>
      <c r="R3440" s="2" t="inlineStr"/>
    </row>
    <row r="3441" ht="15" customHeight="1">
      <c r="A3441" t="inlineStr">
        <is>
          <t>A 57786-2022</t>
        </is>
      </c>
      <c r="B3441" s="1" t="n">
        <v>44897</v>
      </c>
      <c r="C3441" s="1" t="n">
        <v>45952</v>
      </c>
      <c r="D3441" t="inlineStr">
        <is>
          <t>VÄSTRA GÖTALANDS LÄN</t>
        </is>
      </c>
      <c r="E3441" t="inlineStr">
        <is>
          <t>BORÅS</t>
        </is>
      </c>
      <c r="G3441" t="n">
        <v>3.6</v>
      </c>
      <c r="H3441" t="n">
        <v>0</v>
      </c>
      <c r="I3441" t="n">
        <v>0</v>
      </c>
      <c r="J3441" t="n">
        <v>0</v>
      </c>
      <c r="K3441" t="n">
        <v>0</v>
      </c>
      <c r="L3441" t="n">
        <v>0</v>
      </c>
      <c r="M3441" t="n">
        <v>0</v>
      </c>
      <c r="N3441" t="n">
        <v>0</v>
      </c>
      <c r="O3441" t="n">
        <v>0</v>
      </c>
      <c r="P3441" t="n">
        <v>0</v>
      </c>
      <c r="Q3441" t="n">
        <v>0</v>
      </c>
      <c r="R3441" s="2" t="inlineStr"/>
    </row>
    <row r="3442" ht="15" customHeight="1">
      <c r="A3442" t="inlineStr">
        <is>
          <t>A 64762-2021</t>
        </is>
      </c>
      <c r="B3442" s="1" t="n">
        <v>44512</v>
      </c>
      <c r="C3442" s="1" t="n">
        <v>45952</v>
      </c>
      <c r="D3442" t="inlineStr">
        <is>
          <t>VÄSTRA GÖTALANDS LÄN</t>
        </is>
      </c>
      <c r="E3442" t="inlineStr">
        <is>
          <t>ULRICEHAMN</t>
        </is>
      </c>
      <c r="F3442" t="inlineStr">
        <is>
          <t>Sveaskog</t>
        </is>
      </c>
      <c r="G3442" t="n">
        <v>8.4</v>
      </c>
      <c r="H3442" t="n">
        <v>0</v>
      </c>
      <c r="I3442" t="n">
        <v>0</v>
      </c>
      <c r="J3442" t="n">
        <v>0</v>
      </c>
      <c r="K3442" t="n">
        <v>0</v>
      </c>
      <c r="L3442" t="n">
        <v>0</v>
      </c>
      <c r="M3442" t="n">
        <v>0</v>
      </c>
      <c r="N3442" t="n">
        <v>0</v>
      </c>
      <c r="O3442" t="n">
        <v>0</v>
      </c>
      <c r="P3442" t="n">
        <v>0</v>
      </c>
      <c r="Q3442" t="n">
        <v>0</v>
      </c>
      <c r="R3442" s="2" t="inlineStr"/>
    </row>
    <row r="3443" ht="15" customHeight="1">
      <c r="A3443" t="inlineStr">
        <is>
          <t>A 51777-2024</t>
        </is>
      </c>
      <c r="B3443" s="1" t="n">
        <v>45607.45567129629</v>
      </c>
      <c r="C3443" s="1" t="n">
        <v>45952</v>
      </c>
      <c r="D3443" t="inlineStr">
        <is>
          <t>VÄSTRA GÖTALANDS LÄN</t>
        </is>
      </c>
      <c r="E3443" t="inlineStr">
        <is>
          <t>ULRICEHAMN</t>
        </is>
      </c>
      <c r="G3443" t="n">
        <v>0.4</v>
      </c>
      <c r="H3443" t="n">
        <v>0</v>
      </c>
      <c r="I3443" t="n">
        <v>0</v>
      </c>
      <c r="J3443" t="n">
        <v>0</v>
      </c>
      <c r="K3443" t="n">
        <v>0</v>
      </c>
      <c r="L3443" t="n">
        <v>0</v>
      </c>
      <c r="M3443" t="n">
        <v>0</v>
      </c>
      <c r="N3443" t="n">
        <v>0</v>
      </c>
      <c r="O3443" t="n">
        <v>0</v>
      </c>
      <c r="P3443" t="n">
        <v>0</v>
      </c>
      <c r="Q3443" t="n">
        <v>0</v>
      </c>
      <c r="R3443" s="2" t="inlineStr"/>
    </row>
    <row r="3444" ht="15" customHeight="1">
      <c r="A3444" t="inlineStr">
        <is>
          <t>A 7159-2025</t>
        </is>
      </c>
      <c r="B3444" s="1" t="n">
        <v>45702.38752314815</v>
      </c>
      <c r="C3444" s="1" t="n">
        <v>45952</v>
      </c>
      <c r="D3444" t="inlineStr">
        <is>
          <t>VÄSTRA GÖTALANDS LÄN</t>
        </is>
      </c>
      <c r="E3444" t="inlineStr">
        <is>
          <t>MARIESTAD</t>
        </is>
      </c>
      <c r="F3444" t="inlineStr">
        <is>
          <t>Sveaskog</t>
        </is>
      </c>
      <c r="G3444" t="n">
        <v>3</v>
      </c>
      <c r="H3444" t="n">
        <v>0</v>
      </c>
      <c r="I3444" t="n">
        <v>0</v>
      </c>
      <c r="J3444" t="n">
        <v>0</v>
      </c>
      <c r="K3444" t="n">
        <v>0</v>
      </c>
      <c r="L3444" t="n">
        <v>0</v>
      </c>
      <c r="M3444" t="n">
        <v>0</v>
      </c>
      <c r="N3444" t="n">
        <v>0</v>
      </c>
      <c r="O3444" t="n">
        <v>0</v>
      </c>
      <c r="P3444" t="n">
        <v>0</v>
      </c>
      <c r="Q3444" t="n">
        <v>0</v>
      </c>
      <c r="R3444" s="2" t="inlineStr"/>
    </row>
    <row r="3445" ht="15" customHeight="1">
      <c r="A3445" t="inlineStr">
        <is>
          <t>A 13049-2023</t>
        </is>
      </c>
      <c r="B3445" s="1" t="n">
        <v>45002</v>
      </c>
      <c r="C3445" s="1" t="n">
        <v>45952</v>
      </c>
      <c r="D3445" t="inlineStr">
        <is>
          <t>VÄSTRA GÖTALANDS LÄN</t>
        </is>
      </c>
      <c r="E3445" t="inlineStr">
        <is>
          <t>GULLSPÅNG</t>
        </is>
      </c>
      <c r="G3445" t="n">
        <v>2.6</v>
      </c>
      <c r="H3445" t="n">
        <v>0</v>
      </c>
      <c r="I3445" t="n">
        <v>0</v>
      </c>
      <c r="J3445" t="n">
        <v>0</v>
      </c>
      <c r="K3445" t="n">
        <v>0</v>
      </c>
      <c r="L3445" t="n">
        <v>0</v>
      </c>
      <c r="M3445" t="n">
        <v>0</v>
      </c>
      <c r="N3445" t="n">
        <v>0</v>
      </c>
      <c r="O3445" t="n">
        <v>0</v>
      </c>
      <c r="P3445" t="n">
        <v>0</v>
      </c>
      <c r="Q3445" t="n">
        <v>0</v>
      </c>
      <c r="R3445" s="2" t="inlineStr"/>
    </row>
    <row r="3446" ht="15" customHeight="1">
      <c r="A3446" t="inlineStr">
        <is>
          <t>A 57220-2023</t>
        </is>
      </c>
      <c r="B3446" s="1" t="n">
        <v>45245.5027662037</v>
      </c>
      <c r="C3446" s="1" t="n">
        <v>45952</v>
      </c>
      <c r="D3446" t="inlineStr">
        <is>
          <t>VÄSTRA GÖTALANDS LÄN</t>
        </is>
      </c>
      <c r="E3446" t="inlineStr">
        <is>
          <t>TÖREBODA</t>
        </is>
      </c>
      <c r="G3446" t="n">
        <v>5.2</v>
      </c>
      <c r="H3446" t="n">
        <v>0</v>
      </c>
      <c r="I3446" t="n">
        <v>0</v>
      </c>
      <c r="J3446" t="n">
        <v>0</v>
      </c>
      <c r="K3446" t="n">
        <v>0</v>
      </c>
      <c r="L3446" t="n">
        <v>0</v>
      </c>
      <c r="M3446" t="n">
        <v>0</v>
      </c>
      <c r="N3446" t="n">
        <v>0</v>
      </c>
      <c r="O3446" t="n">
        <v>0</v>
      </c>
      <c r="P3446" t="n">
        <v>0</v>
      </c>
      <c r="Q3446" t="n">
        <v>0</v>
      </c>
      <c r="R3446" s="2" t="inlineStr"/>
    </row>
    <row r="3447" ht="15" customHeight="1">
      <c r="A3447" t="inlineStr">
        <is>
          <t>A 6278-2025</t>
        </is>
      </c>
      <c r="B3447" s="1" t="n">
        <v>45698.61976851852</v>
      </c>
      <c r="C3447" s="1" t="n">
        <v>45952</v>
      </c>
      <c r="D3447" t="inlineStr">
        <is>
          <t>VÄSTRA GÖTALANDS LÄN</t>
        </is>
      </c>
      <c r="E3447" t="inlineStr">
        <is>
          <t>DALS-ED</t>
        </is>
      </c>
      <c r="G3447" t="n">
        <v>39</v>
      </c>
      <c r="H3447" t="n">
        <v>0</v>
      </c>
      <c r="I3447" t="n">
        <v>0</v>
      </c>
      <c r="J3447" t="n">
        <v>0</v>
      </c>
      <c r="K3447" t="n">
        <v>0</v>
      </c>
      <c r="L3447" t="n">
        <v>0</v>
      </c>
      <c r="M3447" t="n">
        <v>0</v>
      </c>
      <c r="N3447" t="n">
        <v>0</v>
      </c>
      <c r="O3447" t="n">
        <v>0</v>
      </c>
      <c r="P3447" t="n">
        <v>0</v>
      </c>
      <c r="Q3447" t="n">
        <v>0</v>
      </c>
      <c r="R3447" s="2" t="inlineStr"/>
    </row>
    <row r="3448" ht="15" customHeight="1">
      <c r="A3448" t="inlineStr">
        <is>
          <t>A 55202-2020</t>
        </is>
      </c>
      <c r="B3448" s="1" t="n">
        <v>44130</v>
      </c>
      <c r="C3448" s="1" t="n">
        <v>45952</v>
      </c>
      <c r="D3448" t="inlineStr">
        <is>
          <t>VÄSTRA GÖTALANDS LÄN</t>
        </is>
      </c>
      <c r="E3448" t="inlineStr">
        <is>
          <t>MARIESTAD</t>
        </is>
      </c>
      <c r="G3448" t="n">
        <v>0.6</v>
      </c>
      <c r="H3448" t="n">
        <v>0</v>
      </c>
      <c r="I3448" t="n">
        <v>0</v>
      </c>
      <c r="J3448" t="n">
        <v>0</v>
      </c>
      <c r="K3448" t="n">
        <v>0</v>
      </c>
      <c r="L3448" t="n">
        <v>0</v>
      </c>
      <c r="M3448" t="n">
        <v>0</v>
      </c>
      <c r="N3448" t="n">
        <v>0</v>
      </c>
      <c r="O3448" t="n">
        <v>0</v>
      </c>
      <c r="P3448" t="n">
        <v>0</v>
      </c>
      <c r="Q3448" t="n">
        <v>0</v>
      </c>
      <c r="R3448" s="2" t="inlineStr"/>
    </row>
    <row r="3449" ht="15" customHeight="1">
      <c r="A3449" t="inlineStr">
        <is>
          <t>A 69322-2020</t>
        </is>
      </c>
      <c r="B3449" s="1" t="n">
        <v>44192</v>
      </c>
      <c r="C3449" s="1" t="n">
        <v>45952</v>
      </c>
      <c r="D3449" t="inlineStr">
        <is>
          <t>VÄSTRA GÖTALANDS LÄN</t>
        </is>
      </c>
      <c r="E3449" t="inlineStr">
        <is>
          <t>TÖREBODA</t>
        </is>
      </c>
      <c r="G3449" t="n">
        <v>1.3</v>
      </c>
      <c r="H3449" t="n">
        <v>0</v>
      </c>
      <c r="I3449" t="n">
        <v>0</v>
      </c>
      <c r="J3449" t="n">
        <v>0</v>
      </c>
      <c r="K3449" t="n">
        <v>0</v>
      </c>
      <c r="L3449" t="n">
        <v>0</v>
      </c>
      <c r="M3449" t="n">
        <v>0</v>
      </c>
      <c r="N3449" t="n">
        <v>0</v>
      </c>
      <c r="O3449" t="n">
        <v>0</v>
      </c>
      <c r="P3449" t="n">
        <v>0</v>
      </c>
      <c r="Q3449" t="n">
        <v>0</v>
      </c>
      <c r="R3449" s="2" t="inlineStr"/>
    </row>
    <row r="3450" ht="15" customHeight="1">
      <c r="A3450" t="inlineStr">
        <is>
          <t>A 35842-2023</t>
        </is>
      </c>
      <c r="B3450" s="1" t="n">
        <v>45148.49081018518</v>
      </c>
      <c r="C3450" s="1" t="n">
        <v>45952</v>
      </c>
      <c r="D3450" t="inlineStr">
        <is>
          <t>VÄSTRA GÖTALANDS LÄN</t>
        </is>
      </c>
      <c r="E3450" t="inlineStr">
        <is>
          <t>FALKÖPING</t>
        </is>
      </c>
      <c r="G3450" t="n">
        <v>0.9</v>
      </c>
      <c r="H3450" t="n">
        <v>0</v>
      </c>
      <c r="I3450" t="n">
        <v>0</v>
      </c>
      <c r="J3450" t="n">
        <v>0</v>
      </c>
      <c r="K3450" t="n">
        <v>0</v>
      </c>
      <c r="L3450" t="n">
        <v>0</v>
      </c>
      <c r="M3450" t="n">
        <v>0</v>
      </c>
      <c r="N3450" t="n">
        <v>0</v>
      </c>
      <c r="O3450" t="n">
        <v>0</v>
      </c>
      <c r="P3450" t="n">
        <v>0</v>
      </c>
      <c r="Q3450" t="n">
        <v>0</v>
      </c>
      <c r="R3450" s="2" t="inlineStr"/>
    </row>
    <row r="3451" ht="15" customHeight="1">
      <c r="A3451" t="inlineStr">
        <is>
          <t>A 67472-2021</t>
        </is>
      </c>
      <c r="B3451" s="1" t="n">
        <v>44524.42733796296</v>
      </c>
      <c r="C3451" s="1" t="n">
        <v>45952</v>
      </c>
      <c r="D3451" t="inlineStr">
        <is>
          <t>VÄSTRA GÖTALANDS LÄN</t>
        </is>
      </c>
      <c r="E3451" t="inlineStr">
        <is>
          <t>SVENLJUNGA</t>
        </is>
      </c>
      <c r="G3451" t="n">
        <v>1.8</v>
      </c>
      <c r="H3451" t="n">
        <v>0</v>
      </c>
      <c r="I3451" t="n">
        <v>0</v>
      </c>
      <c r="J3451" t="n">
        <v>0</v>
      </c>
      <c r="K3451" t="n">
        <v>0</v>
      </c>
      <c r="L3451" t="n">
        <v>0</v>
      </c>
      <c r="M3451" t="n">
        <v>0</v>
      </c>
      <c r="N3451" t="n">
        <v>0</v>
      </c>
      <c r="O3451" t="n">
        <v>0</v>
      </c>
      <c r="P3451" t="n">
        <v>0</v>
      </c>
      <c r="Q3451" t="n">
        <v>0</v>
      </c>
      <c r="R3451" s="2" t="inlineStr"/>
    </row>
    <row r="3452" ht="15" customHeight="1">
      <c r="A3452" t="inlineStr">
        <is>
          <t>A 15466-2025</t>
        </is>
      </c>
      <c r="B3452" s="1" t="n">
        <v>45747.52431712963</v>
      </c>
      <c r="C3452" s="1" t="n">
        <v>45952</v>
      </c>
      <c r="D3452" t="inlineStr">
        <is>
          <t>VÄSTRA GÖTALANDS LÄN</t>
        </is>
      </c>
      <c r="E3452" t="inlineStr">
        <is>
          <t>MUNKEDAL</t>
        </is>
      </c>
      <c r="G3452" t="n">
        <v>0.5</v>
      </c>
      <c r="H3452" t="n">
        <v>0</v>
      </c>
      <c r="I3452" t="n">
        <v>0</v>
      </c>
      <c r="J3452" t="n">
        <v>0</v>
      </c>
      <c r="K3452" t="n">
        <v>0</v>
      </c>
      <c r="L3452" t="n">
        <v>0</v>
      </c>
      <c r="M3452" t="n">
        <v>0</v>
      </c>
      <c r="N3452" t="n">
        <v>0</v>
      </c>
      <c r="O3452" t="n">
        <v>0</v>
      </c>
      <c r="P3452" t="n">
        <v>0</v>
      </c>
      <c r="Q3452" t="n">
        <v>0</v>
      </c>
      <c r="R3452" s="2" t="inlineStr"/>
    </row>
    <row r="3453" ht="15" customHeight="1">
      <c r="A3453" t="inlineStr">
        <is>
          <t>A 15468-2025</t>
        </is>
      </c>
      <c r="B3453" s="1" t="n">
        <v>45747.52716435185</v>
      </c>
      <c r="C3453" s="1" t="n">
        <v>45952</v>
      </c>
      <c r="D3453" t="inlineStr">
        <is>
          <t>VÄSTRA GÖTALANDS LÄN</t>
        </is>
      </c>
      <c r="E3453" t="inlineStr">
        <is>
          <t>MUNKEDAL</t>
        </is>
      </c>
      <c r="G3453" t="n">
        <v>0.5</v>
      </c>
      <c r="H3453" t="n">
        <v>0</v>
      </c>
      <c r="I3453" t="n">
        <v>0</v>
      </c>
      <c r="J3453" t="n">
        <v>0</v>
      </c>
      <c r="K3453" t="n">
        <v>0</v>
      </c>
      <c r="L3453" t="n">
        <v>0</v>
      </c>
      <c r="M3453" t="n">
        <v>0</v>
      </c>
      <c r="N3453" t="n">
        <v>0</v>
      </c>
      <c r="O3453" t="n">
        <v>0</v>
      </c>
      <c r="P3453" t="n">
        <v>0</v>
      </c>
      <c r="Q3453" t="n">
        <v>0</v>
      </c>
      <c r="R3453" s="2" t="inlineStr"/>
    </row>
    <row r="3454" ht="15" customHeight="1">
      <c r="A3454" t="inlineStr">
        <is>
          <t>A 23018-2022</t>
        </is>
      </c>
      <c r="B3454" s="1" t="n">
        <v>44719.37288194444</v>
      </c>
      <c r="C3454" s="1" t="n">
        <v>45952</v>
      </c>
      <c r="D3454" t="inlineStr">
        <is>
          <t>VÄSTRA GÖTALANDS LÄN</t>
        </is>
      </c>
      <c r="E3454" t="inlineStr">
        <is>
          <t>TÖREBODA</t>
        </is>
      </c>
      <c r="G3454" t="n">
        <v>2.8</v>
      </c>
      <c r="H3454" t="n">
        <v>0</v>
      </c>
      <c r="I3454" t="n">
        <v>0</v>
      </c>
      <c r="J3454" t="n">
        <v>0</v>
      </c>
      <c r="K3454" t="n">
        <v>0</v>
      </c>
      <c r="L3454" t="n">
        <v>0</v>
      </c>
      <c r="M3454" t="n">
        <v>0</v>
      </c>
      <c r="N3454" t="n">
        <v>0</v>
      </c>
      <c r="O3454" t="n">
        <v>0</v>
      </c>
      <c r="P3454" t="n">
        <v>0</v>
      </c>
      <c r="Q3454" t="n">
        <v>0</v>
      </c>
      <c r="R3454" s="2" t="inlineStr"/>
    </row>
    <row r="3455" ht="15" customHeight="1">
      <c r="A3455" t="inlineStr">
        <is>
          <t>A 57846-2021</t>
        </is>
      </c>
      <c r="B3455" s="1" t="n">
        <v>44484.82210648148</v>
      </c>
      <c r="C3455" s="1" t="n">
        <v>45952</v>
      </c>
      <c r="D3455" t="inlineStr">
        <is>
          <t>VÄSTRA GÖTALANDS LÄN</t>
        </is>
      </c>
      <c r="E3455" t="inlineStr">
        <is>
          <t>TANUM</t>
        </is>
      </c>
      <c r="G3455" t="n">
        <v>0.7</v>
      </c>
      <c r="H3455" t="n">
        <v>0</v>
      </c>
      <c r="I3455" t="n">
        <v>0</v>
      </c>
      <c r="J3455" t="n">
        <v>0</v>
      </c>
      <c r="K3455" t="n">
        <v>0</v>
      </c>
      <c r="L3455" t="n">
        <v>0</v>
      </c>
      <c r="M3455" t="n">
        <v>0</v>
      </c>
      <c r="N3455" t="n">
        <v>0</v>
      </c>
      <c r="O3455" t="n">
        <v>0</v>
      </c>
      <c r="P3455" t="n">
        <v>0</v>
      </c>
      <c r="Q3455" t="n">
        <v>0</v>
      </c>
      <c r="R3455" s="2" t="inlineStr"/>
    </row>
    <row r="3456" ht="15" customHeight="1">
      <c r="A3456" t="inlineStr">
        <is>
          <t>A 44269-2022</t>
        </is>
      </c>
      <c r="B3456" s="1" t="n">
        <v>44839.57752314815</v>
      </c>
      <c r="C3456" s="1" t="n">
        <v>45952</v>
      </c>
      <c r="D3456" t="inlineStr">
        <is>
          <t>VÄSTRA GÖTALANDS LÄN</t>
        </is>
      </c>
      <c r="E3456" t="inlineStr">
        <is>
          <t>UDDEVALLA</t>
        </is>
      </c>
      <c r="G3456" t="n">
        <v>4.2</v>
      </c>
      <c r="H3456" t="n">
        <v>0</v>
      </c>
      <c r="I3456" t="n">
        <v>0</v>
      </c>
      <c r="J3456" t="n">
        <v>0</v>
      </c>
      <c r="K3456" t="n">
        <v>0</v>
      </c>
      <c r="L3456" t="n">
        <v>0</v>
      </c>
      <c r="M3456" t="n">
        <v>0</v>
      </c>
      <c r="N3456" t="n">
        <v>0</v>
      </c>
      <c r="O3456" t="n">
        <v>0</v>
      </c>
      <c r="P3456" t="n">
        <v>0</v>
      </c>
      <c r="Q3456" t="n">
        <v>0</v>
      </c>
      <c r="R3456" s="2" t="inlineStr"/>
    </row>
    <row r="3457" ht="15" customHeight="1">
      <c r="A3457" t="inlineStr">
        <is>
          <t>A 3657-2025</t>
        </is>
      </c>
      <c r="B3457" s="1" t="n">
        <v>45681.41366898148</v>
      </c>
      <c r="C3457" s="1" t="n">
        <v>45952</v>
      </c>
      <c r="D3457" t="inlineStr">
        <is>
          <t>VÄSTRA GÖTALANDS LÄN</t>
        </is>
      </c>
      <c r="E3457" t="inlineStr">
        <is>
          <t>MARK</t>
        </is>
      </c>
      <c r="G3457" t="n">
        <v>1.7</v>
      </c>
      <c r="H3457" t="n">
        <v>0</v>
      </c>
      <c r="I3457" t="n">
        <v>0</v>
      </c>
      <c r="J3457" t="n">
        <v>0</v>
      </c>
      <c r="K3457" t="n">
        <v>0</v>
      </c>
      <c r="L3457" t="n">
        <v>0</v>
      </c>
      <c r="M3457" t="n">
        <v>0</v>
      </c>
      <c r="N3457" t="n">
        <v>0</v>
      </c>
      <c r="O3457" t="n">
        <v>0</v>
      </c>
      <c r="P3457" t="n">
        <v>0</v>
      </c>
      <c r="Q3457" t="n">
        <v>0</v>
      </c>
      <c r="R3457" s="2" t="inlineStr"/>
    </row>
    <row r="3458" ht="15" customHeight="1">
      <c r="A3458" t="inlineStr">
        <is>
          <t>A 45110-2022</t>
        </is>
      </c>
      <c r="B3458" s="1" t="n">
        <v>44843.6315625</v>
      </c>
      <c r="C3458" s="1" t="n">
        <v>45952</v>
      </c>
      <c r="D3458" t="inlineStr">
        <is>
          <t>VÄSTRA GÖTALANDS LÄN</t>
        </is>
      </c>
      <c r="E3458" t="inlineStr">
        <is>
          <t>MARIESTAD</t>
        </is>
      </c>
      <c r="G3458" t="n">
        <v>2.3</v>
      </c>
      <c r="H3458" t="n">
        <v>0</v>
      </c>
      <c r="I3458" t="n">
        <v>0</v>
      </c>
      <c r="J3458" t="n">
        <v>0</v>
      </c>
      <c r="K3458" t="n">
        <v>0</v>
      </c>
      <c r="L3458" t="n">
        <v>0</v>
      </c>
      <c r="M3458" t="n">
        <v>0</v>
      </c>
      <c r="N3458" t="n">
        <v>0</v>
      </c>
      <c r="O3458" t="n">
        <v>0</v>
      </c>
      <c r="P3458" t="n">
        <v>0</v>
      </c>
      <c r="Q3458" t="n">
        <v>0</v>
      </c>
      <c r="R3458" s="2" t="inlineStr"/>
    </row>
    <row r="3459" ht="15" customHeight="1">
      <c r="A3459" t="inlineStr">
        <is>
          <t>A 2908-2025</t>
        </is>
      </c>
      <c r="B3459" s="1" t="n">
        <v>45677.82644675926</v>
      </c>
      <c r="C3459" s="1" t="n">
        <v>45952</v>
      </c>
      <c r="D3459" t="inlineStr">
        <is>
          <t>VÄSTRA GÖTALANDS LÄN</t>
        </is>
      </c>
      <c r="E3459" t="inlineStr">
        <is>
          <t>MARIESTAD</t>
        </is>
      </c>
      <c r="G3459" t="n">
        <v>8.800000000000001</v>
      </c>
      <c r="H3459" t="n">
        <v>0</v>
      </c>
      <c r="I3459" t="n">
        <v>0</v>
      </c>
      <c r="J3459" t="n">
        <v>0</v>
      </c>
      <c r="K3459" t="n">
        <v>0</v>
      </c>
      <c r="L3459" t="n">
        <v>0</v>
      </c>
      <c r="M3459" t="n">
        <v>0</v>
      </c>
      <c r="N3459" t="n">
        <v>0</v>
      </c>
      <c r="O3459" t="n">
        <v>0</v>
      </c>
      <c r="P3459" t="n">
        <v>0</v>
      </c>
      <c r="Q3459" t="n">
        <v>0</v>
      </c>
      <c r="R3459" s="2" t="inlineStr"/>
    </row>
    <row r="3460" ht="15" customHeight="1">
      <c r="A3460" t="inlineStr">
        <is>
          <t>A 66823-2021</t>
        </is>
      </c>
      <c r="B3460" s="1" t="n">
        <v>44522.40318287037</v>
      </c>
      <c r="C3460" s="1" t="n">
        <v>45952</v>
      </c>
      <c r="D3460" t="inlineStr">
        <is>
          <t>VÄSTRA GÖTALANDS LÄN</t>
        </is>
      </c>
      <c r="E3460" t="inlineStr">
        <is>
          <t>TIDAHOLM</t>
        </is>
      </c>
      <c r="G3460" t="n">
        <v>1.6</v>
      </c>
      <c r="H3460" t="n">
        <v>0</v>
      </c>
      <c r="I3460" t="n">
        <v>0</v>
      </c>
      <c r="J3460" t="n">
        <v>0</v>
      </c>
      <c r="K3460" t="n">
        <v>0</v>
      </c>
      <c r="L3460" t="n">
        <v>0</v>
      </c>
      <c r="M3460" t="n">
        <v>0</v>
      </c>
      <c r="N3460" t="n">
        <v>0</v>
      </c>
      <c r="O3460" t="n">
        <v>0</v>
      </c>
      <c r="P3460" t="n">
        <v>0</v>
      </c>
      <c r="Q3460" t="n">
        <v>0</v>
      </c>
      <c r="R3460" s="2" t="inlineStr"/>
    </row>
    <row r="3461" ht="15" customHeight="1">
      <c r="A3461" t="inlineStr">
        <is>
          <t>A 61677-2020</t>
        </is>
      </c>
      <c r="B3461" s="1" t="n">
        <v>44158.59635416666</v>
      </c>
      <c r="C3461" s="1" t="n">
        <v>45952</v>
      </c>
      <c r="D3461" t="inlineStr">
        <is>
          <t>VÄSTRA GÖTALANDS LÄN</t>
        </is>
      </c>
      <c r="E3461" t="inlineStr">
        <is>
          <t>GÖTENE</t>
        </is>
      </c>
      <c r="G3461" t="n">
        <v>0.8</v>
      </c>
      <c r="H3461" t="n">
        <v>0</v>
      </c>
      <c r="I3461" t="n">
        <v>0</v>
      </c>
      <c r="J3461" t="n">
        <v>0</v>
      </c>
      <c r="K3461" t="n">
        <v>0</v>
      </c>
      <c r="L3461" t="n">
        <v>0</v>
      </c>
      <c r="M3461" t="n">
        <v>0</v>
      </c>
      <c r="N3461" t="n">
        <v>0</v>
      </c>
      <c r="O3461" t="n">
        <v>0</v>
      </c>
      <c r="P3461" t="n">
        <v>0</v>
      </c>
      <c r="Q3461" t="n">
        <v>0</v>
      </c>
      <c r="R3461" s="2" t="inlineStr"/>
    </row>
    <row r="3462" ht="15" customHeight="1">
      <c r="A3462" t="inlineStr">
        <is>
          <t>A 60413-2024</t>
        </is>
      </c>
      <c r="B3462" s="1" t="n">
        <v>45643.51706018519</v>
      </c>
      <c r="C3462" s="1" t="n">
        <v>45952</v>
      </c>
      <c r="D3462" t="inlineStr">
        <is>
          <t>VÄSTRA GÖTALANDS LÄN</t>
        </is>
      </c>
      <c r="E3462" t="inlineStr">
        <is>
          <t>HJO</t>
        </is>
      </c>
      <c r="G3462" t="n">
        <v>2.9</v>
      </c>
      <c r="H3462" t="n">
        <v>0</v>
      </c>
      <c r="I3462" t="n">
        <v>0</v>
      </c>
      <c r="J3462" t="n">
        <v>0</v>
      </c>
      <c r="K3462" t="n">
        <v>0</v>
      </c>
      <c r="L3462" t="n">
        <v>0</v>
      </c>
      <c r="M3462" t="n">
        <v>0</v>
      </c>
      <c r="N3462" t="n">
        <v>0</v>
      </c>
      <c r="O3462" t="n">
        <v>0</v>
      </c>
      <c r="P3462" t="n">
        <v>0</v>
      </c>
      <c r="Q3462" t="n">
        <v>0</v>
      </c>
      <c r="R3462" s="2" t="inlineStr"/>
    </row>
    <row r="3463" ht="15" customHeight="1">
      <c r="A3463" t="inlineStr">
        <is>
          <t>A 60465-2024</t>
        </is>
      </c>
      <c r="B3463" s="1" t="n">
        <v>45643.61819444445</v>
      </c>
      <c r="C3463" s="1" t="n">
        <v>45952</v>
      </c>
      <c r="D3463" t="inlineStr">
        <is>
          <t>VÄSTRA GÖTALANDS LÄN</t>
        </is>
      </c>
      <c r="E3463" t="inlineStr">
        <is>
          <t>LIDKÖPING</t>
        </is>
      </c>
      <c r="G3463" t="n">
        <v>0.8</v>
      </c>
      <c r="H3463" t="n">
        <v>0</v>
      </c>
      <c r="I3463" t="n">
        <v>0</v>
      </c>
      <c r="J3463" t="n">
        <v>0</v>
      </c>
      <c r="K3463" t="n">
        <v>0</v>
      </c>
      <c r="L3463" t="n">
        <v>0</v>
      </c>
      <c r="M3463" t="n">
        <v>0</v>
      </c>
      <c r="N3463" t="n">
        <v>0</v>
      </c>
      <c r="O3463" t="n">
        <v>0</v>
      </c>
      <c r="P3463" t="n">
        <v>0</v>
      </c>
      <c r="Q3463" t="n">
        <v>0</v>
      </c>
      <c r="R3463" s="2" t="inlineStr"/>
    </row>
    <row r="3464" ht="15" customHeight="1">
      <c r="A3464" t="inlineStr">
        <is>
          <t>A 21086-2022</t>
        </is>
      </c>
      <c r="B3464" s="1" t="n">
        <v>44704.53608796297</v>
      </c>
      <c r="C3464" s="1" t="n">
        <v>45952</v>
      </c>
      <c r="D3464" t="inlineStr">
        <is>
          <t>VÄSTRA GÖTALANDS LÄN</t>
        </is>
      </c>
      <c r="E3464" t="inlineStr">
        <is>
          <t>VARA</t>
        </is>
      </c>
      <c r="G3464" t="n">
        <v>1.1</v>
      </c>
      <c r="H3464" t="n">
        <v>0</v>
      </c>
      <c r="I3464" t="n">
        <v>0</v>
      </c>
      <c r="J3464" t="n">
        <v>0</v>
      </c>
      <c r="K3464" t="n">
        <v>0</v>
      </c>
      <c r="L3464" t="n">
        <v>0</v>
      </c>
      <c r="M3464" t="n">
        <v>0</v>
      </c>
      <c r="N3464" t="n">
        <v>0</v>
      </c>
      <c r="O3464" t="n">
        <v>0</v>
      </c>
      <c r="P3464" t="n">
        <v>0</v>
      </c>
      <c r="Q3464" t="n">
        <v>0</v>
      </c>
      <c r="R3464" s="2" t="inlineStr"/>
    </row>
    <row r="3465" ht="15" customHeight="1">
      <c r="A3465" t="inlineStr">
        <is>
          <t>A 28682-2023</t>
        </is>
      </c>
      <c r="B3465" s="1" t="n">
        <v>45103</v>
      </c>
      <c r="C3465" s="1" t="n">
        <v>45952</v>
      </c>
      <c r="D3465" t="inlineStr">
        <is>
          <t>VÄSTRA GÖTALANDS LÄN</t>
        </is>
      </c>
      <c r="E3465" t="inlineStr">
        <is>
          <t>TIDAHOLM</t>
        </is>
      </c>
      <c r="F3465" t="inlineStr">
        <is>
          <t>Kyrkan</t>
        </is>
      </c>
      <c r="G3465" t="n">
        <v>2.8</v>
      </c>
      <c r="H3465" t="n">
        <v>0</v>
      </c>
      <c r="I3465" t="n">
        <v>0</v>
      </c>
      <c r="J3465" t="n">
        <v>0</v>
      </c>
      <c r="K3465" t="n">
        <v>0</v>
      </c>
      <c r="L3465" t="n">
        <v>0</v>
      </c>
      <c r="M3465" t="n">
        <v>0</v>
      </c>
      <c r="N3465" t="n">
        <v>0</v>
      </c>
      <c r="O3465" t="n">
        <v>0</v>
      </c>
      <c r="P3465" t="n">
        <v>0</v>
      </c>
      <c r="Q3465" t="n">
        <v>0</v>
      </c>
      <c r="R3465" s="2" t="inlineStr"/>
    </row>
    <row r="3466" ht="15" customHeight="1">
      <c r="A3466" t="inlineStr">
        <is>
          <t>A 45054-2023</t>
        </is>
      </c>
      <c r="B3466" s="1" t="n">
        <v>45191</v>
      </c>
      <c r="C3466" s="1" t="n">
        <v>45952</v>
      </c>
      <c r="D3466" t="inlineStr">
        <is>
          <t>VÄSTRA GÖTALANDS LÄN</t>
        </is>
      </c>
      <c r="E3466" t="inlineStr">
        <is>
          <t>TIBRO</t>
        </is>
      </c>
      <c r="G3466" t="n">
        <v>0.5</v>
      </c>
      <c r="H3466" t="n">
        <v>0</v>
      </c>
      <c r="I3466" t="n">
        <v>0</v>
      </c>
      <c r="J3466" t="n">
        <v>0</v>
      </c>
      <c r="K3466" t="n">
        <v>0</v>
      </c>
      <c r="L3466" t="n">
        <v>0</v>
      </c>
      <c r="M3466" t="n">
        <v>0</v>
      </c>
      <c r="N3466" t="n">
        <v>0</v>
      </c>
      <c r="O3466" t="n">
        <v>0</v>
      </c>
      <c r="P3466" t="n">
        <v>0</v>
      </c>
      <c r="Q3466" t="n">
        <v>0</v>
      </c>
      <c r="R3466" s="2" t="inlineStr"/>
    </row>
    <row r="3467" ht="15" customHeight="1">
      <c r="A3467" t="inlineStr">
        <is>
          <t>A 6321-2025</t>
        </is>
      </c>
      <c r="B3467" s="1" t="n">
        <v>45698</v>
      </c>
      <c r="C3467" s="1" t="n">
        <v>45952</v>
      </c>
      <c r="D3467" t="inlineStr">
        <is>
          <t>VÄSTRA GÖTALANDS LÄN</t>
        </is>
      </c>
      <c r="E3467" t="inlineStr">
        <is>
          <t>ULRICEHAMN</t>
        </is>
      </c>
      <c r="G3467" t="n">
        <v>4.1</v>
      </c>
      <c r="H3467" t="n">
        <v>0</v>
      </c>
      <c r="I3467" t="n">
        <v>0</v>
      </c>
      <c r="J3467" t="n">
        <v>0</v>
      </c>
      <c r="K3467" t="n">
        <v>0</v>
      </c>
      <c r="L3467" t="n">
        <v>0</v>
      </c>
      <c r="M3467" t="n">
        <v>0</v>
      </c>
      <c r="N3467" t="n">
        <v>0</v>
      </c>
      <c r="O3467" t="n">
        <v>0</v>
      </c>
      <c r="P3467" t="n">
        <v>0</v>
      </c>
      <c r="Q3467" t="n">
        <v>0</v>
      </c>
      <c r="R3467" s="2" t="inlineStr"/>
    </row>
    <row r="3468" ht="15" customHeight="1">
      <c r="A3468" t="inlineStr">
        <is>
          <t>A 4362-2023</t>
        </is>
      </c>
      <c r="B3468" s="1" t="n">
        <v>44954</v>
      </c>
      <c r="C3468" s="1" t="n">
        <v>45952</v>
      </c>
      <c r="D3468" t="inlineStr">
        <is>
          <t>VÄSTRA GÖTALANDS LÄN</t>
        </is>
      </c>
      <c r="E3468" t="inlineStr">
        <is>
          <t>TANUM</t>
        </is>
      </c>
      <c r="G3468" t="n">
        <v>1.5</v>
      </c>
      <c r="H3468" t="n">
        <v>0</v>
      </c>
      <c r="I3468" t="n">
        <v>0</v>
      </c>
      <c r="J3468" t="n">
        <v>0</v>
      </c>
      <c r="K3468" t="n">
        <v>0</v>
      </c>
      <c r="L3468" t="n">
        <v>0</v>
      </c>
      <c r="M3468" t="n">
        <v>0</v>
      </c>
      <c r="N3468" t="n">
        <v>0</v>
      </c>
      <c r="O3468" t="n">
        <v>0</v>
      </c>
      <c r="P3468" t="n">
        <v>0</v>
      </c>
      <c r="Q3468" t="n">
        <v>0</v>
      </c>
      <c r="R3468" s="2" t="inlineStr"/>
    </row>
    <row r="3469" ht="15" customHeight="1">
      <c r="A3469" t="inlineStr">
        <is>
          <t>A 4435-2023</t>
        </is>
      </c>
      <c r="B3469" s="1" t="n">
        <v>44956.42466435185</v>
      </c>
      <c r="C3469" s="1" t="n">
        <v>45952</v>
      </c>
      <c r="D3469" t="inlineStr">
        <is>
          <t>VÄSTRA GÖTALANDS LÄN</t>
        </is>
      </c>
      <c r="E3469" t="inlineStr">
        <is>
          <t>TÖREBODA</t>
        </is>
      </c>
      <c r="G3469" t="n">
        <v>1.4</v>
      </c>
      <c r="H3469" t="n">
        <v>0</v>
      </c>
      <c r="I3469" t="n">
        <v>0</v>
      </c>
      <c r="J3469" t="n">
        <v>0</v>
      </c>
      <c r="K3469" t="n">
        <v>0</v>
      </c>
      <c r="L3469" t="n">
        <v>0</v>
      </c>
      <c r="M3469" t="n">
        <v>0</v>
      </c>
      <c r="N3469" t="n">
        <v>0</v>
      </c>
      <c r="O3469" t="n">
        <v>0</v>
      </c>
      <c r="P3469" t="n">
        <v>0</v>
      </c>
      <c r="Q3469" t="n">
        <v>0</v>
      </c>
      <c r="R3469" s="2" t="inlineStr"/>
    </row>
    <row r="3470" ht="15" customHeight="1">
      <c r="A3470" t="inlineStr">
        <is>
          <t>A 35029-2021</t>
        </is>
      </c>
      <c r="B3470" s="1" t="n">
        <v>44383</v>
      </c>
      <c r="C3470" s="1" t="n">
        <v>45952</v>
      </c>
      <c r="D3470" t="inlineStr">
        <is>
          <t>VÄSTRA GÖTALANDS LÄN</t>
        </is>
      </c>
      <c r="E3470" t="inlineStr">
        <is>
          <t>TIDAHOLM</t>
        </is>
      </c>
      <c r="G3470" t="n">
        <v>3.1</v>
      </c>
      <c r="H3470" t="n">
        <v>0</v>
      </c>
      <c r="I3470" t="n">
        <v>0</v>
      </c>
      <c r="J3470" t="n">
        <v>0</v>
      </c>
      <c r="K3470" t="n">
        <v>0</v>
      </c>
      <c r="L3470" t="n">
        <v>0</v>
      </c>
      <c r="M3470" t="n">
        <v>0</v>
      </c>
      <c r="N3470" t="n">
        <v>0</v>
      </c>
      <c r="O3470" t="n">
        <v>0</v>
      </c>
      <c r="P3470" t="n">
        <v>0</v>
      </c>
      <c r="Q3470" t="n">
        <v>0</v>
      </c>
      <c r="R3470" s="2" t="inlineStr"/>
    </row>
    <row r="3471" ht="15" customHeight="1">
      <c r="A3471" t="inlineStr">
        <is>
          <t>A 35148-2021</t>
        </is>
      </c>
      <c r="B3471" s="1" t="n">
        <v>44384</v>
      </c>
      <c r="C3471" s="1" t="n">
        <v>45952</v>
      </c>
      <c r="D3471" t="inlineStr">
        <is>
          <t>VÄSTRA GÖTALANDS LÄN</t>
        </is>
      </c>
      <c r="E3471" t="inlineStr">
        <is>
          <t>ALE</t>
        </is>
      </c>
      <c r="G3471" t="n">
        <v>1.1</v>
      </c>
      <c r="H3471" t="n">
        <v>0</v>
      </c>
      <c r="I3471" t="n">
        <v>0</v>
      </c>
      <c r="J3471" t="n">
        <v>0</v>
      </c>
      <c r="K3471" t="n">
        <v>0</v>
      </c>
      <c r="L3471" t="n">
        <v>0</v>
      </c>
      <c r="M3471" t="n">
        <v>0</v>
      </c>
      <c r="N3471" t="n">
        <v>0</v>
      </c>
      <c r="O3471" t="n">
        <v>0</v>
      </c>
      <c r="P3471" t="n">
        <v>0</v>
      </c>
      <c r="Q3471" t="n">
        <v>0</v>
      </c>
      <c r="R3471" s="2" t="inlineStr"/>
    </row>
    <row r="3472" ht="15" customHeight="1">
      <c r="A3472" t="inlineStr">
        <is>
          <t>A 40488-2022</t>
        </is>
      </c>
      <c r="B3472" s="1" t="n">
        <v>44823</v>
      </c>
      <c r="C3472" s="1" t="n">
        <v>45952</v>
      </c>
      <c r="D3472" t="inlineStr">
        <is>
          <t>VÄSTRA GÖTALANDS LÄN</t>
        </is>
      </c>
      <c r="E3472" t="inlineStr">
        <is>
          <t>DALS-ED</t>
        </is>
      </c>
      <c r="G3472" t="n">
        <v>0.6</v>
      </c>
      <c r="H3472" t="n">
        <v>0</v>
      </c>
      <c r="I3472" t="n">
        <v>0</v>
      </c>
      <c r="J3472" t="n">
        <v>0</v>
      </c>
      <c r="K3472" t="n">
        <v>0</v>
      </c>
      <c r="L3472" t="n">
        <v>0</v>
      </c>
      <c r="M3472" t="n">
        <v>0</v>
      </c>
      <c r="N3472" t="n">
        <v>0</v>
      </c>
      <c r="O3472" t="n">
        <v>0</v>
      </c>
      <c r="P3472" t="n">
        <v>0</v>
      </c>
      <c r="Q3472" t="n">
        <v>0</v>
      </c>
      <c r="R3472" s="2" t="inlineStr"/>
    </row>
    <row r="3473" ht="15" customHeight="1">
      <c r="A3473" t="inlineStr">
        <is>
          <t>A 4475-2023</t>
        </is>
      </c>
      <c r="B3473" s="1" t="n">
        <v>44956.50561342593</v>
      </c>
      <c r="C3473" s="1" t="n">
        <v>45952</v>
      </c>
      <c r="D3473" t="inlineStr">
        <is>
          <t>VÄSTRA GÖTALANDS LÄN</t>
        </is>
      </c>
      <c r="E3473" t="inlineStr">
        <is>
          <t>BENGTSFORS</t>
        </is>
      </c>
      <c r="G3473" t="n">
        <v>10</v>
      </c>
      <c r="H3473" t="n">
        <v>0</v>
      </c>
      <c r="I3473" t="n">
        <v>0</v>
      </c>
      <c r="J3473" t="n">
        <v>0</v>
      </c>
      <c r="K3473" t="n">
        <v>0</v>
      </c>
      <c r="L3473" t="n">
        <v>0</v>
      </c>
      <c r="M3473" t="n">
        <v>0</v>
      </c>
      <c r="N3473" t="n">
        <v>0</v>
      </c>
      <c r="O3473" t="n">
        <v>0</v>
      </c>
      <c r="P3473" t="n">
        <v>0</v>
      </c>
      <c r="Q3473" t="n">
        <v>0</v>
      </c>
      <c r="R3473" s="2" t="inlineStr"/>
    </row>
    <row r="3474" ht="15" customHeight="1">
      <c r="A3474" t="inlineStr">
        <is>
          <t>A 3103-2024</t>
        </is>
      </c>
      <c r="B3474" s="1" t="n">
        <v>45316</v>
      </c>
      <c r="C3474" s="1" t="n">
        <v>45952</v>
      </c>
      <c r="D3474" t="inlineStr">
        <is>
          <t>VÄSTRA GÖTALANDS LÄN</t>
        </is>
      </c>
      <c r="E3474" t="inlineStr">
        <is>
          <t>BORÅS</t>
        </is>
      </c>
      <c r="G3474" t="n">
        <v>2.5</v>
      </c>
      <c r="H3474" t="n">
        <v>0</v>
      </c>
      <c r="I3474" t="n">
        <v>0</v>
      </c>
      <c r="J3474" t="n">
        <v>0</v>
      </c>
      <c r="K3474" t="n">
        <v>0</v>
      </c>
      <c r="L3474" t="n">
        <v>0</v>
      </c>
      <c r="M3474" t="n">
        <v>0</v>
      </c>
      <c r="N3474" t="n">
        <v>0</v>
      </c>
      <c r="O3474" t="n">
        <v>0</v>
      </c>
      <c r="P3474" t="n">
        <v>0</v>
      </c>
      <c r="Q3474" t="n">
        <v>0</v>
      </c>
      <c r="R3474" s="2" t="inlineStr"/>
    </row>
    <row r="3475" ht="15" customHeight="1">
      <c r="A3475" t="inlineStr">
        <is>
          <t>A 6928-2024</t>
        </is>
      </c>
      <c r="B3475" s="1" t="n">
        <v>45343</v>
      </c>
      <c r="C3475" s="1" t="n">
        <v>45952</v>
      </c>
      <c r="D3475" t="inlineStr">
        <is>
          <t>VÄSTRA GÖTALANDS LÄN</t>
        </is>
      </c>
      <c r="E3475" t="inlineStr">
        <is>
          <t>ULRICEHAMN</t>
        </is>
      </c>
      <c r="G3475" t="n">
        <v>0.9</v>
      </c>
      <c r="H3475" t="n">
        <v>0</v>
      </c>
      <c r="I3475" t="n">
        <v>0</v>
      </c>
      <c r="J3475" t="n">
        <v>0</v>
      </c>
      <c r="K3475" t="n">
        <v>0</v>
      </c>
      <c r="L3475" t="n">
        <v>0</v>
      </c>
      <c r="M3475" t="n">
        <v>0</v>
      </c>
      <c r="N3475" t="n">
        <v>0</v>
      </c>
      <c r="O3475" t="n">
        <v>0</v>
      </c>
      <c r="P3475" t="n">
        <v>0</v>
      </c>
      <c r="Q3475" t="n">
        <v>0</v>
      </c>
      <c r="R3475" s="2" t="inlineStr"/>
    </row>
    <row r="3476" ht="15" customHeight="1">
      <c r="A3476" t="inlineStr">
        <is>
          <t>A 30137-2023</t>
        </is>
      </c>
      <c r="B3476" s="1" t="n">
        <v>45110.51828703703</v>
      </c>
      <c r="C3476" s="1" t="n">
        <v>45952</v>
      </c>
      <c r="D3476" t="inlineStr">
        <is>
          <t>VÄSTRA GÖTALANDS LÄN</t>
        </is>
      </c>
      <c r="E3476" t="inlineStr">
        <is>
          <t>FALKÖPING</t>
        </is>
      </c>
      <c r="G3476" t="n">
        <v>1.6</v>
      </c>
      <c r="H3476" t="n">
        <v>0</v>
      </c>
      <c r="I3476" t="n">
        <v>0</v>
      </c>
      <c r="J3476" t="n">
        <v>0</v>
      </c>
      <c r="K3476" t="n">
        <v>0</v>
      </c>
      <c r="L3476" t="n">
        <v>0</v>
      </c>
      <c r="M3476" t="n">
        <v>0</v>
      </c>
      <c r="N3476" t="n">
        <v>0</v>
      </c>
      <c r="O3476" t="n">
        <v>0</v>
      </c>
      <c r="P3476" t="n">
        <v>0</v>
      </c>
      <c r="Q3476" t="n">
        <v>0</v>
      </c>
      <c r="R3476" s="2" t="inlineStr"/>
    </row>
    <row r="3477" ht="15" customHeight="1">
      <c r="A3477" t="inlineStr">
        <is>
          <t>A 61060-2022</t>
        </is>
      </c>
      <c r="B3477" s="1" t="n">
        <v>44915</v>
      </c>
      <c r="C3477" s="1" t="n">
        <v>45952</v>
      </c>
      <c r="D3477" t="inlineStr">
        <is>
          <t>VÄSTRA GÖTALANDS LÄN</t>
        </is>
      </c>
      <c r="E3477" t="inlineStr">
        <is>
          <t>MELLERUD</t>
        </is>
      </c>
      <c r="G3477" t="n">
        <v>8.4</v>
      </c>
      <c r="H3477" t="n">
        <v>0</v>
      </c>
      <c r="I3477" t="n">
        <v>0</v>
      </c>
      <c r="J3477" t="n">
        <v>0</v>
      </c>
      <c r="K3477" t="n">
        <v>0</v>
      </c>
      <c r="L3477" t="n">
        <v>0</v>
      </c>
      <c r="M3477" t="n">
        <v>0</v>
      </c>
      <c r="N3477" t="n">
        <v>0</v>
      </c>
      <c r="O3477" t="n">
        <v>0</v>
      </c>
      <c r="P3477" t="n">
        <v>0</v>
      </c>
      <c r="Q3477" t="n">
        <v>0</v>
      </c>
      <c r="R3477" s="2" t="inlineStr"/>
    </row>
    <row r="3478" ht="15" customHeight="1">
      <c r="A3478" t="inlineStr">
        <is>
          <t>A 61061-2022</t>
        </is>
      </c>
      <c r="B3478" s="1" t="n">
        <v>44915.34159722222</v>
      </c>
      <c r="C3478" s="1" t="n">
        <v>45952</v>
      </c>
      <c r="D3478" t="inlineStr">
        <is>
          <t>VÄSTRA GÖTALANDS LÄN</t>
        </is>
      </c>
      <c r="E3478" t="inlineStr">
        <is>
          <t>MELLERUD</t>
        </is>
      </c>
      <c r="G3478" t="n">
        <v>8.5</v>
      </c>
      <c r="H3478" t="n">
        <v>0</v>
      </c>
      <c r="I3478" t="n">
        <v>0</v>
      </c>
      <c r="J3478" t="n">
        <v>0</v>
      </c>
      <c r="K3478" t="n">
        <v>0</v>
      </c>
      <c r="L3478" t="n">
        <v>0</v>
      </c>
      <c r="M3478" t="n">
        <v>0</v>
      </c>
      <c r="N3478" t="n">
        <v>0</v>
      </c>
      <c r="O3478" t="n">
        <v>0</v>
      </c>
      <c r="P3478" t="n">
        <v>0</v>
      </c>
      <c r="Q3478" t="n">
        <v>0</v>
      </c>
      <c r="R3478" s="2" t="inlineStr"/>
    </row>
    <row r="3479" ht="15" customHeight="1">
      <c r="A3479" t="inlineStr">
        <is>
          <t>A 6952-2024</t>
        </is>
      </c>
      <c r="B3479" s="1" t="n">
        <v>45343</v>
      </c>
      <c r="C3479" s="1" t="n">
        <v>45952</v>
      </c>
      <c r="D3479" t="inlineStr">
        <is>
          <t>VÄSTRA GÖTALANDS LÄN</t>
        </is>
      </c>
      <c r="E3479" t="inlineStr">
        <is>
          <t>FALKÖPING</t>
        </is>
      </c>
      <c r="G3479" t="n">
        <v>2.6</v>
      </c>
      <c r="H3479" t="n">
        <v>0</v>
      </c>
      <c r="I3479" t="n">
        <v>0</v>
      </c>
      <c r="J3479" t="n">
        <v>0</v>
      </c>
      <c r="K3479" t="n">
        <v>0</v>
      </c>
      <c r="L3479" t="n">
        <v>0</v>
      </c>
      <c r="M3479" t="n">
        <v>0</v>
      </c>
      <c r="N3479" t="n">
        <v>0</v>
      </c>
      <c r="O3479" t="n">
        <v>0</v>
      </c>
      <c r="P3479" t="n">
        <v>0</v>
      </c>
      <c r="Q3479" t="n">
        <v>0</v>
      </c>
      <c r="R3479" s="2" t="inlineStr"/>
    </row>
    <row r="3480" ht="15" customHeight="1">
      <c r="A3480" t="inlineStr">
        <is>
          <t>A 50946-2023</t>
        </is>
      </c>
      <c r="B3480" s="1" t="n">
        <v>45218.46844907408</v>
      </c>
      <c r="C3480" s="1" t="n">
        <v>45952</v>
      </c>
      <c r="D3480" t="inlineStr">
        <is>
          <t>VÄSTRA GÖTALANDS LÄN</t>
        </is>
      </c>
      <c r="E3480" t="inlineStr">
        <is>
          <t>BENGTSFORS</t>
        </is>
      </c>
      <c r="G3480" t="n">
        <v>3.3</v>
      </c>
      <c r="H3480" t="n">
        <v>0</v>
      </c>
      <c r="I3480" t="n">
        <v>0</v>
      </c>
      <c r="J3480" t="n">
        <v>0</v>
      </c>
      <c r="K3480" t="n">
        <v>0</v>
      </c>
      <c r="L3480" t="n">
        <v>0</v>
      </c>
      <c r="M3480" t="n">
        <v>0</v>
      </c>
      <c r="N3480" t="n">
        <v>0</v>
      </c>
      <c r="O3480" t="n">
        <v>0</v>
      </c>
      <c r="P3480" t="n">
        <v>0</v>
      </c>
      <c r="Q3480" t="n">
        <v>0</v>
      </c>
      <c r="R3480" s="2" t="inlineStr"/>
    </row>
    <row r="3481" ht="15" customHeight="1">
      <c r="A3481" t="inlineStr">
        <is>
          <t>A 24392-2022</t>
        </is>
      </c>
      <c r="B3481" s="1" t="n">
        <v>44726</v>
      </c>
      <c r="C3481" s="1" t="n">
        <v>45952</v>
      </c>
      <c r="D3481" t="inlineStr">
        <is>
          <t>VÄSTRA GÖTALANDS LÄN</t>
        </is>
      </c>
      <c r="E3481" t="inlineStr">
        <is>
          <t>SVENLJUNGA</t>
        </is>
      </c>
      <c r="G3481" t="n">
        <v>2.3</v>
      </c>
      <c r="H3481" t="n">
        <v>0</v>
      </c>
      <c r="I3481" t="n">
        <v>0</v>
      </c>
      <c r="J3481" t="n">
        <v>0</v>
      </c>
      <c r="K3481" t="n">
        <v>0</v>
      </c>
      <c r="L3481" t="n">
        <v>0</v>
      </c>
      <c r="M3481" t="n">
        <v>0</v>
      </c>
      <c r="N3481" t="n">
        <v>0</v>
      </c>
      <c r="O3481" t="n">
        <v>0</v>
      </c>
      <c r="P3481" t="n">
        <v>0</v>
      </c>
      <c r="Q3481" t="n">
        <v>0</v>
      </c>
      <c r="R3481" s="2" t="inlineStr"/>
    </row>
    <row r="3482" ht="15" customHeight="1">
      <c r="A3482" t="inlineStr">
        <is>
          <t>A 3190-2024</t>
        </is>
      </c>
      <c r="B3482" s="1" t="n">
        <v>45316</v>
      </c>
      <c r="C3482" s="1" t="n">
        <v>45952</v>
      </c>
      <c r="D3482" t="inlineStr">
        <is>
          <t>VÄSTRA GÖTALANDS LÄN</t>
        </is>
      </c>
      <c r="E3482" t="inlineStr">
        <is>
          <t>BORÅS</t>
        </is>
      </c>
      <c r="G3482" t="n">
        <v>2.4</v>
      </c>
      <c r="H3482" t="n">
        <v>0</v>
      </c>
      <c r="I3482" t="n">
        <v>0</v>
      </c>
      <c r="J3482" t="n">
        <v>0</v>
      </c>
      <c r="K3482" t="n">
        <v>0</v>
      </c>
      <c r="L3482" t="n">
        <v>0</v>
      </c>
      <c r="M3482" t="n">
        <v>0</v>
      </c>
      <c r="N3482" t="n">
        <v>0</v>
      </c>
      <c r="O3482" t="n">
        <v>0</v>
      </c>
      <c r="P3482" t="n">
        <v>0</v>
      </c>
      <c r="Q3482" t="n">
        <v>0</v>
      </c>
      <c r="R3482" s="2" t="inlineStr"/>
    </row>
    <row r="3483" ht="15" customHeight="1">
      <c r="A3483" t="inlineStr">
        <is>
          <t>A 29371-2022</t>
        </is>
      </c>
      <c r="B3483" s="1" t="n">
        <v>44753.39418981481</v>
      </c>
      <c r="C3483" s="1" t="n">
        <v>45952</v>
      </c>
      <c r="D3483" t="inlineStr">
        <is>
          <t>VÄSTRA GÖTALANDS LÄN</t>
        </is>
      </c>
      <c r="E3483" t="inlineStr">
        <is>
          <t>VÄNERSBORG</t>
        </is>
      </c>
      <c r="F3483" t="inlineStr">
        <is>
          <t>Sveaskog</t>
        </is>
      </c>
      <c r="G3483" t="n">
        <v>5.5</v>
      </c>
      <c r="H3483" t="n">
        <v>0</v>
      </c>
      <c r="I3483" t="n">
        <v>0</v>
      </c>
      <c r="J3483" t="n">
        <v>0</v>
      </c>
      <c r="K3483" t="n">
        <v>0</v>
      </c>
      <c r="L3483" t="n">
        <v>0</v>
      </c>
      <c r="M3483" t="n">
        <v>0</v>
      </c>
      <c r="N3483" t="n">
        <v>0</v>
      </c>
      <c r="O3483" t="n">
        <v>0</v>
      </c>
      <c r="P3483" t="n">
        <v>0</v>
      </c>
      <c r="Q3483" t="n">
        <v>0</v>
      </c>
      <c r="R3483" s="2" t="inlineStr"/>
    </row>
    <row r="3484" ht="15" customHeight="1">
      <c r="A3484" t="inlineStr">
        <is>
          <t>A 48048-2024</t>
        </is>
      </c>
      <c r="B3484" s="1" t="n">
        <v>45589.53059027778</v>
      </c>
      <c r="C3484" s="1" t="n">
        <v>45952</v>
      </c>
      <c r="D3484" t="inlineStr">
        <is>
          <t>VÄSTRA GÖTALANDS LÄN</t>
        </is>
      </c>
      <c r="E3484" t="inlineStr">
        <is>
          <t>MELLERUD</t>
        </is>
      </c>
      <c r="G3484" t="n">
        <v>3.9</v>
      </c>
      <c r="H3484" t="n">
        <v>0</v>
      </c>
      <c r="I3484" t="n">
        <v>0</v>
      </c>
      <c r="J3484" t="n">
        <v>0</v>
      </c>
      <c r="K3484" t="n">
        <v>0</v>
      </c>
      <c r="L3484" t="n">
        <v>0</v>
      </c>
      <c r="M3484" t="n">
        <v>0</v>
      </c>
      <c r="N3484" t="n">
        <v>0</v>
      </c>
      <c r="O3484" t="n">
        <v>0</v>
      </c>
      <c r="P3484" t="n">
        <v>0</v>
      </c>
      <c r="Q3484" t="n">
        <v>0</v>
      </c>
      <c r="R3484" s="2" t="inlineStr"/>
    </row>
    <row r="3485" ht="15" customHeight="1">
      <c r="A3485" t="inlineStr">
        <is>
          <t>A 57877-2022</t>
        </is>
      </c>
      <c r="B3485" s="1" t="n">
        <v>44899.8749537037</v>
      </c>
      <c r="C3485" s="1" t="n">
        <v>45952</v>
      </c>
      <c r="D3485" t="inlineStr">
        <is>
          <t>VÄSTRA GÖTALANDS LÄN</t>
        </is>
      </c>
      <c r="E3485" t="inlineStr">
        <is>
          <t>ORUST</t>
        </is>
      </c>
      <c r="G3485" t="n">
        <v>2.3</v>
      </c>
      <c r="H3485" t="n">
        <v>0</v>
      </c>
      <c r="I3485" t="n">
        <v>0</v>
      </c>
      <c r="J3485" t="n">
        <v>0</v>
      </c>
      <c r="K3485" t="n">
        <v>0</v>
      </c>
      <c r="L3485" t="n">
        <v>0</v>
      </c>
      <c r="M3485" t="n">
        <v>0</v>
      </c>
      <c r="N3485" t="n">
        <v>0</v>
      </c>
      <c r="O3485" t="n">
        <v>0</v>
      </c>
      <c r="P3485" t="n">
        <v>0</v>
      </c>
      <c r="Q3485" t="n">
        <v>0</v>
      </c>
      <c r="R3485" s="2" t="inlineStr"/>
    </row>
    <row r="3486" ht="15" customHeight="1">
      <c r="A3486" t="inlineStr">
        <is>
          <t>A 52169-2024</t>
        </is>
      </c>
      <c r="B3486" s="1" t="n">
        <v>45608.54731481482</v>
      </c>
      <c r="C3486" s="1" t="n">
        <v>45952</v>
      </c>
      <c r="D3486" t="inlineStr">
        <is>
          <t>VÄSTRA GÖTALANDS LÄN</t>
        </is>
      </c>
      <c r="E3486" t="inlineStr">
        <is>
          <t>TRANEMO</t>
        </is>
      </c>
      <c r="G3486" t="n">
        <v>1.6</v>
      </c>
      <c r="H3486" t="n">
        <v>0</v>
      </c>
      <c r="I3486" t="n">
        <v>0</v>
      </c>
      <c r="J3486" t="n">
        <v>0</v>
      </c>
      <c r="K3486" t="n">
        <v>0</v>
      </c>
      <c r="L3486" t="n">
        <v>0</v>
      </c>
      <c r="M3486" t="n">
        <v>0</v>
      </c>
      <c r="N3486" t="n">
        <v>0</v>
      </c>
      <c r="O3486" t="n">
        <v>0</v>
      </c>
      <c r="P3486" t="n">
        <v>0</v>
      </c>
      <c r="Q3486" t="n">
        <v>0</v>
      </c>
      <c r="R3486" s="2" t="inlineStr"/>
    </row>
    <row r="3487" ht="15" customHeight="1">
      <c r="A3487" t="inlineStr">
        <is>
          <t>A 54309-2021</t>
        </is>
      </c>
      <c r="B3487" s="1" t="n">
        <v>44472</v>
      </c>
      <c r="C3487" s="1" t="n">
        <v>45952</v>
      </c>
      <c r="D3487" t="inlineStr">
        <is>
          <t>VÄSTRA GÖTALANDS LÄN</t>
        </is>
      </c>
      <c r="E3487" t="inlineStr">
        <is>
          <t>BENGTSFORS</t>
        </is>
      </c>
      <c r="G3487" t="n">
        <v>0.8</v>
      </c>
      <c r="H3487" t="n">
        <v>0</v>
      </c>
      <c r="I3487" t="n">
        <v>0</v>
      </c>
      <c r="J3487" t="n">
        <v>0</v>
      </c>
      <c r="K3487" t="n">
        <v>0</v>
      </c>
      <c r="L3487" t="n">
        <v>0</v>
      </c>
      <c r="M3487" t="n">
        <v>0</v>
      </c>
      <c r="N3487" t="n">
        <v>0</v>
      </c>
      <c r="O3487" t="n">
        <v>0</v>
      </c>
      <c r="P3487" t="n">
        <v>0</v>
      </c>
      <c r="Q3487" t="n">
        <v>0</v>
      </c>
      <c r="R3487" s="2" t="inlineStr"/>
    </row>
    <row r="3488" ht="15" customHeight="1">
      <c r="A3488" t="inlineStr">
        <is>
          <t>A 54313-2021</t>
        </is>
      </c>
      <c r="B3488" s="1" t="n">
        <v>44472</v>
      </c>
      <c r="C3488" s="1" t="n">
        <v>45952</v>
      </c>
      <c r="D3488" t="inlineStr">
        <is>
          <t>VÄSTRA GÖTALANDS LÄN</t>
        </is>
      </c>
      <c r="E3488" t="inlineStr">
        <is>
          <t>LYSEKIL</t>
        </is>
      </c>
      <c r="G3488" t="n">
        <v>0.3</v>
      </c>
      <c r="H3488" t="n">
        <v>0</v>
      </c>
      <c r="I3488" t="n">
        <v>0</v>
      </c>
      <c r="J3488" t="n">
        <v>0</v>
      </c>
      <c r="K3488" t="n">
        <v>0</v>
      </c>
      <c r="L3488" t="n">
        <v>0</v>
      </c>
      <c r="M3488" t="n">
        <v>0</v>
      </c>
      <c r="N3488" t="n">
        <v>0</v>
      </c>
      <c r="O3488" t="n">
        <v>0</v>
      </c>
      <c r="P3488" t="n">
        <v>0</v>
      </c>
      <c r="Q3488" t="n">
        <v>0</v>
      </c>
      <c r="R3488" s="2" t="inlineStr"/>
    </row>
    <row r="3489" ht="15" customHeight="1">
      <c r="A3489" t="inlineStr">
        <is>
          <t>A 3989-2023</t>
        </is>
      </c>
      <c r="B3489" s="1" t="n">
        <v>44952</v>
      </c>
      <c r="C3489" s="1" t="n">
        <v>45952</v>
      </c>
      <c r="D3489" t="inlineStr">
        <is>
          <t>VÄSTRA GÖTALANDS LÄN</t>
        </is>
      </c>
      <c r="E3489" t="inlineStr">
        <is>
          <t>MELLERUD</t>
        </is>
      </c>
      <c r="G3489" t="n">
        <v>1.5</v>
      </c>
      <c r="H3489" t="n">
        <v>0</v>
      </c>
      <c r="I3489" t="n">
        <v>0</v>
      </c>
      <c r="J3489" t="n">
        <v>0</v>
      </c>
      <c r="K3489" t="n">
        <v>0</v>
      </c>
      <c r="L3489" t="n">
        <v>0</v>
      </c>
      <c r="M3489" t="n">
        <v>0</v>
      </c>
      <c r="N3489" t="n">
        <v>0</v>
      </c>
      <c r="O3489" t="n">
        <v>0</v>
      </c>
      <c r="P3489" t="n">
        <v>0</v>
      </c>
      <c r="Q3489" t="n">
        <v>0</v>
      </c>
      <c r="R3489" s="2" t="inlineStr"/>
    </row>
    <row r="3490" ht="15" customHeight="1">
      <c r="A3490" t="inlineStr">
        <is>
          <t>A 37866-2021</t>
        </is>
      </c>
      <c r="B3490" s="1" t="n">
        <v>44403.4725462963</v>
      </c>
      <c r="C3490" s="1" t="n">
        <v>45952</v>
      </c>
      <c r="D3490" t="inlineStr">
        <is>
          <t>VÄSTRA GÖTALANDS LÄN</t>
        </is>
      </c>
      <c r="E3490" t="inlineStr">
        <is>
          <t>STENUNGSUND</t>
        </is>
      </c>
      <c r="G3490" t="n">
        <v>1.5</v>
      </c>
      <c r="H3490" t="n">
        <v>0</v>
      </c>
      <c r="I3490" t="n">
        <v>0</v>
      </c>
      <c r="J3490" t="n">
        <v>0</v>
      </c>
      <c r="K3490" t="n">
        <v>0</v>
      </c>
      <c r="L3490" t="n">
        <v>0</v>
      </c>
      <c r="M3490" t="n">
        <v>0</v>
      </c>
      <c r="N3490" t="n">
        <v>0</v>
      </c>
      <c r="O3490" t="n">
        <v>0</v>
      </c>
      <c r="P3490" t="n">
        <v>0</v>
      </c>
      <c r="Q3490" t="n">
        <v>0</v>
      </c>
      <c r="R3490" s="2" t="inlineStr"/>
    </row>
    <row r="3491" ht="15" customHeight="1">
      <c r="A3491" t="inlineStr">
        <is>
          <t>A 3886-2025</t>
        </is>
      </c>
      <c r="B3491" s="1" t="n">
        <v>45684.36366898148</v>
      </c>
      <c r="C3491" s="1" t="n">
        <v>45952</v>
      </c>
      <c r="D3491" t="inlineStr">
        <is>
          <t>VÄSTRA GÖTALANDS LÄN</t>
        </is>
      </c>
      <c r="E3491" t="inlineStr">
        <is>
          <t>TROLLHÄTTAN</t>
        </is>
      </c>
      <c r="F3491" t="inlineStr">
        <is>
          <t>Kommuner</t>
        </is>
      </c>
      <c r="G3491" t="n">
        <v>0.6</v>
      </c>
      <c r="H3491" t="n">
        <v>0</v>
      </c>
      <c r="I3491" t="n">
        <v>0</v>
      </c>
      <c r="J3491" t="n">
        <v>0</v>
      </c>
      <c r="K3491" t="n">
        <v>0</v>
      </c>
      <c r="L3491" t="n">
        <v>0</v>
      </c>
      <c r="M3491" t="n">
        <v>0</v>
      </c>
      <c r="N3491" t="n">
        <v>0</v>
      </c>
      <c r="O3491" t="n">
        <v>0</v>
      </c>
      <c r="P3491" t="n">
        <v>0</v>
      </c>
      <c r="Q3491" t="n">
        <v>0</v>
      </c>
      <c r="R3491" s="2" t="inlineStr"/>
    </row>
    <row r="3492" ht="15" customHeight="1">
      <c r="A3492" t="inlineStr">
        <is>
          <t>A 25508-2022</t>
        </is>
      </c>
      <c r="B3492" s="1" t="n">
        <v>44732.57942129629</v>
      </c>
      <c r="C3492" s="1" t="n">
        <v>45952</v>
      </c>
      <c r="D3492" t="inlineStr">
        <is>
          <t>VÄSTRA GÖTALANDS LÄN</t>
        </is>
      </c>
      <c r="E3492" t="inlineStr">
        <is>
          <t>TRANEMO</t>
        </is>
      </c>
      <c r="F3492" t="inlineStr">
        <is>
          <t>Kommuner</t>
        </is>
      </c>
      <c r="G3492" t="n">
        <v>1.6</v>
      </c>
      <c r="H3492" t="n">
        <v>0</v>
      </c>
      <c r="I3492" t="n">
        <v>0</v>
      </c>
      <c r="J3492" t="n">
        <v>0</v>
      </c>
      <c r="K3492" t="n">
        <v>0</v>
      </c>
      <c r="L3492" t="n">
        <v>0</v>
      </c>
      <c r="M3492" t="n">
        <v>0</v>
      </c>
      <c r="N3492" t="n">
        <v>0</v>
      </c>
      <c r="O3492" t="n">
        <v>0</v>
      </c>
      <c r="P3492" t="n">
        <v>0</v>
      </c>
      <c r="Q3492" t="n">
        <v>0</v>
      </c>
      <c r="R3492" s="2" t="inlineStr"/>
    </row>
    <row r="3493" ht="15" customHeight="1">
      <c r="A3493" t="inlineStr">
        <is>
          <t>A 52687-2021</t>
        </is>
      </c>
      <c r="B3493" s="1" t="n">
        <v>44466.83081018519</v>
      </c>
      <c r="C3493" s="1" t="n">
        <v>45952</v>
      </c>
      <c r="D3493" t="inlineStr">
        <is>
          <t>VÄSTRA GÖTALANDS LÄN</t>
        </is>
      </c>
      <c r="E3493" t="inlineStr">
        <is>
          <t>TROLLHÄTTAN</t>
        </is>
      </c>
      <c r="G3493" t="n">
        <v>0.6</v>
      </c>
      <c r="H3493" t="n">
        <v>0</v>
      </c>
      <c r="I3493" t="n">
        <v>0</v>
      </c>
      <c r="J3493" t="n">
        <v>0</v>
      </c>
      <c r="K3493" t="n">
        <v>0</v>
      </c>
      <c r="L3493" t="n">
        <v>0</v>
      </c>
      <c r="M3493" t="n">
        <v>0</v>
      </c>
      <c r="N3493" t="n">
        <v>0</v>
      </c>
      <c r="O3493" t="n">
        <v>0</v>
      </c>
      <c r="P3493" t="n">
        <v>0</v>
      </c>
      <c r="Q3493" t="n">
        <v>0</v>
      </c>
      <c r="R3493" s="2" t="inlineStr"/>
    </row>
    <row r="3494" ht="15" customHeight="1">
      <c r="A3494" t="inlineStr">
        <is>
          <t>A 3927-2025</t>
        </is>
      </c>
      <c r="B3494" s="1" t="n">
        <v>45684.45201388889</v>
      </c>
      <c r="C3494" s="1" t="n">
        <v>45952</v>
      </c>
      <c r="D3494" t="inlineStr">
        <is>
          <t>VÄSTRA GÖTALANDS LÄN</t>
        </is>
      </c>
      <c r="E3494" t="inlineStr">
        <is>
          <t>TRANEMO</t>
        </is>
      </c>
      <c r="G3494" t="n">
        <v>2</v>
      </c>
      <c r="H3494" t="n">
        <v>0</v>
      </c>
      <c r="I3494" t="n">
        <v>0</v>
      </c>
      <c r="J3494" t="n">
        <v>0</v>
      </c>
      <c r="K3494" t="n">
        <v>0</v>
      </c>
      <c r="L3494" t="n">
        <v>0</v>
      </c>
      <c r="M3494" t="n">
        <v>0</v>
      </c>
      <c r="N3494" t="n">
        <v>0</v>
      </c>
      <c r="O3494" t="n">
        <v>0</v>
      </c>
      <c r="P3494" t="n">
        <v>0</v>
      </c>
      <c r="Q3494" t="n">
        <v>0</v>
      </c>
      <c r="R3494" s="2" t="inlineStr"/>
    </row>
    <row r="3495" ht="15" customHeight="1">
      <c r="A3495" t="inlineStr">
        <is>
          <t>A 39297-2022</t>
        </is>
      </c>
      <c r="B3495" s="1" t="n">
        <v>44817.66766203703</v>
      </c>
      <c r="C3495" s="1" t="n">
        <v>45952</v>
      </c>
      <c r="D3495" t="inlineStr">
        <is>
          <t>VÄSTRA GÖTALANDS LÄN</t>
        </is>
      </c>
      <c r="E3495" t="inlineStr">
        <is>
          <t>TIDAHOLM</t>
        </is>
      </c>
      <c r="G3495" t="n">
        <v>2.6</v>
      </c>
      <c r="H3495" t="n">
        <v>0</v>
      </c>
      <c r="I3495" t="n">
        <v>0</v>
      </c>
      <c r="J3495" t="n">
        <v>0</v>
      </c>
      <c r="K3495" t="n">
        <v>0</v>
      </c>
      <c r="L3495" t="n">
        <v>0</v>
      </c>
      <c r="M3495" t="n">
        <v>0</v>
      </c>
      <c r="N3495" t="n">
        <v>0</v>
      </c>
      <c r="O3495" t="n">
        <v>0</v>
      </c>
      <c r="P3495" t="n">
        <v>0</v>
      </c>
      <c r="Q3495" t="n">
        <v>0</v>
      </c>
      <c r="R3495" s="2" t="inlineStr"/>
    </row>
    <row r="3496" ht="15" customHeight="1">
      <c r="A3496" t="inlineStr">
        <is>
          <t>A 48711-2024</t>
        </is>
      </c>
      <c r="B3496" s="1" t="n">
        <v>45593.53931712963</v>
      </c>
      <c r="C3496" s="1" t="n">
        <v>45952</v>
      </c>
      <c r="D3496" t="inlineStr">
        <is>
          <t>VÄSTRA GÖTALANDS LÄN</t>
        </is>
      </c>
      <c r="E3496" t="inlineStr">
        <is>
          <t>BORÅS</t>
        </is>
      </c>
      <c r="G3496" t="n">
        <v>4.1</v>
      </c>
      <c r="H3496" t="n">
        <v>0</v>
      </c>
      <c r="I3496" t="n">
        <v>0</v>
      </c>
      <c r="J3496" t="n">
        <v>0</v>
      </c>
      <c r="K3496" t="n">
        <v>0</v>
      </c>
      <c r="L3496" t="n">
        <v>0</v>
      </c>
      <c r="M3496" t="n">
        <v>0</v>
      </c>
      <c r="N3496" t="n">
        <v>0</v>
      </c>
      <c r="O3496" t="n">
        <v>0</v>
      </c>
      <c r="P3496" t="n">
        <v>0</v>
      </c>
      <c r="Q3496" t="n">
        <v>0</v>
      </c>
      <c r="R3496" s="2" t="inlineStr"/>
    </row>
    <row r="3497" ht="15" customHeight="1">
      <c r="A3497" t="inlineStr">
        <is>
          <t>A 4976-2023</t>
        </is>
      </c>
      <c r="B3497" s="1" t="n">
        <v>44958.45994212963</v>
      </c>
      <c r="C3497" s="1" t="n">
        <v>45952</v>
      </c>
      <c r="D3497" t="inlineStr">
        <is>
          <t>VÄSTRA GÖTALANDS LÄN</t>
        </is>
      </c>
      <c r="E3497" t="inlineStr">
        <is>
          <t>ÅMÅL</t>
        </is>
      </c>
      <c r="G3497" t="n">
        <v>0.9</v>
      </c>
      <c r="H3497" t="n">
        <v>0</v>
      </c>
      <c r="I3497" t="n">
        <v>0</v>
      </c>
      <c r="J3497" t="n">
        <v>0</v>
      </c>
      <c r="K3497" t="n">
        <v>0</v>
      </c>
      <c r="L3497" t="n">
        <v>0</v>
      </c>
      <c r="M3497" t="n">
        <v>0</v>
      </c>
      <c r="N3497" t="n">
        <v>0</v>
      </c>
      <c r="O3497" t="n">
        <v>0</v>
      </c>
      <c r="P3497" t="n">
        <v>0</v>
      </c>
      <c r="Q3497" t="n">
        <v>0</v>
      </c>
      <c r="R3497" s="2" t="inlineStr"/>
    </row>
    <row r="3498" ht="15" customHeight="1">
      <c r="A3498" t="inlineStr">
        <is>
          <t>A 49391-2024</t>
        </is>
      </c>
      <c r="B3498" s="1" t="n">
        <v>45595.6597337963</v>
      </c>
      <c r="C3498" s="1" t="n">
        <v>45952</v>
      </c>
      <c r="D3498" t="inlineStr">
        <is>
          <t>VÄSTRA GÖTALANDS LÄN</t>
        </is>
      </c>
      <c r="E3498" t="inlineStr">
        <is>
          <t>VARA</t>
        </is>
      </c>
      <c r="G3498" t="n">
        <v>2.2</v>
      </c>
      <c r="H3498" t="n">
        <v>0</v>
      </c>
      <c r="I3498" t="n">
        <v>0</v>
      </c>
      <c r="J3498" t="n">
        <v>0</v>
      </c>
      <c r="K3498" t="n">
        <v>0</v>
      </c>
      <c r="L3498" t="n">
        <v>0</v>
      </c>
      <c r="M3498" t="n">
        <v>0</v>
      </c>
      <c r="N3498" t="n">
        <v>0</v>
      </c>
      <c r="O3498" t="n">
        <v>0</v>
      </c>
      <c r="P3498" t="n">
        <v>0</v>
      </c>
      <c r="Q3498" t="n">
        <v>0</v>
      </c>
      <c r="R3498" s="2" t="inlineStr"/>
    </row>
    <row r="3499" ht="15" customHeight="1">
      <c r="A3499" t="inlineStr">
        <is>
          <t>A 3820-2025</t>
        </is>
      </c>
      <c r="B3499" s="1" t="n">
        <v>45681.71317129629</v>
      </c>
      <c r="C3499" s="1" t="n">
        <v>45952</v>
      </c>
      <c r="D3499" t="inlineStr">
        <is>
          <t>VÄSTRA GÖTALANDS LÄN</t>
        </is>
      </c>
      <c r="E3499" t="inlineStr">
        <is>
          <t>ULRICEHAMN</t>
        </is>
      </c>
      <c r="G3499" t="n">
        <v>2.3</v>
      </c>
      <c r="H3499" t="n">
        <v>0</v>
      </c>
      <c r="I3499" t="n">
        <v>0</v>
      </c>
      <c r="J3499" t="n">
        <v>0</v>
      </c>
      <c r="K3499" t="n">
        <v>0</v>
      </c>
      <c r="L3499" t="n">
        <v>0</v>
      </c>
      <c r="M3499" t="n">
        <v>0</v>
      </c>
      <c r="N3499" t="n">
        <v>0</v>
      </c>
      <c r="O3499" t="n">
        <v>0</v>
      </c>
      <c r="P3499" t="n">
        <v>0</v>
      </c>
      <c r="Q3499" t="n">
        <v>0</v>
      </c>
      <c r="R3499" s="2" t="inlineStr"/>
    </row>
    <row r="3500" ht="15" customHeight="1">
      <c r="A3500" t="inlineStr">
        <is>
          <t>A 67160-2021</t>
        </is>
      </c>
      <c r="B3500" s="1" t="n">
        <v>44523</v>
      </c>
      <c r="C3500" s="1" t="n">
        <v>45952</v>
      </c>
      <c r="D3500" t="inlineStr">
        <is>
          <t>VÄSTRA GÖTALANDS LÄN</t>
        </is>
      </c>
      <c r="E3500" t="inlineStr">
        <is>
          <t>ALE</t>
        </is>
      </c>
      <c r="G3500" t="n">
        <v>2.2</v>
      </c>
      <c r="H3500" t="n">
        <v>0</v>
      </c>
      <c r="I3500" t="n">
        <v>0</v>
      </c>
      <c r="J3500" t="n">
        <v>0</v>
      </c>
      <c r="K3500" t="n">
        <v>0</v>
      </c>
      <c r="L3500" t="n">
        <v>0</v>
      </c>
      <c r="M3500" t="n">
        <v>0</v>
      </c>
      <c r="N3500" t="n">
        <v>0</v>
      </c>
      <c r="O3500" t="n">
        <v>0</v>
      </c>
      <c r="P3500" t="n">
        <v>0</v>
      </c>
      <c r="Q3500" t="n">
        <v>0</v>
      </c>
      <c r="R3500" s="2" t="inlineStr"/>
    </row>
    <row r="3501" ht="15" customHeight="1">
      <c r="A3501" t="inlineStr">
        <is>
          <t>A 6916-2023</t>
        </is>
      </c>
      <c r="B3501" s="1" t="n">
        <v>44967.53349537037</v>
      </c>
      <c r="C3501" s="1" t="n">
        <v>45952</v>
      </c>
      <c r="D3501" t="inlineStr">
        <is>
          <t>VÄSTRA GÖTALANDS LÄN</t>
        </is>
      </c>
      <c r="E3501" t="inlineStr">
        <is>
          <t>ALE</t>
        </is>
      </c>
      <c r="G3501" t="n">
        <v>1</v>
      </c>
      <c r="H3501" t="n">
        <v>0</v>
      </c>
      <c r="I3501" t="n">
        <v>0</v>
      </c>
      <c r="J3501" t="n">
        <v>0</v>
      </c>
      <c r="K3501" t="n">
        <v>0</v>
      </c>
      <c r="L3501" t="n">
        <v>0</v>
      </c>
      <c r="M3501" t="n">
        <v>0</v>
      </c>
      <c r="N3501" t="n">
        <v>0</v>
      </c>
      <c r="O3501" t="n">
        <v>0</v>
      </c>
      <c r="P3501" t="n">
        <v>0</v>
      </c>
      <c r="Q3501" t="n">
        <v>0</v>
      </c>
      <c r="R3501" s="2" t="inlineStr"/>
    </row>
    <row r="3502" ht="15" customHeight="1">
      <c r="A3502" t="inlineStr">
        <is>
          <t>A 47826-2021</t>
        </is>
      </c>
      <c r="B3502" s="1" t="n">
        <v>44448</v>
      </c>
      <c r="C3502" s="1" t="n">
        <v>45952</v>
      </c>
      <c r="D3502" t="inlineStr">
        <is>
          <t>VÄSTRA GÖTALANDS LÄN</t>
        </is>
      </c>
      <c r="E3502" t="inlineStr">
        <is>
          <t>MARK</t>
        </is>
      </c>
      <c r="F3502" t="inlineStr">
        <is>
          <t>Kyrkan</t>
        </is>
      </c>
      <c r="G3502" t="n">
        <v>3</v>
      </c>
      <c r="H3502" t="n">
        <v>0</v>
      </c>
      <c r="I3502" t="n">
        <v>0</v>
      </c>
      <c r="J3502" t="n">
        <v>0</v>
      </c>
      <c r="K3502" t="n">
        <v>0</v>
      </c>
      <c r="L3502" t="n">
        <v>0</v>
      </c>
      <c r="M3502" t="n">
        <v>0</v>
      </c>
      <c r="N3502" t="n">
        <v>0</v>
      </c>
      <c r="O3502" t="n">
        <v>0</v>
      </c>
      <c r="P3502" t="n">
        <v>0</v>
      </c>
      <c r="Q3502" t="n">
        <v>0</v>
      </c>
      <c r="R3502" s="2" t="inlineStr"/>
    </row>
    <row r="3503" ht="15" customHeight="1">
      <c r="A3503" t="inlineStr">
        <is>
          <t>A 49242-2021</t>
        </is>
      </c>
      <c r="B3503" s="1" t="n">
        <v>44453</v>
      </c>
      <c r="C3503" s="1" t="n">
        <v>45952</v>
      </c>
      <c r="D3503" t="inlineStr">
        <is>
          <t>VÄSTRA GÖTALANDS LÄN</t>
        </is>
      </c>
      <c r="E3503" t="inlineStr">
        <is>
          <t>STRÖMSTAD</t>
        </is>
      </c>
      <c r="G3503" t="n">
        <v>1.9</v>
      </c>
      <c r="H3503" t="n">
        <v>0</v>
      </c>
      <c r="I3503" t="n">
        <v>0</v>
      </c>
      <c r="J3503" t="n">
        <v>0</v>
      </c>
      <c r="K3503" t="n">
        <v>0</v>
      </c>
      <c r="L3503" t="n">
        <v>0</v>
      </c>
      <c r="M3503" t="n">
        <v>0</v>
      </c>
      <c r="N3503" t="n">
        <v>0</v>
      </c>
      <c r="O3503" t="n">
        <v>0</v>
      </c>
      <c r="P3503" t="n">
        <v>0</v>
      </c>
      <c r="Q3503" t="n">
        <v>0</v>
      </c>
      <c r="R3503" s="2" t="inlineStr"/>
    </row>
    <row r="3504" ht="15" customHeight="1">
      <c r="A3504" t="inlineStr">
        <is>
          <t>A 1662-2025</t>
        </is>
      </c>
      <c r="B3504" s="1" t="n">
        <v>45670</v>
      </c>
      <c r="C3504" s="1" t="n">
        <v>45952</v>
      </c>
      <c r="D3504" t="inlineStr">
        <is>
          <t>VÄSTRA GÖTALANDS LÄN</t>
        </is>
      </c>
      <c r="E3504" t="inlineStr">
        <is>
          <t>GÖTENE</t>
        </is>
      </c>
      <c r="G3504" t="n">
        <v>1.8</v>
      </c>
      <c r="H3504" t="n">
        <v>0</v>
      </c>
      <c r="I3504" t="n">
        <v>0</v>
      </c>
      <c r="J3504" t="n">
        <v>0</v>
      </c>
      <c r="K3504" t="n">
        <v>0</v>
      </c>
      <c r="L3504" t="n">
        <v>0</v>
      </c>
      <c r="M3504" t="n">
        <v>0</v>
      </c>
      <c r="N3504" t="n">
        <v>0</v>
      </c>
      <c r="O3504" t="n">
        <v>0</v>
      </c>
      <c r="P3504" t="n">
        <v>0</v>
      </c>
      <c r="Q3504" t="n">
        <v>0</v>
      </c>
      <c r="R3504" s="2" t="inlineStr"/>
    </row>
    <row r="3505" ht="15" customHeight="1">
      <c r="A3505" t="inlineStr">
        <is>
          <t>A 52359-2021</t>
        </is>
      </c>
      <c r="B3505" s="1" t="n">
        <v>44465.35538194444</v>
      </c>
      <c r="C3505" s="1" t="n">
        <v>45952</v>
      </c>
      <c r="D3505" t="inlineStr">
        <is>
          <t>VÄSTRA GÖTALANDS LÄN</t>
        </is>
      </c>
      <c r="E3505" t="inlineStr">
        <is>
          <t>VÅRGÅRDA</t>
        </is>
      </c>
      <c r="G3505" t="n">
        <v>0.1</v>
      </c>
      <c r="H3505" t="n">
        <v>0</v>
      </c>
      <c r="I3505" t="n">
        <v>0</v>
      </c>
      <c r="J3505" t="n">
        <v>0</v>
      </c>
      <c r="K3505" t="n">
        <v>0</v>
      </c>
      <c r="L3505" t="n">
        <v>0</v>
      </c>
      <c r="M3505" t="n">
        <v>0</v>
      </c>
      <c r="N3505" t="n">
        <v>0</v>
      </c>
      <c r="O3505" t="n">
        <v>0</v>
      </c>
      <c r="P3505" t="n">
        <v>0</v>
      </c>
      <c r="Q3505" t="n">
        <v>0</v>
      </c>
      <c r="R3505" s="2" t="inlineStr"/>
    </row>
    <row r="3506" ht="15" customHeight="1">
      <c r="A3506" t="inlineStr">
        <is>
          <t>A 47869-2021</t>
        </is>
      </c>
      <c r="B3506" s="1" t="n">
        <v>44448.68752314815</v>
      </c>
      <c r="C3506" s="1" t="n">
        <v>45952</v>
      </c>
      <c r="D3506" t="inlineStr">
        <is>
          <t>VÄSTRA GÖTALANDS LÄN</t>
        </is>
      </c>
      <c r="E3506" t="inlineStr">
        <is>
          <t>TRANEMO</t>
        </is>
      </c>
      <c r="G3506" t="n">
        <v>0.7</v>
      </c>
      <c r="H3506" t="n">
        <v>0</v>
      </c>
      <c r="I3506" t="n">
        <v>0</v>
      </c>
      <c r="J3506" t="n">
        <v>0</v>
      </c>
      <c r="K3506" t="n">
        <v>0</v>
      </c>
      <c r="L3506" t="n">
        <v>0</v>
      </c>
      <c r="M3506" t="n">
        <v>0</v>
      </c>
      <c r="N3506" t="n">
        <v>0</v>
      </c>
      <c r="O3506" t="n">
        <v>0</v>
      </c>
      <c r="P3506" t="n">
        <v>0</v>
      </c>
      <c r="Q3506" t="n">
        <v>0</v>
      </c>
      <c r="R3506" s="2" t="inlineStr"/>
    </row>
    <row r="3507" ht="15" customHeight="1">
      <c r="A3507" t="inlineStr">
        <is>
          <t>A 47882-2021</t>
        </is>
      </c>
      <c r="B3507" s="1" t="n">
        <v>44448</v>
      </c>
      <c r="C3507" s="1" t="n">
        <v>45952</v>
      </c>
      <c r="D3507" t="inlineStr">
        <is>
          <t>VÄSTRA GÖTALANDS LÄN</t>
        </is>
      </c>
      <c r="E3507" t="inlineStr">
        <is>
          <t>ORUST</t>
        </is>
      </c>
      <c r="G3507" t="n">
        <v>3.4</v>
      </c>
      <c r="H3507" t="n">
        <v>0</v>
      </c>
      <c r="I3507" t="n">
        <v>0</v>
      </c>
      <c r="J3507" t="n">
        <v>0</v>
      </c>
      <c r="K3507" t="n">
        <v>0</v>
      </c>
      <c r="L3507" t="n">
        <v>0</v>
      </c>
      <c r="M3507" t="n">
        <v>0</v>
      </c>
      <c r="N3507" t="n">
        <v>0</v>
      </c>
      <c r="O3507" t="n">
        <v>0</v>
      </c>
      <c r="P3507" t="n">
        <v>0</v>
      </c>
      <c r="Q3507" t="n">
        <v>0</v>
      </c>
      <c r="R3507" s="2" t="inlineStr"/>
    </row>
    <row r="3508" ht="15" customHeight="1">
      <c r="A3508" t="inlineStr">
        <is>
          <t>A 47883-2021</t>
        </is>
      </c>
      <c r="B3508" s="1" t="n">
        <v>44448</v>
      </c>
      <c r="C3508" s="1" t="n">
        <v>45952</v>
      </c>
      <c r="D3508" t="inlineStr">
        <is>
          <t>VÄSTRA GÖTALANDS LÄN</t>
        </is>
      </c>
      <c r="E3508" t="inlineStr">
        <is>
          <t>ORUST</t>
        </is>
      </c>
      <c r="G3508" t="n">
        <v>2.2</v>
      </c>
      <c r="H3508" t="n">
        <v>0</v>
      </c>
      <c r="I3508" t="n">
        <v>0</v>
      </c>
      <c r="J3508" t="n">
        <v>0</v>
      </c>
      <c r="K3508" t="n">
        <v>0</v>
      </c>
      <c r="L3508" t="n">
        <v>0</v>
      </c>
      <c r="M3508" t="n">
        <v>0</v>
      </c>
      <c r="N3508" t="n">
        <v>0</v>
      </c>
      <c r="O3508" t="n">
        <v>0</v>
      </c>
      <c r="P3508" t="n">
        <v>0</v>
      </c>
      <c r="Q3508" t="n">
        <v>0</v>
      </c>
      <c r="R3508" s="2" t="inlineStr"/>
    </row>
    <row r="3509" ht="15" customHeight="1">
      <c r="A3509" t="inlineStr">
        <is>
          <t>A 47896-2021</t>
        </is>
      </c>
      <c r="B3509" s="1" t="n">
        <v>44448</v>
      </c>
      <c r="C3509" s="1" t="n">
        <v>45952</v>
      </c>
      <c r="D3509" t="inlineStr">
        <is>
          <t>VÄSTRA GÖTALANDS LÄN</t>
        </is>
      </c>
      <c r="E3509" t="inlineStr">
        <is>
          <t>VARA</t>
        </is>
      </c>
      <c r="G3509" t="n">
        <v>1.9</v>
      </c>
      <c r="H3509" t="n">
        <v>0</v>
      </c>
      <c r="I3509" t="n">
        <v>0</v>
      </c>
      <c r="J3509" t="n">
        <v>0</v>
      </c>
      <c r="K3509" t="n">
        <v>0</v>
      </c>
      <c r="L3509" t="n">
        <v>0</v>
      </c>
      <c r="M3509" t="n">
        <v>0</v>
      </c>
      <c r="N3509" t="n">
        <v>0</v>
      </c>
      <c r="O3509" t="n">
        <v>0</v>
      </c>
      <c r="P3509" t="n">
        <v>0</v>
      </c>
      <c r="Q3509" t="n">
        <v>0</v>
      </c>
      <c r="R3509" s="2" t="inlineStr"/>
    </row>
    <row r="3510" ht="15" customHeight="1">
      <c r="A3510" t="inlineStr">
        <is>
          <t>A 26836-2022</t>
        </is>
      </c>
      <c r="B3510" s="1" t="n">
        <v>44740</v>
      </c>
      <c r="C3510" s="1" t="n">
        <v>45952</v>
      </c>
      <c r="D3510" t="inlineStr">
        <is>
          <t>VÄSTRA GÖTALANDS LÄN</t>
        </is>
      </c>
      <c r="E3510" t="inlineStr">
        <is>
          <t>SKÖVDE</t>
        </is>
      </c>
      <c r="G3510" t="n">
        <v>1.4</v>
      </c>
      <c r="H3510" t="n">
        <v>0</v>
      </c>
      <c r="I3510" t="n">
        <v>0</v>
      </c>
      <c r="J3510" t="n">
        <v>0</v>
      </c>
      <c r="K3510" t="n">
        <v>0</v>
      </c>
      <c r="L3510" t="n">
        <v>0</v>
      </c>
      <c r="M3510" t="n">
        <v>0</v>
      </c>
      <c r="N3510" t="n">
        <v>0</v>
      </c>
      <c r="O3510" t="n">
        <v>0</v>
      </c>
      <c r="P3510" t="n">
        <v>0</v>
      </c>
      <c r="Q3510" t="n">
        <v>0</v>
      </c>
      <c r="R3510" s="2" t="inlineStr"/>
    </row>
    <row r="3511" ht="15" customHeight="1">
      <c r="A3511" t="inlineStr">
        <is>
          <t>A 57815-2020</t>
        </is>
      </c>
      <c r="B3511" s="1" t="n">
        <v>44141.41043981481</v>
      </c>
      <c r="C3511" s="1" t="n">
        <v>45952</v>
      </c>
      <c r="D3511" t="inlineStr">
        <is>
          <t>VÄSTRA GÖTALANDS LÄN</t>
        </is>
      </c>
      <c r="E3511" t="inlineStr">
        <is>
          <t>FALKÖPING</t>
        </is>
      </c>
      <c r="G3511" t="n">
        <v>1.2</v>
      </c>
      <c r="H3511" t="n">
        <v>0</v>
      </c>
      <c r="I3511" t="n">
        <v>0</v>
      </c>
      <c r="J3511" t="n">
        <v>0</v>
      </c>
      <c r="K3511" t="n">
        <v>0</v>
      </c>
      <c r="L3511" t="n">
        <v>0</v>
      </c>
      <c r="M3511" t="n">
        <v>0</v>
      </c>
      <c r="N3511" t="n">
        <v>0</v>
      </c>
      <c r="O3511" t="n">
        <v>0</v>
      </c>
      <c r="P3511" t="n">
        <v>0</v>
      </c>
      <c r="Q3511" t="n">
        <v>0</v>
      </c>
      <c r="R3511" s="2" t="inlineStr"/>
    </row>
    <row r="3512" ht="15" customHeight="1">
      <c r="A3512" t="inlineStr">
        <is>
          <t>A 3272-2025</t>
        </is>
      </c>
      <c r="B3512" s="1" t="n">
        <v>45679</v>
      </c>
      <c r="C3512" s="1" t="n">
        <v>45952</v>
      </c>
      <c r="D3512" t="inlineStr">
        <is>
          <t>VÄSTRA GÖTALANDS LÄN</t>
        </is>
      </c>
      <c r="E3512" t="inlineStr">
        <is>
          <t>TROLLHÄTTAN</t>
        </is>
      </c>
      <c r="G3512" t="n">
        <v>2.1</v>
      </c>
      <c r="H3512" t="n">
        <v>0</v>
      </c>
      <c r="I3512" t="n">
        <v>0</v>
      </c>
      <c r="J3512" t="n">
        <v>0</v>
      </c>
      <c r="K3512" t="n">
        <v>0</v>
      </c>
      <c r="L3512" t="n">
        <v>0</v>
      </c>
      <c r="M3512" t="n">
        <v>0</v>
      </c>
      <c r="N3512" t="n">
        <v>0</v>
      </c>
      <c r="O3512" t="n">
        <v>0</v>
      </c>
      <c r="P3512" t="n">
        <v>0</v>
      </c>
      <c r="Q3512" t="n">
        <v>0</v>
      </c>
      <c r="R3512" s="2" t="inlineStr"/>
    </row>
    <row r="3513" ht="15" customHeight="1">
      <c r="A3513" t="inlineStr">
        <is>
          <t>A 58996-2020</t>
        </is>
      </c>
      <c r="B3513" s="1" t="n">
        <v>44146.90333333334</v>
      </c>
      <c r="C3513" s="1" t="n">
        <v>45952</v>
      </c>
      <c r="D3513" t="inlineStr">
        <is>
          <t>VÄSTRA GÖTALANDS LÄN</t>
        </is>
      </c>
      <c r="E3513" t="inlineStr">
        <is>
          <t>FALKÖPING</t>
        </is>
      </c>
      <c r="G3513" t="n">
        <v>0.5</v>
      </c>
      <c r="H3513" t="n">
        <v>0</v>
      </c>
      <c r="I3513" t="n">
        <v>0</v>
      </c>
      <c r="J3513" t="n">
        <v>0</v>
      </c>
      <c r="K3513" t="n">
        <v>0</v>
      </c>
      <c r="L3513" t="n">
        <v>0</v>
      </c>
      <c r="M3513" t="n">
        <v>0</v>
      </c>
      <c r="N3513" t="n">
        <v>0</v>
      </c>
      <c r="O3513" t="n">
        <v>0</v>
      </c>
      <c r="P3513" t="n">
        <v>0</v>
      </c>
      <c r="Q3513" t="n">
        <v>0</v>
      </c>
      <c r="R3513" s="2" t="inlineStr"/>
    </row>
    <row r="3514" ht="15" customHeight="1">
      <c r="A3514" t="inlineStr">
        <is>
          <t>A 73609-2021</t>
        </is>
      </c>
      <c r="B3514" s="1" t="n">
        <v>44552</v>
      </c>
      <c r="C3514" s="1" t="n">
        <v>45952</v>
      </c>
      <c r="D3514" t="inlineStr">
        <is>
          <t>VÄSTRA GÖTALANDS LÄN</t>
        </is>
      </c>
      <c r="E3514" t="inlineStr">
        <is>
          <t>GULLSPÅNG</t>
        </is>
      </c>
      <c r="G3514" t="n">
        <v>1.8</v>
      </c>
      <c r="H3514" t="n">
        <v>0</v>
      </c>
      <c r="I3514" t="n">
        <v>0</v>
      </c>
      <c r="J3514" t="n">
        <v>0</v>
      </c>
      <c r="K3514" t="n">
        <v>0</v>
      </c>
      <c r="L3514" t="n">
        <v>0</v>
      </c>
      <c r="M3514" t="n">
        <v>0</v>
      </c>
      <c r="N3514" t="n">
        <v>0</v>
      </c>
      <c r="O3514" t="n">
        <v>0</v>
      </c>
      <c r="P3514" t="n">
        <v>0</v>
      </c>
      <c r="Q3514" t="n">
        <v>0</v>
      </c>
      <c r="R3514" s="2" t="inlineStr"/>
    </row>
    <row r="3515" ht="15" customHeight="1">
      <c r="A3515" t="inlineStr">
        <is>
          <t>A 3097-2024</t>
        </is>
      </c>
      <c r="B3515" s="1" t="n">
        <v>45316.46585648148</v>
      </c>
      <c r="C3515" s="1" t="n">
        <v>45952</v>
      </c>
      <c r="D3515" t="inlineStr">
        <is>
          <t>VÄSTRA GÖTALANDS LÄN</t>
        </is>
      </c>
      <c r="E3515" t="inlineStr">
        <is>
          <t>ALINGSÅS</t>
        </is>
      </c>
      <c r="G3515" t="n">
        <v>2.5</v>
      </c>
      <c r="H3515" t="n">
        <v>0</v>
      </c>
      <c r="I3515" t="n">
        <v>0</v>
      </c>
      <c r="J3515" t="n">
        <v>0</v>
      </c>
      <c r="K3515" t="n">
        <v>0</v>
      </c>
      <c r="L3515" t="n">
        <v>0</v>
      </c>
      <c r="M3515" t="n">
        <v>0</v>
      </c>
      <c r="N3515" t="n">
        <v>0</v>
      </c>
      <c r="O3515" t="n">
        <v>0</v>
      </c>
      <c r="P3515" t="n">
        <v>0</v>
      </c>
      <c r="Q3515" t="n">
        <v>0</v>
      </c>
      <c r="R3515" s="2" t="inlineStr"/>
    </row>
    <row r="3516" ht="15" customHeight="1">
      <c r="A3516" t="inlineStr">
        <is>
          <t>A 17568-2021</t>
        </is>
      </c>
      <c r="B3516" s="1" t="n">
        <v>44299</v>
      </c>
      <c r="C3516" s="1" t="n">
        <v>45952</v>
      </c>
      <c r="D3516" t="inlineStr">
        <is>
          <t>VÄSTRA GÖTALANDS LÄN</t>
        </is>
      </c>
      <c r="E3516" t="inlineStr">
        <is>
          <t>ULRICEHAMN</t>
        </is>
      </c>
      <c r="G3516" t="n">
        <v>1.9</v>
      </c>
      <c r="H3516" t="n">
        <v>0</v>
      </c>
      <c r="I3516" t="n">
        <v>0</v>
      </c>
      <c r="J3516" t="n">
        <v>0</v>
      </c>
      <c r="K3516" t="n">
        <v>0</v>
      </c>
      <c r="L3516" t="n">
        <v>0</v>
      </c>
      <c r="M3516" t="n">
        <v>0</v>
      </c>
      <c r="N3516" t="n">
        <v>0</v>
      </c>
      <c r="O3516" t="n">
        <v>0</v>
      </c>
      <c r="P3516" t="n">
        <v>0</v>
      </c>
      <c r="Q3516" t="n">
        <v>0</v>
      </c>
      <c r="R3516" s="2" t="inlineStr"/>
    </row>
    <row r="3517" ht="15" customHeight="1">
      <c r="A3517" t="inlineStr">
        <is>
          <t>A 34465-2022</t>
        </is>
      </c>
      <c r="B3517" s="1" t="n">
        <v>44792</v>
      </c>
      <c r="C3517" s="1" t="n">
        <v>45952</v>
      </c>
      <c r="D3517" t="inlineStr">
        <is>
          <t>VÄSTRA GÖTALANDS LÄN</t>
        </is>
      </c>
      <c r="E3517" t="inlineStr">
        <is>
          <t>SVENLJUNGA</t>
        </is>
      </c>
      <c r="G3517" t="n">
        <v>1.6</v>
      </c>
      <c r="H3517" t="n">
        <v>0</v>
      </c>
      <c r="I3517" t="n">
        <v>0</v>
      </c>
      <c r="J3517" t="n">
        <v>0</v>
      </c>
      <c r="K3517" t="n">
        <v>0</v>
      </c>
      <c r="L3517" t="n">
        <v>0</v>
      </c>
      <c r="M3517" t="n">
        <v>0</v>
      </c>
      <c r="N3517" t="n">
        <v>0</v>
      </c>
      <c r="O3517" t="n">
        <v>0</v>
      </c>
      <c r="P3517" t="n">
        <v>0</v>
      </c>
      <c r="Q3517" t="n">
        <v>0</v>
      </c>
      <c r="R3517" s="2" t="inlineStr"/>
    </row>
    <row r="3518" ht="15" customHeight="1">
      <c r="A3518" t="inlineStr">
        <is>
          <t>A 45729-2021</t>
        </is>
      </c>
      <c r="B3518" s="1" t="n">
        <v>44441</v>
      </c>
      <c r="C3518" s="1" t="n">
        <v>45952</v>
      </c>
      <c r="D3518" t="inlineStr">
        <is>
          <t>VÄSTRA GÖTALANDS LÄN</t>
        </is>
      </c>
      <c r="E3518" t="inlineStr">
        <is>
          <t>ORUST</t>
        </is>
      </c>
      <c r="G3518" t="n">
        <v>3.1</v>
      </c>
      <c r="H3518" t="n">
        <v>0</v>
      </c>
      <c r="I3518" t="n">
        <v>0</v>
      </c>
      <c r="J3518" t="n">
        <v>0</v>
      </c>
      <c r="K3518" t="n">
        <v>0</v>
      </c>
      <c r="L3518" t="n">
        <v>0</v>
      </c>
      <c r="M3518" t="n">
        <v>0</v>
      </c>
      <c r="N3518" t="n">
        <v>0</v>
      </c>
      <c r="O3518" t="n">
        <v>0</v>
      </c>
      <c r="P3518" t="n">
        <v>0</v>
      </c>
      <c r="Q3518" t="n">
        <v>0</v>
      </c>
      <c r="R3518" s="2" t="inlineStr"/>
    </row>
    <row r="3519" ht="15" customHeight="1">
      <c r="A3519" t="inlineStr">
        <is>
          <t>A 11680-2024</t>
        </is>
      </c>
      <c r="B3519" s="1" t="n">
        <v>45373</v>
      </c>
      <c r="C3519" s="1" t="n">
        <v>45952</v>
      </c>
      <c r="D3519" t="inlineStr">
        <is>
          <t>VÄSTRA GÖTALANDS LÄN</t>
        </is>
      </c>
      <c r="E3519" t="inlineStr">
        <is>
          <t>TÖREBODA</t>
        </is>
      </c>
      <c r="G3519" t="n">
        <v>12.3</v>
      </c>
      <c r="H3519" t="n">
        <v>0</v>
      </c>
      <c r="I3519" t="n">
        <v>0</v>
      </c>
      <c r="J3519" t="n">
        <v>0</v>
      </c>
      <c r="K3519" t="n">
        <v>0</v>
      </c>
      <c r="L3519" t="n">
        <v>0</v>
      </c>
      <c r="M3519" t="n">
        <v>0</v>
      </c>
      <c r="N3519" t="n">
        <v>0</v>
      </c>
      <c r="O3519" t="n">
        <v>0</v>
      </c>
      <c r="P3519" t="n">
        <v>0</v>
      </c>
      <c r="Q3519" t="n">
        <v>0</v>
      </c>
      <c r="R3519" s="2" t="inlineStr"/>
    </row>
    <row r="3520" ht="15" customHeight="1">
      <c r="A3520" t="inlineStr">
        <is>
          <t>A 45001-2021</t>
        </is>
      </c>
      <c r="B3520" s="1" t="n">
        <v>44438.91945601852</v>
      </c>
      <c r="C3520" s="1" t="n">
        <v>45952</v>
      </c>
      <c r="D3520" t="inlineStr">
        <is>
          <t>VÄSTRA GÖTALANDS LÄN</t>
        </is>
      </c>
      <c r="E3520" t="inlineStr">
        <is>
          <t>LIDKÖPING</t>
        </is>
      </c>
      <c r="G3520" t="n">
        <v>0.8</v>
      </c>
      <c r="H3520" t="n">
        <v>0</v>
      </c>
      <c r="I3520" t="n">
        <v>0</v>
      </c>
      <c r="J3520" t="n">
        <v>0</v>
      </c>
      <c r="K3520" t="n">
        <v>0</v>
      </c>
      <c r="L3520" t="n">
        <v>0</v>
      </c>
      <c r="M3520" t="n">
        <v>0</v>
      </c>
      <c r="N3520" t="n">
        <v>0</v>
      </c>
      <c r="O3520" t="n">
        <v>0</v>
      </c>
      <c r="P3520" t="n">
        <v>0</v>
      </c>
      <c r="Q3520" t="n">
        <v>0</v>
      </c>
      <c r="R3520" s="2" t="inlineStr"/>
    </row>
    <row r="3521" ht="15" customHeight="1">
      <c r="A3521" t="inlineStr">
        <is>
          <t>A 50071-2023</t>
        </is>
      </c>
      <c r="B3521" s="1" t="n">
        <v>45215</v>
      </c>
      <c r="C3521" s="1" t="n">
        <v>45952</v>
      </c>
      <c r="D3521" t="inlineStr">
        <is>
          <t>VÄSTRA GÖTALANDS LÄN</t>
        </is>
      </c>
      <c r="E3521" t="inlineStr">
        <is>
          <t>KUNGÄLV</t>
        </is>
      </c>
      <c r="G3521" t="n">
        <v>4</v>
      </c>
      <c r="H3521" t="n">
        <v>0</v>
      </c>
      <c r="I3521" t="n">
        <v>0</v>
      </c>
      <c r="J3521" t="n">
        <v>0</v>
      </c>
      <c r="K3521" t="n">
        <v>0</v>
      </c>
      <c r="L3521" t="n">
        <v>0</v>
      </c>
      <c r="M3521" t="n">
        <v>0</v>
      </c>
      <c r="N3521" t="n">
        <v>0</v>
      </c>
      <c r="O3521" t="n">
        <v>0</v>
      </c>
      <c r="P3521" t="n">
        <v>0</v>
      </c>
      <c r="Q3521" t="n">
        <v>0</v>
      </c>
      <c r="R3521" s="2" t="inlineStr"/>
    </row>
    <row r="3522" ht="15" customHeight="1">
      <c r="A3522" t="inlineStr">
        <is>
          <t>A 25651-2023</t>
        </is>
      </c>
      <c r="B3522" s="1" t="n">
        <v>45089</v>
      </c>
      <c r="C3522" s="1" t="n">
        <v>45952</v>
      </c>
      <c r="D3522" t="inlineStr">
        <is>
          <t>VÄSTRA GÖTALANDS LÄN</t>
        </is>
      </c>
      <c r="E3522" t="inlineStr">
        <is>
          <t>ULRICEHAMN</t>
        </is>
      </c>
      <c r="G3522" t="n">
        <v>6.5</v>
      </c>
      <c r="H3522" t="n">
        <v>0</v>
      </c>
      <c r="I3522" t="n">
        <v>0</v>
      </c>
      <c r="J3522" t="n">
        <v>0</v>
      </c>
      <c r="K3522" t="n">
        <v>0</v>
      </c>
      <c r="L3522" t="n">
        <v>0</v>
      </c>
      <c r="M3522" t="n">
        <v>0</v>
      </c>
      <c r="N3522" t="n">
        <v>0</v>
      </c>
      <c r="O3522" t="n">
        <v>0</v>
      </c>
      <c r="P3522" t="n">
        <v>0</v>
      </c>
      <c r="Q3522" t="n">
        <v>0</v>
      </c>
      <c r="R3522" s="2" t="inlineStr"/>
    </row>
    <row r="3523" ht="15" customHeight="1">
      <c r="A3523" t="inlineStr">
        <is>
          <t>A 3645-2024</t>
        </is>
      </c>
      <c r="B3523" s="1" t="n">
        <v>45321</v>
      </c>
      <c r="C3523" s="1" t="n">
        <v>45952</v>
      </c>
      <c r="D3523" t="inlineStr">
        <is>
          <t>VÄSTRA GÖTALANDS LÄN</t>
        </is>
      </c>
      <c r="E3523" t="inlineStr">
        <is>
          <t>GULLSPÅNG</t>
        </is>
      </c>
      <c r="G3523" t="n">
        <v>2.1</v>
      </c>
      <c r="H3523" t="n">
        <v>0</v>
      </c>
      <c r="I3523" t="n">
        <v>0</v>
      </c>
      <c r="J3523" t="n">
        <v>0</v>
      </c>
      <c r="K3523" t="n">
        <v>0</v>
      </c>
      <c r="L3523" t="n">
        <v>0</v>
      </c>
      <c r="M3523" t="n">
        <v>0</v>
      </c>
      <c r="N3523" t="n">
        <v>0</v>
      </c>
      <c r="O3523" t="n">
        <v>0</v>
      </c>
      <c r="P3523" t="n">
        <v>0</v>
      </c>
      <c r="Q3523" t="n">
        <v>0</v>
      </c>
      <c r="R3523" s="2" t="inlineStr"/>
    </row>
    <row r="3524" ht="15" customHeight="1">
      <c r="A3524" t="inlineStr">
        <is>
          <t>A 3670-2021</t>
        </is>
      </c>
      <c r="B3524" s="1" t="n">
        <v>44221</v>
      </c>
      <c r="C3524" s="1" t="n">
        <v>45952</v>
      </c>
      <c r="D3524" t="inlineStr">
        <is>
          <t>VÄSTRA GÖTALANDS LÄN</t>
        </is>
      </c>
      <c r="E3524" t="inlineStr">
        <is>
          <t>HÄRRYDA</t>
        </is>
      </c>
      <c r="G3524" t="n">
        <v>0.8</v>
      </c>
      <c r="H3524" t="n">
        <v>0</v>
      </c>
      <c r="I3524" t="n">
        <v>0</v>
      </c>
      <c r="J3524" t="n">
        <v>0</v>
      </c>
      <c r="K3524" t="n">
        <v>0</v>
      </c>
      <c r="L3524" t="n">
        <v>0</v>
      </c>
      <c r="M3524" t="n">
        <v>0</v>
      </c>
      <c r="N3524" t="n">
        <v>0</v>
      </c>
      <c r="O3524" t="n">
        <v>0</v>
      </c>
      <c r="P3524" t="n">
        <v>0</v>
      </c>
      <c r="Q3524" t="n">
        <v>0</v>
      </c>
      <c r="R3524" s="2" t="inlineStr"/>
    </row>
    <row r="3525" ht="15" customHeight="1">
      <c r="A3525" t="inlineStr">
        <is>
          <t>A 32542-2022</t>
        </is>
      </c>
      <c r="B3525" s="1" t="n">
        <v>44783.32818287037</v>
      </c>
      <c r="C3525" s="1" t="n">
        <v>45952</v>
      </c>
      <c r="D3525" t="inlineStr">
        <is>
          <t>VÄSTRA GÖTALANDS LÄN</t>
        </is>
      </c>
      <c r="E3525" t="inlineStr">
        <is>
          <t>FALKÖPING</t>
        </is>
      </c>
      <c r="F3525" t="inlineStr">
        <is>
          <t>Sveaskog</t>
        </is>
      </c>
      <c r="G3525" t="n">
        <v>1.8</v>
      </c>
      <c r="H3525" t="n">
        <v>0</v>
      </c>
      <c r="I3525" t="n">
        <v>0</v>
      </c>
      <c r="J3525" t="n">
        <v>0</v>
      </c>
      <c r="K3525" t="n">
        <v>0</v>
      </c>
      <c r="L3525" t="n">
        <v>0</v>
      </c>
      <c r="M3525" t="n">
        <v>0</v>
      </c>
      <c r="N3525" t="n">
        <v>0</v>
      </c>
      <c r="O3525" t="n">
        <v>0</v>
      </c>
      <c r="P3525" t="n">
        <v>0</v>
      </c>
      <c r="Q3525" t="n">
        <v>0</v>
      </c>
      <c r="R3525" s="2" t="inlineStr"/>
    </row>
    <row r="3526" ht="15" customHeight="1">
      <c r="A3526" t="inlineStr">
        <is>
          <t>A 29101-2022</t>
        </is>
      </c>
      <c r="B3526" s="1" t="n">
        <v>44750.41521990741</v>
      </c>
      <c r="C3526" s="1" t="n">
        <v>45952</v>
      </c>
      <c r="D3526" t="inlineStr">
        <is>
          <t>VÄSTRA GÖTALANDS LÄN</t>
        </is>
      </c>
      <c r="E3526" t="inlineStr">
        <is>
          <t>LERUM</t>
        </is>
      </c>
      <c r="G3526" t="n">
        <v>0.5</v>
      </c>
      <c r="H3526" t="n">
        <v>0</v>
      </c>
      <c r="I3526" t="n">
        <v>0</v>
      </c>
      <c r="J3526" t="n">
        <v>0</v>
      </c>
      <c r="K3526" t="n">
        <v>0</v>
      </c>
      <c r="L3526" t="n">
        <v>0</v>
      </c>
      <c r="M3526" t="n">
        <v>0</v>
      </c>
      <c r="N3526" t="n">
        <v>0</v>
      </c>
      <c r="O3526" t="n">
        <v>0</v>
      </c>
      <c r="P3526" t="n">
        <v>0</v>
      </c>
      <c r="Q3526" t="n">
        <v>0</v>
      </c>
      <c r="R3526" s="2" t="inlineStr"/>
    </row>
    <row r="3527" ht="15" customHeight="1">
      <c r="A3527" t="inlineStr">
        <is>
          <t>A 10050-2025</t>
        </is>
      </c>
      <c r="B3527" s="1" t="n">
        <v>45719</v>
      </c>
      <c r="C3527" s="1" t="n">
        <v>45952</v>
      </c>
      <c r="D3527" t="inlineStr">
        <is>
          <t>VÄSTRA GÖTALANDS LÄN</t>
        </is>
      </c>
      <c r="E3527" t="inlineStr">
        <is>
          <t>BENGTSFORS</t>
        </is>
      </c>
      <c r="G3527" t="n">
        <v>0.9</v>
      </c>
      <c r="H3527" t="n">
        <v>0</v>
      </c>
      <c r="I3527" t="n">
        <v>0</v>
      </c>
      <c r="J3527" t="n">
        <v>0</v>
      </c>
      <c r="K3527" t="n">
        <v>0</v>
      </c>
      <c r="L3527" t="n">
        <v>0</v>
      </c>
      <c r="M3527" t="n">
        <v>0</v>
      </c>
      <c r="N3527" t="n">
        <v>0</v>
      </c>
      <c r="O3527" t="n">
        <v>0</v>
      </c>
      <c r="P3527" t="n">
        <v>0</v>
      </c>
      <c r="Q3527" t="n">
        <v>0</v>
      </c>
      <c r="R3527" s="2" t="inlineStr"/>
    </row>
    <row r="3528" ht="15" customHeight="1">
      <c r="A3528" t="inlineStr">
        <is>
          <t>A 12149-2022</t>
        </is>
      </c>
      <c r="B3528" s="1" t="n">
        <v>44636</v>
      </c>
      <c r="C3528" s="1" t="n">
        <v>45952</v>
      </c>
      <c r="D3528" t="inlineStr">
        <is>
          <t>VÄSTRA GÖTALANDS LÄN</t>
        </is>
      </c>
      <c r="E3528" t="inlineStr">
        <is>
          <t>ULRICEHAMN</t>
        </is>
      </c>
      <c r="G3528" t="n">
        <v>6.3</v>
      </c>
      <c r="H3528" t="n">
        <v>0</v>
      </c>
      <c r="I3528" t="n">
        <v>0</v>
      </c>
      <c r="J3528" t="n">
        <v>0</v>
      </c>
      <c r="K3528" t="n">
        <v>0</v>
      </c>
      <c r="L3528" t="n">
        <v>0</v>
      </c>
      <c r="M3528" t="n">
        <v>0</v>
      </c>
      <c r="N3528" t="n">
        <v>0</v>
      </c>
      <c r="O3528" t="n">
        <v>0</v>
      </c>
      <c r="P3528" t="n">
        <v>0</v>
      </c>
      <c r="Q3528" t="n">
        <v>0</v>
      </c>
      <c r="R3528" s="2" t="inlineStr"/>
    </row>
    <row r="3529" ht="15" customHeight="1">
      <c r="A3529" t="inlineStr">
        <is>
          <t>A 9725-2023</t>
        </is>
      </c>
      <c r="B3529" s="1" t="n">
        <v>44984</v>
      </c>
      <c r="C3529" s="1" t="n">
        <v>45952</v>
      </c>
      <c r="D3529" t="inlineStr">
        <is>
          <t>VÄSTRA GÖTALANDS LÄN</t>
        </is>
      </c>
      <c r="E3529" t="inlineStr">
        <is>
          <t>VÅRGÅRDA</t>
        </is>
      </c>
      <c r="G3529" t="n">
        <v>4.4</v>
      </c>
      <c r="H3529" t="n">
        <v>0</v>
      </c>
      <c r="I3529" t="n">
        <v>0</v>
      </c>
      <c r="J3529" t="n">
        <v>0</v>
      </c>
      <c r="K3529" t="n">
        <v>0</v>
      </c>
      <c r="L3529" t="n">
        <v>0</v>
      </c>
      <c r="M3529" t="n">
        <v>0</v>
      </c>
      <c r="N3529" t="n">
        <v>0</v>
      </c>
      <c r="O3529" t="n">
        <v>0</v>
      </c>
      <c r="P3529" t="n">
        <v>0</v>
      </c>
      <c r="Q3529" t="n">
        <v>0</v>
      </c>
      <c r="R3529" s="2" t="inlineStr"/>
    </row>
    <row r="3530" ht="15" customHeight="1">
      <c r="A3530" t="inlineStr">
        <is>
          <t>A 11589-2022</t>
        </is>
      </c>
      <c r="B3530" s="1" t="n">
        <v>44631</v>
      </c>
      <c r="C3530" s="1" t="n">
        <v>45952</v>
      </c>
      <c r="D3530" t="inlineStr">
        <is>
          <t>VÄSTRA GÖTALANDS LÄN</t>
        </is>
      </c>
      <c r="E3530" t="inlineStr">
        <is>
          <t>VARA</t>
        </is>
      </c>
      <c r="G3530" t="n">
        <v>1.9</v>
      </c>
      <c r="H3530" t="n">
        <v>0</v>
      </c>
      <c r="I3530" t="n">
        <v>0</v>
      </c>
      <c r="J3530" t="n">
        <v>0</v>
      </c>
      <c r="K3530" t="n">
        <v>0</v>
      </c>
      <c r="L3530" t="n">
        <v>0</v>
      </c>
      <c r="M3530" t="n">
        <v>0</v>
      </c>
      <c r="N3530" t="n">
        <v>0</v>
      </c>
      <c r="O3530" t="n">
        <v>0</v>
      </c>
      <c r="P3530" t="n">
        <v>0</v>
      </c>
      <c r="Q3530" t="n">
        <v>0</v>
      </c>
      <c r="R3530" s="2" t="inlineStr"/>
    </row>
    <row r="3531" ht="15" customHeight="1">
      <c r="A3531" t="inlineStr">
        <is>
          <t>A 10843-2025</t>
        </is>
      </c>
      <c r="B3531" s="1" t="n">
        <v>45722.5778125</v>
      </c>
      <c r="C3531" s="1" t="n">
        <v>45952</v>
      </c>
      <c r="D3531" t="inlineStr">
        <is>
          <t>VÄSTRA GÖTALANDS LÄN</t>
        </is>
      </c>
      <c r="E3531" t="inlineStr">
        <is>
          <t>STENUNGSUND</t>
        </is>
      </c>
      <c r="G3531" t="n">
        <v>2.8</v>
      </c>
      <c r="H3531" t="n">
        <v>0</v>
      </c>
      <c r="I3531" t="n">
        <v>0</v>
      </c>
      <c r="J3531" t="n">
        <v>0</v>
      </c>
      <c r="K3531" t="n">
        <v>0</v>
      </c>
      <c r="L3531" t="n">
        <v>0</v>
      </c>
      <c r="M3531" t="n">
        <v>0</v>
      </c>
      <c r="N3531" t="n">
        <v>0</v>
      </c>
      <c r="O3531" t="n">
        <v>0</v>
      </c>
      <c r="P3531" t="n">
        <v>0</v>
      </c>
      <c r="Q3531" t="n">
        <v>0</v>
      </c>
      <c r="R3531" s="2" t="inlineStr"/>
    </row>
    <row r="3532" ht="15" customHeight="1">
      <c r="A3532" t="inlineStr">
        <is>
          <t>A 26108-2023</t>
        </is>
      </c>
      <c r="B3532" s="1" t="n">
        <v>45091</v>
      </c>
      <c r="C3532" s="1" t="n">
        <v>45952</v>
      </c>
      <c r="D3532" t="inlineStr">
        <is>
          <t>VÄSTRA GÖTALANDS LÄN</t>
        </is>
      </c>
      <c r="E3532" t="inlineStr">
        <is>
          <t>FÄRGELANDA</t>
        </is>
      </c>
      <c r="G3532" t="n">
        <v>0.5</v>
      </c>
      <c r="H3532" t="n">
        <v>0</v>
      </c>
      <c r="I3532" t="n">
        <v>0</v>
      </c>
      <c r="J3532" t="n">
        <v>0</v>
      </c>
      <c r="K3532" t="n">
        <v>0</v>
      </c>
      <c r="L3532" t="n">
        <v>0</v>
      </c>
      <c r="M3532" t="n">
        <v>0</v>
      </c>
      <c r="N3532" t="n">
        <v>0</v>
      </c>
      <c r="O3532" t="n">
        <v>0</v>
      </c>
      <c r="P3532" t="n">
        <v>0</v>
      </c>
      <c r="Q3532" t="n">
        <v>0</v>
      </c>
      <c r="R3532" s="2" t="inlineStr"/>
    </row>
    <row r="3533" ht="15" customHeight="1">
      <c r="A3533" t="inlineStr">
        <is>
          <t>A 15555-2024</t>
        </is>
      </c>
      <c r="B3533" s="1" t="n">
        <v>45401.63873842593</v>
      </c>
      <c r="C3533" s="1" t="n">
        <v>45952</v>
      </c>
      <c r="D3533" t="inlineStr">
        <is>
          <t>VÄSTRA GÖTALANDS LÄN</t>
        </is>
      </c>
      <c r="E3533" t="inlineStr">
        <is>
          <t>MUNKEDAL</t>
        </is>
      </c>
      <c r="G3533" t="n">
        <v>1.6</v>
      </c>
      <c r="H3533" t="n">
        <v>0</v>
      </c>
      <c r="I3533" t="n">
        <v>0</v>
      </c>
      <c r="J3533" t="n">
        <v>0</v>
      </c>
      <c r="K3533" t="n">
        <v>0</v>
      </c>
      <c r="L3533" t="n">
        <v>0</v>
      </c>
      <c r="M3533" t="n">
        <v>0</v>
      </c>
      <c r="N3533" t="n">
        <v>0</v>
      </c>
      <c r="O3533" t="n">
        <v>0</v>
      </c>
      <c r="P3533" t="n">
        <v>0</v>
      </c>
      <c r="Q3533" t="n">
        <v>0</v>
      </c>
      <c r="R3533" s="2" t="inlineStr"/>
    </row>
    <row r="3534" ht="15" customHeight="1">
      <c r="A3534" t="inlineStr">
        <is>
          <t>A 6193-2021</t>
        </is>
      </c>
      <c r="B3534" s="1" t="n">
        <v>44234</v>
      </c>
      <c r="C3534" s="1" t="n">
        <v>45952</v>
      </c>
      <c r="D3534" t="inlineStr">
        <is>
          <t>VÄSTRA GÖTALANDS LÄN</t>
        </is>
      </c>
      <c r="E3534" t="inlineStr">
        <is>
          <t>LILLA EDET</t>
        </is>
      </c>
      <c r="G3534" t="n">
        <v>0.8</v>
      </c>
      <c r="H3534" t="n">
        <v>0</v>
      </c>
      <c r="I3534" t="n">
        <v>0</v>
      </c>
      <c r="J3534" t="n">
        <v>0</v>
      </c>
      <c r="K3534" t="n">
        <v>0</v>
      </c>
      <c r="L3534" t="n">
        <v>0</v>
      </c>
      <c r="M3534" t="n">
        <v>0</v>
      </c>
      <c r="N3534" t="n">
        <v>0</v>
      </c>
      <c r="O3534" t="n">
        <v>0</v>
      </c>
      <c r="P3534" t="n">
        <v>0</v>
      </c>
      <c r="Q3534" t="n">
        <v>0</v>
      </c>
      <c r="R3534" s="2" t="inlineStr"/>
    </row>
    <row r="3535" ht="15" customHeight="1">
      <c r="A3535" t="inlineStr">
        <is>
          <t>A 10849-2025</t>
        </is>
      </c>
      <c r="B3535" s="1" t="n">
        <v>45722.5817824074</v>
      </c>
      <c r="C3535" s="1" t="n">
        <v>45952</v>
      </c>
      <c r="D3535" t="inlineStr">
        <is>
          <t>VÄSTRA GÖTALANDS LÄN</t>
        </is>
      </c>
      <c r="E3535" t="inlineStr">
        <is>
          <t>STENUNGSUND</t>
        </is>
      </c>
      <c r="G3535" t="n">
        <v>2.9</v>
      </c>
      <c r="H3535" t="n">
        <v>0</v>
      </c>
      <c r="I3535" t="n">
        <v>0</v>
      </c>
      <c r="J3535" t="n">
        <v>0</v>
      </c>
      <c r="K3535" t="n">
        <v>0</v>
      </c>
      <c r="L3535" t="n">
        <v>0</v>
      </c>
      <c r="M3535" t="n">
        <v>0</v>
      </c>
      <c r="N3535" t="n">
        <v>0</v>
      </c>
      <c r="O3535" t="n">
        <v>0</v>
      </c>
      <c r="P3535" t="n">
        <v>0</v>
      </c>
      <c r="Q3535" t="n">
        <v>0</v>
      </c>
      <c r="R3535" s="2" t="inlineStr"/>
    </row>
    <row r="3536" ht="15" customHeight="1">
      <c r="A3536" t="inlineStr">
        <is>
          <t>A 14873-2021</t>
        </is>
      </c>
      <c r="B3536" s="1" t="n">
        <v>44281</v>
      </c>
      <c r="C3536" s="1" t="n">
        <v>45952</v>
      </c>
      <c r="D3536" t="inlineStr">
        <is>
          <t>VÄSTRA GÖTALANDS LÄN</t>
        </is>
      </c>
      <c r="E3536" t="inlineStr">
        <is>
          <t>MARK</t>
        </is>
      </c>
      <c r="G3536" t="n">
        <v>0.1</v>
      </c>
      <c r="H3536" t="n">
        <v>0</v>
      </c>
      <c r="I3536" t="n">
        <v>0</v>
      </c>
      <c r="J3536" t="n">
        <v>0</v>
      </c>
      <c r="K3536" t="n">
        <v>0</v>
      </c>
      <c r="L3536" t="n">
        <v>0</v>
      </c>
      <c r="M3536" t="n">
        <v>0</v>
      </c>
      <c r="N3536" t="n">
        <v>0</v>
      </c>
      <c r="O3536" t="n">
        <v>0</v>
      </c>
      <c r="P3536" t="n">
        <v>0</v>
      </c>
      <c r="Q3536" t="n">
        <v>0</v>
      </c>
      <c r="R3536" s="2" t="inlineStr"/>
    </row>
    <row r="3537" ht="15" customHeight="1">
      <c r="A3537" t="inlineStr">
        <is>
          <t>A 36381-2023</t>
        </is>
      </c>
      <c r="B3537" s="1" t="n">
        <v>45152.52061342593</v>
      </c>
      <c r="C3537" s="1" t="n">
        <v>45952</v>
      </c>
      <c r="D3537" t="inlineStr">
        <is>
          <t>VÄSTRA GÖTALANDS LÄN</t>
        </is>
      </c>
      <c r="E3537" t="inlineStr">
        <is>
          <t>GÖTENE</t>
        </is>
      </c>
      <c r="G3537" t="n">
        <v>2</v>
      </c>
      <c r="H3537" t="n">
        <v>0</v>
      </c>
      <c r="I3537" t="n">
        <v>0</v>
      </c>
      <c r="J3537" t="n">
        <v>0</v>
      </c>
      <c r="K3537" t="n">
        <v>0</v>
      </c>
      <c r="L3537" t="n">
        <v>0</v>
      </c>
      <c r="M3537" t="n">
        <v>0</v>
      </c>
      <c r="N3537" t="n">
        <v>0</v>
      </c>
      <c r="O3537" t="n">
        <v>0</v>
      </c>
      <c r="P3537" t="n">
        <v>0</v>
      </c>
      <c r="Q3537" t="n">
        <v>0</v>
      </c>
      <c r="R3537" s="2" t="inlineStr"/>
    </row>
    <row r="3538" ht="15" customHeight="1">
      <c r="A3538" t="inlineStr">
        <is>
          <t>A 15364-2022</t>
        </is>
      </c>
      <c r="B3538" s="1" t="n">
        <v>44659</v>
      </c>
      <c r="C3538" s="1" t="n">
        <v>45952</v>
      </c>
      <c r="D3538" t="inlineStr">
        <is>
          <t>VÄSTRA GÖTALANDS LÄN</t>
        </is>
      </c>
      <c r="E3538" t="inlineStr">
        <is>
          <t>DALS-ED</t>
        </is>
      </c>
      <c r="G3538" t="n">
        <v>6.5</v>
      </c>
      <c r="H3538" t="n">
        <v>0</v>
      </c>
      <c r="I3538" t="n">
        <v>0</v>
      </c>
      <c r="J3538" t="n">
        <v>0</v>
      </c>
      <c r="K3538" t="n">
        <v>0</v>
      </c>
      <c r="L3538" t="n">
        <v>0</v>
      </c>
      <c r="M3538" t="n">
        <v>0</v>
      </c>
      <c r="N3538" t="n">
        <v>0</v>
      </c>
      <c r="O3538" t="n">
        <v>0</v>
      </c>
      <c r="P3538" t="n">
        <v>0</v>
      </c>
      <c r="Q3538" t="n">
        <v>0</v>
      </c>
      <c r="R3538" s="2" t="inlineStr"/>
    </row>
    <row r="3539" ht="15" customHeight="1">
      <c r="A3539" t="inlineStr">
        <is>
          <t>A 16609-2022</t>
        </is>
      </c>
      <c r="B3539" s="1" t="n">
        <v>44672</v>
      </c>
      <c r="C3539" s="1" t="n">
        <v>45952</v>
      </c>
      <c r="D3539" t="inlineStr">
        <is>
          <t>VÄSTRA GÖTALANDS LÄN</t>
        </is>
      </c>
      <c r="E3539" t="inlineStr">
        <is>
          <t>ALINGSÅS</t>
        </is>
      </c>
      <c r="G3539" t="n">
        <v>4.1</v>
      </c>
      <c r="H3539" t="n">
        <v>0</v>
      </c>
      <c r="I3539" t="n">
        <v>0</v>
      </c>
      <c r="J3539" t="n">
        <v>0</v>
      </c>
      <c r="K3539" t="n">
        <v>0</v>
      </c>
      <c r="L3539" t="n">
        <v>0</v>
      </c>
      <c r="M3539" t="n">
        <v>0</v>
      </c>
      <c r="N3539" t="n">
        <v>0</v>
      </c>
      <c r="O3539" t="n">
        <v>0</v>
      </c>
      <c r="P3539" t="n">
        <v>0</v>
      </c>
      <c r="Q3539" t="n">
        <v>0</v>
      </c>
      <c r="R3539" s="2" t="inlineStr"/>
    </row>
    <row r="3540" ht="15" customHeight="1">
      <c r="A3540" t="inlineStr">
        <is>
          <t>A 60987-2021</t>
        </is>
      </c>
      <c r="B3540" s="1" t="n">
        <v>44497</v>
      </c>
      <c r="C3540" s="1" t="n">
        <v>45952</v>
      </c>
      <c r="D3540" t="inlineStr">
        <is>
          <t>VÄSTRA GÖTALANDS LÄN</t>
        </is>
      </c>
      <c r="E3540" t="inlineStr">
        <is>
          <t>VÄNERSBORG</t>
        </is>
      </c>
      <c r="G3540" t="n">
        <v>0.5</v>
      </c>
      <c r="H3540" t="n">
        <v>0</v>
      </c>
      <c r="I3540" t="n">
        <v>0</v>
      </c>
      <c r="J3540" t="n">
        <v>0</v>
      </c>
      <c r="K3540" t="n">
        <v>0</v>
      </c>
      <c r="L3540" t="n">
        <v>0</v>
      </c>
      <c r="M3540" t="n">
        <v>0</v>
      </c>
      <c r="N3540" t="n">
        <v>0</v>
      </c>
      <c r="O3540" t="n">
        <v>0</v>
      </c>
      <c r="P3540" t="n">
        <v>0</v>
      </c>
      <c r="Q3540" t="n">
        <v>0</v>
      </c>
      <c r="R3540" s="2" t="inlineStr"/>
    </row>
    <row r="3541" ht="15" customHeight="1">
      <c r="A3541" t="inlineStr">
        <is>
          <t>A 6910-2021</t>
        </is>
      </c>
      <c r="B3541" s="1" t="n">
        <v>44237.48460648148</v>
      </c>
      <c r="C3541" s="1" t="n">
        <v>45952</v>
      </c>
      <c r="D3541" t="inlineStr">
        <is>
          <t>VÄSTRA GÖTALANDS LÄN</t>
        </is>
      </c>
      <c r="E3541" t="inlineStr">
        <is>
          <t>HERRLJUNGA</t>
        </is>
      </c>
      <c r="G3541" t="n">
        <v>1.9</v>
      </c>
      <c r="H3541" t="n">
        <v>0</v>
      </c>
      <c r="I3541" t="n">
        <v>0</v>
      </c>
      <c r="J3541" t="n">
        <v>0</v>
      </c>
      <c r="K3541" t="n">
        <v>0</v>
      </c>
      <c r="L3541" t="n">
        <v>0</v>
      </c>
      <c r="M3541" t="n">
        <v>0</v>
      </c>
      <c r="N3541" t="n">
        <v>0</v>
      </c>
      <c r="O3541" t="n">
        <v>0</v>
      </c>
      <c r="P3541" t="n">
        <v>0</v>
      </c>
      <c r="Q3541" t="n">
        <v>0</v>
      </c>
      <c r="R3541" s="2" t="inlineStr"/>
    </row>
    <row r="3542" ht="15" customHeight="1">
      <c r="A3542" t="inlineStr">
        <is>
          <t>A 56002-2020</t>
        </is>
      </c>
      <c r="B3542" s="1" t="n">
        <v>44133</v>
      </c>
      <c r="C3542" s="1" t="n">
        <v>45952</v>
      </c>
      <c r="D3542" t="inlineStr">
        <is>
          <t>VÄSTRA GÖTALANDS LÄN</t>
        </is>
      </c>
      <c r="E3542" t="inlineStr">
        <is>
          <t>SVENLJUNGA</t>
        </is>
      </c>
      <c r="G3542" t="n">
        <v>1.5</v>
      </c>
      <c r="H3542" t="n">
        <v>0</v>
      </c>
      <c r="I3542" t="n">
        <v>0</v>
      </c>
      <c r="J3542" t="n">
        <v>0</v>
      </c>
      <c r="K3542" t="n">
        <v>0</v>
      </c>
      <c r="L3542" t="n">
        <v>0</v>
      </c>
      <c r="M3542" t="n">
        <v>0</v>
      </c>
      <c r="N3542" t="n">
        <v>0</v>
      </c>
      <c r="O3542" t="n">
        <v>0</v>
      </c>
      <c r="P3542" t="n">
        <v>0</v>
      </c>
      <c r="Q3542" t="n">
        <v>0</v>
      </c>
      <c r="R3542" s="2" t="inlineStr"/>
    </row>
    <row r="3543" ht="15" customHeight="1">
      <c r="A3543" t="inlineStr">
        <is>
          <t>A 47262-2023</t>
        </is>
      </c>
      <c r="B3543" s="1" t="n">
        <v>45202</v>
      </c>
      <c r="C3543" s="1" t="n">
        <v>45952</v>
      </c>
      <c r="D3543" t="inlineStr">
        <is>
          <t>VÄSTRA GÖTALANDS LÄN</t>
        </is>
      </c>
      <c r="E3543" t="inlineStr">
        <is>
          <t>BORÅS</t>
        </is>
      </c>
      <c r="G3543" t="n">
        <v>0.7</v>
      </c>
      <c r="H3543" t="n">
        <v>0</v>
      </c>
      <c r="I3543" t="n">
        <v>0</v>
      </c>
      <c r="J3543" t="n">
        <v>0</v>
      </c>
      <c r="K3543" t="n">
        <v>0</v>
      </c>
      <c r="L3543" t="n">
        <v>0</v>
      </c>
      <c r="M3543" t="n">
        <v>0</v>
      </c>
      <c r="N3543" t="n">
        <v>0</v>
      </c>
      <c r="O3543" t="n">
        <v>0</v>
      </c>
      <c r="P3543" t="n">
        <v>0</v>
      </c>
      <c r="Q3543" t="n">
        <v>0</v>
      </c>
      <c r="R3543" s="2" t="inlineStr"/>
    </row>
    <row r="3544" ht="15" customHeight="1">
      <c r="A3544" t="inlineStr">
        <is>
          <t>A 22834-2024</t>
        </is>
      </c>
      <c r="B3544" s="1" t="n">
        <v>45448.57018518518</v>
      </c>
      <c r="C3544" s="1" t="n">
        <v>45952</v>
      </c>
      <c r="D3544" t="inlineStr">
        <is>
          <t>VÄSTRA GÖTALANDS LÄN</t>
        </is>
      </c>
      <c r="E3544" t="inlineStr">
        <is>
          <t>BOLLEBYGD</t>
        </is>
      </c>
      <c r="G3544" t="n">
        <v>1</v>
      </c>
      <c r="H3544" t="n">
        <v>0</v>
      </c>
      <c r="I3544" t="n">
        <v>0</v>
      </c>
      <c r="J3544" t="n">
        <v>0</v>
      </c>
      <c r="K3544" t="n">
        <v>0</v>
      </c>
      <c r="L3544" t="n">
        <v>0</v>
      </c>
      <c r="M3544" t="n">
        <v>0</v>
      </c>
      <c r="N3544" t="n">
        <v>0</v>
      </c>
      <c r="O3544" t="n">
        <v>0</v>
      </c>
      <c r="P3544" t="n">
        <v>0</v>
      </c>
      <c r="Q3544" t="n">
        <v>0</v>
      </c>
      <c r="R3544" s="2" t="inlineStr"/>
    </row>
    <row r="3545" ht="15" customHeight="1">
      <c r="A3545" t="inlineStr">
        <is>
          <t>A 5152-2021</t>
        </is>
      </c>
      <c r="B3545" s="1" t="n">
        <v>44228</v>
      </c>
      <c r="C3545" s="1" t="n">
        <v>45952</v>
      </c>
      <c r="D3545" t="inlineStr">
        <is>
          <t>VÄSTRA GÖTALANDS LÄN</t>
        </is>
      </c>
      <c r="E3545" t="inlineStr">
        <is>
          <t>MARIESTAD</t>
        </is>
      </c>
      <c r="G3545" t="n">
        <v>1</v>
      </c>
      <c r="H3545" t="n">
        <v>0</v>
      </c>
      <c r="I3545" t="n">
        <v>0</v>
      </c>
      <c r="J3545" t="n">
        <v>0</v>
      </c>
      <c r="K3545" t="n">
        <v>0</v>
      </c>
      <c r="L3545" t="n">
        <v>0</v>
      </c>
      <c r="M3545" t="n">
        <v>0</v>
      </c>
      <c r="N3545" t="n">
        <v>0</v>
      </c>
      <c r="O3545" t="n">
        <v>0</v>
      </c>
      <c r="P3545" t="n">
        <v>0</v>
      </c>
      <c r="Q3545" t="n">
        <v>0</v>
      </c>
      <c r="R3545" s="2" t="inlineStr"/>
    </row>
    <row r="3546" ht="15" customHeight="1">
      <c r="A3546" t="inlineStr">
        <is>
          <t>A 50724-2021</t>
        </is>
      </c>
      <c r="B3546" s="1" t="n">
        <v>44456</v>
      </c>
      <c r="C3546" s="1" t="n">
        <v>45952</v>
      </c>
      <c r="D3546" t="inlineStr">
        <is>
          <t>VÄSTRA GÖTALANDS LÄN</t>
        </is>
      </c>
      <c r="E3546" t="inlineStr">
        <is>
          <t>TIDAHOLM</t>
        </is>
      </c>
      <c r="G3546" t="n">
        <v>0.5</v>
      </c>
      <c r="H3546" t="n">
        <v>0</v>
      </c>
      <c r="I3546" t="n">
        <v>0</v>
      </c>
      <c r="J3546" t="n">
        <v>0</v>
      </c>
      <c r="K3546" t="n">
        <v>0</v>
      </c>
      <c r="L3546" t="n">
        <v>0</v>
      </c>
      <c r="M3546" t="n">
        <v>0</v>
      </c>
      <c r="N3546" t="n">
        <v>0</v>
      </c>
      <c r="O3546" t="n">
        <v>0</v>
      </c>
      <c r="P3546" t="n">
        <v>0</v>
      </c>
      <c r="Q3546" t="n">
        <v>0</v>
      </c>
      <c r="R3546" s="2" t="inlineStr"/>
    </row>
    <row r="3547" ht="15" customHeight="1">
      <c r="A3547" t="inlineStr">
        <is>
          <t>A 50728-2021</t>
        </is>
      </c>
      <c r="B3547" s="1" t="n">
        <v>44456</v>
      </c>
      <c r="C3547" s="1" t="n">
        <v>45952</v>
      </c>
      <c r="D3547" t="inlineStr">
        <is>
          <t>VÄSTRA GÖTALANDS LÄN</t>
        </is>
      </c>
      <c r="E3547" t="inlineStr">
        <is>
          <t>TIDAHOLM</t>
        </is>
      </c>
      <c r="G3547" t="n">
        <v>1.1</v>
      </c>
      <c r="H3547" t="n">
        <v>0</v>
      </c>
      <c r="I3547" t="n">
        <v>0</v>
      </c>
      <c r="J3547" t="n">
        <v>0</v>
      </c>
      <c r="K3547" t="n">
        <v>0</v>
      </c>
      <c r="L3547" t="n">
        <v>0</v>
      </c>
      <c r="M3547" t="n">
        <v>0</v>
      </c>
      <c r="N3547" t="n">
        <v>0</v>
      </c>
      <c r="O3547" t="n">
        <v>0</v>
      </c>
      <c r="P3547" t="n">
        <v>0</v>
      </c>
      <c r="Q3547" t="n">
        <v>0</v>
      </c>
      <c r="R3547" s="2" t="inlineStr"/>
    </row>
    <row r="3548" ht="15" customHeight="1">
      <c r="A3548" t="inlineStr">
        <is>
          <t>A 50738-2021</t>
        </is>
      </c>
      <c r="B3548" s="1" t="n">
        <v>44456</v>
      </c>
      <c r="C3548" s="1" t="n">
        <v>45952</v>
      </c>
      <c r="D3548" t="inlineStr">
        <is>
          <t>VÄSTRA GÖTALANDS LÄN</t>
        </is>
      </c>
      <c r="E3548" t="inlineStr">
        <is>
          <t>HJO</t>
        </is>
      </c>
      <c r="G3548" t="n">
        <v>2.4</v>
      </c>
      <c r="H3548" t="n">
        <v>0</v>
      </c>
      <c r="I3548" t="n">
        <v>0</v>
      </c>
      <c r="J3548" t="n">
        <v>0</v>
      </c>
      <c r="K3548" t="n">
        <v>0</v>
      </c>
      <c r="L3548" t="n">
        <v>0</v>
      </c>
      <c r="M3548" t="n">
        <v>0</v>
      </c>
      <c r="N3548" t="n">
        <v>0</v>
      </c>
      <c r="O3548" t="n">
        <v>0</v>
      </c>
      <c r="P3548" t="n">
        <v>0</v>
      </c>
      <c r="Q3548" t="n">
        <v>0</v>
      </c>
      <c r="R3548" s="2" t="inlineStr"/>
    </row>
    <row r="3549" ht="15" customHeight="1">
      <c r="A3549" t="inlineStr">
        <is>
          <t>A 50741-2021</t>
        </is>
      </c>
      <c r="B3549" s="1" t="n">
        <v>44460</v>
      </c>
      <c r="C3549" s="1" t="n">
        <v>45952</v>
      </c>
      <c r="D3549" t="inlineStr">
        <is>
          <t>VÄSTRA GÖTALANDS LÄN</t>
        </is>
      </c>
      <c r="E3549" t="inlineStr">
        <is>
          <t>SKARA</t>
        </is>
      </c>
      <c r="G3549" t="n">
        <v>0.7</v>
      </c>
      <c r="H3549" t="n">
        <v>0</v>
      </c>
      <c r="I3549" t="n">
        <v>0</v>
      </c>
      <c r="J3549" t="n">
        <v>0</v>
      </c>
      <c r="K3549" t="n">
        <v>0</v>
      </c>
      <c r="L3549" t="n">
        <v>0</v>
      </c>
      <c r="M3549" t="n">
        <v>0</v>
      </c>
      <c r="N3549" t="n">
        <v>0</v>
      </c>
      <c r="O3549" t="n">
        <v>0</v>
      </c>
      <c r="P3549" t="n">
        <v>0</v>
      </c>
      <c r="Q3549" t="n">
        <v>0</v>
      </c>
      <c r="R3549" s="2" t="inlineStr"/>
    </row>
    <row r="3550" ht="15" customHeight="1">
      <c r="A3550" t="inlineStr">
        <is>
          <t>A 27146-2023</t>
        </is>
      </c>
      <c r="B3550" s="1" t="n">
        <v>45096</v>
      </c>
      <c r="C3550" s="1" t="n">
        <v>45952</v>
      </c>
      <c r="D3550" t="inlineStr">
        <is>
          <t>VÄSTRA GÖTALANDS LÄN</t>
        </is>
      </c>
      <c r="E3550" t="inlineStr">
        <is>
          <t>BORÅS</t>
        </is>
      </c>
      <c r="G3550" t="n">
        <v>2.4</v>
      </c>
      <c r="H3550" t="n">
        <v>0</v>
      </c>
      <c r="I3550" t="n">
        <v>0</v>
      </c>
      <c r="J3550" t="n">
        <v>0</v>
      </c>
      <c r="K3550" t="n">
        <v>0</v>
      </c>
      <c r="L3550" t="n">
        <v>0</v>
      </c>
      <c r="M3550" t="n">
        <v>0</v>
      </c>
      <c r="N3550" t="n">
        <v>0</v>
      </c>
      <c r="O3550" t="n">
        <v>0</v>
      </c>
      <c r="P3550" t="n">
        <v>0</v>
      </c>
      <c r="Q3550" t="n">
        <v>0</v>
      </c>
      <c r="R3550" s="2" t="inlineStr"/>
    </row>
    <row r="3551" ht="15" customHeight="1">
      <c r="A3551" t="inlineStr">
        <is>
          <t>A 62279-2023</t>
        </is>
      </c>
      <c r="B3551" s="1" t="n">
        <v>45266</v>
      </c>
      <c r="C3551" s="1" t="n">
        <v>45952</v>
      </c>
      <c r="D3551" t="inlineStr">
        <is>
          <t>VÄSTRA GÖTALANDS LÄN</t>
        </is>
      </c>
      <c r="E3551" t="inlineStr">
        <is>
          <t>HERRLJUNGA</t>
        </is>
      </c>
      <c r="G3551" t="n">
        <v>0.9</v>
      </c>
      <c r="H3551" t="n">
        <v>0</v>
      </c>
      <c r="I3551" t="n">
        <v>0</v>
      </c>
      <c r="J3551" t="n">
        <v>0</v>
      </c>
      <c r="K3551" t="n">
        <v>0</v>
      </c>
      <c r="L3551" t="n">
        <v>0</v>
      </c>
      <c r="M3551" t="n">
        <v>0</v>
      </c>
      <c r="N3551" t="n">
        <v>0</v>
      </c>
      <c r="O3551" t="n">
        <v>0</v>
      </c>
      <c r="P3551" t="n">
        <v>0</v>
      </c>
      <c r="Q3551" t="n">
        <v>0</v>
      </c>
      <c r="R3551" s="2" t="inlineStr"/>
    </row>
    <row r="3552" ht="15" customHeight="1">
      <c r="A3552" t="inlineStr">
        <is>
          <t>A 27822-2023</t>
        </is>
      </c>
      <c r="B3552" s="1" t="n">
        <v>45098.50954861111</v>
      </c>
      <c r="C3552" s="1" t="n">
        <v>45952</v>
      </c>
      <c r="D3552" t="inlineStr">
        <is>
          <t>VÄSTRA GÖTALANDS LÄN</t>
        </is>
      </c>
      <c r="E3552" t="inlineStr">
        <is>
          <t>TIDAHOLM</t>
        </is>
      </c>
      <c r="F3552" t="inlineStr">
        <is>
          <t>Kyrkan</t>
        </is>
      </c>
      <c r="G3552" t="n">
        <v>3</v>
      </c>
      <c r="H3552" t="n">
        <v>0</v>
      </c>
      <c r="I3552" t="n">
        <v>0</v>
      </c>
      <c r="J3552" t="n">
        <v>0</v>
      </c>
      <c r="K3552" t="n">
        <v>0</v>
      </c>
      <c r="L3552" t="n">
        <v>0</v>
      </c>
      <c r="M3552" t="n">
        <v>0</v>
      </c>
      <c r="N3552" t="n">
        <v>0</v>
      </c>
      <c r="O3552" t="n">
        <v>0</v>
      </c>
      <c r="P3552" t="n">
        <v>0</v>
      </c>
      <c r="Q3552" t="n">
        <v>0</v>
      </c>
      <c r="R3552" s="2" t="inlineStr"/>
    </row>
    <row r="3553" ht="15" customHeight="1">
      <c r="A3553" t="inlineStr">
        <is>
          <t>A 27841-2023</t>
        </is>
      </c>
      <c r="B3553" s="1" t="n">
        <v>45098.55013888889</v>
      </c>
      <c r="C3553" s="1" t="n">
        <v>45952</v>
      </c>
      <c r="D3553" t="inlineStr">
        <is>
          <t>VÄSTRA GÖTALANDS LÄN</t>
        </is>
      </c>
      <c r="E3553" t="inlineStr">
        <is>
          <t>FÄRGELANDA</t>
        </is>
      </c>
      <c r="G3553" t="n">
        <v>2.7</v>
      </c>
      <c r="H3553" t="n">
        <v>0</v>
      </c>
      <c r="I3553" t="n">
        <v>0</v>
      </c>
      <c r="J3553" t="n">
        <v>0</v>
      </c>
      <c r="K3553" t="n">
        <v>0</v>
      </c>
      <c r="L3553" t="n">
        <v>0</v>
      </c>
      <c r="M3553" t="n">
        <v>0</v>
      </c>
      <c r="N3553" t="n">
        <v>0</v>
      </c>
      <c r="O3553" t="n">
        <v>0</v>
      </c>
      <c r="P3553" t="n">
        <v>0</v>
      </c>
      <c r="Q3553" t="n">
        <v>0</v>
      </c>
      <c r="R3553" s="2" t="inlineStr"/>
    </row>
    <row r="3554" ht="15" customHeight="1">
      <c r="A3554" t="inlineStr">
        <is>
          <t>A 18459-2022</t>
        </is>
      </c>
      <c r="B3554" s="1" t="n">
        <v>44686</v>
      </c>
      <c r="C3554" s="1" t="n">
        <v>45952</v>
      </c>
      <c r="D3554" t="inlineStr">
        <is>
          <t>VÄSTRA GÖTALANDS LÄN</t>
        </is>
      </c>
      <c r="E3554" t="inlineStr">
        <is>
          <t>FÄRGELANDA</t>
        </is>
      </c>
      <c r="G3554" t="n">
        <v>2.2</v>
      </c>
      <c r="H3554" t="n">
        <v>0</v>
      </c>
      <c r="I3554" t="n">
        <v>0</v>
      </c>
      <c r="J3554" t="n">
        <v>0</v>
      </c>
      <c r="K3554" t="n">
        <v>0</v>
      </c>
      <c r="L3554" t="n">
        <v>0</v>
      </c>
      <c r="M3554" t="n">
        <v>0</v>
      </c>
      <c r="N3554" t="n">
        <v>0</v>
      </c>
      <c r="O3554" t="n">
        <v>0</v>
      </c>
      <c r="P3554" t="n">
        <v>0</v>
      </c>
      <c r="Q3554" t="n">
        <v>0</v>
      </c>
      <c r="R3554" s="2" t="inlineStr"/>
    </row>
    <row r="3555" ht="15" customHeight="1">
      <c r="A3555" t="inlineStr">
        <is>
          <t>A 34284-2022</t>
        </is>
      </c>
      <c r="B3555" s="1" t="n">
        <v>44792</v>
      </c>
      <c r="C3555" s="1" t="n">
        <v>45952</v>
      </c>
      <c r="D3555" t="inlineStr">
        <is>
          <t>VÄSTRA GÖTALANDS LÄN</t>
        </is>
      </c>
      <c r="E3555" t="inlineStr">
        <is>
          <t>MARK</t>
        </is>
      </c>
      <c r="G3555" t="n">
        <v>3.4</v>
      </c>
      <c r="H3555" t="n">
        <v>0</v>
      </c>
      <c r="I3555" t="n">
        <v>0</v>
      </c>
      <c r="J3555" t="n">
        <v>0</v>
      </c>
      <c r="K3555" t="n">
        <v>0</v>
      </c>
      <c r="L3555" t="n">
        <v>0</v>
      </c>
      <c r="M3555" t="n">
        <v>0</v>
      </c>
      <c r="N3555" t="n">
        <v>0</v>
      </c>
      <c r="O3555" t="n">
        <v>0</v>
      </c>
      <c r="P3555" t="n">
        <v>0</v>
      </c>
      <c r="Q3555" t="n">
        <v>0</v>
      </c>
      <c r="R3555" s="2" t="inlineStr"/>
    </row>
    <row r="3556" ht="15" customHeight="1">
      <c r="A3556" t="inlineStr">
        <is>
          <t>A 717-2024</t>
        </is>
      </c>
      <c r="B3556" s="1" t="n">
        <v>45300.4329050926</v>
      </c>
      <c r="C3556" s="1" t="n">
        <v>45952</v>
      </c>
      <c r="D3556" t="inlineStr">
        <is>
          <t>VÄSTRA GÖTALANDS LÄN</t>
        </is>
      </c>
      <c r="E3556" t="inlineStr">
        <is>
          <t>SVENLJUNGA</t>
        </is>
      </c>
      <c r="G3556" t="n">
        <v>1.2</v>
      </c>
      <c r="H3556" t="n">
        <v>0</v>
      </c>
      <c r="I3556" t="n">
        <v>0</v>
      </c>
      <c r="J3556" t="n">
        <v>0</v>
      </c>
      <c r="K3556" t="n">
        <v>0</v>
      </c>
      <c r="L3556" t="n">
        <v>0</v>
      </c>
      <c r="M3556" t="n">
        <v>0</v>
      </c>
      <c r="N3556" t="n">
        <v>0</v>
      </c>
      <c r="O3556" t="n">
        <v>0</v>
      </c>
      <c r="P3556" t="n">
        <v>0</v>
      </c>
      <c r="Q3556" t="n">
        <v>0</v>
      </c>
      <c r="R3556" s="2" t="inlineStr"/>
    </row>
    <row r="3557" ht="15" customHeight="1">
      <c r="A3557" t="inlineStr">
        <is>
          <t>A 41910-2024</t>
        </is>
      </c>
      <c r="B3557" s="1" t="n">
        <v>45561.54084490741</v>
      </c>
      <c r="C3557" s="1" t="n">
        <v>45952</v>
      </c>
      <c r="D3557" t="inlineStr">
        <is>
          <t>VÄSTRA GÖTALANDS LÄN</t>
        </is>
      </c>
      <c r="E3557" t="inlineStr">
        <is>
          <t>BOLLEBYGD</t>
        </is>
      </c>
      <c r="G3557" t="n">
        <v>1.4</v>
      </c>
      <c r="H3557" t="n">
        <v>0</v>
      </c>
      <c r="I3557" t="n">
        <v>0</v>
      </c>
      <c r="J3557" t="n">
        <v>0</v>
      </c>
      <c r="K3557" t="n">
        <v>0</v>
      </c>
      <c r="L3557" t="n">
        <v>0</v>
      </c>
      <c r="M3557" t="n">
        <v>0</v>
      </c>
      <c r="N3557" t="n">
        <v>0</v>
      </c>
      <c r="O3557" t="n">
        <v>0</v>
      </c>
      <c r="P3557" t="n">
        <v>0</v>
      </c>
      <c r="Q3557" t="n">
        <v>0</v>
      </c>
      <c r="R3557" s="2" t="inlineStr"/>
    </row>
    <row r="3558" ht="15" customHeight="1">
      <c r="A3558" t="inlineStr">
        <is>
          <t>A 48344-2024</t>
        </is>
      </c>
      <c r="B3558" s="1" t="n">
        <v>45590.55503472222</v>
      </c>
      <c r="C3558" s="1" t="n">
        <v>45952</v>
      </c>
      <c r="D3558" t="inlineStr">
        <is>
          <t>VÄSTRA GÖTALANDS LÄN</t>
        </is>
      </c>
      <c r="E3558" t="inlineStr">
        <is>
          <t>DALS-ED</t>
        </is>
      </c>
      <c r="G3558" t="n">
        <v>2.3</v>
      </c>
      <c r="H3558" t="n">
        <v>0</v>
      </c>
      <c r="I3558" t="n">
        <v>0</v>
      </c>
      <c r="J3558" t="n">
        <v>0</v>
      </c>
      <c r="K3558" t="n">
        <v>0</v>
      </c>
      <c r="L3558" t="n">
        <v>0</v>
      </c>
      <c r="M3558" t="n">
        <v>0</v>
      </c>
      <c r="N3558" t="n">
        <v>0</v>
      </c>
      <c r="O3558" t="n">
        <v>0</v>
      </c>
      <c r="P3558" t="n">
        <v>0</v>
      </c>
      <c r="Q3558" t="n">
        <v>0</v>
      </c>
      <c r="R3558" s="2" t="inlineStr"/>
    </row>
    <row r="3559" ht="15" customHeight="1">
      <c r="A3559" t="inlineStr">
        <is>
          <t>A 41931-2024</t>
        </is>
      </c>
      <c r="B3559" s="1" t="n">
        <v>45561.56418981482</v>
      </c>
      <c r="C3559" s="1" t="n">
        <v>45952</v>
      </c>
      <c r="D3559" t="inlineStr">
        <is>
          <t>VÄSTRA GÖTALANDS LÄN</t>
        </is>
      </c>
      <c r="E3559" t="inlineStr">
        <is>
          <t>TIBRO</t>
        </is>
      </c>
      <c r="G3559" t="n">
        <v>5.1</v>
      </c>
      <c r="H3559" t="n">
        <v>0</v>
      </c>
      <c r="I3559" t="n">
        <v>0</v>
      </c>
      <c r="J3559" t="n">
        <v>0</v>
      </c>
      <c r="K3559" t="n">
        <v>0</v>
      </c>
      <c r="L3559" t="n">
        <v>0</v>
      </c>
      <c r="M3559" t="n">
        <v>0</v>
      </c>
      <c r="N3559" t="n">
        <v>0</v>
      </c>
      <c r="O3559" t="n">
        <v>0</v>
      </c>
      <c r="P3559" t="n">
        <v>0</v>
      </c>
      <c r="Q3559" t="n">
        <v>0</v>
      </c>
      <c r="R3559" s="2" t="inlineStr"/>
    </row>
    <row r="3560" ht="15" customHeight="1">
      <c r="A3560" t="inlineStr">
        <is>
          <t>A 6993-2021</t>
        </is>
      </c>
      <c r="B3560" s="1" t="n">
        <v>44237</v>
      </c>
      <c r="C3560" s="1" t="n">
        <v>45952</v>
      </c>
      <c r="D3560" t="inlineStr">
        <is>
          <t>VÄSTRA GÖTALANDS LÄN</t>
        </is>
      </c>
      <c r="E3560" t="inlineStr">
        <is>
          <t>GÖTENE</t>
        </is>
      </c>
      <c r="G3560" t="n">
        <v>0.8</v>
      </c>
      <c r="H3560" t="n">
        <v>0</v>
      </c>
      <c r="I3560" t="n">
        <v>0</v>
      </c>
      <c r="J3560" t="n">
        <v>0</v>
      </c>
      <c r="K3560" t="n">
        <v>0</v>
      </c>
      <c r="L3560" t="n">
        <v>0</v>
      </c>
      <c r="M3560" t="n">
        <v>0</v>
      </c>
      <c r="N3560" t="n">
        <v>0</v>
      </c>
      <c r="O3560" t="n">
        <v>0</v>
      </c>
      <c r="P3560" t="n">
        <v>0</v>
      </c>
      <c r="Q3560" t="n">
        <v>0</v>
      </c>
      <c r="R3560" s="2" t="inlineStr"/>
    </row>
    <row r="3561" ht="15" customHeight="1">
      <c r="A3561" t="inlineStr">
        <is>
          <t>A 7055-2021</t>
        </is>
      </c>
      <c r="B3561" s="1" t="n">
        <v>44237</v>
      </c>
      <c r="C3561" s="1" t="n">
        <v>45952</v>
      </c>
      <c r="D3561" t="inlineStr">
        <is>
          <t>VÄSTRA GÖTALANDS LÄN</t>
        </is>
      </c>
      <c r="E3561" t="inlineStr">
        <is>
          <t>ULRICEHAMN</t>
        </is>
      </c>
      <c r="G3561" t="n">
        <v>1.2</v>
      </c>
      <c r="H3561" t="n">
        <v>0</v>
      </c>
      <c r="I3561" t="n">
        <v>0</v>
      </c>
      <c r="J3561" t="n">
        <v>0</v>
      </c>
      <c r="K3561" t="n">
        <v>0</v>
      </c>
      <c r="L3561" t="n">
        <v>0</v>
      </c>
      <c r="M3561" t="n">
        <v>0</v>
      </c>
      <c r="N3561" t="n">
        <v>0</v>
      </c>
      <c r="O3561" t="n">
        <v>0</v>
      </c>
      <c r="P3561" t="n">
        <v>0</v>
      </c>
      <c r="Q3561" t="n">
        <v>0</v>
      </c>
      <c r="R3561" s="2" t="inlineStr"/>
    </row>
    <row r="3562" ht="15" customHeight="1">
      <c r="A3562" t="inlineStr">
        <is>
          <t>A 41937-2024</t>
        </is>
      </c>
      <c r="B3562" s="1" t="n">
        <v>45561.57283564815</v>
      </c>
      <c r="C3562" s="1" t="n">
        <v>45952</v>
      </c>
      <c r="D3562" t="inlineStr">
        <is>
          <t>VÄSTRA GÖTALANDS LÄN</t>
        </is>
      </c>
      <c r="E3562" t="inlineStr">
        <is>
          <t>KARLSBORG</t>
        </is>
      </c>
      <c r="G3562" t="n">
        <v>1.4</v>
      </c>
      <c r="H3562" t="n">
        <v>0</v>
      </c>
      <c r="I3562" t="n">
        <v>0</v>
      </c>
      <c r="J3562" t="n">
        <v>0</v>
      </c>
      <c r="K3562" t="n">
        <v>0</v>
      </c>
      <c r="L3562" t="n">
        <v>0</v>
      </c>
      <c r="M3562" t="n">
        <v>0</v>
      </c>
      <c r="N3562" t="n">
        <v>0</v>
      </c>
      <c r="O3562" t="n">
        <v>0</v>
      </c>
      <c r="P3562" t="n">
        <v>0</v>
      </c>
      <c r="Q3562" t="n">
        <v>0</v>
      </c>
      <c r="R3562" s="2" t="inlineStr"/>
    </row>
    <row r="3563" ht="15" customHeight="1">
      <c r="A3563" t="inlineStr">
        <is>
          <t>A 57489-2022</t>
        </is>
      </c>
      <c r="B3563" s="1" t="n">
        <v>44896</v>
      </c>
      <c r="C3563" s="1" t="n">
        <v>45952</v>
      </c>
      <c r="D3563" t="inlineStr">
        <is>
          <t>VÄSTRA GÖTALANDS LÄN</t>
        </is>
      </c>
      <c r="E3563" t="inlineStr">
        <is>
          <t>ALINGSÅS</t>
        </is>
      </c>
      <c r="G3563" t="n">
        <v>10</v>
      </c>
      <c r="H3563" t="n">
        <v>0</v>
      </c>
      <c r="I3563" t="n">
        <v>0</v>
      </c>
      <c r="J3563" t="n">
        <v>0</v>
      </c>
      <c r="K3563" t="n">
        <v>0</v>
      </c>
      <c r="L3563" t="n">
        <v>0</v>
      </c>
      <c r="M3563" t="n">
        <v>0</v>
      </c>
      <c r="N3563" t="n">
        <v>0</v>
      </c>
      <c r="O3563" t="n">
        <v>0</v>
      </c>
      <c r="P3563" t="n">
        <v>0</v>
      </c>
      <c r="Q3563" t="n">
        <v>0</v>
      </c>
      <c r="R3563" s="2" t="inlineStr"/>
    </row>
    <row r="3564" ht="15" customHeight="1">
      <c r="A3564" t="inlineStr">
        <is>
          <t>A 18470-2024</t>
        </is>
      </c>
      <c r="B3564" s="1" t="n">
        <v>45425.50166666666</v>
      </c>
      <c r="C3564" s="1" t="n">
        <v>45952</v>
      </c>
      <c r="D3564" t="inlineStr">
        <is>
          <t>VÄSTRA GÖTALANDS LÄN</t>
        </is>
      </c>
      <c r="E3564" t="inlineStr">
        <is>
          <t>TRANEMO</t>
        </is>
      </c>
      <c r="G3564" t="n">
        <v>0.8</v>
      </c>
      <c r="H3564" t="n">
        <v>0</v>
      </c>
      <c r="I3564" t="n">
        <v>0</v>
      </c>
      <c r="J3564" t="n">
        <v>0</v>
      </c>
      <c r="K3564" t="n">
        <v>0</v>
      </c>
      <c r="L3564" t="n">
        <v>0</v>
      </c>
      <c r="M3564" t="n">
        <v>0</v>
      </c>
      <c r="N3564" t="n">
        <v>0</v>
      </c>
      <c r="O3564" t="n">
        <v>0</v>
      </c>
      <c r="P3564" t="n">
        <v>0</v>
      </c>
      <c r="Q3564" t="n">
        <v>0</v>
      </c>
      <c r="R3564" s="2" t="inlineStr"/>
    </row>
    <row r="3565" ht="15" customHeight="1">
      <c r="A3565" t="inlineStr">
        <is>
          <t>A 9790-2021</t>
        </is>
      </c>
      <c r="B3565" s="1" t="n">
        <v>44251</v>
      </c>
      <c r="C3565" s="1" t="n">
        <v>45952</v>
      </c>
      <c r="D3565" t="inlineStr">
        <is>
          <t>VÄSTRA GÖTALANDS LÄN</t>
        </is>
      </c>
      <c r="E3565" t="inlineStr">
        <is>
          <t>UDDEVALLA</t>
        </is>
      </c>
      <c r="F3565" t="inlineStr">
        <is>
          <t>Kommuner</t>
        </is>
      </c>
      <c r="G3565" t="n">
        <v>5</v>
      </c>
      <c r="H3565" t="n">
        <v>0</v>
      </c>
      <c r="I3565" t="n">
        <v>0</v>
      </c>
      <c r="J3565" t="n">
        <v>0</v>
      </c>
      <c r="K3565" t="n">
        <v>0</v>
      </c>
      <c r="L3565" t="n">
        <v>0</v>
      </c>
      <c r="M3565" t="n">
        <v>0</v>
      </c>
      <c r="N3565" t="n">
        <v>0</v>
      </c>
      <c r="O3565" t="n">
        <v>0</v>
      </c>
      <c r="P3565" t="n">
        <v>0</v>
      </c>
      <c r="Q3565" t="n">
        <v>0</v>
      </c>
      <c r="R3565" s="2" t="inlineStr"/>
    </row>
    <row r="3566" ht="15" customHeight="1">
      <c r="A3566" t="inlineStr">
        <is>
          <t>A 9811-2021</t>
        </is>
      </c>
      <c r="B3566" s="1" t="n">
        <v>44252</v>
      </c>
      <c r="C3566" s="1" t="n">
        <v>45952</v>
      </c>
      <c r="D3566" t="inlineStr">
        <is>
          <t>VÄSTRA GÖTALANDS LÄN</t>
        </is>
      </c>
      <c r="E3566" t="inlineStr">
        <is>
          <t>MARK</t>
        </is>
      </c>
      <c r="G3566" t="n">
        <v>3.3</v>
      </c>
      <c r="H3566" t="n">
        <v>0</v>
      </c>
      <c r="I3566" t="n">
        <v>0</v>
      </c>
      <c r="J3566" t="n">
        <v>0</v>
      </c>
      <c r="K3566" t="n">
        <v>0</v>
      </c>
      <c r="L3566" t="n">
        <v>0</v>
      </c>
      <c r="M3566" t="n">
        <v>0</v>
      </c>
      <c r="N3566" t="n">
        <v>0</v>
      </c>
      <c r="O3566" t="n">
        <v>0</v>
      </c>
      <c r="P3566" t="n">
        <v>0</v>
      </c>
      <c r="Q3566" t="n">
        <v>0</v>
      </c>
      <c r="R3566" s="2" t="inlineStr"/>
    </row>
    <row r="3567" ht="15" customHeight="1">
      <c r="A3567" t="inlineStr">
        <is>
          <t>A 18394-2022</t>
        </is>
      </c>
      <c r="B3567" s="1" t="n">
        <v>44686.32553240741</v>
      </c>
      <c r="C3567" s="1" t="n">
        <v>45952</v>
      </c>
      <c r="D3567" t="inlineStr">
        <is>
          <t>VÄSTRA GÖTALANDS LÄN</t>
        </is>
      </c>
      <c r="E3567" t="inlineStr">
        <is>
          <t>ESSUNGA</t>
        </is>
      </c>
      <c r="G3567" t="n">
        <v>9.699999999999999</v>
      </c>
      <c r="H3567" t="n">
        <v>0</v>
      </c>
      <c r="I3567" t="n">
        <v>0</v>
      </c>
      <c r="J3567" t="n">
        <v>0</v>
      </c>
      <c r="K3567" t="n">
        <v>0</v>
      </c>
      <c r="L3567" t="n">
        <v>0</v>
      </c>
      <c r="M3567" t="n">
        <v>0</v>
      </c>
      <c r="N3567" t="n">
        <v>0</v>
      </c>
      <c r="O3567" t="n">
        <v>0</v>
      </c>
      <c r="P3567" t="n">
        <v>0</v>
      </c>
      <c r="Q3567" t="n">
        <v>0</v>
      </c>
      <c r="R3567" s="2" t="inlineStr"/>
    </row>
    <row r="3568" ht="15" customHeight="1">
      <c r="A3568" t="inlineStr">
        <is>
          <t>A 3155-2023</t>
        </is>
      </c>
      <c r="B3568" s="1" t="n">
        <v>44946</v>
      </c>
      <c r="C3568" s="1" t="n">
        <v>45952</v>
      </c>
      <c r="D3568" t="inlineStr">
        <is>
          <t>VÄSTRA GÖTALANDS LÄN</t>
        </is>
      </c>
      <c r="E3568" t="inlineStr">
        <is>
          <t>BENGTSFORS</t>
        </is>
      </c>
      <c r="G3568" t="n">
        <v>2.8</v>
      </c>
      <c r="H3568" t="n">
        <v>0</v>
      </c>
      <c r="I3568" t="n">
        <v>0</v>
      </c>
      <c r="J3568" t="n">
        <v>0</v>
      </c>
      <c r="K3568" t="n">
        <v>0</v>
      </c>
      <c r="L3568" t="n">
        <v>0</v>
      </c>
      <c r="M3568" t="n">
        <v>0</v>
      </c>
      <c r="N3568" t="n">
        <v>0</v>
      </c>
      <c r="O3568" t="n">
        <v>0</v>
      </c>
      <c r="P3568" t="n">
        <v>0</v>
      </c>
      <c r="Q3568" t="n">
        <v>0</v>
      </c>
      <c r="R3568" s="2" t="inlineStr"/>
    </row>
    <row r="3569" ht="15" customHeight="1">
      <c r="A3569" t="inlineStr">
        <is>
          <t>A 39621-2024</t>
        </is>
      </c>
      <c r="B3569" s="1" t="n">
        <v>45552.43295138889</v>
      </c>
      <c r="C3569" s="1" t="n">
        <v>45952</v>
      </c>
      <c r="D3569" t="inlineStr">
        <is>
          <t>VÄSTRA GÖTALANDS LÄN</t>
        </is>
      </c>
      <c r="E3569" t="inlineStr">
        <is>
          <t>TÖREBODA</t>
        </is>
      </c>
      <c r="G3569" t="n">
        <v>3.7</v>
      </c>
      <c r="H3569" t="n">
        <v>0</v>
      </c>
      <c r="I3569" t="n">
        <v>0</v>
      </c>
      <c r="J3569" t="n">
        <v>0</v>
      </c>
      <c r="K3569" t="n">
        <v>0</v>
      </c>
      <c r="L3569" t="n">
        <v>0</v>
      </c>
      <c r="M3569" t="n">
        <v>0</v>
      </c>
      <c r="N3569" t="n">
        <v>0</v>
      </c>
      <c r="O3569" t="n">
        <v>0</v>
      </c>
      <c r="P3569" t="n">
        <v>0</v>
      </c>
      <c r="Q3569" t="n">
        <v>0</v>
      </c>
      <c r="R3569" s="2" t="inlineStr"/>
    </row>
    <row r="3570" ht="15" customHeight="1">
      <c r="A3570" t="inlineStr">
        <is>
          <t>A 61042-2021</t>
        </is>
      </c>
      <c r="B3570" s="1" t="n">
        <v>44497</v>
      </c>
      <c r="C3570" s="1" t="n">
        <v>45952</v>
      </c>
      <c r="D3570" t="inlineStr">
        <is>
          <t>VÄSTRA GÖTALANDS LÄN</t>
        </is>
      </c>
      <c r="E3570" t="inlineStr">
        <is>
          <t>VÄNERSBORG</t>
        </is>
      </c>
      <c r="G3570" t="n">
        <v>3.8</v>
      </c>
      <c r="H3570" t="n">
        <v>0</v>
      </c>
      <c r="I3570" t="n">
        <v>0</v>
      </c>
      <c r="J3570" t="n">
        <v>0</v>
      </c>
      <c r="K3570" t="n">
        <v>0</v>
      </c>
      <c r="L3570" t="n">
        <v>0</v>
      </c>
      <c r="M3570" t="n">
        <v>0</v>
      </c>
      <c r="N3570" t="n">
        <v>0</v>
      </c>
      <c r="O3570" t="n">
        <v>0</v>
      </c>
      <c r="P3570" t="n">
        <v>0</v>
      </c>
      <c r="Q3570" t="n">
        <v>0</v>
      </c>
      <c r="R3570" s="2" t="inlineStr"/>
    </row>
    <row r="3571" ht="15" customHeight="1">
      <c r="A3571" t="inlineStr">
        <is>
          <t>A 3656-2021</t>
        </is>
      </c>
      <c r="B3571" s="1" t="n">
        <v>44221</v>
      </c>
      <c r="C3571" s="1" t="n">
        <v>45952</v>
      </c>
      <c r="D3571" t="inlineStr">
        <is>
          <t>VÄSTRA GÖTALANDS LÄN</t>
        </is>
      </c>
      <c r="E3571" t="inlineStr">
        <is>
          <t>TÖREBODA</t>
        </is>
      </c>
      <c r="G3571" t="n">
        <v>2.7</v>
      </c>
      <c r="H3571" t="n">
        <v>0</v>
      </c>
      <c r="I3571" t="n">
        <v>0</v>
      </c>
      <c r="J3571" t="n">
        <v>0</v>
      </c>
      <c r="K3571" t="n">
        <v>0</v>
      </c>
      <c r="L3571" t="n">
        <v>0</v>
      </c>
      <c r="M3571" t="n">
        <v>0</v>
      </c>
      <c r="N3571" t="n">
        <v>0</v>
      </c>
      <c r="O3571" t="n">
        <v>0</v>
      </c>
      <c r="P3571" t="n">
        <v>0</v>
      </c>
      <c r="Q3571" t="n">
        <v>0</v>
      </c>
      <c r="R3571" s="2" t="inlineStr"/>
    </row>
    <row r="3572" ht="15" customHeight="1">
      <c r="A3572" t="inlineStr">
        <is>
          <t>A 4585-2021</t>
        </is>
      </c>
      <c r="B3572" s="1" t="n">
        <v>44223</v>
      </c>
      <c r="C3572" s="1" t="n">
        <v>45952</v>
      </c>
      <c r="D3572" t="inlineStr">
        <is>
          <t>VÄSTRA GÖTALANDS LÄN</t>
        </is>
      </c>
      <c r="E3572" t="inlineStr">
        <is>
          <t>VÅRGÅRDA</t>
        </is>
      </c>
      <c r="G3572" t="n">
        <v>2.9</v>
      </c>
      <c r="H3572" t="n">
        <v>0</v>
      </c>
      <c r="I3572" t="n">
        <v>0</v>
      </c>
      <c r="J3572" t="n">
        <v>0</v>
      </c>
      <c r="K3572" t="n">
        <v>0</v>
      </c>
      <c r="L3572" t="n">
        <v>0</v>
      </c>
      <c r="M3572" t="n">
        <v>0</v>
      </c>
      <c r="N3572" t="n">
        <v>0</v>
      </c>
      <c r="O3572" t="n">
        <v>0</v>
      </c>
      <c r="P3572" t="n">
        <v>0</v>
      </c>
      <c r="Q3572" t="n">
        <v>0</v>
      </c>
      <c r="R3572" s="2" t="inlineStr"/>
    </row>
    <row r="3573" ht="15" customHeight="1">
      <c r="A3573" t="inlineStr">
        <is>
          <t>A 11905-2024</t>
        </is>
      </c>
      <c r="B3573" s="1" t="n">
        <v>45376.56670138889</v>
      </c>
      <c r="C3573" s="1" t="n">
        <v>45952</v>
      </c>
      <c r="D3573" t="inlineStr">
        <is>
          <t>VÄSTRA GÖTALANDS LÄN</t>
        </is>
      </c>
      <c r="E3573" t="inlineStr">
        <is>
          <t>BENGTSFORS</t>
        </is>
      </c>
      <c r="G3573" t="n">
        <v>0.7</v>
      </c>
      <c r="H3573" t="n">
        <v>0</v>
      </c>
      <c r="I3573" t="n">
        <v>0</v>
      </c>
      <c r="J3573" t="n">
        <v>0</v>
      </c>
      <c r="K3573" t="n">
        <v>0</v>
      </c>
      <c r="L3573" t="n">
        <v>0</v>
      </c>
      <c r="M3573" t="n">
        <v>0</v>
      </c>
      <c r="N3573" t="n">
        <v>0</v>
      </c>
      <c r="O3573" t="n">
        <v>0</v>
      </c>
      <c r="P3573" t="n">
        <v>0</v>
      </c>
      <c r="Q3573" t="n">
        <v>0</v>
      </c>
      <c r="R3573" s="2" t="inlineStr"/>
    </row>
    <row r="3574" ht="15" customHeight="1">
      <c r="A3574" t="inlineStr">
        <is>
          <t>A 46447-2021</t>
        </is>
      </c>
      <c r="B3574" s="1" t="n">
        <v>44442</v>
      </c>
      <c r="C3574" s="1" t="n">
        <v>45952</v>
      </c>
      <c r="D3574" t="inlineStr">
        <is>
          <t>VÄSTRA GÖTALANDS LÄN</t>
        </is>
      </c>
      <c r="E3574" t="inlineStr">
        <is>
          <t>DALS-ED</t>
        </is>
      </c>
      <c r="G3574" t="n">
        <v>3.6</v>
      </c>
      <c r="H3574" t="n">
        <v>0</v>
      </c>
      <c r="I3574" t="n">
        <v>0</v>
      </c>
      <c r="J3574" t="n">
        <v>0</v>
      </c>
      <c r="K3574" t="n">
        <v>0</v>
      </c>
      <c r="L3574" t="n">
        <v>0</v>
      </c>
      <c r="M3574" t="n">
        <v>0</v>
      </c>
      <c r="N3574" t="n">
        <v>0</v>
      </c>
      <c r="O3574" t="n">
        <v>0</v>
      </c>
      <c r="P3574" t="n">
        <v>0</v>
      </c>
      <c r="Q3574" t="n">
        <v>0</v>
      </c>
      <c r="R3574" s="2" t="inlineStr"/>
    </row>
    <row r="3575" ht="15" customHeight="1">
      <c r="A3575" t="inlineStr">
        <is>
          <t>A 8464-2023</t>
        </is>
      </c>
      <c r="B3575" s="1" t="n">
        <v>44977.49489583333</v>
      </c>
      <c r="C3575" s="1" t="n">
        <v>45952</v>
      </c>
      <c r="D3575" t="inlineStr">
        <is>
          <t>VÄSTRA GÖTALANDS LÄN</t>
        </is>
      </c>
      <c r="E3575" t="inlineStr">
        <is>
          <t>LYSEKIL</t>
        </is>
      </c>
      <c r="G3575" t="n">
        <v>0.5</v>
      </c>
      <c r="H3575" t="n">
        <v>0</v>
      </c>
      <c r="I3575" t="n">
        <v>0</v>
      </c>
      <c r="J3575" t="n">
        <v>0</v>
      </c>
      <c r="K3575" t="n">
        <v>0</v>
      </c>
      <c r="L3575" t="n">
        <v>0</v>
      </c>
      <c r="M3575" t="n">
        <v>0</v>
      </c>
      <c r="N3575" t="n">
        <v>0</v>
      </c>
      <c r="O3575" t="n">
        <v>0</v>
      </c>
      <c r="P3575" t="n">
        <v>0</v>
      </c>
      <c r="Q3575" t="n">
        <v>0</v>
      </c>
      <c r="R3575" s="2" t="inlineStr"/>
    </row>
    <row r="3576" ht="15" customHeight="1">
      <c r="A3576" t="inlineStr">
        <is>
          <t>A 65462-2020</t>
        </is>
      </c>
      <c r="B3576" s="1" t="n">
        <v>44173</v>
      </c>
      <c r="C3576" s="1" t="n">
        <v>45952</v>
      </c>
      <c r="D3576" t="inlineStr">
        <is>
          <t>VÄSTRA GÖTALANDS LÄN</t>
        </is>
      </c>
      <c r="E3576" t="inlineStr">
        <is>
          <t>HÄRRYDA</t>
        </is>
      </c>
      <c r="G3576" t="n">
        <v>0.5</v>
      </c>
      <c r="H3576" t="n">
        <v>0</v>
      </c>
      <c r="I3576" t="n">
        <v>0</v>
      </c>
      <c r="J3576" t="n">
        <v>0</v>
      </c>
      <c r="K3576" t="n">
        <v>0</v>
      </c>
      <c r="L3576" t="n">
        <v>0</v>
      </c>
      <c r="M3576" t="n">
        <v>0</v>
      </c>
      <c r="N3576" t="n">
        <v>0</v>
      </c>
      <c r="O3576" t="n">
        <v>0</v>
      </c>
      <c r="P3576" t="n">
        <v>0</v>
      </c>
      <c r="Q3576" t="n">
        <v>0</v>
      </c>
      <c r="R3576" s="2" t="inlineStr"/>
    </row>
    <row r="3577" ht="15" customHeight="1">
      <c r="A3577" t="inlineStr">
        <is>
          <t>A 17742-2021</t>
        </is>
      </c>
      <c r="B3577" s="1" t="n">
        <v>44299</v>
      </c>
      <c r="C3577" s="1" t="n">
        <v>45952</v>
      </c>
      <c r="D3577" t="inlineStr">
        <is>
          <t>VÄSTRA GÖTALANDS LÄN</t>
        </is>
      </c>
      <c r="E3577" t="inlineStr">
        <is>
          <t>VARA</t>
        </is>
      </c>
      <c r="G3577" t="n">
        <v>0.6</v>
      </c>
      <c r="H3577" t="n">
        <v>0</v>
      </c>
      <c r="I3577" t="n">
        <v>0</v>
      </c>
      <c r="J3577" t="n">
        <v>0</v>
      </c>
      <c r="K3577" t="n">
        <v>0</v>
      </c>
      <c r="L3577" t="n">
        <v>0</v>
      </c>
      <c r="M3577" t="n">
        <v>0</v>
      </c>
      <c r="N3577" t="n">
        <v>0</v>
      </c>
      <c r="O3577" t="n">
        <v>0</v>
      </c>
      <c r="P3577" t="n">
        <v>0</v>
      </c>
      <c r="Q3577" t="n">
        <v>0</v>
      </c>
      <c r="R3577" s="2" t="inlineStr"/>
    </row>
    <row r="3578" ht="15" customHeight="1">
      <c r="A3578" t="inlineStr">
        <is>
          <t>A 35102-2022</t>
        </is>
      </c>
      <c r="B3578" s="1" t="n">
        <v>44797.4324537037</v>
      </c>
      <c r="C3578" s="1" t="n">
        <v>45952</v>
      </c>
      <c r="D3578" t="inlineStr">
        <is>
          <t>VÄSTRA GÖTALANDS LÄN</t>
        </is>
      </c>
      <c r="E3578" t="inlineStr">
        <is>
          <t>SVENLJUNGA</t>
        </is>
      </c>
      <c r="G3578" t="n">
        <v>0.9</v>
      </c>
      <c r="H3578" t="n">
        <v>0</v>
      </c>
      <c r="I3578" t="n">
        <v>0</v>
      </c>
      <c r="J3578" t="n">
        <v>0</v>
      </c>
      <c r="K3578" t="n">
        <v>0</v>
      </c>
      <c r="L3578" t="n">
        <v>0</v>
      </c>
      <c r="M3578" t="n">
        <v>0</v>
      </c>
      <c r="N3578" t="n">
        <v>0</v>
      </c>
      <c r="O3578" t="n">
        <v>0</v>
      </c>
      <c r="P3578" t="n">
        <v>0</v>
      </c>
      <c r="Q3578" t="n">
        <v>0</v>
      </c>
      <c r="R3578" s="2" t="inlineStr"/>
    </row>
    <row r="3579" ht="15" customHeight="1">
      <c r="A3579" t="inlineStr">
        <is>
          <t>A 50650-2021</t>
        </is>
      </c>
      <c r="B3579" s="1" t="n">
        <v>44459</v>
      </c>
      <c r="C3579" s="1" t="n">
        <v>45952</v>
      </c>
      <c r="D3579" t="inlineStr">
        <is>
          <t>VÄSTRA GÖTALANDS LÄN</t>
        </is>
      </c>
      <c r="E3579" t="inlineStr">
        <is>
          <t>MUNKEDAL</t>
        </is>
      </c>
      <c r="G3579" t="n">
        <v>0.6</v>
      </c>
      <c r="H3579" t="n">
        <v>0</v>
      </c>
      <c r="I3579" t="n">
        <v>0</v>
      </c>
      <c r="J3579" t="n">
        <v>0</v>
      </c>
      <c r="K3579" t="n">
        <v>0</v>
      </c>
      <c r="L3579" t="n">
        <v>0</v>
      </c>
      <c r="M3579" t="n">
        <v>0</v>
      </c>
      <c r="N3579" t="n">
        <v>0</v>
      </c>
      <c r="O3579" t="n">
        <v>0</v>
      </c>
      <c r="P3579" t="n">
        <v>0</v>
      </c>
      <c r="Q3579" t="n">
        <v>0</v>
      </c>
      <c r="R3579" s="2" t="inlineStr"/>
    </row>
    <row r="3580" ht="15" customHeight="1">
      <c r="A3580" t="inlineStr">
        <is>
          <t>A 50699-2021</t>
        </is>
      </c>
      <c r="B3580" s="1" t="n">
        <v>44460.36069444445</v>
      </c>
      <c r="C3580" s="1" t="n">
        <v>45952</v>
      </c>
      <c r="D3580" t="inlineStr">
        <is>
          <t>VÄSTRA GÖTALANDS LÄN</t>
        </is>
      </c>
      <c r="E3580" t="inlineStr">
        <is>
          <t>VARA</t>
        </is>
      </c>
      <c r="G3580" t="n">
        <v>0.6</v>
      </c>
      <c r="H3580" t="n">
        <v>0</v>
      </c>
      <c r="I3580" t="n">
        <v>0</v>
      </c>
      <c r="J3580" t="n">
        <v>0</v>
      </c>
      <c r="K3580" t="n">
        <v>0</v>
      </c>
      <c r="L3580" t="n">
        <v>0</v>
      </c>
      <c r="M3580" t="n">
        <v>0</v>
      </c>
      <c r="N3580" t="n">
        <v>0</v>
      </c>
      <c r="O3580" t="n">
        <v>0</v>
      </c>
      <c r="P3580" t="n">
        <v>0</v>
      </c>
      <c r="Q3580" t="n">
        <v>0</v>
      </c>
      <c r="R3580" s="2" t="inlineStr"/>
    </row>
    <row r="3581" ht="15" customHeight="1">
      <c r="A3581" t="inlineStr">
        <is>
          <t>A 49920-2023</t>
        </is>
      </c>
      <c r="B3581" s="1" t="n">
        <v>45214.8296875</v>
      </c>
      <c r="C3581" s="1" t="n">
        <v>45952</v>
      </c>
      <c r="D3581" t="inlineStr">
        <is>
          <t>VÄSTRA GÖTALANDS LÄN</t>
        </is>
      </c>
      <c r="E3581" t="inlineStr">
        <is>
          <t>HERRLJUNGA</t>
        </is>
      </c>
      <c r="G3581" t="n">
        <v>2.1</v>
      </c>
      <c r="H3581" t="n">
        <v>0</v>
      </c>
      <c r="I3581" t="n">
        <v>0</v>
      </c>
      <c r="J3581" t="n">
        <v>0</v>
      </c>
      <c r="K3581" t="n">
        <v>0</v>
      </c>
      <c r="L3581" t="n">
        <v>0</v>
      </c>
      <c r="M3581" t="n">
        <v>0</v>
      </c>
      <c r="N3581" t="n">
        <v>0</v>
      </c>
      <c r="O3581" t="n">
        <v>0</v>
      </c>
      <c r="P3581" t="n">
        <v>0</v>
      </c>
      <c r="Q3581" t="n">
        <v>0</v>
      </c>
      <c r="R3581" s="2" t="inlineStr"/>
    </row>
    <row r="3582" ht="15" customHeight="1">
      <c r="A3582" t="inlineStr">
        <is>
          <t>A 10182-2023</t>
        </is>
      </c>
      <c r="B3582" s="1" t="n">
        <v>44986</v>
      </c>
      <c r="C3582" s="1" t="n">
        <v>45952</v>
      </c>
      <c r="D3582" t="inlineStr">
        <is>
          <t>VÄSTRA GÖTALANDS LÄN</t>
        </is>
      </c>
      <c r="E3582" t="inlineStr">
        <is>
          <t>MARIESTAD</t>
        </is>
      </c>
      <c r="G3582" t="n">
        <v>0.4</v>
      </c>
      <c r="H3582" t="n">
        <v>0</v>
      </c>
      <c r="I3582" t="n">
        <v>0</v>
      </c>
      <c r="J3582" t="n">
        <v>0</v>
      </c>
      <c r="K3582" t="n">
        <v>0</v>
      </c>
      <c r="L3582" t="n">
        <v>0</v>
      </c>
      <c r="M3582" t="n">
        <v>0</v>
      </c>
      <c r="N3582" t="n">
        <v>0</v>
      </c>
      <c r="O3582" t="n">
        <v>0</v>
      </c>
      <c r="P3582" t="n">
        <v>0</v>
      </c>
      <c r="Q3582" t="n">
        <v>0</v>
      </c>
      <c r="R3582" s="2" t="inlineStr"/>
    </row>
    <row r="3583" ht="15" customHeight="1">
      <c r="A3583" t="inlineStr">
        <is>
          <t>A 17330-2021</t>
        </is>
      </c>
      <c r="B3583" s="1" t="n">
        <v>44298</v>
      </c>
      <c r="C3583" s="1" t="n">
        <v>45952</v>
      </c>
      <c r="D3583" t="inlineStr">
        <is>
          <t>VÄSTRA GÖTALANDS LÄN</t>
        </is>
      </c>
      <c r="E3583" t="inlineStr">
        <is>
          <t>STRÖMSTAD</t>
        </is>
      </c>
      <c r="G3583" t="n">
        <v>7.4</v>
      </c>
      <c r="H3583" t="n">
        <v>0</v>
      </c>
      <c r="I3583" t="n">
        <v>0</v>
      </c>
      <c r="J3583" t="n">
        <v>0</v>
      </c>
      <c r="K3583" t="n">
        <v>0</v>
      </c>
      <c r="L3583" t="n">
        <v>0</v>
      </c>
      <c r="M3583" t="n">
        <v>0</v>
      </c>
      <c r="N3583" t="n">
        <v>0</v>
      </c>
      <c r="O3583" t="n">
        <v>0</v>
      </c>
      <c r="P3583" t="n">
        <v>0</v>
      </c>
      <c r="Q3583" t="n">
        <v>0</v>
      </c>
      <c r="R3583" s="2" t="inlineStr"/>
    </row>
    <row r="3584" ht="15" customHeight="1">
      <c r="A3584" t="inlineStr">
        <is>
          <t>A 13268-2024</t>
        </is>
      </c>
      <c r="B3584" s="1" t="n">
        <v>45386</v>
      </c>
      <c r="C3584" s="1" t="n">
        <v>45952</v>
      </c>
      <c r="D3584" t="inlineStr">
        <is>
          <t>VÄSTRA GÖTALANDS LÄN</t>
        </is>
      </c>
      <c r="E3584" t="inlineStr">
        <is>
          <t>GÖTENE</t>
        </is>
      </c>
      <c r="G3584" t="n">
        <v>6.7</v>
      </c>
      <c r="H3584" t="n">
        <v>0</v>
      </c>
      <c r="I3584" t="n">
        <v>0</v>
      </c>
      <c r="J3584" t="n">
        <v>0</v>
      </c>
      <c r="K3584" t="n">
        <v>0</v>
      </c>
      <c r="L3584" t="n">
        <v>0</v>
      </c>
      <c r="M3584" t="n">
        <v>0</v>
      </c>
      <c r="N3584" t="n">
        <v>0</v>
      </c>
      <c r="O3584" t="n">
        <v>0</v>
      </c>
      <c r="P3584" t="n">
        <v>0</v>
      </c>
      <c r="Q3584" t="n">
        <v>0</v>
      </c>
      <c r="R3584" s="2" t="inlineStr"/>
    </row>
    <row r="3585" ht="15" customHeight="1">
      <c r="A3585" t="inlineStr">
        <is>
          <t>A 30904-2022</t>
        </is>
      </c>
      <c r="B3585" s="1" t="n">
        <v>44767</v>
      </c>
      <c r="C3585" s="1" t="n">
        <v>45952</v>
      </c>
      <c r="D3585" t="inlineStr">
        <is>
          <t>VÄSTRA GÖTALANDS LÄN</t>
        </is>
      </c>
      <c r="E3585" t="inlineStr">
        <is>
          <t>LIDKÖPING</t>
        </is>
      </c>
      <c r="G3585" t="n">
        <v>5</v>
      </c>
      <c r="H3585" t="n">
        <v>0</v>
      </c>
      <c r="I3585" t="n">
        <v>0</v>
      </c>
      <c r="J3585" t="n">
        <v>0</v>
      </c>
      <c r="K3585" t="n">
        <v>0</v>
      </c>
      <c r="L3585" t="n">
        <v>0</v>
      </c>
      <c r="M3585" t="n">
        <v>0</v>
      </c>
      <c r="N3585" t="n">
        <v>0</v>
      </c>
      <c r="O3585" t="n">
        <v>0</v>
      </c>
      <c r="P3585" t="n">
        <v>0</v>
      </c>
      <c r="Q3585" t="n">
        <v>0</v>
      </c>
      <c r="R3585" s="2" t="inlineStr"/>
    </row>
    <row r="3586" ht="15" customHeight="1">
      <c r="A3586" t="inlineStr">
        <is>
          <t>A 48640-2023</t>
        </is>
      </c>
      <c r="B3586" s="1" t="n">
        <v>45208</v>
      </c>
      <c r="C3586" s="1" t="n">
        <v>45952</v>
      </c>
      <c r="D3586" t="inlineStr">
        <is>
          <t>VÄSTRA GÖTALANDS LÄN</t>
        </is>
      </c>
      <c r="E3586" t="inlineStr">
        <is>
          <t>TANUM</t>
        </is>
      </c>
      <c r="G3586" t="n">
        <v>2.8</v>
      </c>
      <c r="H3586" t="n">
        <v>0</v>
      </c>
      <c r="I3586" t="n">
        <v>0</v>
      </c>
      <c r="J3586" t="n">
        <v>0</v>
      </c>
      <c r="K3586" t="n">
        <v>0</v>
      </c>
      <c r="L3586" t="n">
        <v>0</v>
      </c>
      <c r="M3586" t="n">
        <v>0</v>
      </c>
      <c r="N3586" t="n">
        <v>0</v>
      </c>
      <c r="O3586" t="n">
        <v>0</v>
      </c>
      <c r="P3586" t="n">
        <v>0</v>
      </c>
      <c r="Q3586" t="n">
        <v>0</v>
      </c>
      <c r="R3586" s="2" t="inlineStr"/>
    </row>
    <row r="3587" ht="15" customHeight="1">
      <c r="A3587" t="inlineStr">
        <is>
          <t>A 6745-2023</t>
        </is>
      </c>
      <c r="B3587" s="1" t="n">
        <v>44966</v>
      </c>
      <c r="C3587" s="1" t="n">
        <v>45952</v>
      </c>
      <c r="D3587" t="inlineStr">
        <is>
          <t>VÄSTRA GÖTALANDS LÄN</t>
        </is>
      </c>
      <c r="E3587" t="inlineStr">
        <is>
          <t>BOLLEBYGD</t>
        </is>
      </c>
      <c r="G3587" t="n">
        <v>0.5</v>
      </c>
      <c r="H3587" t="n">
        <v>0</v>
      </c>
      <c r="I3587" t="n">
        <v>0</v>
      </c>
      <c r="J3587" t="n">
        <v>0</v>
      </c>
      <c r="K3587" t="n">
        <v>0</v>
      </c>
      <c r="L3587" t="n">
        <v>0</v>
      </c>
      <c r="M3587" t="n">
        <v>0</v>
      </c>
      <c r="N3587" t="n">
        <v>0</v>
      </c>
      <c r="O3587" t="n">
        <v>0</v>
      </c>
      <c r="P3587" t="n">
        <v>0</v>
      </c>
      <c r="Q3587" t="n">
        <v>0</v>
      </c>
      <c r="R3587" s="2" t="inlineStr"/>
    </row>
    <row r="3588" ht="15" customHeight="1">
      <c r="A3588" t="inlineStr">
        <is>
          <t>A 57868-2022</t>
        </is>
      </c>
      <c r="B3588" s="1" t="n">
        <v>44899.66722222222</v>
      </c>
      <c r="C3588" s="1" t="n">
        <v>45952</v>
      </c>
      <c r="D3588" t="inlineStr">
        <is>
          <t>VÄSTRA GÖTALANDS LÄN</t>
        </is>
      </c>
      <c r="E3588" t="inlineStr">
        <is>
          <t>FÄRGELANDA</t>
        </is>
      </c>
      <c r="G3588" t="n">
        <v>1.6</v>
      </c>
      <c r="H3588" t="n">
        <v>0</v>
      </c>
      <c r="I3588" t="n">
        <v>0</v>
      </c>
      <c r="J3588" t="n">
        <v>0</v>
      </c>
      <c r="K3588" t="n">
        <v>0</v>
      </c>
      <c r="L3588" t="n">
        <v>0</v>
      </c>
      <c r="M3588" t="n">
        <v>0</v>
      </c>
      <c r="N3588" t="n">
        <v>0</v>
      </c>
      <c r="O3588" t="n">
        <v>0</v>
      </c>
      <c r="P3588" t="n">
        <v>0</v>
      </c>
      <c r="Q3588" t="n">
        <v>0</v>
      </c>
      <c r="R3588" s="2" t="inlineStr"/>
    </row>
    <row r="3589" ht="15" customHeight="1">
      <c r="A3589" t="inlineStr">
        <is>
          <t>A 57886-2022</t>
        </is>
      </c>
      <c r="B3589" s="1" t="n">
        <v>44900</v>
      </c>
      <c r="C3589" s="1" t="n">
        <v>45952</v>
      </c>
      <c r="D3589" t="inlineStr">
        <is>
          <t>VÄSTRA GÖTALANDS LÄN</t>
        </is>
      </c>
      <c r="E3589" t="inlineStr">
        <is>
          <t>BORÅS</t>
        </is>
      </c>
      <c r="G3589" t="n">
        <v>1.3</v>
      </c>
      <c r="H3589" t="n">
        <v>0</v>
      </c>
      <c r="I3589" t="n">
        <v>0</v>
      </c>
      <c r="J3589" t="n">
        <v>0</v>
      </c>
      <c r="K3589" t="n">
        <v>0</v>
      </c>
      <c r="L3589" t="n">
        <v>0</v>
      </c>
      <c r="M3589" t="n">
        <v>0</v>
      </c>
      <c r="N3589" t="n">
        <v>0</v>
      </c>
      <c r="O3589" t="n">
        <v>0</v>
      </c>
      <c r="P3589" t="n">
        <v>0</v>
      </c>
      <c r="Q3589" t="n">
        <v>0</v>
      </c>
      <c r="R3589" s="2" t="inlineStr"/>
    </row>
    <row r="3590" ht="15" customHeight="1">
      <c r="A3590" t="inlineStr">
        <is>
          <t>A 39116-2022</t>
        </is>
      </c>
      <c r="B3590" s="1" t="n">
        <v>44817.44609953704</v>
      </c>
      <c r="C3590" s="1" t="n">
        <v>45952</v>
      </c>
      <c r="D3590" t="inlineStr">
        <is>
          <t>VÄSTRA GÖTALANDS LÄN</t>
        </is>
      </c>
      <c r="E3590" t="inlineStr">
        <is>
          <t>TROLLHÄTTAN</t>
        </is>
      </c>
      <c r="G3590" t="n">
        <v>3.3</v>
      </c>
      <c r="H3590" t="n">
        <v>0</v>
      </c>
      <c r="I3590" t="n">
        <v>0</v>
      </c>
      <c r="J3590" t="n">
        <v>0</v>
      </c>
      <c r="K3590" t="n">
        <v>0</v>
      </c>
      <c r="L3590" t="n">
        <v>0</v>
      </c>
      <c r="M3590" t="n">
        <v>0</v>
      </c>
      <c r="N3590" t="n">
        <v>0</v>
      </c>
      <c r="O3590" t="n">
        <v>0</v>
      </c>
      <c r="P3590" t="n">
        <v>0</v>
      </c>
      <c r="Q3590" t="n">
        <v>0</v>
      </c>
      <c r="R3590" s="2" t="inlineStr"/>
    </row>
    <row r="3591" ht="15" customHeight="1">
      <c r="A3591" t="inlineStr">
        <is>
          <t>A 3858-2024</t>
        </is>
      </c>
      <c r="B3591" s="1" t="n">
        <v>45322.36609953704</v>
      </c>
      <c r="C3591" s="1" t="n">
        <v>45952</v>
      </c>
      <c r="D3591" t="inlineStr">
        <is>
          <t>VÄSTRA GÖTALANDS LÄN</t>
        </is>
      </c>
      <c r="E3591" t="inlineStr">
        <is>
          <t>MUNKEDAL</t>
        </is>
      </c>
      <c r="G3591" t="n">
        <v>2</v>
      </c>
      <c r="H3591" t="n">
        <v>0</v>
      </c>
      <c r="I3591" t="n">
        <v>0</v>
      </c>
      <c r="J3591" t="n">
        <v>0</v>
      </c>
      <c r="K3591" t="n">
        <v>0</v>
      </c>
      <c r="L3591" t="n">
        <v>0</v>
      </c>
      <c r="M3591" t="n">
        <v>0</v>
      </c>
      <c r="N3591" t="n">
        <v>0</v>
      </c>
      <c r="O3591" t="n">
        <v>0</v>
      </c>
      <c r="P3591" t="n">
        <v>0</v>
      </c>
      <c r="Q3591" t="n">
        <v>0</v>
      </c>
      <c r="R3591" s="2" t="inlineStr"/>
    </row>
    <row r="3592" ht="15" customHeight="1">
      <c r="A3592" t="inlineStr">
        <is>
          <t>A 3867-2024</t>
        </is>
      </c>
      <c r="B3592" s="1" t="n">
        <v>45322.40543981481</v>
      </c>
      <c r="C3592" s="1" t="n">
        <v>45952</v>
      </c>
      <c r="D3592" t="inlineStr">
        <is>
          <t>VÄSTRA GÖTALANDS LÄN</t>
        </is>
      </c>
      <c r="E3592" t="inlineStr">
        <is>
          <t>ESSUNGA</t>
        </is>
      </c>
      <c r="G3592" t="n">
        <v>0.3</v>
      </c>
      <c r="H3592" t="n">
        <v>0</v>
      </c>
      <c r="I3592" t="n">
        <v>0</v>
      </c>
      <c r="J3592" t="n">
        <v>0</v>
      </c>
      <c r="K3592" t="n">
        <v>0</v>
      </c>
      <c r="L3592" t="n">
        <v>0</v>
      </c>
      <c r="M3592" t="n">
        <v>0</v>
      </c>
      <c r="N3592" t="n">
        <v>0</v>
      </c>
      <c r="O3592" t="n">
        <v>0</v>
      </c>
      <c r="P3592" t="n">
        <v>0</v>
      </c>
      <c r="Q3592" t="n">
        <v>0</v>
      </c>
      <c r="R3592" s="2" t="inlineStr"/>
    </row>
    <row r="3593" ht="15" customHeight="1">
      <c r="A3593" t="inlineStr">
        <is>
          <t>A 3868-2024</t>
        </is>
      </c>
      <c r="B3593" s="1" t="n">
        <v>45322.40641203704</v>
      </c>
      <c r="C3593" s="1" t="n">
        <v>45952</v>
      </c>
      <c r="D3593" t="inlineStr">
        <is>
          <t>VÄSTRA GÖTALANDS LÄN</t>
        </is>
      </c>
      <c r="E3593" t="inlineStr">
        <is>
          <t>ESSUNGA</t>
        </is>
      </c>
      <c r="G3593" t="n">
        <v>0.3</v>
      </c>
      <c r="H3593" t="n">
        <v>0</v>
      </c>
      <c r="I3593" t="n">
        <v>0</v>
      </c>
      <c r="J3593" t="n">
        <v>0</v>
      </c>
      <c r="K3593" t="n">
        <v>0</v>
      </c>
      <c r="L3593" t="n">
        <v>0</v>
      </c>
      <c r="M3593" t="n">
        <v>0</v>
      </c>
      <c r="N3593" t="n">
        <v>0</v>
      </c>
      <c r="O3593" t="n">
        <v>0</v>
      </c>
      <c r="P3593" t="n">
        <v>0</v>
      </c>
      <c r="Q3593" t="n">
        <v>0</v>
      </c>
      <c r="R3593" s="2" t="inlineStr"/>
    </row>
    <row r="3594" ht="15" customHeight="1">
      <c r="A3594" t="inlineStr">
        <is>
          <t>A 50702-2021</t>
        </is>
      </c>
      <c r="B3594" s="1" t="n">
        <v>44460</v>
      </c>
      <c r="C3594" s="1" t="n">
        <v>45952</v>
      </c>
      <c r="D3594" t="inlineStr">
        <is>
          <t>VÄSTRA GÖTALANDS LÄN</t>
        </is>
      </c>
      <c r="E3594" t="inlineStr">
        <is>
          <t>VARA</t>
        </is>
      </c>
      <c r="G3594" t="n">
        <v>2.5</v>
      </c>
      <c r="H3594" t="n">
        <v>0</v>
      </c>
      <c r="I3594" t="n">
        <v>0</v>
      </c>
      <c r="J3594" t="n">
        <v>0</v>
      </c>
      <c r="K3594" t="n">
        <v>0</v>
      </c>
      <c r="L3594" t="n">
        <v>0</v>
      </c>
      <c r="M3594" t="n">
        <v>0</v>
      </c>
      <c r="N3594" t="n">
        <v>0</v>
      </c>
      <c r="O3594" t="n">
        <v>0</v>
      </c>
      <c r="P3594" t="n">
        <v>0</v>
      </c>
      <c r="Q3594" t="n">
        <v>0</v>
      </c>
      <c r="R3594" s="2" t="inlineStr"/>
    </row>
    <row r="3595" ht="15" customHeight="1">
      <c r="A3595" t="inlineStr">
        <is>
          <t>A 24183-2024</t>
        </is>
      </c>
      <c r="B3595" s="1" t="n">
        <v>45456.87540509259</v>
      </c>
      <c r="C3595" s="1" t="n">
        <v>45952</v>
      </c>
      <c r="D3595" t="inlineStr">
        <is>
          <t>VÄSTRA GÖTALANDS LÄN</t>
        </is>
      </c>
      <c r="E3595" t="inlineStr">
        <is>
          <t>BORÅS</t>
        </is>
      </c>
      <c r="G3595" t="n">
        <v>0.6</v>
      </c>
      <c r="H3595" t="n">
        <v>0</v>
      </c>
      <c r="I3595" t="n">
        <v>0</v>
      </c>
      <c r="J3595" t="n">
        <v>0</v>
      </c>
      <c r="K3595" t="n">
        <v>0</v>
      </c>
      <c r="L3595" t="n">
        <v>0</v>
      </c>
      <c r="M3595" t="n">
        <v>0</v>
      </c>
      <c r="N3595" t="n">
        <v>0</v>
      </c>
      <c r="O3595" t="n">
        <v>0</v>
      </c>
      <c r="P3595" t="n">
        <v>0</v>
      </c>
      <c r="Q3595" t="n">
        <v>0</v>
      </c>
      <c r="R3595" s="2" t="inlineStr"/>
    </row>
    <row r="3596" ht="15" customHeight="1">
      <c r="A3596" t="inlineStr">
        <is>
          <t>A 23598-2024</t>
        </is>
      </c>
      <c r="B3596" s="1" t="n">
        <v>45454</v>
      </c>
      <c r="C3596" s="1" t="n">
        <v>45952</v>
      </c>
      <c r="D3596" t="inlineStr">
        <is>
          <t>VÄSTRA GÖTALANDS LÄN</t>
        </is>
      </c>
      <c r="E3596" t="inlineStr">
        <is>
          <t>MARK</t>
        </is>
      </c>
      <c r="G3596" t="n">
        <v>2.6</v>
      </c>
      <c r="H3596" t="n">
        <v>0</v>
      </c>
      <c r="I3596" t="n">
        <v>0</v>
      </c>
      <c r="J3596" t="n">
        <v>0</v>
      </c>
      <c r="K3596" t="n">
        <v>0</v>
      </c>
      <c r="L3596" t="n">
        <v>0</v>
      </c>
      <c r="M3596" t="n">
        <v>0</v>
      </c>
      <c r="N3596" t="n">
        <v>0</v>
      </c>
      <c r="O3596" t="n">
        <v>0</v>
      </c>
      <c r="P3596" t="n">
        <v>0</v>
      </c>
      <c r="Q3596" t="n">
        <v>0</v>
      </c>
      <c r="R3596" s="2" t="inlineStr"/>
    </row>
    <row r="3597" ht="15" customHeight="1">
      <c r="A3597" t="inlineStr">
        <is>
          <t>A 51966-2022</t>
        </is>
      </c>
      <c r="B3597" s="1" t="n">
        <v>44872.68400462963</v>
      </c>
      <c r="C3597" s="1" t="n">
        <v>45952</v>
      </c>
      <c r="D3597" t="inlineStr">
        <is>
          <t>VÄSTRA GÖTALANDS LÄN</t>
        </is>
      </c>
      <c r="E3597" t="inlineStr">
        <is>
          <t>TRANEMO</t>
        </is>
      </c>
      <c r="G3597" t="n">
        <v>0.5</v>
      </c>
      <c r="H3597" t="n">
        <v>0</v>
      </c>
      <c r="I3597" t="n">
        <v>0</v>
      </c>
      <c r="J3597" t="n">
        <v>0</v>
      </c>
      <c r="K3597" t="n">
        <v>0</v>
      </c>
      <c r="L3597" t="n">
        <v>0</v>
      </c>
      <c r="M3597" t="n">
        <v>0</v>
      </c>
      <c r="N3597" t="n">
        <v>0</v>
      </c>
      <c r="O3597" t="n">
        <v>0</v>
      </c>
      <c r="P3597" t="n">
        <v>0</v>
      </c>
      <c r="Q3597" t="n">
        <v>0</v>
      </c>
      <c r="R3597" s="2" t="inlineStr"/>
    </row>
    <row r="3598" ht="15" customHeight="1">
      <c r="A3598" t="inlineStr">
        <is>
          <t>A 10977-2022</t>
        </is>
      </c>
      <c r="B3598" s="1" t="n">
        <v>44628.43050925926</v>
      </c>
      <c r="C3598" s="1" t="n">
        <v>45952</v>
      </c>
      <c r="D3598" t="inlineStr">
        <is>
          <t>VÄSTRA GÖTALANDS LÄN</t>
        </is>
      </c>
      <c r="E3598" t="inlineStr">
        <is>
          <t>VÄNERSBORG</t>
        </is>
      </c>
      <c r="G3598" t="n">
        <v>0.6</v>
      </c>
      <c r="H3598" t="n">
        <v>0</v>
      </c>
      <c r="I3598" t="n">
        <v>0</v>
      </c>
      <c r="J3598" t="n">
        <v>0</v>
      </c>
      <c r="K3598" t="n">
        <v>0</v>
      </c>
      <c r="L3598" t="n">
        <v>0</v>
      </c>
      <c r="M3598" t="n">
        <v>0</v>
      </c>
      <c r="N3598" t="n">
        <v>0</v>
      </c>
      <c r="O3598" t="n">
        <v>0</v>
      </c>
      <c r="P3598" t="n">
        <v>0</v>
      </c>
      <c r="Q3598" t="n">
        <v>0</v>
      </c>
      <c r="R3598" s="2" t="inlineStr"/>
    </row>
    <row r="3599" ht="15" customHeight="1">
      <c r="A3599" t="inlineStr">
        <is>
          <t>A 14076-2024</t>
        </is>
      </c>
      <c r="B3599" s="1" t="n">
        <v>45392.58446759259</v>
      </c>
      <c r="C3599" s="1" t="n">
        <v>45952</v>
      </c>
      <c r="D3599" t="inlineStr">
        <is>
          <t>VÄSTRA GÖTALANDS LÄN</t>
        </is>
      </c>
      <c r="E3599" t="inlineStr">
        <is>
          <t>MUNKEDAL</t>
        </is>
      </c>
      <c r="G3599" t="n">
        <v>1.4</v>
      </c>
      <c r="H3599" t="n">
        <v>0</v>
      </c>
      <c r="I3599" t="n">
        <v>0</v>
      </c>
      <c r="J3599" t="n">
        <v>0</v>
      </c>
      <c r="K3599" t="n">
        <v>0</v>
      </c>
      <c r="L3599" t="n">
        <v>0</v>
      </c>
      <c r="M3599" t="n">
        <v>0</v>
      </c>
      <c r="N3599" t="n">
        <v>0</v>
      </c>
      <c r="O3599" t="n">
        <v>0</v>
      </c>
      <c r="P3599" t="n">
        <v>0</v>
      </c>
      <c r="Q3599" t="n">
        <v>0</v>
      </c>
      <c r="R3599" s="2" t="inlineStr"/>
    </row>
    <row r="3600" ht="15" customHeight="1">
      <c r="A3600" t="inlineStr">
        <is>
          <t>A 64859-2023</t>
        </is>
      </c>
      <c r="B3600" s="1" t="n">
        <v>45280</v>
      </c>
      <c r="C3600" s="1" t="n">
        <v>45952</v>
      </c>
      <c r="D3600" t="inlineStr">
        <is>
          <t>VÄSTRA GÖTALANDS LÄN</t>
        </is>
      </c>
      <c r="E3600" t="inlineStr">
        <is>
          <t>ÅMÅL</t>
        </is>
      </c>
      <c r="F3600" t="inlineStr">
        <is>
          <t>Bergvik skog väst AB</t>
        </is>
      </c>
      <c r="G3600" t="n">
        <v>0.7</v>
      </c>
      <c r="H3600" t="n">
        <v>0</v>
      </c>
      <c r="I3600" t="n">
        <v>0</v>
      </c>
      <c r="J3600" t="n">
        <v>0</v>
      </c>
      <c r="K3600" t="n">
        <v>0</v>
      </c>
      <c r="L3600" t="n">
        <v>0</v>
      </c>
      <c r="M3600" t="n">
        <v>0</v>
      </c>
      <c r="N3600" t="n">
        <v>0</v>
      </c>
      <c r="O3600" t="n">
        <v>0</v>
      </c>
      <c r="P3600" t="n">
        <v>0</v>
      </c>
      <c r="Q3600" t="n">
        <v>0</v>
      </c>
      <c r="R3600" s="2" t="inlineStr"/>
    </row>
    <row r="3601" ht="15" customHeight="1">
      <c r="A3601" t="inlineStr">
        <is>
          <t>A 17737-2021</t>
        </is>
      </c>
      <c r="B3601" s="1" t="n">
        <v>44300</v>
      </c>
      <c r="C3601" s="1" t="n">
        <v>45952</v>
      </c>
      <c r="D3601" t="inlineStr">
        <is>
          <t>VÄSTRA GÖTALANDS LÄN</t>
        </is>
      </c>
      <c r="E3601" t="inlineStr">
        <is>
          <t>ESSUNGA</t>
        </is>
      </c>
      <c r="G3601" t="n">
        <v>1.8</v>
      </c>
      <c r="H3601" t="n">
        <v>0</v>
      </c>
      <c r="I3601" t="n">
        <v>0</v>
      </c>
      <c r="J3601" t="n">
        <v>0</v>
      </c>
      <c r="K3601" t="n">
        <v>0</v>
      </c>
      <c r="L3601" t="n">
        <v>0</v>
      </c>
      <c r="M3601" t="n">
        <v>0</v>
      </c>
      <c r="N3601" t="n">
        <v>0</v>
      </c>
      <c r="O3601" t="n">
        <v>0</v>
      </c>
      <c r="P3601" t="n">
        <v>0</v>
      </c>
      <c r="Q3601" t="n">
        <v>0</v>
      </c>
      <c r="R3601" s="2" t="inlineStr"/>
    </row>
    <row r="3602" ht="15" customHeight="1">
      <c r="A3602" t="inlineStr">
        <is>
          <t>A 15215-2023</t>
        </is>
      </c>
      <c r="B3602" s="1" t="n">
        <v>45019.2590162037</v>
      </c>
      <c r="C3602" s="1" t="n">
        <v>45952</v>
      </c>
      <c r="D3602" t="inlineStr">
        <is>
          <t>VÄSTRA GÖTALANDS LÄN</t>
        </is>
      </c>
      <c r="E3602" t="inlineStr">
        <is>
          <t>HERRLJUNGA</t>
        </is>
      </c>
      <c r="G3602" t="n">
        <v>1.2</v>
      </c>
      <c r="H3602" t="n">
        <v>0</v>
      </c>
      <c r="I3602" t="n">
        <v>0</v>
      </c>
      <c r="J3602" t="n">
        <v>0</v>
      </c>
      <c r="K3602" t="n">
        <v>0</v>
      </c>
      <c r="L3602" t="n">
        <v>0</v>
      </c>
      <c r="M3602" t="n">
        <v>0</v>
      </c>
      <c r="N3602" t="n">
        <v>0</v>
      </c>
      <c r="O3602" t="n">
        <v>0</v>
      </c>
      <c r="P3602" t="n">
        <v>0</v>
      </c>
      <c r="Q3602" t="n">
        <v>0</v>
      </c>
      <c r="R3602" s="2" t="inlineStr"/>
    </row>
    <row r="3603" ht="15" customHeight="1">
      <c r="A3603" t="inlineStr">
        <is>
          <t>A 30970-2023</t>
        </is>
      </c>
      <c r="B3603" s="1" t="n">
        <v>45113.48916666667</v>
      </c>
      <c r="C3603" s="1" t="n">
        <v>45952</v>
      </c>
      <c r="D3603" t="inlineStr">
        <is>
          <t>VÄSTRA GÖTALANDS LÄN</t>
        </is>
      </c>
      <c r="E3603" t="inlineStr">
        <is>
          <t>HJO</t>
        </is>
      </c>
      <c r="G3603" t="n">
        <v>4.2</v>
      </c>
      <c r="H3603" t="n">
        <v>0</v>
      </c>
      <c r="I3603" t="n">
        <v>0</v>
      </c>
      <c r="J3603" t="n">
        <v>0</v>
      </c>
      <c r="K3603" t="n">
        <v>0</v>
      </c>
      <c r="L3603" t="n">
        <v>0</v>
      </c>
      <c r="M3603" t="n">
        <v>0</v>
      </c>
      <c r="N3603" t="n">
        <v>0</v>
      </c>
      <c r="O3603" t="n">
        <v>0</v>
      </c>
      <c r="P3603" t="n">
        <v>0</v>
      </c>
      <c r="Q3603" t="n">
        <v>0</v>
      </c>
      <c r="R3603" s="2" t="inlineStr"/>
    </row>
    <row r="3604" ht="15" customHeight="1">
      <c r="A3604" t="inlineStr">
        <is>
          <t>A 60543-2024</t>
        </is>
      </c>
      <c r="B3604" s="1" t="n">
        <v>45643.79293981481</v>
      </c>
      <c r="C3604" s="1" t="n">
        <v>45952</v>
      </c>
      <c r="D3604" t="inlineStr">
        <is>
          <t>VÄSTRA GÖTALANDS LÄN</t>
        </is>
      </c>
      <c r="E3604" t="inlineStr">
        <is>
          <t>VARA</t>
        </is>
      </c>
      <c r="G3604" t="n">
        <v>3</v>
      </c>
      <c r="H3604" t="n">
        <v>0</v>
      </c>
      <c r="I3604" t="n">
        <v>0</v>
      </c>
      <c r="J3604" t="n">
        <v>0</v>
      </c>
      <c r="K3604" t="n">
        <v>0</v>
      </c>
      <c r="L3604" t="n">
        <v>0</v>
      </c>
      <c r="M3604" t="n">
        <v>0</v>
      </c>
      <c r="N3604" t="n">
        <v>0</v>
      </c>
      <c r="O3604" t="n">
        <v>0</v>
      </c>
      <c r="P3604" t="n">
        <v>0</v>
      </c>
      <c r="Q3604" t="n">
        <v>0</v>
      </c>
      <c r="R3604" s="2" t="inlineStr"/>
    </row>
    <row r="3605" ht="15" customHeight="1">
      <c r="A3605" t="inlineStr">
        <is>
          <t>A 60549-2024</t>
        </is>
      </c>
      <c r="B3605" s="1" t="n">
        <v>45643.81032407407</v>
      </c>
      <c r="C3605" s="1" t="n">
        <v>45952</v>
      </c>
      <c r="D3605" t="inlineStr">
        <is>
          <t>VÄSTRA GÖTALANDS LÄN</t>
        </is>
      </c>
      <c r="E3605" t="inlineStr">
        <is>
          <t>TIDAHOLM</t>
        </is>
      </c>
      <c r="G3605" t="n">
        <v>3.5</v>
      </c>
      <c r="H3605" t="n">
        <v>0</v>
      </c>
      <c r="I3605" t="n">
        <v>0</v>
      </c>
      <c r="J3605" t="n">
        <v>0</v>
      </c>
      <c r="K3605" t="n">
        <v>0</v>
      </c>
      <c r="L3605" t="n">
        <v>0</v>
      </c>
      <c r="M3605" t="n">
        <v>0</v>
      </c>
      <c r="N3605" t="n">
        <v>0</v>
      </c>
      <c r="O3605" t="n">
        <v>0</v>
      </c>
      <c r="P3605" t="n">
        <v>0</v>
      </c>
      <c r="Q3605" t="n">
        <v>0</v>
      </c>
      <c r="R3605" s="2" t="inlineStr"/>
    </row>
    <row r="3606" ht="15" customHeight="1">
      <c r="A3606" t="inlineStr">
        <is>
          <t>A 46339-2024</t>
        </is>
      </c>
      <c r="B3606" s="1" t="n">
        <v>45582.30826388889</v>
      </c>
      <c r="C3606" s="1" t="n">
        <v>45952</v>
      </c>
      <c r="D3606" t="inlineStr">
        <is>
          <t>VÄSTRA GÖTALANDS LÄN</t>
        </is>
      </c>
      <c r="E3606" t="inlineStr">
        <is>
          <t>HJO</t>
        </is>
      </c>
      <c r="G3606" t="n">
        <v>1.1</v>
      </c>
      <c r="H3606" t="n">
        <v>0</v>
      </c>
      <c r="I3606" t="n">
        <v>0</v>
      </c>
      <c r="J3606" t="n">
        <v>0</v>
      </c>
      <c r="K3606" t="n">
        <v>0</v>
      </c>
      <c r="L3606" t="n">
        <v>0</v>
      </c>
      <c r="M3606" t="n">
        <v>0</v>
      </c>
      <c r="N3606" t="n">
        <v>0</v>
      </c>
      <c r="O3606" t="n">
        <v>0</v>
      </c>
      <c r="P3606" t="n">
        <v>0</v>
      </c>
      <c r="Q3606" t="n">
        <v>0</v>
      </c>
      <c r="R3606" s="2" t="inlineStr"/>
    </row>
    <row r="3607" ht="15" customHeight="1">
      <c r="A3607" t="inlineStr">
        <is>
          <t>A 8330-2024</t>
        </is>
      </c>
      <c r="B3607" s="1" t="n">
        <v>45352.48944444444</v>
      </c>
      <c r="C3607" s="1" t="n">
        <v>45952</v>
      </c>
      <c r="D3607" t="inlineStr">
        <is>
          <t>VÄSTRA GÖTALANDS LÄN</t>
        </is>
      </c>
      <c r="E3607" t="inlineStr">
        <is>
          <t>GÖTENE</t>
        </is>
      </c>
      <c r="G3607" t="n">
        <v>2.1</v>
      </c>
      <c r="H3607" t="n">
        <v>0</v>
      </c>
      <c r="I3607" t="n">
        <v>0</v>
      </c>
      <c r="J3607" t="n">
        <v>0</v>
      </c>
      <c r="K3607" t="n">
        <v>0</v>
      </c>
      <c r="L3607" t="n">
        <v>0</v>
      </c>
      <c r="M3607" t="n">
        <v>0</v>
      </c>
      <c r="N3607" t="n">
        <v>0</v>
      </c>
      <c r="O3607" t="n">
        <v>0</v>
      </c>
      <c r="P3607" t="n">
        <v>0</v>
      </c>
      <c r="Q3607" t="n">
        <v>0</v>
      </c>
      <c r="R3607" s="2" t="inlineStr"/>
    </row>
    <row r="3608" ht="15" customHeight="1">
      <c r="A3608" t="inlineStr">
        <is>
          <t>A 9000-2023</t>
        </is>
      </c>
      <c r="B3608" s="1" t="n">
        <v>44979.5653125</v>
      </c>
      <c r="C3608" s="1" t="n">
        <v>45952</v>
      </c>
      <c r="D3608" t="inlineStr">
        <is>
          <t>VÄSTRA GÖTALANDS LÄN</t>
        </is>
      </c>
      <c r="E3608" t="inlineStr">
        <is>
          <t>VARA</t>
        </is>
      </c>
      <c r="G3608" t="n">
        <v>2.3</v>
      </c>
      <c r="H3608" t="n">
        <v>0</v>
      </c>
      <c r="I3608" t="n">
        <v>0</v>
      </c>
      <c r="J3608" t="n">
        <v>0</v>
      </c>
      <c r="K3608" t="n">
        <v>0</v>
      </c>
      <c r="L3608" t="n">
        <v>0</v>
      </c>
      <c r="M3608" t="n">
        <v>0</v>
      </c>
      <c r="N3608" t="n">
        <v>0</v>
      </c>
      <c r="O3608" t="n">
        <v>0</v>
      </c>
      <c r="P3608" t="n">
        <v>0</v>
      </c>
      <c r="Q3608" t="n">
        <v>0</v>
      </c>
      <c r="R3608" s="2" t="inlineStr"/>
    </row>
    <row r="3609" ht="15" customHeight="1">
      <c r="A3609" t="inlineStr">
        <is>
          <t>A 43873-2023</t>
        </is>
      </c>
      <c r="B3609" s="1" t="n">
        <v>45187</v>
      </c>
      <c r="C3609" s="1" t="n">
        <v>45952</v>
      </c>
      <c r="D3609" t="inlineStr">
        <is>
          <t>VÄSTRA GÖTALANDS LÄN</t>
        </is>
      </c>
      <c r="E3609" t="inlineStr">
        <is>
          <t>ULRICEHAMN</t>
        </is>
      </c>
      <c r="G3609" t="n">
        <v>2.5</v>
      </c>
      <c r="H3609" t="n">
        <v>0</v>
      </c>
      <c r="I3609" t="n">
        <v>0</v>
      </c>
      <c r="J3609" t="n">
        <v>0</v>
      </c>
      <c r="K3609" t="n">
        <v>0</v>
      </c>
      <c r="L3609" t="n">
        <v>0</v>
      </c>
      <c r="M3609" t="n">
        <v>0</v>
      </c>
      <c r="N3609" t="n">
        <v>0</v>
      </c>
      <c r="O3609" t="n">
        <v>0</v>
      </c>
      <c r="P3609" t="n">
        <v>0</v>
      </c>
      <c r="Q3609" t="n">
        <v>0</v>
      </c>
      <c r="R3609" s="2" t="inlineStr"/>
    </row>
    <row r="3610" ht="15" customHeight="1">
      <c r="A3610" t="inlineStr">
        <is>
          <t>A 69092-2021</t>
        </is>
      </c>
      <c r="B3610" s="1" t="n">
        <v>44530</v>
      </c>
      <c r="C3610" s="1" t="n">
        <v>45952</v>
      </c>
      <c r="D3610" t="inlineStr">
        <is>
          <t>VÄSTRA GÖTALANDS LÄN</t>
        </is>
      </c>
      <c r="E3610" t="inlineStr">
        <is>
          <t>SVENLJUNGA</t>
        </is>
      </c>
      <c r="F3610" t="inlineStr">
        <is>
          <t>Kommuner</t>
        </is>
      </c>
      <c r="G3610" t="n">
        <v>5</v>
      </c>
      <c r="H3610" t="n">
        <v>0</v>
      </c>
      <c r="I3610" t="n">
        <v>0</v>
      </c>
      <c r="J3610" t="n">
        <v>0</v>
      </c>
      <c r="K3610" t="n">
        <v>0</v>
      </c>
      <c r="L3610" t="n">
        <v>0</v>
      </c>
      <c r="M3610" t="n">
        <v>0</v>
      </c>
      <c r="N3610" t="n">
        <v>0</v>
      </c>
      <c r="O3610" t="n">
        <v>0</v>
      </c>
      <c r="P3610" t="n">
        <v>0</v>
      </c>
      <c r="Q3610" t="n">
        <v>0</v>
      </c>
      <c r="R3610" s="2" t="inlineStr"/>
    </row>
    <row r="3611" ht="15" customHeight="1">
      <c r="A3611" t="inlineStr">
        <is>
          <t>A 69119-2021</t>
        </is>
      </c>
      <c r="B3611" s="1" t="n">
        <v>44530.87890046297</v>
      </c>
      <c r="C3611" s="1" t="n">
        <v>45952</v>
      </c>
      <c r="D3611" t="inlineStr">
        <is>
          <t>VÄSTRA GÖTALANDS LÄN</t>
        </is>
      </c>
      <c r="E3611" t="inlineStr">
        <is>
          <t>SKÖVDE</t>
        </is>
      </c>
      <c r="G3611" t="n">
        <v>0.7</v>
      </c>
      <c r="H3611" t="n">
        <v>0</v>
      </c>
      <c r="I3611" t="n">
        <v>0</v>
      </c>
      <c r="J3611" t="n">
        <v>0</v>
      </c>
      <c r="K3611" t="n">
        <v>0</v>
      </c>
      <c r="L3611" t="n">
        <v>0</v>
      </c>
      <c r="M3611" t="n">
        <v>0</v>
      </c>
      <c r="N3611" t="n">
        <v>0</v>
      </c>
      <c r="O3611" t="n">
        <v>0</v>
      </c>
      <c r="P3611" t="n">
        <v>0</v>
      </c>
      <c r="Q3611" t="n">
        <v>0</v>
      </c>
      <c r="R3611" s="2" t="inlineStr"/>
    </row>
    <row r="3612" ht="15" customHeight="1">
      <c r="A3612" t="inlineStr">
        <is>
          <t>A 46752-2022</t>
        </is>
      </c>
      <c r="B3612" s="1" t="n">
        <v>44847</v>
      </c>
      <c r="C3612" s="1" t="n">
        <v>45952</v>
      </c>
      <c r="D3612" t="inlineStr">
        <is>
          <t>VÄSTRA GÖTALANDS LÄN</t>
        </is>
      </c>
      <c r="E3612" t="inlineStr">
        <is>
          <t>TÖREBODA</t>
        </is>
      </c>
      <c r="G3612" t="n">
        <v>0.3</v>
      </c>
      <c r="H3612" t="n">
        <v>0</v>
      </c>
      <c r="I3612" t="n">
        <v>0</v>
      </c>
      <c r="J3612" t="n">
        <v>0</v>
      </c>
      <c r="K3612" t="n">
        <v>0</v>
      </c>
      <c r="L3612" t="n">
        <v>0</v>
      </c>
      <c r="M3612" t="n">
        <v>0</v>
      </c>
      <c r="N3612" t="n">
        <v>0</v>
      </c>
      <c r="O3612" t="n">
        <v>0</v>
      </c>
      <c r="P3612" t="n">
        <v>0</v>
      </c>
      <c r="Q3612" t="n">
        <v>0</v>
      </c>
      <c r="R3612" s="2" t="inlineStr"/>
    </row>
    <row r="3613" ht="15" customHeight="1">
      <c r="A3613" t="inlineStr">
        <is>
          <t>A 46759-2022</t>
        </is>
      </c>
      <c r="B3613" s="1" t="n">
        <v>44847</v>
      </c>
      <c r="C3613" s="1" t="n">
        <v>45952</v>
      </c>
      <c r="D3613" t="inlineStr">
        <is>
          <t>VÄSTRA GÖTALANDS LÄN</t>
        </is>
      </c>
      <c r="E3613" t="inlineStr">
        <is>
          <t>TÖREBODA</t>
        </is>
      </c>
      <c r="G3613" t="n">
        <v>2.1</v>
      </c>
      <c r="H3613" t="n">
        <v>0</v>
      </c>
      <c r="I3613" t="n">
        <v>0</v>
      </c>
      <c r="J3613" t="n">
        <v>0</v>
      </c>
      <c r="K3613" t="n">
        <v>0</v>
      </c>
      <c r="L3613" t="n">
        <v>0</v>
      </c>
      <c r="M3613" t="n">
        <v>0</v>
      </c>
      <c r="N3613" t="n">
        <v>0</v>
      </c>
      <c r="O3613" t="n">
        <v>0</v>
      </c>
      <c r="P3613" t="n">
        <v>0</v>
      </c>
      <c r="Q3613" t="n">
        <v>0</v>
      </c>
      <c r="R3613" s="2" t="inlineStr"/>
    </row>
    <row r="3614" ht="15" customHeight="1">
      <c r="A3614" t="inlineStr">
        <is>
          <t>A 58766-2020</t>
        </is>
      </c>
      <c r="B3614" s="1" t="n">
        <v>44145</v>
      </c>
      <c r="C3614" s="1" t="n">
        <v>45952</v>
      </c>
      <c r="D3614" t="inlineStr">
        <is>
          <t>VÄSTRA GÖTALANDS LÄN</t>
        </is>
      </c>
      <c r="E3614" t="inlineStr">
        <is>
          <t>LIDKÖPING</t>
        </is>
      </c>
      <c r="G3614" t="n">
        <v>4.2</v>
      </c>
      <c r="H3614" t="n">
        <v>0</v>
      </c>
      <c r="I3614" t="n">
        <v>0</v>
      </c>
      <c r="J3614" t="n">
        <v>0</v>
      </c>
      <c r="K3614" t="n">
        <v>0</v>
      </c>
      <c r="L3614" t="n">
        <v>0</v>
      </c>
      <c r="M3614" t="n">
        <v>0</v>
      </c>
      <c r="N3614" t="n">
        <v>0</v>
      </c>
      <c r="O3614" t="n">
        <v>0</v>
      </c>
      <c r="P3614" t="n">
        <v>0</v>
      </c>
      <c r="Q3614" t="n">
        <v>0</v>
      </c>
      <c r="R3614" s="2" t="inlineStr"/>
    </row>
    <row r="3615" ht="15" customHeight="1">
      <c r="A3615" t="inlineStr">
        <is>
          <t>A 24609-2021</t>
        </is>
      </c>
      <c r="B3615" s="1" t="n">
        <v>44340</v>
      </c>
      <c r="C3615" s="1" t="n">
        <v>45952</v>
      </c>
      <c r="D3615" t="inlineStr">
        <is>
          <t>VÄSTRA GÖTALANDS LÄN</t>
        </is>
      </c>
      <c r="E3615" t="inlineStr">
        <is>
          <t>BENGTSFORS</t>
        </is>
      </c>
      <c r="G3615" t="n">
        <v>1.7</v>
      </c>
      <c r="H3615" t="n">
        <v>0</v>
      </c>
      <c r="I3615" t="n">
        <v>0</v>
      </c>
      <c r="J3615" t="n">
        <v>0</v>
      </c>
      <c r="K3615" t="n">
        <v>0</v>
      </c>
      <c r="L3615" t="n">
        <v>0</v>
      </c>
      <c r="M3615" t="n">
        <v>0</v>
      </c>
      <c r="N3615" t="n">
        <v>0</v>
      </c>
      <c r="O3615" t="n">
        <v>0</v>
      </c>
      <c r="P3615" t="n">
        <v>0</v>
      </c>
      <c r="Q3615" t="n">
        <v>0</v>
      </c>
      <c r="R3615" s="2" t="inlineStr"/>
    </row>
    <row r="3616" ht="15" customHeight="1">
      <c r="A3616" t="inlineStr">
        <is>
          <t>A 55513-2021</t>
        </is>
      </c>
      <c r="B3616" s="1" t="n">
        <v>44475</v>
      </c>
      <c r="C3616" s="1" t="n">
        <v>45952</v>
      </c>
      <c r="D3616" t="inlineStr">
        <is>
          <t>VÄSTRA GÖTALANDS LÄN</t>
        </is>
      </c>
      <c r="E3616" t="inlineStr">
        <is>
          <t>FALKÖPING</t>
        </is>
      </c>
      <c r="G3616" t="n">
        <v>1.1</v>
      </c>
      <c r="H3616" t="n">
        <v>0</v>
      </c>
      <c r="I3616" t="n">
        <v>0</v>
      </c>
      <c r="J3616" t="n">
        <v>0</v>
      </c>
      <c r="K3616" t="n">
        <v>0</v>
      </c>
      <c r="L3616" t="n">
        <v>0</v>
      </c>
      <c r="M3616" t="n">
        <v>0</v>
      </c>
      <c r="N3616" t="n">
        <v>0</v>
      </c>
      <c r="O3616" t="n">
        <v>0</v>
      </c>
      <c r="P3616" t="n">
        <v>0</v>
      </c>
      <c r="Q3616" t="n">
        <v>0</v>
      </c>
      <c r="R3616" s="2" t="inlineStr"/>
    </row>
    <row r="3617" ht="15" customHeight="1">
      <c r="A3617" t="inlineStr">
        <is>
          <t>A 33675-2022</t>
        </is>
      </c>
      <c r="B3617" s="1" t="n">
        <v>44789.64864583333</v>
      </c>
      <c r="C3617" s="1" t="n">
        <v>45952</v>
      </c>
      <c r="D3617" t="inlineStr">
        <is>
          <t>VÄSTRA GÖTALANDS LÄN</t>
        </is>
      </c>
      <c r="E3617" t="inlineStr">
        <is>
          <t>SVENLJUNGA</t>
        </is>
      </c>
      <c r="G3617" t="n">
        <v>0.5</v>
      </c>
      <c r="H3617" t="n">
        <v>0</v>
      </c>
      <c r="I3617" t="n">
        <v>0</v>
      </c>
      <c r="J3617" t="n">
        <v>0</v>
      </c>
      <c r="K3617" t="n">
        <v>0</v>
      </c>
      <c r="L3617" t="n">
        <v>0</v>
      </c>
      <c r="M3617" t="n">
        <v>0</v>
      </c>
      <c r="N3617" t="n">
        <v>0</v>
      </c>
      <c r="O3617" t="n">
        <v>0</v>
      </c>
      <c r="P3617" t="n">
        <v>0</v>
      </c>
      <c r="Q3617" t="n">
        <v>0</v>
      </c>
      <c r="R3617" s="2" t="inlineStr"/>
    </row>
    <row r="3618" ht="15" customHeight="1">
      <c r="A3618" t="inlineStr">
        <is>
          <t>A 2769-2022</t>
        </is>
      </c>
      <c r="B3618" s="1" t="n">
        <v>44581.30111111111</v>
      </c>
      <c r="C3618" s="1" t="n">
        <v>45952</v>
      </c>
      <c r="D3618" t="inlineStr">
        <is>
          <t>VÄSTRA GÖTALANDS LÄN</t>
        </is>
      </c>
      <c r="E3618" t="inlineStr">
        <is>
          <t>MARIESTAD</t>
        </is>
      </c>
      <c r="F3618" t="inlineStr">
        <is>
          <t>Sveaskog</t>
        </is>
      </c>
      <c r="G3618" t="n">
        <v>4.7</v>
      </c>
      <c r="H3618" t="n">
        <v>0</v>
      </c>
      <c r="I3618" t="n">
        <v>0</v>
      </c>
      <c r="J3618" t="n">
        <v>0</v>
      </c>
      <c r="K3618" t="n">
        <v>0</v>
      </c>
      <c r="L3618" t="n">
        <v>0</v>
      </c>
      <c r="M3618" t="n">
        <v>0</v>
      </c>
      <c r="N3618" t="n">
        <v>0</v>
      </c>
      <c r="O3618" t="n">
        <v>0</v>
      </c>
      <c r="P3618" t="n">
        <v>0</v>
      </c>
      <c r="Q3618" t="n">
        <v>0</v>
      </c>
      <c r="R3618" s="2" t="inlineStr"/>
    </row>
    <row r="3619" ht="15" customHeight="1">
      <c r="A3619" t="inlineStr">
        <is>
          <t>A 2824-2022</t>
        </is>
      </c>
      <c r="B3619" s="1" t="n">
        <v>44581.42015046296</v>
      </c>
      <c r="C3619" s="1" t="n">
        <v>45952</v>
      </c>
      <c r="D3619" t="inlineStr">
        <is>
          <t>VÄSTRA GÖTALANDS LÄN</t>
        </is>
      </c>
      <c r="E3619" t="inlineStr">
        <is>
          <t>HERRLJUNGA</t>
        </is>
      </c>
      <c r="G3619" t="n">
        <v>0.8</v>
      </c>
      <c r="H3619" t="n">
        <v>0</v>
      </c>
      <c r="I3619" t="n">
        <v>0</v>
      </c>
      <c r="J3619" t="n">
        <v>0</v>
      </c>
      <c r="K3619" t="n">
        <v>0</v>
      </c>
      <c r="L3619" t="n">
        <v>0</v>
      </c>
      <c r="M3619" t="n">
        <v>0</v>
      </c>
      <c r="N3619" t="n">
        <v>0</v>
      </c>
      <c r="O3619" t="n">
        <v>0</v>
      </c>
      <c r="P3619" t="n">
        <v>0</v>
      </c>
      <c r="Q3619" t="n">
        <v>0</v>
      </c>
      <c r="R3619" s="2" t="inlineStr"/>
    </row>
    <row r="3620" ht="15" customHeight="1">
      <c r="A3620" t="inlineStr">
        <is>
          <t>A 56775-2023</t>
        </is>
      </c>
      <c r="B3620" s="1" t="n">
        <v>45244.41496527778</v>
      </c>
      <c r="C3620" s="1" t="n">
        <v>45952</v>
      </c>
      <c r="D3620" t="inlineStr">
        <is>
          <t>VÄSTRA GÖTALANDS LÄN</t>
        </is>
      </c>
      <c r="E3620" t="inlineStr">
        <is>
          <t>ULRICEHAMN</t>
        </is>
      </c>
      <c r="G3620" t="n">
        <v>1.3</v>
      </c>
      <c r="H3620" t="n">
        <v>0</v>
      </c>
      <c r="I3620" t="n">
        <v>0</v>
      </c>
      <c r="J3620" t="n">
        <v>0</v>
      </c>
      <c r="K3620" t="n">
        <v>0</v>
      </c>
      <c r="L3620" t="n">
        <v>0</v>
      </c>
      <c r="M3620" t="n">
        <v>0</v>
      </c>
      <c r="N3620" t="n">
        <v>0</v>
      </c>
      <c r="O3620" t="n">
        <v>0</v>
      </c>
      <c r="P3620" t="n">
        <v>0</v>
      </c>
      <c r="Q3620" t="n">
        <v>0</v>
      </c>
      <c r="R3620" s="2" t="inlineStr"/>
    </row>
    <row r="3621" ht="15" customHeight="1">
      <c r="A3621" t="inlineStr">
        <is>
          <t>A 32832-2024</t>
        </is>
      </c>
      <c r="B3621" s="1" t="n">
        <v>45516.60021990741</v>
      </c>
      <c r="C3621" s="1" t="n">
        <v>45952</v>
      </c>
      <c r="D3621" t="inlineStr">
        <is>
          <t>VÄSTRA GÖTALANDS LÄN</t>
        </is>
      </c>
      <c r="E3621" t="inlineStr">
        <is>
          <t>MELLERUD</t>
        </is>
      </c>
      <c r="G3621" t="n">
        <v>1.8</v>
      </c>
      <c r="H3621" t="n">
        <v>0</v>
      </c>
      <c r="I3621" t="n">
        <v>0</v>
      </c>
      <c r="J3621" t="n">
        <v>0</v>
      </c>
      <c r="K3621" t="n">
        <v>0</v>
      </c>
      <c r="L3621" t="n">
        <v>0</v>
      </c>
      <c r="M3621" t="n">
        <v>0</v>
      </c>
      <c r="N3621" t="n">
        <v>0</v>
      </c>
      <c r="O3621" t="n">
        <v>0</v>
      </c>
      <c r="P3621" t="n">
        <v>0</v>
      </c>
      <c r="Q3621" t="n">
        <v>0</v>
      </c>
      <c r="R3621" s="2" t="inlineStr"/>
    </row>
    <row r="3622" ht="15" customHeight="1">
      <c r="A3622" t="inlineStr">
        <is>
          <t>A 4731-2022</t>
        </is>
      </c>
      <c r="B3622" s="1" t="n">
        <v>44592</v>
      </c>
      <c r="C3622" s="1" t="n">
        <v>45952</v>
      </c>
      <c r="D3622" t="inlineStr">
        <is>
          <t>VÄSTRA GÖTALANDS LÄN</t>
        </is>
      </c>
      <c r="E3622" t="inlineStr">
        <is>
          <t>DALS-ED</t>
        </is>
      </c>
      <c r="G3622" t="n">
        <v>2.6</v>
      </c>
      <c r="H3622" t="n">
        <v>0</v>
      </c>
      <c r="I3622" t="n">
        <v>0</v>
      </c>
      <c r="J3622" t="n">
        <v>0</v>
      </c>
      <c r="K3622" t="n">
        <v>0</v>
      </c>
      <c r="L3622" t="n">
        <v>0</v>
      </c>
      <c r="M3622" t="n">
        <v>0</v>
      </c>
      <c r="N3622" t="n">
        <v>0</v>
      </c>
      <c r="O3622" t="n">
        <v>0</v>
      </c>
      <c r="P3622" t="n">
        <v>0</v>
      </c>
      <c r="Q3622" t="n">
        <v>0</v>
      </c>
      <c r="R3622" s="2" t="inlineStr"/>
    </row>
    <row r="3623" ht="15" customHeight="1">
      <c r="A3623" t="inlineStr">
        <is>
          <t>A 32014-2021</t>
        </is>
      </c>
      <c r="B3623" s="1" t="n">
        <v>44370.63486111111</v>
      </c>
      <c r="C3623" s="1" t="n">
        <v>45952</v>
      </c>
      <c r="D3623" t="inlineStr">
        <is>
          <t>VÄSTRA GÖTALANDS LÄN</t>
        </is>
      </c>
      <c r="E3623" t="inlineStr">
        <is>
          <t>BOLLEBYGD</t>
        </is>
      </c>
      <c r="G3623" t="n">
        <v>3.4</v>
      </c>
      <c r="H3623" t="n">
        <v>0</v>
      </c>
      <c r="I3623" t="n">
        <v>0</v>
      </c>
      <c r="J3623" t="n">
        <v>0</v>
      </c>
      <c r="K3623" t="n">
        <v>0</v>
      </c>
      <c r="L3623" t="n">
        <v>0</v>
      </c>
      <c r="M3623" t="n">
        <v>0</v>
      </c>
      <c r="N3623" t="n">
        <v>0</v>
      </c>
      <c r="O3623" t="n">
        <v>0</v>
      </c>
      <c r="P3623" t="n">
        <v>0</v>
      </c>
      <c r="Q3623" t="n">
        <v>0</v>
      </c>
      <c r="R3623" s="2" t="inlineStr"/>
    </row>
    <row r="3624" ht="15" customHeight="1">
      <c r="A3624" t="inlineStr">
        <is>
          <t>A 5402-2022</t>
        </is>
      </c>
      <c r="B3624" s="1" t="n">
        <v>44595</v>
      </c>
      <c r="C3624" s="1" t="n">
        <v>45952</v>
      </c>
      <c r="D3624" t="inlineStr">
        <is>
          <t>VÄSTRA GÖTALANDS LÄN</t>
        </is>
      </c>
      <c r="E3624" t="inlineStr">
        <is>
          <t>KARLSBORG</t>
        </is>
      </c>
      <c r="F3624" t="inlineStr">
        <is>
          <t>Övriga Aktiebolag</t>
        </is>
      </c>
      <c r="G3624" t="n">
        <v>5.6</v>
      </c>
      <c r="H3624" t="n">
        <v>0</v>
      </c>
      <c r="I3624" t="n">
        <v>0</v>
      </c>
      <c r="J3624" t="n">
        <v>0</v>
      </c>
      <c r="K3624" t="n">
        <v>0</v>
      </c>
      <c r="L3624" t="n">
        <v>0</v>
      </c>
      <c r="M3624" t="n">
        <v>0</v>
      </c>
      <c r="N3624" t="n">
        <v>0</v>
      </c>
      <c r="O3624" t="n">
        <v>0</v>
      </c>
      <c r="P3624" t="n">
        <v>0</v>
      </c>
      <c r="Q3624" t="n">
        <v>0</v>
      </c>
      <c r="R3624" s="2" t="inlineStr"/>
    </row>
    <row r="3625" ht="15" customHeight="1">
      <c r="A3625" t="inlineStr">
        <is>
          <t>A 58213-2022</t>
        </is>
      </c>
      <c r="B3625" s="1" t="n">
        <v>44901.36065972222</v>
      </c>
      <c r="C3625" s="1" t="n">
        <v>45952</v>
      </c>
      <c r="D3625" t="inlineStr">
        <is>
          <t>VÄSTRA GÖTALANDS LÄN</t>
        </is>
      </c>
      <c r="E3625" t="inlineStr">
        <is>
          <t>TÖREBODA</t>
        </is>
      </c>
      <c r="G3625" t="n">
        <v>0.7</v>
      </c>
      <c r="H3625" t="n">
        <v>0</v>
      </c>
      <c r="I3625" t="n">
        <v>0</v>
      </c>
      <c r="J3625" t="n">
        <v>0</v>
      </c>
      <c r="K3625" t="n">
        <v>0</v>
      </c>
      <c r="L3625" t="n">
        <v>0</v>
      </c>
      <c r="M3625" t="n">
        <v>0</v>
      </c>
      <c r="N3625" t="n">
        <v>0</v>
      </c>
      <c r="O3625" t="n">
        <v>0</v>
      </c>
      <c r="P3625" t="n">
        <v>0</v>
      </c>
      <c r="Q3625" t="n">
        <v>0</v>
      </c>
      <c r="R3625" s="2" t="inlineStr"/>
    </row>
    <row r="3626" ht="15" customHeight="1">
      <c r="A3626" t="inlineStr">
        <is>
          <t>A 53012-2024</t>
        </is>
      </c>
      <c r="B3626" s="1" t="n">
        <v>45611.40252314815</v>
      </c>
      <c r="C3626" s="1" t="n">
        <v>45952</v>
      </c>
      <c r="D3626" t="inlineStr">
        <is>
          <t>VÄSTRA GÖTALANDS LÄN</t>
        </is>
      </c>
      <c r="E3626" t="inlineStr">
        <is>
          <t>ULRICEHAMN</t>
        </is>
      </c>
      <c r="G3626" t="n">
        <v>0.5</v>
      </c>
      <c r="H3626" t="n">
        <v>0</v>
      </c>
      <c r="I3626" t="n">
        <v>0</v>
      </c>
      <c r="J3626" t="n">
        <v>0</v>
      </c>
      <c r="K3626" t="n">
        <v>0</v>
      </c>
      <c r="L3626" t="n">
        <v>0</v>
      </c>
      <c r="M3626" t="n">
        <v>0</v>
      </c>
      <c r="N3626" t="n">
        <v>0</v>
      </c>
      <c r="O3626" t="n">
        <v>0</v>
      </c>
      <c r="P3626" t="n">
        <v>0</v>
      </c>
      <c r="Q3626" t="n">
        <v>0</v>
      </c>
      <c r="R3626" s="2" t="inlineStr"/>
    </row>
    <row r="3627" ht="15" customHeight="1">
      <c r="A3627" t="inlineStr">
        <is>
          <t>A 8712-2021</t>
        </is>
      </c>
      <c r="B3627" s="1" t="n">
        <v>44246</v>
      </c>
      <c r="C3627" s="1" t="n">
        <v>45952</v>
      </c>
      <c r="D3627" t="inlineStr">
        <is>
          <t>VÄSTRA GÖTALANDS LÄN</t>
        </is>
      </c>
      <c r="E3627" t="inlineStr">
        <is>
          <t>BORÅS</t>
        </is>
      </c>
      <c r="G3627" t="n">
        <v>0.9</v>
      </c>
      <c r="H3627" t="n">
        <v>0</v>
      </c>
      <c r="I3627" t="n">
        <v>0</v>
      </c>
      <c r="J3627" t="n">
        <v>0</v>
      </c>
      <c r="K3627" t="n">
        <v>0</v>
      </c>
      <c r="L3627" t="n">
        <v>0</v>
      </c>
      <c r="M3627" t="n">
        <v>0</v>
      </c>
      <c r="N3627" t="n">
        <v>0</v>
      </c>
      <c r="O3627" t="n">
        <v>0</v>
      </c>
      <c r="P3627" t="n">
        <v>0</v>
      </c>
      <c r="Q3627" t="n">
        <v>0</v>
      </c>
      <c r="R3627" s="2" t="inlineStr"/>
    </row>
    <row r="3628" ht="15" customHeight="1">
      <c r="A3628" t="inlineStr">
        <is>
          <t>A 16193-2021</t>
        </is>
      </c>
      <c r="B3628" s="1" t="n">
        <v>44292</v>
      </c>
      <c r="C3628" s="1" t="n">
        <v>45952</v>
      </c>
      <c r="D3628" t="inlineStr">
        <is>
          <t>VÄSTRA GÖTALANDS LÄN</t>
        </is>
      </c>
      <c r="E3628" t="inlineStr">
        <is>
          <t>TANUM</t>
        </is>
      </c>
      <c r="G3628" t="n">
        <v>4.8</v>
      </c>
      <c r="H3628" t="n">
        <v>0</v>
      </c>
      <c r="I3628" t="n">
        <v>0</v>
      </c>
      <c r="J3628" t="n">
        <v>0</v>
      </c>
      <c r="K3628" t="n">
        <v>0</v>
      </c>
      <c r="L3628" t="n">
        <v>0</v>
      </c>
      <c r="M3628" t="n">
        <v>0</v>
      </c>
      <c r="N3628" t="n">
        <v>0</v>
      </c>
      <c r="O3628" t="n">
        <v>0</v>
      </c>
      <c r="P3628" t="n">
        <v>0</v>
      </c>
      <c r="Q3628" t="n">
        <v>0</v>
      </c>
      <c r="R3628" s="2" t="inlineStr"/>
    </row>
    <row r="3629" ht="15" customHeight="1">
      <c r="A3629" t="inlineStr">
        <is>
          <t>A 33693-2021</t>
        </is>
      </c>
      <c r="B3629" s="1" t="n">
        <v>44378.4540162037</v>
      </c>
      <c r="C3629" s="1" t="n">
        <v>45952</v>
      </c>
      <c r="D3629" t="inlineStr">
        <is>
          <t>VÄSTRA GÖTALANDS LÄN</t>
        </is>
      </c>
      <c r="E3629" t="inlineStr">
        <is>
          <t>VARA</t>
        </is>
      </c>
      <c r="G3629" t="n">
        <v>2.6</v>
      </c>
      <c r="H3629" t="n">
        <v>0</v>
      </c>
      <c r="I3629" t="n">
        <v>0</v>
      </c>
      <c r="J3629" t="n">
        <v>0</v>
      </c>
      <c r="K3629" t="n">
        <v>0</v>
      </c>
      <c r="L3629" t="n">
        <v>0</v>
      </c>
      <c r="M3629" t="n">
        <v>0</v>
      </c>
      <c r="N3629" t="n">
        <v>0</v>
      </c>
      <c r="O3629" t="n">
        <v>0</v>
      </c>
      <c r="P3629" t="n">
        <v>0</v>
      </c>
      <c r="Q3629" t="n">
        <v>0</v>
      </c>
      <c r="R3629" s="2" t="inlineStr"/>
    </row>
    <row r="3630" ht="15" customHeight="1">
      <c r="A3630" t="inlineStr">
        <is>
          <t>A 9012-2023</t>
        </is>
      </c>
      <c r="B3630" s="1" t="n">
        <v>44979.59778935185</v>
      </c>
      <c r="C3630" s="1" t="n">
        <v>45952</v>
      </c>
      <c r="D3630" t="inlineStr">
        <is>
          <t>VÄSTRA GÖTALANDS LÄN</t>
        </is>
      </c>
      <c r="E3630" t="inlineStr">
        <is>
          <t>VARA</t>
        </is>
      </c>
      <c r="G3630" t="n">
        <v>2.2</v>
      </c>
      <c r="H3630" t="n">
        <v>0</v>
      </c>
      <c r="I3630" t="n">
        <v>0</v>
      </c>
      <c r="J3630" t="n">
        <v>0</v>
      </c>
      <c r="K3630" t="n">
        <v>0</v>
      </c>
      <c r="L3630" t="n">
        <v>0</v>
      </c>
      <c r="M3630" t="n">
        <v>0</v>
      </c>
      <c r="N3630" t="n">
        <v>0</v>
      </c>
      <c r="O3630" t="n">
        <v>0</v>
      </c>
      <c r="P3630" t="n">
        <v>0</v>
      </c>
      <c r="Q3630" t="n">
        <v>0</v>
      </c>
      <c r="R3630" s="2" t="inlineStr"/>
    </row>
    <row r="3631" ht="15" customHeight="1">
      <c r="A3631" t="inlineStr">
        <is>
          <t>A 44355-2023</t>
        </is>
      </c>
      <c r="B3631" s="1" t="n">
        <v>45188.80806712963</v>
      </c>
      <c r="C3631" s="1" t="n">
        <v>45952</v>
      </c>
      <c r="D3631" t="inlineStr">
        <is>
          <t>VÄSTRA GÖTALANDS LÄN</t>
        </is>
      </c>
      <c r="E3631" t="inlineStr">
        <is>
          <t>HERRLJUNGA</t>
        </is>
      </c>
      <c r="G3631" t="n">
        <v>3</v>
      </c>
      <c r="H3631" t="n">
        <v>0</v>
      </c>
      <c r="I3631" t="n">
        <v>0</v>
      </c>
      <c r="J3631" t="n">
        <v>0</v>
      </c>
      <c r="K3631" t="n">
        <v>0</v>
      </c>
      <c r="L3631" t="n">
        <v>0</v>
      </c>
      <c r="M3631" t="n">
        <v>0</v>
      </c>
      <c r="N3631" t="n">
        <v>0</v>
      </c>
      <c r="O3631" t="n">
        <v>0</v>
      </c>
      <c r="P3631" t="n">
        <v>0</v>
      </c>
      <c r="Q3631" t="n">
        <v>0</v>
      </c>
      <c r="R3631" s="2" t="inlineStr"/>
    </row>
    <row r="3632" ht="15" customHeight="1">
      <c r="A3632" t="inlineStr">
        <is>
          <t>A 27644-2023</t>
        </is>
      </c>
      <c r="B3632" s="1" t="n">
        <v>45097</v>
      </c>
      <c r="C3632" s="1" t="n">
        <v>45952</v>
      </c>
      <c r="D3632" t="inlineStr">
        <is>
          <t>VÄSTRA GÖTALANDS LÄN</t>
        </is>
      </c>
      <c r="E3632" t="inlineStr">
        <is>
          <t>MUNKEDAL</t>
        </is>
      </c>
      <c r="G3632" t="n">
        <v>2.9</v>
      </c>
      <c r="H3632" t="n">
        <v>0</v>
      </c>
      <c r="I3632" t="n">
        <v>0</v>
      </c>
      <c r="J3632" t="n">
        <v>0</v>
      </c>
      <c r="K3632" t="n">
        <v>0</v>
      </c>
      <c r="L3632" t="n">
        <v>0</v>
      </c>
      <c r="M3632" t="n">
        <v>0</v>
      </c>
      <c r="N3632" t="n">
        <v>0</v>
      </c>
      <c r="O3632" t="n">
        <v>0</v>
      </c>
      <c r="P3632" t="n">
        <v>0</v>
      </c>
      <c r="Q3632" t="n">
        <v>0</v>
      </c>
      <c r="R3632" s="2" t="inlineStr"/>
    </row>
    <row r="3633" ht="15" customHeight="1">
      <c r="A3633" t="inlineStr">
        <is>
          <t>A 28296-2023</t>
        </is>
      </c>
      <c r="B3633" s="1" t="n">
        <v>45099.64145833333</v>
      </c>
      <c r="C3633" s="1" t="n">
        <v>45952</v>
      </c>
      <c r="D3633" t="inlineStr">
        <is>
          <t>VÄSTRA GÖTALANDS LÄN</t>
        </is>
      </c>
      <c r="E3633" t="inlineStr">
        <is>
          <t>TIDAHOLM</t>
        </is>
      </c>
      <c r="F3633" t="inlineStr">
        <is>
          <t>Kyrkan</t>
        </is>
      </c>
      <c r="G3633" t="n">
        <v>2.4</v>
      </c>
      <c r="H3633" t="n">
        <v>0</v>
      </c>
      <c r="I3633" t="n">
        <v>0</v>
      </c>
      <c r="J3633" t="n">
        <v>0</v>
      </c>
      <c r="K3633" t="n">
        <v>0</v>
      </c>
      <c r="L3633" t="n">
        <v>0</v>
      </c>
      <c r="M3633" t="n">
        <v>0</v>
      </c>
      <c r="N3633" t="n">
        <v>0</v>
      </c>
      <c r="O3633" t="n">
        <v>0</v>
      </c>
      <c r="P3633" t="n">
        <v>0</v>
      </c>
      <c r="Q3633" t="n">
        <v>0</v>
      </c>
      <c r="R3633" s="2" t="inlineStr"/>
    </row>
    <row r="3634" ht="15" customHeight="1">
      <c r="A3634" t="inlineStr">
        <is>
          <t>A 28327-2023</t>
        </is>
      </c>
      <c r="B3634" s="1" t="n">
        <v>45099.70915509259</v>
      </c>
      <c r="C3634" s="1" t="n">
        <v>45952</v>
      </c>
      <c r="D3634" t="inlineStr">
        <is>
          <t>VÄSTRA GÖTALANDS LÄN</t>
        </is>
      </c>
      <c r="E3634" t="inlineStr">
        <is>
          <t>TIDAHOLM</t>
        </is>
      </c>
      <c r="F3634" t="inlineStr">
        <is>
          <t>Kyrkan</t>
        </is>
      </c>
      <c r="G3634" t="n">
        <v>1.1</v>
      </c>
      <c r="H3634" t="n">
        <v>0</v>
      </c>
      <c r="I3634" t="n">
        <v>0</v>
      </c>
      <c r="J3634" t="n">
        <v>0</v>
      </c>
      <c r="K3634" t="n">
        <v>0</v>
      </c>
      <c r="L3634" t="n">
        <v>0</v>
      </c>
      <c r="M3634" t="n">
        <v>0</v>
      </c>
      <c r="N3634" t="n">
        <v>0</v>
      </c>
      <c r="O3634" t="n">
        <v>0</v>
      </c>
      <c r="P3634" t="n">
        <v>0</v>
      </c>
      <c r="Q3634" t="n">
        <v>0</v>
      </c>
      <c r="R3634" s="2" t="inlineStr"/>
    </row>
    <row r="3635" ht="15" customHeight="1">
      <c r="A3635" t="inlineStr">
        <is>
          <t>A 2877-2024</t>
        </is>
      </c>
      <c r="B3635" s="1" t="n">
        <v>45315</v>
      </c>
      <c r="C3635" s="1" t="n">
        <v>45952</v>
      </c>
      <c r="D3635" t="inlineStr">
        <is>
          <t>VÄSTRA GÖTALANDS LÄN</t>
        </is>
      </c>
      <c r="E3635" t="inlineStr">
        <is>
          <t>TRANEMO</t>
        </is>
      </c>
      <c r="G3635" t="n">
        <v>1.5</v>
      </c>
      <c r="H3635" t="n">
        <v>0</v>
      </c>
      <c r="I3635" t="n">
        <v>0</v>
      </c>
      <c r="J3635" t="n">
        <v>0</v>
      </c>
      <c r="K3635" t="n">
        <v>0</v>
      </c>
      <c r="L3635" t="n">
        <v>0</v>
      </c>
      <c r="M3635" t="n">
        <v>0</v>
      </c>
      <c r="N3635" t="n">
        <v>0</v>
      </c>
      <c r="O3635" t="n">
        <v>0</v>
      </c>
      <c r="P3635" t="n">
        <v>0</v>
      </c>
      <c r="Q3635" t="n">
        <v>0</v>
      </c>
      <c r="R3635" s="2" t="inlineStr"/>
    </row>
    <row r="3636" ht="15" customHeight="1">
      <c r="A3636" t="inlineStr">
        <is>
          <t>A 46947-2024</t>
        </is>
      </c>
      <c r="B3636" s="1" t="n">
        <v>45585.79972222223</v>
      </c>
      <c r="C3636" s="1" t="n">
        <v>45952</v>
      </c>
      <c r="D3636" t="inlineStr">
        <is>
          <t>VÄSTRA GÖTALANDS LÄN</t>
        </is>
      </c>
      <c r="E3636" t="inlineStr">
        <is>
          <t>ULRICEHAMN</t>
        </is>
      </c>
      <c r="G3636" t="n">
        <v>0.7</v>
      </c>
      <c r="H3636" t="n">
        <v>0</v>
      </c>
      <c r="I3636" t="n">
        <v>0</v>
      </c>
      <c r="J3636" t="n">
        <v>0</v>
      </c>
      <c r="K3636" t="n">
        <v>0</v>
      </c>
      <c r="L3636" t="n">
        <v>0</v>
      </c>
      <c r="M3636" t="n">
        <v>0</v>
      </c>
      <c r="N3636" t="n">
        <v>0</v>
      </c>
      <c r="O3636" t="n">
        <v>0</v>
      </c>
      <c r="P3636" t="n">
        <v>0</v>
      </c>
      <c r="Q3636" t="n">
        <v>0</v>
      </c>
      <c r="R3636" s="2" t="inlineStr"/>
    </row>
    <row r="3637" ht="15" customHeight="1">
      <c r="A3637" t="inlineStr">
        <is>
          <t>A 30406-2024</t>
        </is>
      </c>
      <c r="B3637" s="1" t="n">
        <v>45491.59671296296</v>
      </c>
      <c r="C3637" s="1" t="n">
        <v>45952</v>
      </c>
      <c r="D3637" t="inlineStr">
        <is>
          <t>VÄSTRA GÖTALANDS LÄN</t>
        </is>
      </c>
      <c r="E3637" t="inlineStr">
        <is>
          <t>FÄRGELANDA</t>
        </is>
      </c>
      <c r="G3637" t="n">
        <v>5.5</v>
      </c>
      <c r="H3637" t="n">
        <v>0</v>
      </c>
      <c r="I3637" t="n">
        <v>0</v>
      </c>
      <c r="J3637" t="n">
        <v>0</v>
      </c>
      <c r="K3637" t="n">
        <v>0</v>
      </c>
      <c r="L3637" t="n">
        <v>0</v>
      </c>
      <c r="M3637" t="n">
        <v>0</v>
      </c>
      <c r="N3637" t="n">
        <v>0</v>
      </c>
      <c r="O3637" t="n">
        <v>0</v>
      </c>
      <c r="P3637" t="n">
        <v>0</v>
      </c>
      <c r="Q3637" t="n">
        <v>0</v>
      </c>
      <c r="R3637" s="2" t="inlineStr"/>
    </row>
    <row r="3638" ht="15" customHeight="1">
      <c r="A3638" t="inlineStr">
        <is>
          <t>A 60923-2022</t>
        </is>
      </c>
      <c r="B3638" s="1" t="n">
        <v>44914.61417824074</v>
      </c>
      <c r="C3638" s="1" t="n">
        <v>45952</v>
      </c>
      <c r="D3638" t="inlineStr">
        <is>
          <t>VÄSTRA GÖTALANDS LÄN</t>
        </is>
      </c>
      <c r="E3638" t="inlineStr">
        <is>
          <t>BORÅS</t>
        </is>
      </c>
      <c r="G3638" t="n">
        <v>1.1</v>
      </c>
      <c r="H3638" t="n">
        <v>0</v>
      </c>
      <c r="I3638" t="n">
        <v>0</v>
      </c>
      <c r="J3638" t="n">
        <v>0</v>
      </c>
      <c r="K3638" t="n">
        <v>0</v>
      </c>
      <c r="L3638" t="n">
        <v>0</v>
      </c>
      <c r="M3638" t="n">
        <v>0</v>
      </c>
      <c r="N3638" t="n">
        <v>0</v>
      </c>
      <c r="O3638" t="n">
        <v>0</v>
      </c>
      <c r="P3638" t="n">
        <v>0</v>
      </c>
      <c r="Q3638" t="n">
        <v>0</v>
      </c>
      <c r="R3638" s="2" t="inlineStr"/>
    </row>
    <row r="3639" ht="15" customHeight="1">
      <c r="A3639" t="inlineStr">
        <is>
          <t>A 22047-2021</t>
        </is>
      </c>
      <c r="B3639" s="1" t="n">
        <v>44323</v>
      </c>
      <c r="C3639" s="1" t="n">
        <v>45952</v>
      </c>
      <c r="D3639" t="inlineStr">
        <is>
          <t>VÄSTRA GÖTALANDS LÄN</t>
        </is>
      </c>
      <c r="E3639" t="inlineStr">
        <is>
          <t>BORÅS</t>
        </is>
      </c>
      <c r="G3639" t="n">
        <v>3</v>
      </c>
      <c r="H3639" t="n">
        <v>0</v>
      </c>
      <c r="I3639" t="n">
        <v>0</v>
      </c>
      <c r="J3639" t="n">
        <v>0</v>
      </c>
      <c r="K3639" t="n">
        <v>0</v>
      </c>
      <c r="L3639" t="n">
        <v>0</v>
      </c>
      <c r="M3639" t="n">
        <v>0</v>
      </c>
      <c r="N3639" t="n">
        <v>0</v>
      </c>
      <c r="O3639" t="n">
        <v>0</v>
      </c>
      <c r="P3639" t="n">
        <v>0</v>
      </c>
      <c r="Q3639" t="n">
        <v>0</v>
      </c>
      <c r="R3639" s="2" t="inlineStr"/>
    </row>
    <row r="3640" ht="15" customHeight="1">
      <c r="A3640" t="inlineStr">
        <is>
          <t>A 19767-2021</t>
        </is>
      </c>
      <c r="B3640" s="1" t="n">
        <v>44309</v>
      </c>
      <c r="C3640" s="1" t="n">
        <v>45952</v>
      </c>
      <c r="D3640" t="inlineStr">
        <is>
          <t>VÄSTRA GÖTALANDS LÄN</t>
        </is>
      </c>
      <c r="E3640" t="inlineStr">
        <is>
          <t>BENGTSFORS</t>
        </is>
      </c>
      <c r="G3640" t="n">
        <v>4</v>
      </c>
      <c r="H3640" t="n">
        <v>0</v>
      </c>
      <c r="I3640" t="n">
        <v>0</v>
      </c>
      <c r="J3640" t="n">
        <v>0</v>
      </c>
      <c r="K3640" t="n">
        <v>0</v>
      </c>
      <c r="L3640" t="n">
        <v>0</v>
      </c>
      <c r="M3640" t="n">
        <v>0</v>
      </c>
      <c r="N3640" t="n">
        <v>0</v>
      </c>
      <c r="O3640" t="n">
        <v>0</v>
      </c>
      <c r="P3640" t="n">
        <v>0</v>
      </c>
      <c r="Q3640" t="n">
        <v>0</v>
      </c>
      <c r="R3640" s="2" t="inlineStr"/>
    </row>
    <row r="3641" ht="15" customHeight="1">
      <c r="A3641" t="inlineStr">
        <is>
          <t>A 42544-2022</t>
        </is>
      </c>
      <c r="B3641" s="1" t="n">
        <v>44831</v>
      </c>
      <c r="C3641" s="1" t="n">
        <v>45952</v>
      </c>
      <c r="D3641" t="inlineStr">
        <is>
          <t>VÄSTRA GÖTALANDS LÄN</t>
        </is>
      </c>
      <c r="E3641" t="inlineStr">
        <is>
          <t>ULRICEHAMN</t>
        </is>
      </c>
      <c r="G3641" t="n">
        <v>3.2</v>
      </c>
      <c r="H3641" t="n">
        <v>0</v>
      </c>
      <c r="I3641" t="n">
        <v>0</v>
      </c>
      <c r="J3641" t="n">
        <v>0</v>
      </c>
      <c r="K3641" t="n">
        <v>0</v>
      </c>
      <c r="L3641" t="n">
        <v>0</v>
      </c>
      <c r="M3641" t="n">
        <v>0</v>
      </c>
      <c r="N3641" t="n">
        <v>0</v>
      </c>
      <c r="O3641" t="n">
        <v>0</v>
      </c>
      <c r="P3641" t="n">
        <v>0</v>
      </c>
      <c r="Q3641" t="n">
        <v>0</v>
      </c>
      <c r="R3641" s="2" t="inlineStr"/>
    </row>
    <row r="3642" ht="15" customHeight="1">
      <c r="A3642" t="inlineStr">
        <is>
          <t>A 13432-2024</t>
        </is>
      </c>
      <c r="B3642" s="1" t="n">
        <v>45387.48319444444</v>
      </c>
      <c r="C3642" s="1" t="n">
        <v>45952</v>
      </c>
      <c r="D3642" t="inlineStr">
        <is>
          <t>VÄSTRA GÖTALANDS LÄN</t>
        </is>
      </c>
      <c r="E3642" t="inlineStr">
        <is>
          <t>TANUM</t>
        </is>
      </c>
      <c r="G3642" t="n">
        <v>0.6</v>
      </c>
      <c r="H3642" t="n">
        <v>0</v>
      </c>
      <c r="I3642" t="n">
        <v>0</v>
      </c>
      <c r="J3642" t="n">
        <v>0</v>
      </c>
      <c r="K3642" t="n">
        <v>0</v>
      </c>
      <c r="L3642" t="n">
        <v>0</v>
      </c>
      <c r="M3642" t="n">
        <v>0</v>
      </c>
      <c r="N3642" t="n">
        <v>0</v>
      </c>
      <c r="O3642" t="n">
        <v>0</v>
      </c>
      <c r="P3642" t="n">
        <v>0</v>
      </c>
      <c r="Q3642" t="n">
        <v>0</v>
      </c>
      <c r="R3642" s="2" t="inlineStr"/>
    </row>
    <row r="3643" ht="15" customHeight="1">
      <c r="A3643" t="inlineStr">
        <is>
          <t>A 455-2025</t>
        </is>
      </c>
      <c r="B3643" s="1" t="n">
        <v>45664.40298611111</v>
      </c>
      <c r="C3643" s="1" t="n">
        <v>45952</v>
      </c>
      <c r="D3643" t="inlineStr">
        <is>
          <t>VÄSTRA GÖTALANDS LÄN</t>
        </is>
      </c>
      <c r="E3643" t="inlineStr">
        <is>
          <t>HERRLJUNGA</t>
        </is>
      </c>
      <c r="F3643" t="inlineStr">
        <is>
          <t>Kyrkan</t>
        </is>
      </c>
      <c r="G3643" t="n">
        <v>1</v>
      </c>
      <c r="H3643" t="n">
        <v>0</v>
      </c>
      <c r="I3643" t="n">
        <v>0</v>
      </c>
      <c r="J3643" t="n">
        <v>0</v>
      </c>
      <c r="K3643" t="n">
        <v>0</v>
      </c>
      <c r="L3643" t="n">
        <v>0</v>
      </c>
      <c r="M3643" t="n">
        <v>0</v>
      </c>
      <c r="N3643" t="n">
        <v>0</v>
      </c>
      <c r="O3643" t="n">
        <v>0</v>
      </c>
      <c r="P3643" t="n">
        <v>0</v>
      </c>
      <c r="Q3643" t="n">
        <v>0</v>
      </c>
      <c r="R3643" s="2" t="inlineStr"/>
    </row>
    <row r="3644" ht="15" customHeight="1">
      <c r="A3644" t="inlineStr">
        <is>
          <t>A 1600-2023</t>
        </is>
      </c>
      <c r="B3644" s="1" t="n">
        <v>44937.66662037037</v>
      </c>
      <c r="C3644" s="1" t="n">
        <v>45952</v>
      </c>
      <c r="D3644" t="inlineStr">
        <is>
          <t>VÄSTRA GÖTALANDS LÄN</t>
        </is>
      </c>
      <c r="E3644" t="inlineStr">
        <is>
          <t>MARK</t>
        </is>
      </c>
      <c r="G3644" t="n">
        <v>7.5</v>
      </c>
      <c r="H3644" t="n">
        <v>0</v>
      </c>
      <c r="I3644" t="n">
        <v>0</v>
      </c>
      <c r="J3644" t="n">
        <v>0</v>
      </c>
      <c r="K3644" t="n">
        <v>0</v>
      </c>
      <c r="L3644" t="n">
        <v>0</v>
      </c>
      <c r="M3644" t="n">
        <v>0</v>
      </c>
      <c r="N3644" t="n">
        <v>0</v>
      </c>
      <c r="O3644" t="n">
        <v>0</v>
      </c>
      <c r="P3644" t="n">
        <v>0</v>
      </c>
      <c r="Q3644" t="n">
        <v>0</v>
      </c>
      <c r="R3644" s="2" t="inlineStr"/>
    </row>
    <row r="3645" ht="15" customHeight="1">
      <c r="A3645" t="inlineStr">
        <is>
          <t>A 4932-2023</t>
        </is>
      </c>
      <c r="B3645" s="1" t="n">
        <v>44958</v>
      </c>
      <c r="C3645" s="1" t="n">
        <v>45952</v>
      </c>
      <c r="D3645" t="inlineStr">
        <is>
          <t>VÄSTRA GÖTALANDS LÄN</t>
        </is>
      </c>
      <c r="E3645" t="inlineStr">
        <is>
          <t>BORÅS</t>
        </is>
      </c>
      <c r="G3645" t="n">
        <v>1.5</v>
      </c>
      <c r="H3645" t="n">
        <v>0</v>
      </c>
      <c r="I3645" t="n">
        <v>0</v>
      </c>
      <c r="J3645" t="n">
        <v>0</v>
      </c>
      <c r="K3645" t="n">
        <v>0</v>
      </c>
      <c r="L3645" t="n">
        <v>0</v>
      </c>
      <c r="M3645" t="n">
        <v>0</v>
      </c>
      <c r="N3645" t="n">
        <v>0</v>
      </c>
      <c r="O3645" t="n">
        <v>0</v>
      </c>
      <c r="P3645" t="n">
        <v>0</v>
      </c>
      <c r="Q3645" t="n">
        <v>0</v>
      </c>
      <c r="R3645" s="2" t="inlineStr"/>
    </row>
    <row r="3646" ht="15" customHeight="1">
      <c r="A3646" t="inlineStr">
        <is>
          <t>A 25975-2021</t>
        </is>
      </c>
      <c r="B3646" s="1" t="n">
        <v>44344</v>
      </c>
      <c r="C3646" s="1" t="n">
        <v>45952</v>
      </c>
      <c r="D3646" t="inlineStr">
        <is>
          <t>VÄSTRA GÖTALANDS LÄN</t>
        </is>
      </c>
      <c r="E3646" t="inlineStr">
        <is>
          <t>TANUM</t>
        </is>
      </c>
      <c r="G3646" t="n">
        <v>3</v>
      </c>
      <c r="H3646" t="n">
        <v>0</v>
      </c>
      <c r="I3646" t="n">
        <v>0</v>
      </c>
      <c r="J3646" t="n">
        <v>0</v>
      </c>
      <c r="K3646" t="n">
        <v>0</v>
      </c>
      <c r="L3646" t="n">
        <v>0</v>
      </c>
      <c r="M3646" t="n">
        <v>0</v>
      </c>
      <c r="N3646" t="n">
        <v>0</v>
      </c>
      <c r="O3646" t="n">
        <v>0</v>
      </c>
      <c r="P3646" t="n">
        <v>0</v>
      </c>
      <c r="Q3646" t="n">
        <v>0</v>
      </c>
      <c r="R3646" s="2" t="inlineStr"/>
    </row>
    <row r="3647" ht="15" customHeight="1">
      <c r="A3647" t="inlineStr">
        <is>
          <t>A 3172-2022</t>
        </is>
      </c>
      <c r="B3647" s="1" t="n">
        <v>44582.60462962963</v>
      </c>
      <c r="C3647" s="1" t="n">
        <v>45952</v>
      </c>
      <c r="D3647" t="inlineStr">
        <is>
          <t>VÄSTRA GÖTALANDS LÄN</t>
        </is>
      </c>
      <c r="E3647" t="inlineStr">
        <is>
          <t>ALINGSÅS</t>
        </is>
      </c>
      <c r="G3647" t="n">
        <v>3.7</v>
      </c>
      <c r="H3647" t="n">
        <v>0</v>
      </c>
      <c r="I3647" t="n">
        <v>0</v>
      </c>
      <c r="J3647" t="n">
        <v>0</v>
      </c>
      <c r="K3647" t="n">
        <v>0</v>
      </c>
      <c r="L3647" t="n">
        <v>0</v>
      </c>
      <c r="M3647" t="n">
        <v>0</v>
      </c>
      <c r="N3647" t="n">
        <v>0</v>
      </c>
      <c r="O3647" t="n">
        <v>0</v>
      </c>
      <c r="P3647" t="n">
        <v>0</v>
      </c>
      <c r="Q3647" t="n">
        <v>0</v>
      </c>
      <c r="R3647" s="2" t="inlineStr"/>
    </row>
    <row r="3648" ht="15" customHeight="1">
      <c r="A3648" t="inlineStr">
        <is>
          <t>A 38360-2024</t>
        </is>
      </c>
      <c r="B3648" s="1" t="n">
        <v>45545.79484953704</v>
      </c>
      <c r="C3648" s="1" t="n">
        <v>45952</v>
      </c>
      <c r="D3648" t="inlineStr">
        <is>
          <t>VÄSTRA GÖTALANDS LÄN</t>
        </is>
      </c>
      <c r="E3648" t="inlineStr">
        <is>
          <t>VÄNERSBORG</t>
        </is>
      </c>
      <c r="G3648" t="n">
        <v>1.7</v>
      </c>
      <c r="H3648" t="n">
        <v>0</v>
      </c>
      <c r="I3648" t="n">
        <v>0</v>
      </c>
      <c r="J3648" t="n">
        <v>0</v>
      </c>
      <c r="K3648" t="n">
        <v>0</v>
      </c>
      <c r="L3648" t="n">
        <v>0</v>
      </c>
      <c r="M3648" t="n">
        <v>0</v>
      </c>
      <c r="N3648" t="n">
        <v>0</v>
      </c>
      <c r="O3648" t="n">
        <v>0</v>
      </c>
      <c r="P3648" t="n">
        <v>0</v>
      </c>
      <c r="Q3648" t="n">
        <v>0</v>
      </c>
      <c r="R3648" s="2" t="inlineStr"/>
    </row>
    <row r="3649" ht="15" customHeight="1">
      <c r="A3649" t="inlineStr">
        <is>
          <t>A 50024-2024</t>
        </is>
      </c>
      <c r="B3649" s="1" t="n">
        <v>45599.53886574074</v>
      </c>
      <c r="C3649" s="1" t="n">
        <v>45952</v>
      </c>
      <c r="D3649" t="inlineStr">
        <is>
          <t>VÄSTRA GÖTALANDS LÄN</t>
        </is>
      </c>
      <c r="E3649" t="inlineStr">
        <is>
          <t>BORÅS</t>
        </is>
      </c>
      <c r="G3649" t="n">
        <v>5.7</v>
      </c>
      <c r="H3649" t="n">
        <v>0</v>
      </c>
      <c r="I3649" t="n">
        <v>0</v>
      </c>
      <c r="J3649" t="n">
        <v>0</v>
      </c>
      <c r="K3649" t="n">
        <v>0</v>
      </c>
      <c r="L3649" t="n">
        <v>0</v>
      </c>
      <c r="M3649" t="n">
        <v>0</v>
      </c>
      <c r="N3649" t="n">
        <v>0</v>
      </c>
      <c r="O3649" t="n">
        <v>0</v>
      </c>
      <c r="P3649" t="n">
        <v>0</v>
      </c>
      <c r="Q3649" t="n">
        <v>0</v>
      </c>
      <c r="R3649" s="2" t="inlineStr"/>
    </row>
    <row r="3650" ht="15" customHeight="1">
      <c r="A3650" t="inlineStr">
        <is>
          <t>A 50048-2024</t>
        </is>
      </c>
      <c r="B3650" s="1" t="n">
        <v>45597</v>
      </c>
      <c r="C3650" s="1" t="n">
        <v>45952</v>
      </c>
      <c r="D3650" t="inlineStr">
        <is>
          <t>VÄSTRA GÖTALANDS LÄN</t>
        </is>
      </c>
      <c r="E3650" t="inlineStr">
        <is>
          <t>TANUM</t>
        </is>
      </c>
      <c r="G3650" t="n">
        <v>4.3</v>
      </c>
      <c r="H3650" t="n">
        <v>0</v>
      </c>
      <c r="I3650" t="n">
        <v>0</v>
      </c>
      <c r="J3650" t="n">
        <v>0</v>
      </c>
      <c r="K3650" t="n">
        <v>0</v>
      </c>
      <c r="L3650" t="n">
        <v>0</v>
      </c>
      <c r="M3650" t="n">
        <v>0</v>
      </c>
      <c r="N3650" t="n">
        <v>0</v>
      </c>
      <c r="O3650" t="n">
        <v>0</v>
      </c>
      <c r="P3650" t="n">
        <v>0</v>
      </c>
      <c r="Q3650" t="n">
        <v>0</v>
      </c>
      <c r="R3650" s="2" t="inlineStr"/>
    </row>
    <row r="3651" ht="15" customHeight="1">
      <c r="A3651" t="inlineStr">
        <is>
          <t>A 32914-2022</t>
        </is>
      </c>
      <c r="B3651" s="1" t="n">
        <v>44784.61553240741</v>
      </c>
      <c r="C3651" s="1" t="n">
        <v>45952</v>
      </c>
      <c r="D3651" t="inlineStr">
        <is>
          <t>VÄSTRA GÖTALANDS LÄN</t>
        </is>
      </c>
      <c r="E3651" t="inlineStr">
        <is>
          <t>ESSUNGA</t>
        </is>
      </c>
      <c r="G3651" t="n">
        <v>3.4</v>
      </c>
      <c r="H3651" t="n">
        <v>0</v>
      </c>
      <c r="I3651" t="n">
        <v>0</v>
      </c>
      <c r="J3651" t="n">
        <v>0</v>
      </c>
      <c r="K3651" t="n">
        <v>0</v>
      </c>
      <c r="L3651" t="n">
        <v>0</v>
      </c>
      <c r="M3651" t="n">
        <v>0</v>
      </c>
      <c r="N3651" t="n">
        <v>0</v>
      </c>
      <c r="O3651" t="n">
        <v>0</v>
      </c>
      <c r="P3651" t="n">
        <v>0</v>
      </c>
      <c r="Q3651" t="n">
        <v>0</v>
      </c>
      <c r="R3651" s="2" t="inlineStr"/>
    </row>
    <row r="3652" ht="15" customHeight="1">
      <c r="A3652" t="inlineStr">
        <is>
          <t>A 29203-2023</t>
        </is>
      </c>
      <c r="B3652" s="1" t="n">
        <v>45097</v>
      </c>
      <c r="C3652" s="1" t="n">
        <v>45952</v>
      </c>
      <c r="D3652" t="inlineStr">
        <is>
          <t>VÄSTRA GÖTALANDS LÄN</t>
        </is>
      </c>
      <c r="E3652" t="inlineStr">
        <is>
          <t>GULLSPÅNG</t>
        </is>
      </c>
      <c r="G3652" t="n">
        <v>3.4</v>
      </c>
      <c r="H3652" t="n">
        <v>0</v>
      </c>
      <c r="I3652" t="n">
        <v>0</v>
      </c>
      <c r="J3652" t="n">
        <v>0</v>
      </c>
      <c r="K3652" t="n">
        <v>0</v>
      </c>
      <c r="L3652" t="n">
        <v>0</v>
      </c>
      <c r="M3652" t="n">
        <v>0</v>
      </c>
      <c r="N3652" t="n">
        <v>0</v>
      </c>
      <c r="O3652" t="n">
        <v>0</v>
      </c>
      <c r="P3652" t="n">
        <v>0</v>
      </c>
      <c r="Q3652" t="n">
        <v>0</v>
      </c>
      <c r="R3652" s="2" t="inlineStr"/>
    </row>
    <row r="3653" ht="15" customHeight="1">
      <c r="A3653" t="inlineStr">
        <is>
          <t>A 26916-2023</t>
        </is>
      </c>
      <c r="B3653" s="1" t="n">
        <v>45093</v>
      </c>
      <c r="C3653" s="1" t="n">
        <v>45952</v>
      </c>
      <c r="D3653" t="inlineStr">
        <is>
          <t>VÄSTRA GÖTALANDS LÄN</t>
        </is>
      </c>
      <c r="E3653" t="inlineStr">
        <is>
          <t>UDDEVALLA</t>
        </is>
      </c>
      <c r="G3653" t="n">
        <v>0.5</v>
      </c>
      <c r="H3653" t="n">
        <v>0</v>
      </c>
      <c r="I3653" t="n">
        <v>0</v>
      </c>
      <c r="J3653" t="n">
        <v>0</v>
      </c>
      <c r="K3653" t="n">
        <v>0</v>
      </c>
      <c r="L3653" t="n">
        <v>0</v>
      </c>
      <c r="M3653" t="n">
        <v>0</v>
      </c>
      <c r="N3653" t="n">
        <v>0</v>
      </c>
      <c r="O3653" t="n">
        <v>0</v>
      </c>
      <c r="P3653" t="n">
        <v>0</v>
      </c>
      <c r="Q3653" t="n">
        <v>0</v>
      </c>
      <c r="R3653" s="2" t="inlineStr"/>
    </row>
    <row r="3654" ht="15" customHeight="1">
      <c r="A3654" t="inlineStr">
        <is>
          <t>A 26893-2023</t>
        </is>
      </c>
      <c r="B3654" s="1" t="n">
        <v>45093.59811342593</v>
      </c>
      <c r="C3654" s="1" t="n">
        <v>45952</v>
      </c>
      <c r="D3654" t="inlineStr">
        <is>
          <t>VÄSTRA GÖTALANDS LÄN</t>
        </is>
      </c>
      <c r="E3654" t="inlineStr">
        <is>
          <t>ULRICEHAMN</t>
        </is>
      </c>
      <c r="G3654" t="n">
        <v>0.9</v>
      </c>
      <c r="H3654" t="n">
        <v>0</v>
      </c>
      <c r="I3654" t="n">
        <v>0</v>
      </c>
      <c r="J3654" t="n">
        <v>0</v>
      </c>
      <c r="K3654" t="n">
        <v>0</v>
      </c>
      <c r="L3654" t="n">
        <v>0</v>
      </c>
      <c r="M3654" t="n">
        <v>0</v>
      </c>
      <c r="N3654" t="n">
        <v>0</v>
      </c>
      <c r="O3654" t="n">
        <v>0</v>
      </c>
      <c r="P3654" t="n">
        <v>0</v>
      </c>
      <c r="Q3654" t="n">
        <v>0</v>
      </c>
      <c r="R3654" s="2" t="inlineStr"/>
    </row>
    <row r="3655" ht="15" customHeight="1">
      <c r="A3655" t="inlineStr">
        <is>
          <t>A 27588-2023</t>
        </is>
      </c>
      <c r="B3655" s="1" t="n">
        <v>45097</v>
      </c>
      <c r="C3655" s="1" t="n">
        <v>45952</v>
      </c>
      <c r="D3655" t="inlineStr">
        <is>
          <t>VÄSTRA GÖTALANDS LÄN</t>
        </is>
      </c>
      <c r="E3655" t="inlineStr">
        <is>
          <t>ALINGSÅS</t>
        </is>
      </c>
      <c r="G3655" t="n">
        <v>12.8</v>
      </c>
      <c r="H3655" t="n">
        <v>0</v>
      </c>
      <c r="I3655" t="n">
        <v>0</v>
      </c>
      <c r="J3655" t="n">
        <v>0</v>
      </c>
      <c r="K3655" t="n">
        <v>0</v>
      </c>
      <c r="L3655" t="n">
        <v>0</v>
      </c>
      <c r="M3655" t="n">
        <v>0</v>
      </c>
      <c r="N3655" t="n">
        <v>0</v>
      </c>
      <c r="O3655" t="n">
        <v>0</v>
      </c>
      <c r="P3655" t="n">
        <v>0</v>
      </c>
      <c r="Q3655" t="n">
        <v>0</v>
      </c>
      <c r="R3655" s="2" t="inlineStr"/>
    </row>
    <row r="3656" ht="15" customHeight="1">
      <c r="A3656" t="inlineStr">
        <is>
          <t>A 44038-2024</t>
        </is>
      </c>
      <c r="B3656" s="1" t="n">
        <v>45572.58230324074</v>
      </c>
      <c r="C3656" s="1" t="n">
        <v>45952</v>
      </c>
      <c r="D3656" t="inlineStr">
        <is>
          <t>VÄSTRA GÖTALANDS LÄN</t>
        </is>
      </c>
      <c r="E3656" t="inlineStr">
        <is>
          <t>TIDAHOLM</t>
        </is>
      </c>
      <c r="F3656" t="inlineStr">
        <is>
          <t>Sveaskog</t>
        </is>
      </c>
      <c r="G3656" t="n">
        <v>1.4</v>
      </c>
      <c r="H3656" t="n">
        <v>0</v>
      </c>
      <c r="I3656" t="n">
        <v>0</v>
      </c>
      <c r="J3656" t="n">
        <v>0</v>
      </c>
      <c r="K3656" t="n">
        <v>0</v>
      </c>
      <c r="L3656" t="n">
        <v>0</v>
      </c>
      <c r="M3656" t="n">
        <v>0</v>
      </c>
      <c r="N3656" t="n">
        <v>0</v>
      </c>
      <c r="O3656" t="n">
        <v>0</v>
      </c>
      <c r="P3656" t="n">
        <v>0</v>
      </c>
      <c r="Q3656" t="n">
        <v>0</v>
      </c>
      <c r="R3656" s="2" t="inlineStr"/>
    </row>
    <row r="3657" ht="15" customHeight="1">
      <c r="A3657" t="inlineStr">
        <is>
          <t>A 73942-2021</t>
        </is>
      </c>
      <c r="B3657" s="1" t="n">
        <v>44552</v>
      </c>
      <c r="C3657" s="1" t="n">
        <v>45952</v>
      </c>
      <c r="D3657" t="inlineStr">
        <is>
          <t>VÄSTRA GÖTALANDS LÄN</t>
        </is>
      </c>
      <c r="E3657" t="inlineStr">
        <is>
          <t>MARK</t>
        </is>
      </c>
      <c r="G3657" t="n">
        <v>1.6</v>
      </c>
      <c r="H3657" t="n">
        <v>0</v>
      </c>
      <c r="I3657" t="n">
        <v>0</v>
      </c>
      <c r="J3657" t="n">
        <v>0</v>
      </c>
      <c r="K3657" t="n">
        <v>0</v>
      </c>
      <c r="L3657" t="n">
        <v>0</v>
      </c>
      <c r="M3657" t="n">
        <v>0</v>
      </c>
      <c r="N3657" t="n">
        <v>0</v>
      </c>
      <c r="O3657" t="n">
        <v>0</v>
      </c>
      <c r="P3657" t="n">
        <v>0</v>
      </c>
      <c r="Q3657" t="n">
        <v>0</v>
      </c>
      <c r="R3657" s="2" t="inlineStr"/>
    </row>
    <row r="3658" ht="15" customHeight="1">
      <c r="A3658" t="inlineStr">
        <is>
          <t>A 1592-2022</t>
        </is>
      </c>
      <c r="B3658" s="1" t="n">
        <v>44573.67560185185</v>
      </c>
      <c r="C3658" s="1" t="n">
        <v>45952</v>
      </c>
      <c r="D3658" t="inlineStr">
        <is>
          <t>VÄSTRA GÖTALANDS LÄN</t>
        </is>
      </c>
      <c r="E3658" t="inlineStr">
        <is>
          <t>BENGTSFORS</t>
        </is>
      </c>
      <c r="G3658" t="n">
        <v>0.4</v>
      </c>
      <c r="H3658" t="n">
        <v>0</v>
      </c>
      <c r="I3658" t="n">
        <v>0</v>
      </c>
      <c r="J3658" t="n">
        <v>0</v>
      </c>
      <c r="K3658" t="n">
        <v>0</v>
      </c>
      <c r="L3658" t="n">
        <v>0</v>
      </c>
      <c r="M3658" t="n">
        <v>0</v>
      </c>
      <c r="N3658" t="n">
        <v>0</v>
      </c>
      <c r="O3658" t="n">
        <v>0</v>
      </c>
      <c r="P3658" t="n">
        <v>0</v>
      </c>
      <c r="Q3658" t="n">
        <v>0</v>
      </c>
      <c r="R3658" s="2" t="inlineStr"/>
    </row>
    <row r="3659" ht="15" customHeight="1">
      <c r="A3659" t="inlineStr">
        <is>
          <t>A 25085-2024</t>
        </is>
      </c>
      <c r="B3659" s="1" t="n">
        <v>45462.39026620371</v>
      </c>
      <c r="C3659" s="1" t="n">
        <v>45952</v>
      </c>
      <c r="D3659" t="inlineStr">
        <is>
          <t>VÄSTRA GÖTALANDS LÄN</t>
        </is>
      </c>
      <c r="E3659" t="inlineStr">
        <is>
          <t>FALKÖPING</t>
        </is>
      </c>
      <c r="G3659" t="n">
        <v>3.2</v>
      </c>
      <c r="H3659" t="n">
        <v>0</v>
      </c>
      <c r="I3659" t="n">
        <v>0</v>
      </c>
      <c r="J3659" t="n">
        <v>0</v>
      </c>
      <c r="K3659" t="n">
        <v>0</v>
      </c>
      <c r="L3659" t="n">
        <v>0</v>
      </c>
      <c r="M3659" t="n">
        <v>0</v>
      </c>
      <c r="N3659" t="n">
        <v>0</v>
      </c>
      <c r="O3659" t="n">
        <v>0</v>
      </c>
      <c r="P3659" t="n">
        <v>0</v>
      </c>
      <c r="Q3659" t="n">
        <v>0</v>
      </c>
      <c r="R3659" s="2" t="inlineStr"/>
    </row>
    <row r="3660" ht="15" customHeight="1">
      <c r="A3660" t="inlineStr">
        <is>
          <t>A 25110-2024</t>
        </is>
      </c>
      <c r="B3660" s="1" t="n">
        <v>45462.43706018518</v>
      </c>
      <c r="C3660" s="1" t="n">
        <v>45952</v>
      </c>
      <c r="D3660" t="inlineStr">
        <is>
          <t>VÄSTRA GÖTALANDS LÄN</t>
        </is>
      </c>
      <c r="E3660" t="inlineStr">
        <is>
          <t>TIDAHOLM</t>
        </is>
      </c>
      <c r="G3660" t="n">
        <v>1</v>
      </c>
      <c r="H3660" t="n">
        <v>0</v>
      </c>
      <c r="I3660" t="n">
        <v>0</v>
      </c>
      <c r="J3660" t="n">
        <v>0</v>
      </c>
      <c r="K3660" t="n">
        <v>0</v>
      </c>
      <c r="L3660" t="n">
        <v>0</v>
      </c>
      <c r="M3660" t="n">
        <v>0</v>
      </c>
      <c r="N3660" t="n">
        <v>0</v>
      </c>
      <c r="O3660" t="n">
        <v>0</v>
      </c>
      <c r="P3660" t="n">
        <v>0</v>
      </c>
      <c r="Q3660" t="n">
        <v>0</v>
      </c>
      <c r="R3660" s="2" t="inlineStr"/>
    </row>
    <row r="3661" ht="15" customHeight="1">
      <c r="A3661" t="inlineStr">
        <is>
          <t>A 43723-2021</t>
        </is>
      </c>
      <c r="B3661" s="1" t="n">
        <v>44433.63059027777</v>
      </c>
      <c r="C3661" s="1" t="n">
        <v>45952</v>
      </c>
      <c r="D3661" t="inlineStr">
        <is>
          <t>VÄSTRA GÖTALANDS LÄN</t>
        </is>
      </c>
      <c r="E3661" t="inlineStr">
        <is>
          <t>SVENLJUNGA</t>
        </is>
      </c>
      <c r="G3661" t="n">
        <v>1.1</v>
      </c>
      <c r="H3661" t="n">
        <v>0</v>
      </c>
      <c r="I3661" t="n">
        <v>0</v>
      </c>
      <c r="J3661" t="n">
        <v>0</v>
      </c>
      <c r="K3661" t="n">
        <v>0</v>
      </c>
      <c r="L3661" t="n">
        <v>0</v>
      </c>
      <c r="M3661" t="n">
        <v>0</v>
      </c>
      <c r="N3661" t="n">
        <v>0</v>
      </c>
      <c r="O3661" t="n">
        <v>0</v>
      </c>
      <c r="P3661" t="n">
        <v>0</v>
      </c>
      <c r="Q3661" t="n">
        <v>0</v>
      </c>
      <c r="R3661" s="2" t="inlineStr"/>
    </row>
    <row r="3662" ht="15" customHeight="1">
      <c r="A3662" t="inlineStr">
        <is>
          <t>A 1156-2022</t>
        </is>
      </c>
      <c r="B3662" s="1" t="n">
        <v>44572</v>
      </c>
      <c r="C3662" s="1" t="n">
        <v>45952</v>
      </c>
      <c r="D3662" t="inlineStr">
        <is>
          <t>VÄSTRA GÖTALANDS LÄN</t>
        </is>
      </c>
      <c r="E3662" t="inlineStr">
        <is>
          <t>UDDEVALLA</t>
        </is>
      </c>
      <c r="F3662" t="inlineStr">
        <is>
          <t>Kommuner</t>
        </is>
      </c>
      <c r="G3662" t="n">
        <v>4.5</v>
      </c>
      <c r="H3662" t="n">
        <v>0</v>
      </c>
      <c r="I3662" t="n">
        <v>0</v>
      </c>
      <c r="J3662" t="n">
        <v>0</v>
      </c>
      <c r="K3662" t="n">
        <v>0</v>
      </c>
      <c r="L3662" t="n">
        <v>0</v>
      </c>
      <c r="M3662" t="n">
        <v>0</v>
      </c>
      <c r="N3662" t="n">
        <v>0</v>
      </c>
      <c r="O3662" t="n">
        <v>0</v>
      </c>
      <c r="P3662" t="n">
        <v>0</v>
      </c>
      <c r="Q3662" t="n">
        <v>0</v>
      </c>
      <c r="R3662" s="2" t="inlineStr"/>
    </row>
    <row r="3663" ht="15" customHeight="1">
      <c r="A3663" t="inlineStr">
        <is>
          <t>A 35320-2021</t>
        </is>
      </c>
      <c r="B3663" s="1" t="n">
        <v>44384.73966435185</v>
      </c>
      <c r="C3663" s="1" t="n">
        <v>45952</v>
      </c>
      <c r="D3663" t="inlineStr">
        <is>
          <t>VÄSTRA GÖTALANDS LÄN</t>
        </is>
      </c>
      <c r="E3663" t="inlineStr">
        <is>
          <t>STRÖMSTAD</t>
        </is>
      </c>
      <c r="G3663" t="n">
        <v>0.5</v>
      </c>
      <c r="H3663" t="n">
        <v>0</v>
      </c>
      <c r="I3663" t="n">
        <v>0</v>
      </c>
      <c r="J3663" t="n">
        <v>0</v>
      </c>
      <c r="K3663" t="n">
        <v>0</v>
      </c>
      <c r="L3663" t="n">
        <v>0</v>
      </c>
      <c r="M3663" t="n">
        <v>0</v>
      </c>
      <c r="N3663" t="n">
        <v>0</v>
      </c>
      <c r="O3663" t="n">
        <v>0</v>
      </c>
      <c r="P3663" t="n">
        <v>0</v>
      </c>
      <c r="Q3663" t="n">
        <v>0</v>
      </c>
      <c r="R3663" s="2" t="inlineStr"/>
    </row>
    <row r="3664" ht="15" customHeight="1">
      <c r="A3664" t="inlineStr">
        <is>
          <t>A 7628-2024</t>
        </is>
      </c>
      <c r="B3664" s="1" t="n">
        <v>45348</v>
      </c>
      <c r="C3664" s="1" t="n">
        <v>45952</v>
      </c>
      <c r="D3664" t="inlineStr">
        <is>
          <t>VÄSTRA GÖTALANDS LÄN</t>
        </is>
      </c>
      <c r="E3664" t="inlineStr">
        <is>
          <t>MARK</t>
        </is>
      </c>
      <c r="G3664" t="n">
        <v>2.6</v>
      </c>
      <c r="H3664" t="n">
        <v>0</v>
      </c>
      <c r="I3664" t="n">
        <v>0</v>
      </c>
      <c r="J3664" t="n">
        <v>0</v>
      </c>
      <c r="K3664" t="n">
        <v>0</v>
      </c>
      <c r="L3664" t="n">
        <v>0</v>
      </c>
      <c r="M3664" t="n">
        <v>0</v>
      </c>
      <c r="N3664" t="n">
        <v>0</v>
      </c>
      <c r="O3664" t="n">
        <v>0</v>
      </c>
      <c r="P3664" t="n">
        <v>0</v>
      </c>
      <c r="Q3664" t="n">
        <v>0</v>
      </c>
      <c r="R3664" s="2" t="inlineStr"/>
    </row>
    <row r="3665" ht="15" customHeight="1">
      <c r="A3665" t="inlineStr">
        <is>
          <t>A 17139-2023</t>
        </is>
      </c>
      <c r="B3665" s="1" t="n">
        <v>45034.61293981481</v>
      </c>
      <c r="C3665" s="1" t="n">
        <v>45952</v>
      </c>
      <c r="D3665" t="inlineStr">
        <is>
          <t>VÄSTRA GÖTALANDS LÄN</t>
        </is>
      </c>
      <c r="E3665" t="inlineStr">
        <is>
          <t>UDDEVALLA</t>
        </is>
      </c>
      <c r="G3665" t="n">
        <v>5.8</v>
      </c>
      <c r="H3665" t="n">
        <v>0</v>
      </c>
      <c r="I3665" t="n">
        <v>0</v>
      </c>
      <c r="J3665" t="n">
        <v>0</v>
      </c>
      <c r="K3665" t="n">
        <v>0</v>
      </c>
      <c r="L3665" t="n">
        <v>0</v>
      </c>
      <c r="M3665" t="n">
        <v>0</v>
      </c>
      <c r="N3665" t="n">
        <v>0</v>
      </c>
      <c r="O3665" t="n">
        <v>0</v>
      </c>
      <c r="P3665" t="n">
        <v>0</v>
      </c>
      <c r="Q3665" t="n">
        <v>0</v>
      </c>
      <c r="R3665" s="2" t="inlineStr"/>
    </row>
    <row r="3666" ht="15" customHeight="1">
      <c r="A3666" t="inlineStr">
        <is>
          <t>A 59842-2022</t>
        </is>
      </c>
      <c r="B3666" s="1" t="n">
        <v>44908</v>
      </c>
      <c r="C3666" s="1" t="n">
        <v>45952</v>
      </c>
      <c r="D3666" t="inlineStr">
        <is>
          <t>VÄSTRA GÖTALANDS LÄN</t>
        </is>
      </c>
      <c r="E3666" t="inlineStr">
        <is>
          <t>SKARA</t>
        </is>
      </c>
      <c r="G3666" t="n">
        <v>3.5</v>
      </c>
      <c r="H3666" t="n">
        <v>0</v>
      </c>
      <c r="I3666" t="n">
        <v>0</v>
      </c>
      <c r="J3666" t="n">
        <v>0</v>
      </c>
      <c r="K3666" t="n">
        <v>0</v>
      </c>
      <c r="L3666" t="n">
        <v>0</v>
      </c>
      <c r="M3666" t="n">
        <v>0</v>
      </c>
      <c r="N3666" t="n">
        <v>0</v>
      </c>
      <c r="O3666" t="n">
        <v>0</v>
      </c>
      <c r="P3666" t="n">
        <v>0</v>
      </c>
      <c r="Q3666" t="n">
        <v>0</v>
      </c>
      <c r="R3666" s="2" t="inlineStr"/>
    </row>
    <row r="3667" ht="15" customHeight="1">
      <c r="A3667" t="inlineStr">
        <is>
          <t>A 56789-2021</t>
        </is>
      </c>
      <c r="B3667" s="1" t="n">
        <v>44481.53412037037</v>
      </c>
      <c r="C3667" s="1" t="n">
        <v>45952</v>
      </c>
      <c r="D3667" t="inlineStr">
        <is>
          <t>VÄSTRA GÖTALANDS LÄN</t>
        </is>
      </c>
      <c r="E3667" t="inlineStr">
        <is>
          <t>MUNKEDAL</t>
        </is>
      </c>
      <c r="G3667" t="n">
        <v>0.7</v>
      </c>
      <c r="H3667" t="n">
        <v>0</v>
      </c>
      <c r="I3667" t="n">
        <v>0</v>
      </c>
      <c r="J3667" t="n">
        <v>0</v>
      </c>
      <c r="K3667" t="n">
        <v>0</v>
      </c>
      <c r="L3667" t="n">
        <v>0</v>
      </c>
      <c r="M3667" t="n">
        <v>0</v>
      </c>
      <c r="N3667" t="n">
        <v>0</v>
      </c>
      <c r="O3667" t="n">
        <v>0</v>
      </c>
      <c r="P3667" t="n">
        <v>0</v>
      </c>
      <c r="Q3667" t="n">
        <v>0</v>
      </c>
      <c r="R3667" s="2" t="inlineStr"/>
    </row>
    <row r="3668" ht="15" customHeight="1">
      <c r="A3668" t="inlineStr">
        <is>
          <t>A 60984-2024</t>
        </is>
      </c>
      <c r="B3668" s="1" t="n">
        <v>45645</v>
      </c>
      <c r="C3668" s="1" t="n">
        <v>45952</v>
      </c>
      <c r="D3668" t="inlineStr">
        <is>
          <t>VÄSTRA GÖTALANDS LÄN</t>
        </is>
      </c>
      <c r="E3668" t="inlineStr">
        <is>
          <t>BENGTSFORS</t>
        </is>
      </c>
      <c r="G3668" t="n">
        <v>2.8</v>
      </c>
      <c r="H3668" t="n">
        <v>0</v>
      </c>
      <c r="I3668" t="n">
        <v>0</v>
      </c>
      <c r="J3668" t="n">
        <v>0</v>
      </c>
      <c r="K3668" t="n">
        <v>0</v>
      </c>
      <c r="L3668" t="n">
        <v>0</v>
      </c>
      <c r="M3668" t="n">
        <v>0</v>
      </c>
      <c r="N3668" t="n">
        <v>0</v>
      </c>
      <c r="O3668" t="n">
        <v>0</v>
      </c>
      <c r="P3668" t="n">
        <v>0</v>
      </c>
      <c r="Q3668" t="n">
        <v>0</v>
      </c>
      <c r="R3668" s="2" t="inlineStr"/>
    </row>
    <row r="3669" ht="15" customHeight="1">
      <c r="A3669" t="inlineStr">
        <is>
          <t>A 60989-2024</t>
        </is>
      </c>
      <c r="B3669" s="1" t="n">
        <v>45645.4187037037</v>
      </c>
      <c r="C3669" s="1" t="n">
        <v>45952</v>
      </c>
      <c r="D3669" t="inlineStr">
        <is>
          <t>VÄSTRA GÖTALANDS LÄN</t>
        </is>
      </c>
      <c r="E3669" t="inlineStr">
        <is>
          <t>ULRICEHAMN</t>
        </is>
      </c>
      <c r="G3669" t="n">
        <v>0.9</v>
      </c>
      <c r="H3669" t="n">
        <v>0</v>
      </c>
      <c r="I3669" t="n">
        <v>0</v>
      </c>
      <c r="J3669" t="n">
        <v>0</v>
      </c>
      <c r="K3669" t="n">
        <v>0</v>
      </c>
      <c r="L3669" t="n">
        <v>0</v>
      </c>
      <c r="M3669" t="n">
        <v>0</v>
      </c>
      <c r="N3669" t="n">
        <v>0</v>
      </c>
      <c r="O3669" t="n">
        <v>0</v>
      </c>
      <c r="P3669" t="n">
        <v>0</v>
      </c>
      <c r="Q3669" t="n">
        <v>0</v>
      </c>
      <c r="R3669" s="2" t="inlineStr"/>
    </row>
    <row r="3670" ht="15" customHeight="1">
      <c r="A3670" t="inlineStr">
        <is>
          <t>A 73822-2021</t>
        </is>
      </c>
      <c r="B3670" s="1" t="n">
        <v>44552</v>
      </c>
      <c r="C3670" s="1" t="n">
        <v>45952</v>
      </c>
      <c r="D3670" t="inlineStr">
        <is>
          <t>VÄSTRA GÖTALANDS LÄN</t>
        </is>
      </c>
      <c r="E3670" t="inlineStr">
        <is>
          <t>BORÅS</t>
        </is>
      </c>
      <c r="G3670" t="n">
        <v>2.4</v>
      </c>
      <c r="H3670" t="n">
        <v>0</v>
      </c>
      <c r="I3670" t="n">
        <v>0</v>
      </c>
      <c r="J3670" t="n">
        <v>0</v>
      </c>
      <c r="K3670" t="n">
        <v>0</v>
      </c>
      <c r="L3670" t="n">
        <v>0</v>
      </c>
      <c r="M3670" t="n">
        <v>0</v>
      </c>
      <c r="N3670" t="n">
        <v>0</v>
      </c>
      <c r="O3670" t="n">
        <v>0</v>
      </c>
      <c r="P3670" t="n">
        <v>0</v>
      </c>
      <c r="Q3670" t="n">
        <v>0</v>
      </c>
      <c r="R3670" s="2" t="inlineStr"/>
    </row>
    <row r="3671" ht="15" customHeight="1">
      <c r="A3671" t="inlineStr">
        <is>
          <t>A 14760-2022</t>
        </is>
      </c>
      <c r="B3671" s="1" t="n">
        <v>44656.41016203703</v>
      </c>
      <c r="C3671" s="1" t="n">
        <v>45952</v>
      </c>
      <c r="D3671" t="inlineStr">
        <is>
          <t>VÄSTRA GÖTALANDS LÄN</t>
        </is>
      </c>
      <c r="E3671" t="inlineStr">
        <is>
          <t>TRANEMO</t>
        </is>
      </c>
      <c r="G3671" t="n">
        <v>2.2</v>
      </c>
      <c r="H3671" t="n">
        <v>0</v>
      </c>
      <c r="I3671" t="n">
        <v>0</v>
      </c>
      <c r="J3671" t="n">
        <v>0</v>
      </c>
      <c r="K3671" t="n">
        <v>0</v>
      </c>
      <c r="L3671" t="n">
        <v>0</v>
      </c>
      <c r="M3671" t="n">
        <v>0</v>
      </c>
      <c r="N3671" t="n">
        <v>0</v>
      </c>
      <c r="O3671" t="n">
        <v>0</v>
      </c>
      <c r="P3671" t="n">
        <v>0</v>
      </c>
      <c r="Q3671" t="n">
        <v>0</v>
      </c>
      <c r="R3671" s="2" t="inlineStr"/>
    </row>
    <row r="3672" ht="15" customHeight="1">
      <c r="A3672" t="inlineStr">
        <is>
          <t>A 400-2025</t>
        </is>
      </c>
      <c r="B3672" s="1" t="n">
        <v>45663.57771990741</v>
      </c>
      <c r="C3672" s="1" t="n">
        <v>45952</v>
      </c>
      <c r="D3672" t="inlineStr">
        <is>
          <t>VÄSTRA GÖTALANDS LÄN</t>
        </is>
      </c>
      <c r="E3672" t="inlineStr">
        <is>
          <t>BENGTSFORS</t>
        </is>
      </c>
      <c r="G3672" t="n">
        <v>1</v>
      </c>
      <c r="H3672" t="n">
        <v>0</v>
      </c>
      <c r="I3672" t="n">
        <v>0</v>
      </c>
      <c r="J3672" t="n">
        <v>0</v>
      </c>
      <c r="K3672" t="n">
        <v>0</v>
      </c>
      <c r="L3672" t="n">
        <v>0</v>
      </c>
      <c r="M3672" t="n">
        <v>0</v>
      </c>
      <c r="N3672" t="n">
        <v>0</v>
      </c>
      <c r="O3672" t="n">
        <v>0</v>
      </c>
      <c r="P3672" t="n">
        <v>0</v>
      </c>
      <c r="Q3672" t="n">
        <v>0</v>
      </c>
      <c r="R3672" s="2" t="inlineStr"/>
    </row>
    <row r="3673" ht="15" customHeight="1">
      <c r="A3673" t="inlineStr">
        <is>
          <t>A 10890-2024</t>
        </is>
      </c>
      <c r="B3673" s="1" t="n">
        <v>45370</v>
      </c>
      <c r="C3673" s="1" t="n">
        <v>45952</v>
      </c>
      <c r="D3673" t="inlineStr">
        <is>
          <t>VÄSTRA GÖTALANDS LÄN</t>
        </is>
      </c>
      <c r="E3673" t="inlineStr">
        <is>
          <t>MARK</t>
        </is>
      </c>
      <c r="G3673" t="n">
        <v>9.6</v>
      </c>
      <c r="H3673" t="n">
        <v>0</v>
      </c>
      <c r="I3673" t="n">
        <v>0</v>
      </c>
      <c r="J3673" t="n">
        <v>0</v>
      </c>
      <c r="K3673" t="n">
        <v>0</v>
      </c>
      <c r="L3673" t="n">
        <v>0</v>
      </c>
      <c r="M3673" t="n">
        <v>0</v>
      </c>
      <c r="N3673" t="n">
        <v>0</v>
      </c>
      <c r="O3673" t="n">
        <v>0</v>
      </c>
      <c r="P3673" t="n">
        <v>0</v>
      </c>
      <c r="Q3673" t="n">
        <v>0</v>
      </c>
      <c r="R3673" s="2" t="inlineStr"/>
    </row>
    <row r="3674" ht="15" customHeight="1">
      <c r="A3674" t="inlineStr">
        <is>
          <t>A 21961-2024</t>
        </is>
      </c>
      <c r="B3674" s="1" t="n">
        <v>45443</v>
      </c>
      <c r="C3674" s="1" t="n">
        <v>45952</v>
      </c>
      <c r="D3674" t="inlineStr">
        <is>
          <t>VÄSTRA GÖTALANDS LÄN</t>
        </is>
      </c>
      <c r="E3674" t="inlineStr">
        <is>
          <t>FALKÖPING</t>
        </is>
      </c>
      <c r="G3674" t="n">
        <v>0.5</v>
      </c>
      <c r="H3674" t="n">
        <v>0</v>
      </c>
      <c r="I3674" t="n">
        <v>0</v>
      </c>
      <c r="J3674" t="n">
        <v>0</v>
      </c>
      <c r="K3674" t="n">
        <v>0</v>
      </c>
      <c r="L3674" t="n">
        <v>0</v>
      </c>
      <c r="M3674" t="n">
        <v>0</v>
      </c>
      <c r="N3674" t="n">
        <v>0</v>
      </c>
      <c r="O3674" t="n">
        <v>0</v>
      </c>
      <c r="P3674" t="n">
        <v>0</v>
      </c>
      <c r="Q3674" t="n">
        <v>0</v>
      </c>
      <c r="R3674" s="2" t="inlineStr"/>
    </row>
    <row r="3675" ht="15" customHeight="1">
      <c r="A3675" t="inlineStr">
        <is>
          <t>A 19723-2023</t>
        </is>
      </c>
      <c r="B3675" s="1" t="n">
        <v>45051</v>
      </c>
      <c r="C3675" s="1" t="n">
        <v>45952</v>
      </c>
      <c r="D3675" t="inlineStr">
        <is>
          <t>VÄSTRA GÖTALANDS LÄN</t>
        </is>
      </c>
      <c r="E3675" t="inlineStr">
        <is>
          <t>TÖREBODA</t>
        </is>
      </c>
      <c r="F3675" t="inlineStr">
        <is>
          <t>Sveaskog</t>
        </is>
      </c>
      <c r="G3675" t="n">
        <v>0.7</v>
      </c>
      <c r="H3675" t="n">
        <v>0</v>
      </c>
      <c r="I3675" t="n">
        <v>0</v>
      </c>
      <c r="J3675" t="n">
        <v>0</v>
      </c>
      <c r="K3675" t="n">
        <v>0</v>
      </c>
      <c r="L3675" t="n">
        <v>0</v>
      </c>
      <c r="M3675" t="n">
        <v>0</v>
      </c>
      <c r="N3675" t="n">
        <v>0</v>
      </c>
      <c r="O3675" t="n">
        <v>0</v>
      </c>
      <c r="P3675" t="n">
        <v>0</v>
      </c>
      <c r="Q3675" t="n">
        <v>0</v>
      </c>
      <c r="R3675" s="2" t="inlineStr"/>
    </row>
    <row r="3676" ht="15" customHeight="1">
      <c r="A3676" t="inlineStr">
        <is>
          <t>A 50783-2021</t>
        </is>
      </c>
      <c r="B3676" s="1" t="n">
        <v>44456</v>
      </c>
      <c r="C3676" s="1" t="n">
        <v>45952</v>
      </c>
      <c r="D3676" t="inlineStr">
        <is>
          <t>VÄSTRA GÖTALANDS LÄN</t>
        </is>
      </c>
      <c r="E3676" t="inlineStr">
        <is>
          <t>HJO</t>
        </is>
      </c>
      <c r="G3676" t="n">
        <v>1</v>
      </c>
      <c r="H3676" t="n">
        <v>0</v>
      </c>
      <c r="I3676" t="n">
        <v>0</v>
      </c>
      <c r="J3676" t="n">
        <v>0</v>
      </c>
      <c r="K3676" t="n">
        <v>0</v>
      </c>
      <c r="L3676" t="n">
        <v>0</v>
      </c>
      <c r="M3676" t="n">
        <v>0</v>
      </c>
      <c r="N3676" t="n">
        <v>0</v>
      </c>
      <c r="O3676" t="n">
        <v>0</v>
      </c>
      <c r="P3676" t="n">
        <v>0</v>
      </c>
      <c r="Q3676" t="n">
        <v>0</v>
      </c>
      <c r="R3676" s="2" t="inlineStr"/>
    </row>
    <row r="3677" ht="15" customHeight="1">
      <c r="A3677" t="inlineStr">
        <is>
          <t>A 33836-2021</t>
        </is>
      </c>
      <c r="B3677" s="1" t="n">
        <v>44378</v>
      </c>
      <c r="C3677" s="1" t="n">
        <v>45952</v>
      </c>
      <c r="D3677" t="inlineStr">
        <is>
          <t>VÄSTRA GÖTALANDS LÄN</t>
        </is>
      </c>
      <c r="E3677" t="inlineStr">
        <is>
          <t>VARA</t>
        </is>
      </c>
      <c r="G3677" t="n">
        <v>6.9</v>
      </c>
      <c r="H3677" t="n">
        <v>0</v>
      </c>
      <c r="I3677" t="n">
        <v>0</v>
      </c>
      <c r="J3677" t="n">
        <v>0</v>
      </c>
      <c r="K3677" t="n">
        <v>0</v>
      </c>
      <c r="L3677" t="n">
        <v>0</v>
      </c>
      <c r="M3677" t="n">
        <v>0</v>
      </c>
      <c r="N3677" t="n">
        <v>0</v>
      </c>
      <c r="O3677" t="n">
        <v>0</v>
      </c>
      <c r="P3677" t="n">
        <v>0</v>
      </c>
      <c r="Q3677" t="n">
        <v>0</v>
      </c>
      <c r="R3677" s="2" t="inlineStr"/>
    </row>
    <row r="3678" ht="15" customHeight="1">
      <c r="A3678" t="inlineStr">
        <is>
          <t>A 10897-2024</t>
        </is>
      </c>
      <c r="B3678" s="1" t="n">
        <v>45370.35207175926</v>
      </c>
      <c r="C3678" s="1" t="n">
        <v>45952</v>
      </c>
      <c r="D3678" t="inlineStr">
        <is>
          <t>VÄSTRA GÖTALANDS LÄN</t>
        </is>
      </c>
      <c r="E3678" t="inlineStr">
        <is>
          <t>SVENLJUNGA</t>
        </is>
      </c>
      <c r="G3678" t="n">
        <v>1</v>
      </c>
      <c r="H3678" t="n">
        <v>0</v>
      </c>
      <c r="I3678" t="n">
        <v>0</v>
      </c>
      <c r="J3678" t="n">
        <v>0</v>
      </c>
      <c r="K3678" t="n">
        <v>0</v>
      </c>
      <c r="L3678" t="n">
        <v>0</v>
      </c>
      <c r="M3678" t="n">
        <v>0</v>
      </c>
      <c r="N3678" t="n">
        <v>0</v>
      </c>
      <c r="O3678" t="n">
        <v>0</v>
      </c>
      <c r="P3678" t="n">
        <v>0</v>
      </c>
      <c r="Q3678" t="n">
        <v>0</v>
      </c>
      <c r="R3678" s="2" t="inlineStr"/>
    </row>
    <row r="3679" ht="15" customHeight="1">
      <c r="A3679" t="inlineStr">
        <is>
          <t>A 10906-2024</t>
        </is>
      </c>
      <c r="B3679" s="1" t="n">
        <v>45370.38039351852</v>
      </c>
      <c r="C3679" s="1" t="n">
        <v>45952</v>
      </c>
      <c r="D3679" t="inlineStr">
        <is>
          <t>VÄSTRA GÖTALANDS LÄN</t>
        </is>
      </c>
      <c r="E3679" t="inlineStr">
        <is>
          <t>SVENLJUNGA</t>
        </is>
      </c>
      <c r="G3679" t="n">
        <v>2</v>
      </c>
      <c r="H3679" t="n">
        <v>0</v>
      </c>
      <c r="I3679" t="n">
        <v>0</v>
      </c>
      <c r="J3679" t="n">
        <v>0</v>
      </c>
      <c r="K3679" t="n">
        <v>0</v>
      </c>
      <c r="L3679" t="n">
        <v>0</v>
      </c>
      <c r="M3679" t="n">
        <v>0</v>
      </c>
      <c r="N3679" t="n">
        <v>0</v>
      </c>
      <c r="O3679" t="n">
        <v>0</v>
      </c>
      <c r="P3679" t="n">
        <v>0</v>
      </c>
      <c r="Q3679" t="n">
        <v>0</v>
      </c>
      <c r="R3679" s="2" t="inlineStr"/>
    </row>
    <row r="3680" ht="15" customHeight="1">
      <c r="A3680" t="inlineStr">
        <is>
          <t>A 33117-2022</t>
        </is>
      </c>
      <c r="B3680" s="1" t="n">
        <v>44785.52291666667</v>
      </c>
      <c r="C3680" s="1" t="n">
        <v>45952</v>
      </c>
      <c r="D3680" t="inlineStr">
        <is>
          <t>VÄSTRA GÖTALANDS LÄN</t>
        </is>
      </c>
      <c r="E3680" t="inlineStr">
        <is>
          <t>KARLSBORG</t>
        </is>
      </c>
      <c r="F3680" t="inlineStr">
        <is>
          <t>Sveaskog</t>
        </is>
      </c>
      <c r="G3680" t="n">
        <v>2.5</v>
      </c>
      <c r="H3680" t="n">
        <v>0</v>
      </c>
      <c r="I3680" t="n">
        <v>0</v>
      </c>
      <c r="J3680" t="n">
        <v>0</v>
      </c>
      <c r="K3680" t="n">
        <v>0</v>
      </c>
      <c r="L3680" t="n">
        <v>0</v>
      </c>
      <c r="M3680" t="n">
        <v>0</v>
      </c>
      <c r="N3680" t="n">
        <v>0</v>
      </c>
      <c r="O3680" t="n">
        <v>0</v>
      </c>
      <c r="P3680" t="n">
        <v>0</v>
      </c>
      <c r="Q3680" t="n">
        <v>0</v>
      </c>
      <c r="R3680" s="2" t="inlineStr"/>
    </row>
    <row r="3681" ht="15" customHeight="1">
      <c r="A3681" t="inlineStr">
        <is>
          <t>A 10951-2024</t>
        </is>
      </c>
      <c r="B3681" s="1" t="n">
        <v>45370</v>
      </c>
      <c r="C3681" s="1" t="n">
        <v>45952</v>
      </c>
      <c r="D3681" t="inlineStr">
        <is>
          <t>VÄSTRA GÖTALANDS LÄN</t>
        </is>
      </c>
      <c r="E3681" t="inlineStr">
        <is>
          <t>ÅMÅL</t>
        </is>
      </c>
      <c r="G3681" t="n">
        <v>3.5</v>
      </c>
      <c r="H3681" t="n">
        <v>0</v>
      </c>
      <c r="I3681" t="n">
        <v>0</v>
      </c>
      <c r="J3681" t="n">
        <v>0</v>
      </c>
      <c r="K3681" t="n">
        <v>0</v>
      </c>
      <c r="L3681" t="n">
        <v>0</v>
      </c>
      <c r="M3681" t="n">
        <v>0</v>
      </c>
      <c r="N3681" t="n">
        <v>0</v>
      </c>
      <c r="O3681" t="n">
        <v>0</v>
      </c>
      <c r="P3681" t="n">
        <v>0</v>
      </c>
      <c r="Q3681" t="n">
        <v>0</v>
      </c>
      <c r="R3681" s="2" t="inlineStr"/>
    </row>
    <row r="3682" ht="15" customHeight="1">
      <c r="A3682" t="inlineStr">
        <is>
          <t>A 6872-2022</t>
        </is>
      </c>
      <c r="B3682" s="1" t="n">
        <v>44602.75136574074</v>
      </c>
      <c r="C3682" s="1" t="n">
        <v>45952</v>
      </c>
      <c r="D3682" t="inlineStr">
        <is>
          <t>VÄSTRA GÖTALANDS LÄN</t>
        </is>
      </c>
      <c r="E3682" t="inlineStr">
        <is>
          <t>TIBRO</t>
        </is>
      </c>
      <c r="G3682" t="n">
        <v>0.8</v>
      </c>
      <c r="H3682" t="n">
        <v>0</v>
      </c>
      <c r="I3682" t="n">
        <v>0</v>
      </c>
      <c r="J3682" t="n">
        <v>0</v>
      </c>
      <c r="K3682" t="n">
        <v>0</v>
      </c>
      <c r="L3682" t="n">
        <v>0</v>
      </c>
      <c r="M3682" t="n">
        <v>0</v>
      </c>
      <c r="N3682" t="n">
        <v>0</v>
      </c>
      <c r="O3682" t="n">
        <v>0</v>
      </c>
      <c r="P3682" t="n">
        <v>0</v>
      </c>
      <c r="Q3682" t="n">
        <v>0</v>
      </c>
      <c r="R3682" s="2" t="inlineStr"/>
    </row>
    <row r="3683" ht="15" customHeight="1">
      <c r="A3683" t="inlineStr">
        <is>
          <t>A 68152-2020</t>
        </is>
      </c>
      <c r="B3683" s="1" t="n">
        <v>44183</v>
      </c>
      <c r="C3683" s="1" t="n">
        <v>45952</v>
      </c>
      <c r="D3683" t="inlineStr">
        <is>
          <t>VÄSTRA GÖTALANDS LÄN</t>
        </is>
      </c>
      <c r="E3683" t="inlineStr">
        <is>
          <t>BORÅS</t>
        </is>
      </c>
      <c r="G3683" t="n">
        <v>2</v>
      </c>
      <c r="H3683" t="n">
        <v>0</v>
      </c>
      <c r="I3683" t="n">
        <v>0</v>
      </c>
      <c r="J3683" t="n">
        <v>0</v>
      </c>
      <c r="K3683" t="n">
        <v>0</v>
      </c>
      <c r="L3683" t="n">
        <v>0</v>
      </c>
      <c r="M3683" t="n">
        <v>0</v>
      </c>
      <c r="N3683" t="n">
        <v>0</v>
      </c>
      <c r="O3683" t="n">
        <v>0</v>
      </c>
      <c r="P3683" t="n">
        <v>0</v>
      </c>
      <c r="Q3683" t="n">
        <v>0</v>
      </c>
      <c r="R3683" s="2" t="inlineStr"/>
    </row>
    <row r="3684" ht="15" customHeight="1">
      <c r="A3684" t="inlineStr">
        <is>
          <t>A 66630-2020</t>
        </is>
      </c>
      <c r="B3684" s="1" t="n">
        <v>44179</v>
      </c>
      <c r="C3684" s="1" t="n">
        <v>45952</v>
      </c>
      <c r="D3684" t="inlineStr">
        <is>
          <t>VÄSTRA GÖTALANDS LÄN</t>
        </is>
      </c>
      <c r="E3684" t="inlineStr">
        <is>
          <t>ULRICEHAMN</t>
        </is>
      </c>
      <c r="G3684" t="n">
        <v>4.1</v>
      </c>
      <c r="H3684" t="n">
        <v>0</v>
      </c>
      <c r="I3684" t="n">
        <v>0</v>
      </c>
      <c r="J3684" t="n">
        <v>0</v>
      </c>
      <c r="K3684" t="n">
        <v>0</v>
      </c>
      <c r="L3684" t="n">
        <v>0</v>
      </c>
      <c r="M3684" t="n">
        <v>0</v>
      </c>
      <c r="N3684" t="n">
        <v>0</v>
      </c>
      <c r="O3684" t="n">
        <v>0</v>
      </c>
      <c r="P3684" t="n">
        <v>0</v>
      </c>
      <c r="Q3684" t="n">
        <v>0</v>
      </c>
      <c r="R3684" s="2" t="inlineStr"/>
    </row>
    <row r="3685" ht="15" customHeight="1">
      <c r="A3685" t="inlineStr">
        <is>
          <t>A 58633-2023</t>
        </is>
      </c>
      <c r="B3685" s="1" t="n">
        <v>45251.56759259259</v>
      </c>
      <c r="C3685" s="1" t="n">
        <v>45952</v>
      </c>
      <c r="D3685" t="inlineStr">
        <is>
          <t>VÄSTRA GÖTALANDS LÄN</t>
        </is>
      </c>
      <c r="E3685" t="inlineStr">
        <is>
          <t>TIBRO</t>
        </is>
      </c>
      <c r="G3685" t="n">
        <v>0.7</v>
      </c>
      <c r="H3685" t="n">
        <v>0</v>
      </c>
      <c r="I3685" t="n">
        <v>0</v>
      </c>
      <c r="J3685" t="n">
        <v>0</v>
      </c>
      <c r="K3685" t="n">
        <v>0</v>
      </c>
      <c r="L3685" t="n">
        <v>0</v>
      </c>
      <c r="M3685" t="n">
        <v>0</v>
      </c>
      <c r="N3685" t="n">
        <v>0</v>
      </c>
      <c r="O3685" t="n">
        <v>0</v>
      </c>
      <c r="P3685" t="n">
        <v>0</v>
      </c>
      <c r="Q3685" t="n">
        <v>0</v>
      </c>
      <c r="R3685" s="2" t="inlineStr"/>
    </row>
    <row r="3686" ht="15" customHeight="1">
      <c r="A3686" t="inlineStr">
        <is>
          <t>A 4521-2021</t>
        </is>
      </c>
      <c r="B3686" s="1" t="n">
        <v>44224</v>
      </c>
      <c r="C3686" s="1" t="n">
        <v>45952</v>
      </c>
      <c r="D3686" t="inlineStr">
        <is>
          <t>VÄSTRA GÖTALANDS LÄN</t>
        </is>
      </c>
      <c r="E3686" t="inlineStr">
        <is>
          <t>HJO</t>
        </is>
      </c>
      <c r="G3686" t="n">
        <v>2</v>
      </c>
      <c r="H3686" t="n">
        <v>0</v>
      </c>
      <c r="I3686" t="n">
        <v>0</v>
      </c>
      <c r="J3686" t="n">
        <v>0</v>
      </c>
      <c r="K3686" t="n">
        <v>0</v>
      </c>
      <c r="L3686" t="n">
        <v>0</v>
      </c>
      <c r="M3686" t="n">
        <v>0</v>
      </c>
      <c r="N3686" t="n">
        <v>0</v>
      </c>
      <c r="O3686" t="n">
        <v>0</v>
      </c>
      <c r="P3686" t="n">
        <v>0</v>
      </c>
      <c r="Q3686" t="n">
        <v>0</v>
      </c>
      <c r="R3686" s="2" t="inlineStr"/>
    </row>
    <row r="3687" ht="15" customHeight="1">
      <c r="A3687" t="inlineStr">
        <is>
          <t>A 35059-2023</t>
        </is>
      </c>
      <c r="B3687" s="1" t="n">
        <v>45142</v>
      </c>
      <c r="C3687" s="1" t="n">
        <v>45952</v>
      </c>
      <c r="D3687" t="inlineStr">
        <is>
          <t>VÄSTRA GÖTALANDS LÄN</t>
        </is>
      </c>
      <c r="E3687" t="inlineStr">
        <is>
          <t>VARA</t>
        </is>
      </c>
      <c r="G3687" t="n">
        <v>2</v>
      </c>
      <c r="H3687" t="n">
        <v>0</v>
      </c>
      <c r="I3687" t="n">
        <v>0</v>
      </c>
      <c r="J3687" t="n">
        <v>0</v>
      </c>
      <c r="K3687" t="n">
        <v>0</v>
      </c>
      <c r="L3687" t="n">
        <v>0</v>
      </c>
      <c r="M3687" t="n">
        <v>0</v>
      </c>
      <c r="N3687" t="n">
        <v>0</v>
      </c>
      <c r="O3687" t="n">
        <v>0</v>
      </c>
      <c r="P3687" t="n">
        <v>0</v>
      </c>
      <c r="Q3687" t="n">
        <v>0</v>
      </c>
      <c r="R3687" s="2" t="inlineStr"/>
    </row>
    <row r="3688" ht="15" customHeight="1">
      <c r="A3688" t="inlineStr">
        <is>
          <t>A 60653-2020</t>
        </is>
      </c>
      <c r="B3688" s="1" t="n">
        <v>44153</v>
      </c>
      <c r="C3688" s="1" t="n">
        <v>45952</v>
      </c>
      <c r="D3688" t="inlineStr">
        <is>
          <t>VÄSTRA GÖTALANDS LÄN</t>
        </is>
      </c>
      <c r="E3688" t="inlineStr">
        <is>
          <t>LERUM</t>
        </is>
      </c>
      <c r="G3688" t="n">
        <v>1.2</v>
      </c>
      <c r="H3688" t="n">
        <v>0</v>
      </c>
      <c r="I3688" t="n">
        <v>0</v>
      </c>
      <c r="J3688" t="n">
        <v>0</v>
      </c>
      <c r="K3688" t="n">
        <v>0</v>
      </c>
      <c r="L3688" t="n">
        <v>0</v>
      </c>
      <c r="M3688" t="n">
        <v>0</v>
      </c>
      <c r="N3688" t="n">
        <v>0</v>
      </c>
      <c r="O3688" t="n">
        <v>0</v>
      </c>
      <c r="P3688" t="n">
        <v>0</v>
      </c>
      <c r="Q3688" t="n">
        <v>0</v>
      </c>
      <c r="R3688" s="2" t="inlineStr"/>
    </row>
    <row r="3689" ht="15" customHeight="1">
      <c r="A3689" t="inlineStr">
        <is>
          <t>A 45062-2021</t>
        </is>
      </c>
      <c r="B3689" s="1" t="n">
        <v>44439.35600694444</v>
      </c>
      <c r="C3689" s="1" t="n">
        <v>45952</v>
      </c>
      <c r="D3689" t="inlineStr">
        <is>
          <t>VÄSTRA GÖTALANDS LÄN</t>
        </is>
      </c>
      <c r="E3689" t="inlineStr">
        <is>
          <t>GULLSPÅNG</t>
        </is>
      </c>
      <c r="G3689" t="n">
        <v>2</v>
      </c>
      <c r="H3689" t="n">
        <v>0</v>
      </c>
      <c r="I3689" t="n">
        <v>0</v>
      </c>
      <c r="J3689" t="n">
        <v>0</v>
      </c>
      <c r="K3689" t="n">
        <v>0</v>
      </c>
      <c r="L3689" t="n">
        <v>0</v>
      </c>
      <c r="M3689" t="n">
        <v>0</v>
      </c>
      <c r="N3689" t="n">
        <v>0</v>
      </c>
      <c r="O3689" t="n">
        <v>0</v>
      </c>
      <c r="P3689" t="n">
        <v>0</v>
      </c>
      <c r="Q3689" t="n">
        <v>0</v>
      </c>
      <c r="R3689" s="2" t="inlineStr"/>
    </row>
    <row r="3690" ht="15" customHeight="1">
      <c r="A3690" t="inlineStr">
        <is>
          <t>A 27452-2023</t>
        </is>
      </c>
      <c r="B3690" s="1" t="n">
        <v>45097.4265162037</v>
      </c>
      <c r="C3690" s="1" t="n">
        <v>45952</v>
      </c>
      <c r="D3690" t="inlineStr">
        <is>
          <t>VÄSTRA GÖTALANDS LÄN</t>
        </is>
      </c>
      <c r="E3690" t="inlineStr">
        <is>
          <t>MARIESTAD</t>
        </is>
      </c>
      <c r="F3690" t="inlineStr">
        <is>
          <t>Sveaskog</t>
        </is>
      </c>
      <c r="G3690" t="n">
        <v>1.2</v>
      </c>
      <c r="H3690" t="n">
        <v>0</v>
      </c>
      <c r="I3690" t="n">
        <v>0</v>
      </c>
      <c r="J3690" t="n">
        <v>0</v>
      </c>
      <c r="K3690" t="n">
        <v>0</v>
      </c>
      <c r="L3690" t="n">
        <v>0</v>
      </c>
      <c r="M3690" t="n">
        <v>0</v>
      </c>
      <c r="N3690" t="n">
        <v>0</v>
      </c>
      <c r="O3690" t="n">
        <v>0</v>
      </c>
      <c r="P3690" t="n">
        <v>0</v>
      </c>
      <c r="Q3690" t="n">
        <v>0</v>
      </c>
      <c r="R3690" s="2" t="inlineStr"/>
    </row>
    <row r="3691" ht="15" customHeight="1">
      <c r="A3691" t="inlineStr">
        <is>
          <t>A 44534-2023</t>
        </is>
      </c>
      <c r="B3691" s="1" t="n">
        <v>45189.49895833333</v>
      </c>
      <c r="C3691" s="1" t="n">
        <v>45952</v>
      </c>
      <c r="D3691" t="inlineStr">
        <is>
          <t>VÄSTRA GÖTALANDS LÄN</t>
        </is>
      </c>
      <c r="E3691" t="inlineStr">
        <is>
          <t>TRANEMO</t>
        </is>
      </c>
      <c r="G3691" t="n">
        <v>4.7</v>
      </c>
      <c r="H3691" t="n">
        <v>0</v>
      </c>
      <c r="I3691" t="n">
        <v>0</v>
      </c>
      <c r="J3691" t="n">
        <v>0</v>
      </c>
      <c r="K3691" t="n">
        <v>0</v>
      </c>
      <c r="L3691" t="n">
        <v>0</v>
      </c>
      <c r="M3691" t="n">
        <v>0</v>
      </c>
      <c r="N3691" t="n">
        <v>0</v>
      </c>
      <c r="O3691" t="n">
        <v>0</v>
      </c>
      <c r="P3691" t="n">
        <v>0</v>
      </c>
      <c r="Q3691" t="n">
        <v>0</v>
      </c>
      <c r="R3691" s="2" t="inlineStr"/>
    </row>
    <row r="3692" ht="15" customHeight="1">
      <c r="A3692" t="inlineStr">
        <is>
          <t>A 43934-2022</t>
        </is>
      </c>
      <c r="B3692" s="1" t="n">
        <v>44838.56086805555</v>
      </c>
      <c r="C3692" s="1" t="n">
        <v>45952</v>
      </c>
      <c r="D3692" t="inlineStr">
        <is>
          <t>VÄSTRA GÖTALANDS LÄN</t>
        </is>
      </c>
      <c r="E3692" t="inlineStr">
        <is>
          <t>HERRLJUNGA</t>
        </is>
      </c>
      <c r="G3692" t="n">
        <v>3</v>
      </c>
      <c r="H3692" t="n">
        <v>0</v>
      </c>
      <c r="I3692" t="n">
        <v>0</v>
      </c>
      <c r="J3692" t="n">
        <v>0</v>
      </c>
      <c r="K3692" t="n">
        <v>0</v>
      </c>
      <c r="L3692" t="n">
        <v>0</v>
      </c>
      <c r="M3692" t="n">
        <v>0</v>
      </c>
      <c r="N3692" t="n">
        <v>0</v>
      </c>
      <c r="O3692" t="n">
        <v>0</v>
      </c>
      <c r="P3692" t="n">
        <v>0</v>
      </c>
      <c r="Q3692" t="n">
        <v>0</v>
      </c>
      <c r="R3692" s="2" t="inlineStr"/>
    </row>
    <row r="3693" ht="15" customHeight="1">
      <c r="A3693" t="inlineStr">
        <is>
          <t>A 47570-2024</t>
        </is>
      </c>
      <c r="B3693" s="1" t="n">
        <v>45587.70663194444</v>
      </c>
      <c r="C3693" s="1" t="n">
        <v>45952</v>
      </c>
      <c r="D3693" t="inlineStr">
        <is>
          <t>VÄSTRA GÖTALANDS LÄN</t>
        </is>
      </c>
      <c r="E3693" t="inlineStr">
        <is>
          <t>HERRLJUNGA</t>
        </is>
      </c>
      <c r="F3693" t="inlineStr">
        <is>
          <t>Kyrkan</t>
        </is>
      </c>
      <c r="G3693" t="n">
        <v>5.9</v>
      </c>
      <c r="H3693" t="n">
        <v>0</v>
      </c>
      <c r="I3693" t="n">
        <v>0</v>
      </c>
      <c r="J3693" t="n">
        <v>0</v>
      </c>
      <c r="K3693" t="n">
        <v>0</v>
      </c>
      <c r="L3693" t="n">
        <v>0</v>
      </c>
      <c r="M3693" t="n">
        <v>0</v>
      </c>
      <c r="N3693" t="n">
        <v>0</v>
      </c>
      <c r="O3693" t="n">
        <v>0</v>
      </c>
      <c r="P3693" t="n">
        <v>0</v>
      </c>
      <c r="Q3693" t="n">
        <v>0</v>
      </c>
      <c r="R3693" s="2" t="inlineStr"/>
    </row>
    <row r="3694" ht="15" customHeight="1">
      <c r="A3694" t="inlineStr">
        <is>
          <t>A 32384-2023</t>
        </is>
      </c>
      <c r="B3694" s="1" t="n">
        <v>45120.61326388889</v>
      </c>
      <c r="C3694" s="1" t="n">
        <v>45952</v>
      </c>
      <c r="D3694" t="inlineStr">
        <is>
          <t>VÄSTRA GÖTALANDS LÄN</t>
        </is>
      </c>
      <c r="E3694" t="inlineStr">
        <is>
          <t>MELLERUD</t>
        </is>
      </c>
      <c r="G3694" t="n">
        <v>1.1</v>
      </c>
      <c r="H3694" t="n">
        <v>0</v>
      </c>
      <c r="I3694" t="n">
        <v>0</v>
      </c>
      <c r="J3694" t="n">
        <v>0</v>
      </c>
      <c r="K3694" t="n">
        <v>0</v>
      </c>
      <c r="L3694" t="n">
        <v>0</v>
      </c>
      <c r="M3694" t="n">
        <v>0</v>
      </c>
      <c r="N3694" t="n">
        <v>0</v>
      </c>
      <c r="O3694" t="n">
        <v>0</v>
      </c>
      <c r="P3694" t="n">
        <v>0</v>
      </c>
      <c r="Q3694" t="n">
        <v>0</v>
      </c>
      <c r="R3694" s="2" t="inlineStr"/>
    </row>
    <row r="3695" ht="15" customHeight="1">
      <c r="A3695" t="inlineStr">
        <is>
          <t>A 47576-2024</t>
        </is>
      </c>
      <c r="B3695" s="1" t="n">
        <v>45587.74337962963</v>
      </c>
      <c r="C3695" s="1" t="n">
        <v>45952</v>
      </c>
      <c r="D3695" t="inlineStr">
        <is>
          <t>VÄSTRA GÖTALANDS LÄN</t>
        </is>
      </c>
      <c r="E3695" t="inlineStr">
        <is>
          <t>HERRLJUNGA</t>
        </is>
      </c>
      <c r="F3695" t="inlineStr">
        <is>
          <t>Kyrkan</t>
        </is>
      </c>
      <c r="G3695" t="n">
        <v>1.2</v>
      </c>
      <c r="H3695" t="n">
        <v>0</v>
      </c>
      <c r="I3695" t="n">
        <v>0</v>
      </c>
      <c r="J3695" t="n">
        <v>0</v>
      </c>
      <c r="K3695" t="n">
        <v>0</v>
      </c>
      <c r="L3695" t="n">
        <v>0</v>
      </c>
      <c r="M3695" t="n">
        <v>0</v>
      </c>
      <c r="N3695" t="n">
        <v>0</v>
      </c>
      <c r="O3695" t="n">
        <v>0</v>
      </c>
      <c r="P3695" t="n">
        <v>0</v>
      </c>
      <c r="Q3695" t="n">
        <v>0</v>
      </c>
      <c r="R3695" s="2" t="inlineStr"/>
    </row>
    <row r="3696" ht="15" customHeight="1">
      <c r="A3696" t="inlineStr">
        <is>
          <t>A 37938-2023</t>
        </is>
      </c>
      <c r="B3696" s="1" t="n">
        <v>45160.54067129629</v>
      </c>
      <c r="C3696" s="1" t="n">
        <v>45952</v>
      </c>
      <c r="D3696" t="inlineStr">
        <is>
          <t>VÄSTRA GÖTALANDS LÄN</t>
        </is>
      </c>
      <c r="E3696" t="inlineStr">
        <is>
          <t>SVENLJUNGA</t>
        </is>
      </c>
      <c r="G3696" t="n">
        <v>0.9</v>
      </c>
      <c r="H3696" t="n">
        <v>0</v>
      </c>
      <c r="I3696" t="n">
        <v>0</v>
      </c>
      <c r="J3696" t="n">
        <v>0</v>
      </c>
      <c r="K3696" t="n">
        <v>0</v>
      </c>
      <c r="L3696" t="n">
        <v>0</v>
      </c>
      <c r="M3696" t="n">
        <v>0</v>
      </c>
      <c r="N3696" t="n">
        <v>0</v>
      </c>
      <c r="O3696" t="n">
        <v>0</v>
      </c>
      <c r="P3696" t="n">
        <v>0</v>
      </c>
      <c r="Q3696" t="n">
        <v>0</v>
      </c>
      <c r="R3696" s="2" t="inlineStr"/>
    </row>
    <row r="3697" ht="15" customHeight="1">
      <c r="A3697" t="inlineStr">
        <is>
          <t>A 37940-2023</t>
        </is>
      </c>
      <c r="B3697" s="1" t="n">
        <v>45160</v>
      </c>
      <c r="C3697" s="1" t="n">
        <v>45952</v>
      </c>
      <c r="D3697" t="inlineStr">
        <is>
          <t>VÄSTRA GÖTALANDS LÄN</t>
        </is>
      </c>
      <c r="E3697" t="inlineStr">
        <is>
          <t>SVENLJUNGA</t>
        </is>
      </c>
      <c r="G3697" t="n">
        <v>0.4</v>
      </c>
      <c r="H3697" t="n">
        <v>0</v>
      </c>
      <c r="I3697" t="n">
        <v>0</v>
      </c>
      <c r="J3697" t="n">
        <v>0</v>
      </c>
      <c r="K3697" t="n">
        <v>0</v>
      </c>
      <c r="L3697" t="n">
        <v>0</v>
      </c>
      <c r="M3697" t="n">
        <v>0</v>
      </c>
      <c r="N3697" t="n">
        <v>0</v>
      </c>
      <c r="O3697" t="n">
        <v>0</v>
      </c>
      <c r="P3697" t="n">
        <v>0</v>
      </c>
      <c r="Q3697" t="n">
        <v>0</v>
      </c>
      <c r="R3697" s="2" t="inlineStr"/>
    </row>
    <row r="3698" ht="15" customHeight="1">
      <c r="A3698" t="inlineStr">
        <is>
          <t>A 2917-2023</t>
        </is>
      </c>
      <c r="B3698" s="1" t="n">
        <v>44943</v>
      </c>
      <c r="C3698" s="1" t="n">
        <v>45952</v>
      </c>
      <c r="D3698" t="inlineStr">
        <is>
          <t>VÄSTRA GÖTALANDS LÄN</t>
        </is>
      </c>
      <c r="E3698" t="inlineStr">
        <is>
          <t>VÅRGÅRDA</t>
        </is>
      </c>
      <c r="G3698" t="n">
        <v>2.2</v>
      </c>
      <c r="H3698" t="n">
        <v>0</v>
      </c>
      <c r="I3698" t="n">
        <v>0</v>
      </c>
      <c r="J3698" t="n">
        <v>0</v>
      </c>
      <c r="K3698" t="n">
        <v>0</v>
      </c>
      <c r="L3698" t="n">
        <v>0</v>
      </c>
      <c r="M3698" t="n">
        <v>0</v>
      </c>
      <c r="N3698" t="n">
        <v>0</v>
      </c>
      <c r="O3698" t="n">
        <v>0</v>
      </c>
      <c r="P3698" t="n">
        <v>0</v>
      </c>
      <c r="Q3698" t="n">
        <v>0</v>
      </c>
      <c r="R3698" s="2" t="inlineStr"/>
    </row>
    <row r="3699" ht="15" customHeight="1">
      <c r="A3699" t="inlineStr">
        <is>
          <t>A 40043-2023</t>
        </is>
      </c>
      <c r="B3699" s="1" t="n">
        <v>45168.68554398148</v>
      </c>
      <c r="C3699" s="1" t="n">
        <v>45952</v>
      </c>
      <c r="D3699" t="inlineStr">
        <is>
          <t>VÄSTRA GÖTALANDS LÄN</t>
        </is>
      </c>
      <c r="E3699" t="inlineStr">
        <is>
          <t>TANUM</t>
        </is>
      </c>
      <c r="G3699" t="n">
        <v>3.2</v>
      </c>
      <c r="H3699" t="n">
        <v>0</v>
      </c>
      <c r="I3699" t="n">
        <v>0</v>
      </c>
      <c r="J3699" t="n">
        <v>0</v>
      </c>
      <c r="K3699" t="n">
        <v>0</v>
      </c>
      <c r="L3699" t="n">
        <v>0</v>
      </c>
      <c r="M3699" t="n">
        <v>0</v>
      </c>
      <c r="N3699" t="n">
        <v>0</v>
      </c>
      <c r="O3699" t="n">
        <v>0</v>
      </c>
      <c r="P3699" t="n">
        <v>0</v>
      </c>
      <c r="Q3699" t="n">
        <v>0</v>
      </c>
      <c r="R3699" s="2" t="inlineStr"/>
    </row>
    <row r="3700" ht="15" customHeight="1">
      <c r="A3700" t="inlineStr">
        <is>
          <t>A 9736-2024</t>
        </is>
      </c>
      <c r="B3700" s="1" t="n">
        <v>45362</v>
      </c>
      <c r="C3700" s="1" t="n">
        <v>45952</v>
      </c>
      <c r="D3700" t="inlineStr">
        <is>
          <t>VÄSTRA GÖTALANDS LÄN</t>
        </is>
      </c>
      <c r="E3700" t="inlineStr">
        <is>
          <t>FÄRGELANDA</t>
        </is>
      </c>
      <c r="G3700" t="n">
        <v>0.3</v>
      </c>
      <c r="H3700" t="n">
        <v>0</v>
      </c>
      <c r="I3700" t="n">
        <v>0</v>
      </c>
      <c r="J3700" t="n">
        <v>0</v>
      </c>
      <c r="K3700" t="n">
        <v>0</v>
      </c>
      <c r="L3700" t="n">
        <v>0</v>
      </c>
      <c r="M3700" t="n">
        <v>0</v>
      </c>
      <c r="N3700" t="n">
        <v>0</v>
      </c>
      <c r="O3700" t="n">
        <v>0</v>
      </c>
      <c r="P3700" t="n">
        <v>0</v>
      </c>
      <c r="Q3700" t="n">
        <v>0</v>
      </c>
      <c r="R3700" s="2" t="inlineStr"/>
    </row>
    <row r="3701" ht="15" customHeight="1">
      <c r="A3701" t="inlineStr">
        <is>
          <t>A 9746-2024</t>
        </is>
      </c>
      <c r="B3701" s="1" t="n">
        <v>45362.60065972222</v>
      </c>
      <c r="C3701" s="1" t="n">
        <v>45952</v>
      </c>
      <c r="D3701" t="inlineStr">
        <is>
          <t>VÄSTRA GÖTALANDS LÄN</t>
        </is>
      </c>
      <c r="E3701" t="inlineStr">
        <is>
          <t>TRANEMO</t>
        </is>
      </c>
      <c r="G3701" t="n">
        <v>2</v>
      </c>
      <c r="H3701" t="n">
        <v>0</v>
      </c>
      <c r="I3701" t="n">
        <v>0</v>
      </c>
      <c r="J3701" t="n">
        <v>0</v>
      </c>
      <c r="K3701" t="n">
        <v>0</v>
      </c>
      <c r="L3701" t="n">
        <v>0</v>
      </c>
      <c r="M3701" t="n">
        <v>0</v>
      </c>
      <c r="N3701" t="n">
        <v>0</v>
      </c>
      <c r="O3701" t="n">
        <v>0</v>
      </c>
      <c r="P3701" t="n">
        <v>0</v>
      </c>
      <c r="Q3701" t="n">
        <v>0</v>
      </c>
      <c r="R3701" s="2" t="inlineStr"/>
    </row>
    <row r="3702" ht="15" customHeight="1">
      <c r="A3702" t="inlineStr">
        <is>
          <t>A 9751-2024</t>
        </is>
      </c>
      <c r="B3702" s="1" t="n">
        <v>45362.61083333333</v>
      </c>
      <c r="C3702" s="1" t="n">
        <v>45952</v>
      </c>
      <c r="D3702" t="inlineStr">
        <is>
          <t>VÄSTRA GÖTALANDS LÄN</t>
        </is>
      </c>
      <c r="E3702" t="inlineStr">
        <is>
          <t>ULRICEHAMN</t>
        </is>
      </c>
      <c r="F3702" t="inlineStr">
        <is>
          <t>Sveaskog</t>
        </is>
      </c>
      <c r="G3702" t="n">
        <v>0.8</v>
      </c>
      <c r="H3702" t="n">
        <v>0</v>
      </c>
      <c r="I3702" t="n">
        <v>0</v>
      </c>
      <c r="J3702" t="n">
        <v>0</v>
      </c>
      <c r="K3702" t="n">
        <v>0</v>
      </c>
      <c r="L3702" t="n">
        <v>0</v>
      </c>
      <c r="M3702" t="n">
        <v>0</v>
      </c>
      <c r="N3702" t="n">
        <v>0</v>
      </c>
      <c r="O3702" t="n">
        <v>0</v>
      </c>
      <c r="P3702" t="n">
        <v>0</v>
      </c>
      <c r="Q3702" t="n">
        <v>0</v>
      </c>
      <c r="R3702" s="2" t="inlineStr"/>
    </row>
    <row r="3703" ht="15" customHeight="1">
      <c r="A3703" t="inlineStr">
        <is>
          <t>A 38407-2023</t>
        </is>
      </c>
      <c r="B3703" s="1" t="n">
        <v>45162</v>
      </c>
      <c r="C3703" s="1" t="n">
        <v>45952</v>
      </c>
      <c r="D3703" t="inlineStr">
        <is>
          <t>VÄSTRA GÖTALANDS LÄN</t>
        </is>
      </c>
      <c r="E3703" t="inlineStr">
        <is>
          <t>DALS-ED</t>
        </is>
      </c>
      <c r="G3703" t="n">
        <v>10.8</v>
      </c>
      <c r="H3703" t="n">
        <v>0</v>
      </c>
      <c r="I3703" t="n">
        <v>0</v>
      </c>
      <c r="J3703" t="n">
        <v>0</v>
      </c>
      <c r="K3703" t="n">
        <v>0</v>
      </c>
      <c r="L3703" t="n">
        <v>0</v>
      </c>
      <c r="M3703" t="n">
        <v>0</v>
      </c>
      <c r="N3703" t="n">
        <v>0</v>
      </c>
      <c r="O3703" t="n">
        <v>0</v>
      </c>
      <c r="P3703" t="n">
        <v>0</v>
      </c>
      <c r="Q3703" t="n">
        <v>0</v>
      </c>
      <c r="R3703" s="2" t="inlineStr"/>
    </row>
    <row r="3704" ht="15" customHeight="1">
      <c r="A3704" t="inlineStr">
        <is>
          <t>A 6716-2021</t>
        </is>
      </c>
      <c r="B3704" s="1" t="n">
        <v>44236</v>
      </c>
      <c r="C3704" s="1" t="n">
        <v>45952</v>
      </c>
      <c r="D3704" t="inlineStr">
        <is>
          <t>VÄSTRA GÖTALANDS LÄN</t>
        </is>
      </c>
      <c r="E3704" t="inlineStr">
        <is>
          <t>VARA</t>
        </is>
      </c>
      <c r="G3704" t="n">
        <v>2.9</v>
      </c>
      <c r="H3704" t="n">
        <v>0</v>
      </c>
      <c r="I3704" t="n">
        <v>0</v>
      </c>
      <c r="J3704" t="n">
        <v>0</v>
      </c>
      <c r="K3704" t="n">
        <v>0</v>
      </c>
      <c r="L3704" t="n">
        <v>0</v>
      </c>
      <c r="M3704" t="n">
        <v>0</v>
      </c>
      <c r="N3704" t="n">
        <v>0</v>
      </c>
      <c r="O3704" t="n">
        <v>0</v>
      </c>
      <c r="P3704" t="n">
        <v>0</v>
      </c>
      <c r="Q3704" t="n">
        <v>0</v>
      </c>
      <c r="R3704" s="2" t="inlineStr"/>
    </row>
    <row r="3705" ht="15" customHeight="1">
      <c r="A3705" t="inlineStr">
        <is>
          <t>A 57482-2020</t>
        </is>
      </c>
      <c r="B3705" s="1" t="n">
        <v>44140.47126157407</v>
      </c>
      <c r="C3705" s="1" t="n">
        <v>45952</v>
      </c>
      <c r="D3705" t="inlineStr">
        <is>
          <t>VÄSTRA GÖTALANDS LÄN</t>
        </is>
      </c>
      <c r="E3705" t="inlineStr">
        <is>
          <t>LIDKÖPING</t>
        </is>
      </c>
      <c r="G3705" t="n">
        <v>2.9</v>
      </c>
      <c r="H3705" t="n">
        <v>0</v>
      </c>
      <c r="I3705" t="n">
        <v>0</v>
      </c>
      <c r="J3705" t="n">
        <v>0</v>
      </c>
      <c r="K3705" t="n">
        <v>0</v>
      </c>
      <c r="L3705" t="n">
        <v>0</v>
      </c>
      <c r="M3705" t="n">
        <v>0</v>
      </c>
      <c r="N3705" t="n">
        <v>0</v>
      </c>
      <c r="O3705" t="n">
        <v>0</v>
      </c>
      <c r="P3705" t="n">
        <v>0</v>
      </c>
      <c r="Q3705" t="n">
        <v>0</v>
      </c>
      <c r="R3705" s="2" t="inlineStr"/>
    </row>
    <row r="3706" ht="15" customHeight="1">
      <c r="A3706" t="inlineStr">
        <is>
          <t>A 178-2024</t>
        </is>
      </c>
      <c r="B3706" s="1" t="n">
        <v>45294</v>
      </c>
      <c r="C3706" s="1" t="n">
        <v>45952</v>
      </c>
      <c r="D3706" t="inlineStr">
        <is>
          <t>VÄSTRA GÖTALANDS LÄN</t>
        </is>
      </c>
      <c r="E3706" t="inlineStr">
        <is>
          <t>BORÅS</t>
        </is>
      </c>
      <c r="G3706" t="n">
        <v>2.2</v>
      </c>
      <c r="H3706" t="n">
        <v>0</v>
      </c>
      <c r="I3706" t="n">
        <v>0</v>
      </c>
      <c r="J3706" t="n">
        <v>0</v>
      </c>
      <c r="K3706" t="n">
        <v>0</v>
      </c>
      <c r="L3706" t="n">
        <v>0</v>
      </c>
      <c r="M3706" t="n">
        <v>0</v>
      </c>
      <c r="N3706" t="n">
        <v>0</v>
      </c>
      <c r="O3706" t="n">
        <v>0</v>
      </c>
      <c r="P3706" t="n">
        <v>0</v>
      </c>
      <c r="Q3706" t="n">
        <v>0</v>
      </c>
      <c r="R3706" s="2" t="inlineStr"/>
    </row>
    <row r="3707" ht="15" customHeight="1">
      <c r="A3707" t="inlineStr">
        <is>
          <t>A 197-2024</t>
        </is>
      </c>
      <c r="B3707" s="1" t="n">
        <v>45294</v>
      </c>
      <c r="C3707" s="1" t="n">
        <v>45952</v>
      </c>
      <c r="D3707" t="inlineStr">
        <is>
          <t>VÄSTRA GÖTALANDS LÄN</t>
        </is>
      </c>
      <c r="E3707" t="inlineStr">
        <is>
          <t>BORÅS</t>
        </is>
      </c>
      <c r="G3707" t="n">
        <v>1.3</v>
      </c>
      <c r="H3707" t="n">
        <v>0</v>
      </c>
      <c r="I3707" t="n">
        <v>0</v>
      </c>
      <c r="J3707" t="n">
        <v>0</v>
      </c>
      <c r="K3707" t="n">
        <v>0</v>
      </c>
      <c r="L3707" t="n">
        <v>0</v>
      </c>
      <c r="M3707" t="n">
        <v>0</v>
      </c>
      <c r="N3707" t="n">
        <v>0</v>
      </c>
      <c r="O3707" t="n">
        <v>0</v>
      </c>
      <c r="P3707" t="n">
        <v>0</v>
      </c>
      <c r="Q3707" t="n">
        <v>0</v>
      </c>
      <c r="R3707" s="2" t="inlineStr"/>
    </row>
    <row r="3708" ht="15" customHeight="1">
      <c r="A3708" t="inlineStr">
        <is>
          <t>A 38955-2022</t>
        </is>
      </c>
      <c r="B3708" s="1" t="n">
        <v>44816.71021990741</v>
      </c>
      <c r="C3708" s="1" t="n">
        <v>45952</v>
      </c>
      <c r="D3708" t="inlineStr">
        <is>
          <t>VÄSTRA GÖTALANDS LÄN</t>
        </is>
      </c>
      <c r="E3708" t="inlineStr">
        <is>
          <t>ALINGSÅS</t>
        </is>
      </c>
      <c r="G3708" t="n">
        <v>5.2</v>
      </c>
      <c r="H3708" t="n">
        <v>0</v>
      </c>
      <c r="I3708" t="n">
        <v>0</v>
      </c>
      <c r="J3708" t="n">
        <v>0</v>
      </c>
      <c r="K3708" t="n">
        <v>0</v>
      </c>
      <c r="L3708" t="n">
        <v>0</v>
      </c>
      <c r="M3708" t="n">
        <v>0</v>
      </c>
      <c r="N3708" t="n">
        <v>0</v>
      </c>
      <c r="O3708" t="n">
        <v>0</v>
      </c>
      <c r="P3708" t="n">
        <v>0</v>
      </c>
      <c r="Q3708" t="n">
        <v>0</v>
      </c>
      <c r="R3708" s="2" t="inlineStr"/>
    </row>
    <row r="3709" ht="15" customHeight="1">
      <c r="A3709" t="inlineStr">
        <is>
          <t>A 42823-2023</t>
        </is>
      </c>
      <c r="B3709" s="1" t="n">
        <v>45182.36677083333</v>
      </c>
      <c r="C3709" s="1" t="n">
        <v>45952</v>
      </c>
      <c r="D3709" t="inlineStr">
        <is>
          <t>VÄSTRA GÖTALANDS LÄN</t>
        </is>
      </c>
      <c r="E3709" t="inlineStr">
        <is>
          <t>DALS-ED</t>
        </is>
      </c>
      <c r="G3709" t="n">
        <v>1.8</v>
      </c>
      <c r="H3709" t="n">
        <v>0</v>
      </c>
      <c r="I3709" t="n">
        <v>0</v>
      </c>
      <c r="J3709" t="n">
        <v>0</v>
      </c>
      <c r="K3709" t="n">
        <v>0</v>
      </c>
      <c r="L3709" t="n">
        <v>0</v>
      </c>
      <c r="M3709" t="n">
        <v>0</v>
      </c>
      <c r="N3709" t="n">
        <v>0</v>
      </c>
      <c r="O3709" t="n">
        <v>0</v>
      </c>
      <c r="P3709" t="n">
        <v>0</v>
      </c>
      <c r="Q3709" t="n">
        <v>0</v>
      </c>
      <c r="R3709" s="2" t="inlineStr"/>
    </row>
    <row r="3710" ht="15" customHeight="1">
      <c r="A3710" t="inlineStr">
        <is>
          <t>A 28588-2024</t>
        </is>
      </c>
      <c r="B3710" s="1" t="n">
        <v>45478.41396990741</v>
      </c>
      <c r="C3710" s="1" t="n">
        <v>45952</v>
      </c>
      <c r="D3710" t="inlineStr">
        <is>
          <t>VÄSTRA GÖTALANDS LÄN</t>
        </is>
      </c>
      <c r="E3710" t="inlineStr">
        <is>
          <t>DALS-ED</t>
        </is>
      </c>
      <c r="G3710" t="n">
        <v>5.1</v>
      </c>
      <c r="H3710" t="n">
        <v>0</v>
      </c>
      <c r="I3710" t="n">
        <v>0</v>
      </c>
      <c r="J3710" t="n">
        <v>0</v>
      </c>
      <c r="K3710" t="n">
        <v>0</v>
      </c>
      <c r="L3710" t="n">
        <v>0</v>
      </c>
      <c r="M3710" t="n">
        <v>0</v>
      </c>
      <c r="N3710" t="n">
        <v>0</v>
      </c>
      <c r="O3710" t="n">
        <v>0</v>
      </c>
      <c r="P3710" t="n">
        <v>0</v>
      </c>
      <c r="Q3710" t="n">
        <v>0</v>
      </c>
      <c r="R3710" s="2" t="inlineStr"/>
    </row>
    <row r="3711" ht="15" customHeight="1">
      <c r="A3711" t="inlineStr">
        <is>
          <t>A 57083-2022</t>
        </is>
      </c>
      <c r="B3711" s="1" t="n">
        <v>44895.45375</v>
      </c>
      <c r="C3711" s="1" t="n">
        <v>45952</v>
      </c>
      <c r="D3711" t="inlineStr">
        <is>
          <t>VÄSTRA GÖTALANDS LÄN</t>
        </is>
      </c>
      <c r="E3711" t="inlineStr">
        <is>
          <t>LERUM</t>
        </is>
      </c>
      <c r="G3711" t="n">
        <v>1.2</v>
      </c>
      <c r="H3711" t="n">
        <v>0</v>
      </c>
      <c r="I3711" t="n">
        <v>0</v>
      </c>
      <c r="J3711" t="n">
        <v>0</v>
      </c>
      <c r="K3711" t="n">
        <v>0</v>
      </c>
      <c r="L3711" t="n">
        <v>0</v>
      </c>
      <c r="M3711" t="n">
        <v>0</v>
      </c>
      <c r="N3711" t="n">
        <v>0</v>
      </c>
      <c r="O3711" t="n">
        <v>0</v>
      </c>
      <c r="P3711" t="n">
        <v>0</v>
      </c>
      <c r="Q3711" t="n">
        <v>0</v>
      </c>
      <c r="R3711" s="2" t="inlineStr"/>
    </row>
    <row r="3712" ht="15" customHeight="1">
      <c r="A3712" t="inlineStr">
        <is>
          <t>A 41860-2023</t>
        </is>
      </c>
      <c r="B3712" s="1" t="n">
        <v>45176.63672453703</v>
      </c>
      <c r="C3712" s="1" t="n">
        <v>45952</v>
      </c>
      <c r="D3712" t="inlineStr">
        <is>
          <t>VÄSTRA GÖTALANDS LÄN</t>
        </is>
      </c>
      <c r="E3712" t="inlineStr">
        <is>
          <t>BENGTSFORS</t>
        </is>
      </c>
      <c r="G3712" t="n">
        <v>2.4</v>
      </c>
      <c r="H3712" t="n">
        <v>0</v>
      </c>
      <c r="I3712" t="n">
        <v>0</v>
      </c>
      <c r="J3712" t="n">
        <v>0</v>
      </c>
      <c r="K3712" t="n">
        <v>0</v>
      </c>
      <c r="L3712" t="n">
        <v>0</v>
      </c>
      <c r="M3712" t="n">
        <v>0</v>
      </c>
      <c r="N3712" t="n">
        <v>0</v>
      </c>
      <c r="O3712" t="n">
        <v>0</v>
      </c>
      <c r="P3712" t="n">
        <v>0</v>
      </c>
      <c r="Q3712" t="n">
        <v>0</v>
      </c>
      <c r="R3712" s="2" t="inlineStr"/>
    </row>
    <row r="3713" ht="15" customHeight="1">
      <c r="A3713" t="inlineStr">
        <is>
          <t>A 53400-2024</t>
        </is>
      </c>
      <c r="B3713" s="1" t="n">
        <v>45614.48913194444</v>
      </c>
      <c r="C3713" s="1" t="n">
        <v>45952</v>
      </c>
      <c r="D3713" t="inlineStr">
        <is>
          <t>VÄSTRA GÖTALANDS LÄN</t>
        </is>
      </c>
      <c r="E3713" t="inlineStr">
        <is>
          <t>TIDAHOLM</t>
        </is>
      </c>
      <c r="F3713" t="inlineStr">
        <is>
          <t>Sveaskog</t>
        </is>
      </c>
      <c r="G3713" t="n">
        <v>2.2</v>
      </c>
      <c r="H3713" t="n">
        <v>0</v>
      </c>
      <c r="I3713" t="n">
        <v>0</v>
      </c>
      <c r="J3713" t="n">
        <v>0</v>
      </c>
      <c r="K3713" t="n">
        <v>0</v>
      </c>
      <c r="L3713" t="n">
        <v>0</v>
      </c>
      <c r="M3713" t="n">
        <v>0</v>
      </c>
      <c r="N3713" t="n">
        <v>0</v>
      </c>
      <c r="O3713" t="n">
        <v>0</v>
      </c>
      <c r="P3713" t="n">
        <v>0</v>
      </c>
      <c r="Q3713" t="n">
        <v>0</v>
      </c>
      <c r="R3713" s="2" t="inlineStr"/>
    </row>
    <row r="3714" ht="15" customHeight="1">
      <c r="A3714" t="inlineStr">
        <is>
          <t>A 12386-2024</t>
        </is>
      </c>
      <c r="B3714" s="1" t="n">
        <v>45379.33655092592</v>
      </c>
      <c r="C3714" s="1" t="n">
        <v>45952</v>
      </c>
      <c r="D3714" t="inlineStr">
        <is>
          <t>VÄSTRA GÖTALANDS LÄN</t>
        </is>
      </c>
      <c r="E3714" t="inlineStr">
        <is>
          <t>BORÅS</t>
        </is>
      </c>
      <c r="F3714" t="inlineStr">
        <is>
          <t>Sveaskog</t>
        </is>
      </c>
      <c r="G3714" t="n">
        <v>1.3</v>
      </c>
      <c r="H3714" t="n">
        <v>0</v>
      </c>
      <c r="I3714" t="n">
        <v>0</v>
      </c>
      <c r="J3714" t="n">
        <v>0</v>
      </c>
      <c r="K3714" t="n">
        <v>0</v>
      </c>
      <c r="L3714" t="n">
        <v>0</v>
      </c>
      <c r="M3714" t="n">
        <v>0</v>
      </c>
      <c r="N3714" t="n">
        <v>0</v>
      </c>
      <c r="O3714" t="n">
        <v>0</v>
      </c>
      <c r="P3714" t="n">
        <v>0</v>
      </c>
      <c r="Q3714" t="n">
        <v>0</v>
      </c>
      <c r="R3714" s="2" t="inlineStr"/>
    </row>
    <row r="3715" ht="15" customHeight="1">
      <c r="A3715" t="inlineStr">
        <is>
          <t>A 49047-2022</t>
        </is>
      </c>
      <c r="B3715" s="1" t="n">
        <v>44858</v>
      </c>
      <c r="C3715" s="1" t="n">
        <v>45952</v>
      </c>
      <c r="D3715" t="inlineStr">
        <is>
          <t>VÄSTRA GÖTALANDS LÄN</t>
        </is>
      </c>
      <c r="E3715" t="inlineStr">
        <is>
          <t>VARA</t>
        </is>
      </c>
      <c r="G3715" t="n">
        <v>1.3</v>
      </c>
      <c r="H3715" t="n">
        <v>0</v>
      </c>
      <c r="I3715" t="n">
        <v>0</v>
      </c>
      <c r="J3715" t="n">
        <v>0</v>
      </c>
      <c r="K3715" t="n">
        <v>0</v>
      </c>
      <c r="L3715" t="n">
        <v>0</v>
      </c>
      <c r="M3715" t="n">
        <v>0</v>
      </c>
      <c r="N3715" t="n">
        <v>0</v>
      </c>
      <c r="O3715" t="n">
        <v>0</v>
      </c>
      <c r="P3715" t="n">
        <v>0</v>
      </c>
      <c r="Q3715" t="n">
        <v>0</v>
      </c>
      <c r="R3715" s="2" t="inlineStr"/>
    </row>
    <row r="3716" ht="15" customHeight="1">
      <c r="A3716" t="inlineStr">
        <is>
          <t>A 14739-2024</t>
        </is>
      </c>
      <c r="B3716" s="1" t="n">
        <v>45397.59844907407</v>
      </c>
      <c r="C3716" s="1" t="n">
        <v>45952</v>
      </c>
      <c r="D3716" t="inlineStr">
        <is>
          <t>VÄSTRA GÖTALANDS LÄN</t>
        </is>
      </c>
      <c r="E3716" t="inlineStr">
        <is>
          <t>TRANEMO</t>
        </is>
      </c>
      <c r="G3716" t="n">
        <v>0.8</v>
      </c>
      <c r="H3716" t="n">
        <v>0</v>
      </c>
      <c r="I3716" t="n">
        <v>0</v>
      </c>
      <c r="J3716" t="n">
        <v>0</v>
      </c>
      <c r="K3716" t="n">
        <v>0</v>
      </c>
      <c r="L3716" t="n">
        <v>0</v>
      </c>
      <c r="M3716" t="n">
        <v>0</v>
      </c>
      <c r="N3716" t="n">
        <v>0</v>
      </c>
      <c r="O3716" t="n">
        <v>0</v>
      </c>
      <c r="P3716" t="n">
        <v>0</v>
      </c>
      <c r="Q3716" t="n">
        <v>0</v>
      </c>
      <c r="R3716" s="2" t="inlineStr"/>
    </row>
    <row r="3717" ht="15" customHeight="1">
      <c r="A3717" t="inlineStr">
        <is>
          <t>A 22750-2024</t>
        </is>
      </c>
      <c r="B3717" s="1" t="n">
        <v>45448.41990740741</v>
      </c>
      <c r="C3717" s="1" t="n">
        <v>45952</v>
      </c>
      <c r="D3717" t="inlineStr">
        <is>
          <t>VÄSTRA GÖTALANDS LÄN</t>
        </is>
      </c>
      <c r="E3717" t="inlineStr">
        <is>
          <t>ORUST</t>
        </is>
      </c>
      <c r="G3717" t="n">
        <v>1</v>
      </c>
      <c r="H3717" t="n">
        <v>0</v>
      </c>
      <c r="I3717" t="n">
        <v>0</v>
      </c>
      <c r="J3717" t="n">
        <v>0</v>
      </c>
      <c r="K3717" t="n">
        <v>0</v>
      </c>
      <c r="L3717" t="n">
        <v>0</v>
      </c>
      <c r="M3717" t="n">
        <v>0</v>
      </c>
      <c r="N3717" t="n">
        <v>0</v>
      </c>
      <c r="O3717" t="n">
        <v>0</v>
      </c>
      <c r="P3717" t="n">
        <v>0</v>
      </c>
      <c r="Q3717" t="n">
        <v>0</v>
      </c>
      <c r="R3717" s="2" t="inlineStr"/>
    </row>
    <row r="3718" ht="15" customHeight="1">
      <c r="A3718" t="inlineStr">
        <is>
          <t>A 7895-2024</t>
        </is>
      </c>
      <c r="B3718" s="1" t="n">
        <v>45350.41543981482</v>
      </c>
      <c r="C3718" s="1" t="n">
        <v>45952</v>
      </c>
      <c r="D3718" t="inlineStr">
        <is>
          <t>VÄSTRA GÖTALANDS LÄN</t>
        </is>
      </c>
      <c r="E3718" t="inlineStr">
        <is>
          <t>FALKÖPING</t>
        </is>
      </c>
      <c r="G3718" t="n">
        <v>0.9</v>
      </c>
      <c r="H3718" t="n">
        <v>0</v>
      </c>
      <c r="I3718" t="n">
        <v>0</v>
      </c>
      <c r="J3718" t="n">
        <v>0</v>
      </c>
      <c r="K3718" t="n">
        <v>0</v>
      </c>
      <c r="L3718" t="n">
        <v>0</v>
      </c>
      <c r="M3718" t="n">
        <v>0</v>
      </c>
      <c r="N3718" t="n">
        <v>0</v>
      </c>
      <c r="O3718" t="n">
        <v>0</v>
      </c>
      <c r="P3718" t="n">
        <v>0</v>
      </c>
      <c r="Q3718" t="n">
        <v>0</v>
      </c>
      <c r="R3718" s="2" t="inlineStr"/>
    </row>
    <row r="3719" ht="15" customHeight="1">
      <c r="A3719" t="inlineStr">
        <is>
          <t>A 7912-2024</t>
        </is>
      </c>
      <c r="B3719" s="1" t="n">
        <v>45350</v>
      </c>
      <c r="C3719" s="1" t="n">
        <v>45952</v>
      </c>
      <c r="D3719" t="inlineStr">
        <is>
          <t>VÄSTRA GÖTALANDS LÄN</t>
        </is>
      </c>
      <c r="E3719" t="inlineStr">
        <is>
          <t>LILLA EDET</t>
        </is>
      </c>
      <c r="G3719" t="n">
        <v>1.1</v>
      </c>
      <c r="H3719" t="n">
        <v>0</v>
      </c>
      <c r="I3719" t="n">
        <v>0</v>
      </c>
      <c r="J3719" t="n">
        <v>0</v>
      </c>
      <c r="K3719" t="n">
        <v>0</v>
      </c>
      <c r="L3719" t="n">
        <v>0</v>
      </c>
      <c r="M3719" t="n">
        <v>0</v>
      </c>
      <c r="N3719" t="n">
        <v>0</v>
      </c>
      <c r="O3719" t="n">
        <v>0</v>
      </c>
      <c r="P3719" t="n">
        <v>0</v>
      </c>
      <c r="Q3719" t="n">
        <v>0</v>
      </c>
      <c r="R3719" s="2" t="inlineStr"/>
    </row>
    <row r="3720" ht="15" customHeight="1">
      <c r="A3720" t="inlineStr">
        <is>
          <t>A 10419-2024</t>
        </is>
      </c>
      <c r="B3720" s="1" t="n">
        <v>45365</v>
      </c>
      <c r="C3720" s="1" t="n">
        <v>45952</v>
      </c>
      <c r="D3720" t="inlineStr">
        <is>
          <t>VÄSTRA GÖTALANDS LÄN</t>
        </is>
      </c>
      <c r="E3720" t="inlineStr">
        <is>
          <t>GULLSPÅNG</t>
        </is>
      </c>
      <c r="G3720" t="n">
        <v>7.7</v>
      </c>
      <c r="H3720" t="n">
        <v>0</v>
      </c>
      <c r="I3720" t="n">
        <v>0</v>
      </c>
      <c r="J3720" t="n">
        <v>0</v>
      </c>
      <c r="K3720" t="n">
        <v>0</v>
      </c>
      <c r="L3720" t="n">
        <v>0</v>
      </c>
      <c r="M3720" t="n">
        <v>0</v>
      </c>
      <c r="N3720" t="n">
        <v>0</v>
      </c>
      <c r="O3720" t="n">
        <v>0</v>
      </c>
      <c r="P3720" t="n">
        <v>0</v>
      </c>
      <c r="Q3720" t="n">
        <v>0</v>
      </c>
      <c r="R3720" s="2" t="inlineStr"/>
    </row>
    <row r="3721" ht="15" customHeight="1">
      <c r="A3721" t="inlineStr">
        <is>
          <t>A 10451-2024</t>
        </is>
      </c>
      <c r="B3721" s="1" t="n">
        <v>45366.35112268518</v>
      </c>
      <c r="C3721" s="1" t="n">
        <v>45952</v>
      </c>
      <c r="D3721" t="inlineStr">
        <is>
          <t>VÄSTRA GÖTALANDS LÄN</t>
        </is>
      </c>
      <c r="E3721" t="inlineStr">
        <is>
          <t>GÖTENE</t>
        </is>
      </c>
      <c r="F3721" t="inlineStr">
        <is>
          <t>Sveaskog</t>
        </is>
      </c>
      <c r="G3721" t="n">
        <v>1.2</v>
      </c>
      <c r="H3721" t="n">
        <v>0</v>
      </c>
      <c r="I3721" t="n">
        <v>0</v>
      </c>
      <c r="J3721" t="n">
        <v>0</v>
      </c>
      <c r="K3721" t="n">
        <v>0</v>
      </c>
      <c r="L3721" t="n">
        <v>0</v>
      </c>
      <c r="M3721" t="n">
        <v>0</v>
      </c>
      <c r="N3721" t="n">
        <v>0</v>
      </c>
      <c r="O3721" t="n">
        <v>0</v>
      </c>
      <c r="P3721" t="n">
        <v>0</v>
      </c>
      <c r="Q3721" t="n">
        <v>0</v>
      </c>
      <c r="R3721" s="2" t="inlineStr"/>
    </row>
    <row r="3722" ht="15" customHeight="1">
      <c r="A3722" t="inlineStr">
        <is>
          <t>A 6832-2025</t>
        </is>
      </c>
      <c r="B3722" s="1" t="n">
        <v>45700.75613425926</v>
      </c>
      <c r="C3722" s="1" t="n">
        <v>45952</v>
      </c>
      <c r="D3722" t="inlineStr">
        <is>
          <t>VÄSTRA GÖTALANDS LÄN</t>
        </is>
      </c>
      <c r="E3722" t="inlineStr">
        <is>
          <t>ULRICEHAMN</t>
        </is>
      </c>
      <c r="G3722" t="n">
        <v>3.5</v>
      </c>
      <c r="H3722" t="n">
        <v>0</v>
      </c>
      <c r="I3722" t="n">
        <v>0</v>
      </c>
      <c r="J3722" t="n">
        <v>0</v>
      </c>
      <c r="K3722" t="n">
        <v>0</v>
      </c>
      <c r="L3722" t="n">
        <v>0</v>
      </c>
      <c r="M3722" t="n">
        <v>0</v>
      </c>
      <c r="N3722" t="n">
        <v>0</v>
      </c>
      <c r="O3722" t="n">
        <v>0</v>
      </c>
      <c r="P3722" t="n">
        <v>0</v>
      </c>
      <c r="Q3722" t="n">
        <v>0</v>
      </c>
      <c r="R3722" s="2" t="inlineStr"/>
    </row>
    <row r="3723" ht="15" customHeight="1">
      <c r="A3723" t="inlineStr">
        <is>
          <t>A 62542-2022</t>
        </is>
      </c>
      <c r="B3723" s="1" t="n">
        <v>44924.68337962963</v>
      </c>
      <c r="C3723" s="1" t="n">
        <v>45952</v>
      </c>
      <c r="D3723" t="inlineStr">
        <is>
          <t>VÄSTRA GÖTALANDS LÄN</t>
        </is>
      </c>
      <c r="E3723" t="inlineStr">
        <is>
          <t>TÖREBODA</t>
        </is>
      </c>
      <c r="G3723" t="n">
        <v>0.5</v>
      </c>
      <c r="H3723" t="n">
        <v>0</v>
      </c>
      <c r="I3723" t="n">
        <v>0</v>
      </c>
      <c r="J3723" t="n">
        <v>0</v>
      </c>
      <c r="K3723" t="n">
        <v>0</v>
      </c>
      <c r="L3723" t="n">
        <v>0</v>
      </c>
      <c r="M3723" t="n">
        <v>0</v>
      </c>
      <c r="N3723" t="n">
        <v>0</v>
      </c>
      <c r="O3723" t="n">
        <v>0</v>
      </c>
      <c r="P3723" t="n">
        <v>0</v>
      </c>
      <c r="Q3723" t="n">
        <v>0</v>
      </c>
      <c r="R3723" s="2" t="inlineStr"/>
    </row>
    <row r="3724" ht="15" customHeight="1">
      <c r="A3724" t="inlineStr">
        <is>
          <t>A 7904-2025</t>
        </is>
      </c>
      <c r="B3724" s="1" t="n">
        <v>45707.32996527778</v>
      </c>
      <c r="C3724" s="1" t="n">
        <v>45952</v>
      </c>
      <c r="D3724" t="inlineStr">
        <is>
          <t>VÄSTRA GÖTALANDS LÄN</t>
        </is>
      </c>
      <c r="E3724" t="inlineStr">
        <is>
          <t>TIDAHOLM</t>
        </is>
      </c>
      <c r="G3724" t="n">
        <v>6.7</v>
      </c>
      <c r="H3724" t="n">
        <v>0</v>
      </c>
      <c r="I3724" t="n">
        <v>0</v>
      </c>
      <c r="J3724" t="n">
        <v>0</v>
      </c>
      <c r="K3724" t="n">
        <v>0</v>
      </c>
      <c r="L3724" t="n">
        <v>0</v>
      </c>
      <c r="M3724" t="n">
        <v>0</v>
      </c>
      <c r="N3724" t="n">
        <v>0</v>
      </c>
      <c r="O3724" t="n">
        <v>0</v>
      </c>
      <c r="P3724" t="n">
        <v>0</v>
      </c>
      <c r="Q3724" t="n">
        <v>0</v>
      </c>
      <c r="R3724" s="2" t="inlineStr"/>
    </row>
    <row r="3725" ht="15" customHeight="1">
      <c r="A3725" t="inlineStr">
        <is>
          <t>A 29222-2022</t>
        </is>
      </c>
      <c r="B3725" s="1" t="n">
        <v>44750</v>
      </c>
      <c r="C3725" s="1" t="n">
        <v>45952</v>
      </c>
      <c r="D3725" t="inlineStr">
        <is>
          <t>VÄSTRA GÖTALANDS LÄN</t>
        </is>
      </c>
      <c r="E3725" t="inlineStr">
        <is>
          <t>SKÖVDE</t>
        </is>
      </c>
      <c r="F3725" t="inlineStr">
        <is>
          <t>Kommuner</t>
        </is>
      </c>
      <c r="G3725" t="n">
        <v>1.6</v>
      </c>
      <c r="H3725" t="n">
        <v>0</v>
      </c>
      <c r="I3725" t="n">
        <v>0</v>
      </c>
      <c r="J3725" t="n">
        <v>0</v>
      </c>
      <c r="K3725" t="n">
        <v>0</v>
      </c>
      <c r="L3725" t="n">
        <v>0</v>
      </c>
      <c r="M3725" t="n">
        <v>0</v>
      </c>
      <c r="N3725" t="n">
        <v>0</v>
      </c>
      <c r="O3725" t="n">
        <v>0</v>
      </c>
      <c r="P3725" t="n">
        <v>0</v>
      </c>
      <c r="Q3725" t="n">
        <v>0</v>
      </c>
      <c r="R3725" s="2" t="inlineStr"/>
    </row>
    <row r="3726" ht="15" customHeight="1">
      <c r="A3726" t="inlineStr">
        <is>
          <t>A 9374-2023</t>
        </is>
      </c>
      <c r="B3726" s="1" t="n">
        <v>44981.35020833334</v>
      </c>
      <c r="C3726" s="1" t="n">
        <v>45952</v>
      </c>
      <c r="D3726" t="inlineStr">
        <is>
          <t>VÄSTRA GÖTALANDS LÄN</t>
        </is>
      </c>
      <c r="E3726" t="inlineStr">
        <is>
          <t>MELLERUD</t>
        </is>
      </c>
      <c r="G3726" t="n">
        <v>0.5</v>
      </c>
      <c r="H3726" t="n">
        <v>0</v>
      </c>
      <c r="I3726" t="n">
        <v>0</v>
      </c>
      <c r="J3726" t="n">
        <v>0</v>
      </c>
      <c r="K3726" t="n">
        <v>0</v>
      </c>
      <c r="L3726" t="n">
        <v>0</v>
      </c>
      <c r="M3726" t="n">
        <v>0</v>
      </c>
      <c r="N3726" t="n">
        <v>0</v>
      </c>
      <c r="O3726" t="n">
        <v>0</v>
      </c>
      <c r="P3726" t="n">
        <v>0</v>
      </c>
      <c r="Q3726" t="n">
        <v>0</v>
      </c>
      <c r="R3726" s="2" t="inlineStr"/>
    </row>
    <row r="3727" ht="15" customHeight="1">
      <c r="A3727" t="inlineStr">
        <is>
          <t>A 9469-2023</t>
        </is>
      </c>
      <c r="B3727" s="1" t="n">
        <v>44981</v>
      </c>
      <c r="C3727" s="1" t="n">
        <v>45952</v>
      </c>
      <c r="D3727" t="inlineStr">
        <is>
          <t>VÄSTRA GÖTALANDS LÄN</t>
        </is>
      </c>
      <c r="E3727" t="inlineStr">
        <is>
          <t>SVENLJUNGA</t>
        </is>
      </c>
      <c r="G3727" t="n">
        <v>3.6</v>
      </c>
      <c r="H3727" t="n">
        <v>0</v>
      </c>
      <c r="I3727" t="n">
        <v>0</v>
      </c>
      <c r="J3727" t="n">
        <v>0</v>
      </c>
      <c r="K3727" t="n">
        <v>0</v>
      </c>
      <c r="L3727" t="n">
        <v>0</v>
      </c>
      <c r="M3727" t="n">
        <v>0</v>
      </c>
      <c r="N3727" t="n">
        <v>0</v>
      </c>
      <c r="O3727" t="n">
        <v>0</v>
      </c>
      <c r="P3727" t="n">
        <v>0</v>
      </c>
      <c r="Q3727" t="n">
        <v>0</v>
      </c>
      <c r="R3727" s="2" t="inlineStr"/>
    </row>
    <row r="3728" ht="15" customHeight="1">
      <c r="A3728" t="inlineStr">
        <is>
          <t>A 6833-2025</t>
        </is>
      </c>
      <c r="B3728" s="1" t="n">
        <v>45700.75775462963</v>
      </c>
      <c r="C3728" s="1" t="n">
        <v>45952</v>
      </c>
      <c r="D3728" t="inlineStr">
        <is>
          <t>VÄSTRA GÖTALANDS LÄN</t>
        </is>
      </c>
      <c r="E3728" t="inlineStr">
        <is>
          <t>ULRICEHAMN</t>
        </is>
      </c>
      <c r="G3728" t="n">
        <v>0.5</v>
      </c>
      <c r="H3728" t="n">
        <v>0</v>
      </c>
      <c r="I3728" t="n">
        <v>0</v>
      </c>
      <c r="J3728" t="n">
        <v>0</v>
      </c>
      <c r="K3728" t="n">
        <v>0</v>
      </c>
      <c r="L3728" t="n">
        <v>0</v>
      </c>
      <c r="M3728" t="n">
        <v>0</v>
      </c>
      <c r="N3728" t="n">
        <v>0</v>
      </c>
      <c r="O3728" t="n">
        <v>0</v>
      </c>
      <c r="P3728" t="n">
        <v>0</v>
      </c>
      <c r="Q3728" t="n">
        <v>0</v>
      </c>
      <c r="R3728" s="2" t="inlineStr"/>
    </row>
    <row r="3729" ht="15" customHeight="1">
      <c r="A3729" t="inlineStr">
        <is>
          <t>A 55689-2022</t>
        </is>
      </c>
      <c r="B3729" s="1" t="n">
        <v>44888.51767361111</v>
      </c>
      <c r="C3729" s="1" t="n">
        <v>45952</v>
      </c>
      <c r="D3729" t="inlineStr">
        <is>
          <t>VÄSTRA GÖTALANDS LÄN</t>
        </is>
      </c>
      <c r="E3729" t="inlineStr">
        <is>
          <t>MARK</t>
        </is>
      </c>
      <c r="G3729" t="n">
        <v>5</v>
      </c>
      <c r="H3729" t="n">
        <v>0</v>
      </c>
      <c r="I3729" t="n">
        <v>0</v>
      </c>
      <c r="J3729" t="n">
        <v>0</v>
      </c>
      <c r="K3729" t="n">
        <v>0</v>
      </c>
      <c r="L3729" t="n">
        <v>0</v>
      </c>
      <c r="M3729" t="n">
        <v>0</v>
      </c>
      <c r="N3729" t="n">
        <v>0</v>
      </c>
      <c r="O3729" t="n">
        <v>0</v>
      </c>
      <c r="P3729" t="n">
        <v>0</v>
      </c>
      <c r="Q3729" t="n">
        <v>0</v>
      </c>
      <c r="R3729" s="2" t="inlineStr"/>
    </row>
    <row r="3730" ht="15" customHeight="1">
      <c r="A3730" t="inlineStr">
        <is>
          <t>A 38666-2023</t>
        </is>
      </c>
      <c r="B3730" s="1" t="n">
        <v>45162</v>
      </c>
      <c r="C3730" s="1" t="n">
        <v>45952</v>
      </c>
      <c r="D3730" t="inlineStr">
        <is>
          <t>VÄSTRA GÖTALANDS LÄN</t>
        </is>
      </c>
      <c r="E3730" t="inlineStr">
        <is>
          <t>ULRICEHAMN</t>
        </is>
      </c>
      <c r="G3730" t="n">
        <v>0.7</v>
      </c>
      <c r="H3730" t="n">
        <v>0</v>
      </c>
      <c r="I3730" t="n">
        <v>0</v>
      </c>
      <c r="J3730" t="n">
        <v>0</v>
      </c>
      <c r="K3730" t="n">
        <v>0</v>
      </c>
      <c r="L3730" t="n">
        <v>0</v>
      </c>
      <c r="M3730" t="n">
        <v>0</v>
      </c>
      <c r="N3730" t="n">
        <v>0</v>
      </c>
      <c r="O3730" t="n">
        <v>0</v>
      </c>
      <c r="P3730" t="n">
        <v>0</v>
      </c>
      <c r="Q3730" t="n">
        <v>0</v>
      </c>
      <c r="R3730" s="2" t="inlineStr"/>
    </row>
    <row r="3731" ht="15" customHeight="1">
      <c r="A3731" t="inlineStr">
        <is>
          <t>A 9529-2025</t>
        </is>
      </c>
      <c r="B3731" s="1" t="n">
        <v>45715.56778935185</v>
      </c>
      <c r="C3731" s="1" t="n">
        <v>45952</v>
      </c>
      <c r="D3731" t="inlineStr">
        <is>
          <t>VÄSTRA GÖTALANDS LÄN</t>
        </is>
      </c>
      <c r="E3731" t="inlineStr">
        <is>
          <t>BORÅS</t>
        </is>
      </c>
      <c r="G3731" t="n">
        <v>0.6</v>
      </c>
      <c r="H3731" t="n">
        <v>0</v>
      </c>
      <c r="I3731" t="n">
        <v>0</v>
      </c>
      <c r="J3731" t="n">
        <v>0</v>
      </c>
      <c r="K3731" t="n">
        <v>0</v>
      </c>
      <c r="L3731" t="n">
        <v>0</v>
      </c>
      <c r="M3731" t="n">
        <v>0</v>
      </c>
      <c r="N3731" t="n">
        <v>0</v>
      </c>
      <c r="O3731" t="n">
        <v>0</v>
      </c>
      <c r="P3731" t="n">
        <v>0</v>
      </c>
      <c r="Q3731" t="n">
        <v>0</v>
      </c>
      <c r="R3731" s="2" t="inlineStr"/>
    </row>
    <row r="3732" ht="15" customHeight="1">
      <c r="A3732" t="inlineStr">
        <is>
          <t>A 61207-2021</t>
        </is>
      </c>
      <c r="B3732" s="1" t="n">
        <v>44498</v>
      </c>
      <c r="C3732" s="1" t="n">
        <v>45952</v>
      </c>
      <c r="D3732" t="inlineStr">
        <is>
          <t>VÄSTRA GÖTALANDS LÄN</t>
        </is>
      </c>
      <c r="E3732" t="inlineStr">
        <is>
          <t>ÅMÅL</t>
        </is>
      </c>
      <c r="G3732" t="n">
        <v>0.1</v>
      </c>
      <c r="H3732" t="n">
        <v>0</v>
      </c>
      <c r="I3732" t="n">
        <v>0</v>
      </c>
      <c r="J3732" t="n">
        <v>0</v>
      </c>
      <c r="K3732" t="n">
        <v>0</v>
      </c>
      <c r="L3732" t="n">
        <v>0</v>
      </c>
      <c r="M3732" t="n">
        <v>0</v>
      </c>
      <c r="N3732" t="n">
        <v>0</v>
      </c>
      <c r="O3732" t="n">
        <v>0</v>
      </c>
      <c r="P3732" t="n">
        <v>0</v>
      </c>
      <c r="Q3732" t="n">
        <v>0</v>
      </c>
      <c r="R3732" s="2" t="inlineStr"/>
    </row>
    <row r="3733" ht="15" customHeight="1">
      <c r="A3733" t="inlineStr">
        <is>
          <t>A 45313-2023</t>
        </is>
      </c>
      <c r="B3733" s="1" t="n">
        <v>45191.71241898148</v>
      </c>
      <c r="C3733" s="1" t="n">
        <v>45952</v>
      </c>
      <c r="D3733" t="inlineStr">
        <is>
          <t>VÄSTRA GÖTALANDS LÄN</t>
        </is>
      </c>
      <c r="E3733" t="inlineStr">
        <is>
          <t>ÅMÅL</t>
        </is>
      </c>
      <c r="G3733" t="n">
        <v>1.4</v>
      </c>
      <c r="H3733" t="n">
        <v>0</v>
      </c>
      <c r="I3733" t="n">
        <v>0</v>
      </c>
      <c r="J3733" t="n">
        <v>0</v>
      </c>
      <c r="K3733" t="n">
        <v>0</v>
      </c>
      <c r="L3733" t="n">
        <v>0</v>
      </c>
      <c r="M3733" t="n">
        <v>0</v>
      </c>
      <c r="N3733" t="n">
        <v>0</v>
      </c>
      <c r="O3733" t="n">
        <v>0</v>
      </c>
      <c r="P3733" t="n">
        <v>0</v>
      </c>
      <c r="Q3733" t="n">
        <v>0</v>
      </c>
      <c r="R3733" s="2" t="inlineStr"/>
    </row>
    <row r="3734" ht="15" customHeight="1">
      <c r="A3734" t="inlineStr">
        <is>
          <t>A 50622-2023</t>
        </is>
      </c>
      <c r="B3734" s="1" t="n">
        <v>45217</v>
      </c>
      <c r="C3734" s="1" t="n">
        <v>45952</v>
      </c>
      <c r="D3734" t="inlineStr">
        <is>
          <t>VÄSTRA GÖTALANDS LÄN</t>
        </is>
      </c>
      <c r="E3734" t="inlineStr">
        <is>
          <t>LERUM</t>
        </is>
      </c>
      <c r="G3734" t="n">
        <v>0.8</v>
      </c>
      <c r="H3734" t="n">
        <v>0</v>
      </c>
      <c r="I3734" t="n">
        <v>0</v>
      </c>
      <c r="J3734" t="n">
        <v>0</v>
      </c>
      <c r="K3734" t="n">
        <v>0</v>
      </c>
      <c r="L3734" t="n">
        <v>0</v>
      </c>
      <c r="M3734" t="n">
        <v>0</v>
      </c>
      <c r="N3734" t="n">
        <v>0</v>
      </c>
      <c r="O3734" t="n">
        <v>0</v>
      </c>
      <c r="P3734" t="n">
        <v>0</v>
      </c>
      <c r="Q3734" t="n">
        <v>0</v>
      </c>
      <c r="R3734" s="2" t="inlineStr"/>
    </row>
    <row r="3735" ht="15" customHeight="1">
      <c r="A3735" t="inlineStr">
        <is>
          <t>A 50633-2023</t>
        </is>
      </c>
      <c r="B3735" s="1" t="n">
        <v>45210</v>
      </c>
      <c r="C3735" s="1" t="n">
        <v>45952</v>
      </c>
      <c r="D3735" t="inlineStr">
        <is>
          <t>VÄSTRA GÖTALANDS LÄN</t>
        </is>
      </c>
      <c r="E3735" t="inlineStr">
        <is>
          <t>ALINGSÅS</t>
        </is>
      </c>
      <c r="G3735" t="n">
        <v>4.5</v>
      </c>
      <c r="H3735" t="n">
        <v>0</v>
      </c>
      <c r="I3735" t="n">
        <v>0</v>
      </c>
      <c r="J3735" t="n">
        <v>0</v>
      </c>
      <c r="K3735" t="n">
        <v>0</v>
      </c>
      <c r="L3735" t="n">
        <v>0</v>
      </c>
      <c r="M3735" t="n">
        <v>0</v>
      </c>
      <c r="N3735" t="n">
        <v>0</v>
      </c>
      <c r="O3735" t="n">
        <v>0</v>
      </c>
      <c r="P3735" t="n">
        <v>0</v>
      </c>
      <c r="Q3735" t="n">
        <v>0</v>
      </c>
      <c r="R3735" s="2" t="inlineStr"/>
    </row>
    <row r="3736" ht="15" customHeight="1">
      <c r="A3736" t="inlineStr">
        <is>
          <t>A 7452-2025</t>
        </is>
      </c>
      <c r="B3736" s="1" t="n">
        <v>45705.42427083333</v>
      </c>
      <c r="C3736" s="1" t="n">
        <v>45952</v>
      </c>
      <c r="D3736" t="inlineStr">
        <is>
          <t>VÄSTRA GÖTALANDS LÄN</t>
        </is>
      </c>
      <c r="E3736" t="inlineStr">
        <is>
          <t>HERRLJUNGA</t>
        </is>
      </c>
      <c r="G3736" t="n">
        <v>4.4</v>
      </c>
      <c r="H3736" t="n">
        <v>0</v>
      </c>
      <c r="I3736" t="n">
        <v>0</v>
      </c>
      <c r="J3736" t="n">
        <v>0</v>
      </c>
      <c r="K3736" t="n">
        <v>0</v>
      </c>
      <c r="L3736" t="n">
        <v>0</v>
      </c>
      <c r="M3736" t="n">
        <v>0</v>
      </c>
      <c r="N3736" t="n">
        <v>0</v>
      </c>
      <c r="O3736" t="n">
        <v>0</v>
      </c>
      <c r="P3736" t="n">
        <v>0</v>
      </c>
      <c r="Q3736" t="n">
        <v>0</v>
      </c>
      <c r="R3736" s="2" t="inlineStr"/>
    </row>
    <row r="3737" ht="15" customHeight="1">
      <c r="A3737" t="inlineStr">
        <is>
          <t>A 62541-2021</t>
        </is>
      </c>
      <c r="B3737" s="1" t="n">
        <v>44503.61209490741</v>
      </c>
      <c r="C3737" s="1" t="n">
        <v>45952</v>
      </c>
      <c r="D3737" t="inlineStr">
        <is>
          <t>VÄSTRA GÖTALANDS LÄN</t>
        </is>
      </c>
      <c r="E3737" t="inlineStr">
        <is>
          <t>LIDKÖPING</t>
        </is>
      </c>
      <c r="G3737" t="n">
        <v>2.3</v>
      </c>
      <c r="H3737" t="n">
        <v>0</v>
      </c>
      <c r="I3737" t="n">
        <v>0</v>
      </c>
      <c r="J3737" t="n">
        <v>0</v>
      </c>
      <c r="K3737" t="n">
        <v>0</v>
      </c>
      <c r="L3737" t="n">
        <v>0</v>
      </c>
      <c r="M3737" t="n">
        <v>0</v>
      </c>
      <c r="N3737" t="n">
        <v>0</v>
      </c>
      <c r="O3737" t="n">
        <v>0</v>
      </c>
      <c r="P3737" t="n">
        <v>0</v>
      </c>
      <c r="Q3737" t="n">
        <v>0</v>
      </c>
      <c r="R3737" s="2" t="inlineStr"/>
    </row>
    <row r="3738" ht="15" customHeight="1">
      <c r="A3738" t="inlineStr">
        <is>
          <t>A 864-2022</t>
        </is>
      </c>
      <c r="B3738" s="1" t="n">
        <v>44571.43929398148</v>
      </c>
      <c r="C3738" s="1" t="n">
        <v>45952</v>
      </c>
      <c r="D3738" t="inlineStr">
        <is>
          <t>VÄSTRA GÖTALANDS LÄN</t>
        </is>
      </c>
      <c r="E3738" t="inlineStr">
        <is>
          <t>BORÅS</t>
        </is>
      </c>
      <c r="G3738" t="n">
        <v>2.2</v>
      </c>
      <c r="H3738" t="n">
        <v>0</v>
      </c>
      <c r="I3738" t="n">
        <v>0</v>
      </c>
      <c r="J3738" t="n">
        <v>0</v>
      </c>
      <c r="K3738" t="n">
        <v>0</v>
      </c>
      <c r="L3738" t="n">
        <v>0</v>
      </c>
      <c r="M3738" t="n">
        <v>0</v>
      </c>
      <c r="N3738" t="n">
        <v>0</v>
      </c>
      <c r="O3738" t="n">
        <v>0</v>
      </c>
      <c r="P3738" t="n">
        <v>0</v>
      </c>
      <c r="Q3738" t="n">
        <v>0</v>
      </c>
      <c r="R3738" s="2" t="inlineStr"/>
    </row>
    <row r="3739" ht="15" customHeight="1">
      <c r="A3739" t="inlineStr">
        <is>
          <t>A 41993-2022</t>
        </is>
      </c>
      <c r="B3739" s="1" t="n">
        <v>44830</v>
      </c>
      <c r="C3739" s="1" t="n">
        <v>45952</v>
      </c>
      <c r="D3739" t="inlineStr">
        <is>
          <t>VÄSTRA GÖTALANDS LÄN</t>
        </is>
      </c>
      <c r="E3739" t="inlineStr">
        <is>
          <t>MARIESTAD</t>
        </is>
      </c>
      <c r="G3739" t="n">
        <v>1.1</v>
      </c>
      <c r="H3739" t="n">
        <v>0</v>
      </c>
      <c r="I3739" t="n">
        <v>0</v>
      </c>
      <c r="J3739" t="n">
        <v>0</v>
      </c>
      <c r="K3739" t="n">
        <v>0</v>
      </c>
      <c r="L3739" t="n">
        <v>0</v>
      </c>
      <c r="M3739" t="n">
        <v>0</v>
      </c>
      <c r="N3739" t="n">
        <v>0</v>
      </c>
      <c r="O3739" t="n">
        <v>0</v>
      </c>
      <c r="P3739" t="n">
        <v>0</v>
      </c>
      <c r="Q3739" t="n">
        <v>0</v>
      </c>
      <c r="R3739" s="2" t="inlineStr"/>
    </row>
    <row r="3740" ht="15" customHeight="1">
      <c r="A3740" t="inlineStr">
        <is>
          <t>A 54719-2021</t>
        </is>
      </c>
      <c r="B3740" s="1" t="n">
        <v>44473.77486111111</v>
      </c>
      <c r="C3740" s="1" t="n">
        <v>45952</v>
      </c>
      <c r="D3740" t="inlineStr">
        <is>
          <t>VÄSTRA GÖTALANDS LÄN</t>
        </is>
      </c>
      <c r="E3740" t="inlineStr">
        <is>
          <t>MARK</t>
        </is>
      </c>
      <c r="G3740" t="n">
        <v>1.3</v>
      </c>
      <c r="H3740" t="n">
        <v>0</v>
      </c>
      <c r="I3740" t="n">
        <v>0</v>
      </c>
      <c r="J3740" t="n">
        <v>0</v>
      </c>
      <c r="K3740" t="n">
        <v>0</v>
      </c>
      <c r="L3740" t="n">
        <v>0</v>
      </c>
      <c r="M3740" t="n">
        <v>0</v>
      </c>
      <c r="N3740" t="n">
        <v>0</v>
      </c>
      <c r="O3740" t="n">
        <v>0</v>
      </c>
      <c r="P3740" t="n">
        <v>0</v>
      </c>
      <c r="Q3740" t="n">
        <v>0</v>
      </c>
      <c r="R3740" s="2" t="inlineStr"/>
    </row>
    <row r="3741" ht="15" customHeight="1">
      <c r="A3741" t="inlineStr">
        <is>
          <t>A 1401-2021</t>
        </is>
      </c>
      <c r="B3741" s="1" t="n">
        <v>44208</v>
      </c>
      <c r="C3741" s="1" t="n">
        <v>45952</v>
      </c>
      <c r="D3741" t="inlineStr">
        <is>
          <t>VÄSTRA GÖTALANDS LÄN</t>
        </is>
      </c>
      <c r="E3741" t="inlineStr">
        <is>
          <t>BORÅS</t>
        </is>
      </c>
      <c r="G3741" t="n">
        <v>3</v>
      </c>
      <c r="H3741" t="n">
        <v>0</v>
      </c>
      <c r="I3741" t="n">
        <v>0</v>
      </c>
      <c r="J3741" t="n">
        <v>0</v>
      </c>
      <c r="K3741" t="n">
        <v>0</v>
      </c>
      <c r="L3741" t="n">
        <v>0</v>
      </c>
      <c r="M3741" t="n">
        <v>0</v>
      </c>
      <c r="N3741" t="n">
        <v>0</v>
      </c>
      <c r="O3741" t="n">
        <v>0</v>
      </c>
      <c r="P3741" t="n">
        <v>0</v>
      </c>
      <c r="Q3741" t="n">
        <v>0</v>
      </c>
      <c r="R3741" s="2" t="inlineStr"/>
    </row>
    <row r="3742" ht="15" customHeight="1">
      <c r="A3742" t="inlineStr">
        <is>
          <t>A 8994-2025</t>
        </is>
      </c>
      <c r="B3742" s="1" t="n">
        <v>45713.549375</v>
      </c>
      <c r="C3742" s="1" t="n">
        <v>45952</v>
      </c>
      <c r="D3742" t="inlineStr">
        <is>
          <t>VÄSTRA GÖTALANDS LÄN</t>
        </is>
      </c>
      <c r="E3742" t="inlineStr">
        <is>
          <t>TRANEMO</t>
        </is>
      </c>
      <c r="G3742" t="n">
        <v>3.6</v>
      </c>
      <c r="H3742" t="n">
        <v>0</v>
      </c>
      <c r="I3742" t="n">
        <v>0</v>
      </c>
      <c r="J3742" t="n">
        <v>0</v>
      </c>
      <c r="K3742" t="n">
        <v>0</v>
      </c>
      <c r="L3742" t="n">
        <v>0</v>
      </c>
      <c r="M3742" t="n">
        <v>0</v>
      </c>
      <c r="N3742" t="n">
        <v>0</v>
      </c>
      <c r="O3742" t="n">
        <v>0</v>
      </c>
      <c r="P3742" t="n">
        <v>0</v>
      </c>
      <c r="Q3742" t="n">
        <v>0</v>
      </c>
      <c r="R3742" s="2" t="inlineStr"/>
    </row>
    <row r="3743" ht="15" customHeight="1">
      <c r="A3743" t="inlineStr">
        <is>
          <t>A 9564-2025</t>
        </is>
      </c>
      <c r="B3743" s="1" t="n">
        <v>45715.6139699074</v>
      </c>
      <c r="C3743" s="1" t="n">
        <v>45952</v>
      </c>
      <c r="D3743" t="inlineStr">
        <is>
          <t>VÄSTRA GÖTALANDS LÄN</t>
        </is>
      </c>
      <c r="E3743" t="inlineStr">
        <is>
          <t>TRANEMO</t>
        </is>
      </c>
      <c r="G3743" t="n">
        <v>1.1</v>
      </c>
      <c r="H3743" t="n">
        <v>0</v>
      </c>
      <c r="I3743" t="n">
        <v>0</v>
      </c>
      <c r="J3743" t="n">
        <v>0</v>
      </c>
      <c r="K3743" t="n">
        <v>0</v>
      </c>
      <c r="L3743" t="n">
        <v>0</v>
      </c>
      <c r="M3743" t="n">
        <v>0</v>
      </c>
      <c r="N3743" t="n">
        <v>0</v>
      </c>
      <c r="O3743" t="n">
        <v>0</v>
      </c>
      <c r="P3743" t="n">
        <v>0</v>
      </c>
      <c r="Q3743" t="n">
        <v>0</v>
      </c>
      <c r="R3743" s="2" t="inlineStr"/>
    </row>
    <row r="3744" ht="15" customHeight="1">
      <c r="A3744" t="inlineStr">
        <is>
          <t>A 56164-2024</t>
        </is>
      </c>
      <c r="B3744" s="1" t="n">
        <v>45624.54939814815</v>
      </c>
      <c r="C3744" s="1" t="n">
        <v>45952</v>
      </c>
      <c r="D3744" t="inlineStr">
        <is>
          <t>VÄSTRA GÖTALANDS LÄN</t>
        </is>
      </c>
      <c r="E3744" t="inlineStr">
        <is>
          <t>VARA</t>
        </is>
      </c>
      <c r="G3744" t="n">
        <v>15.7</v>
      </c>
      <c r="H3744" t="n">
        <v>0</v>
      </c>
      <c r="I3744" t="n">
        <v>0</v>
      </c>
      <c r="J3744" t="n">
        <v>0</v>
      </c>
      <c r="K3744" t="n">
        <v>0</v>
      </c>
      <c r="L3744" t="n">
        <v>0</v>
      </c>
      <c r="M3744" t="n">
        <v>0</v>
      </c>
      <c r="N3744" t="n">
        <v>0</v>
      </c>
      <c r="O3744" t="n">
        <v>0</v>
      </c>
      <c r="P3744" t="n">
        <v>0</v>
      </c>
      <c r="Q3744" t="n">
        <v>0</v>
      </c>
      <c r="R3744" s="2" t="inlineStr"/>
    </row>
    <row r="3745" ht="15" customHeight="1">
      <c r="A3745" t="inlineStr">
        <is>
          <t>A 11410-2024</t>
        </is>
      </c>
      <c r="B3745" s="1" t="n">
        <v>45372</v>
      </c>
      <c r="C3745" s="1" t="n">
        <v>45952</v>
      </c>
      <c r="D3745" t="inlineStr">
        <is>
          <t>VÄSTRA GÖTALANDS LÄN</t>
        </is>
      </c>
      <c r="E3745" t="inlineStr">
        <is>
          <t>SVENLJUNGA</t>
        </is>
      </c>
      <c r="G3745" t="n">
        <v>1.5</v>
      </c>
      <c r="H3745" t="n">
        <v>0</v>
      </c>
      <c r="I3745" t="n">
        <v>0</v>
      </c>
      <c r="J3745" t="n">
        <v>0</v>
      </c>
      <c r="K3745" t="n">
        <v>0</v>
      </c>
      <c r="L3745" t="n">
        <v>0</v>
      </c>
      <c r="M3745" t="n">
        <v>0</v>
      </c>
      <c r="N3745" t="n">
        <v>0</v>
      </c>
      <c r="O3745" t="n">
        <v>0</v>
      </c>
      <c r="P3745" t="n">
        <v>0</v>
      </c>
      <c r="Q3745" t="n">
        <v>0</v>
      </c>
      <c r="R3745" s="2" t="inlineStr"/>
    </row>
    <row r="3746" ht="15" customHeight="1">
      <c r="A3746" t="inlineStr">
        <is>
          <t>A 28714-2024</t>
        </is>
      </c>
      <c r="B3746" s="1" t="n">
        <v>45478.53525462963</v>
      </c>
      <c r="C3746" s="1" t="n">
        <v>45952</v>
      </c>
      <c r="D3746" t="inlineStr">
        <is>
          <t>VÄSTRA GÖTALANDS LÄN</t>
        </is>
      </c>
      <c r="E3746" t="inlineStr">
        <is>
          <t>DALS-ED</t>
        </is>
      </c>
      <c r="F3746" t="inlineStr">
        <is>
          <t>Kyrkan</t>
        </is>
      </c>
      <c r="G3746" t="n">
        <v>1.4</v>
      </c>
      <c r="H3746" t="n">
        <v>0</v>
      </c>
      <c r="I3746" t="n">
        <v>0</v>
      </c>
      <c r="J3746" t="n">
        <v>0</v>
      </c>
      <c r="K3746" t="n">
        <v>0</v>
      </c>
      <c r="L3746" t="n">
        <v>0</v>
      </c>
      <c r="M3746" t="n">
        <v>0</v>
      </c>
      <c r="N3746" t="n">
        <v>0</v>
      </c>
      <c r="O3746" t="n">
        <v>0</v>
      </c>
      <c r="P3746" t="n">
        <v>0</v>
      </c>
      <c r="Q3746" t="n">
        <v>0</v>
      </c>
      <c r="R3746" s="2" t="inlineStr"/>
    </row>
    <row r="3747" ht="15" customHeight="1">
      <c r="A3747" t="inlineStr">
        <is>
          <t>A 55624-2022</t>
        </is>
      </c>
      <c r="B3747" s="1" t="n">
        <v>44883</v>
      </c>
      <c r="C3747" s="1" t="n">
        <v>45952</v>
      </c>
      <c r="D3747" t="inlineStr">
        <is>
          <t>VÄSTRA GÖTALANDS LÄN</t>
        </is>
      </c>
      <c r="E3747" t="inlineStr">
        <is>
          <t>GULLSPÅNG</t>
        </is>
      </c>
      <c r="G3747" t="n">
        <v>0.5</v>
      </c>
      <c r="H3747" t="n">
        <v>0</v>
      </c>
      <c r="I3747" t="n">
        <v>0</v>
      </c>
      <c r="J3747" t="n">
        <v>0</v>
      </c>
      <c r="K3747" t="n">
        <v>0</v>
      </c>
      <c r="L3747" t="n">
        <v>0</v>
      </c>
      <c r="M3747" t="n">
        <v>0</v>
      </c>
      <c r="N3747" t="n">
        <v>0</v>
      </c>
      <c r="O3747" t="n">
        <v>0</v>
      </c>
      <c r="P3747" t="n">
        <v>0</v>
      </c>
      <c r="Q3747" t="n">
        <v>0</v>
      </c>
      <c r="R3747" s="2" t="inlineStr"/>
    </row>
    <row r="3748" ht="15" customHeight="1">
      <c r="A3748" t="inlineStr">
        <is>
          <t>A 33772-2023</t>
        </is>
      </c>
      <c r="B3748" s="1" t="n">
        <v>45133</v>
      </c>
      <c r="C3748" s="1" t="n">
        <v>45952</v>
      </c>
      <c r="D3748" t="inlineStr">
        <is>
          <t>VÄSTRA GÖTALANDS LÄN</t>
        </is>
      </c>
      <c r="E3748" t="inlineStr">
        <is>
          <t>STRÖMSTAD</t>
        </is>
      </c>
      <c r="G3748" t="n">
        <v>2.2</v>
      </c>
      <c r="H3748" t="n">
        <v>0</v>
      </c>
      <c r="I3748" t="n">
        <v>0</v>
      </c>
      <c r="J3748" t="n">
        <v>0</v>
      </c>
      <c r="K3748" t="n">
        <v>0</v>
      </c>
      <c r="L3748" t="n">
        <v>0</v>
      </c>
      <c r="M3748" t="n">
        <v>0</v>
      </c>
      <c r="N3748" t="n">
        <v>0</v>
      </c>
      <c r="O3748" t="n">
        <v>0</v>
      </c>
      <c r="P3748" t="n">
        <v>0</v>
      </c>
      <c r="Q3748" t="n">
        <v>0</v>
      </c>
      <c r="R3748" s="2" t="inlineStr"/>
    </row>
    <row r="3749" ht="15" customHeight="1">
      <c r="A3749" t="inlineStr">
        <is>
          <t>A 11460-2024</t>
        </is>
      </c>
      <c r="B3749" s="1" t="n">
        <v>45372.58478009259</v>
      </c>
      <c r="C3749" s="1" t="n">
        <v>45952</v>
      </c>
      <c r="D3749" t="inlineStr">
        <is>
          <t>VÄSTRA GÖTALANDS LÄN</t>
        </is>
      </c>
      <c r="E3749" t="inlineStr">
        <is>
          <t>TROLLHÄTTAN</t>
        </is>
      </c>
      <c r="G3749" t="n">
        <v>5.3</v>
      </c>
      <c r="H3749" t="n">
        <v>0</v>
      </c>
      <c r="I3749" t="n">
        <v>0</v>
      </c>
      <c r="J3749" t="n">
        <v>0</v>
      </c>
      <c r="K3749" t="n">
        <v>0</v>
      </c>
      <c r="L3749" t="n">
        <v>0</v>
      </c>
      <c r="M3749" t="n">
        <v>0</v>
      </c>
      <c r="N3749" t="n">
        <v>0</v>
      </c>
      <c r="O3749" t="n">
        <v>0</v>
      </c>
      <c r="P3749" t="n">
        <v>0</v>
      </c>
      <c r="Q3749" t="n">
        <v>0</v>
      </c>
      <c r="R3749" s="2" t="inlineStr"/>
    </row>
    <row r="3750" ht="15" customHeight="1">
      <c r="A3750" t="inlineStr">
        <is>
          <t>A 46401-2023</t>
        </is>
      </c>
      <c r="B3750" s="1" t="n">
        <v>45197.49450231482</v>
      </c>
      <c r="C3750" s="1" t="n">
        <v>45952</v>
      </c>
      <c r="D3750" t="inlineStr">
        <is>
          <t>VÄSTRA GÖTALANDS LÄN</t>
        </is>
      </c>
      <c r="E3750" t="inlineStr">
        <is>
          <t>SKÖVDE</t>
        </is>
      </c>
      <c r="G3750" t="n">
        <v>1.5</v>
      </c>
      <c r="H3750" t="n">
        <v>0</v>
      </c>
      <c r="I3750" t="n">
        <v>0</v>
      </c>
      <c r="J3750" t="n">
        <v>0</v>
      </c>
      <c r="K3750" t="n">
        <v>0</v>
      </c>
      <c r="L3750" t="n">
        <v>0</v>
      </c>
      <c r="M3750" t="n">
        <v>0</v>
      </c>
      <c r="N3750" t="n">
        <v>0</v>
      </c>
      <c r="O3750" t="n">
        <v>0</v>
      </c>
      <c r="P3750" t="n">
        <v>0</v>
      </c>
      <c r="Q3750" t="n">
        <v>0</v>
      </c>
      <c r="R3750" s="2" t="inlineStr"/>
    </row>
    <row r="3751" ht="15" customHeight="1">
      <c r="A3751" t="inlineStr">
        <is>
          <t>A 11663-2022</t>
        </is>
      </c>
      <c r="B3751" s="1" t="n">
        <v>44632.75332175926</v>
      </c>
      <c r="C3751" s="1" t="n">
        <v>45952</v>
      </c>
      <c r="D3751" t="inlineStr">
        <is>
          <t>VÄSTRA GÖTALANDS LÄN</t>
        </is>
      </c>
      <c r="E3751" t="inlineStr">
        <is>
          <t>MARK</t>
        </is>
      </c>
      <c r="G3751" t="n">
        <v>1.7</v>
      </c>
      <c r="H3751" t="n">
        <v>0</v>
      </c>
      <c r="I3751" t="n">
        <v>0</v>
      </c>
      <c r="J3751" t="n">
        <v>0</v>
      </c>
      <c r="K3751" t="n">
        <v>0</v>
      </c>
      <c r="L3751" t="n">
        <v>0</v>
      </c>
      <c r="M3751" t="n">
        <v>0</v>
      </c>
      <c r="N3751" t="n">
        <v>0</v>
      </c>
      <c r="O3751" t="n">
        <v>0</v>
      </c>
      <c r="P3751" t="n">
        <v>0</v>
      </c>
      <c r="Q3751" t="n">
        <v>0</v>
      </c>
      <c r="R3751" s="2" t="inlineStr"/>
    </row>
    <row r="3752" ht="15" customHeight="1">
      <c r="A3752" t="inlineStr">
        <is>
          <t>A 52226-2023</t>
        </is>
      </c>
      <c r="B3752" s="1" t="n">
        <v>45217</v>
      </c>
      <c r="C3752" s="1" t="n">
        <v>45952</v>
      </c>
      <c r="D3752" t="inlineStr">
        <is>
          <t>VÄSTRA GÖTALANDS LÄN</t>
        </is>
      </c>
      <c r="E3752" t="inlineStr">
        <is>
          <t>BENGTSFORS</t>
        </is>
      </c>
      <c r="F3752" t="inlineStr">
        <is>
          <t>Kyrkan</t>
        </is>
      </c>
      <c r="G3752" t="n">
        <v>2.4</v>
      </c>
      <c r="H3752" t="n">
        <v>0</v>
      </c>
      <c r="I3752" t="n">
        <v>0</v>
      </c>
      <c r="J3752" t="n">
        <v>0</v>
      </c>
      <c r="K3752" t="n">
        <v>0</v>
      </c>
      <c r="L3752" t="n">
        <v>0</v>
      </c>
      <c r="M3752" t="n">
        <v>0</v>
      </c>
      <c r="N3752" t="n">
        <v>0</v>
      </c>
      <c r="O3752" t="n">
        <v>0</v>
      </c>
      <c r="P3752" t="n">
        <v>0</v>
      </c>
      <c r="Q3752" t="n">
        <v>0</v>
      </c>
      <c r="R3752" s="2" t="inlineStr"/>
    </row>
    <row r="3753" ht="15" customHeight="1">
      <c r="A3753" t="inlineStr">
        <is>
          <t>A 28850-2024</t>
        </is>
      </c>
      <c r="B3753" s="1" t="n">
        <v>45478</v>
      </c>
      <c r="C3753" s="1" t="n">
        <v>45952</v>
      </c>
      <c r="D3753" t="inlineStr">
        <is>
          <t>VÄSTRA GÖTALANDS LÄN</t>
        </is>
      </c>
      <c r="E3753" t="inlineStr">
        <is>
          <t>LIDKÖPING</t>
        </is>
      </c>
      <c r="G3753" t="n">
        <v>1.2</v>
      </c>
      <c r="H3753" t="n">
        <v>0</v>
      </c>
      <c r="I3753" t="n">
        <v>0</v>
      </c>
      <c r="J3753" t="n">
        <v>0</v>
      </c>
      <c r="K3753" t="n">
        <v>0</v>
      </c>
      <c r="L3753" t="n">
        <v>0</v>
      </c>
      <c r="M3753" t="n">
        <v>0</v>
      </c>
      <c r="N3753" t="n">
        <v>0</v>
      </c>
      <c r="O3753" t="n">
        <v>0</v>
      </c>
      <c r="P3753" t="n">
        <v>0</v>
      </c>
      <c r="Q3753" t="n">
        <v>0</v>
      </c>
      <c r="R3753" s="2" t="inlineStr"/>
    </row>
    <row r="3754" ht="15" customHeight="1">
      <c r="A3754" t="inlineStr">
        <is>
          <t>A 63214-2021</t>
        </is>
      </c>
      <c r="B3754" s="1" t="n">
        <v>44505</v>
      </c>
      <c r="C3754" s="1" t="n">
        <v>45952</v>
      </c>
      <c r="D3754" t="inlineStr">
        <is>
          <t>VÄSTRA GÖTALANDS LÄN</t>
        </is>
      </c>
      <c r="E3754" t="inlineStr">
        <is>
          <t>ÅMÅL</t>
        </is>
      </c>
      <c r="G3754" t="n">
        <v>4</v>
      </c>
      <c r="H3754" t="n">
        <v>0</v>
      </c>
      <c r="I3754" t="n">
        <v>0</v>
      </c>
      <c r="J3754" t="n">
        <v>0</v>
      </c>
      <c r="K3754" t="n">
        <v>0</v>
      </c>
      <c r="L3754" t="n">
        <v>0</v>
      </c>
      <c r="M3754" t="n">
        <v>0</v>
      </c>
      <c r="N3754" t="n">
        <v>0</v>
      </c>
      <c r="O3754" t="n">
        <v>0</v>
      </c>
      <c r="P3754" t="n">
        <v>0</v>
      </c>
      <c r="Q3754" t="n">
        <v>0</v>
      </c>
      <c r="R3754" s="2" t="inlineStr"/>
    </row>
    <row r="3755" ht="15" customHeight="1">
      <c r="A3755" t="inlineStr">
        <is>
          <t>A 15415-2022</t>
        </is>
      </c>
      <c r="B3755" s="1" t="n">
        <v>44659</v>
      </c>
      <c r="C3755" s="1" t="n">
        <v>45952</v>
      </c>
      <c r="D3755" t="inlineStr">
        <is>
          <t>VÄSTRA GÖTALANDS LÄN</t>
        </is>
      </c>
      <c r="E3755" t="inlineStr">
        <is>
          <t>SKARA</t>
        </is>
      </c>
      <c r="F3755" t="inlineStr">
        <is>
          <t>Kommuner</t>
        </is>
      </c>
      <c r="G3755" t="n">
        <v>2.4</v>
      </c>
      <c r="H3755" t="n">
        <v>0</v>
      </c>
      <c r="I3755" t="n">
        <v>0</v>
      </c>
      <c r="J3755" t="n">
        <v>0</v>
      </c>
      <c r="K3755" t="n">
        <v>0</v>
      </c>
      <c r="L3755" t="n">
        <v>0</v>
      </c>
      <c r="M3755" t="n">
        <v>0</v>
      </c>
      <c r="N3755" t="n">
        <v>0</v>
      </c>
      <c r="O3755" t="n">
        <v>0</v>
      </c>
      <c r="P3755" t="n">
        <v>0</v>
      </c>
      <c r="Q3755" t="n">
        <v>0</v>
      </c>
      <c r="R3755" s="2" t="inlineStr"/>
    </row>
    <row r="3756" ht="15" customHeight="1">
      <c r="A3756" t="inlineStr">
        <is>
          <t>A 40354-2022</t>
        </is>
      </c>
      <c r="B3756" s="1" t="n">
        <v>44823.37871527778</v>
      </c>
      <c r="C3756" s="1" t="n">
        <v>45952</v>
      </c>
      <c r="D3756" t="inlineStr">
        <is>
          <t>VÄSTRA GÖTALANDS LÄN</t>
        </is>
      </c>
      <c r="E3756" t="inlineStr">
        <is>
          <t>DALS-ED</t>
        </is>
      </c>
      <c r="G3756" t="n">
        <v>4.1</v>
      </c>
      <c r="H3756" t="n">
        <v>0</v>
      </c>
      <c r="I3756" t="n">
        <v>0</v>
      </c>
      <c r="J3756" t="n">
        <v>0</v>
      </c>
      <c r="K3756" t="n">
        <v>0</v>
      </c>
      <c r="L3756" t="n">
        <v>0</v>
      </c>
      <c r="M3756" t="n">
        <v>0</v>
      </c>
      <c r="N3756" t="n">
        <v>0</v>
      </c>
      <c r="O3756" t="n">
        <v>0</v>
      </c>
      <c r="P3756" t="n">
        <v>0</v>
      </c>
      <c r="Q3756" t="n">
        <v>0</v>
      </c>
      <c r="R3756" s="2" t="inlineStr"/>
    </row>
    <row r="3757" ht="15" customHeight="1">
      <c r="A3757" t="inlineStr">
        <is>
          <t>A 35246-2024</t>
        </is>
      </c>
      <c r="B3757" s="1" t="n">
        <v>45530.56388888889</v>
      </c>
      <c r="C3757" s="1" t="n">
        <v>45952</v>
      </c>
      <c r="D3757" t="inlineStr">
        <is>
          <t>VÄSTRA GÖTALANDS LÄN</t>
        </is>
      </c>
      <c r="E3757" t="inlineStr">
        <is>
          <t>BENGTSFORS</t>
        </is>
      </c>
      <c r="G3757" t="n">
        <v>0.6</v>
      </c>
      <c r="H3757" t="n">
        <v>0</v>
      </c>
      <c r="I3757" t="n">
        <v>0</v>
      </c>
      <c r="J3757" t="n">
        <v>0</v>
      </c>
      <c r="K3757" t="n">
        <v>0</v>
      </c>
      <c r="L3757" t="n">
        <v>0</v>
      </c>
      <c r="M3757" t="n">
        <v>0</v>
      </c>
      <c r="N3757" t="n">
        <v>0</v>
      </c>
      <c r="O3757" t="n">
        <v>0</v>
      </c>
      <c r="P3757" t="n">
        <v>0</v>
      </c>
      <c r="Q3757" t="n">
        <v>0</v>
      </c>
      <c r="R3757" s="2" t="inlineStr"/>
    </row>
    <row r="3758" ht="15" customHeight="1">
      <c r="A3758" t="inlineStr">
        <is>
          <t>A 19481-2023</t>
        </is>
      </c>
      <c r="B3758" s="1" t="n">
        <v>45050.43728009259</v>
      </c>
      <c r="C3758" s="1" t="n">
        <v>45952</v>
      </c>
      <c r="D3758" t="inlineStr">
        <is>
          <t>VÄSTRA GÖTALANDS LÄN</t>
        </is>
      </c>
      <c r="E3758" t="inlineStr">
        <is>
          <t>BORÅS</t>
        </is>
      </c>
      <c r="G3758" t="n">
        <v>1.1</v>
      </c>
      <c r="H3758" t="n">
        <v>0</v>
      </c>
      <c r="I3758" t="n">
        <v>0</v>
      </c>
      <c r="J3758" t="n">
        <v>0</v>
      </c>
      <c r="K3758" t="n">
        <v>0</v>
      </c>
      <c r="L3758" t="n">
        <v>0</v>
      </c>
      <c r="M3758" t="n">
        <v>0</v>
      </c>
      <c r="N3758" t="n">
        <v>0</v>
      </c>
      <c r="O3758" t="n">
        <v>0</v>
      </c>
      <c r="P3758" t="n">
        <v>0</v>
      </c>
      <c r="Q3758" t="n">
        <v>0</v>
      </c>
      <c r="R3758" s="2" t="inlineStr"/>
    </row>
    <row r="3759" ht="15" customHeight="1">
      <c r="A3759" t="inlineStr">
        <is>
          <t>A 19483-2023</t>
        </is>
      </c>
      <c r="B3759" s="1" t="n">
        <v>45050.44355324074</v>
      </c>
      <c r="C3759" s="1" t="n">
        <v>45952</v>
      </c>
      <c r="D3759" t="inlineStr">
        <is>
          <t>VÄSTRA GÖTALANDS LÄN</t>
        </is>
      </c>
      <c r="E3759" t="inlineStr">
        <is>
          <t>BORÅS</t>
        </is>
      </c>
      <c r="G3759" t="n">
        <v>1.4</v>
      </c>
      <c r="H3759" t="n">
        <v>0</v>
      </c>
      <c r="I3759" t="n">
        <v>0</v>
      </c>
      <c r="J3759" t="n">
        <v>0</v>
      </c>
      <c r="K3759" t="n">
        <v>0</v>
      </c>
      <c r="L3759" t="n">
        <v>0</v>
      </c>
      <c r="M3759" t="n">
        <v>0</v>
      </c>
      <c r="N3759" t="n">
        <v>0</v>
      </c>
      <c r="O3759" t="n">
        <v>0</v>
      </c>
      <c r="P3759" t="n">
        <v>0</v>
      </c>
      <c r="Q3759" t="n">
        <v>0</v>
      </c>
      <c r="R3759" s="2" t="inlineStr"/>
    </row>
    <row r="3760" ht="15" customHeight="1">
      <c r="A3760" t="inlineStr">
        <is>
          <t>A 9084-2021</t>
        </is>
      </c>
      <c r="B3760" s="1" t="n">
        <v>44249</v>
      </c>
      <c r="C3760" s="1" t="n">
        <v>45952</v>
      </c>
      <c r="D3760" t="inlineStr">
        <is>
          <t>VÄSTRA GÖTALANDS LÄN</t>
        </is>
      </c>
      <c r="E3760" t="inlineStr">
        <is>
          <t>DALS-ED</t>
        </is>
      </c>
      <c r="F3760" t="inlineStr">
        <is>
          <t>Övriga Aktiebolag</t>
        </is>
      </c>
      <c r="G3760" t="n">
        <v>3.8</v>
      </c>
      <c r="H3760" t="n">
        <v>0</v>
      </c>
      <c r="I3760" t="n">
        <v>0</v>
      </c>
      <c r="J3760" t="n">
        <v>0</v>
      </c>
      <c r="K3760" t="n">
        <v>0</v>
      </c>
      <c r="L3760" t="n">
        <v>0</v>
      </c>
      <c r="M3760" t="n">
        <v>0</v>
      </c>
      <c r="N3760" t="n">
        <v>0</v>
      </c>
      <c r="O3760" t="n">
        <v>0</v>
      </c>
      <c r="P3760" t="n">
        <v>0</v>
      </c>
      <c r="Q3760" t="n">
        <v>0</v>
      </c>
      <c r="R3760" s="2" t="inlineStr"/>
    </row>
    <row r="3761" ht="15" customHeight="1">
      <c r="A3761" t="inlineStr">
        <is>
          <t>A 9106-2021</t>
        </is>
      </c>
      <c r="B3761" s="1" t="n">
        <v>44249</v>
      </c>
      <c r="C3761" s="1" t="n">
        <v>45952</v>
      </c>
      <c r="D3761" t="inlineStr">
        <is>
          <t>VÄSTRA GÖTALANDS LÄN</t>
        </is>
      </c>
      <c r="E3761" t="inlineStr">
        <is>
          <t>TIDAHOLM</t>
        </is>
      </c>
      <c r="G3761" t="n">
        <v>5</v>
      </c>
      <c r="H3761" t="n">
        <v>0</v>
      </c>
      <c r="I3761" t="n">
        <v>0</v>
      </c>
      <c r="J3761" t="n">
        <v>0</v>
      </c>
      <c r="K3761" t="n">
        <v>0</v>
      </c>
      <c r="L3761" t="n">
        <v>0</v>
      </c>
      <c r="M3761" t="n">
        <v>0</v>
      </c>
      <c r="N3761" t="n">
        <v>0</v>
      </c>
      <c r="O3761" t="n">
        <v>0</v>
      </c>
      <c r="P3761" t="n">
        <v>0</v>
      </c>
      <c r="Q3761" t="n">
        <v>0</v>
      </c>
      <c r="R3761" s="2" t="inlineStr"/>
    </row>
    <row r="3762" ht="15" customHeight="1">
      <c r="A3762" t="inlineStr">
        <is>
          <t>A 44893-2021</t>
        </is>
      </c>
      <c r="B3762" s="1" t="n">
        <v>44438</v>
      </c>
      <c r="C3762" s="1" t="n">
        <v>45952</v>
      </c>
      <c r="D3762" t="inlineStr">
        <is>
          <t>VÄSTRA GÖTALANDS LÄN</t>
        </is>
      </c>
      <c r="E3762" t="inlineStr">
        <is>
          <t>MUNKEDAL</t>
        </is>
      </c>
      <c r="G3762" t="n">
        <v>1.5</v>
      </c>
      <c r="H3762" t="n">
        <v>0</v>
      </c>
      <c r="I3762" t="n">
        <v>0</v>
      </c>
      <c r="J3762" t="n">
        <v>0</v>
      </c>
      <c r="K3762" t="n">
        <v>0</v>
      </c>
      <c r="L3762" t="n">
        <v>0</v>
      </c>
      <c r="M3762" t="n">
        <v>0</v>
      </c>
      <c r="N3762" t="n">
        <v>0</v>
      </c>
      <c r="O3762" t="n">
        <v>0</v>
      </c>
      <c r="P3762" t="n">
        <v>0</v>
      </c>
      <c r="Q3762" t="n">
        <v>0</v>
      </c>
      <c r="R3762" s="2" t="inlineStr"/>
    </row>
    <row r="3763" ht="15" customHeight="1">
      <c r="A3763" t="inlineStr">
        <is>
          <t>A 26529-2023</t>
        </is>
      </c>
      <c r="B3763" s="1" t="n">
        <v>45092.57231481482</v>
      </c>
      <c r="C3763" s="1" t="n">
        <v>45952</v>
      </c>
      <c r="D3763" t="inlineStr">
        <is>
          <t>VÄSTRA GÖTALANDS LÄN</t>
        </is>
      </c>
      <c r="E3763" t="inlineStr">
        <is>
          <t>MARK</t>
        </is>
      </c>
      <c r="G3763" t="n">
        <v>1.8</v>
      </c>
      <c r="H3763" t="n">
        <v>0</v>
      </c>
      <c r="I3763" t="n">
        <v>0</v>
      </c>
      <c r="J3763" t="n">
        <v>0</v>
      </c>
      <c r="K3763" t="n">
        <v>0</v>
      </c>
      <c r="L3763" t="n">
        <v>0</v>
      </c>
      <c r="M3763" t="n">
        <v>0</v>
      </c>
      <c r="N3763" t="n">
        <v>0</v>
      </c>
      <c r="O3763" t="n">
        <v>0</v>
      </c>
      <c r="P3763" t="n">
        <v>0</v>
      </c>
      <c r="Q3763" t="n">
        <v>0</v>
      </c>
      <c r="R3763" s="2" t="inlineStr"/>
    </row>
    <row r="3764" ht="15" customHeight="1">
      <c r="A3764" t="inlineStr">
        <is>
          <t>A 9208-2024</t>
        </is>
      </c>
      <c r="B3764" s="1" t="n">
        <v>45357</v>
      </c>
      <c r="C3764" s="1" t="n">
        <v>45952</v>
      </c>
      <c r="D3764" t="inlineStr">
        <is>
          <t>VÄSTRA GÖTALANDS LÄN</t>
        </is>
      </c>
      <c r="E3764" t="inlineStr">
        <is>
          <t>ULRICEHAMN</t>
        </is>
      </c>
      <c r="G3764" t="n">
        <v>6.4</v>
      </c>
      <c r="H3764" t="n">
        <v>0</v>
      </c>
      <c r="I3764" t="n">
        <v>0</v>
      </c>
      <c r="J3764" t="n">
        <v>0</v>
      </c>
      <c r="K3764" t="n">
        <v>0</v>
      </c>
      <c r="L3764" t="n">
        <v>0</v>
      </c>
      <c r="M3764" t="n">
        <v>0</v>
      </c>
      <c r="N3764" t="n">
        <v>0</v>
      </c>
      <c r="O3764" t="n">
        <v>0</v>
      </c>
      <c r="P3764" t="n">
        <v>0</v>
      </c>
      <c r="Q3764" t="n">
        <v>0</v>
      </c>
      <c r="R3764" s="2" t="inlineStr"/>
    </row>
    <row r="3765" ht="15" customHeight="1">
      <c r="A3765" t="inlineStr">
        <is>
          <t>A 32541-2024</t>
        </is>
      </c>
      <c r="B3765" s="1" t="n">
        <v>45513.49285879629</v>
      </c>
      <c r="C3765" s="1" t="n">
        <v>45952</v>
      </c>
      <c r="D3765" t="inlineStr">
        <is>
          <t>VÄSTRA GÖTALANDS LÄN</t>
        </is>
      </c>
      <c r="E3765" t="inlineStr">
        <is>
          <t>TROLLHÄTTAN</t>
        </is>
      </c>
      <c r="F3765" t="inlineStr">
        <is>
          <t>Kyrkan</t>
        </is>
      </c>
      <c r="G3765" t="n">
        <v>0.5</v>
      </c>
      <c r="H3765" t="n">
        <v>0</v>
      </c>
      <c r="I3765" t="n">
        <v>0</v>
      </c>
      <c r="J3765" t="n">
        <v>0</v>
      </c>
      <c r="K3765" t="n">
        <v>0</v>
      </c>
      <c r="L3765" t="n">
        <v>0</v>
      </c>
      <c r="M3765" t="n">
        <v>0</v>
      </c>
      <c r="N3765" t="n">
        <v>0</v>
      </c>
      <c r="O3765" t="n">
        <v>0</v>
      </c>
      <c r="P3765" t="n">
        <v>0</v>
      </c>
      <c r="Q3765" t="n">
        <v>0</v>
      </c>
      <c r="R3765" s="2" t="inlineStr"/>
    </row>
    <row r="3766" ht="15" customHeight="1">
      <c r="A3766" t="inlineStr">
        <is>
          <t>A 32548-2024</t>
        </is>
      </c>
      <c r="B3766" s="1" t="n">
        <v>45513</v>
      </c>
      <c r="C3766" s="1" t="n">
        <v>45952</v>
      </c>
      <c r="D3766" t="inlineStr">
        <is>
          <t>VÄSTRA GÖTALANDS LÄN</t>
        </is>
      </c>
      <c r="E3766" t="inlineStr">
        <is>
          <t>GULLSPÅNG</t>
        </is>
      </c>
      <c r="G3766" t="n">
        <v>10.2</v>
      </c>
      <c r="H3766" t="n">
        <v>0</v>
      </c>
      <c r="I3766" t="n">
        <v>0</v>
      </c>
      <c r="J3766" t="n">
        <v>0</v>
      </c>
      <c r="K3766" t="n">
        <v>0</v>
      </c>
      <c r="L3766" t="n">
        <v>0</v>
      </c>
      <c r="M3766" t="n">
        <v>0</v>
      </c>
      <c r="N3766" t="n">
        <v>0</v>
      </c>
      <c r="O3766" t="n">
        <v>0</v>
      </c>
      <c r="P3766" t="n">
        <v>0</v>
      </c>
      <c r="Q3766" t="n">
        <v>0</v>
      </c>
      <c r="R3766" s="2" t="inlineStr"/>
    </row>
    <row r="3767" ht="15" customHeight="1">
      <c r="A3767" t="inlineStr">
        <is>
          <t>A 35426-2023</t>
        </is>
      </c>
      <c r="B3767" s="1" t="n">
        <v>45146.62553240741</v>
      </c>
      <c r="C3767" s="1" t="n">
        <v>45952</v>
      </c>
      <c r="D3767" t="inlineStr">
        <is>
          <t>VÄSTRA GÖTALANDS LÄN</t>
        </is>
      </c>
      <c r="E3767" t="inlineStr">
        <is>
          <t>GULLSPÅNG</t>
        </is>
      </c>
      <c r="G3767" t="n">
        <v>0.6</v>
      </c>
      <c r="H3767" t="n">
        <v>0</v>
      </c>
      <c r="I3767" t="n">
        <v>0</v>
      </c>
      <c r="J3767" t="n">
        <v>0</v>
      </c>
      <c r="K3767" t="n">
        <v>0</v>
      </c>
      <c r="L3767" t="n">
        <v>0</v>
      </c>
      <c r="M3767" t="n">
        <v>0</v>
      </c>
      <c r="N3767" t="n">
        <v>0</v>
      </c>
      <c r="O3767" t="n">
        <v>0</v>
      </c>
      <c r="P3767" t="n">
        <v>0</v>
      </c>
      <c r="Q3767" t="n">
        <v>0</v>
      </c>
      <c r="R3767" s="2" t="inlineStr"/>
    </row>
    <row r="3768" ht="15" customHeight="1">
      <c r="A3768" t="inlineStr">
        <is>
          <t>A 35433-2023</t>
        </is>
      </c>
      <c r="B3768" s="1" t="n">
        <v>45146.62883101852</v>
      </c>
      <c r="C3768" s="1" t="n">
        <v>45952</v>
      </c>
      <c r="D3768" t="inlineStr">
        <is>
          <t>VÄSTRA GÖTALANDS LÄN</t>
        </is>
      </c>
      <c r="E3768" t="inlineStr">
        <is>
          <t>GULLSPÅNG</t>
        </is>
      </c>
      <c r="G3768" t="n">
        <v>1.3</v>
      </c>
      <c r="H3768" t="n">
        <v>0</v>
      </c>
      <c r="I3768" t="n">
        <v>0</v>
      </c>
      <c r="J3768" t="n">
        <v>0</v>
      </c>
      <c r="K3768" t="n">
        <v>0</v>
      </c>
      <c r="L3768" t="n">
        <v>0</v>
      </c>
      <c r="M3768" t="n">
        <v>0</v>
      </c>
      <c r="N3768" t="n">
        <v>0</v>
      </c>
      <c r="O3768" t="n">
        <v>0</v>
      </c>
      <c r="P3768" t="n">
        <v>0</v>
      </c>
      <c r="Q3768" t="n">
        <v>0</v>
      </c>
      <c r="R3768" s="2" t="inlineStr"/>
    </row>
    <row r="3769" ht="15" customHeight="1">
      <c r="A3769" t="inlineStr">
        <is>
          <t>A 31128-2023</t>
        </is>
      </c>
      <c r="B3769" s="1" t="n">
        <v>45113.69722222222</v>
      </c>
      <c r="C3769" s="1" t="n">
        <v>45952</v>
      </c>
      <c r="D3769" t="inlineStr">
        <is>
          <t>VÄSTRA GÖTALANDS LÄN</t>
        </is>
      </c>
      <c r="E3769" t="inlineStr">
        <is>
          <t>SKARA</t>
        </is>
      </c>
      <c r="G3769" t="n">
        <v>0.8</v>
      </c>
      <c r="H3769" t="n">
        <v>0</v>
      </c>
      <c r="I3769" t="n">
        <v>0</v>
      </c>
      <c r="J3769" t="n">
        <v>0</v>
      </c>
      <c r="K3769" t="n">
        <v>0</v>
      </c>
      <c r="L3769" t="n">
        <v>0</v>
      </c>
      <c r="M3769" t="n">
        <v>0</v>
      </c>
      <c r="N3769" t="n">
        <v>0</v>
      </c>
      <c r="O3769" t="n">
        <v>0</v>
      </c>
      <c r="P3769" t="n">
        <v>0</v>
      </c>
      <c r="Q3769" t="n">
        <v>0</v>
      </c>
      <c r="R3769" s="2" t="inlineStr"/>
    </row>
    <row r="3770" ht="15" customHeight="1">
      <c r="A3770" t="inlineStr">
        <is>
          <t>A 37157-2024</t>
        </is>
      </c>
      <c r="B3770" s="1" t="n">
        <v>45539.61159722223</v>
      </c>
      <c r="C3770" s="1" t="n">
        <v>45952</v>
      </c>
      <c r="D3770" t="inlineStr">
        <is>
          <t>VÄSTRA GÖTALANDS LÄN</t>
        </is>
      </c>
      <c r="E3770" t="inlineStr">
        <is>
          <t>UDDEVALLA</t>
        </is>
      </c>
      <c r="G3770" t="n">
        <v>3.9</v>
      </c>
      <c r="H3770" t="n">
        <v>0</v>
      </c>
      <c r="I3770" t="n">
        <v>0</v>
      </c>
      <c r="J3770" t="n">
        <v>0</v>
      </c>
      <c r="K3770" t="n">
        <v>0</v>
      </c>
      <c r="L3770" t="n">
        <v>0</v>
      </c>
      <c r="M3770" t="n">
        <v>0</v>
      </c>
      <c r="N3770" t="n">
        <v>0</v>
      </c>
      <c r="O3770" t="n">
        <v>0</v>
      </c>
      <c r="P3770" t="n">
        <v>0</v>
      </c>
      <c r="Q3770" t="n">
        <v>0</v>
      </c>
      <c r="R3770" s="2" t="inlineStr"/>
    </row>
    <row r="3771" ht="15" customHeight="1">
      <c r="A3771" t="inlineStr">
        <is>
          <t>A 47877-2021</t>
        </is>
      </c>
      <c r="B3771" s="1" t="n">
        <v>44448</v>
      </c>
      <c r="C3771" s="1" t="n">
        <v>45952</v>
      </c>
      <c r="D3771" t="inlineStr">
        <is>
          <t>VÄSTRA GÖTALANDS LÄN</t>
        </is>
      </c>
      <c r="E3771" t="inlineStr">
        <is>
          <t>ORUST</t>
        </is>
      </c>
      <c r="G3771" t="n">
        <v>2.1</v>
      </c>
      <c r="H3771" t="n">
        <v>0</v>
      </c>
      <c r="I3771" t="n">
        <v>0</v>
      </c>
      <c r="J3771" t="n">
        <v>0</v>
      </c>
      <c r="K3771" t="n">
        <v>0</v>
      </c>
      <c r="L3771" t="n">
        <v>0</v>
      </c>
      <c r="M3771" t="n">
        <v>0</v>
      </c>
      <c r="N3771" t="n">
        <v>0</v>
      </c>
      <c r="O3771" t="n">
        <v>0</v>
      </c>
      <c r="P3771" t="n">
        <v>0</v>
      </c>
      <c r="Q3771" t="n">
        <v>0</v>
      </c>
      <c r="R3771" s="2" t="inlineStr"/>
    </row>
    <row r="3772" ht="15" customHeight="1">
      <c r="A3772" t="inlineStr">
        <is>
          <t>A 12726-2022</t>
        </is>
      </c>
      <c r="B3772" s="1" t="n">
        <v>44641</v>
      </c>
      <c r="C3772" s="1" t="n">
        <v>45952</v>
      </c>
      <c r="D3772" t="inlineStr">
        <is>
          <t>VÄSTRA GÖTALANDS LÄN</t>
        </is>
      </c>
      <c r="E3772" t="inlineStr">
        <is>
          <t>HJO</t>
        </is>
      </c>
      <c r="G3772" t="n">
        <v>1.1</v>
      </c>
      <c r="H3772" t="n">
        <v>0</v>
      </c>
      <c r="I3772" t="n">
        <v>0</v>
      </c>
      <c r="J3772" t="n">
        <v>0</v>
      </c>
      <c r="K3772" t="n">
        <v>0</v>
      </c>
      <c r="L3772" t="n">
        <v>0</v>
      </c>
      <c r="M3772" t="n">
        <v>0</v>
      </c>
      <c r="N3772" t="n">
        <v>0</v>
      </c>
      <c r="O3772" t="n">
        <v>0</v>
      </c>
      <c r="P3772" t="n">
        <v>0</v>
      </c>
      <c r="Q3772" t="n">
        <v>0</v>
      </c>
      <c r="R3772" s="2" t="inlineStr"/>
    </row>
    <row r="3773" ht="15" customHeight="1">
      <c r="A3773" t="inlineStr">
        <is>
          <t>A 48513-2021</t>
        </is>
      </c>
      <c r="B3773" s="1" t="n">
        <v>44449</v>
      </c>
      <c r="C3773" s="1" t="n">
        <v>45952</v>
      </c>
      <c r="D3773" t="inlineStr">
        <is>
          <t>VÄSTRA GÖTALANDS LÄN</t>
        </is>
      </c>
      <c r="E3773" t="inlineStr">
        <is>
          <t>BOLLEBYGD</t>
        </is>
      </c>
      <c r="G3773" t="n">
        <v>3.1</v>
      </c>
      <c r="H3773" t="n">
        <v>0</v>
      </c>
      <c r="I3773" t="n">
        <v>0</v>
      </c>
      <c r="J3773" t="n">
        <v>0</v>
      </c>
      <c r="K3773" t="n">
        <v>0</v>
      </c>
      <c r="L3773" t="n">
        <v>0</v>
      </c>
      <c r="M3773" t="n">
        <v>0</v>
      </c>
      <c r="N3773" t="n">
        <v>0</v>
      </c>
      <c r="O3773" t="n">
        <v>0</v>
      </c>
      <c r="P3773" t="n">
        <v>0</v>
      </c>
      <c r="Q3773" t="n">
        <v>0</v>
      </c>
      <c r="R3773" s="2" t="inlineStr"/>
    </row>
    <row r="3774" ht="15" customHeight="1">
      <c r="A3774" t="inlineStr">
        <is>
          <t>A 40834-2024</t>
        </is>
      </c>
      <c r="B3774" s="1" t="n">
        <v>45558.56859953704</v>
      </c>
      <c r="C3774" s="1" t="n">
        <v>45952</v>
      </c>
      <c r="D3774" t="inlineStr">
        <is>
          <t>VÄSTRA GÖTALANDS LÄN</t>
        </is>
      </c>
      <c r="E3774" t="inlineStr">
        <is>
          <t>FALKÖPING</t>
        </is>
      </c>
      <c r="G3774" t="n">
        <v>1.6</v>
      </c>
      <c r="H3774" t="n">
        <v>0</v>
      </c>
      <c r="I3774" t="n">
        <v>0</v>
      </c>
      <c r="J3774" t="n">
        <v>0</v>
      </c>
      <c r="K3774" t="n">
        <v>0</v>
      </c>
      <c r="L3774" t="n">
        <v>0</v>
      </c>
      <c r="M3774" t="n">
        <v>0</v>
      </c>
      <c r="N3774" t="n">
        <v>0</v>
      </c>
      <c r="O3774" t="n">
        <v>0</v>
      </c>
      <c r="P3774" t="n">
        <v>0</v>
      </c>
      <c r="Q3774" t="n">
        <v>0</v>
      </c>
      <c r="R3774" s="2" t="inlineStr"/>
    </row>
    <row r="3775" ht="15" customHeight="1">
      <c r="A3775" t="inlineStr">
        <is>
          <t>A 39678-2021</t>
        </is>
      </c>
      <c r="B3775" s="1" t="n">
        <v>44417</v>
      </c>
      <c r="C3775" s="1" t="n">
        <v>45952</v>
      </c>
      <c r="D3775" t="inlineStr">
        <is>
          <t>VÄSTRA GÖTALANDS LÄN</t>
        </is>
      </c>
      <c r="E3775" t="inlineStr">
        <is>
          <t>ESSUNGA</t>
        </is>
      </c>
      <c r="F3775" t="inlineStr">
        <is>
          <t>Allmännings- och besparingsskogar</t>
        </is>
      </c>
      <c r="G3775" t="n">
        <v>1.1</v>
      </c>
      <c r="H3775" t="n">
        <v>0</v>
      </c>
      <c r="I3775" t="n">
        <v>0</v>
      </c>
      <c r="J3775" t="n">
        <v>0</v>
      </c>
      <c r="K3775" t="n">
        <v>0</v>
      </c>
      <c r="L3775" t="n">
        <v>0</v>
      </c>
      <c r="M3775" t="n">
        <v>0</v>
      </c>
      <c r="N3775" t="n">
        <v>0</v>
      </c>
      <c r="O3775" t="n">
        <v>0</v>
      </c>
      <c r="P3775" t="n">
        <v>0</v>
      </c>
      <c r="Q3775" t="n">
        <v>0</v>
      </c>
      <c r="R3775" s="2" t="inlineStr"/>
    </row>
    <row r="3776" ht="15" customHeight="1">
      <c r="A3776" t="inlineStr">
        <is>
          <t>A 47092-2023</t>
        </is>
      </c>
      <c r="B3776" s="1" t="n">
        <v>45201</v>
      </c>
      <c r="C3776" s="1" t="n">
        <v>45952</v>
      </c>
      <c r="D3776" t="inlineStr">
        <is>
          <t>VÄSTRA GÖTALANDS LÄN</t>
        </is>
      </c>
      <c r="E3776" t="inlineStr">
        <is>
          <t>DALS-ED</t>
        </is>
      </c>
      <c r="G3776" t="n">
        <v>1.9</v>
      </c>
      <c r="H3776" t="n">
        <v>0</v>
      </c>
      <c r="I3776" t="n">
        <v>0</v>
      </c>
      <c r="J3776" t="n">
        <v>0</v>
      </c>
      <c r="K3776" t="n">
        <v>0</v>
      </c>
      <c r="L3776" t="n">
        <v>0</v>
      </c>
      <c r="M3776" t="n">
        <v>0</v>
      </c>
      <c r="N3776" t="n">
        <v>0</v>
      </c>
      <c r="O3776" t="n">
        <v>0</v>
      </c>
      <c r="P3776" t="n">
        <v>0</v>
      </c>
      <c r="Q3776" t="n">
        <v>0</v>
      </c>
      <c r="R3776" s="2" t="inlineStr"/>
    </row>
    <row r="3777" ht="15" customHeight="1">
      <c r="A3777" t="inlineStr">
        <is>
          <t>A 18573-2023</t>
        </is>
      </c>
      <c r="B3777" s="1" t="n">
        <v>45043</v>
      </c>
      <c r="C3777" s="1" t="n">
        <v>45952</v>
      </c>
      <c r="D3777" t="inlineStr">
        <is>
          <t>VÄSTRA GÖTALANDS LÄN</t>
        </is>
      </c>
      <c r="E3777" t="inlineStr">
        <is>
          <t>ULRICEHAMN</t>
        </is>
      </c>
      <c r="G3777" t="n">
        <v>0.4</v>
      </c>
      <c r="H3777" t="n">
        <v>0</v>
      </c>
      <c r="I3777" t="n">
        <v>0</v>
      </c>
      <c r="J3777" t="n">
        <v>0</v>
      </c>
      <c r="K3777" t="n">
        <v>0</v>
      </c>
      <c r="L3777" t="n">
        <v>0</v>
      </c>
      <c r="M3777" t="n">
        <v>0</v>
      </c>
      <c r="N3777" t="n">
        <v>0</v>
      </c>
      <c r="O3777" t="n">
        <v>0</v>
      </c>
      <c r="P3777" t="n">
        <v>0</v>
      </c>
      <c r="Q3777" t="n">
        <v>0</v>
      </c>
      <c r="R3777" s="2" t="inlineStr"/>
    </row>
    <row r="3778" ht="15" customHeight="1">
      <c r="A3778" t="inlineStr">
        <is>
          <t>A 41696-2021</t>
        </is>
      </c>
      <c r="B3778" s="1" t="n">
        <v>44425.5575</v>
      </c>
      <c r="C3778" s="1" t="n">
        <v>45952</v>
      </c>
      <c r="D3778" t="inlineStr">
        <is>
          <t>VÄSTRA GÖTALANDS LÄN</t>
        </is>
      </c>
      <c r="E3778" t="inlineStr">
        <is>
          <t>DALS-ED</t>
        </is>
      </c>
      <c r="G3778" t="n">
        <v>6</v>
      </c>
      <c r="H3778" t="n">
        <v>0</v>
      </c>
      <c r="I3778" t="n">
        <v>0</v>
      </c>
      <c r="J3778" t="n">
        <v>0</v>
      </c>
      <c r="K3778" t="n">
        <v>0</v>
      </c>
      <c r="L3778" t="n">
        <v>0</v>
      </c>
      <c r="M3778" t="n">
        <v>0</v>
      </c>
      <c r="N3778" t="n">
        <v>0</v>
      </c>
      <c r="O3778" t="n">
        <v>0</v>
      </c>
      <c r="P3778" t="n">
        <v>0</v>
      </c>
      <c r="Q3778" t="n">
        <v>0</v>
      </c>
      <c r="R3778" s="2" t="inlineStr"/>
    </row>
    <row r="3779" ht="15" customHeight="1">
      <c r="A3779" t="inlineStr">
        <is>
          <t>A 41765-2021</t>
        </is>
      </c>
      <c r="B3779" s="1" t="n">
        <v>44425</v>
      </c>
      <c r="C3779" s="1" t="n">
        <v>45952</v>
      </c>
      <c r="D3779" t="inlineStr">
        <is>
          <t>VÄSTRA GÖTALANDS LÄN</t>
        </is>
      </c>
      <c r="E3779" t="inlineStr">
        <is>
          <t>KUNGÄLV</t>
        </is>
      </c>
      <c r="G3779" t="n">
        <v>5.6</v>
      </c>
      <c r="H3779" t="n">
        <v>0</v>
      </c>
      <c r="I3779" t="n">
        <v>0</v>
      </c>
      <c r="J3779" t="n">
        <v>0</v>
      </c>
      <c r="K3779" t="n">
        <v>0</v>
      </c>
      <c r="L3779" t="n">
        <v>0</v>
      </c>
      <c r="M3779" t="n">
        <v>0</v>
      </c>
      <c r="N3779" t="n">
        <v>0</v>
      </c>
      <c r="O3779" t="n">
        <v>0</v>
      </c>
      <c r="P3779" t="n">
        <v>0</v>
      </c>
      <c r="Q3779" t="n">
        <v>0</v>
      </c>
      <c r="R3779" s="2" t="inlineStr"/>
    </row>
    <row r="3780" ht="15" customHeight="1">
      <c r="A3780" t="inlineStr">
        <is>
          <t>A 33939-2023</t>
        </is>
      </c>
      <c r="B3780" s="1" t="n">
        <v>45134.55792824074</v>
      </c>
      <c r="C3780" s="1" t="n">
        <v>45952</v>
      </c>
      <c r="D3780" t="inlineStr">
        <is>
          <t>VÄSTRA GÖTALANDS LÄN</t>
        </is>
      </c>
      <c r="E3780" t="inlineStr">
        <is>
          <t>VÅRGÅRDA</t>
        </is>
      </c>
      <c r="G3780" t="n">
        <v>0.7</v>
      </c>
      <c r="H3780" t="n">
        <v>0</v>
      </c>
      <c r="I3780" t="n">
        <v>0</v>
      </c>
      <c r="J3780" t="n">
        <v>0</v>
      </c>
      <c r="K3780" t="n">
        <v>0</v>
      </c>
      <c r="L3780" t="n">
        <v>0</v>
      </c>
      <c r="M3780" t="n">
        <v>0</v>
      </c>
      <c r="N3780" t="n">
        <v>0</v>
      </c>
      <c r="O3780" t="n">
        <v>0</v>
      </c>
      <c r="P3780" t="n">
        <v>0</v>
      </c>
      <c r="Q3780" t="n">
        <v>0</v>
      </c>
      <c r="R3780" s="2" t="inlineStr"/>
    </row>
    <row r="3781" ht="15" customHeight="1">
      <c r="A3781" t="inlineStr">
        <is>
          <t>A 34467-2023</t>
        </is>
      </c>
      <c r="B3781" s="1" t="n">
        <v>45139.73614583333</v>
      </c>
      <c r="C3781" s="1" t="n">
        <v>45952</v>
      </c>
      <c r="D3781" t="inlineStr">
        <is>
          <t>VÄSTRA GÖTALANDS LÄN</t>
        </is>
      </c>
      <c r="E3781" t="inlineStr">
        <is>
          <t>DALS-ED</t>
        </is>
      </c>
      <c r="G3781" t="n">
        <v>1.5</v>
      </c>
      <c r="H3781" t="n">
        <v>0</v>
      </c>
      <c r="I3781" t="n">
        <v>0</v>
      </c>
      <c r="J3781" t="n">
        <v>0</v>
      </c>
      <c r="K3781" t="n">
        <v>0</v>
      </c>
      <c r="L3781" t="n">
        <v>0</v>
      </c>
      <c r="M3781" t="n">
        <v>0</v>
      </c>
      <c r="N3781" t="n">
        <v>0</v>
      </c>
      <c r="O3781" t="n">
        <v>0</v>
      </c>
      <c r="P3781" t="n">
        <v>0</v>
      </c>
      <c r="Q3781" t="n">
        <v>0</v>
      </c>
      <c r="R3781" s="2" t="inlineStr"/>
    </row>
    <row r="3782" ht="15" customHeight="1">
      <c r="A3782" t="inlineStr">
        <is>
          <t>A 261-2025</t>
        </is>
      </c>
      <c r="B3782" s="1" t="n">
        <v>45660.4503587963</v>
      </c>
      <c r="C3782" s="1" t="n">
        <v>45952</v>
      </c>
      <c r="D3782" t="inlineStr">
        <is>
          <t>VÄSTRA GÖTALANDS LÄN</t>
        </is>
      </c>
      <c r="E3782" t="inlineStr">
        <is>
          <t>ALINGSÅS</t>
        </is>
      </c>
      <c r="G3782" t="n">
        <v>0.9</v>
      </c>
      <c r="H3782" t="n">
        <v>0</v>
      </c>
      <c r="I3782" t="n">
        <v>0</v>
      </c>
      <c r="J3782" t="n">
        <v>0</v>
      </c>
      <c r="K3782" t="n">
        <v>0</v>
      </c>
      <c r="L3782" t="n">
        <v>0</v>
      </c>
      <c r="M3782" t="n">
        <v>0</v>
      </c>
      <c r="N3782" t="n">
        <v>0</v>
      </c>
      <c r="O3782" t="n">
        <v>0</v>
      </c>
      <c r="P3782" t="n">
        <v>0</v>
      </c>
      <c r="Q3782" t="n">
        <v>0</v>
      </c>
      <c r="R3782" s="2" t="inlineStr"/>
    </row>
    <row r="3783" ht="15" customHeight="1">
      <c r="A3783" t="inlineStr">
        <is>
          <t>A 8921-2022</t>
        </is>
      </c>
      <c r="B3783" s="1" t="n">
        <v>44614</v>
      </c>
      <c r="C3783" s="1" t="n">
        <v>45952</v>
      </c>
      <c r="D3783" t="inlineStr">
        <is>
          <t>VÄSTRA GÖTALANDS LÄN</t>
        </is>
      </c>
      <c r="E3783" t="inlineStr">
        <is>
          <t>TÖREBODA</t>
        </is>
      </c>
      <c r="F3783" t="inlineStr">
        <is>
          <t>Kyrkan</t>
        </is>
      </c>
      <c r="G3783" t="n">
        <v>6.6</v>
      </c>
      <c r="H3783" t="n">
        <v>0</v>
      </c>
      <c r="I3783" t="n">
        <v>0</v>
      </c>
      <c r="J3783" t="n">
        <v>0</v>
      </c>
      <c r="K3783" t="n">
        <v>0</v>
      </c>
      <c r="L3783" t="n">
        <v>0</v>
      </c>
      <c r="M3783" t="n">
        <v>0</v>
      </c>
      <c r="N3783" t="n">
        <v>0</v>
      </c>
      <c r="O3783" t="n">
        <v>0</v>
      </c>
      <c r="P3783" t="n">
        <v>0</v>
      </c>
      <c r="Q3783" t="n">
        <v>0</v>
      </c>
      <c r="R3783" s="2" t="inlineStr"/>
    </row>
    <row r="3784" ht="15" customHeight="1">
      <c r="A3784" t="inlineStr">
        <is>
          <t>A 6500-2025</t>
        </is>
      </c>
      <c r="B3784" s="1" t="n">
        <v>45699.64050925926</v>
      </c>
      <c r="C3784" s="1" t="n">
        <v>45952</v>
      </c>
      <c r="D3784" t="inlineStr">
        <is>
          <t>VÄSTRA GÖTALANDS LÄN</t>
        </is>
      </c>
      <c r="E3784" t="inlineStr">
        <is>
          <t>LYSEKIL</t>
        </is>
      </c>
      <c r="G3784" t="n">
        <v>2.1</v>
      </c>
      <c r="H3784" t="n">
        <v>0</v>
      </c>
      <c r="I3784" t="n">
        <v>0</v>
      </c>
      <c r="J3784" t="n">
        <v>0</v>
      </c>
      <c r="K3784" t="n">
        <v>0</v>
      </c>
      <c r="L3784" t="n">
        <v>0</v>
      </c>
      <c r="M3784" t="n">
        <v>0</v>
      </c>
      <c r="N3784" t="n">
        <v>0</v>
      </c>
      <c r="O3784" t="n">
        <v>0</v>
      </c>
      <c r="P3784" t="n">
        <v>0</v>
      </c>
      <c r="Q3784" t="n">
        <v>0</v>
      </c>
      <c r="R3784" s="2" t="inlineStr"/>
    </row>
    <row r="3785" ht="15" customHeight="1">
      <c r="A3785" t="inlineStr">
        <is>
          <t>A 19699-2024</t>
        </is>
      </c>
      <c r="B3785" s="1" t="n">
        <v>45432.54230324074</v>
      </c>
      <c r="C3785" s="1" t="n">
        <v>45952</v>
      </c>
      <c r="D3785" t="inlineStr">
        <is>
          <t>VÄSTRA GÖTALANDS LÄN</t>
        </is>
      </c>
      <c r="E3785" t="inlineStr">
        <is>
          <t>SVENLJUNGA</t>
        </is>
      </c>
      <c r="G3785" t="n">
        <v>0.6</v>
      </c>
      <c r="H3785" t="n">
        <v>0</v>
      </c>
      <c r="I3785" t="n">
        <v>0</v>
      </c>
      <c r="J3785" t="n">
        <v>0</v>
      </c>
      <c r="K3785" t="n">
        <v>0</v>
      </c>
      <c r="L3785" t="n">
        <v>0</v>
      </c>
      <c r="M3785" t="n">
        <v>0</v>
      </c>
      <c r="N3785" t="n">
        <v>0</v>
      </c>
      <c r="O3785" t="n">
        <v>0</v>
      </c>
      <c r="P3785" t="n">
        <v>0</v>
      </c>
      <c r="Q3785" t="n">
        <v>0</v>
      </c>
      <c r="R3785" s="2" t="inlineStr"/>
    </row>
    <row r="3786" ht="15" customHeight="1">
      <c r="A3786" t="inlineStr">
        <is>
          <t>A 23122-2024</t>
        </is>
      </c>
      <c r="B3786" s="1" t="n">
        <v>45450.60342592592</v>
      </c>
      <c r="C3786" s="1" t="n">
        <v>45952</v>
      </c>
      <c r="D3786" t="inlineStr">
        <is>
          <t>VÄSTRA GÖTALANDS LÄN</t>
        </is>
      </c>
      <c r="E3786" t="inlineStr">
        <is>
          <t>TANUM</t>
        </is>
      </c>
      <c r="G3786" t="n">
        <v>2.1</v>
      </c>
      <c r="H3786" t="n">
        <v>0</v>
      </c>
      <c r="I3786" t="n">
        <v>0</v>
      </c>
      <c r="J3786" t="n">
        <v>0</v>
      </c>
      <c r="K3786" t="n">
        <v>0</v>
      </c>
      <c r="L3786" t="n">
        <v>0</v>
      </c>
      <c r="M3786" t="n">
        <v>0</v>
      </c>
      <c r="N3786" t="n">
        <v>0</v>
      </c>
      <c r="O3786" t="n">
        <v>0</v>
      </c>
      <c r="P3786" t="n">
        <v>0</v>
      </c>
      <c r="Q3786" t="n">
        <v>0</v>
      </c>
      <c r="R3786" s="2" t="inlineStr"/>
    </row>
    <row r="3787" ht="15" customHeight="1">
      <c r="A3787" t="inlineStr">
        <is>
          <t>A 8884-2021</t>
        </is>
      </c>
      <c r="B3787" s="1" t="n">
        <v>44247</v>
      </c>
      <c r="C3787" s="1" t="n">
        <v>45952</v>
      </c>
      <c r="D3787" t="inlineStr">
        <is>
          <t>VÄSTRA GÖTALANDS LÄN</t>
        </is>
      </c>
      <c r="E3787" t="inlineStr">
        <is>
          <t>BENGTSFORS</t>
        </is>
      </c>
      <c r="G3787" t="n">
        <v>0.4</v>
      </c>
      <c r="H3787" t="n">
        <v>0</v>
      </c>
      <c r="I3787" t="n">
        <v>0</v>
      </c>
      <c r="J3787" t="n">
        <v>0</v>
      </c>
      <c r="K3787" t="n">
        <v>0</v>
      </c>
      <c r="L3787" t="n">
        <v>0</v>
      </c>
      <c r="M3787" t="n">
        <v>0</v>
      </c>
      <c r="N3787" t="n">
        <v>0</v>
      </c>
      <c r="O3787" t="n">
        <v>0</v>
      </c>
      <c r="P3787" t="n">
        <v>0</v>
      </c>
      <c r="Q3787" t="n">
        <v>0</v>
      </c>
      <c r="R3787" s="2" t="inlineStr"/>
    </row>
    <row r="3788" ht="15" customHeight="1">
      <c r="A3788" t="inlineStr">
        <is>
          <t>A 57173-2023</t>
        </is>
      </c>
      <c r="B3788" s="1" t="n">
        <v>45245.45607638889</v>
      </c>
      <c r="C3788" s="1" t="n">
        <v>45952</v>
      </c>
      <c r="D3788" t="inlineStr">
        <is>
          <t>VÄSTRA GÖTALANDS LÄN</t>
        </is>
      </c>
      <c r="E3788" t="inlineStr">
        <is>
          <t>ULRICEHAMN</t>
        </is>
      </c>
      <c r="G3788" t="n">
        <v>0.9</v>
      </c>
      <c r="H3788" t="n">
        <v>0</v>
      </c>
      <c r="I3788" t="n">
        <v>0</v>
      </c>
      <c r="J3788" t="n">
        <v>0</v>
      </c>
      <c r="K3788" t="n">
        <v>0</v>
      </c>
      <c r="L3788" t="n">
        <v>0</v>
      </c>
      <c r="M3788" t="n">
        <v>0</v>
      </c>
      <c r="N3788" t="n">
        <v>0</v>
      </c>
      <c r="O3788" t="n">
        <v>0</v>
      </c>
      <c r="P3788" t="n">
        <v>0</v>
      </c>
      <c r="Q3788" t="n">
        <v>0</v>
      </c>
      <c r="R3788" s="2" t="inlineStr"/>
    </row>
    <row r="3789" ht="15" customHeight="1">
      <c r="A3789" t="inlineStr">
        <is>
          <t>A 57175-2023</t>
        </is>
      </c>
      <c r="B3789" s="1" t="n">
        <v>45240</v>
      </c>
      <c r="C3789" s="1" t="n">
        <v>45952</v>
      </c>
      <c r="D3789" t="inlineStr">
        <is>
          <t>VÄSTRA GÖTALANDS LÄN</t>
        </is>
      </c>
      <c r="E3789" t="inlineStr">
        <is>
          <t>BORÅS</t>
        </is>
      </c>
      <c r="G3789" t="n">
        <v>1.7</v>
      </c>
      <c r="H3789" t="n">
        <v>0</v>
      </c>
      <c r="I3789" t="n">
        <v>0</v>
      </c>
      <c r="J3789" t="n">
        <v>0</v>
      </c>
      <c r="K3789" t="n">
        <v>0</v>
      </c>
      <c r="L3789" t="n">
        <v>0</v>
      </c>
      <c r="M3789" t="n">
        <v>0</v>
      </c>
      <c r="N3789" t="n">
        <v>0</v>
      </c>
      <c r="O3789" t="n">
        <v>0</v>
      </c>
      <c r="P3789" t="n">
        <v>0</v>
      </c>
      <c r="Q3789" t="n">
        <v>0</v>
      </c>
      <c r="R3789" s="2" t="inlineStr"/>
    </row>
    <row r="3790" ht="15" customHeight="1">
      <c r="A3790" t="inlineStr">
        <is>
          <t>A 13664-2023</t>
        </is>
      </c>
      <c r="B3790" s="1" t="n">
        <v>45006</v>
      </c>
      <c r="C3790" s="1" t="n">
        <v>45952</v>
      </c>
      <c r="D3790" t="inlineStr">
        <is>
          <t>VÄSTRA GÖTALANDS LÄN</t>
        </is>
      </c>
      <c r="E3790" t="inlineStr">
        <is>
          <t>TRANEMO</t>
        </is>
      </c>
      <c r="G3790" t="n">
        <v>2.3</v>
      </c>
      <c r="H3790" t="n">
        <v>0</v>
      </c>
      <c r="I3790" t="n">
        <v>0</v>
      </c>
      <c r="J3790" t="n">
        <v>0</v>
      </c>
      <c r="K3790" t="n">
        <v>0</v>
      </c>
      <c r="L3790" t="n">
        <v>0</v>
      </c>
      <c r="M3790" t="n">
        <v>0</v>
      </c>
      <c r="N3790" t="n">
        <v>0</v>
      </c>
      <c r="O3790" t="n">
        <v>0</v>
      </c>
      <c r="P3790" t="n">
        <v>0</v>
      </c>
      <c r="Q3790" t="n">
        <v>0</v>
      </c>
      <c r="R3790" s="2" t="inlineStr"/>
    </row>
    <row r="3791" ht="15" customHeight="1">
      <c r="A3791" t="inlineStr">
        <is>
          <t>A 9496-2024</t>
        </is>
      </c>
      <c r="B3791" s="1" t="n">
        <v>45359.59423611111</v>
      </c>
      <c r="C3791" s="1" t="n">
        <v>45952</v>
      </c>
      <c r="D3791" t="inlineStr">
        <is>
          <t>VÄSTRA GÖTALANDS LÄN</t>
        </is>
      </c>
      <c r="E3791" t="inlineStr">
        <is>
          <t>MARK</t>
        </is>
      </c>
      <c r="G3791" t="n">
        <v>2.8</v>
      </c>
      <c r="H3791" t="n">
        <v>0</v>
      </c>
      <c r="I3791" t="n">
        <v>0</v>
      </c>
      <c r="J3791" t="n">
        <v>0</v>
      </c>
      <c r="K3791" t="n">
        <v>0</v>
      </c>
      <c r="L3791" t="n">
        <v>0</v>
      </c>
      <c r="M3791" t="n">
        <v>0</v>
      </c>
      <c r="N3791" t="n">
        <v>0</v>
      </c>
      <c r="O3791" t="n">
        <v>0</v>
      </c>
      <c r="P3791" t="n">
        <v>0</v>
      </c>
      <c r="Q3791" t="n">
        <v>0</v>
      </c>
      <c r="R3791" s="2" t="inlineStr"/>
    </row>
    <row r="3792" ht="15" customHeight="1">
      <c r="A3792" t="inlineStr">
        <is>
          <t>A 5327-2023</t>
        </is>
      </c>
      <c r="B3792" s="1" t="n">
        <v>44959</v>
      </c>
      <c r="C3792" s="1" t="n">
        <v>45952</v>
      </c>
      <c r="D3792" t="inlineStr">
        <is>
          <t>VÄSTRA GÖTALANDS LÄN</t>
        </is>
      </c>
      <c r="E3792" t="inlineStr">
        <is>
          <t>ULRICEHAMN</t>
        </is>
      </c>
      <c r="G3792" t="n">
        <v>1.8</v>
      </c>
      <c r="H3792" t="n">
        <v>0</v>
      </c>
      <c r="I3792" t="n">
        <v>0</v>
      </c>
      <c r="J3792" t="n">
        <v>0</v>
      </c>
      <c r="K3792" t="n">
        <v>0</v>
      </c>
      <c r="L3792" t="n">
        <v>0</v>
      </c>
      <c r="M3792" t="n">
        <v>0</v>
      </c>
      <c r="N3792" t="n">
        <v>0</v>
      </c>
      <c r="O3792" t="n">
        <v>0</v>
      </c>
      <c r="P3792" t="n">
        <v>0</v>
      </c>
      <c r="Q3792" t="n">
        <v>0</v>
      </c>
      <c r="R3792" s="2" t="inlineStr"/>
    </row>
    <row r="3793" ht="15" customHeight="1">
      <c r="A3793" t="inlineStr">
        <is>
          <t>A 21303-2024</t>
        </is>
      </c>
      <c r="B3793" s="1" t="n">
        <v>45440.6750462963</v>
      </c>
      <c r="C3793" s="1" t="n">
        <v>45952</v>
      </c>
      <c r="D3793" t="inlineStr">
        <is>
          <t>VÄSTRA GÖTALANDS LÄN</t>
        </is>
      </c>
      <c r="E3793" t="inlineStr">
        <is>
          <t>VARA</t>
        </is>
      </c>
      <c r="G3793" t="n">
        <v>3.1</v>
      </c>
      <c r="H3793" t="n">
        <v>0</v>
      </c>
      <c r="I3793" t="n">
        <v>0</v>
      </c>
      <c r="J3793" t="n">
        <v>0</v>
      </c>
      <c r="K3793" t="n">
        <v>0</v>
      </c>
      <c r="L3793" t="n">
        <v>0</v>
      </c>
      <c r="M3793" t="n">
        <v>0</v>
      </c>
      <c r="N3793" t="n">
        <v>0</v>
      </c>
      <c r="O3793" t="n">
        <v>0</v>
      </c>
      <c r="P3793" t="n">
        <v>0</v>
      </c>
      <c r="Q3793" t="n">
        <v>0</v>
      </c>
      <c r="R3793" s="2" t="inlineStr"/>
    </row>
    <row r="3794" ht="15" customHeight="1">
      <c r="A3794" t="inlineStr">
        <is>
          <t>A 59908-2024</t>
        </is>
      </c>
      <c r="B3794" s="1" t="n">
        <v>45641.61994212963</v>
      </c>
      <c r="C3794" s="1" t="n">
        <v>45952</v>
      </c>
      <c r="D3794" t="inlineStr">
        <is>
          <t>VÄSTRA GÖTALANDS LÄN</t>
        </is>
      </c>
      <c r="E3794" t="inlineStr">
        <is>
          <t>TRANEMO</t>
        </is>
      </c>
      <c r="G3794" t="n">
        <v>1.5</v>
      </c>
      <c r="H3794" t="n">
        <v>0</v>
      </c>
      <c r="I3794" t="n">
        <v>0</v>
      </c>
      <c r="J3794" t="n">
        <v>0</v>
      </c>
      <c r="K3794" t="n">
        <v>0</v>
      </c>
      <c r="L3794" t="n">
        <v>0</v>
      </c>
      <c r="M3794" t="n">
        <v>0</v>
      </c>
      <c r="N3794" t="n">
        <v>0</v>
      </c>
      <c r="O3794" t="n">
        <v>0</v>
      </c>
      <c r="P3794" t="n">
        <v>0</v>
      </c>
      <c r="Q3794" t="n">
        <v>0</v>
      </c>
      <c r="R3794" s="2" t="inlineStr"/>
    </row>
    <row r="3795" ht="15" customHeight="1">
      <c r="A3795" t="inlineStr">
        <is>
          <t>A 60070-2024</t>
        </is>
      </c>
      <c r="B3795" s="1" t="n">
        <v>45642.52232638889</v>
      </c>
      <c r="C3795" s="1" t="n">
        <v>45952</v>
      </c>
      <c r="D3795" t="inlineStr">
        <is>
          <t>VÄSTRA GÖTALANDS LÄN</t>
        </is>
      </c>
      <c r="E3795" t="inlineStr">
        <is>
          <t>FALKÖPING</t>
        </is>
      </c>
      <c r="G3795" t="n">
        <v>0.5</v>
      </c>
      <c r="H3795" t="n">
        <v>0</v>
      </c>
      <c r="I3795" t="n">
        <v>0</v>
      </c>
      <c r="J3795" t="n">
        <v>0</v>
      </c>
      <c r="K3795" t="n">
        <v>0</v>
      </c>
      <c r="L3795" t="n">
        <v>0</v>
      </c>
      <c r="M3795" t="n">
        <v>0</v>
      </c>
      <c r="N3795" t="n">
        <v>0</v>
      </c>
      <c r="O3795" t="n">
        <v>0</v>
      </c>
      <c r="P3795" t="n">
        <v>0</v>
      </c>
      <c r="Q3795" t="n">
        <v>0</v>
      </c>
      <c r="R3795" s="2" t="inlineStr"/>
    </row>
    <row r="3796" ht="15" customHeight="1">
      <c r="A3796" t="inlineStr">
        <is>
          <t>A 51645-2021</t>
        </is>
      </c>
      <c r="B3796" s="1" t="n">
        <v>44462.49716435185</v>
      </c>
      <c r="C3796" s="1" t="n">
        <v>45952</v>
      </c>
      <c r="D3796" t="inlineStr">
        <is>
          <t>VÄSTRA GÖTALANDS LÄN</t>
        </is>
      </c>
      <c r="E3796" t="inlineStr">
        <is>
          <t>SVENLJUNGA</t>
        </is>
      </c>
      <c r="G3796" t="n">
        <v>0.7</v>
      </c>
      <c r="H3796" t="n">
        <v>0</v>
      </c>
      <c r="I3796" t="n">
        <v>0</v>
      </c>
      <c r="J3796" t="n">
        <v>0</v>
      </c>
      <c r="K3796" t="n">
        <v>0</v>
      </c>
      <c r="L3796" t="n">
        <v>0</v>
      </c>
      <c r="M3796" t="n">
        <v>0</v>
      </c>
      <c r="N3796" t="n">
        <v>0</v>
      </c>
      <c r="O3796" t="n">
        <v>0</v>
      </c>
      <c r="P3796" t="n">
        <v>0</v>
      </c>
      <c r="Q3796" t="n">
        <v>0</v>
      </c>
      <c r="R3796" s="2" t="inlineStr"/>
    </row>
    <row r="3797" ht="15" customHeight="1">
      <c r="A3797" t="inlineStr">
        <is>
          <t>A 30432-2023</t>
        </is>
      </c>
      <c r="B3797" s="1" t="n">
        <v>45111.54543981481</v>
      </c>
      <c r="C3797" s="1" t="n">
        <v>45952</v>
      </c>
      <c r="D3797" t="inlineStr">
        <is>
          <t>VÄSTRA GÖTALANDS LÄN</t>
        </is>
      </c>
      <c r="E3797" t="inlineStr">
        <is>
          <t>BENGTSFORS</t>
        </is>
      </c>
      <c r="G3797" t="n">
        <v>0.9</v>
      </c>
      <c r="H3797" t="n">
        <v>0</v>
      </c>
      <c r="I3797" t="n">
        <v>0</v>
      </c>
      <c r="J3797" t="n">
        <v>0</v>
      </c>
      <c r="K3797" t="n">
        <v>0</v>
      </c>
      <c r="L3797" t="n">
        <v>0</v>
      </c>
      <c r="M3797" t="n">
        <v>0</v>
      </c>
      <c r="N3797" t="n">
        <v>0</v>
      </c>
      <c r="O3797" t="n">
        <v>0</v>
      </c>
      <c r="P3797" t="n">
        <v>0</v>
      </c>
      <c r="Q3797" t="n">
        <v>0</v>
      </c>
      <c r="R3797" s="2" t="inlineStr"/>
    </row>
    <row r="3798" ht="15" customHeight="1">
      <c r="A3798" t="inlineStr">
        <is>
          <t>A 49506-2023</t>
        </is>
      </c>
      <c r="B3798" s="1" t="n">
        <v>45211.57574074074</v>
      </c>
      <c r="C3798" s="1" t="n">
        <v>45952</v>
      </c>
      <c r="D3798" t="inlineStr">
        <is>
          <t>VÄSTRA GÖTALANDS LÄN</t>
        </is>
      </c>
      <c r="E3798" t="inlineStr">
        <is>
          <t>ULRICEHAMN</t>
        </is>
      </c>
      <c r="G3798" t="n">
        <v>1.2</v>
      </c>
      <c r="H3798" t="n">
        <v>0</v>
      </c>
      <c r="I3798" t="n">
        <v>0</v>
      </c>
      <c r="J3798" t="n">
        <v>0</v>
      </c>
      <c r="K3798" t="n">
        <v>0</v>
      </c>
      <c r="L3798" t="n">
        <v>0</v>
      </c>
      <c r="M3798" t="n">
        <v>0</v>
      </c>
      <c r="N3798" t="n">
        <v>0</v>
      </c>
      <c r="O3798" t="n">
        <v>0</v>
      </c>
      <c r="P3798" t="n">
        <v>0</v>
      </c>
      <c r="Q3798" t="n">
        <v>0</v>
      </c>
      <c r="R3798" s="2" t="inlineStr"/>
    </row>
    <row r="3799" ht="15" customHeight="1">
      <c r="A3799" t="inlineStr">
        <is>
          <t>A 49540-2023</t>
        </is>
      </c>
      <c r="B3799" s="1" t="n">
        <v>45211</v>
      </c>
      <c r="C3799" s="1" t="n">
        <v>45952</v>
      </c>
      <c r="D3799" t="inlineStr">
        <is>
          <t>VÄSTRA GÖTALANDS LÄN</t>
        </is>
      </c>
      <c r="E3799" t="inlineStr">
        <is>
          <t>SVENLJUNGA</t>
        </is>
      </c>
      <c r="G3799" t="n">
        <v>0.4</v>
      </c>
      <c r="H3799" t="n">
        <v>0</v>
      </c>
      <c r="I3799" t="n">
        <v>0</v>
      </c>
      <c r="J3799" t="n">
        <v>0</v>
      </c>
      <c r="K3799" t="n">
        <v>0</v>
      </c>
      <c r="L3799" t="n">
        <v>0</v>
      </c>
      <c r="M3799" t="n">
        <v>0</v>
      </c>
      <c r="N3799" t="n">
        <v>0</v>
      </c>
      <c r="O3799" t="n">
        <v>0</v>
      </c>
      <c r="P3799" t="n">
        <v>0</v>
      </c>
      <c r="Q3799" t="n">
        <v>0</v>
      </c>
      <c r="R3799" s="2" t="inlineStr"/>
    </row>
    <row r="3800" ht="15" customHeight="1">
      <c r="A3800" t="inlineStr">
        <is>
          <t>A 9618-2024</t>
        </is>
      </c>
      <c r="B3800" s="1" t="n">
        <v>45361.80405092592</v>
      </c>
      <c r="C3800" s="1" t="n">
        <v>45952</v>
      </c>
      <c r="D3800" t="inlineStr">
        <is>
          <t>VÄSTRA GÖTALANDS LÄN</t>
        </is>
      </c>
      <c r="E3800" t="inlineStr">
        <is>
          <t>SVENLJUNGA</t>
        </is>
      </c>
      <c r="G3800" t="n">
        <v>2.9</v>
      </c>
      <c r="H3800" t="n">
        <v>0</v>
      </c>
      <c r="I3800" t="n">
        <v>0</v>
      </c>
      <c r="J3800" t="n">
        <v>0</v>
      </c>
      <c r="K3800" t="n">
        <v>0</v>
      </c>
      <c r="L3800" t="n">
        <v>0</v>
      </c>
      <c r="M3800" t="n">
        <v>0</v>
      </c>
      <c r="N3800" t="n">
        <v>0</v>
      </c>
      <c r="O3800" t="n">
        <v>0</v>
      </c>
      <c r="P3800" t="n">
        <v>0</v>
      </c>
      <c r="Q3800" t="n">
        <v>0</v>
      </c>
      <c r="R3800" s="2" t="inlineStr"/>
    </row>
    <row r="3801" ht="15" customHeight="1">
      <c r="A3801" t="inlineStr">
        <is>
          <t>A 9619-2024</t>
        </is>
      </c>
      <c r="B3801" s="1" t="n">
        <v>45361.81438657407</v>
      </c>
      <c r="C3801" s="1" t="n">
        <v>45952</v>
      </c>
      <c r="D3801" t="inlineStr">
        <is>
          <t>VÄSTRA GÖTALANDS LÄN</t>
        </is>
      </c>
      <c r="E3801" t="inlineStr">
        <is>
          <t>SVENLJUNGA</t>
        </is>
      </c>
      <c r="G3801" t="n">
        <v>3</v>
      </c>
      <c r="H3801" t="n">
        <v>0</v>
      </c>
      <c r="I3801" t="n">
        <v>0</v>
      </c>
      <c r="J3801" t="n">
        <v>0</v>
      </c>
      <c r="K3801" t="n">
        <v>0</v>
      </c>
      <c r="L3801" t="n">
        <v>0</v>
      </c>
      <c r="M3801" t="n">
        <v>0</v>
      </c>
      <c r="N3801" t="n">
        <v>0</v>
      </c>
      <c r="O3801" t="n">
        <v>0</v>
      </c>
      <c r="P3801" t="n">
        <v>0</v>
      </c>
      <c r="Q3801" t="n">
        <v>0</v>
      </c>
      <c r="R3801" s="2" t="inlineStr"/>
    </row>
    <row r="3802" ht="15" customHeight="1">
      <c r="A3802" t="inlineStr">
        <is>
          <t>A 38195-2022</t>
        </is>
      </c>
      <c r="B3802" s="1" t="n">
        <v>44812.42858796296</v>
      </c>
      <c r="C3802" s="1" t="n">
        <v>45952</v>
      </c>
      <c r="D3802" t="inlineStr">
        <is>
          <t>VÄSTRA GÖTALANDS LÄN</t>
        </is>
      </c>
      <c r="E3802" t="inlineStr">
        <is>
          <t>GÖTENE</t>
        </is>
      </c>
      <c r="F3802" t="inlineStr">
        <is>
          <t>Övriga Aktiebolag</t>
        </is>
      </c>
      <c r="G3802" t="n">
        <v>1.9</v>
      </c>
      <c r="H3802" t="n">
        <v>0</v>
      </c>
      <c r="I3802" t="n">
        <v>0</v>
      </c>
      <c r="J3802" t="n">
        <v>0</v>
      </c>
      <c r="K3802" t="n">
        <v>0</v>
      </c>
      <c r="L3802" t="n">
        <v>0</v>
      </c>
      <c r="M3802" t="n">
        <v>0</v>
      </c>
      <c r="N3802" t="n">
        <v>0</v>
      </c>
      <c r="O3802" t="n">
        <v>0</v>
      </c>
      <c r="P3802" t="n">
        <v>0</v>
      </c>
      <c r="Q3802" t="n">
        <v>0</v>
      </c>
      <c r="R3802" s="2" t="inlineStr"/>
    </row>
    <row r="3803" ht="15" customHeight="1">
      <c r="A3803" t="inlineStr">
        <is>
          <t>A 55714-2024</t>
        </is>
      </c>
      <c r="B3803" s="1" t="n">
        <v>45622.70282407408</v>
      </c>
      <c r="C3803" s="1" t="n">
        <v>45952</v>
      </c>
      <c r="D3803" t="inlineStr">
        <is>
          <t>VÄSTRA GÖTALANDS LÄN</t>
        </is>
      </c>
      <c r="E3803" t="inlineStr">
        <is>
          <t>FALKÖPING</t>
        </is>
      </c>
      <c r="G3803" t="n">
        <v>4.7</v>
      </c>
      <c r="H3803" t="n">
        <v>0</v>
      </c>
      <c r="I3803" t="n">
        <v>0</v>
      </c>
      <c r="J3803" t="n">
        <v>0</v>
      </c>
      <c r="K3803" t="n">
        <v>0</v>
      </c>
      <c r="L3803" t="n">
        <v>0</v>
      </c>
      <c r="M3803" t="n">
        <v>0</v>
      </c>
      <c r="N3803" t="n">
        <v>0</v>
      </c>
      <c r="O3803" t="n">
        <v>0</v>
      </c>
      <c r="P3803" t="n">
        <v>0</v>
      </c>
      <c r="Q3803" t="n">
        <v>0</v>
      </c>
      <c r="R3803" s="2" t="inlineStr"/>
    </row>
    <row r="3804" ht="15" customHeight="1">
      <c r="A3804" t="inlineStr">
        <is>
          <t>A 17137-2025</t>
        </is>
      </c>
      <c r="B3804" s="1" t="n">
        <v>45755</v>
      </c>
      <c r="C3804" s="1" t="n">
        <v>45952</v>
      </c>
      <c r="D3804" t="inlineStr">
        <is>
          <t>VÄSTRA GÖTALANDS LÄN</t>
        </is>
      </c>
      <c r="E3804" t="inlineStr">
        <is>
          <t>TANUM</t>
        </is>
      </c>
      <c r="G3804" t="n">
        <v>5.9</v>
      </c>
      <c r="H3804" t="n">
        <v>0</v>
      </c>
      <c r="I3804" t="n">
        <v>0</v>
      </c>
      <c r="J3804" t="n">
        <v>0</v>
      </c>
      <c r="K3804" t="n">
        <v>0</v>
      </c>
      <c r="L3804" t="n">
        <v>0</v>
      </c>
      <c r="M3804" t="n">
        <v>0</v>
      </c>
      <c r="N3804" t="n">
        <v>0</v>
      </c>
      <c r="O3804" t="n">
        <v>0</v>
      </c>
      <c r="P3804" t="n">
        <v>0</v>
      </c>
      <c r="Q3804" t="n">
        <v>0</v>
      </c>
      <c r="R3804" s="2" t="inlineStr"/>
    </row>
    <row r="3805" ht="15" customHeight="1">
      <c r="A3805" t="inlineStr">
        <is>
          <t>A 11129-2025</t>
        </is>
      </c>
      <c r="B3805" s="1" t="n">
        <v>45723.64576388889</v>
      </c>
      <c r="C3805" s="1" t="n">
        <v>45952</v>
      </c>
      <c r="D3805" t="inlineStr">
        <is>
          <t>VÄSTRA GÖTALANDS LÄN</t>
        </is>
      </c>
      <c r="E3805" t="inlineStr">
        <is>
          <t>HERRLJUNGA</t>
        </is>
      </c>
      <c r="G3805" t="n">
        <v>2.4</v>
      </c>
      <c r="H3805" t="n">
        <v>0</v>
      </c>
      <c r="I3805" t="n">
        <v>0</v>
      </c>
      <c r="J3805" t="n">
        <v>0</v>
      </c>
      <c r="K3805" t="n">
        <v>0</v>
      </c>
      <c r="L3805" t="n">
        <v>0</v>
      </c>
      <c r="M3805" t="n">
        <v>0</v>
      </c>
      <c r="N3805" t="n">
        <v>0</v>
      </c>
      <c r="O3805" t="n">
        <v>0</v>
      </c>
      <c r="P3805" t="n">
        <v>0</v>
      </c>
      <c r="Q3805" t="n">
        <v>0</v>
      </c>
      <c r="R3805" s="2" t="inlineStr"/>
    </row>
    <row r="3806" ht="15" customHeight="1">
      <c r="A3806" t="inlineStr">
        <is>
          <t>A 33380-2024</t>
        </is>
      </c>
      <c r="B3806" s="1" t="n">
        <v>45519.45018518518</v>
      </c>
      <c r="C3806" s="1" t="n">
        <v>45952</v>
      </c>
      <c r="D3806" t="inlineStr">
        <is>
          <t>VÄSTRA GÖTALANDS LÄN</t>
        </is>
      </c>
      <c r="E3806" t="inlineStr">
        <is>
          <t>TRANEMO</t>
        </is>
      </c>
      <c r="G3806" t="n">
        <v>1.3</v>
      </c>
      <c r="H3806" t="n">
        <v>0</v>
      </c>
      <c r="I3806" t="n">
        <v>0</v>
      </c>
      <c r="J3806" t="n">
        <v>0</v>
      </c>
      <c r="K3806" t="n">
        <v>0</v>
      </c>
      <c r="L3806" t="n">
        <v>0</v>
      </c>
      <c r="M3806" t="n">
        <v>0</v>
      </c>
      <c r="N3806" t="n">
        <v>0</v>
      </c>
      <c r="O3806" t="n">
        <v>0</v>
      </c>
      <c r="P3806" t="n">
        <v>0</v>
      </c>
      <c r="Q3806" t="n">
        <v>0</v>
      </c>
      <c r="R3806" s="2" t="inlineStr"/>
    </row>
    <row r="3807" ht="15" customHeight="1">
      <c r="A3807" t="inlineStr">
        <is>
          <t>A 15335-2021</t>
        </is>
      </c>
      <c r="B3807" s="1" t="n">
        <v>44284</v>
      </c>
      <c r="C3807" s="1" t="n">
        <v>45952</v>
      </c>
      <c r="D3807" t="inlineStr">
        <is>
          <t>VÄSTRA GÖTALANDS LÄN</t>
        </is>
      </c>
      <c r="E3807" t="inlineStr">
        <is>
          <t>GULLSPÅNG</t>
        </is>
      </c>
      <c r="G3807" t="n">
        <v>1.6</v>
      </c>
      <c r="H3807" t="n">
        <v>0</v>
      </c>
      <c r="I3807" t="n">
        <v>0</v>
      </c>
      <c r="J3807" t="n">
        <v>0</v>
      </c>
      <c r="K3807" t="n">
        <v>0</v>
      </c>
      <c r="L3807" t="n">
        <v>0</v>
      </c>
      <c r="M3807" t="n">
        <v>0</v>
      </c>
      <c r="N3807" t="n">
        <v>0</v>
      </c>
      <c r="O3807" t="n">
        <v>0</v>
      </c>
      <c r="P3807" t="n">
        <v>0</v>
      </c>
      <c r="Q3807" t="n">
        <v>0</v>
      </c>
      <c r="R3807" s="2" t="inlineStr"/>
    </row>
    <row r="3808" ht="15" customHeight="1">
      <c r="A3808" t="inlineStr">
        <is>
          <t>A 50806-2024</t>
        </is>
      </c>
      <c r="B3808" s="1" t="n">
        <v>45602.51206018519</v>
      </c>
      <c r="C3808" s="1" t="n">
        <v>45952</v>
      </c>
      <c r="D3808" t="inlineStr">
        <is>
          <t>VÄSTRA GÖTALANDS LÄN</t>
        </is>
      </c>
      <c r="E3808" t="inlineStr">
        <is>
          <t>ULRICEHAMN</t>
        </is>
      </c>
      <c r="G3808" t="n">
        <v>1.1</v>
      </c>
      <c r="H3808" t="n">
        <v>0</v>
      </c>
      <c r="I3808" t="n">
        <v>0</v>
      </c>
      <c r="J3808" t="n">
        <v>0</v>
      </c>
      <c r="K3808" t="n">
        <v>0</v>
      </c>
      <c r="L3808" t="n">
        <v>0</v>
      </c>
      <c r="M3808" t="n">
        <v>0</v>
      </c>
      <c r="N3808" t="n">
        <v>0</v>
      </c>
      <c r="O3808" t="n">
        <v>0</v>
      </c>
      <c r="P3808" t="n">
        <v>0</v>
      </c>
      <c r="Q3808" t="n">
        <v>0</v>
      </c>
      <c r="R3808" s="2" t="inlineStr"/>
    </row>
    <row r="3809" ht="15" customHeight="1">
      <c r="A3809" t="inlineStr">
        <is>
          <t>A 40778-2024</t>
        </is>
      </c>
      <c r="B3809" s="1" t="n">
        <v>45558.49034722222</v>
      </c>
      <c r="C3809" s="1" t="n">
        <v>45952</v>
      </c>
      <c r="D3809" t="inlineStr">
        <is>
          <t>VÄSTRA GÖTALANDS LÄN</t>
        </is>
      </c>
      <c r="E3809" t="inlineStr">
        <is>
          <t>FÄRGELANDA</t>
        </is>
      </c>
      <c r="G3809" t="n">
        <v>1.9</v>
      </c>
      <c r="H3809" t="n">
        <v>0</v>
      </c>
      <c r="I3809" t="n">
        <v>0</v>
      </c>
      <c r="J3809" t="n">
        <v>0</v>
      </c>
      <c r="K3809" t="n">
        <v>0</v>
      </c>
      <c r="L3809" t="n">
        <v>0</v>
      </c>
      <c r="M3809" t="n">
        <v>0</v>
      </c>
      <c r="N3809" t="n">
        <v>0</v>
      </c>
      <c r="O3809" t="n">
        <v>0</v>
      </c>
      <c r="P3809" t="n">
        <v>0</v>
      </c>
      <c r="Q3809" t="n">
        <v>0</v>
      </c>
      <c r="R3809" s="2" t="inlineStr"/>
    </row>
    <row r="3810" ht="15" customHeight="1">
      <c r="A3810" t="inlineStr">
        <is>
          <t>A 48660-2024</t>
        </is>
      </c>
      <c r="B3810" s="1" t="n">
        <v>45593</v>
      </c>
      <c r="C3810" s="1" t="n">
        <v>45952</v>
      </c>
      <c r="D3810" t="inlineStr">
        <is>
          <t>VÄSTRA GÖTALANDS LÄN</t>
        </is>
      </c>
      <c r="E3810" t="inlineStr">
        <is>
          <t>FALKÖPING</t>
        </is>
      </c>
      <c r="G3810" t="n">
        <v>1.3</v>
      </c>
      <c r="H3810" t="n">
        <v>0</v>
      </c>
      <c r="I3810" t="n">
        <v>0</v>
      </c>
      <c r="J3810" t="n">
        <v>0</v>
      </c>
      <c r="K3810" t="n">
        <v>0</v>
      </c>
      <c r="L3810" t="n">
        <v>0</v>
      </c>
      <c r="M3810" t="n">
        <v>0</v>
      </c>
      <c r="N3810" t="n">
        <v>0</v>
      </c>
      <c r="O3810" t="n">
        <v>0</v>
      </c>
      <c r="P3810" t="n">
        <v>0</v>
      </c>
      <c r="Q3810" t="n">
        <v>0</v>
      </c>
      <c r="R3810" s="2" t="inlineStr"/>
    </row>
    <row r="3811" ht="15" customHeight="1">
      <c r="A3811" t="inlineStr">
        <is>
          <t>A 58150-2022</t>
        </is>
      </c>
      <c r="B3811" s="1" t="n">
        <v>44900.7941087963</v>
      </c>
      <c r="C3811" s="1" t="n">
        <v>45952</v>
      </c>
      <c r="D3811" t="inlineStr">
        <is>
          <t>VÄSTRA GÖTALANDS LÄN</t>
        </is>
      </c>
      <c r="E3811" t="inlineStr">
        <is>
          <t>TIBRO</t>
        </is>
      </c>
      <c r="G3811" t="n">
        <v>2.5</v>
      </c>
      <c r="H3811" t="n">
        <v>0</v>
      </c>
      <c r="I3811" t="n">
        <v>0</v>
      </c>
      <c r="J3811" t="n">
        <v>0</v>
      </c>
      <c r="K3811" t="n">
        <v>0</v>
      </c>
      <c r="L3811" t="n">
        <v>0</v>
      </c>
      <c r="M3811" t="n">
        <v>0</v>
      </c>
      <c r="N3811" t="n">
        <v>0</v>
      </c>
      <c r="O3811" t="n">
        <v>0</v>
      </c>
      <c r="P3811" t="n">
        <v>0</v>
      </c>
      <c r="Q3811" t="n">
        <v>0</v>
      </c>
      <c r="R3811" s="2" t="inlineStr"/>
    </row>
    <row r="3812" ht="15" customHeight="1">
      <c r="A3812" t="inlineStr">
        <is>
          <t>A 15177-2025</t>
        </is>
      </c>
      <c r="B3812" s="1" t="n">
        <v>45744.51998842593</v>
      </c>
      <c r="C3812" s="1" t="n">
        <v>45952</v>
      </c>
      <c r="D3812" t="inlineStr">
        <is>
          <t>VÄSTRA GÖTALANDS LÄN</t>
        </is>
      </c>
      <c r="E3812" t="inlineStr">
        <is>
          <t>BENGTSFORS</t>
        </is>
      </c>
      <c r="G3812" t="n">
        <v>0.5</v>
      </c>
      <c r="H3812" t="n">
        <v>0</v>
      </c>
      <c r="I3812" t="n">
        <v>0</v>
      </c>
      <c r="J3812" t="n">
        <v>0</v>
      </c>
      <c r="K3812" t="n">
        <v>0</v>
      </c>
      <c r="L3812" t="n">
        <v>0</v>
      </c>
      <c r="M3812" t="n">
        <v>0</v>
      </c>
      <c r="N3812" t="n">
        <v>0</v>
      </c>
      <c r="O3812" t="n">
        <v>0</v>
      </c>
      <c r="P3812" t="n">
        <v>0</v>
      </c>
      <c r="Q3812" t="n">
        <v>0</v>
      </c>
      <c r="R3812" s="2" t="inlineStr"/>
    </row>
    <row r="3813" ht="15" customHeight="1">
      <c r="A3813" t="inlineStr">
        <is>
          <t>A 59998-2024</t>
        </is>
      </c>
      <c r="B3813" s="1" t="n">
        <v>45642.40743055556</v>
      </c>
      <c r="C3813" s="1" t="n">
        <v>45952</v>
      </c>
      <c r="D3813" t="inlineStr">
        <is>
          <t>VÄSTRA GÖTALANDS LÄN</t>
        </is>
      </c>
      <c r="E3813" t="inlineStr">
        <is>
          <t>ÅMÅL</t>
        </is>
      </c>
      <c r="G3813" t="n">
        <v>1.7</v>
      </c>
      <c r="H3813" t="n">
        <v>0</v>
      </c>
      <c r="I3813" t="n">
        <v>0</v>
      </c>
      <c r="J3813" t="n">
        <v>0</v>
      </c>
      <c r="K3813" t="n">
        <v>0</v>
      </c>
      <c r="L3813" t="n">
        <v>0</v>
      </c>
      <c r="M3813" t="n">
        <v>0</v>
      </c>
      <c r="N3813" t="n">
        <v>0</v>
      </c>
      <c r="O3813" t="n">
        <v>0</v>
      </c>
      <c r="P3813" t="n">
        <v>0</v>
      </c>
      <c r="Q3813" t="n">
        <v>0</v>
      </c>
      <c r="R3813" s="2" t="inlineStr"/>
    </row>
    <row r="3814" ht="15" customHeight="1">
      <c r="A3814" t="inlineStr">
        <is>
          <t>A 17028-2025</t>
        </is>
      </c>
      <c r="B3814" s="1" t="n">
        <v>45755.57172453704</v>
      </c>
      <c r="C3814" s="1" t="n">
        <v>45952</v>
      </c>
      <c r="D3814" t="inlineStr">
        <is>
          <t>VÄSTRA GÖTALANDS LÄN</t>
        </is>
      </c>
      <c r="E3814" t="inlineStr">
        <is>
          <t>FALKÖPING</t>
        </is>
      </c>
      <c r="G3814" t="n">
        <v>7.3</v>
      </c>
      <c r="H3814" t="n">
        <v>0</v>
      </c>
      <c r="I3814" t="n">
        <v>0</v>
      </c>
      <c r="J3814" t="n">
        <v>0</v>
      </c>
      <c r="K3814" t="n">
        <v>0</v>
      </c>
      <c r="L3814" t="n">
        <v>0</v>
      </c>
      <c r="M3814" t="n">
        <v>0</v>
      </c>
      <c r="N3814" t="n">
        <v>0</v>
      </c>
      <c r="O3814" t="n">
        <v>0</v>
      </c>
      <c r="P3814" t="n">
        <v>0</v>
      </c>
      <c r="Q3814" t="n">
        <v>0</v>
      </c>
      <c r="R3814" s="2" t="inlineStr"/>
    </row>
    <row r="3815" ht="15" customHeight="1">
      <c r="A3815" t="inlineStr">
        <is>
          <t>A 6246-2025</t>
        </is>
      </c>
      <c r="B3815" s="1" t="n">
        <v>45698.57233796296</v>
      </c>
      <c r="C3815" s="1" t="n">
        <v>45952</v>
      </c>
      <c r="D3815" t="inlineStr">
        <is>
          <t>VÄSTRA GÖTALANDS LÄN</t>
        </is>
      </c>
      <c r="E3815" t="inlineStr">
        <is>
          <t>FALKÖPING</t>
        </is>
      </c>
      <c r="G3815" t="n">
        <v>0.9</v>
      </c>
      <c r="H3815" t="n">
        <v>0</v>
      </c>
      <c r="I3815" t="n">
        <v>0</v>
      </c>
      <c r="J3815" t="n">
        <v>0</v>
      </c>
      <c r="K3815" t="n">
        <v>0</v>
      </c>
      <c r="L3815" t="n">
        <v>0</v>
      </c>
      <c r="M3815" t="n">
        <v>0</v>
      </c>
      <c r="N3815" t="n">
        <v>0</v>
      </c>
      <c r="O3815" t="n">
        <v>0</v>
      </c>
      <c r="P3815" t="n">
        <v>0</v>
      </c>
      <c r="Q3815" t="n">
        <v>0</v>
      </c>
      <c r="R3815" s="2" t="inlineStr"/>
    </row>
    <row r="3816" ht="15" customHeight="1">
      <c r="A3816" t="inlineStr">
        <is>
          <t>A 6256-2025</t>
        </is>
      </c>
      <c r="B3816" s="1" t="n">
        <v>45698.59190972222</v>
      </c>
      <c r="C3816" s="1" t="n">
        <v>45952</v>
      </c>
      <c r="D3816" t="inlineStr">
        <is>
          <t>VÄSTRA GÖTALANDS LÄN</t>
        </is>
      </c>
      <c r="E3816" t="inlineStr">
        <is>
          <t>BORÅS</t>
        </is>
      </c>
      <c r="G3816" t="n">
        <v>12.8</v>
      </c>
      <c r="H3816" t="n">
        <v>0</v>
      </c>
      <c r="I3816" t="n">
        <v>0</v>
      </c>
      <c r="J3816" t="n">
        <v>0</v>
      </c>
      <c r="K3816" t="n">
        <v>0</v>
      </c>
      <c r="L3816" t="n">
        <v>0</v>
      </c>
      <c r="M3816" t="n">
        <v>0</v>
      </c>
      <c r="N3816" t="n">
        <v>0</v>
      </c>
      <c r="O3816" t="n">
        <v>0</v>
      </c>
      <c r="P3816" t="n">
        <v>0</v>
      </c>
      <c r="Q3816" t="n">
        <v>0</v>
      </c>
      <c r="R3816" s="2" t="inlineStr"/>
    </row>
    <row r="3817" ht="15" customHeight="1">
      <c r="A3817" t="inlineStr">
        <is>
          <t>A 15292-2025</t>
        </is>
      </c>
      <c r="B3817" s="1" t="n">
        <v>45745.71576388889</v>
      </c>
      <c r="C3817" s="1" t="n">
        <v>45952</v>
      </c>
      <c r="D3817" t="inlineStr">
        <is>
          <t>VÄSTRA GÖTALANDS LÄN</t>
        </is>
      </c>
      <c r="E3817" t="inlineStr">
        <is>
          <t>MARK</t>
        </is>
      </c>
      <c r="G3817" t="n">
        <v>2.2</v>
      </c>
      <c r="H3817" t="n">
        <v>0</v>
      </c>
      <c r="I3817" t="n">
        <v>0</v>
      </c>
      <c r="J3817" t="n">
        <v>0</v>
      </c>
      <c r="K3817" t="n">
        <v>0</v>
      </c>
      <c r="L3817" t="n">
        <v>0</v>
      </c>
      <c r="M3817" t="n">
        <v>0</v>
      </c>
      <c r="N3817" t="n">
        <v>0</v>
      </c>
      <c r="O3817" t="n">
        <v>0</v>
      </c>
      <c r="P3817" t="n">
        <v>0</v>
      </c>
      <c r="Q3817" t="n">
        <v>0</v>
      </c>
      <c r="R3817" s="2" t="inlineStr"/>
    </row>
    <row r="3818" ht="15" customHeight="1">
      <c r="A3818" t="inlineStr">
        <is>
          <t>A 15326-2025</t>
        </is>
      </c>
      <c r="B3818" s="1" t="n">
        <v>45747.33934027778</v>
      </c>
      <c r="C3818" s="1" t="n">
        <v>45952</v>
      </c>
      <c r="D3818" t="inlineStr">
        <is>
          <t>VÄSTRA GÖTALANDS LÄN</t>
        </is>
      </c>
      <c r="E3818" t="inlineStr">
        <is>
          <t>TRANEMO</t>
        </is>
      </c>
      <c r="G3818" t="n">
        <v>1</v>
      </c>
      <c r="H3818" t="n">
        <v>0</v>
      </c>
      <c r="I3818" t="n">
        <v>0</v>
      </c>
      <c r="J3818" t="n">
        <v>0</v>
      </c>
      <c r="K3818" t="n">
        <v>0</v>
      </c>
      <c r="L3818" t="n">
        <v>0</v>
      </c>
      <c r="M3818" t="n">
        <v>0</v>
      </c>
      <c r="N3818" t="n">
        <v>0</v>
      </c>
      <c r="O3818" t="n">
        <v>0</v>
      </c>
      <c r="P3818" t="n">
        <v>0</v>
      </c>
      <c r="Q3818" t="n">
        <v>0</v>
      </c>
      <c r="R3818" s="2" t="inlineStr"/>
    </row>
    <row r="3819" ht="15" customHeight="1">
      <c r="A3819" t="inlineStr">
        <is>
          <t>A 15330-2025</t>
        </is>
      </c>
      <c r="B3819" s="1" t="n">
        <v>45747.34612268519</v>
      </c>
      <c r="C3819" s="1" t="n">
        <v>45952</v>
      </c>
      <c r="D3819" t="inlineStr">
        <is>
          <t>VÄSTRA GÖTALANDS LÄN</t>
        </is>
      </c>
      <c r="E3819" t="inlineStr">
        <is>
          <t>TRANEMO</t>
        </is>
      </c>
      <c r="G3819" t="n">
        <v>1.4</v>
      </c>
      <c r="H3819" t="n">
        <v>0</v>
      </c>
      <c r="I3819" t="n">
        <v>0</v>
      </c>
      <c r="J3819" t="n">
        <v>0</v>
      </c>
      <c r="K3819" t="n">
        <v>0</v>
      </c>
      <c r="L3819" t="n">
        <v>0</v>
      </c>
      <c r="M3819" t="n">
        <v>0</v>
      </c>
      <c r="N3819" t="n">
        <v>0</v>
      </c>
      <c r="O3819" t="n">
        <v>0</v>
      </c>
      <c r="P3819" t="n">
        <v>0</v>
      </c>
      <c r="Q3819" t="n">
        <v>0</v>
      </c>
      <c r="R3819" s="2" t="inlineStr"/>
    </row>
    <row r="3820" ht="15" customHeight="1">
      <c r="A3820" t="inlineStr">
        <is>
          <t>A 16452-2025</t>
        </is>
      </c>
      <c r="B3820" s="1" t="n">
        <v>45751.51493055555</v>
      </c>
      <c r="C3820" s="1" t="n">
        <v>45952</v>
      </c>
      <c r="D3820" t="inlineStr">
        <is>
          <t>VÄSTRA GÖTALANDS LÄN</t>
        </is>
      </c>
      <c r="E3820" t="inlineStr">
        <is>
          <t>VÄNERSBORG</t>
        </is>
      </c>
      <c r="G3820" t="n">
        <v>0.4</v>
      </c>
      <c r="H3820" t="n">
        <v>0</v>
      </c>
      <c r="I3820" t="n">
        <v>0</v>
      </c>
      <c r="J3820" t="n">
        <v>0</v>
      </c>
      <c r="K3820" t="n">
        <v>0</v>
      </c>
      <c r="L3820" t="n">
        <v>0</v>
      </c>
      <c r="M3820" t="n">
        <v>0</v>
      </c>
      <c r="N3820" t="n">
        <v>0</v>
      </c>
      <c r="O3820" t="n">
        <v>0</v>
      </c>
      <c r="P3820" t="n">
        <v>0</v>
      </c>
      <c r="Q3820" t="n">
        <v>0</v>
      </c>
      <c r="R3820" s="2" t="inlineStr"/>
    </row>
    <row r="3821" ht="15" customHeight="1">
      <c r="A3821" t="inlineStr">
        <is>
          <t>A 18612-2025</t>
        </is>
      </c>
      <c r="B3821" s="1" t="n">
        <v>45763.4975</v>
      </c>
      <c r="C3821" s="1" t="n">
        <v>45952</v>
      </c>
      <c r="D3821" t="inlineStr">
        <is>
          <t>VÄSTRA GÖTALANDS LÄN</t>
        </is>
      </c>
      <c r="E3821" t="inlineStr">
        <is>
          <t>TROLLHÄTTAN</t>
        </is>
      </c>
      <c r="G3821" t="n">
        <v>2.5</v>
      </c>
      <c r="H3821" t="n">
        <v>0</v>
      </c>
      <c r="I3821" t="n">
        <v>0</v>
      </c>
      <c r="J3821" t="n">
        <v>0</v>
      </c>
      <c r="K3821" t="n">
        <v>0</v>
      </c>
      <c r="L3821" t="n">
        <v>0</v>
      </c>
      <c r="M3821" t="n">
        <v>0</v>
      </c>
      <c r="N3821" t="n">
        <v>0</v>
      </c>
      <c r="O3821" t="n">
        <v>0</v>
      </c>
      <c r="P3821" t="n">
        <v>0</v>
      </c>
      <c r="Q3821" t="n">
        <v>0</v>
      </c>
      <c r="R3821" s="2" t="inlineStr"/>
    </row>
    <row r="3822" ht="15" customHeight="1">
      <c r="A3822" t="inlineStr">
        <is>
          <t>A 18615-2025</t>
        </is>
      </c>
      <c r="B3822" s="1" t="n">
        <v>45763.50521990741</v>
      </c>
      <c r="C3822" s="1" t="n">
        <v>45952</v>
      </c>
      <c r="D3822" t="inlineStr">
        <is>
          <t>VÄSTRA GÖTALANDS LÄN</t>
        </is>
      </c>
      <c r="E3822" t="inlineStr">
        <is>
          <t>BOLLEBYGD</t>
        </is>
      </c>
      <c r="G3822" t="n">
        <v>5.7</v>
      </c>
      <c r="H3822" t="n">
        <v>0</v>
      </c>
      <c r="I3822" t="n">
        <v>0</v>
      </c>
      <c r="J3822" t="n">
        <v>0</v>
      </c>
      <c r="K3822" t="n">
        <v>0</v>
      </c>
      <c r="L3822" t="n">
        <v>0</v>
      </c>
      <c r="M3822" t="n">
        <v>0</v>
      </c>
      <c r="N3822" t="n">
        <v>0</v>
      </c>
      <c r="O3822" t="n">
        <v>0</v>
      </c>
      <c r="P3822" t="n">
        <v>0</v>
      </c>
      <c r="Q3822" t="n">
        <v>0</v>
      </c>
      <c r="R3822" s="2" t="inlineStr"/>
    </row>
    <row r="3823" ht="15" customHeight="1">
      <c r="A3823" t="inlineStr">
        <is>
          <t>A 6977-2025</t>
        </is>
      </c>
      <c r="B3823" s="1" t="n">
        <v>45701.54565972222</v>
      </c>
      <c r="C3823" s="1" t="n">
        <v>45952</v>
      </c>
      <c r="D3823" t="inlineStr">
        <is>
          <t>VÄSTRA GÖTALANDS LÄN</t>
        </is>
      </c>
      <c r="E3823" t="inlineStr">
        <is>
          <t>VARA</t>
        </is>
      </c>
      <c r="G3823" t="n">
        <v>0.5</v>
      </c>
      <c r="H3823" t="n">
        <v>0</v>
      </c>
      <c r="I3823" t="n">
        <v>0</v>
      </c>
      <c r="J3823" t="n">
        <v>0</v>
      </c>
      <c r="K3823" t="n">
        <v>0</v>
      </c>
      <c r="L3823" t="n">
        <v>0</v>
      </c>
      <c r="M3823" t="n">
        <v>0</v>
      </c>
      <c r="N3823" t="n">
        <v>0</v>
      </c>
      <c r="O3823" t="n">
        <v>0</v>
      </c>
      <c r="P3823" t="n">
        <v>0</v>
      </c>
      <c r="Q3823" t="n">
        <v>0</v>
      </c>
      <c r="R3823" s="2" t="inlineStr"/>
    </row>
    <row r="3824" ht="15" customHeight="1">
      <c r="A3824" t="inlineStr">
        <is>
          <t>A 7771-2025</t>
        </is>
      </c>
      <c r="B3824" s="1" t="n">
        <v>45706.56320601852</v>
      </c>
      <c r="C3824" s="1" t="n">
        <v>45952</v>
      </c>
      <c r="D3824" t="inlineStr">
        <is>
          <t>VÄSTRA GÖTALANDS LÄN</t>
        </is>
      </c>
      <c r="E3824" t="inlineStr">
        <is>
          <t>MARIESTAD</t>
        </is>
      </c>
      <c r="G3824" t="n">
        <v>0.6</v>
      </c>
      <c r="H3824" t="n">
        <v>0</v>
      </c>
      <c r="I3824" t="n">
        <v>0</v>
      </c>
      <c r="J3824" t="n">
        <v>0</v>
      </c>
      <c r="K3824" t="n">
        <v>0</v>
      </c>
      <c r="L3824" t="n">
        <v>0</v>
      </c>
      <c r="M3824" t="n">
        <v>0</v>
      </c>
      <c r="N3824" t="n">
        <v>0</v>
      </c>
      <c r="O3824" t="n">
        <v>0</v>
      </c>
      <c r="P3824" t="n">
        <v>0</v>
      </c>
      <c r="Q3824" t="n">
        <v>0</v>
      </c>
      <c r="R3824" s="2" t="inlineStr"/>
    </row>
    <row r="3825" ht="15" customHeight="1">
      <c r="A3825" t="inlineStr">
        <is>
          <t>A 18589-2025</t>
        </is>
      </c>
      <c r="B3825" s="1" t="n">
        <v>45763.47604166667</v>
      </c>
      <c r="C3825" s="1" t="n">
        <v>45952</v>
      </c>
      <c r="D3825" t="inlineStr">
        <is>
          <t>VÄSTRA GÖTALANDS LÄN</t>
        </is>
      </c>
      <c r="E3825" t="inlineStr">
        <is>
          <t>MARK</t>
        </is>
      </c>
      <c r="G3825" t="n">
        <v>1.9</v>
      </c>
      <c r="H3825" t="n">
        <v>0</v>
      </c>
      <c r="I3825" t="n">
        <v>0</v>
      </c>
      <c r="J3825" t="n">
        <v>0</v>
      </c>
      <c r="K3825" t="n">
        <v>0</v>
      </c>
      <c r="L3825" t="n">
        <v>0</v>
      </c>
      <c r="M3825" t="n">
        <v>0</v>
      </c>
      <c r="N3825" t="n">
        <v>0</v>
      </c>
      <c r="O3825" t="n">
        <v>0</v>
      </c>
      <c r="P3825" t="n">
        <v>0</v>
      </c>
      <c r="Q3825" t="n">
        <v>0</v>
      </c>
      <c r="R3825" s="2" t="inlineStr"/>
    </row>
    <row r="3826" ht="15" customHeight="1">
      <c r="A3826" t="inlineStr">
        <is>
          <t>A 49948-2023</t>
        </is>
      </c>
      <c r="B3826" s="1" t="n">
        <v>45215.36408564815</v>
      </c>
      <c r="C3826" s="1" t="n">
        <v>45952</v>
      </c>
      <c r="D3826" t="inlineStr">
        <is>
          <t>VÄSTRA GÖTALANDS LÄN</t>
        </is>
      </c>
      <c r="E3826" t="inlineStr">
        <is>
          <t>BORÅS</t>
        </is>
      </c>
      <c r="G3826" t="n">
        <v>3.3</v>
      </c>
      <c r="H3826" t="n">
        <v>0</v>
      </c>
      <c r="I3826" t="n">
        <v>0</v>
      </c>
      <c r="J3826" t="n">
        <v>0</v>
      </c>
      <c r="K3826" t="n">
        <v>0</v>
      </c>
      <c r="L3826" t="n">
        <v>0</v>
      </c>
      <c r="M3826" t="n">
        <v>0</v>
      </c>
      <c r="N3826" t="n">
        <v>0</v>
      </c>
      <c r="O3826" t="n">
        <v>0</v>
      </c>
      <c r="P3826" t="n">
        <v>0</v>
      </c>
      <c r="Q3826" t="n">
        <v>0</v>
      </c>
      <c r="R3826" s="2" t="inlineStr"/>
    </row>
    <row r="3827" ht="15" customHeight="1">
      <c r="A3827" t="inlineStr">
        <is>
          <t>A 49981-2023</t>
        </is>
      </c>
      <c r="B3827" s="1" t="n">
        <v>45215</v>
      </c>
      <c r="C3827" s="1" t="n">
        <v>45952</v>
      </c>
      <c r="D3827" t="inlineStr">
        <is>
          <t>VÄSTRA GÖTALANDS LÄN</t>
        </is>
      </c>
      <c r="E3827" t="inlineStr">
        <is>
          <t>KUNGÄLV</t>
        </is>
      </c>
      <c r="G3827" t="n">
        <v>2.5</v>
      </c>
      <c r="H3827" t="n">
        <v>0</v>
      </c>
      <c r="I3827" t="n">
        <v>0</v>
      </c>
      <c r="J3827" t="n">
        <v>0</v>
      </c>
      <c r="K3827" t="n">
        <v>0</v>
      </c>
      <c r="L3827" t="n">
        <v>0</v>
      </c>
      <c r="M3827" t="n">
        <v>0</v>
      </c>
      <c r="N3827" t="n">
        <v>0</v>
      </c>
      <c r="O3827" t="n">
        <v>0</v>
      </c>
      <c r="P3827" t="n">
        <v>0</v>
      </c>
      <c r="Q3827" t="n">
        <v>0</v>
      </c>
      <c r="R3827" s="2" t="inlineStr"/>
    </row>
    <row r="3828" ht="15" customHeight="1">
      <c r="A3828" t="inlineStr">
        <is>
          <t>A 50038-2023</t>
        </is>
      </c>
      <c r="B3828" s="1" t="n">
        <v>45215.4892824074</v>
      </c>
      <c r="C3828" s="1" t="n">
        <v>45952</v>
      </c>
      <c r="D3828" t="inlineStr">
        <is>
          <t>VÄSTRA GÖTALANDS LÄN</t>
        </is>
      </c>
      <c r="E3828" t="inlineStr">
        <is>
          <t>MUNKEDAL</t>
        </is>
      </c>
      <c r="G3828" t="n">
        <v>0.9</v>
      </c>
      <c r="H3828" t="n">
        <v>0</v>
      </c>
      <c r="I3828" t="n">
        <v>0</v>
      </c>
      <c r="J3828" t="n">
        <v>0</v>
      </c>
      <c r="K3828" t="n">
        <v>0</v>
      </c>
      <c r="L3828" t="n">
        <v>0</v>
      </c>
      <c r="M3828" t="n">
        <v>0</v>
      </c>
      <c r="N3828" t="n">
        <v>0</v>
      </c>
      <c r="O3828" t="n">
        <v>0</v>
      </c>
      <c r="P3828" t="n">
        <v>0</v>
      </c>
      <c r="Q3828" t="n">
        <v>0</v>
      </c>
      <c r="R3828" s="2" t="inlineStr"/>
    </row>
    <row r="3829" ht="15" customHeight="1">
      <c r="A3829" t="inlineStr">
        <is>
          <t>A 18593-2025</t>
        </is>
      </c>
      <c r="B3829" s="1" t="n">
        <v>45763.48221064815</v>
      </c>
      <c r="C3829" s="1" t="n">
        <v>45952</v>
      </c>
      <c r="D3829" t="inlineStr">
        <is>
          <t>VÄSTRA GÖTALANDS LÄN</t>
        </is>
      </c>
      <c r="E3829" t="inlineStr">
        <is>
          <t>MARK</t>
        </is>
      </c>
      <c r="G3829" t="n">
        <v>2.9</v>
      </c>
      <c r="H3829" t="n">
        <v>0</v>
      </c>
      <c r="I3829" t="n">
        <v>0</v>
      </c>
      <c r="J3829" t="n">
        <v>0</v>
      </c>
      <c r="K3829" t="n">
        <v>0</v>
      </c>
      <c r="L3829" t="n">
        <v>0</v>
      </c>
      <c r="M3829" t="n">
        <v>0</v>
      </c>
      <c r="N3829" t="n">
        <v>0</v>
      </c>
      <c r="O3829" t="n">
        <v>0</v>
      </c>
      <c r="P3829" t="n">
        <v>0</v>
      </c>
      <c r="Q3829" t="n">
        <v>0</v>
      </c>
      <c r="R3829" s="2" t="inlineStr"/>
    </row>
    <row r="3830" ht="15" customHeight="1">
      <c r="A3830" t="inlineStr">
        <is>
          <t>A 59231-2024</t>
        </is>
      </c>
      <c r="B3830" s="1" t="n">
        <v>45637.58472222222</v>
      </c>
      <c r="C3830" s="1" t="n">
        <v>45952</v>
      </c>
      <c r="D3830" t="inlineStr">
        <is>
          <t>VÄSTRA GÖTALANDS LÄN</t>
        </is>
      </c>
      <c r="E3830" t="inlineStr">
        <is>
          <t>SOTENÄS</t>
        </is>
      </c>
      <c r="G3830" t="n">
        <v>1.3</v>
      </c>
      <c r="H3830" t="n">
        <v>0</v>
      </c>
      <c r="I3830" t="n">
        <v>0</v>
      </c>
      <c r="J3830" t="n">
        <v>0</v>
      </c>
      <c r="K3830" t="n">
        <v>0</v>
      </c>
      <c r="L3830" t="n">
        <v>0</v>
      </c>
      <c r="M3830" t="n">
        <v>0</v>
      </c>
      <c r="N3830" t="n">
        <v>0</v>
      </c>
      <c r="O3830" t="n">
        <v>0</v>
      </c>
      <c r="P3830" t="n">
        <v>0</v>
      </c>
      <c r="Q3830" t="n">
        <v>0</v>
      </c>
      <c r="R3830" s="2" t="inlineStr"/>
    </row>
    <row r="3831" ht="15" customHeight="1">
      <c r="A3831" t="inlineStr">
        <is>
          <t>A 10894-2024</t>
        </is>
      </c>
      <c r="B3831" s="1" t="n">
        <v>45370.34858796297</v>
      </c>
      <c r="C3831" s="1" t="n">
        <v>45952</v>
      </c>
      <c r="D3831" t="inlineStr">
        <is>
          <t>VÄSTRA GÖTALANDS LÄN</t>
        </is>
      </c>
      <c r="E3831" t="inlineStr">
        <is>
          <t>SVENLJUNGA</t>
        </is>
      </c>
      <c r="G3831" t="n">
        <v>0.8</v>
      </c>
      <c r="H3831" t="n">
        <v>0</v>
      </c>
      <c r="I3831" t="n">
        <v>0</v>
      </c>
      <c r="J3831" t="n">
        <v>0</v>
      </c>
      <c r="K3831" t="n">
        <v>0</v>
      </c>
      <c r="L3831" t="n">
        <v>0</v>
      </c>
      <c r="M3831" t="n">
        <v>0</v>
      </c>
      <c r="N3831" t="n">
        <v>0</v>
      </c>
      <c r="O3831" t="n">
        <v>0</v>
      </c>
      <c r="P3831" t="n">
        <v>0</v>
      </c>
      <c r="Q3831" t="n">
        <v>0</v>
      </c>
      <c r="R3831" s="2" t="inlineStr"/>
    </row>
    <row r="3832" ht="15" customHeight="1">
      <c r="A3832" t="inlineStr">
        <is>
          <t>A 59303-2024</t>
        </is>
      </c>
      <c r="B3832" s="1" t="n">
        <v>45637.66935185185</v>
      </c>
      <c r="C3832" s="1" t="n">
        <v>45952</v>
      </c>
      <c r="D3832" t="inlineStr">
        <is>
          <t>VÄSTRA GÖTALANDS LÄN</t>
        </is>
      </c>
      <c r="E3832" t="inlineStr">
        <is>
          <t>ALINGSÅS</t>
        </is>
      </c>
      <c r="G3832" t="n">
        <v>0.5</v>
      </c>
      <c r="H3832" t="n">
        <v>0</v>
      </c>
      <c r="I3832" t="n">
        <v>0</v>
      </c>
      <c r="J3832" t="n">
        <v>0</v>
      </c>
      <c r="K3832" t="n">
        <v>0</v>
      </c>
      <c r="L3832" t="n">
        <v>0</v>
      </c>
      <c r="M3832" t="n">
        <v>0</v>
      </c>
      <c r="N3832" t="n">
        <v>0</v>
      </c>
      <c r="O3832" t="n">
        <v>0</v>
      </c>
      <c r="P3832" t="n">
        <v>0</v>
      </c>
      <c r="Q3832" t="n">
        <v>0</v>
      </c>
      <c r="R3832" s="2" t="inlineStr"/>
    </row>
    <row r="3833" ht="15" customHeight="1">
      <c r="A3833" t="inlineStr">
        <is>
          <t>A 26606-2021</t>
        </is>
      </c>
      <c r="B3833" s="1" t="n">
        <v>44348.63244212963</v>
      </c>
      <c r="C3833" s="1" t="n">
        <v>45952</v>
      </c>
      <c r="D3833" t="inlineStr">
        <is>
          <t>VÄSTRA GÖTALANDS LÄN</t>
        </is>
      </c>
      <c r="E3833" t="inlineStr">
        <is>
          <t>MARK</t>
        </is>
      </c>
      <c r="G3833" t="n">
        <v>1.8</v>
      </c>
      <c r="H3833" t="n">
        <v>0</v>
      </c>
      <c r="I3833" t="n">
        <v>0</v>
      </c>
      <c r="J3833" t="n">
        <v>0</v>
      </c>
      <c r="K3833" t="n">
        <v>0</v>
      </c>
      <c r="L3833" t="n">
        <v>0</v>
      </c>
      <c r="M3833" t="n">
        <v>0</v>
      </c>
      <c r="N3833" t="n">
        <v>0</v>
      </c>
      <c r="O3833" t="n">
        <v>0</v>
      </c>
      <c r="P3833" t="n">
        <v>0</v>
      </c>
      <c r="Q3833" t="n">
        <v>0</v>
      </c>
      <c r="R3833" s="2" t="inlineStr"/>
    </row>
    <row r="3834" ht="15" customHeight="1">
      <c r="A3834" t="inlineStr">
        <is>
          <t>A 58661-2024</t>
        </is>
      </c>
      <c r="B3834" s="1" t="n">
        <v>45635.60556712963</v>
      </c>
      <c r="C3834" s="1" t="n">
        <v>45952</v>
      </c>
      <c r="D3834" t="inlineStr">
        <is>
          <t>VÄSTRA GÖTALANDS LÄN</t>
        </is>
      </c>
      <c r="E3834" t="inlineStr">
        <is>
          <t>TANUM</t>
        </is>
      </c>
      <c r="G3834" t="n">
        <v>0.6</v>
      </c>
      <c r="H3834" t="n">
        <v>0</v>
      </c>
      <c r="I3834" t="n">
        <v>0</v>
      </c>
      <c r="J3834" t="n">
        <v>0</v>
      </c>
      <c r="K3834" t="n">
        <v>0</v>
      </c>
      <c r="L3834" t="n">
        <v>0</v>
      </c>
      <c r="M3834" t="n">
        <v>0</v>
      </c>
      <c r="N3834" t="n">
        <v>0</v>
      </c>
      <c r="O3834" t="n">
        <v>0</v>
      </c>
      <c r="P3834" t="n">
        <v>0</v>
      </c>
      <c r="Q3834" t="n">
        <v>0</v>
      </c>
      <c r="R3834" s="2" t="inlineStr"/>
    </row>
    <row r="3835" ht="15" customHeight="1">
      <c r="A3835" t="inlineStr">
        <is>
          <t>A 57098-2022</t>
        </is>
      </c>
      <c r="B3835" s="1" t="n">
        <v>44895.48936342593</v>
      </c>
      <c r="C3835" s="1" t="n">
        <v>45952</v>
      </c>
      <c r="D3835" t="inlineStr">
        <is>
          <t>VÄSTRA GÖTALANDS LÄN</t>
        </is>
      </c>
      <c r="E3835" t="inlineStr">
        <is>
          <t>ULRICEHAMN</t>
        </is>
      </c>
      <c r="G3835" t="n">
        <v>0.8</v>
      </c>
      <c r="H3835" t="n">
        <v>0</v>
      </c>
      <c r="I3835" t="n">
        <v>0</v>
      </c>
      <c r="J3835" t="n">
        <v>0</v>
      </c>
      <c r="K3835" t="n">
        <v>0</v>
      </c>
      <c r="L3835" t="n">
        <v>0</v>
      </c>
      <c r="M3835" t="n">
        <v>0</v>
      </c>
      <c r="N3835" t="n">
        <v>0</v>
      </c>
      <c r="O3835" t="n">
        <v>0</v>
      </c>
      <c r="P3835" t="n">
        <v>0</v>
      </c>
      <c r="Q3835" t="n">
        <v>0</v>
      </c>
      <c r="R3835" s="2" t="inlineStr"/>
    </row>
    <row r="3836" ht="15" customHeight="1">
      <c r="A3836" t="inlineStr">
        <is>
          <t>A 57105-2022</t>
        </is>
      </c>
      <c r="B3836" s="1" t="n">
        <v>44895.50105324074</v>
      </c>
      <c r="C3836" s="1" t="n">
        <v>45952</v>
      </c>
      <c r="D3836" t="inlineStr">
        <is>
          <t>VÄSTRA GÖTALANDS LÄN</t>
        </is>
      </c>
      <c r="E3836" t="inlineStr">
        <is>
          <t>DALS-ED</t>
        </is>
      </c>
      <c r="G3836" t="n">
        <v>11.4</v>
      </c>
      <c r="H3836" t="n">
        <v>0</v>
      </c>
      <c r="I3836" t="n">
        <v>0</v>
      </c>
      <c r="J3836" t="n">
        <v>0</v>
      </c>
      <c r="K3836" t="n">
        <v>0</v>
      </c>
      <c r="L3836" t="n">
        <v>0</v>
      </c>
      <c r="M3836" t="n">
        <v>0</v>
      </c>
      <c r="N3836" t="n">
        <v>0</v>
      </c>
      <c r="O3836" t="n">
        <v>0</v>
      </c>
      <c r="P3836" t="n">
        <v>0</v>
      </c>
      <c r="Q3836" t="n">
        <v>0</v>
      </c>
      <c r="R3836" s="2" t="inlineStr"/>
    </row>
    <row r="3837" ht="15" customHeight="1">
      <c r="A3837" t="inlineStr">
        <is>
          <t>A 27260-2024</t>
        </is>
      </c>
      <c r="B3837" s="1" t="n">
        <v>45471</v>
      </c>
      <c r="C3837" s="1" t="n">
        <v>45952</v>
      </c>
      <c r="D3837" t="inlineStr">
        <is>
          <t>VÄSTRA GÖTALANDS LÄN</t>
        </is>
      </c>
      <c r="E3837" t="inlineStr">
        <is>
          <t>GULLSPÅNG</t>
        </is>
      </c>
      <c r="G3837" t="n">
        <v>1</v>
      </c>
      <c r="H3837" t="n">
        <v>0</v>
      </c>
      <c r="I3837" t="n">
        <v>0</v>
      </c>
      <c r="J3837" t="n">
        <v>0</v>
      </c>
      <c r="K3837" t="n">
        <v>0</v>
      </c>
      <c r="L3837" t="n">
        <v>0</v>
      </c>
      <c r="M3837" t="n">
        <v>0</v>
      </c>
      <c r="N3837" t="n">
        <v>0</v>
      </c>
      <c r="O3837" t="n">
        <v>0</v>
      </c>
      <c r="P3837" t="n">
        <v>0</v>
      </c>
      <c r="Q3837" t="n">
        <v>0</v>
      </c>
      <c r="R3837" s="2" t="inlineStr"/>
    </row>
    <row r="3838" ht="15" customHeight="1">
      <c r="A3838" t="inlineStr">
        <is>
          <t>A 8474-2024</t>
        </is>
      </c>
      <c r="B3838" s="1" t="n">
        <v>45355.39510416667</v>
      </c>
      <c r="C3838" s="1" t="n">
        <v>45952</v>
      </c>
      <c r="D3838" t="inlineStr">
        <is>
          <t>VÄSTRA GÖTALANDS LÄN</t>
        </is>
      </c>
      <c r="E3838" t="inlineStr">
        <is>
          <t>TANUM</t>
        </is>
      </c>
      <c r="G3838" t="n">
        <v>3.3</v>
      </c>
      <c r="H3838" t="n">
        <v>0</v>
      </c>
      <c r="I3838" t="n">
        <v>0</v>
      </c>
      <c r="J3838" t="n">
        <v>0</v>
      </c>
      <c r="K3838" t="n">
        <v>0</v>
      </c>
      <c r="L3838" t="n">
        <v>0</v>
      </c>
      <c r="M3838" t="n">
        <v>0</v>
      </c>
      <c r="N3838" t="n">
        <v>0</v>
      </c>
      <c r="O3838" t="n">
        <v>0</v>
      </c>
      <c r="P3838" t="n">
        <v>0</v>
      </c>
      <c r="Q3838" t="n">
        <v>0</v>
      </c>
      <c r="R3838" s="2" t="inlineStr"/>
    </row>
    <row r="3839" ht="15" customHeight="1">
      <c r="A3839" t="inlineStr">
        <is>
          <t>A 7363-2025</t>
        </is>
      </c>
      <c r="B3839" s="1" t="n">
        <v>45704</v>
      </c>
      <c r="C3839" s="1" t="n">
        <v>45952</v>
      </c>
      <c r="D3839" t="inlineStr">
        <is>
          <t>VÄSTRA GÖTALANDS LÄN</t>
        </is>
      </c>
      <c r="E3839" t="inlineStr">
        <is>
          <t>ULRICEHAMN</t>
        </is>
      </c>
      <c r="G3839" t="n">
        <v>5</v>
      </c>
      <c r="H3839" t="n">
        <v>0</v>
      </c>
      <c r="I3839" t="n">
        <v>0</v>
      </c>
      <c r="J3839" t="n">
        <v>0</v>
      </c>
      <c r="K3839" t="n">
        <v>0</v>
      </c>
      <c r="L3839" t="n">
        <v>0</v>
      </c>
      <c r="M3839" t="n">
        <v>0</v>
      </c>
      <c r="N3839" t="n">
        <v>0</v>
      </c>
      <c r="O3839" t="n">
        <v>0</v>
      </c>
      <c r="P3839" t="n">
        <v>0</v>
      </c>
      <c r="Q3839" t="n">
        <v>0</v>
      </c>
      <c r="R3839" s="2" t="inlineStr"/>
    </row>
    <row r="3840" ht="15" customHeight="1">
      <c r="A3840" t="inlineStr">
        <is>
          <t>A 58265-2022</t>
        </is>
      </c>
      <c r="B3840" s="1" t="n">
        <v>44901.46361111111</v>
      </c>
      <c r="C3840" s="1" t="n">
        <v>45952</v>
      </c>
      <c r="D3840" t="inlineStr">
        <is>
          <t>VÄSTRA GÖTALANDS LÄN</t>
        </is>
      </c>
      <c r="E3840" t="inlineStr">
        <is>
          <t>BENGTSFORS</t>
        </is>
      </c>
      <c r="G3840" t="n">
        <v>1.9</v>
      </c>
      <c r="H3840" t="n">
        <v>0</v>
      </c>
      <c r="I3840" t="n">
        <v>0</v>
      </c>
      <c r="J3840" t="n">
        <v>0</v>
      </c>
      <c r="K3840" t="n">
        <v>0</v>
      </c>
      <c r="L3840" t="n">
        <v>0</v>
      </c>
      <c r="M3840" t="n">
        <v>0</v>
      </c>
      <c r="N3840" t="n">
        <v>0</v>
      </c>
      <c r="O3840" t="n">
        <v>0</v>
      </c>
      <c r="P3840" t="n">
        <v>0</v>
      </c>
      <c r="Q3840" t="n">
        <v>0</v>
      </c>
      <c r="R3840" s="2" t="inlineStr"/>
    </row>
    <row r="3841" ht="15" customHeight="1">
      <c r="A3841" t="inlineStr">
        <is>
          <t>A 19391-2024</t>
        </is>
      </c>
      <c r="B3841" s="1" t="n">
        <v>45429.37967592593</v>
      </c>
      <c r="C3841" s="1" t="n">
        <v>45952</v>
      </c>
      <c r="D3841" t="inlineStr">
        <is>
          <t>VÄSTRA GÖTALANDS LÄN</t>
        </is>
      </c>
      <c r="E3841" t="inlineStr">
        <is>
          <t>VÅRGÅRDA</t>
        </is>
      </c>
      <c r="G3841" t="n">
        <v>0</v>
      </c>
      <c r="H3841" t="n">
        <v>0</v>
      </c>
      <c r="I3841" t="n">
        <v>0</v>
      </c>
      <c r="J3841" t="n">
        <v>0</v>
      </c>
      <c r="K3841" t="n">
        <v>0</v>
      </c>
      <c r="L3841" t="n">
        <v>0</v>
      </c>
      <c r="M3841" t="n">
        <v>0</v>
      </c>
      <c r="N3841" t="n">
        <v>0</v>
      </c>
      <c r="O3841" t="n">
        <v>0</v>
      </c>
      <c r="P3841" t="n">
        <v>0</v>
      </c>
      <c r="Q3841" t="n">
        <v>0</v>
      </c>
      <c r="R3841" s="2" t="inlineStr"/>
    </row>
    <row r="3842" ht="15" customHeight="1">
      <c r="A3842" t="inlineStr">
        <is>
          <t>A 19394-2024</t>
        </is>
      </c>
      <c r="B3842" s="1" t="n">
        <v>45429.38112268518</v>
      </c>
      <c r="C3842" s="1" t="n">
        <v>45952</v>
      </c>
      <c r="D3842" t="inlineStr">
        <is>
          <t>VÄSTRA GÖTALANDS LÄN</t>
        </is>
      </c>
      <c r="E3842" t="inlineStr">
        <is>
          <t>VÅRGÅRDA</t>
        </is>
      </c>
      <c r="G3842" t="n">
        <v>0</v>
      </c>
      <c r="H3842" t="n">
        <v>0</v>
      </c>
      <c r="I3842" t="n">
        <v>0</v>
      </c>
      <c r="J3842" t="n">
        <v>0</v>
      </c>
      <c r="K3842" t="n">
        <v>0</v>
      </c>
      <c r="L3842" t="n">
        <v>0</v>
      </c>
      <c r="M3842" t="n">
        <v>0</v>
      </c>
      <c r="N3842" t="n">
        <v>0</v>
      </c>
      <c r="O3842" t="n">
        <v>0</v>
      </c>
      <c r="P3842" t="n">
        <v>0</v>
      </c>
      <c r="Q3842" t="n">
        <v>0</v>
      </c>
      <c r="R3842" s="2" t="inlineStr"/>
    </row>
    <row r="3843" ht="15" customHeight="1">
      <c r="A3843" t="inlineStr">
        <is>
          <t>A 20239-2021</t>
        </is>
      </c>
      <c r="B3843" s="1" t="n">
        <v>44312</v>
      </c>
      <c r="C3843" s="1" t="n">
        <v>45952</v>
      </c>
      <c r="D3843" t="inlineStr">
        <is>
          <t>VÄSTRA GÖTALANDS LÄN</t>
        </is>
      </c>
      <c r="E3843" t="inlineStr">
        <is>
          <t>BENGTSFORS</t>
        </is>
      </c>
      <c r="F3843" t="inlineStr">
        <is>
          <t>Kyrkan</t>
        </is>
      </c>
      <c r="G3843" t="n">
        <v>23.6</v>
      </c>
      <c r="H3843" t="n">
        <v>0</v>
      </c>
      <c r="I3843" t="n">
        <v>0</v>
      </c>
      <c r="J3843" t="n">
        <v>0</v>
      </c>
      <c r="K3843" t="n">
        <v>0</v>
      </c>
      <c r="L3843" t="n">
        <v>0</v>
      </c>
      <c r="M3843" t="n">
        <v>0</v>
      </c>
      <c r="N3843" t="n">
        <v>0</v>
      </c>
      <c r="O3843" t="n">
        <v>0</v>
      </c>
      <c r="P3843" t="n">
        <v>0</v>
      </c>
      <c r="Q3843" t="n">
        <v>0</v>
      </c>
      <c r="R3843" s="2" t="inlineStr"/>
    </row>
    <row r="3844" ht="15" customHeight="1">
      <c r="A3844" t="inlineStr">
        <is>
          <t>A 56685-2024</t>
        </is>
      </c>
      <c r="B3844" s="1" t="n">
        <v>45627.58290509259</v>
      </c>
      <c r="C3844" s="1" t="n">
        <v>45952</v>
      </c>
      <c r="D3844" t="inlineStr">
        <is>
          <t>VÄSTRA GÖTALANDS LÄN</t>
        </is>
      </c>
      <c r="E3844" t="inlineStr">
        <is>
          <t>TÖREBODA</t>
        </is>
      </c>
      <c r="G3844" t="n">
        <v>1</v>
      </c>
      <c r="H3844" t="n">
        <v>0</v>
      </c>
      <c r="I3844" t="n">
        <v>0</v>
      </c>
      <c r="J3844" t="n">
        <v>0</v>
      </c>
      <c r="K3844" t="n">
        <v>0</v>
      </c>
      <c r="L3844" t="n">
        <v>0</v>
      </c>
      <c r="M3844" t="n">
        <v>0</v>
      </c>
      <c r="N3844" t="n">
        <v>0</v>
      </c>
      <c r="O3844" t="n">
        <v>0</v>
      </c>
      <c r="P3844" t="n">
        <v>0</v>
      </c>
      <c r="Q3844" t="n">
        <v>0</v>
      </c>
      <c r="R3844" s="2" t="inlineStr"/>
    </row>
    <row r="3845" ht="15" customHeight="1">
      <c r="A3845" t="inlineStr">
        <is>
          <t>A 7389-2025</t>
        </is>
      </c>
      <c r="B3845" s="1" t="n">
        <v>45705.3318287037</v>
      </c>
      <c r="C3845" s="1" t="n">
        <v>45952</v>
      </c>
      <c r="D3845" t="inlineStr">
        <is>
          <t>VÄSTRA GÖTALANDS LÄN</t>
        </is>
      </c>
      <c r="E3845" t="inlineStr">
        <is>
          <t>FÄRGELANDA</t>
        </is>
      </c>
      <c r="G3845" t="n">
        <v>1.2</v>
      </c>
      <c r="H3845" t="n">
        <v>0</v>
      </c>
      <c r="I3845" t="n">
        <v>0</v>
      </c>
      <c r="J3845" t="n">
        <v>0</v>
      </c>
      <c r="K3845" t="n">
        <v>0</v>
      </c>
      <c r="L3845" t="n">
        <v>0</v>
      </c>
      <c r="M3845" t="n">
        <v>0</v>
      </c>
      <c r="N3845" t="n">
        <v>0</v>
      </c>
      <c r="O3845" t="n">
        <v>0</v>
      </c>
      <c r="P3845" t="n">
        <v>0</v>
      </c>
      <c r="Q3845" t="n">
        <v>0</v>
      </c>
      <c r="R3845" s="2" t="inlineStr"/>
    </row>
    <row r="3846" ht="15" customHeight="1">
      <c r="A3846" t="inlineStr">
        <is>
          <t>A 56654-2023</t>
        </is>
      </c>
      <c r="B3846" s="1" t="n">
        <v>45243.80131944444</v>
      </c>
      <c r="C3846" s="1" t="n">
        <v>45952</v>
      </c>
      <c r="D3846" t="inlineStr">
        <is>
          <t>VÄSTRA GÖTALANDS LÄN</t>
        </is>
      </c>
      <c r="E3846" t="inlineStr">
        <is>
          <t>VARA</t>
        </is>
      </c>
      <c r="G3846" t="n">
        <v>2.8</v>
      </c>
      <c r="H3846" t="n">
        <v>0</v>
      </c>
      <c r="I3846" t="n">
        <v>0</v>
      </c>
      <c r="J3846" t="n">
        <v>0</v>
      </c>
      <c r="K3846" t="n">
        <v>0</v>
      </c>
      <c r="L3846" t="n">
        <v>0</v>
      </c>
      <c r="M3846" t="n">
        <v>0</v>
      </c>
      <c r="N3846" t="n">
        <v>0</v>
      </c>
      <c r="O3846" t="n">
        <v>0</v>
      </c>
      <c r="P3846" t="n">
        <v>0</v>
      </c>
      <c r="Q3846" t="n">
        <v>0</v>
      </c>
      <c r="R3846" s="2" t="inlineStr"/>
    </row>
    <row r="3847" ht="15" customHeight="1">
      <c r="A3847" t="inlineStr">
        <is>
          <t>A 60642-2023</t>
        </is>
      </c>
      <c r="B3847" s="1" t="n">
        <v>45260</v>
      </c>
      <c r="C3847" s="1" t="n">
        <v>45952</v>
      </c>
      <c r="D3847" t="inlineStr">
        <is>
          <t>VÄSTRA GÖTALANDS LÄN</t>
        </is>
      </c>
      <c r="E3847" t="inlineStr">
        <is>
          <t>LIDKÖPING</t>
        </is>
      </c>
      <c r="G3847" t="n">
        <v>1.3</v>
      </c>
      <c r="H3847" t="n">
        <v>0</v>
      </c>
      <c r="I3847" t="n">
        <v>0</v>
      </c>
      <c r="J3847" t="n">
        <v>0</v>
      </c>
      <c r="K3847" t="n">
        <v>0</v>
      </c>
      <c r="L3847" t="n">
        <v>0</v>
      </c>
      <c r="M3847" t="n">
        <v>0</v>
      </c>
      <c r="N3847" t="n">
        <v>0</v>
      </c>
      <c r="O3847" t="n">
        <v>0</v>
      </c>
      <c r="P3847" t="n">
        <v>0</v>
      </c>
      <c r="Q3847" t="n">
        <v>0</v>
      </c>
      <c r="R3847" s="2" t="inlineStr"/>
    </row>
    <row r="3848" ht="15" customHeight="1">
      <c r="A3848" t="inlineStr">
        <is>
          <t>A 56717-2023</t>
        </is>
      </c>
      <c r="B3848" s="1" t="n">
        <v>45244</v>
      </c>
      <c r="C3848" s="1" t="n">
        <v>45952</v>
      </c>
      <c r="D3848" t="inlineStr">
        <is>
          <t>VÄSTRA GÖTALANDS LÄN</t>
        </is>
      </c>
      <c r="E3848" t="inlineStr">
        <is>
          <t>ULRICEHAMN</t>
        </is>
      </c>
      <c r="G3848" t="n">
        <v>2.3</v>
      </c>
      <c r="H3848" t="n">
        <v>0</v>
      </c>
      <c r="I3848" t="n">
        <v>0</v>
      </c>
      <c r="J3848" t="n">
        <v>0</v>
      </c>
      <c r="K3848" t="n">
        <v>0</v>
      </c>
      <c r="L3848" t="n">
        <v>0</v>
      </c>
      <c r="M3848" t="n">
        <v>0</v>
      </c>
      <c r="N3848" t="n">
        <v>0</v>
      </c>
      <c r="O3848" t="n">
        <v>0</v>
      </c>
      <c r="P3848" t="n">
        <v>0</v>
      </c>
      <c r="Q3848" t="n">
        <v>0</v>
      </c>
      <c r="R3848" s="2" t="inlineStr"/>
    </row>
    <row r="3849" ht="15" customHeight="1">
      <c r="A3849" t="inlineStr">
        <is>
          <t>A 17114-2023</t>
        </is>
      </c>
      <c r="B3849" s="1" t="n">
        <v>45034.58234953704</v>
      </c>
      <c r="C3849" s="1" t="n">
        <v>45952</v>
      </c>
      <c r="D3849" t="inlineStr">
        <is>
          <t>VÄSTRA GÖTALANDS LÄN</t>
        </is>
      </c>
      <c r="E3849" t="inlineStr">
        <is>
          <t>LILLA EDET</t>
        </is>
      </c>
      <c r="G3849" t="n">
        <v>1.2</v>
      </c>
      <c r="H3849" t="n">
        <v>0</v>
      </c>
      <c r="I3849" t="n">
        <v>0</v>
      </c>
      <c r="J3849" t="n">
        <v>0</v>
      </c>
      <c r="K3849" t="n">
        <v>0</v>
      </c>
      <c r="L3849" t="n">
        <v>0</v>
      </c>
      <c r="M3849" t="n">
        <v>0</v>
      </c>
      <c r="N3849" t="n">
        <v>0</v>
      </c>
      <c r="O3849" t="n">
        <v>0</v>
      </c>
      <c r="P3849" t="n">
        <v>0</v>
      </c>
      <c r="Q3849" t="n">
        <v>0</v>
      </c>
      <c r="R3849" s="2" t="inlineStr"/>
    </row>
    <row r="3850" ht="15" customHeight="1">
      <c r="A3850" t="inlineStr">
        <is>
          <t>A 67552-2021</t>
        </is>
      </c>
      <c r="B3850" s="1" t="n">
        <v>44524.56443287037</v>
      </c>
      <c r="C3850" s="1" t="n">
        <v>45952</v>
      </c>
      <c r="D3850" t="inlineStr">
        <is>
          <t>VÄSTRA GÖTALANDS LÄN</t>
        </is>
      </c>
      <c r="E3850" t="inlineStr">
        <is>
          <t>HERRLJUNGA</t>
        </is>
      </c>
      <c r="G3850" t="n">
        <v>1.9</v>
      </c>
      <c r="H3850" t="n">
        <v>0</v>
      </c>
      <c r="I3850" t="n">
        <v>0</v>
      </c>
      <c r="J3850" t="n">
        <v>0</v>
      </c>
      <c r="K3850" t="n">
        <v>0</v>
      </c>
      <c r="L3850" t="n">
        <v>0</v>
      </c>
      <c r="M3850" t="n">
        <v>0</v>
      </c>
      <c r="N3850" t="n">
        <v>0</v>
      </c>
      <c r="O3850" t="n">
        <v>0</v>
      </c>
      <c r="P3850" t="n">
        <v>0</v>
      </c>
      <c r="Q3850" t="n">
        <v>0</v>
      </c>
      <c r="R3850" s="2" t="inlineStr"/>
    </row>
    <row r="3851" ht="15" customHeight="1">
      <c r="A3851" t="inlineStr">
        <is>
          <t>A 13577-2025</t>
        </is>
      </c>
      <c r="B3851" s="1" t="n">
        <v>45736.58108796296</v>
      </c>
      <c r="C3851" s="1" t="n">
        <v>45952</v>
      </c>
      <c r="D3851" t="inlineStr">
        <is>
          <t>VÄSTRA GÖTALANDS LÄN</t>
        </is>
      </c>
      <c r="E3851" t="inlineStr">
        <is>
          <t>HERRLJUNGA</t>
        </is>
      </c>
      <c r="G3851" t="n">
        <v>0.7</v>
      </c>
      <c r="H3851" t="n">
        <v>0</v>
      </c>
      <c r="I3851" t="n">
        <v>0</v>
      </c>
      <c r="J3851" t="n">
        <v>0</v>
      </c>
      <c r="K3851" t="n">
        <v>0</v>
      </c>
      <c r="L3851" t="n">
        <v>0</v>
      </c>
      <c r="M3851" t="n">
        <v>0</v>
      </c>
      <c r="N3851" t="n">
        <v>0</v>
      </c>
      <c r="O3851" t="n">
        <v>0</v>
      </c>
      <c r="P3851" t="n">
        <v>0</v>
      </c>
      <c r="Q3851" t="n">
        <v>0</v>
      </c>
      <c r="R3851" s="2" t="inlineStr"/>
    </row>
    <row r="3852" ht="15" customHeight="1">
      <c r="A3852" t="inlineStr">
        <is>
          <t>A 13582-2025</t>
        </is>
      </c>
      <c r="B3852" s="1" t="n">
        <v>45736.59074074074</v>
      </c>
      <c r="C3852" s="1" t="n">
        <v>45952</v>
      </c>
      <c r="D3852" t="inlineStr">
        <is>
          <t>VÄSTRA GÖTALANDS LÄN</t>
        </is>
      </c>
      <c r="E3852" t="inlineStr">
        <is>
          <t>HÄRRYDA</t>
        </is>
      </c>
      <c r="G3852" t="n">
        <v>2.1</v>
      </c>
      <c r="H3852" t="n">
        <v>0</v>
      </c>
      <c r="I3852" t="n">
        <v>0</v>
      </c>
      <c r="J3852" t="n">
        <v>0</v>
      </c>
      <c r="K3852" t="n">
        <v>0</v>
      </c>
      <c r="L3852" t="n">
        <v>0</v>
      </c>
      <c r="M3852" t="n">
        <v>0</v>
      </c>
      <c r="N3852" t="n">
        <v>0</v>
      </c>
      <c r="O3852" t="n">
        <v>0</v>
      </c>
      <c r="P3852" t="n">
        <v>0</v>
      </c>
      <c r="Q3852" t="n">
        <v>0</v>
      </c>
      <c r="R3852" s="2" t="inlineStr"/>
    </row>
    <row r="3853" ht="15" customHeight="1">
      <c r="A3853" t="inlineStr">
        <is>
          <t>A 52036-2024</t>
        </is>
      </c>
      <c r="B3853" s="1" t="n">
        <v>45608.30641203704</v>
      </c>
      <c r="C3853" s="1" t="n">
        <v>45952</v>
      </c>
      <c r="D3853" t="inlineStr">
        <is>
          <t>VÄSTRA GÖTALANDS LÄN</t>
        </is>
      </c>
      <c r="E3853" t="inlineStr">
        <is>
          <t>TIDAHOLM</t>
        </is>
      </c>
      <c r="G3853" t="n">
        <v>5.6</v>
      </c>
      <c r="H3853" t="n">
        <v>0</v>
      </c>
      <c r="I3853" t="n">
        <v>0</v>
      </c>
      <c r="J3853" t="n">
        <v>0</v>
      </c>
      <c r="K3853" t="n">
        <v>0</v>
      </c>
      <c r="L3853" t="n">
        <v>0</v>
      </c>
      <c r="M3853" t="n">
        <v>0</v>
      </c>
      <c r="N3853" t="n">
        <v>0</v>
      </c>
      <c r="O3853" t="n">
        <v>0</v>
      </c>
      <c r="P3853" t="n">
        <v>0</v>
      </c>
      <c r="Q3853" t="n">
        <v>0</v>
      </c>
      <c r="R3853" s="2" t="inlineStr"/>
    </row>
    <row r="3854" ht="15" customHeight="1">
      <c r="A3854" t="inlineStr">
        <is>
          <t>A 37790-2023</t>
        </is>
      </c>
      <c r="B3854" s="1" t="n">
        <v>45159.85258101852</v>
      </c>
      <c r="C3854" s="1" t="n">
        <v>45952</v>
      </c>
      <c r="D3854" t="inlineStr">
        <is>
          <t>VÄSTRA GÖTALANDS LÄN</t>
        </is>
      </c>
      <c r="E3854" t="inlineStr">
        <is>
          <t>TANUM</t>
        </is>
      </c>
      <c r="G3854" t="n">
        <v>1.6</v>
      </c>
      <c r="H3854" t="n">
        <v>0</v>
      </c>
      <c r="I3854" t="n">
        <v>0</v>
      </c>
      <c r="J3854" t="n">
        <v>0</v>
      </c>
      <c r="K3854" t="n">
        <v>0</v>
      </c>
      <c r="L3854" t="n">
        <v>0</v>
      </c>
      <c r="M3854" t="n">
        <v>0</v>
      </c>
      <c r="N3854" t="n">
        <v>0</v>
      </c>
      <c r="O3854" t="n">
        <v>0</v>
      </c>
      <c r="P3854" t="n">
        <v>0</v>
      </c>
      <c r="Q3854" t="n">
        <v>0</v>
      </c>
      <c r="R3854" s="2" t="inlineStr"/>
    </row>
    <row r="3855" ht="15" customHeight="1">
      <c r="A3855" t="inlineStr">
        <is>
          <t>A 60911-2023</t>
        </is>
      </c>
      <c r="B3855" s="1" t="n">
        <v>45261.38917824074</v>
      </c>
      <c r="C3855" s="1" t="n">
        <v>45952</v>
      </c>
      <c r="D3855" t="inlineStr">
        <is>
          <t>VÄSTRA GÖTALANDS LÄN</t>
        </is>
      </c>
      <c r="E3855" t="inlineStr">
        <is>
          <t>TANUM</t>
        </is>
      </c>
      <c r="G3855" t="n">
        <v>11.3</v>
      </c>
      <c r="H3855" t="n">
        <v>0</v>
      </c>
      <c r="I3855" t="n">
        <v>0</v>
      </c>
      <c r="J3855" t="n">
        <v>0</v>
      </c>
      <c r="K3855" t="n">
        <v>0</v>
      </c>
      <c r="L3855" t="n">
        <v>0</v>
      </c>
      <c r="M3855" t="n">
        <v>0</v>
      </c>
      <c r="N3855" t="n">
        <v>0</v>
      </c>
      <c r="O3855" t="n">
        <v>0</v>
      </c>
      <c r="P3855" t="n">
        <v>0</v>
      </c>
      <c r="Q3855" t="n">
        <v>0</v>
      </c>
      <c r="R3855" s="2" t="inlineStr"/>
    </row>
    <row r="3856" ht="15" customHeight="1">
      <c r="A3856" t="inlineStr">
        <is>
          <t>A 12169-2023</t>
        </is>
      </c>
      <c r="B3856" s="1" t="n">
        <v>44998</v>
      </c>
      <c r="C3856" s="1" t="n">
        <v>45952</v>
      </c>
      <c r="D3856" t="inlineStr">
        <is>
          <t>VÄSTRA GÖTALANDS LÄN</t>
        </is>
      </c>
      <c r="E3856" t="inlineStr">
        <is>
          <t>UDDEVALLA</t>
        </is>
      </c>
      <c r="G3856" t="n">
        <v>2.5</v>
      </c>
      <c r="H3856" t="n">
        <v>0</v>
      </c>
      <c r="I3856" t="n">
        <v>0</v>
      </c>
      <c r="J3856" t="n">
        <v>0</v>
      </c>
      <c r="K3856" t="n">
        <v>0</v>
      </c>
      <c r="L3856" t="n">
        <v>0</v>
      </c>
      <c r="M3856" t="n">
        <v>0</v>
      </c>
      <c r="N3856" t="n">
        <v>0</v>
      </c>
      <c r="O3856" t="n">
        <v>0</v>
      </c>
      <c r="P3856" t="n">
        <v>0</v>
      </c>
      <c r="Q3856" t="n">
        <v>0</v>
      </c>
      <c r="R3856" s="2" t="inlineStr"/>
    </row>
    <row r="3857" ht="15" customHeight="1">
      <c r="A3857" t="inlineStr">
        <is>
          <t>A 12175-2023</t>
        </is>
      </c>
      <c r="B3857" s="1" t="n">
        <v>44998.54354166667</v>
      </c>
      <c r="C3857" s="1" t="n">
        <v>45952</v>
      </c>
      <c r="D3857" t="inlineStr">
        <is>
          <t>VÄSTRA GÖTALANDS LÄN</t>
        </is>
      </c>
      <c r="E3857" t="inlineStr">
        <is>
          <t>LIDKÖPING</t>
        </is>
      </c>
      <c r="G3857" t="n">
        <v>4.3</v>
      </c>
      <c r="H3857" t="n">
        <v>0</v>
      </c>
      <c r="I3857" t="n">
        <v>0</v>
      </c>
      <c r="J3857" t="n">
        <v>0</v>
      </c>
      <c r="K3857" t="n">
        <v>0</v>
      </c>
      <c r="L3857" t="n">
        <v>0</v>
      </c>
      <c r="M3857" t="n">
        <v>0</v>
      </c>
      <c r="N3857" t="n">
        <v>0</v>
      </c>
      <c r="O3857" t="n">
        <v>0</v>
      </c>
      <c r="P3857" t="n">
        <v>0</v>
      </c>
      <c r="Q3857" t="n">
        <v>0</v>
      </c>
      <c r="R3857" s="2" t="inlineStr"/>
    </row>
    <row r="3858" ht="15" customHeight="1">
      <c r="A3858" t="inlineStr">
        <is>
          <t>A 50624-2022</t>
        </is>
      </c>
      <c r="B3858" s="1" t="n">
        <v>44866</v>
      </c>
      <c r="C3858" s="1" t="n">
        <v>45952</v>
      </c>
      <c r="D3858" t="inlineStr">
        <is>
          <t>VÄSTRA GÖTALANDS LÄN</t>
        </is>
      </c>
      <c r="E3858" t="inlineStr">
        <is>
          <t>TIDAHOLM</t>
        </is>
      </c>
      <c r="G3858" t="n">
        <v>0.5</v>
      </c>
      <c r="H3858" t="n">
        <v>0</v>
      </c>
      <c r="I3858" t="n">
        <v>0</v>
      </c>
      <c r="J3858" t="n">
        <v>0</v>
      </c>
      <c r="K3858" t="n">
        <v>0</v>
      </c>
      <c r="L3858" t="n">
        <v>0</v>
      </c>
      <c r="M3858" t="n">
        <v>0</v>
      </c>
      <c r="N3858" t="n">
        <v>0</v>
      </c>
      <c r="O3858" t="n">
        <v>0</v>
      </c>
      <c r="P3858" t="n">
        <v>0</v>
      </c>
      <c r="Q3858" t="n">
        <v>0</v>
      </c>
      <c r="R3858" s="2" t="inlineStr"/>
    </row>
    <row r="3859" ht="15" customHeight="1">
      <c r="A3859" t="inlineStr">
        <is>
          <t>A 10842-2025</t>
        </is>
      </c>
      <c r="B3859" s="1" t="n">
        <v>45722.57545138889</v>
      </c>
      <c r="C3859" s="1" t="n">
        <v>45952</v>
      </c>
      <c r="D3859" t="inlineStr">
        <is>
          <t>VÄSTRA GÖTALANDS LÄN</t>
        </is>
      </c>
      <c r="E3859" t="inlineStr">
        <is>
          <t>MARIESTAD</t>
        </is>
      </c>
      <c r="G3859" t="n">
        <v>0.4</v>
      </c>
      <c r="H3859" t="n">
        <v>0</v>
      </c>
      <c r="I3859" t="n">
        <v>0</v>
      </c>
      <c r="J3859" t="n">
        <v>0</v>
      </c>
      <c r="K3859" t="n">
        <v>0</v>
      </c>
      <c r="L3859" t="n">
        <v>0</v>
      </c>
      <c r="M3859" t="n">
        <v>0</v>
      </c>
      <c r="N3859" t="n">
        <v>0</v>
      </c>
      <c r="O3859" t="n">
        <v>0</v>
      </c>
      <c r="P3859" t="n">
        <v>0</v>
      </c>
      <c r="Q3859" t="n">
        <v>0</v>
      </c>
      <c r="R3859" s="2" t="inlineStr"/>
    </row>
    <row r="3860" ht="15" customHeight="1">
      <c r="A3860" t="inlineStr">
        <is>
          <t>A 42838-2022</t>
        </is>
      </c>
      <c r="B3860" s="1" t="n">
        <v>44832.65980324074</v>
      </c>
      <c r="C3860" s="1" t="n">
        <v>45952</v>
      </c>
      <c r="D3860" t="inlineStr">
        <is>
          <t>VÄSTRA GÖTALANDS LÄN</t>
        </is>
      </c>
      <c r="E3860" t="inlineStr">
        <is>
          <t>FALKÖPING</t>
        </is>
      </c>
      <c r="G3860" t="n">
        <v>2.9</v>
      </c>
      <c r="H3860" t="n">
        <v>0</v>
      </c>
      <c r="I3860" t="n">
        <v>0</v>
      </c>
      <c r="J3860" t="n">
        <v>0</v>
      </c>
      <c r="K3860" t="n">
        <v>0</v>
      </c>
      <c r="L3860" t="n">
        <v>0</v>
      </c>
      <c r="M3860" t="n">
        <v>0</v>
      </c>
      <c r="N3860" t="n">
        <v>0</v>
      </c>
      <c r="O3860" t="n">
        <v>0</v>
      </c>
      <c r="P3860" t="n">
        <v>0</v>
      </c>
      <c r="Q3860" t="n">
        <v>0</v>
      </c>
      <c r="R3860" s="2" t="inlineStr"/>
    </row>
    <row r="3861" ht="15" customHeight="1">
      <c r="A3861" t="inlineStr">
        <is>
          <t>A 44462-2023</t>
        </is>
      </c>
      <c r="B3861" s="1" t="n">
        <v>45189.39472222222</v>
      </c>
      <c r="C3861" s="1" t="n">
        <v>45952</v>
      </c>
      <c r="D3861" t="inlineStr">
        <is>
          <t>VÄSTRA GÖTALANDS LÄN</t>
        </is>
      </c>
      <c r="E3861" t="inlineStr">
        <is>
          <t>BENGTSFORS</t>
        </is>
      </c>
      <c r="G3861" t="n">
        <v>2.5</v>
      </c>
      <c r="H3861" t="n">
        <v>0</v>
      </c>
      <c r="I3861" t="n">
        <v>0</v>
      </c>
      <c r="J3861" t="n">
        <v>0</v>
      </c>
      <c r="K3861" t="n">
        <v>0</v>
      </c>
      <c r="L3861" t="n">
        <v>0</v>
      </c>
      <c r="M3861" t="n">
        <v>0</v>
      </c>
      <c r="N3861" t="n">
        <v>0</v>
      </c>
      <c r="O3861" t="n">
        <v>0</v>
      </c>
      <c r="P3861" t="n">
        <v>0</v>
      </c>
      <c r="Q3861" t="n">
        <v>0</v>
      </c>
      <c r="R3861" s="2" t="inlineStr"/>
    </row>
    <row r="3862" ht="15" customHeight="1">
      <c r="A3862" t="inlineStr">
        <is>
          <t>A 44465-2023</t>
        </is>
      </c>
      <c r="B3862" s="1" t="n">
        <v>45189.40020833333</v>
      </c>
      <c r="C3862" s="1" t="n">
        <v>45952</v>
      </c>
      <c r="D3862" t="inlineStr">
        <is>
          <t>VÄSTRA GÖTALANDS LÄN</t>
        </is>
      </c>
      <c r="E3862" t="inlineStr">
        <is>
          <t>DALS-ED</t>
        </is>
      </c>
      <c r="G3862" t="n">
        <v>0.8</v>
      </c>
      <c r="H3862" t="n">
        <v>0</v>
      </c>
      <c r="I3862" t="n">
        <v>0</v>
      </c>
      <c r="J3862" t="n">
        <v>0</v>
      </c>
      <c r="K3862" t="n">
        <v>0</v>
      </c>
      <c r="L3862" t="n">
        <v>0</v>
      </c>
      <c r="M3862" t="n">
        <v>0</v>
      </c>
      <c r="N3862" t="n">
        <v>0</v>
      </c>
      <c r="O3862" t="n">
        <v>0</v>
      </c>
      <c r="P3862" t="n">
        <v>0</v>
      </c>
      <c r="Q3862" t="n">
        <v>0</v>
      </c>
      <c r="R3862" s="2" t="inlineStr"/>
    </row>
    <row r="3863" ht="15" customHeight="1">
      <c r="A3863" t="inlineStr">
        <is>
          <t>A 16989-2023</t>
        </is>
      </c>
      <c r="B3863" s="1" t="n">
        <v>45033</v>
      </c>
      <c r="C3863" s="1" t="n">
        <v>45952</v>
      </c>
      <c r="D3863" t="inlineStr">
        <is>
          <t>VÄSTRA GÖTALANDS LÄN</t>
        </is>
      </c>
      <c r="E3863" t="inlineStr">
        <is>
          <t>STRÖMSTAD</t>
        </is>
      </c>
      <c r="F3863" t="inlineStr">
        <is>
          <t>Kommuner</t>
        </is>
      </c>
      <c r="G3863" t="n">
        <v>2.6</v>
      </c>
      <c r="H3863" t="n">
        <v>0</v>
      </c>
      <c r="I3863" t="n">
        <v>0</v>
      </c>
      <c r="J3863" t="n">
        <v>0</v>
      </c>
      <c r="K3863" t="n">
        <v>0</v>
      </c>
      <c r="L3863" t="n">
        <v>0</v>
      </c>
      <c r="M3863" t="n">
        <v>0</v>
      </c>
      <c r="N3863" t="n">
        <v>0</v>
      </c>
      <c r="O3863" t="n">
        <v>0</v>
      </c>
      <c r="P3863" t="n">
        <v>0</v>
      </c>
      <c r="Q3863" t="n">
        <v>0</v>
      </c>
      <c r="R3863" s="2" t="inlineStr"/>
    </row>
    <row r="3864" ht="15" customHeight="1">
      <c r="A3864" t="inlineStr">
        <is>
          <t>A 13386-2023</t>
        </is>
      </c>
      <c r="B3864" s="1" t="n">
        <v>45005.5162037037</v>
      </c>
      <c r="C3864" s="1" t="n">
        <v>45952</v>
      </c>
      <c r="D3864" t="inlineStr">
        <is>
          <t>VÄSTRA GÖTALANDS LÄN</t>
        </is>
      </c>
      <c r="E3864" t="inlineStr">
        <is>
          <t>TANUM</t>
        </is>
      </c>
      <c r="G3864" t="n">
        <v>2.7</v>
      </c>
      <c r="H3864" t="n">
        <v>0</v>
      </c>
      <c r="I3864" t="n">
        <v>0</v>
      </c>
      <c r="J3864" t="n">
        <v>0</v>
      </c>
      <c r="K3864" t="n">
        <v>0</v>
      </c>
      <c r="L3864" t="n">
        <v>0</v>
      </c>
      <c r="M3864" t="n">
        <v>0</v>
      </c>
      <c r="N3864" t="n">
        <v>0</v>
      </c>
      <c r="O3864" t="n">
        <v>0</v>
      </c>
      <c r="P3864" t="n">
        <v>0</v>
      </c>
      <c r="Q3864" t="n">
        <v>0</v>
      </c>
      <c r="R3864" s="2" t="inlineStr"/>
    </row>
    <row r="3865" ht="15" customHeight="1">
      <c r="A3865" t="inlineStr">
        <is>
          <t>A 28310-2022</t>
        </is>
      </c>
      <c r="B3865" s="1" t="n">
        <v>44747.358125</v>
      </c>
      <c r="C3865" s="1" t="n">
        <v>45952</v>
      </c>
      <c r="D3865" t="inlineStr">
        <is>
          <t>VÄSTRA GÖTALANDS LÄN</t>
        </is>
      </c>
      <c r="E3865" t="inlineStr">
        <is>
          <t>FALKÖPING</t>
        </is>
      </c>
      <c r="G3865" t="n">
        <v>1.8</v>
      </c>
      <c r="H3865" t="n">
        <v>0</v>
      </c>
      <c r="I3865" t="n">
        <v>0</v>
      </c>
      <c r="J3865" t="n">
        <v>0</v>
      </c>
      <c r="K3865" t="n">
        <v>0</v>
      </c>
      <c r="L3865" t="n">
        <v>0</v>
      </c>
      <c r="M3865" t="n">
        <v>0</v>
      </c>
      <c r="N3865" t="n">
        <v>0</v>
      </c>
      <c r="O3865" t="n">
        <v>0</v>
      </c>
      <c r="P3865" t="n">
        <v>0</v>
      </c>
      <c r="Q3865" t="n">
        <v>0</v>
      </c>
      <c r="R3865" s="2" t="inlineStr"/>
    </row>
    <row r="3866" ht="15" customHeight="1">
      <c r="A3866" t="inlineStr">
        <is>
          <t>A 67455-2021</t>
        </is>
      </c>
      <c r="B3866" s="1" t="n">
        <v>44524.38003472222</v>
      </c>
      <c r="C3866" s="1" t="n">
        <v>45952</v>
      </c>
      <c r="D3866" t="inlineStr">
        <is>
          <t>VÄSTRA GÖTALANDS LÄN</t>
        </is>
      </c>
      <c r="E3866" t="inlineStr">
        <is>
          <t>BOLLEBYGD</t>
        </is>
      </c>
      <c r="G3866" t="n">
        <v>1</v>
      </c>
      <c r="H3866" t="n">
        <v>0</v>
      </c>
      <c r="I3866" t="n">
        <v>0</v>
      </c>
      <c r="J3866" t="n">
        <v>0</v>
      </c>
      <c r="K3866" t="n">
        <v>0</v>
      </c>
      <c r="L3866" t="n">
        <v>0</v>
      </c>
      <c r="M3866" t="n">
        <v>0</v>
      </c>
      <c r="N3866" t="n">
        <v>0</v>
      </c>
      <c r="O3866" t="n">
        <v>0</v>
      </c>
      <c r="P3866" t="n">
        <v>0</v>
      </c>
      <c r="Q3866" t="n">
        <v>0</v>
      </c>
      <c r="R3866" s="2" t="inlineStr"/>
    </row>
    <row r="3867" ht="15" customHeight="1">
      <c r="A3867" t="inlineStr">
        <is>
          <t>A 17095-2023</t>
        </is>
      </c>
      <c r="B3867" s="1" t="n">
        <v>45034</v>
      </c>
      <c r="C3867" s="1" t="n">
        <v>45952</v>
      </c>
      <c r="D3867" t="inlineStr">
        <is>
          <t>VÄSTRA GÖTALANDS LÄN</t>
        </is>
      </c>
      <c r="E3867" t="inlineStr">
        <is>
          <t>BORÅS</t>
        </is>
      </c>
      <c r="G3867" t="n">
        <v>1.6</v>
      </c>
      <c r="H3867" t="n">
        <v>0</v>
      </c>
      <c r="I3867" t="n">
        <v>0</v>
      </c>
      <c r="J3867" t="n">
        <v>0</v>
      </c>
      <c r="K3867" t="n">
        <v>0</v>
      </c>
      <c r="L3867" t="n">
        <v>0</v>
      </c>
      <c r="M3867" t="n">
        <v>0</v>
      </c>
      <c r="N3867" t="n">
        <v>0</v>
      </c>
      <c r="O3867" t="n">
        <v>0</v>
      </c>
      <c r="P3867" t="n">
        <v>0</v>
      </c>
      <c r="Q3867" t="n">
        <v>0</v>
      </c>
      <c r="R3867" s="2" t="inlineStr"/>
    </row>
    <row r="3868" ht="15" customHeight="1">
      <c r="A3868" t="inlineStr">
        <is>
          <t>A 25758-2022</t>
        </is>
      </c>
      <c r="B3868" s="1" t="n">
        <v>44733.444375</v>
      </c>
      <c r="C3868" s="1" t="n">
        <v>45952</v>
      </c>
      <c r="D3868" t="inlineStr">
        <is>
          <t>VÄSTRA GÖTALANDS LÄN</t>
        </is>
      </c>
      <c r="E3868" t="inlineStr">
        <is>
          <t>HERRLJUNGA</t>
        </is>
      </c>
      <c r="G3868" t="n">
        <v>0.5</v>
      </c>
      <c r="H3868" t="n">
        <v>0</v>
      </c>
      <c r="I3868" t="n">
        <v>0</v>
      </c>
      <c r="J3868" t="n">
        <v>0</v>
      </c>
      <c r="K3868" t="n">
        <v>0</v>
      </c>
      <c r="L3868" t="n">
        <v>0</v>
      </c>
      <c r="M3868" t="n">
        <v>0</v>
      </c>
      <c r="N3868" t="n">
        <v>0</v>
      </c>
      <c r="O3868" t="n">
        <v>0</v>
      </c>
      <c r="P3868" t="n">
        <v>0</v>
      </c>
      <c r="Q3868" t="n">
        <v>0</v>
      </c>
      <c r="R3868" s="2" t="inlineStr"/>
    </row>
    <row r="3869" ht="15" customHeight="1">
      <c r="A3869" t="inlineStr">
        <is>
          <t>A 29728-2022</t>
        </is>
      </c>
      <c r="B3869" s="1" t="n">
        <v>44755.45465277778</v>
      </c>
      <c r="C3869" s="1" t="n">
        <v>45952</v>
      </c>
      <c r="D3869" t="inlineStr">
        <is>
          <t>VÄSTRA GÖTALANDS LÄN</t>
        </is>
      </c>
      <c r="E3869" t="inlineStr">
        <is>
          <t>TIBRO</t>
        </is>
      </c>
      <c r="G3869" t="n">
        <v>2</v>
      </c>
      <c r="H3869" t="n">
        <v>0</v>
      </c>
      <c r="I3869" t="n">
        <v>0</v>
      </c>
      <c r="J3869" t="n">
        <v>0</v>
      </c>
      <c r="K3869" t="n">
        <v>0</v>
      </c>
      <c r="L3869" t="n">
        <v>0</v>
      </c>
      <c r="M3869" t="n">
        <v>0</v>
      </c>
      <c r="N3869" t="n">
        <v>0</v>
      </c>
      <c r="O3869" t="n">
        <v>0</v>
      </c>
      <c r="P3869" t="n">
        <v>0</v>
      </c>
      <c r="Q3869" t="n">
        <v>0</v>
      </c>
      <c r="R3869" s="2" t="inlineStr"/>
    </row>
    <row r="3870" ht="15" customHeight="1">
      <c r="A3870" t="inlineStr">
        <is>
          <t>A 55145-2024</t>
        </is>
      </c>
      <c r="B3870" s="1" t="n">
        <v>45621</v>
      </c>
      <c r="C3870" s="1" t="n">
        <v>45952</v>
      </c>
      <c r="D3870" t="inlineStr">
        <is>
          <t>VÄSTRA GÖTALANDS LÄN</t>
        </is>
      </c>
      <c r="E3870" t="inlineStr">
        <is>
          <t>GULLSPÅNG</t>
        </is>
      </c>
      <c r="G3870" t="n">
        <v>0.5</v>
      </c>
      <c r="H3870" t="n">
        <v>0</v>
      </c>
      <c r="I3870" t="n">
        <v>0</v>
      </c>
      <c r="J3870" t="n">
        <v>0</v>
      </c>
      <c r="K3870" t="n">
        <v>0</v>
      </c>
      <c r="L3870" t="n">
        <v>0</v>
      </c>
      <c r="M3870" t="n">
        <v>0</v>
      </c>
      <c r="N3870" t="n">
        <v>0</v>
      </c>
      <c r="O3870" t="n">
        <v>0</v>
      </c>
      <c r="P3870" t="n">
        <v>0</v>
      </c>
      <c r="Q3870" t="n">
        <v>0</v>
      </c>
      <c r="R3870" s="2" t="inlineStr"/>
    </row>
    <row r="3871" ht="15" customHeight="1">
      <c r="A3871" t="inlineStr">
        <is>
          <t>A 55183-2024</t>
        </is>
      </c>
      <c r="B3871" s="1" t="n">
        <v>45620</v>
      </c>
      <c r="C3871" s="1" t="n">
        <v>45952</v>
      </c>
      <c r="D3871" t="inlineStr">
        <is>
          <t>VÄSTRA GÖTALANDS LÄN</t>
        </is>
      </c>
      <c r="E3871" t="inlineStr">
        <is>
          <t>MUNKEDAL</t>
        </is>
      </c>
      <c r="G3871" t="n">
        <v>8.699999999999999</v>
      </c>
      <c r="H3871" t="n">
        <v>0</v>
      </c>
      <c r="I3871" t="n">
        <v>0</v>
      </c>
      <c r="J3871" t="n">
        <v>0</v>
      </c>
      <c r="K3871" t="n">
        <v>0</v>
      </c>
      <c r="L3871" t="n">
        <v>0</v>
      </c>
      <c r="M3871" t="n">
        <v>0</v>
      </c>
      <c r="N3871" t="n">
        <v>0</v>
      </c>
      <c r="O3871" t="n">
        <v>0</v>
      </c>
      <c r="P3871" t="n">
        <v>0</v>
      </c>
      <c r="Q3871" t="n">
        <v>0</v>
      </c>
      <c r="R3871" s="2" t="inlineStr"/>
    </row>
    <row r="3872" ht="15" customHeight="1">
      <c r="A3872" t="inlineStr">
        <is>
          <t>A 38048-2022</t>
        </is>
      </c>
      <c r="B3872" s="1" t="n">
        <v>44811</v>
      </c>
      <c r="C3872" s="1" t="n">
        <v>45952</v>
      </c>
      <c r="D3872" t="inlineStr">
        <is>
          <t>VÄSTRA GÖTALANDS LÄN</t>
        </is>
      </c>
      <c r="E3872" t="inlineStr">
        <is>
          <t>SKÖVDE</t>
        </is>
      </c>
      <c r="G3872" t="n">
        <v>4</v>
      </c>
      <c r="H3872" t="n">
        <v>0</v>
      </c>
      <c r="I3872" t="n">
        <v>0</v>
      </c>
      <c r="J3872" t="n">
        <v>0</v>
      </c>
      <c r="K3872" t="n">
        <v>0</v>
      </c>
      <c r="L3872" t="n">
        <v>0</v>
      </c>
      <c r="M3872" t="n">
        <v>0</v>
      </c>
      <c r="N3872" t="n">
        <v>0</v>
      </c>
      <c r="O3872" t="n">
        <v>0</v>
      </c>
      <c r="P3872" t="n">
        <v>0</v>
      </c>
      <c r="Q3872" t="n">
        <v>0</v>
      </c>
      <c r="R3872" s="2" t="inlineStr"/>
    </row>
    <row r="3873" ht="15" customHeight="1">
      <c r="A3873" t="inlineStr">
        <is>
          <t>A 10431-2025</t>
        </is>
      </c>
      <c r="B3873" s="1" t="n">
        <v>45720</v>
      </c>
      <c r="C3873" s="1" t="n">
        <v>45952</v>
      </c>
      <c r="D3873" t="inlineStr">
        <is>
          <t>VÄSTRA GÖTALANDS LÄN</t>
        </is>
      </c>
      <c r="E3873" t="inlineStr">
        <is>
          <t>TÖREBODA</t>
        </is>
      </c>
      <c r="G3873" t="n">
        <v>0.8</v>
      </c>
      <c r="H3873" t="n">
        <v>0</v>
      </c>
      <c r="I3873" t="n">
        <v>0</v>
      </c>
      <c r="J3873" t="n">
        <v>0</v>
      </c>
      <c r="K3873" t="n">
        <v>0</v>
      </c>
      <c r="L3873" t="n">
        <v>0</v>
      </c>
      <c r="M3873" t="n">
        <v>0</v>
      </c>
      <c r="N3873" t="n">
        <v>0</v>
      </c>
      <c r="O3873" t="n">
        <v>0</v>
      </c>
      <c r="P3873" t="n">
        <v>0</v>
      </c>
      <c r="Q3873" t="n">
        <v>0</v>
      </c>
      <c r="R3873" s="2" t="inlineStr"/>
    </row>
    <row r="3874" ht="15" customHeight="1">
      <c r="A3874" t="inlineStr">
        <is>
          <t>A 2944-2023</t>
        </is>
      </c>
      <c r="B3874" s="1" t="n">
        <v>44945.61427083334</v>
      </c>
      <c r="C3874" s="1" t="n">
        <v>45952</v>
      </c>
      <c r="D3874" t="inlineStr">
        <is>
          <t>VÄSTRA GÖTALANDS LÄN</t>
        </is>
      </c>
      <c r="E3874" t="inlineStr">
        <is>
          <t>ULRICEHAMN</t>
        </is>
      </c>
      <c r="G3874" t="n">
        <v>2.3</v>
      </c>
      <c r="H3874" t="n">
        <v>0</v>
      </c>
      <c r="I3874" t="n">
        <v>0</v>
      </c>
      <c r="J3874" t="n">
        <v>0</v>
      </c>
      <c r="K3874" t="n">
        <v>0</v>
      </c>
      <c r="L3874" t="n">
        <v>0</v>
      </c>
      <c r="M3874" t="n">
        <v>0</v>
      </c>
      <c r="N3874" t="n">
        <v>0</v>
      </c>
      <c r="O3874" t="n">
        <v>0</v>
      </c>
      <c r="P3874" t="n">
        <v>0</v>
      </c>
      <c r="Q3874" t="n">
        <v>0</v>
      </c>
      <c r="R3874" s="2" t="inlineStr"/>
    </row>
    <row r="3875" ht="15" customHeight="1">
      <c r="A3875" t="inlineStr">
        <is>
          <t>A 67565-2020</t>
        </is>
      </c>
      <c r="B3875" s="1" t="n">
        <v>44181.85006944444</v>
      </c>
      <c r="C3875" s="1" t="n">
        <v>45952</v>
      </c>
      <c r="D3875" t="inlineStr">
        <is>
          <t>VÄSTRA GÖTALANDS LÄN</t>
        </is>
      </c>
      <c r="E3875" t="inlineStr">
        <is>
          <t>VARA</t>
        </is>
      </c>
      <c r="G3875" t="n">
        <v>1.7</v>
      </c>
      <c r="H3875" t="n">
        <v>0</v>
      </c>
      <c r="I3875" t="n">
        <v>0</v>
      </c>
      <c r="J3875" t="n">
        <v>0</v>
      </c>
      <c r="K3875" t="n">
        <v>0</v>
      </c>
      <c r="L3875" t="n">
        <v>0</v>
      </c>
      <c r="M3875" t="n">
        <v>0</v>
      </c>
      <c r="N3875" t="n">
        <v>0</v>
      </c>
      <c r="O3875" t="n">
        <v>0</v>
      </c>
      <c r="P3875" t="n">
        <v>0</v>
      </c>
      <c r="Q3875" t="n">
        <v>0</v>
      </c>
      <c r="R3875" s="2" t="inlineStr"/>
    </row>
    <row r="3876" ht="15" customHeight="1">
      <c r="A3876" t="inlineStr">
        <is>
          <t>A 9793-2022</t>
        </is>
      </c>
      <c r="B3876" s="1" t="n">
        <v>44620.36565972222</v>
      </c>
      <c r="C3876" s="1" t="n">
        <v>45952</v>
      </c>
      <c r="D3876" t="inlineStr">
        <is>
          <t>VÄSTRA GÖTALANDS LÄN</t>
        </is>
      </c>
      <c r="E3876" t="inlineStr">
        <is>
          <t>MARIESTAD</t>
        </is>
      </c>
      <c r="G3876" t="n">
        <v>6.2</v>
      </c>
      <c r="H3876" t="n">
        <v>0</v>
      </c>
      <c r="I3876" t="n">
        <v>0</v>
      </c>
      <c r="J3876" t="n">
        <v>0</v>
      </c>
      <c r="K3876" t="n">
        <v>0</v>
      </c>
      <c r="L3876" t="n">
        <v>0</v>
      </c>
      <c r="M3876" t="n">
        <v>0</v>
      </c>
      <c r="N3876" t="n">
        <v>0</v>
      </c>
      <c r="O3876" t="n">
        <v>0</v>
      </c>
      <c r="P3876" t="n">
        <v>0</v>
      </c>
      <c r="Q3876" t="n">
        <v>0</v>
      </c>
      <c r="R3876" s="2" t="inlineStr"/>
    </row>
    <row r="3877" ht="15" customHeight="1">
      <c r="A3877" t="inlineStr">
        <is>
          <t>A 2345-2023</t>
        </is>
      </c>
      <c r="B3877" s="1" t="n">
        <v>44942</v>
      </c>
      <c r="C3877" s="1" t="n">
        <v>45952</v>
      </c>
      <c r="D3877" t="inlineStr">
        <is>
          <t>VÄSTRA GÖTALANDS LÄN</t>
        </is>
      </c>
      <c r="E3877" t="inlineStr">
        <is>
          <t>VÅRGÅRDA</t>
        </is>
      </c>
      <c r="G3877" t="n">
        <v>1.7</v>
      </c>
      <c r="H3877" t="n">
        <v>0</v>
      </c>
      <c r="I3877" t="n">
        <v>0</v>
      </c>
      <c r="J3877" t="n">
        <v>0</v>
      </c>
      <c r="K3877" t="n">
        <v>0</v>
      </c>
      <c r="L3877" t="n">
        <v>0</v>
      </c>
      <c r="M3877" t="n">
        <v>0</v>
      </c>
      <c r="N3877" t="n">
        <v>0</v>
      </c>
      <c r="O3877" t="n">
        <v>0</v>
      </c>
      <c r="P3877" t="n">
        <v>0</v>
      </c>
      <c r="Q3877" t="n">
        <v>0</v>
      </c>
      <c r="R3877" s="2" t="inlineStr"/>
    </row>
    <row r="3878" ht="15" customHeight="1">
      <c r="A3878" t="inlineStr">
        <is>
          <t>A 5471-2024</t>
        </is>
      </c>
      <c r="B3878" s="1" t="n">
        <v>45332</v>
      </c>
      <c r="C3878" s="1" t="n">
        <v>45952</v>
      </c>
      <c r="D3878" t="inlineStr">
        <is>
          <t>VÄSTRA GÖTALANDS LÄN</t>
        </is>
      </c>
      <c r="E3878" t="inlineStr">
        <is>
          <t>ULRICEHAMN</t>
        </is>
      </c>
      <c r="G3878" t="n">
        <v>2</v>
      </c>
      <c r="H3878" t="n">
        <v>0</v>
      </c>
      <c r="I3878" t="n">
        <v>0</v>
      </c>
      <c r="J3878" t="n">
        <v>0</v>
      </c>
      <c r="K3878" t="n">
        <v>0</v>
      </c>
      <c r="L3878" t="n">
        <v>0</v>
      </c>
      <c r="M3878" t="n">
        <v>0</v>
      </c>
      <c r="N3878" t="n">
        <v>0</v>
      </c>
      <c r="O3878" t="n">
        <v>0</v>
      </c>
      <c r="P3878" t="n">
        <v>0</v>
      </c>
      <c r="Q3878" t="n">
        <v>0</v>
      </c>
      <c r="R3878" s="2" t="inlineStr"/>
    </row>
    <row r="3879" ht="15" customHeight="1">
      <c r="A3879" t="inlineStr">
        <is>
          <t>A 10897-2025</t>
        </is>
      </c>
      <c r="B3879" s="1" t="n">
        <v>45722.68349537037</v>
      </c>
      <c r="C3879" s="1" t="n">
        <v>45952</v>
      </c>
      <c r="D3879" t="inlineStr">
        <is>
          <t>VÄSTRA GÖTALANDS LÄN</t>
        </is>
      </c>
      <c r="E3879" t="inlineStr">
        <is>
          <t>KARLSBORG</t>
        </is>
      </c>
      <c r="G3879" t="n">
        <v>5.1</v>
      </c>
      <c r="H3879" t="n">
        <v>0</v>
      </c>
      <c r="I3879" t="n">
        <v>0</v>
      </c>
      <c r="J3879" t="n">
        <v>0</v>
      </c>
      <c r="K3879" t="n">
        <v>0</v>
      </c>
      <c r="L3879" t="n">
        <v>0</v>
      </c>
      <c r="M3879" t="n">
        <v>0</v>
      </c>
      <c r="N3879" t="n">
        <v>0</v>
      </c>
      <c r="O3879" t="n">
        <v>0</v>
      </c>
      <c r="P3879" t="n">
        <v>0</v>
      </c>
      <c r="Q3879" t="n">
        <v>0</v>
      </c>
      <c r="R3879" s="2" t="inlineStr"/>
    </row>
    <row r="3880" ht="15" customHeight="1">
      <c r="A3880" t="inlineStr">
        <is>
          <t>A 45602-2024</t>
        </is>
      </c>
      <c r="B3880" s="1" t="n">
        <v>45579.43690972222</v>
      </c>
      <c r="C3880" s="1" t="n">
        <v>45952</v>
      </c>
      <c r="D3880" t="inlineStr">
        <is>
          <t>VÄSTRA GÖTALANDS LÄN</t>
        </is>
      </c>
      <c r="E3880" t="inlineStr">
        <is>
          <t>BENGTSFORS</t>
        </is>
      </c>
      <c r="G3880" t="n">
        <v>0.8</v>
      </c>
      <c r="H3880" t="n">
        <v>0</v>
      </c>
      <c r="I3880" t="n">
        <v>0</v>
      </c>
      <c r="J3880" t="n">
        <v>0</v>
      </c>
      <c r="K3880" t="n">
        <v>0</v>
      </c>
      <c r="L3880" t="n">
        <v>0</v>
      </c>
      <c r="M3880" t="n">
        <v>0</v>
      </c>
      <c r="N3880" t="n">
        <v>0</v>
      </c>
      <c r="O3880" t="n">
        <v>0</v>
      </c>
      <c r="P3880" t="n">
        <v>0</v>
      </c>
      <c r="Q3880" t="n">
        <v>0</v>
      </c>
      <c r="R3880" s="2" t="inlineStr"/>
    </row>
    <row r="3881" ht="15" customHeight="1">
      <c r="A3881" t="inlineStr">
        <is>
          <t>A 38676-2024</t>
        </is>
      </c>
      <c r="B3881" s="1" t="n">
        <v>45547.33547453704</v>
      </c>
      <c r="C3881" s="1" t="n">
        <v>45952</v>
      </c>
      <c r="D3881" t="inlineStr">
        <is>
          <t>VÄSTRA GÖTALANDS LÄN</t>
        </is>
      </c>
      <c r="E3881" t="inlineStr">
        <is>
          <t>BORÅS</t>
        </is>
      </c>
      <c r="G3881" t="n">
        <v>1.7</v>
      </c>
      <c r="H3881" t="n">
        <v>0</v>
      </c>
      <c r="I3881" t="n">
        <v>0</v>
      </c>
      <c r="J3881" t="n">
        <v>0</v>
      </c>
      <c r="K3881" t="n">
        <v>0</v>
      </c>
      <c r="L3881" t="n">
        <v>0</v>
      </c>
      <c r="M3881" t="n">
        <v>0</v>
      </c>
      <c r="N3881" t="n">
        <v>0</v>
      </c>
      <c r="O3881" t="n">
        <v>0</v>
      </c>
      <c r="P3881" t="n">
        <v>0</v>
      </c>
      <c r="Q3881" t="n">
        <v>0</v>
      </c>
      <c r="R3881" s="2" t="inlineStr"/>
    </row>
    <row r="3882" ht="15" customHeight="1">
      <c r="A3882" t="inlineStr">
        <is>
          <t>A 38678-2024</t>
        </is>
      </c>
      <c r="B3882" s="1" t="n">
        <v>45547.34216435185</v>
      </c>
      <c r="C3882" s="1" t="n">
        <v>45952</v>
      </c>
      <c r="D3882" t="inlineStr">
        <is>
          <t>VÄSTRA GÖTALANDS LÄN</t>
        </is>
      </c>
      <c r="E3882" t="inlineStr">
        <is>
          <t>SVENLJUNGA</t>
        </is>
      </c>
      <c r="G3882" t="n">
        <v>0.9</v>
      </c>
      <c r="H3882" t="n">
        <v>0</v>
      </c>
      <c r="I3882" t="n">
        <v>0</v>
      </c>
      <c r="J3882" t="n">
        <v>0</v>
      </c>
      <c r="K3882" t="n">
        <v>0</v>
      </c>
      <c r="L3882" t="n">
        <v>0</v>
      </c>
      <c r="M3882" t="n">
        <v>0</v>
      </c>
      <c r="N3882" t="n">
        <v>0</v>
      </c>
      <c r="O3882" t="n">
        <v>0</v>
      </c>
      <c r="P3882" t="n">
        <v>0</v>
      </c>
      <c r="Q3882" t="n">
        <v>0</v>
      </c>
      <c r="R3882" s="2" t="inlineStr"/>
    </row>
    <row r="3883" ht="15" customHeight="1">
      <c r="A3883" t="inlineStr">
        <is>
          <t>A 60440-2020</t>
        </is>
      </c>
      <c r="B3883" s="1" t="n">
        <v>44152</v>
      </c>
      <c r="C3883" s="1" t="n">
        <v>45952</v>
      </c>
      <c r="D3883" t="inlineStr">
        <is>
          <t>VÄSTRA GÖTALANDS LÄN</t>
        </is>
      </c>
      <c r="E3883" t="inlineStr">
        <is>
          <t>TÖREBODA</t>
        </is>
      </c>
      <c r="G3883" t="n">
        <v>18.7</v>
      </c>
      <c r="H3883" t="n">
        <v>0</v>
      </c>
      <c r="I3883" t="n">
        <v>0</v>
      </c>
      <c r="J3883" t="n">
        <v>0</v>
      </c>
      <c r="K3883" t="n">
        <v>0</v>
      </c>
      <c r="L3883" t="n">
        <v>0</v>
      </c>
      <c r="M3883" t="n">
        <v>0</v>
      </c>
      <c r="N3883" t="n">
        <v>0</v>
      </c>
      <c r="O3883" t="n">
        <v>0</v>
      </c>
      <c r="P3883" t="n">
        <v>0</v>
      </c>
      <c r="Q3883" t="n">
        <v>0</v>
      </c>
      <c r="R3883" s="2" t="inlineStr"/>
    </row>
    <row r="3884" ht="15" customHeight="1">
      <c r="A3884" t="inlineStr">
        <is>
          <t>A 38681-2024</t>
        </is>
      </c>
      <c r="B3884" s="1" t="n">
        <v>45547.34479166667</v>
      </c>
      <c r="C3884" s="1" t="n">
        <v>45952</v>
      </c>
      <c r="D3884" t="inlineStr">
        <is>
          <t>VÄSTRA GÖTALANDS LÄN</t>
        </is>
      </c>
      <c r="E3884" t="inlineStr">
        <is>
          <t>SVENLJUNGA</t>
        </is>
      </c>
      <c r="G3884" t="n">
        <v>1.7</v>
      </c>
      <c r="H3884" t="n">
        <v>0</v>
      </c>
      <c r="I3884" t="n">
        <v>0</v>
      </c>
      <c r="J3884" t="n">
        <v>0</v>
      </c>
      <c r="K3884" t="n">
        <v>0</v>
      </c>
      <c r="L3884" t="n">
        <v>0</v>
      </c>
      <c r="M3884" t="n">
        <v>0</v>
      </c>
      <c r="N3884" t="n">
        <v>0</v>
      </c>
      <c r="O3884" t="n">
        <v>0</v>
      </c>
      <c r="P3884" t="n">
        <v>0</v>
      </c>
      <c r="Q3884" t="n">
        <v>0</v>
      </c>
      <c r="R3884" s="2" t="inlineStr"/>
    </row>
    <row r="3885" ht="15" customHeight="1">
      <c r="A3885" t="inlineStr">
        <is>
          <t>A 52629-2024</t>
        </is>
      </c>
      <c r="B3885" s="1" t="n">
        <v>45610.286875</v>
      </c>
      <c r="C3885" s="1" t="n">
        <v>45952</v>
      </c>
      <c r="D3885" t="inlineStr">
        <is>
          <t>VÄSTRA GÖTALANDS LÄN</t>
        </is>
      </c>
      <c r="E3885" t="inlineStr">
        <is>
          <t>SVENLJUNGA</t>
        </is>
      </c>
      <c r="F3885" t="inlineStr">
        <is>
          <t>Sveaskog</t>
        </is>
      </c>
      <c r="G3885" t="n">
        <v>1.7</v>
      </c>
      <c r="H3885" t="n">
        <v>0</v>
      </c>
      <c r="I3885" t="n">
        <v>0</v>
      </c>
      <c r="J3885" t="n">
        <v>0</v>
      </c>
      <c r="K3885" t="n">
        <v>0</v>
      </c>
      <c r="L3885" t="n">
        <v>0</v>
      </c>
      <c r="M3885" t="n">
        <v>0</v>
      </c>
      <c r="N3885" t="n">
        <v>0</v>
      </c>
      <c r="O3885" t="n">
        <v>0</v>
      </c>
      <c r="P3885" t="n">
        <v>0</v>
      </c>
      <c r="Q3885" t="n">
        <v>0</v>
      </c>
      <c r="R3885" s="2" t="inlineStr"/>
    </row>
    <row r="3886" ht="15" customHeight="1">
      <c r="A3886" t="inlineStr">
        <is>
          <t>A 56357-2022</t>
        </is>
      </c>
      <c r="B3886" s="1" t="n">
        <v>44890.66952546296</v>
      </c>
      <c r="C3886" s="1" t="n">
        <v>45952</v>
      </c>
      <c r="D3886" t="inlineStr">
        <is>
          <t>VÄSTRA GÖTALANDS LÄN</t>
        </is>
      </c>
      <c r="E3886" t="inlineStr">
        <is>
          <t>HERRLJUNGA</t>
        </is>
      </c>
      <c r="G3886" t="n">
        <v>0.8</v>
      </c>
      <c r="H3886" t="n">
        <v>0</v>
      </c>
      <c r="I3886" t="n">
        <v>0</v>
      </c>
      <c r="J3886" t="n">
        <v>0</v>
      </c>
      <c r="K3886" t="n">
        <v>0</v>
      </c>
      <c r="L3886" t="n">
        <v>0</v>
      </c>
      <c r="M3886" t="n">
        <v>0</v>
      </c>
      <c r="N3886" t="n">
        <v>0</v>
      </c>
      <c r="O3886" t="n">
        <v>0</v>
      </c>
      <c r="P3886" t="n">
        <v>0</v>
      </c>
      <c r="Q3886" t="n">
        <v>0</v>
      </c>
      <c r="R3886" s="2" t="inlineStr"/>
    </row>
    <row r="3887" ht="15" customHeight="1">
      <c r="A3887" t="inlineStr">
        <is>
          <t>A 2192-2025</t>
        </is>
      </c>
      <c r="B3887" s="1" t="n">
        <v>45673.37917824074</v>
      </c>
      <c r="C3887" s="1" t="n">
        <v>45952</v>
      </c>
      <c r="D3887" t="inlineStr">
        <is>
          <t>VÄSTRA GÖTALANDS LÄN</t>
        </is>
      </c>
      <c r="E3887" t="inlineStr">
        <is>
          <t>TANUM</t>
        </is>
      </c>
      <c r="G3887" t="n">
        <v>5.2</v>
      </c>
      <c r="H3887" t="n">
        <v>0</v>
      </c>
      <c r="I3887" t="n">
        <v>0</v>
      </c>
      <c r="J3887" t="n">
        <v>0</v>
      </c>
      <c r="K3887" t="n">
        <v>0</v>
      </c>
      <c r="L3887" t="n">
        <v>0</v>
      </c>
      <c r="M3887" t="n">
        <v>0</v>
      </c>
      <c r="N3887" t="n">
        <v>0</v>
      </c>
      <c r="O3887" t="n">
        <v>0</v>
      </c>
      <c r="P3887" t="n">
        <v>0</v>
      </c>
      <c r="Q3887" t="n">
        <v>0</v>
      </c>
      <c r="R3887" s="2" t="inlineStr"/>
    </row>
    <row r="3888" ht="15" customHeight="1">
      <c r="A3888" t="inlineStr">
        <is>
          <t>A 38730-2024</t>
        </is>
      </c>
      <c r="B3888" s="1" t="n">
        <v>45547.40618055555</v>
      </c>
      <c r="C3888" s="1" t="n">
        <v>45952</v>
      </c>
      <c r="D3888" t="inlineStr">
        <is>
          <t>VÄSTRA GÖTALANDS LÄN</t>
        </is>
      </c>
      <c r="E3888" t="inlineStr">
        <is>
          <t>ULRICEHAMN</t>
        </is>
      </c>
      <c r="F3888" t="inlineStr">
        <is>
          <t>Sveaskog</t>
        </is>
      </c>
      <c r="G3888" t="n">
        <v>0.6</v>
      </c>
      <c r="H3888" t="n">
        <v>0</v>
      </c>
      <c r="I3888" t="n">
        <v>0</v>
      </c>
      <c r="J3888" t="n">
        <v>0</v>
      </c>
      <c r="K3888" t="n">
        <v>0</v>
      </c>
      <c r="L3888" t="n">
        <v>0</v>
      </c>
      <c r="M3888" t="n">
        <v>0</v>
      </c>
      <c r="N3888" t="n">
        <v>0</v>
      </c>
      <c r="O3888" t="n">
        <v>0</v>
      </c>
      <c r="P3888" t="n">
        <v>0</v>
      </c>
      <c r="Q3888" t="n">
        <v>0</v>
      </c>
      <c r="R3888" s="2" t="inlineStr"/>
    </row>
    <row r="3889" ht="15" customHeight="1">
      <c r="A3889" t="inlineStr">
        <is>
          <t>A 38733-2024</t>
        </is>
      </c>
      <c r="B3889" s="1" t="n">
        <v>45547.41038194444</v>
      </c>
      <c r="C3889" s="1" t="n">
        <v>45952</v>
      </c>
      <c r="D3889" t="inlineStr">
        <is>
          <t>VÄSTRA GÖTALANDS LÄN</t>
        </is>
      </c>
      <c r="E3889" t="inlineStr">
        <is>
          <t>ULRICEHAMN</t>
        </is>
      </c>
      <c r="F3889" t="inlineStr">
        <is>
          <t>Sveaskog</t>
        </is>
      </c>
      <c r="G3889" t="n">
        <v>0.5</v>
      </c>
      <c r="H3889" t="n">
        <v>0</v>
      </c>
      <c r="I3889" t="n">
        <v>0</v>
      </c>
      <c r="J3889" t="n">
        <v>0</v>
      </c>
      <c r="K3889" t="n">
        <v>0</v>
      </c>
      <c r="L3889" t="n">
        <v>0</v>
      </c>
      <c r="M3889" t="n">
        <v>0</v>
      </c>
      <c r="N3889" t="n">
        <v>0</v>
      </c>
      <c r="O3889" t="n">
        <v>0</v>
      </c>
      <c r="P3889" t="n">
        <v>0</v>
      </c>
      <c r="Q3889" t="n">
        <v>0</v>
      </c>
      <c r="R3889" s="2" t="inlineStr"/>
    </row>
    <row r="3890" ht="15" customHeight="1">
      <c r="A3890" t="inlineStr">
        <is>
          <t>A 38734-2024</t>
        </is>
      </c>
      <c r="B3890" s="1" t="n">
        <v>45547.41177083334</v>
      </c>
      <c r="C3890" s="1" t="n">
        <v>45952</v>
      </c>
      <c r="D3890" t="inlineStr">
        <is>
          <t>VÄSTRA GÖTALANDS LÄN</t>
        </is>
      </c>
      <c r="E3890" t="inlineStr">
        <is>
          <t>ULRICEHAMN</t>
        </is>
      </c>
      <c r="F3890" t="inlineStr">
        <is>
          <t>Sveaskog</t>
        </is>
      </c>
      <c r="G3890" t="n">
        <v>0.5</v>
      </c>
      <c r="H3890" t="n">
        <v>0</v>
      </c>
      <c r="I3890" t="n">
        <v>0</v>
      </c>
      <c r="J3890" t="n">
        <v>0</v>
      </c>
      <c r="K3890" t="n">
        <v>0</v>
      </c>
      <c r="L3890" t="n">
        <v>0</v>
      </c>
      <c r="M3890" t="n">
        <v>0</v>
      </c>
      <c r="N3890" t="n">
        <v>0</v>
      </c>
      <c r="O3890" t="n">
        <v>0</v>
      </c>
      <c r="P3890" t="n">
        <v>0</v>
      </c>
      <c r="Q3890" t="n">
        <v>0</v>
      </c>
      <c r="R3890" s="2" t="inlineStr"/>
    </row>
    <row r="3891" ht="15" customHeight="1">
      <c r="A3891" t="inlineStr">
        <is>
          <t>A 3930-2024</t>
        </is>
      </c>
      <c r="B3891" s="1" t="n">
        <v>45322</v>
      </c>
      <c r="C3891" s="1" t="n">
        <v>45952</v>
      </c>
      <c r="D3891" t="inlineStr">
        <is>
          <t>VÄSTRA GÖTALANDS LÄN</t>
        </is>
      </c>
      <c r="E3891" t="inlineStr">
        <is>
          <t>MARK</t>
        </is>
      </c>
      <c r="G3891" t="n">
        <v>4.4</v>
      </c>
      <c r="H3891" t="n">
        <v>0</v>
      </c>
      <c r="I3891" t="n">
        <v>0</v>
      </c>
      <c r="J3891" t="n">
        <v>0</v>
      </c>
      <c r="K3891" t="n">
        <v>0</v>
      </c>
      <c r="L3891" t="n">
        <v>0</v>
      </c>
      <c r="M3891" t="n">
        <v>0</v>
      </c>
      <c r="N3891" t="n">
        <v>0</v>
      </c>
      <c r="O3891" t="n">
        <v>0</v>
      </c>
      <c r="P3891" t="n">
        <v>0</v>
      </c>
      <c r="Q3891" t="n">
        <v>0</v>
      </c>
      <c r="R3891" s="2" t="inlineStr"/>
    </row>
    <row r="3892" ht="15" customHeight="1">
      <c r="A3892" t="inlineStr">
        <is>
          <t>A 3951-2024</t>
        </is>
      </c>
      <c r="B3892" s="1" t="n">
        <v>45322</v>
      </c>
      <c r="C3892" s="1" t="n">
        <v>45952</v>
      </c>
      <c r="D3892" t="inlineStr">
        <is>
          <t>VÄSTRA GÖTALANDS LÄN</t>
        </is>
      </c>
      <c r="E3892" t="inlineStr">
        <is>
          <t>SKÖVDE</t>
        </is>
      </c>
      <c r="G3892" t="n">
        <v>10.7</v>
      </c>
      <c r="H3892" t="n">
        <v>0</v>
      </c>
      <c r="I3892" t="n">
        <v>0</v>
      </c>
      <c r="J3892" t="n">
        <v>0</v>
      </c>
      <c r="K3892" t="n">
        <v>0</v>
      </c>
      <c r="L3892" t="n">
        <v>0</v>
      </c>
      <c r="M3892" t="n">
        <v>0</v>
      </c>
      <c r="N3892" t="n">
        <v>0</v>
      </c>
      <c r="O3892" t="n">
        <v>0</v>
      </c>
      <c r="P3892" t="n">
        <v>0</v>
      </c>
      <c r="Q3892" t="n">
        <v>0</v>
      </c>
      <c r="R3892" s="2" t="inlineStr"/>
    </row>
    <row r="3893" ht="15" customHeight="1">
      <c r="A3893" t="inlineStr">
        <is>
          <t>A 16987-2025</t>
        </is>
      </c>
      <c r="B3893" s="1" t="n">
        <v>45755.48946759259</v>
      </c>
      <c r="C3893" s="1" t="n">
        <v>45952</v>
      </c>
      <c r="D3893" t="inlineStr">
        <is>
          <t>VÄSTRA GÖTALANDS LÄN</t>
        </is>
      </c>
      <c r="E3893" t="inlineStr">
        <is>
          <t>MARK</t>
        </is>
      </c>
      <c r="G3893" t="n">
        <v>3.2</v>
      </c>
      <c r="H3893" t="n">
        <v>0</v>
      </c>
      <c r="I3893" t="n">
        <v>0</v>
      </c>
      <c r="J3893" t="n">
        <v>0</v>
      </c>
      <c r="K3893" t="n">
        <v>0</v>
      </c>
      <c r="L3893" t="n">
        <v>0</v>
      </c>
      <c r="M3893" t="n">
        <v>0</v>
      </c>
      <c r="N3893" t="n">
        <v>0</v>
      </c>
      <c r="O3893" t="n">
        <v>0</v>
      </c>
      <c r="P3893" t="n">
        <v>0</v>
      </c>
      <c r="Q3893" t="n">
        <v>0</v>
      </c>
      <c r="R3893" s="2" t="inlineStr"/>
    </row>
    <row r="3894" ht="15" customHeight="1">
      <c r="A3894" t="inlineStr">
        <is>
          <t>A 17002-2025</t>
        </is>
      </c>
      <c r="B3894" s="1" t="n">
        <v>45755</v>
      </c>
      <c r="C3894" s="1" t="n">
        <v>45952</v>
      </c>
      <c r="D3894" t="inlineStr">
        <is>
          <t>VÄSTRA GÖTALANDS LÄN</t>
        </is>
      </c>
      <c r="E3894" t="inlineStr">
        <is>
          <t>KARLSBORG</t>
        </is>
      </c>
      <c r="G3894" t="n">
        <v>0.7</v>
      </c>
      <c r="H3894" t="n">
        <v>0</v>
      </c>
      <c r="I3894" t="n">
        <v>0</v>
      </c>
      <c r="J3894" t="n">
        <v>0</v>
      </c>
      <c r="K3894" t="n">
        <v>0</v>
      </c>
      <c r="L3894" t="n">
        <v>0</v>
      </c>
      <c r="M3894" t="n">
        <v>0</v>
      </c>
      <c r="N3894" t="n">
        <v>0</v>
      </c>
      <c r="O3894" t="n">
        <v>0</v>
      </c>
      <c r="P3894" t="n">
        <v>0</v>
      </c>
      <c r="Q3894" t="n">
        <v>0</v>
      </c>
      <c r="R3894" s="2" t="inlineStr"/>
    </row>
    <row r="3895" ht="15" customHeight="1">
      <c r="A3895" t="inlineStr">
        <is>
          <t>A 54734-2023</t>
        </is>
      </c>
      <c r="B3895" s="1" t="n">
        <v>45236.38694444444</v>
      </c>
      <c r="C3895" s="1" t="n">
        <v>45952</v>
      </c>
      <c r="D3895" t="inlineStr">
        <is>
          <t>VÄSTRA GÖTALANDS LÄN</t>
        </is>
      </c>
      <c r="E3895" t="inlineStr">
        <is>
          <t>TÖREBODA</t>
        </is>
      </c>
      <c r="G3895" t="n">
        <v>3.5</v>
      </c>
      <c r="H3895" t="n">
        <v>0</v>
      </c>
      <c r="I3895" t="n">
        <v>0</v>
      </c>
      <c r="J3895" t="n">
        <v>0</v>
      </c>
      <c r="K3895" t="n">
        <v>0</v>
      </c>
      <c r="L3895" t="n">
        <v>0</v>
      </c>
      <c r="M3895" t="n">
        <v>0</v>
      </c>
      <c r="N3895" t="n">
        <v>0</v>
      </c>
      <c r="O3895" t="n">
        <v>0</v>
      </c>
      <c r="P3895" t="n">
        <v>0</v>
      </c>
      <c r="Q3895" t="n">
        <v>0</v>
      </c>
      <c r="R3895" s="2" t="inlineStr"/>
    </row>
    <row r="3896" ht="15" customHeight="1">
      <c r="A3896" t="inlineStr">
        <is>
          <t>A 18506-2025</t>
        </is>
      </c>
      <c r="B3896" s="1" t="n">
        <v>45763.37650462963</v>
      </c>
      <c r="C3896" s="1" t="n">
        <v>45952</v>
      </c>
      <c r="D3896" t="inlineStr">
        <is>
          <t>VÄSTRA GÖTALANDS LÄN</t>
        </is>
      </c>
      <c r="E3896" t="inlineStr">
        <is>
          <t>TRANEMO</t>
        </is>
      </c>
      <c r="F3896" t="inlineStr">
        <is>
          <t>Sveaskog</t>
        </is>
      </c>
      <c r="G3896" t="n">
        <v>1.6</v>
      </c>
      <c r="H3896" t="n">
        <v>0</v>
      </c>
      <c r="I3896" t="n">
        <v>0</v>
      </c>
      <c r="J3896" t="n">
        <v>0</v>
      </c>
      <c r="K3896" t="n">
        <v>0</v>
      </c>
      <c r="L3896" t="n">
        <v>0</v>
      </c>
      <c r="M3896" t="n">
        <v>0</v>
      </c>
      <c r="N3896" t="n">
        <v>0</v>
      </c>
      <c r="O3896" t="n">
        <v>0</v>
      </c>
      <c r="P3896" t="n">
        <v>0</v>
      </c>
      <c r="Q3896" t="n">
        <v>0</v>
      </c>
      <c r="R3896" s="2" t="inlineStr"/>
    </row>
    <row r="3897" ht="15" customHeight="1">
      <c r="A3897" t="inlineStr">
        <is>
          <t>A 53379-2024</t>
        </is>
      </c>
      <c r="B3897" s="1" t="n">
        <v>45614.47459490741</v>
      </c>
      <c r="C3897" s="1" t="n">
        <v>45952</v>
      </c>
      <c r="D3897" t="inlineStr">
        <is>
          <t>VÄSTRA GÖTALANDS LÄN</t>
        </is>
      </c>
      <c r="E3897" t="inlineStr">
        <is>
          <t>TIDAHOLM</t>
        </is>
      </c>
      <c r="F3897" t="inlineStr">
        <is>
          <t>Sveaskog</t>
        </is>
      </c>
      <c r="G3897" t="n">
        <v>0.6</v>
      </c>
      <c r="H3897" t="n">
        <v>0</v>
      </c>
      <c r="I3897" t="n">
        <v>0</v>
      </c>
      <c r="J3897" t="n">
        <v>0</v>
      </c>
      <c r="K3897" t="n">
        <v>0</v>
      </c>
      <c r="L3897" t="n">
        <v>0</v>
      </c>
      <c r="M3897" t="n">
        <v>0</v>
      </c>
      <c r="N3897" t="n">
        <v>0</v>
      </c>
      <c r="O3897" t="n">
        <v>0</v>
      </c>
      <c r="P3897" t="n">
        <v>0</v>
      </c>
      <c r="Q3897" t="n">
        <v>0</v>
      </c>
      <c r="R3897" s="2" t="inlineStr"/>
    </row>
    <row r="3898" ht="15" customHeight="1">
      <c r="A3898" t="inlineStr">
        <is>
          <t>A 60189-2024</t>
        </is>
      </c>
      <c r="B3898" s="1" t="n">
        <v>45640</v>
      </c>
      <c r="C3898" s="1" t="n">
        <v>45952</v>
      </c>
      <c r="D3898" t="inlineStr">
        <is>
          <t>VÄSTRA GÖTALANDS LÄN</t>
        </is>
      </c>
      <c r="E3898" t="inlineStr">
        <is>
          <t>GRÄSTORP</t>
        </is>
      </c>
      <c r="G3898" t="n">
        <v>1.4</v>
      </c>
      <c r="H3898" t="n">
        <v>0</v>
      </c>
      <c r="I3898" t="n">
        <v>0</v>
      </c>
      <c r="J3898" t="n">
        <v>0</v>
      </c>
      <c r="K3898" t="n">
        <v>0</v>
      </c>
      <c r="L3898" t="n">
        <v>0</v>
      </c>
      <c r="M3898" t="n">
        <v>0</v>
      </c>
      <c r="N3898" t="n">
        <v>0</v>
      </c>
      <c r="O3898" t="n">
        <v>0</v>
      </c>
      <c r="P3898" t="n">
        <v>0</v>
      </c>
      <c r="Q3898" t="n">
        <v>0</v>
      </c>
      <c r="R3898" s="2" t="inlineStr"/>
    </row>
    <row r="3899" ht="15" customHeight="1">
      <c r="A3899" t="inlineStr">
        <is>
          <t>A 60228-2024</t>
        </is>
      </c>
      <c r="B3899" s="1" t="n">
        <v>45640</v>
      </c>
      <c r="C3899" s="1" t="n">
        <v>45952</v>
      </c>
      <c r="D3899" t="inlineStr">
        <is>
          <t>VÄSTRA GÖTALANDS LÄN</t>
        </is>
      </c>
      <c r="E3899" t="inlineStr">
        <is>
          <t>MUNKEDAL</t>
        </is>
      </c>
      <c r="G3899" t="n">
        <v>0.9</v>
      </c>
      <c r="H3899" t="n">
        <v>0</v>
      </c>
      <c r="I3899" t="n">
        <v>0</v>
      </c>
      <c r="J3899" t="n">
        <v>0</v>
      </c>
      <c r="K3899" t="n">
        <v>0</v>
      </c>
      <c r="L3899" t="n">
        <v>0</v>
      </c>
      <c r="M3899" t="n">
        <v>0</v>
      </c>
      <c r="N3899" t="n">
        <v>0</v>
      </c>
      <c r="O3899" t="n">
        <v>0</v>
      </c>
      <c r="P3899" t="n">
        <v>0</v>
      </c>
      <c r="Q3899" t="n">
        <v>0</v>
      </c>
      <c r="R3899" s="2" t="inlineStr"/>
    </row>
    <row r="3900" ht="15" customHeight="1">
      <c r="A3900" t="inlineStr">
        <is>
          <t>A 23856-2023</t>
        </is>
      </c>
      <c r="B3900" s="1" t="n">
        <v>45075</v>
      </c>
      <c r="C3900" s="1" t="n">
        <v>45952</v>
      </c>
      <c r="D3900" t="inlineStr">
        <is>
          <t>VÄSTRA GÖTALANDS LÄN</t>
        </is>
      </c>
      <c r="E3900" t="inlineStr">
        <is>
          <t>ULRICEHAMN</t>
        </is>
      </c>
      <c r="G3900" t="n">
        <v>4.3</v>
      </c>
      <c r="H3900" t="n">
        <v>0</v>
      </c>
      <c r="I3900" t="n">
        <v>0</v>
      </c>
      <c r="J3900" t="n">
        <v>0</v>
      </c>
      <c r="K3900" t="n">
        <v>0</v>
      </c>
      <c r="L3900" t="n">
        <v>0</v>
      </c>
      <c r="M3900" t="n">
        <v>0</v>
      </c>
      <c r="N3900" t="n">
        <v>0</v>
      </c>
      <c r="O3900" t="n">
        <v>0</v>
      </c>
      <c r="P3900" t="n">
        <v>0</v>
      </c>
      <c r="Q3900" t="n">
        <v>0</v>
      </c>
      <c r="R3900" s="2" t="inlineStr"/>
    </row>
    <row r="3901" ht="15" customHeight="1">
      <c r="A3901" t="inlineStr">
        <is>
          <t>A 62266-2022</t>
        </is>
      </c>
      <c r="B3901" s="1" t="n">
        <v>44923.3334375</v>
      </c>
      <c r="C3901" s="1" t="n">
        <v>45952</v>
      </c>
      <c r="D3901" t="inlineStr">
        <is>
          <t>VÄSTRA GÖTALANDS LÄN</t>
        </is>
      </c>
      <c r="E3901" t="inlineStr">
        <is>
          <t>TROLLHÄTTAN</t>
        </is>
      </c>
      <c r="G3901" t="n">
        <v>0.6</v>
      </c>
      <c r="H3901" t="n">
        <v>0</v>
      </c>
      <c r="I3901" t="n">
        <v>0</v>
      </c>
      <c r="J3901" t="n">
        <v>0</v>
      </c>
      <c r="K3901" t="n">
        <v>0</v>
      </c>
      <c r="L3901" t="n">
        <v>0</v>
      </c>
      <c r="M3901" t="n">
        <v>0</v>
      </c>
      <c r="N3901" t="n">
        <v>0</v>
      </c>
      <c r="O3901" t="n">
        <v>0</v>
      </c>
      <c r="P3901" t="n">
        <v>0</v>
      </c>
      <c r="Q3901" t="n">
        <v>0</v>
      </c>
      <c r="R3901" s="2" t="inlineStr"/>
    </row>
    <row r="3902" ht="15" customHeight="1">
      <c r="A3902" t="inlineStr">
        <is>
          <t>A 1389-2023</t>
        </is>
      </c>
      <c r="B3902" s="1" t="n">
        <v>44930</v>
      </c>
      <c r="C3902" s="1" t="n">
        <v>45952</v>
      </c>
      <c r="D3902" t="inlineStr">
        <is>
          <t>VÄSTRA GÖTALANDS LÄN</t>
        </is>
      </c>
      <c r="E3902" t="inlineStr">
        <is>
          <t>SVENLJUNGA</t>
        </is>
      </c>
      <c r="G3902" t="n">
        <v>0.9</v>
      </c>
      <c r="H3902" t="n">
        <v>0</v>
      </c>
      <c r="I3902" t="n">
        <v>0</v>
      </c>
      <c r="J3902" t="n">
        <v>0</v>
      </c>
      <c r="K3902" t="n">
        <v>0</v>
      </c>
      <c r="L3902" t="n">
        <v>0</v>
      </c>
      <c r="M3902" t="n">
        <v>0</v>
      </c>
      <c r="N3902" t="n">
        <v>0</v>
      </c>
      <c r="O3902" t="n">
        <v>0</v>
      </c>
      <c r="P3902" t="n">
        <v>0</v>
      </c>
      <c r="Q3902" t="n">
        <v>0</v>
      </c>
      <c r="R3902" s="2" t="inlineStr"/>
    </row>
    <row r="3903" ht="15" customHeight="1">
      <c r="A3903" t="inlineStr">
        <is>
          <t>A 4037-2025</t>
        </is>
      </c>
      <c r="B3903" s="1" t="n">
        <v>45684.59990740741</v>
      </c>
      <c r="C3903" s="1" t="n">
        <v>45952</v>
      </c>
      <c r="D3903" t="inlineStr">
        <is>
          <t>VÄSTRA GÖTALANDS LÄN</t>
        </is>
      </c>
      <c r="E3903" t="inlineStr">
        <is>
          <t>UDDEVALLA</t>
        </is>
      </c>
      <c r="G3903" t="n">
        <v>4</v>
      </c>
      <c r="H3903" t="n">
        <v>0</v>
      </c>
      <c r="I3903" t="n">
        <v>0</v>
      </c>
      <c r="J3903" t="n">
        <v>0</v>
      </c>
      <c r="K3903" t="n">
        <v>0</v>
      </c>
      <c r="L3903" t="n">
        <v>0</v>
      </c>
      <c r="M3903" t="n">
        <v>0</v>
      </c>
      <c r="N3903" t="n">
        <v>0</v>
      </c>
      <c r="O3903" t="n">
        <v>0</v>
      </c>
      <c r="P3903" t="n">
        <v>0</v>
      </c>
      <c r="Q3903" t="n">
        <v>0</v>
      </c>
      <c r="R3903" s="2" t="inlineStr"/>
    </row>
    <row r="3904" ht="15" customHeight="1">
      <c r="A3904" t="inlineStr">
        <is>
          <t>A 4054-2025</t>
        </is>
      </c>
      <c r="B3904" s="1" t="n">
        <v>45684.61994212963</v>
      </c>
      <c r="C3904" s="1" t="n">
        <v>45952</v>
      </c>
      <c r="D3904" t="inlineStr">
        <is>
          <t>VÄSTRA GÖTALANDS LÄN</t>
        </is>
      </c>
      <c r="E3904" t="inlineStr">
        <is>
          <t>MELLERUD</t>
        </is>
      </c>
      <c r="G3904" t="n">
        <v>1.9</v>
      </c>
      <c r="H3904" t="n">
        <v>0</v>
      </c>
      <c r="I3904" t="n">
        <v>0</v>
      </c>
      <c r="J3904" t="n">
        <v>0</v>
      </c>
      <c r="K3904" t="n">
        <v>0</v>
      </c>
      <c r="L3904" t="n">
        <v>0</v>
      </c>
      <c r="M3904" t="n">
        <v>0</v>
      </c>
      <c r="N3904" t="n">
        <v>0</v>
      </c>
      <c r="O3904" t="n">
        <v>0</v>
      </c>
      <c r="P3904" t="n">
        <v>0</v>
      </c>
      <c r="Q3904" t="n">
        <v>0</v>
      </c>
      <c r="R3904" s="2" t="inlineStr"/>
    </row>
    <row r="3905" ht="15" customHeight="1">
      <c r="A3905" t="inlineStr">
        <is>
          <t>A 4098-2025</t>
        </is>
      </c>
      <c r="B3905" s="1" t="n">
        <v>45684.68071759259</v>
      </c>
      <c r="C3905" s="1" t="n">
        <v>45952</v>
      </c>
      <c r="D3905" t="inlineStr">
        <is>
          <t>VÄSTRA GÖTALANDS LÄN</t>
        </is>
      </c>
      <c r="E3905" t="inlineStr">
        <is>
          <t>MARK</t>
        </is>
      </c>
      <c r="F3905" t="inlineStr">
        <is>
          <t>Sveaskog</t>
        </is>
      </c>
      <c r="G3905" t="n">
        <v>1.9</v>
      </c>
      <c r="H3905" t="n">
        <v>0</v>
      </c>
      <c r="I3905" t="n">
        <v>0</v>
      </c>
      <c r="J3905" t="n">
        <v>0</v>
      </c>
      <c r="K3905" t="n">
        <v>0</v>
      </c>
      <c r="L3905" t="n">
        <v>0</v>
      </c>
      <c r="M3905" t="n">
        <v>0</v>
      </c>
      <c r="N3905" t="n">
        <v>0</v>
      </c>
      <c r="O3905" t="n">
        <v>0</v>
      </c>
      <c r="P3905" t="n">
        <v>0</v>
      </c>
      <c r="Q3905" t="n">
        <v>0</v>
      </c>
      <c r="R3905" s="2" t="inlineStr"/>
    </row>
    <row r="3906" ht="15" customHeight="1">
      <c r="A3906" t="inlineStr">
        <is>
          <t>A 2946-2023</t>
        </is>
      </c>
      <c r="B3906" s="1" t="n">
        <v>44945.61759259259</v>
      </c>
      <c r="C3906" s="1" t="n">
        <v>45952</v>
      </c>
      <c r="D3906" t="inlineStr">
        <is>
          <t>VÄSTRA GÖTALANDS LÄN</t>
        </is>
      </c>
      <c r="E3906" t="inlineStr">
        <is>
          <t>ULRICEHAMN</t>
        </is>
      </c>
      <c r="G3906" t="n">
        <v>2.8</v>
      </c>
      <c r="H3906" t="n">
        <v>0</v>
      </c>
      <c r="I3906" t="n">
        <v>0</v>
      </c>
      <c r="J3906" t="n">
        <v>0</v>
      </c>
      <c r="K3906" t="n">
        <v>0</v>
      </c>
      <c r="L3906" t="n">
        <v>0</v>
      </c>
      <c r="M3906" t="n">
        <v>0</v>
      </c>
      <c r="N3906" t="n">
        <v>0</v>
      </c>
      <c r="O3906" t="n">
        <v>0</v>
      </c>
      <c r="P3906" t="n">
        <v>0</v>
      </c>
      <c r="Q3906" t="n">
        <v>0</v>
      </c>
      <c r="R3906" s="2" t="inlineStr"/>
    </row>
    <row r="3907" ht="15" customHeight="1">
      <c r="A3907" t="inlineStr">
        <is>
          <t>A 18244-2025</t>
        </is>
      </c>
      <c r="B3907" s="1" t="n">
        <v>45762.32105324074</v>
      </c>
      <c r="C3907" s="1" t="n">
        <v>45952</v>
      </c>
      <c r="D3907" t="inlineStr">
        <is>
          <t>VÄSTRA GÖTALANDS LÄN</t>
        </is>
      </c>
      <c r="E3907" t="inlineStr">
        <is>
          <t>MARIESTAD</t>
        </is>
      </c>
      <c r="F3907" t="inlineStr">
        <is>
          <t>Sveaskog</t>
        </is>
      </c>
      <c r="G3907" t="n">
        <v>1.9</v>
      </c>
      <c r="H3907" t="n">
        <v>0</v>
      </c>
      <c r="I3907" t="n">
        <v>0</v>
      </c>
      <c r="J3907" t="n">
        <v>0</v>
      </c>
      <c r="K3907" t="n">
        <v>0</v>
      </c>
      <c r="L3907" t="n">
        <v>0</v>
      </c>
      <c r="M3907" t="n">
        <v>0</v>
      </c>
      <c r="N3907" t="n">
        <v>0</v>
      </c>
      <c r="O3907" t="n">
        <v>0</v>
      </c>
      <c r="P3907" t="n">
        <v>0</v>
      </c>
      <c r="Q3907" t="n">
        <v>0</v>
      </c>
      <c r="R3907" s="2" t="inlineStr"/>
    </row>
    <row r="3908" ht="15" customHeight="1">
      <c r="A3908" t="inlineStr">
        <is>
          <t>A 36999-2023</t>
        </is>
      </c>
      <c r="B3908" s="1" t="n">
        <v>45155.24585648148</v>
      </c>
      <c r="C3908" s="1" t="n">
        <v>45952</v>
      </c>
      <c r="D3908" t="inlineStr">
        <is>
          <t>VÄSTRA GÖTALANDS LÄN</t>
        </is>
      </c>
      <c r="E3908" t="inlineStr">
        <is>
          <t>ORUST</t>
        </is>
      </c>
      <c r="G3908" t="n">
        <v>1.8</v>
      </c>
      <c r="H3908" t="n">
        <v>0</v>
      </c>
      <c r="I3908" t="n">
        <v>0</v>
      </c>
      <c r="J3908" t="n">
        <v>0</v>
      </c>
      <c r="K3908" t="n">
        <v>0</v>
      </c>
      <c r="L3908" t="n">
        <v>0</v>
      </c>
      <c r="M3908" t="n">
        <v>0</v>
      </c>
      <c r="N3908" t="n">
        <v>0</v>
      </c>
      <c r="O3908" t="n">
        <v>0</v>
      </c>
      <c r="P3908" t="n">
        <v>0</v>
      </c>
      <c r="Q3908" t="n">
        <v>0</v>
      </c>
      <c r="R3908" s="2" t="inlineStr"/>
    </row>
    <row r="3909" ht="15" customHeight="1">
      <c r="A3909" t="inlineStr">
        <is>
          <t>A 9410-2022</t>
        </is>
      </c>
      <c r="B3909" s="1" t="n">
        <v>44616</v>
      </c>
      <c r="C3909" s="1" t="n">
        <v>45952</v>
      </c>
      <c r="D3909" t="inlineStr">
        <is>
          <t>VÄSTRA GÖTALANDS LÄN</t>
        </is>
      </c>
      <c r="E3909" t="inlineStr">
        <is>
          <t>MARIESTAD</t>
        </is>
      </c>
      <c r="F3909" t="inlineStr">
        <is>
          <t>Kyrkan</t>
        </is>
      </c>
      <c r="G3909" t="n">
        <v>3.3</v>
      </c>
      <c r="H3909" t="n">
        <v>0</v>
      </c>
      <c r="I3909" t="n">
        <v>0</v>
      </c>
      <c r="J3909" t="n">
        <v>0</v>
      </c>
      <c r="K3909" t="n">
        <v>0</v>
      </c>
      <c r="L3909" t="n">
        <v>0</v>
      </c>
      <c r="M3909" t="n">
        <v>0</v>
      </c>
      <c r="N3909" t="n">
        <v>0</v>
      </c>
      <c r="O3909" t="n">
        <v>0</v>
      </c>
      <c r="P3909" t="n">
        <v>0</v>
      </c>
      <c r="Q3909" t="n">
        <v>0</v>
      </c>
      <c r="R3909" s="2" t="inlineStr"/>
    </row>
    <row r="3910" ht="15" customHeight="1">
      <c r="A3910" t="inlineStr">
        <is>
          <t>A 18305-2025</t>
        </is>
      </c>
      <c r="B3910" s="1" t="n">
        <v>45762.43462962963</v>
      </c>
      <c r="C3910" s="1" t="n">
        <v>45952</v>
      </c>
      <c r="D3910" t="inlineStr">
        <is>
          <t>VÄSTRA GÖTALANDS LÄN</t>
        </is>
      </c>
      <c r="E3910" t="inlineStr">
        <is>
          <t>BOLLEBYGD</t>
        </is>
      </c>
      <c r="G3910" t="n">
        <v>0.5</v>
      </c>
      <c r="H3910" t="n">
        <v>0</v>
      </c>
      <c r="I3910" t="n">
        <v>0</v>
      </c>
      <c r="J3910" t="n">
        <v>0</v>
      </c>
      <c r="K3910" t="n">
        <v>0</v>
      </c>
      <c r="L3910" t="n">
        <v>0</v>
      </c>
      <c r="M3910" t="n">
        <v>0</v>
      </c>
      <c r="N3910" t="n">
        <v>0</v>
      </c>
      <c r="O3910" t="n">
        <v>0</v>
      </c>
      <c r="P3910" t="n">
        <v>0</v>
      </c>
      <c r="Q3910" t="n">
        <v>0</v>
      </c>
      <c r="R3910" s="2" t="inlineStr"/>
    </row>
    <row r="3911" ht="15" customHeight="1">
      <c r="A3911" t="inlineStr">
        <is>
          <t>A 5632-2025</t>
        </is>
      </c>
      <c r="B3911" s="1" t="n">
        <v>45693.6652662037</v>
      </c>
      <c r="C3911" s="1" t="n">
        <v>45952</v>
      </c>
      <c r="D3911" t="inlineStr">
        <is>
          <t>VÄSTRA GÖTALANDS LÄN</t>
        </is>
      </c>
      <c r="E3911" t="inlineStr">
        <is>
          <t>UDDEVALLA</t>
        </is>
      </c>
      <c r="G3911" t="n">
        <v>1.6</v>
      </c>
      <c r="H3911" t="n">
        <v>0</v>
      </c>
      <c r="I3911" t="n">
        <v>0</v>
      </c>
      <c r="J3911" t="n">
        <v>0</v>
      </c>
      <c r="K3911" t="n">
        <v>0</v>
      </c>
      <c r="L3911" t="n">
        <v>0</v>
      </c>
      <c r="M3911" t="n">
        <v>0</v>
      </c>
      <c r="N3911" t="n">
        <v>0</v>
      </c>
      <c r="O3911" t="n">
        <v>0</v>
      </c>
      <c r="P3911" t="n">
        <v>0</v>
      </c>
      <c r="Q3911" t="n">
        <v>0</v>
      </c>
      <c r="R3911" s="2" t="inlineStr"/>
    </row>
    <row r="3912" ht="15" customHeight="1">
      <c r="A3912" t="inlineStr">
        <is>
          <t>A 5660-2025</t>
        </is>
      </c>
      <c r="B3912" s="1" t="n">
        <v>45693.74730324074</v>
      </c>
      <c r="C3912" s="1" t="n">
        <v>45952</v>
      </c>
      <c r="D3912" t="inlineStr">
        <is>
          <t>VÄSTRA GÖTALANDS LÄN</t>
        </is>
      </c>
      <c r="E3912" t="inlineStr">
        <is>
          <t>DALS-ED</t>
        </is>
      </c>
      <c r="G3912" t="n">
        <v>4.5</v>
      </c>
      <c r="H3912" t="n">
        <v>0</v>
      </c>
      <c r="I3912" t="n">
        <v>0</v>
      </c>
      <c r="J3912" t="n">
        <v>0</v>
      </c>
      <c r="K3912" t="n">
        <v>0</v>
      </c>
      <c r="L3912" t="n">
        <v>0</v>
      </c>
      <c r="M3912" t="n">
        <v>0</v>
      </c>
      <c r="N3912" t="n">
        <v>0</v>
      </c>
      <c r="O3912" t="n">
        <v>0</v>
      </c>
      <c r="P3912" t="n">
        <v>0</v>
      </c>
      <c r="Q3912" t="n">
        <v>0</v>
      </c>
      <c r="R3912" s="2" t="inlineStr"/>
    </row>
    <row r="3913" ht="15" customHeight="1">
      <c r="A3913" t="inlineStr">
        <is>
          <t>A 6137-2025</t>
        </is>
      </c>
      <c r="B3913" s="1" t="n">
        <v>45698.3783912037</v>
      </c>
      <c r="C3913" s="1" t="n">
        <v>45952</v>
      </c>
      <c r="D3913" t="inlineStr">
        <is>
          <t>VÄSTRA GÖTALANDS LÄN</t>
        </is>
      </c>
      <c r="E3913" t="inlineStr">
        <is>
          <t>SVENLJUNGA</t>
        </is>
      </c>
      <c r="G3913" t="n">
        <v>2.5</v>
      </c>
      <c r="H3913" t="n">
        <v>0</v>
      </c>
      <c r="I3913" t="n">
        <v>0</v>
      </c>
      <c r="J3913" t="n">
        <v>0</v>
      </c>
      <c r="K3913" t="n">
        <v>0</v>
      </c>
      <c r="L3913" t="n">
        <v>0</v>
      </c>
      <c r="M3913" t="n">
        <v>0</v>
      </c>
      <c r="N3913" t="n">
        <v>0</v>
      </c>
      <c r="O3913" t="n">
        <v>0</v>
      </c>
      <c r="P3913" t="n">
        <v>0</v>
      </c>
      <c r="Q3913" t="n">
        <v>0</v>
      </c>
      <c r="R3913" s="2" t="inlineStr"/>
    </row>
    <row r="3914" ht="15" customHeight="1">
      <c r="A3914" t="inlineStr">
        <is>
          <t>A 16532-2025</t>
        </is>
      </c>
      <c r="B3914" s="1" t="n">
        <v>45751.6478587963</v>
      </c>
      <c r="C3914" s="1" t="n">
        <v>45952</v>
      </c>
      <c r="D3914" t="inlineStr">
        <is>
          <t>VÄSTRA GÖTALANDS LÄN</t>
        </is>
      </c>
      <c r="E3914" t="inlineStr">
        <is>
          <t>TRANEMO</t>
        </is>
      </c>
      <c r="F3914" t="inlineStr">
        <is>
          <t>Sveaskog</t>
        </is>
      </c>
      <c r="G3914" t="n">
        <v>4.5</v>
      </c>
      <c r="H3914" t="n">
        <v>0</v>
      </c>
      <c r="I3914" t="n">
        <v>0</v>
      </c>
      <c r="J3914" t="n">
        <v>0</v>
      </c>
      <c r="K3914" t="n">
        <v>0</v>
      </c>
      <c r="L3914" t="n">
        <v>0</v>
      </c>
      <c r="M3914" t="n">
        <v>0</v>
      </c>
      <c r="N3914" t="n">
        <v>0</v>
      </c>
      <c r="O3914" t="n">
        <v>0</v>
      </c>
      <c r="P3914" t="n">
        <v>0</v>
      </c>
      <c r="Q3914" t="n">
        <v>0</v>
      </c>
      <c r="R3914" s="2" t="inlineStr"/>
    </row>
    <row r="3915" ht="15" customHeight="1">
      <c r="A3915" t="inlineStr">
        <is>
          <t>A 7974-2025</t>
        </is>
      </c>
      <c r="B3915" s="1" t="n">
        <v>45707</v>
      </c>
      <c r="C3915" s="1" t="n">
        <v>45952</v>
      </c>
      <c r="D3915" t="inlineStr">
        <is>
          <t>VÄSTRA GÖTALANDS LÄN</t>
        </is>
      </c>
      <c r="E3915" t="inlineStr">
        <is>
          <t>SKARA</t>
        </is>
      </c>
      <c r="G3915" t="n">
        <v>3.6</v>
      </c>
      <c r="H3915" t="n">
        <v>0</v>
      </c>
      <c r="I3915" t="n">
        <v>0</v>
      </c>
      <c r="J3915" t="n">
        <v>0</v>
      </c>
      <c r="K3915" t="n">
        <v>0</v>
      </c>
      <c r="L3915" t="n">
        <v>0</v>
      </c>
      <c r="M3915" t="n">
        <v>0</v>
      </c>
      <c r="N3915" t="n">
        <v>0</v>
      </c>
      <c r="O3915" t="n">
        <v>0</v>
      </c>
      <c r="P3915" t="n">
        <v>0</v>
      </c>
      <c r="Q3915" t="n">
        <v>0</v>
      </c>
      <c r="R3915" s="2" t="inlineStr"/>
    </row>
    <row r="3916" ht="15" customHeight="1">
      <c r="A3916" t="inlineStr">
        <is>
          <t>A 52985-2024</t>
        </is>
      </c>
      <c r="B3916" s="1" t="n">
        <v>45611.35905092592</v>
      </c>
      <c r="C3916" s="1" t="n">
        <v>45952</v>
      </c>
      <c r="D3916" t="inlineStr">
        <is>
          <t>VÄSTRA GÖTALANDS LÄN</t>
        </is>
      </c>
      <c r="E3916" t="inlineStr">
        <is>
          <t>TÖREBODA</t>
        </is>
      </c>
      <c r="F3916" t="inlineStr">
        <is>
          <t>Sveaskog</t>
        </is>
      </c>
      <c r="G3916" t="n">
        <v>6.2</v>
      </c>
      <c r="H3916" t="n">
        <v>0</v>
      </c>
      <c r="I3916" t="n">
        <v>0</v>
      </c>
      <c r="J3916" t="n">
        <v>0</v>
      </c>
      <c r="K3916" t="n">
        <v>0</v>
      </c>
      <c r="L3916" t="n">
        <v>0</v>
      </c>
      <c r="M3916" t="n">
        <v>0</v>
      </c>
      <c r="N3916" t="n">
        <v>0</v>
      </c>
      <c r="O3916" t="n">
        <v>0</v>
      </c>
      <c r="P3916" t="n">
        <v>0</v>
      </c>
      <c r="Q3916" t="n">
        <v>0</v>
      </c>
      <c r="R3916" s="2" t="inlineStr"/>
    </row>
    <row r="3917" ht="15" customHeight="1">
      <c r="A3917" t="inlineStr">
        <is>
          <t>A 33890-2023</t>
        </is>
      </c>
      <c r="B3917" s="1" t="n">
        <v>45134.33009259259</v>
      </c>
      <c r="C3917" s="1" t="n">
        <v>45952</v>
      </c>
      <c r="D3917" t="inlineStr">
        <is>
          <t>VÄSTRA GÖTALANDS LÄN</t>
        </is>
      </c>
      <c r="E3917" t="inlineStr">
        <is>
          <t>ULRICEHAMN</t>
        </is>
      </c>
      <c r="G3917" t="n">
        <v>3.6</v>
      </c>
      <c r="H3917" t="n">
        <v>0</v>
      </c>
      <c r="I3917" t="n">
        <v>0</v>
      </c>
      <c r="J3917" t="n">
        <v>0</v>
      </c>
      <c r="K3917" t="n">
        <v>0</v>
      </c>
      <c r="L3917" t="n">
        <v>0</v>
      </c>
      <c r="M3917" t="n">
        <v>0</v>
      </c>
      <c r="N3917" t="n">
        <v>0</v>
      </c>
      <c r="O3917" t="n">
        <v>0</v>
      </c>
      <c r="P3917" t="n">
        <v>0</v>
      </c>
      <c r="Q3917" t="n">
        <v>0</v>
      </c>
      <c r="R3917" s="2" t="inlineStr"/>
    </row>
    <row r="3918" ht="15" customHeight="1">
      <c r="A3918" t="inlineStr">
        <is>
          <t>A 27417-2025</t>
        </is>
      </c>
      <c r="B3918" s="1" t="n">
        <v>45812.88762731481</v>
      </c>
      <c r="C3918" s="1" t="n">
        <v>45952</v>
      </c>
      <c r="D3918" t="inlineStr">
        <is>
          <t>VÄSTRA GÖTALANDS LÄN</t>
        </is>
      </c>
      <c r="E3918" t="inlineStr">
        <is>
          <t>TRANEMO</t>
        </is>
      </c>
      <c r="G3918" t="n">
        <v>3.4</v>
      </c>
      <c r="H3918" t="n">
        <v>0</v>
      </c>
      <c r="I3918" t="n">
        <v>0</v>
      </c>
      <c r="J3918" t="n">
        <v>0</v>
      </c>
      <c r="K3918" t="n">
        <v>0</v>
      </c>
      <c r="L3918" t="n">
        <v>0</v>
      </c>
      <c r="M3918" t="n">
        <v>0</v>
      </c>
      <c r="N3918" t="n">
        <v>0</v>
      </c>
      <c r="O3918" t="n">
        <v>0</v>
      </c>
      <c r="P3918" t="n">
        <v>0</v>
      </c>
      <c r="Q3918" t="n">
        <v>0</v>
      </c>
      <c r="R3918" s="2" t="inlineStr"/>
    </row>
    <row r="3919" ht="15" customHeight="1">
      <c r="A3919" t="inlineStr">
        <is>
          <t>A 22960-2025</t>
        </is>
      </c>
      <c r="B3919" s="1" t="n">
        <v>45790.53807870371</v>
      </c>
      <c r="C3919" s="1" t="n">
        <v>45952</v>
      </c>
      <c r="D3919" t="inlineStr">
        <is>
          <t>VÄSTRA GÖTALANDS LÄN</t>
        </is>
      </c>
      <c r="E3919" t="inlineStr">
        <is>
          <t>KARLSBORG</t>
        </is>
      </c>
      <c r="G3919" t="n">
        <v>2.8</v>
      </c>
      <c r="H3919" t="n">
        <v>0</v>
      </c>
      <c r="I3919" t="n">
        <v>0</v>
      </c>
      <c r="J3919" t="n">
        <v>0</v>
      </c>
      <c r="K3919" t="n">
        <v>0</v>
      </c>
      <c r="L3919" t="n">
        <v>0</v>
      </c>
      <c r="M3919" t="n">
        <v>0</v>
      </c>
      <c r="N3919" t="n">
        <v>0</v>
      </c>
      <c r="O3919" t="n">
        <v>0</v>
      </c>
      <c r="P3919" t="n">
        <v>0</v>
      </c>
      <c r="Q3919" t="n">
        <v>0</v>
      </c>
      <c r="R3919" s="2" t="inlineStr"/>
    </row>
    <row r="3920" ht="15" customHeight="1">
      <c r="A3920" t="inlineStr">
        <is>
          <t>A 25876-2024</t>
        </is>
      </c>
      <c r="B3920" s="1" t="n">
        <v>45467.48260416667</v>
      </c>
      <c r="C3920" s="1" t="n">
        <v>45952</v>
      </c>
      <c r="D3920" t="inlineStr">
        <is>
          <t>VÄSTRA GÖTALANDS LÄN</t>
        </is>
      </c>
      <c r="E3920" t="inlineStr">
        <is>
          <t>TRANEMO</t>
        </is>
      </c>
      <c r="G3920" t="n">
        <v>1.8</v>
      </c>
      <c r="H3920" t="n">
        <v>0</v>
      </c>
      <c r="I3920" t="n">
        <v>0</v>
      </c>
      <c r="J3920" t="n">
        <v>0</v>
      </c>
      <c r="K3920" t="n">
        <v>0</v>
      </c>
      <c r="L3920" t="n">
        <v>0</v>
      </c>
      <c r="M3920" t="n">
        <v>0</v>
      </c>
      <c r="N3920" t="n">
        <v>0</v>
      </c>
      <c r="O3920" t="n">
        <v>0</v>
      </c>
      <c r="P3920" t="n">
        <v>0</v>
      </c>
      <c r="Q3920" t="n">
        <v>0</v>
      </c>
      <c r="R3920" s="2" t="inlineStr"/>
    </row>
    <row r="3921" ht="15" customHeight="1">
      <c r="A3921" t="inlineStr">
        <is>
          <t>A 3896-2025</t>
        </is>
      </c>
      <c r="B3921" s="1" t="n">
        <v>45684.38349537037</v>
      </c>
      <c r="C3921" s="1" t="n">
        <v>45952</v>
      </c>
      <c r="D3921" t="inlineStr">
        <is>
          <t>VÄSTRA GÖTALANDS LÄN</t>
        </is>
      </c>
      <c r="E3921" t="inlineStr">
        <is>
          <t>BORÅS</t>
        </is>
      </c>
      <c r="G3921" t="n">
        <v>1.6</v>
      </c>
      <c r="H3921" t="n">
        <v>0</v>
      </c>
      <c r="I3921" t="n">
        <v>0</v>
      </c>
      <c r="J3921" t="n">
        <v>0</v>
      </c>
      <c r="K3921" t="n">
        <v>0</v>
      </c>
      <c r="L3921" t="n">
        <v>0</v>
      </c>
      <c r="M3921" t="n">
        <v>0</v>
      </c>
      <c r="N3921" t="n">
        <v>0</v>
      </c>
      <c r="O3921" t="n">
        <v>0</v>
      </c>
      <c r="P3921" t="n">
        <v>0</v>
      </c>
      <c r="Q3921" t="n">
        <v>0</v>
      </c>
      <c r="R3921" s="2" t="inlineStr"/>
    </row>
    <row r="3922" ht="15" customHeight="1">
      <c r="A3922" t="inlineStr">
        <is>
          <t>A 19208-2024</t>
        </is>
      </c>
      <c r="B3922" s="1" t="n">
        <v>45428.5444212963</v>
      </c>
      <c r="C3922" s="1" t="n">
        <v>45952</v>
      </c>
      <c r="D3922" t="inlineStr">
        <is>
          <t>VÄSTRA GÖTALANDS LÄN</t>
        </is>
      </c>
      <c r="E3922" t="inlineStr">
        <is>
          <t>BENGTSFORS</t>
        </is>
      </c>
      <c r="G3922" t="n">
        <v>4.5</v>
      </c>
      <c r="H3922" t="n">
        <v>0</v>
      </c>
      <c r="I3922" t="n">
        <v>0</v>
      </c>
      <c r="J3922" t="n">
        <v>0</v>
      </c>
      <c r="K3922" t="n">
        <v>0</v>
      </c>
      <c r="L3922" t="n">
        <v>0</v>
      </c>
      <c r="M3922" t="n">
        <v>0</v>
      </c>
      <c r="N3922" t="n">
        <v>0</v>
      </c>
      <c r="O3922" t="n">
        <v>0</v>
      </c>
      <c r="P3922" t="n">
        <v>0</v>
      </c>
      <c r="Q3922" t="n">
        <v>0</v>
      </c>
      <c r="R3922" s="2" t="inlineStr"/>
    </row>
    <row r="3923" ht="15" customHeight="1">
      <c r="A3923" t="inlineStr">
        <is>
          <t>A 23078-2024</t>
        </is>
      </c>
      <c r="B3923" s="1" t="n">
        <v>45450.49150462963</v>
      </c>
      <c r="C3923" s="1" t="n">
        <v>45952</v>
      </c>
      <c r="D3923" t="inlineStr">
        <is>
          <t>VÄSTRA GÖTALANDS LÄN</t>
        </is>
      </c>
      <c r="E3923" t="inlineStr">
        <is>
          <t>MARK</t>
        </is>
      </c>
      <c r="G3923" t="n">
        <v>0.6</v>
      </c>
      <c r="H3923" t="n">
        <v>0</v>
      </c>
      <c r="I3923" t="n">
        <v>0</v>
      </c>
      <c r="J3923" t="n">
        <v>0</v>
      </c>
      <c r="K3923" t="n">
        <v>0</v>
      </c>
      <c r="L3923" t="n">
        <v>0</v>
      </c>
      <c r="M3923" t="n">
        <v>0</v>
      </c>
      <c r="N3923" t="n">
        <v>0</v>
      </c>
      <c r="O3923" t="n">
        <v>0</v>
      </c>
      <c r="P3923" t="n">
        <v>0</v>
      </c>
      <c r="Q3923" t="n">
        <v>0</v>
      </c>
      <c r="R3923" s="2" t="inlineStr"/>
    </row>
    <row r="3924" ht="15" customHeight="1">
      <c r="A3924" t="inlineStr">
        <is>
          <t>A 138-2022</t>
        </is>
      </c>
      <c r="B3924" s="1" t="n">
        <v>44560</v>
      </c>
      <c r="C3924" s="1" t="n">
        <v>45952</v>
      </c>
      <c r="D3924" t="inlineStr">
        <is>
          <t>VÄSTRA GÖTALANDS LÄN</t>
        </is>
      </c>
      <c r="E3924" t="inlineStr">
        <is>
          <t>HJO</t>
        </is>
      </c>
      <c r="G3924" t="n">
        <v>0.3</v>
      </c>
      <c r="H3924" t="n">
        <v>0</v>
      </c>
      <c r="I3924" t="n">
        <v>0</v>
      </c>
      <c r="J3924" t="n">
        <v>0</v>
      </c>
      <c r="K3924" t="n">
        <v>0</v>
      </c>
      <c r="L3924" t="n">
        <v>0</v>
      </c>
      <c r="M3924" t="n">
        <v>0</v>
      </c>
      <c r="N3924" t="n">
        <v>0</v>
      </c>
      <c r="O3924" t="n">
        <v>0</v>
      </c>
      <c r="P3924" t="n">
        <v>0</v>
      </c>
      <c r="Q3924" t="n">
        <v>0</v>
      </c>
      <c r="R3924" s="2" t="inlineStr"/>
    </row>
    <row r="3925" ht="15" customHeight="1">
      <c r="A3925" t="inlineStr">
        <is>
          <t>A 44264-2023</t>
        </is>
      </c>
      <c r="B3925" s="1" t="n">
        <v>45181</v>
      </c>
      <c r="C3925" s="1" t="n">
        <v>45952</v>
      </c>
      <c r="D3925" t="inlineStr">
        <is>
          <t>VÄSTRA GÖTALANDS LÄN</t>
        </is>
      </c>
      <c r="E3925" t="inlineStr">
        <is>
          <t>BENGTSFORS</t>
        </is>
      </c>
      <c r="G3925" t="n">
        <v>5.8</v>
      </c>
      <c r="H3925" t="n">
        <v>0</v>
      </c>
      <c r="I3925" t="n">
        <v>0</v>
      </c>
      <c r="J3925" t="n">
        <v>0</v>
      </c>
      <c r="K3925" t="n">
        <v>0</v>
      </c>
      <c r="L3925" t="n">
        <v>0</v>
      </c>
      <c r="M3925" t="n">
        <v>0</v>
      </c>
      <c r="N3925" t="n">
        <v>0</v>
      </c>
      <c r="O3925" t="n">
        <v>0</v>
      </c>
      <c r="P3925" t="n">
        <v>0</v>
      </c>
      <c r="Q3925" t="n">
        <v>0</v>
      </c>
      <c r="R3925" s="2" t="inlineStr"/>
    </row>
    <row r="3926" ht="15" customHeight="1">
      <c r="A3926" t="inlineStr">
        <is>
          <t>A 44285-2023</t>
        </is>
      </c>
      <c r="B3926" s="1" t="n">
        <v>45188.62711805556</v>
      </c>
      <c r="C3926" s="1" t="n">
        <v>45952</v>
      </c>
      <c r="D3926" t="inlineStr">
        <is>
          <t>VÄSTRA GÖTALANDS LÄN</t>
        </is>
      </c>
      <c r="E3926" t="inlineStr">
        <is>
          <t>FALKÖPING</t>
        </is>
      </c>
      <c r="G3926" t="n">
        <v>8.1</v>
      </c>
      <c r="H3926" t="n">
        <v>0</v>
      </c>
      <c r="I3926" t="n">
        <v>0</v>
      </c>
      <c r="J3926" t="n">
        <v>0</v>
      </c>
      <c r="K3926" t="n">
        <v>0</v>
      </c>
      <c r="L3926" t="n">
        <v>0</v>
      </c>
      <c r="M3926" t="n">
        <v>0</v>
      </c>
      <c r="N3926" t="n">
        <v>0</v>
      </c>
      <c r="O3926" t="n">
        <v>0</v>
      </c>
      <c r="P3926" t="n">
        <v>0</v>
      </c>
      <c r="Q3926" t="n">
        <v>0</v>
      </c>
      <c r="R3926" s="2" t="inlineStr"/>
    </row>
    <row r="3927" ht="15" customHeight="1">
      <c r="A3927" t="inlineStr">
        <is>
          <t>A 19936-2023</t>
        </is>
      </c>
      <c r="B3927" s="1" t="n">
        <v>45054</v>
      </c>
      <c r="C3927" s="1" t="n">
        <v>45952</v>
      </c>
      <c r="D3927" t="inlineStr">
        <is>
          <t>VÄSTRA GÖTALANDS LÄN</t>
        </is>
      </c>
      <c r="E3927" t="inlineStr">
        <is>
          <t>BORÅS</t>
        </is>
      </c>
      <c r="G3927" t="n">
        <v>1.3</v>
      </c>
      <c r="H3927" t="n">
        <v>0</v>
      </c>
      <c r="I3927" t="n">
        <v>0</v>
      </c>
      <c r="J3927" t="n">
        <v>0</v>
      </c>
      <c r="K3927" t="n">
        <v>0</v>
      </c>
      <c r="L3927" t="n">
        <v>0</v>
      </c>
      <c r="M3927" t="n">
        <v>0</v>
      </c>
      <c r="N3927" t="n">
        <v>0</v>
      </c>
      <c r="O3927" t="n">
        <v>0</v>
      </c>
      <c r="P3927" t="n">
        <v>0</v>
      </c>
      <c r="Q3927" t="n">
        <v>0</v>
      </c>
      <c r="R3927" s="2" t="inlineStr"/>
    </row>
    <row r="3928" ht="15" customHeight="1">
      <c r="A3928" t="inlineStr">
        <is>
          <t>A 17749-2024</t>
        </is>
      </c>
      <c r="B3928" s="1" t="n">
        <v>45418.59761574074</v>
      </c>
      <c r="C3928" s="1" t="n">
        <v>45952</v>
      </c>
      <c r="D3928" t="inlineStr">
        <is>
          <t>VÄSTRA GÖTALANDS LÄN</t>
        </is>
      </c>
      <c r="E3928" t="inlineStr">
        <is>
          <t>VÄNERSBORG</t>
        </is>
      </c>
      <c r="G3928" t="n">
        <v>8.4</v>
      </c>
      <c r="H3928" t="n">
        <v>0</v>
      </c>
      <c r="I3928" t="n">
        <v>0</v>
      </c>
      <c r="J3928" t="n">
        <v>0</v>
      </c>
      <c r="K3928" t="n">
        <v>0</v>
      </c>
      <c r="L3928" t="n">
        <v>0</v>
      </c>
      <c r="M3928" t="n">
        <v>0</v>
      </c>
      <c r="N3928" t="n">
        <v>0</v>
      </c>
      <c r="O3928" t="n">
        <v>0</v>
      </c>
      <c r="P3928" t="n">
        <v>0</v>
      </c>
      <c r="Q3928" t="n">
        <v>0</v>
      </c>
      <c r="R3928" s="2" t="inlineStr"/>
    </row>
    <row r="3929" ht="15" customHeight="1">
      <c r="A3929" t="inlineStr">
        <is>
          <t>A 6983-2023</t>
        </is>
      </c>
      <c r="B3929" s="1" t="n">
        <v>44967.68585648148</v>
      </c>
      <c r="C3929" s="1" t="n">
        <v>45952</v>
      </c>
      <c r="D3929" t="inlineStr">
        <is>
          <t>VÄSTRA GÖTALANDS LÄN</t>
        </is>
      </c>
      <c r="E3929" t="inlineStr">
        <is>
          <t>PARTILLE</t>
        </is>
      </c>
      <c r="G3929" t="n">
        <v>5.4</v>
      </c>
      <c r="H3929" t="n">
        <v>0</v>
      </c>
      <c r="I3929" t="n">
        <v>0</v>
      </c>
      <c r="J3929" t="n">
        <v>0</v>
      </c>
      <c r="K3929" t="n">
        <v>0</v>
      </c>
      <c r="L3929" t="n">
        <v>0</v>
      </c>
      <c r="M3929" t="n">
        <v>0</v>
      </c>
      <c r="N3929" t="n">
        <v>0</v>
      </c>
      <c r="O3929" t="n">
        <v>0</v>
      </c>
      <c r="P3929" t="n">
        <v>0</v>
      </c>
      <c r="Q3929" t="n">
        <v>0</v>
      </c>
      <c r="R3929" s="2" t="inlineStr"/>
    </row>
    <row r="3930" ht="15" customHeight="1">
      <c r="A3930" t="inlineStr">
        <is>
          <t>A 17583-2025</t>
        </is>
      </c>
      <c r="B3930" s="1" t="n">
        <v>45757.66560185186</v>
      </c>
      <c r="C3930" s="1" t="n">
        <v>45952</v>
      </c>
      <c r="D3930" t="inlineStr">
        <is>
          <t>VÄSTRA GÖTALANDS LÄN</t>
        </is>
      </c>
      <c r="E3930" t="inlineStr">
        <is>
          <t>MARK</t>
        </is>
      </c>
      <c r="G3930" t="n">
        <v>5</v>
      </c>
      <c r="H3930" t="n">
        <v>0</v>
      </c>
      <c r="I3930" t="n">
        <v>0</v>
      </c>
      <c r="J3930" t="n">
        <v>0</v>
      </c>
      <c r="K3930" t="n">
        <v>0</v>
      </c>
      <c r="L3930" t="n">
        <v>0</v>
      </c>
      <c r="M3930" t="n">
        <v>0</v>
      </c>
      <c r="N3930" t="n">
        <v>0</v>
      </c>
      <c r="O3930" t="n">
        <v>0</v>
      </c>
      <c r="P3930" t="n">
        <v>0</v>
      </c>
      <c r="Q3930" t="n">
        <v>0</v>
      </c>
      <c r="R3930" s="2" t="inlineStr"/>
    </row>
    <row r="3931" ht="15" customHeight="1">
      <c r="A3931" t="inlineStr">
        <is>
          <t>A 37110-2023</t>
        </is>
      </c>
      <c r="B3931" s="1" t="n">
        <v>45155.55261574074</v>
      </c>
      <c r="C3931" s="1" t="n">
        <v>45952</v>
      </c>
      <c r="D3931" t="inlineStr">
        <is>
          <t>VÄSTRA GÖTALANDS LÄN</t>
        </is>
      </c>
      <c r="E3931" t="inlineStr">
        <is>
          <t>HERRLJUNGA</t>
        </is>
      </c>
      <c r="G3931" t="n">
        <v>1.1</v>
      </c>
      <c r="H3931" t="n">
        <v>0</v>
      </c>
      <c r="I3931" t="n">
        <v>0</v>
      </c>
      <c r="J3931" t="n">
        <v>0</v>
      </c>
      <c r="K3931" t="n">
        <v>0</v>
      </c>
      <c r="L3931" t="n">
        <v>0</v>
      </c>
      <c r="M3931" t="n">
        <v>0</v>
      </c>
      <c r="N3931" t="n">
        <v>0</v>
      </c>
      <c r="O3931" t="n">
        <v>0</v>
      </c>
      <c r="P3931" t="n">
        <v>0</v>
      </c>
      <c r="Q3931" t="n">
        <v>0</v>
      </c>
      <c r="R3931" s="2" t="inlineStr"/>
    </row>
    <row r="3932" ht="15" customHeight="1">
      <c r="A3932" t="inlineStr">
        <is>
          <t>A 61627-2024</t>
        </is>
      </c>
      <c r="B3932" s="1" t="n">
        <v>45646.66263888889</v>
      </c>
      <c r="C3932" s="1" t="n">
        <v>45952</v>
      </c>
      <c r="D3932" t="inlineStr">
        <is>
          <t>VÄSTRA GÖTALANDS LÄN</t>
        </is>
      </c>
      <c r="E3932" t="inlineStr">
        <is>
          <t>TJÖRN</t>
        </is>
      </c>
      <c r="F3932" t="inlineStr">
        <is>
          <t>Kommuner</t>
        </is>
      </c>
      <c r="G3932" t="n">
        <v>2.1</v>
      </c>
      <c r="H3932" t="n">
        <v>0</v>
      </c>
      <c r="I3932" t="n">
        <v>0</v>
      </c>
      <c r="J3932" t="n">
        <v>0</v>
      </c>
      <c r="K3932" t="n">
        <v>0</v>
      </c>
      <c r="L3932" t="n">
        <v>0</v>
      </c>
      <c r="M3932" t="n">
        <v>0</v>
      </c>
      <c r="N3932" t="n">
        <v>0</v>
      </c>
      <c r="O3932" t="n">
        <v>0</v>
      </c>
      <c r="P3932" t="n">
        <v>0</v>
      </c>
      <c r="Q3932" t="n">
        <v>0</v>
      </c>
      <c r="R3932" s="2" t="inlineStr"/>
    </row>
    <row r="3933" ht="15" customHeight="1">
      <c r="A3933" t="inlineStr">
        <is>
          <t>A 58093-2023</t>
        </is>
      </c>
      <c r="B3933" s="1" t="n">
        <v>45248</v>
      </c>
      <c r="C3933" s="1" t="n">
        <v>45952</v>
      </c>
      <c r="D3933" t="inlineStr">
        <is>
          <t>VÄSTRA GÖTALANDS LÄN</t>
        </is>
      </c>
      <c r="E3933" t="inlineStr">
        <is>
          <t>BOLLEBYGD</t>
        </is>
      </c>
      <c r="G3933" t="n">
        <v>3.8</v>
      </c>
      <c r="H3933" t="n">
        <v>0</v>
      </c>
      <c r="I3933" t="n">
        <v>0</v>
      </c>
      <c r="J3933" t="n">
        <v>0</v>
      </c>
      <c r="K3933" t="n">
        <v>0</v>
      </c>
      <c r="L3933" t="n">
        <v>0</v>
      </c>
      <c r="M3933" t="n">
        <v>0</v>
      </c>
      <c r="N3933" t="n">
        <v>0</v>
      </c>
      <c r="O3933" t="n">
        <v>0</v>
      </c>
      <c r="P3933" t="n">
        <v>0</v>
      </c>
      <c r="Q3933" t="n">
        <v>0</v>
      </c>
      <c r="R3933" s="2" t="inlineStr"/>
    </row>
    <row r="3934" ht="15" customHeight="1">
      <c r="A3934" t="inlineStr">
        <is>
          <t>A 17236-2023</t>
        </is>
      </c>
      <c r="B3934" s="1" t="n">
        <v>45035</v>
      </c>
      <c r="C3934" s="1" t="n">
        <v>45952</v>
      </c>
      <c r="D3934" t="inlineStr">
        <is>
          <t>VÄSTRA GÖTALANDS LÄN</t>
        </is>
      </c>
      <c r="E3934" t="inlineStr">
        <is>
          <t>ULRICEHAMN</t>
        </is>
      </c>
      <c r="G3934" t="n">
        <v>1</v>
      </c>
      <c r="H3934" t="n">
        <v>0</v>
      </c>
      <c r="I3934" t="n">
        <v>0</v>
      </c>
      <c r="J3934" t="n">
        <v>0</v>
      </c>
      <c r="K3934" t="n">
        <v>0</v>
      </c>
      <c r="L3934" t="n">
        <v>0</v>
      </c>
      <c r="M3934" t="n">
        <v>0</v>
      </c>
      <c r="N3934" t="n">
        <v>0</v>
      </c>
      <c r="O3934" t="n">
        <v>0</v>
      </c>
      <c r="P3934" t="n">
        <v>0</v>
      </c>
      <c r="Q3934" t="n">
        <v>0</v>
      </c>
      <c r="R3934" s="2" t="inlineStr"/>
    </row>
    <row r="3935" ht="15" customHeight="1">
      <c r="A3935" t="inlineStr">
        <is>
          <t>A 10609-2025</t>
        </is>
      </c>
      <c r="B3935" s="1" t="n">
        <v>45721.59949074074</v>
      </c>
      <c r="C3935" s="1" t="n">
        <v>45952</v>
      </c>
      <c r="D3935" t="inlineStr">
        <is>
          <t>VÄSTRA GÖTALANDS LÄN</t>
        </is>
      </c>
      <c r="E3935" t="inlineStr">
        <is>
          <t>TIDAHOLM</t>
        </is>
      </c>
      <c r="G3935" t="n">
        <v>1</v>
      </c>
      <c r="H3935" t="n">
        <v>0</v>
      </c>
      <c r="I3935" t="n">
        <v>0</v>
      </c>
      <c r="J3935" t="n">
        <v>0</v>
      </c>
      <c r="K3935" t="n">
        <v>0</v>
      </c>
      <c r="L3935" t="n">
        <v>0</v>
      </c>
      <c r="M3935" t="n">
        <v>0</v>
      </c>
      <c r="N3935" t="n">
        <v>0</v>
      </c>
      <c r="O3935" t="n">
        <v>0</v>
      </c>
      <c r="P3935" t="n">
        <v>0</v>
      </c>
      <c r="Q3935" t="n">
        <v>0</v>
      </c>
      <c r="R3935" s="2" t="inlineStr"/>
    </row>
    <row r="3936" ht="15" customHeight="1">
      <c r="A3936" t="inlineStr">
        <is>
          <t>A 7851-2023</t>
        </is>
      </c>
      <c r="B3936" s="1" t="n">
        <v>44973.52238425926</v>
      </c>
      <c r="C3936" s="1" t="n">
        <v>45952</v>
      </c>
      <c r="D3936" t="inlineStr">
        <is>
          <t>VÄSTRA GÖTALANDS LÄN</t>
        </is>
      </c>
      <c r="E3936" t="inlineStr">
        <is>
          <t>VARA</t>
        </is>
      </c>
      <c r="G3936" t="n">
        <v>0.6</v>
      </c>
      <c r="H3936" t="n">
        <v>0</v>
      </c>
      <c r="I3936" t="n">
        <v>0</v>
      </c>
      <c r="J3936" t="n">
        <v>0</v>
      </c>
      <c r="K3936" t="n">
        <v>0</v>
      </c>
      <c r="L3936" t="n">
        <v>0</v>
      </c>
      <c r="M3936" t="n">
        <v>0</v>
      </c>
      <c r="N3936" t="n">
        <v>0</v>
      </c>
      <c r="O3936" t="n">
        <v>0</v>
      </c>
      <c r="P3936" t="n">
        <v>0</v>
      </c>
      <c r="Q3936" t="n">
        <v>0</v>
      </c>
      <c r="R3936" s="2" t="inlineStr"/>
    </row>
    <row r="3937" ht="15" customHeight="1">
      <c r="A3937" t="inlineStr">
        <is>
          <t>A 10635-2025</t>
        </is>
      </c>
      <c r="B3937" s="1" t="n">
        <v>45721</v>
      </c>
      <c r="C3937" s="1" t="n">
        <v>45952</v>
      </c>
      <c r="D3937" t="inlineStr">
        <is>
          <t>VÄSTRA GÖTALANDS LÄN</t>
        </is>
      </c>
      <c r="E3937" t="inlineStr">
        <is>
          <t>TÖREBODA</t>
        </is>
      </c>
      <c r="G3937" t="n">
        <v>1</v>
      </c>
      <c r="H3937" t="n">
        <v>0</v>
      </c>
      <c r="I3937" t="n">
        <v>0</v>
      </c>
      <c r="J3937" t="n">
        <v>0</v>
      </c>
      <c r="K3937" t="n">
        <v>0</v>
      </c>
      <c r="L3937" t="n">
        <v>0</v>
      </c>
      <c r="M3937" t="n">
        <v>0</v>
      </c>
      <c r="N3937" t="n">
        <v>0</v>
      </c>
      <c r="O3937" t="n">
        <v>0</v>
      </c>
      <c r="P3937" t="n">
        <v>0</v>
      </c>
      <c r="Q3937" t="n">
        <v>0</v>
      </c>
      <c r="R3937" s="2" t="inlineStr"/>
    </row>
    <row r="3938" ht="15" customHeight="1">
      <c r="A3938" t="inlineStr">
        <is>
          <t>A 17388-2023</t>
        </is>
      </c>
      <c r="B3938" s="1" t="n">
        <v>45035</v>
      </c>
      <c r="C3938" s="1" t="n">
        <v>45952</v>
      </c>
      <c r="D3938" t="inlineStr">
        <is>
          <t>VÄSTRA GÖTALANDS LÄN</t>
        </is>
      </c>
      <c r="E3938" t="inlineStr">
        <is>
          <t>GULLSPÅNG</t>
        </is>
      </c>
      <c r="G3938" t="n">
        <v>0.6</v>
      </c>
      <c r="H3938" t="n">
        <v>0</v>
      </c>
      <c r="I3938" t="n">
        <v>0</v>
      </c>
      <c r="J3938" t="n">
        <v>0</v>
      </c>
      <c r="K3938" t="n">
        <v>0</v>
      </c>
      <c r="L3938" t="n">
        <v>0</v>
      </c>
      <c r="M3938" t="n">
        <v>0</v>
      </c>
      <c r="N3938" t="n">
        <v>0</v>
      </c>
      <c r="O3938" t="n">
        <v>0</v>
      </c>
      <c r="P3938" t="n">
        <v>0</v>
      </c>
      <c r="Q3938" t="n">
        <v>0</v>
      </c>
      <c r="R3938" s="2" t="inlineStr"/>
    </row>
    <row r="3939" ht="15" customHeight="1">
      <c r="A3939" t="inlineStr">
        <is>
          <t>A 49736-2024</t>
        </is>
      </c>
      <c r="B3939" s="1" t="n">
        <v>45596.86271990741</v>
      </c>
      <c r="C3939" s="1" t="n">
        <v>45952</v>
      </c>
      <c r="D3939" t="inlineStr">
        <is>
          <t>VÄSTRA GÖTALANDS LÄN</t>
        </is>
      </c>
      <c r="E3939" t="inlineStr">
        <is>
          <t>VARA</t>
        </is>
      </c>
      <c r="G3939" t="n">
        <v>0.7</v>
      </c>
      <c r="H3939" t="n">
        <v>0</v>
      </c>
      <c r="I3939" t="n">
        <v>0</v>
      </c>
      <c r="J3939" t="n">
        <v>0</v>
      </c>
      <c r="K3939" t="n">
        <v>0</v>
      </c>
      <c r="L3939" t="n">
        <v>0</v>
      </c>
      <c r="M3939" t="n">
        <v>0</v>
      </c>
      <c r="N3939" t="n">
        <v>0</v>
      </c>
      <c r="O3939" t="n">
        <v>0</v>
      </c>
      <c r="P3939" t="n">
        <v>0</v>
      </c>
      <c r="Q3939" t="n">
        <v>0</v>
      </c>
      <c r="R3939" s="2" t="inlineStr"/>
    </row>
    <row r="3940" ht="15" customHeight="1">
      <c r="A3940" t="inlineStr">
        <is>
          <t>A 44812-2024</t>
        </is>
      </c>
      <c r="B3940" s="1" t="n">
        <v>45574.65747685185</v>
      </c>
      <c r="C3940" s="1" t="n">
        <v>45952</v>
      </c>
      <c r="D3940" t="inlineStr">
        <is>
          <t>VÄSTRA GÖTALANDS LÄN</t>
        </is>
      </c>
      <c r="E3940" t="inlineStr">
        <is>
          <t>BENGTSFORS</t>
        </is>
      </c>
      <c r="G3940" t="n">
        <v>0.7</v>
      </c>
      <c r="H3940" t="n">
        <v>0</v>
      </c>
      <c r="I3940" t="n">
        <v>0</v>
      </c>
      <c r="J3940" t="n">
        <v>0</v>
      </c>
      <c r="K3940" t="n">
        <v>0</v>
      </c>
      <c r="L3940" t="n">
        <v>0</v>
      </c>
      <c r="M3940" t="n">
        <v>0</v>
      </c>
      <c r="N3940" t="n">
        <v>0</v>
      </c>
      <c r="O3940" t="n">
        <v>0</v>
      </c>
      <c r="P3940" t="n">
        <v>0</v>
      </c>
      <c r="Q3940" t="n">
        <v>0</v>
      </c>
      <c r="R3940" s="2" t="inlineStr"/>
    </row>
    <row r="3941" ht="15" customHeight="1">
      <c r="A3941" t="inlineStr">
        <is>
          <t>A 44840-2024</t>
        </is>
      </c>
      <c r="B3941" s="1" t="n">
        <v>45574.71733796296</v>
      </c>
      <c r="C3941" s="1" t="n">
        <v>45952</v>
      </c>
      <c r="D3941" t="inlineStr">
        <is>
          <t>VÄSTRA GÖTALANDS LÄN</t>
        </is>
      </c>
      <c r="E3941" t="inlineStr">
        <is>
          <t>TRANEMO</t>
        </is>
      </c>
      <c r="G3941" t="n">
        <v>1.7</v>
      </c>
      <c r="H3941" t="n">
        <v>0</v>
      </c>
      <c r="I3941" t="n">
        <v>0</v>
      </c>
      <c r="J3941" t="n">
        <v>0</v>
      </c>
      <c r="K3941" t="n">
        <v>0</v>
      </c>
      <c r="L3941" t="n">
        <v>0</v>
      </c>
      <c r="M3941" t="n">
        <v>0</v>
      </c>
      <c r="N3941" t="n">
        <v>0</v>
      </c>
      <c r="O3941" t="n">
        <v>0</v>
      </c>
      <c r="P3941" t="n">
        <v>0</v>
      </c>
      <c r="Q3941" t="n">
        <v>0</v>
      </c>
      <c r="R3941" s="2" t="inlineStr"/>
    </row>
    <row r="3942" ht="15" customHeight="1">
      <c r="A3942" t="inlineStr">
        <is>
          <t>A 44849-2024</t>
        </is>
      </c>
      <c r="B3942" s="1" t="n">
        <v>45574.86268518519</v>
      </c>
      <c r="C3942" s="1" t="n">
        <v>45952</v>
      </c>
      <c r="D3942" t="inlineStr">
        <is>
          <t>VÄSTRA GÖTALANDS LÄN</t>
        </is>
      </c>
      <c r="E3942" t="inlineStr">
        <is>
          <t>LIDKÖPING</t>
        </is>
      </c>
      <c r="G3942" t="n">
        <v>3.8</v>
      </c>
      <c r="H3942" t="n">
        <v>0</v>
      </c>
      <c r="I3942" t="n">
        <v>0</v>
      </c>
      <c r="J3942" t="n">
        <v>0</v>
      </c>
      <c r="K3942" t="n">
        <v>0</v>
      </c>
      <c r="L3942" t="n">
        <v>0</v>
      </c>
      <c r="M3942" t="n">
        <v>0</v>
      </c>
      <c r="N3942" t="n">
        <v>0</v>
      </c>
      <c r="O3942" t="n">
        <v>0</v>
      </c>
      <c r="P3942" t="n">
        <v>0</v>
      </c>
      <c r="Q3942" t="n">
        <v>0</v>
      </c>
      <c r="R3942" s="2" t="inlineStr"/>
    </row>
    <row r="3943" ht="15" customHeight="1">
      <c r="A3943" t="inlineStr">
        <is>
          <t>A 44871-2024</t>
        </is>
      </c>
      <c r="B3943" s="1" t="n">
        <v>45575.33427083334</v>
      </c>
      <c r="C3943" s="1" t="n">
        <v>45952</v>
      </c>
      <c r="D3943" t="inlineStr">
        <is>
          <t>VÄSTRA GÖTALANDS LÄN</t>
        </is>
      </c>
      <c r="E3943" t="inlineStr">
        <is>
          <t>TRANEMO</t>
        </is>
      </c>
      <c r="G3943" t="n">
        <v>3.4</v>
      </c>
      <c r="H3943" t="n">
        <v>0</v>
      </c>
      <c r="I3943" t="n">
        <v>0</v>
      </c>
      <c r="J3943" t="n">
        <v>0</v>
      </c>
      <c r="K3943" t="n">
        <v>0</v>
      </c>
      <c r="L3943" t="n">
        <v>0</v>
      </c>
      <c r="M3943" t="n">
        <v>0</v>
      </c>
      <c r="N3943" t="n">
        <v>0</v>
      </c>
      <c r="O3943" t="n">
        <v>0</v>
      </c>
      <c r="P3943" t="n">
        <v>0</v>
      </c>
      <c r="Q3943" t="n">
        <v>0</v>
      </c>
      <c r="R3943" s="2" t="inlineStr"/>
    </row>
    <row r="3944" ht="15" customHeight="1">
      <c r="A3944" t="inlineStr">
        <is>
          <t>A 65254-2021</t>
        </is>
      </c>
      <c r="B3944" s="1" t="n">
        <v>44515</v>
      </c>
      <c r="C3944" s="1" t="n">
        <v>45952</v>
      </c>
      <c r="D3944" t="inlineStr">
        <is>
          <t>VÄSTRA GÖTALANDS LÄN</t>
        </is>
      </c>
      <c r="E3944" t="inlineStr">
        <is>
          <t>TROLLHÄTTAN</t>
        </is>
      </c>
      <c r="G3944" t="n">
        <v>6.4</v>
      </c>
      <c r="H3944" t="n">
        <v>0</v>
      </c>
      <c r="I3944" t="n">
        <v>0</v>
      </c>
      <c r="J3944" t="n">
        <v>0</v>
      </c>
      <c r="K3944" t="n">
        <v>0</v>
      </c>
      <c r="L3944" t="n">
        <v>0</v>
      </c>
      <c r="M3944" t="n">
        <v>0</v>
      </c>
      <c r="N3944" t="n">
        <v>0</v>
      </c>
      <c r="O3944" t="n">
        <v>0</v>
      </c>
      <c r="P3944" t="n">
        <v>0</v>
      </c>
      <c r="Q3944" t="n">
        <v>0</v>
      </c>
      <c r="R3944" s="2" t="inlineStr"/>
    </row>
    <row r="3945" ht="15" customHeight="1">
      <c r="A3945" t="inlineStr">
        <is>
          <t>A 10449-2025</t>
        </is>
      </c>
      <c r="B3945" s="1" t="n">
        <v>45720</v>
      </c>
      <c r="C3945" s="1" t="n">
        <v>45952</v>
      </c>
      <c r="D3945" t="inlineStr">
        <is>
          <t>VÄSTRA GÖTALANDS LÄN</t>
        </is>
      </c>
      <c r="E3945" t="inlineStr">
        <is>
          <t>VARA</t>
        </is>
      </c>
      <c r="G3945" t="n">
        <v>8</v>
      </c>
      <c r="H3945" t="n">
        <v>0</v>
      </c>
      <c r="I3945" t="n">
        <v>0</v>
      </c>
      <c r="J3945" t="n">
        <v>0</v>
      </c>
      <c r="K3945" t="n">
        <v>0</v>
      </c>
      <c r="L3945" t="n">
        <v>0</v>
      </c>
      <c r="M3945" t="n">
        <v>0</v>
      </c>
      <c r="N3945" t="n">
        <v>0</v>
      </c>
      <c r="O3945" t="n">
        <v>0</v>
      </c>
      <c r="P3945" t="n">
        <v>0</v>
      </c>
      <c r="Q3945" t="n">
        <v>0</v>
      </c>
      <c r="R3945" s="2" t="inlineStr"/>
    </row>
    <row r="3946" ht="15" customHeight="1">
      <c r="A3946" t="inlineStr">
        <is>
          <t>A 46596-2025</t>
        </is>
      </c>
      <c r="B3946" s="1" t="n">
        <v>45926.39857638889</v>
      </c>
      <c r="C3946" s="1" t="n">
        <v>45952</v>
      </c>
      <c r="D3946" t="inlineStr">
        <is>
          <t>VÄSTRA GÖTALANDS LÄN</t>
        </is>
      </c>
      <c r="E3946" t="inlineStr">
        <is>
          <t>LERUM</t>
        </is>
      </c>
      <c r="G3946" t="n">
        <v>1.2</v>
      </c>
      <c r="H3946" t="n">
        <v>0</v>
      </c>
      <c r="I3946" t="n">
        <v>0</v>
      </c>
      <c r="J3946" t="n">
        <v>0</v>
      </c>
      <c r="K3946" t="n">
        <v>0</v>
      </c>
      <c r="L3946" t="n">
        <v>0</v>
      </c>
      <c r="M3946" t="n">
        <v>0</v>
      </c>
      <c r="N3946" t="n">
        <v>0</v>
      </c>
      <c r="O3946" t="n">
        <v>0</v>
      </c>
      <c r="P3946" t="n">
        <v>0</v>
      </c>
      <c r="Q3946" t="n">
        <v>0</v>
      </c>
      <c r="R3946" s="2" t="inlineStr"/>
    </row>
    <row r="3947" ht="15" customHeight="1">
      <c r="A3947" t="inlineStr">
        <is>
          <t>A 65124-2023</t>
        </is>
      </c>
      <c r="B3947" s="1" t="n">
        <v>45288.49311342592</v>
      </c>
      <c r="C3947" s="1" t="n">
        <v>45952</v>
      </c>
      <c r="D3947" t="inlineStr">
        <is>
          <t>VÄSTRA GÖTALANDS LÄN</t>
        </is>
      </c>
      <c r="E3947" t="inlineStr">
        <is>
          <t>SKARA</t>
        </is>
      </c>
      <c r="G3947" t="n">
        <v>3.2</v>
      </c>
      <c r="H3947" t="n">
        <v>0</v>
      </c>
      <c r="I3947" t="n">
        <v>0</v>
      </c>
      <c r="J3947" t="n">
        <v>0</v>
      </c>
      <c r="K3947" t="n">
        <v>0</v>
      </c>
      <c r="L3947" t="n">
        <v>0</v>
      </c>
      <c r="M3947" t="n">
        <v>0</v>
      </c>
      <c r="N3947" t="n">
        <v>0</v>
      </c>
      <c r="O3947" t="n">
        <v>0</v>
      </c>
      <c r="P3947" t="n">
        <v>0</v>
      </c>
      <c r="Q3947" t="n">
        <v>0</v>
      </c>
      <c r="R3947" s="2" t="inlineStr"/>
    </row>
    <row r="3948" ht="15" customHeight="1">
      <c r="A3948" t="inlineStr">
        <is>
          <t>A 59782-2022</t>
        </is>
      </c>
      <c r="B3948" s="1" t="n">
        <v>44900</v>
      </c>
      <c r="C3948" s="1" t="n">
        <v>45952</v>
      </c>
      <c r="D3948" t="inlineStr">
        <is>
          <t>VÄSTRA GÖTALANDS LÄN</t>
        </is>
      </c>
      <c r="E3948" t="inlineStr">
        <is>
          <t>VARA</t>
        </is>
      </c>
      <c r="G3948" t="n">
        <v>2</v>
      </c>
      <c r="H3948" t="n">
        <v>0</v>
      </c>
      <c r="I3948" t="n">
        <v>0</v>
      </c>
      <c r="J3948" t="n">
        <v>0</v>
      </c>
      <c r="K3948" t="n">
        <v>0</v>
      </c>
      <c r="L3948" t="n">
        <v>0</v>
      </c>
      <c r="M3948" t="n">
        <v>0</v>
      </c>
      <c r="N3948" t="n">
        <v>0</v>
      </c>
      <c r="O3948" t="n">
        <v>0</v>
      </c>
      <c r="P3948" t="n">
        <v>0</v>
      </c>
      <c r="Q3948" t="n">
        <v>0</v>
      </c>
      <c r="R3948" s="2" t="inlineStr"/>
    </row>
    <row r="3949" ht="15" customHeight="1">
      <c r="A3949" t="inlineStr">
        <is>
          <t>A 27120-2023</t>
        </is>
      </c>
      <c r="B3949" s="1" t="n">
        <v>45096.44828703703</v>
      </c>
      <c r="C3949" s="1" t="n">
        <v>45952</v>
      </c>
      <c r="D3949" t="inlineStr">
        <is>
          <t>VÄSTRA GÖTALANDS LÄN</t>
        </is>
      </c>
      <c r="E3949" t="inlineStr">
        <is>
          <t>SKARA</t>
        </is>
      </c>
      <c r="G3949" t="n">
        <v>1</v>
      </c>
      <c r="H3949" t="n">
        <v>0</v>
      </c>
      <c r="I3949" t="n">
        <v>0</v>
      </c>
      <c r="J3949" t="n">
        <v>0</v>
      </c>
      <c r="K3949" t="n">
        <v>0</v>
      </c>
      <c r="L3949" t="n">
        <v>0</v>
      </c>
      <c r="M3949" t="n">
        <v>0</v>
      </c>
      <c r="N3949" t="n">
        <v>0</v>
      </c>
      <c r="O3949" t="n">
        <v>0</v>
      </c>
      <c r="P3949" t="n">
        <v>0</v>
      </c>
      <c r="Q3949" t="n">
        <v>0</v>
      </c>
      <c r="R3949" s="2" t="inlineStr"/>
    </row>
    <row r="3950" ht="15" customHeight="1">
      <c r="A3950" t="inlineStr">
        <is>
          <t>A 20280-2023</t>
        </is>
      </c>
      <c r="B3950" s="1" t="n">
        <v>45056</v>
      </c>
      <c r="C3950" s="1" t="n">
        <v>45952</v>
      </c>
      <c r="D3950" t="inlineStr">
        <is>
          <t>VÄSTRA GÖTALANDS LÄN</t>
        </is>
      </c>
      <c r="E3950" t="inlineStr">
        <is>
          <t>VÄNERSBORG</t>
        </is>
      </c>
      <c r="G3950" t="n">
        <v>2</v>
      </c>
      <c r="H3950" t="n">
        <v>0</v>
      </c>
      <c r="I3950" t="n">
        <v>0</v>
      </c>
      <c r="J3950" t="n">
        <v>0</v>
      </c>
      <c r="K3950" t="n">
        <v>0</v>
      </c>
      <c r="L3950" t="n">
        <v>0</v>
      </c>
      <c r="M3950" t="n">
        <v>0</v>
      </c>
      <c r="N3950" t="n">
        <v>0</v>
      </c>
      <c r="O3950" t="n">
        <v>0</v>
      </c>
      <c r="P3950" t="n">
        <v>0</v>
      </c>
      <c r="Q3950" t="n">
        <v>0</v>
      </c>
      <c r="R3950" s="2" t="inlineStr"/>
    </row>
    <row r="3951" ht="15" customHeight="1">
      <c r="A3951" t="inlineStr">
        <is>
          <t>A 16479-2021</t>
        </is>
      </c>
      <c r="B3951" s="1" t="n">
        <v>44293.554375</v>
      </c>
      <c r="C3951" s="1" t="n">
        <v>45952</v>
      </c>
      <c r="D3951" t="inlineStr">
        <is>
          <t>VÄSTRA GÖTALANDS LÄN</t>
        </is>
      </c>
      <c r="E3951" t="inlineStr">
        <is>
          <t>TANUM</t>
        </is>
      </c>
      <c r="G3951" t="n">
        <v>1.1</v>
      </c>
      <c r="H3951" t="n">
        <v>0</v>
      </c>
      <c r="I3951" t="n">
        <v>0</v>
      </c>
      <c r="J3951" t="n">
        <v>0</v>
      </c>
      <c r="K3951" t="n">
        <v>0</v>
      </c>
      <c r="L3951" t="n">
        <v>0</v>
      </c>
      <c r="M3951" t="n">
        <v>0</v>
      </c>
      <c r="N3951" t="n">
        <v>0</v>
      </c>
      <c r="O3951" t="n">
        <v>0</v>
      </c>
      <c r="P3951" t="n">
        <v>0</v>
      </c>
      <c r="Q3951" t="n">
        <v>0</v>
      </c>
      <c r="R3951" s="2" t="inlineStr"/>
    </row>
    <row r="3952" ht="15" customHeight="1">
      <c r="A3952" t="inlineStr">
        <is>
          <t>A 13422-2025</t>
        </is>
      </c>
      <c r="B3952" s="1" t="n">
        <v>45736.32023148148</v>
      </c>
      <c r="C3952" s="1" t="n">
        <v>45952</v>
      </c>
      <c r="D3952" t="inlineStr">
        <is>
          <t>VÄSTRA GÖTALANDS LÄN</t>
        </is>
      </c>
      <c r="E3952" t="inlineStr">
        <is>
          <t>SKÖVDE</t>
        </is>
      </c>
      <c r="G3952" t="n">
        <v>1.7</v>
      </c>
      <c r="H3952" t="n">
        <v>0</v>
      </c>
      <c r="I3952" t="n">
        <v>0</v>
      </c>
      <c r="J3952" t="n">
        <v>0</v>
      </c>
      <c r="K3952" t="n">
        <v>0</v>
      </c>
      <c r="L3952" t="n">
        <v>0</v>
      </c>
      <c r="M3952" t="n">
        <v>0</v>
      </c>
      <c r="N3952" t="n">
        <v>0</v>
      </c>
      <c r="O3952" t="n">
        <v>0</v>
      </c>
      <c r="P3952" t="n">
        <v>0</v>
      </c>
      <c r="Q3952" t="n">
        <v>0</v>
      </c>
      <c r="R3952" s="2" t="inlineStr"/>
    </row>
    <row r="3953" ht="15" customHeight="1">
      <c r="A3953" t="inlineStr">
        <is>
          <t>A 23353-2022</t>
        </is>
      </c>
      <c r="B3953" s="1" t="n">
        <v>44720</v>
      </c>
      <c r="C3953" s="1" t="n">
        <v>45952</v>
      </c>
      <c r="D3953" t="inlineStr">
        <is>
          <t>VÄSTRA GÖTALANDS LÄN</t>
        </is>
      </c>
      <c r="E3953" t="inlineStr">
        <is>
          <t>TIDAHOLM</t>
        </is>
      </c>
      <c r="G3953" t="n">
        <v>0.9</v>
      </c>
      <c r="H3953" t="n">
        <v>0</v>
      </c>
      <c r="I3953" t="n">
        <v>0</v>
      </c>
      <c r="J3953" t="n">
        <v>0</v>
      </c>
      <c r="K3953" t="n">
        <v>0</v>
      </c>
      <c r="L3953" t="n">
        <v>0</v>
      </c>
      <c r="M3953" t="n">
        <v>0</v>
      </c>
      <c r="N3953" t="n">
        <v>0</v>
      </c>
      <c r="O3953" t="n">
        <v>0</v>
      </c>
      <c r="P3953" t="n">
        <v>0</v>
      </c>
      <c r="Q3953" t="n">
        <v>0</v>
      </c>
      <c r="R3953" s="2" t="inlineStr"/>
    </row>
    <row r="3954" ht="15" customHeight="1">
      <c r="A3954" t="inlineStr">
        <is>
          <t>A 13073-2025</t>
        </is>
      </c>
      <c r="B3954" s="1" t="n">
        <v>45734.61699074074</v>
      </c>
      <c r="C3954" s="1" t="n">
        <v>45952</v>
      </c>
      <c r="D3954" t="inlineStr">
        <is>
          <t>VÄSTRA GÖTALANDS LÄN</t>
        </is>
      </c>
      <c r="E3954" t="inlineStr">
        <is>
          <t>MELLERUD</t>
        </is>
      </c>
      <c r="G3954" t="n">
        <v>3.4</v>
      </c>
      <c r="H3954" t="n">
        <v>0</v>
      </c>
      <c r="I3954" t="n">
        <v>0</v>
      </c>
      <c r="J3954" t="n">
        <v>0</v>
      </c>
      <c r="K3954" t="n">
        <v>0</v>
      </c>
      <c r="L3954" t="n">
        <v>0</v>
      </c>
      <c r="M3954" t="n">
        <v>0</v>
      </c>
      <c r="N3954" t="n">
        <v>0</v>
      </c>
      <c r="O3954" t="n">
        <v>0</v>
      </c>
      <c r="P3954" t="n">
        <v>0</v>
      </c>
      <c r="Q3954" t="n">
        <v>0</v>
      </c>
      <c r="R3954" s="2" t="inlineStr"/>
    </row>
    <row r="3955" ht="15" customHeight="1">
      <c r="A3955" t="inlineStr">
        <is>
          <t>A 46037-2024</t>
        </is>
      </c>
      <c r="B3955" s="1" t="n">
        <v>45580.72895833333</v>
      </c>
      <c r="C3955" s="1" t="n">
        <v>45952</v>
      </c>
      <c r="D3955" t="inlineStr">
        <is>
          <t>VÄSTRA GÖTALANDS LÄN</t>
        </is>
      </c>
      <c r="E3955" t="inlineStr">
        <is>
          <t>TIDAHOLM</t>
        </is>
      </c>
      <c r="G3955" t="n">
        <v>0.5</v>
      </c>
      <c r="H3955" t="n">
        <v>0</v>
      </c>
      <c r="I3955" t="n">
        <v>0</v>
      </c>
      <c r="J3955" t="n">
        <v>0</v>
      </c>
      <c r="K3955" t="n">
        <v>0</v>
      </c>
      <c r="L3955" t="n">
        <v>0</v>
      </c>
      <c r="M3955" t="n">
        <v>0</v>
      </c>
      <c r="N3955" t="n">
        <v>0</v>
      </c>
      <c r="O3955" t="n">
        <v>0</v>
      </c>
      <c r="P3955" t="n">
        <v>0</v>
      </c>
      <c r="Q3955" t="n">
        <v>0</v>
      </c>
      <c r="R3955" s="2" t="inlineStr"/>
    </row>
    <row r="3956" ht="15" customHeight="1">
      <c r="A3956" t="inlineStr">
        <is>
          <t>A 45902-2024</t>
        </is>
      </c>
      <c r="B3956" s="1" t="n">
        <v>45580.4344212963</v>
      </c>
      <c r="C3956" s="1" t="n">
        <v>45952</v>
      </c>
      <c r="D3956" t="inlineStr">
        <is>
          <t>VÄSTRA GÖTALANDS LÄN</t>
        </is>
      </c>
      <c r="E3956" t="inlineStr">
        <is>
          <t>UDDEVALLA</t>
        </is>
      </c>
      <c r="G3956" t="n">
        <v>3.6</v>
      </c>
      <c r="H3956" t="n">
        <v>0</v>
      </c>
      <c r="I3956" t="n">
        <v>0</v>
      </c>
      <c r="J3956" t="n">
        <v>0</v>
      </c>
      <c r="K3956" t="n">
        <v>0</v>
      </c>
      <c r="L3956" t="n">
        <v>0</v>
      </c>
      <c r="M3956" t="n">
        <v>0</v>
      </c>
      <c r="N3956" t="n">
        <v>0</v>
      </c>
      <c r="O3956" t="n">
        <v>0</v>
      </c>
      <c r="P3956" t="n">
        <v>0</v>
      </c>
      <c r="Q3956" t="n">
        <v>0</v>
      </c>
      <c r="R3956" s="2" t="inlineStr"/>
    </row>
    <row r="3957" ht="15" customHeight="1">
      <c r="A3957" t="inlineStr">
        <is>
          <t>A 9716-2025</t>
        </is>
      </c>
      <c r="B3957" s="1" t="n">
        <v>45716.39700231481</v>
      </c>
      <c r="C3957" s="1" t="n">
        <v>45952</v>
      </c>
      <c r="D3957" t="inlineStr">
        <is>
          <t>VÄSTRA GÖTALANDS LÄN</t>
        </is>
      </c>
      <c r="E3957" t="inlineStr">
        <is>
          <t>BENGTSFORS</t>
        </is>
      </c>
      <c r="G3957" t="n">
        <v>1</v>
      </c>
      <c r="H3957" t="n">
        <v>0</v>
      </c>
      <c r="I3957" t="n">
        <v>0</v>
      </c>
      <c r="J3957" t="n">
        <v>0</v>
      </c>
      <c r="K3957" t="n">
        <v>0</v>
      </c>
      <c r="L3957" t="n">
        <v>0</v>
      </c>
      <c r="M3957" t="n">
        <v>0</v>
      </c>
      <c r="N3957" t="n">
        <v>0</v>
      </c>
      <c r="O3957" t="n">
        <v>0</v>
      </c>
      <c r="P3957" t="n">
        <v>0</v>
      </c>
      <c r="Q3957" t="n">
        <v>0</v>
      </c>
      <c r="R3957" s="2" t="inlineStr"/>
    </row>
    <row r="3958" ht="15" customHeight="1">
      <c r="A3958" t="inlineStr">
        <is>
          <t>A 36894-2024</t>
        </is>
      </c>
      <c r="B3958" s="1" t="n">
        <v>45538</v>
      </c>
      <c r="C3958" s="1" t="n">
        <v>45952</v>
      </c>
      <c r="D3958" t="inlineStr">
        <is>
          <t>VÄSTRA GÖTALANDS LÄN</t>
        </is>
      </c>
      <c r="E3958" t="inlineStr">
        <is>
          <t>GULLSPÅNG</t>
        </is>
      </c>
      <c r="G3958" t="n">
        <v>0.7</v>
      </c>
      <c r="H3958" t="n">
        <v>0</v>
      </c>
      <c r="I3958" t="n">
        <v>0</v>
      </c>
      <c r="J3958" t="n">
        <v>0</v>
      </c>
      <c r="K3958" t="n">
        <v>0</v>
      </c>
      <c r="L3958" t="n">
        <v>0</v>
      </c>
      <c r="M3958" t="n">
        <v>0</v>
      </c>
      <c r="N3958" t="n">
        <v>0</v>
      </c>
      <c r="O3958" t="n">
        <v>0</v>
      </c>
      <c r="P3958" t="n">
        <v>0</v>
      </c>
      <c r="Q3958" t="n">
        <v>0</v>
      </c>
      <c r="R3958" s="2" t="inlineStr"/>
    </row>
    <row r="3959" ht="15" customHeight="1">
      <c r="A3959" t="inlineStr">
        <is>
          <t>A 62586-2023</t>
        </is>
      </c>
      <c r="B3959" s="1" t="n">
        <v>45270.77712962963</v>
      </c>
      <c r="C3959" s="1" t="n">
        <v>45952</v>
      </c>
      <c r="D3959" t="inlineStr">
        <is>
          <t>VÄSTRA GÖTALANDS LÄN</t>
        </is>
      </c>
      <c r="E3959" t="inlineStr">
        <is>
          <t>TRANEMO</t>
        </is>
      </c>
      <c r="G3959" t="n">
        <v>1.7</v>
      </c>
      <c r="H3959" t="n">
        <v>0</v>
      </c>
      <c r="I3959" t="n">
        <v>0</v>
      </c>
      <c r="J3959" t="n">
        <v>0</v>
      </c>
      <c r="K3959" t="n">
        <v>0</v>
      </c>
      <c r="L3959" t="n">
        <v>0</v>
      </c>
      <c r="M3959" t="n">
        <v>0</v>
      </c>
      <c r="N3959" t="n">
        <v>0</v>
      </c>
      <c r="O3959" t="n">
        <v>0</v>
      </c>
      <c r="P3959" t="n">
        <v>0</v>
      </c>
      <c r="Q3959" t="n">
        <v>0</v>
      </c>
      <c r="R3959" s="2" t="inlineStr"/>
    </row>
    <row r="3960" ht="15" customHeight="1">
      <c r="A3960" t="inlineStr">
        <is>
          <t>A 58590-2024</t>
        </is>
      </c>
      <c r="B3960" s="1" t="n">
        <v>45632</v>
      </c>
      <c r="C3960" s="1" t="n">
        <v>45952</v>
      </c>
      <c r="D3960" t="inlineStr">
        <is>
          <t>VÄSTRA GÖTALANDS LÄN</t>
        </is>
      </c>
      <c r="E3960" t="inlineStr">
        <is>
          <t>DALS-ED</t>
        </is>
      </c>
      <c r="G3960" t="n">
        <v>1.7</v>
      </c>
      <c r="H3960" t="n">
        <v>0</v>
      </c>
      <c r="I3960" t="n">
        <v>0</v>
      </c>
      <c r="J3960" t="n">
        <v>0</v>
      </c>
      <c r="K3960" t="n">
        <v>0</v>
      </c>
      <c r="L3960" t="n">
        <v>0</v>
      </c>
      <c r="M3960" t="n">
        <v>0</v>
      </c>
      <c r="N3960" t="n">
        <v>0</v>
      </c>
      <c r="O3960" t="n">
        <v>0</v>
      </c>
      <c r="P3960" t="n">
        <v>0</v>
      </c>
      <c r="Q3960" t="n">
        <v>0</v>
      </c>
      <c r="R3960" s="2" t="inlineStr"/>
    </row>
    <row r="3961" ht="15" customHeight="1">
      <c r="A3961" t="inlineStr">
        <is>
          <t>A 58681-2024</t>
        </is>
      </c>
      <c r="B3961" s="1" t="n">
        <v>45635.61482638889</v>
      </c>
      <c r="C3961" s="1" t="n">
        <v>45952</v>
      </c>
      <c r="D3961" t="inlineStr">
        <is>
          <t>VÄSTRA GÖTALANDS LÄN</t>
        </is>
      </c>
      <c r="E3961" t="inlineStr">
        <is>
          <t>TANUM</t>
        </is>
      </c>
      <c r="G3961" t="n">
        <v>0.8</v>
      </c>
      <c r="H3961" t="n">
        <v>0</v>
      </c>
      <c r="I3961" t="n">
        <v>0</v>
      </c>
      <c r="J3961" t="n">
        <v>0</v>
      </c>
      <c r="K3961" t="n">
        <v>0</v>
      </c>
      <c r="L3961" t="n">
        <v>0</v>
      </c>
      <c r="M3961" t="n">
        <v>0</v>
      </c>
      <c r="N3961" t="n">
        <v>0</v>
      </c>
      <c r="O3961" t="n">
        <v>0</v>
      </c>
      <c r="P3961" t="n">
        <v>0</v>
      </c>
      <c r="Q3961" t="n">
        <v>0</v>
      </c>
      <c r="R3961" s="2" t="inlineStr"/>
    </row>
    <row r="3962" ht="15" customHeight="1">
      <c r="A3962" t="inlineStr">
        <is>
          <t>A 27823-2023</t>
        </is>
      </c>
      <c r="B3962" s="1" t="n">
        <v>45098.5205787037</v>
      </c>
      <c r="C3962" s="1" t="n">
        <v>45952</v>
      </c>
      <c r="D3962" t="inlineStr">
        <is>
          <t>VÄSTRA GÖTALANDS LÄN</t>
        </is>
      </c>
      <c r="E3962" t="inlineStr">
        <is>
          <t>KARLSBORG</t>
        </is>
      </c>
      <c r="G3962" t="n">
        <v>6.5</v>
      </c>
      <c r="H3962" t="n">
        <v>0</v>
      </c>
      <c r="I3962" t="n">
        <v>0</v>
      </c>
      <c r="J3962" t="n">
        <v>0</v>
      </c>
      <c r="K3962" t="n">
        <v>0</v>
      </c>
      <c r="L3962" t="n">
        <v>0</v>
      </c>
      <c r="M3962" t="n">
        <v>0</v>
      </c>
      <c r="N3962" t="n">
        <v>0</v>
      </c>
      <c r="O3962" t="n">
        <v>0</v>
      </c>
      <c r="P3962" t="n">
        <v>0</v>
      </c>
      <c r="Q3962" t="n">
        <v>0</v>
      </c>
      <c r="R3962" s="2" t="inlineStr"/>
    </row>
    <row r="3963" ht="15" customHeight="1">
      <c r="A3963" t="inlineStr">
        <is>
          <t>A 20089-2025</t>
        </is>
      </c>
      <c r="B3963" s="1" t="n">
        <v>45771</v>
      </c>
      <c r="C3963" s="1" t="n">
        <v>45952</v>
      </c>
      <c r="D3963" t="inlineStr">
        <is>
          <t>VÄSTRA GÖTALANDS LÄN</t>
        </is>
      </c>
      <c r="E3963" t="inlineStr">
        <is>
          <t>ORUST</t>
        </is>
      </c>
      <c r="G3963" t="n">
        <v>2.6</v>
      </c>
      <c r="H3963" t="n">
        <v>0</v>
      </c>
      <c r="I3963" t="n">
        <v>0</v>
      </c>
      <c r="J3963" t="n">
        <v>0</v>
      </c>
      <c r="K3963" t="n">
        <v>0</v>
      </c>
      <c r="L3963" t="n">
        <v>0</v>
      </c>
      <c r="M3963" t="n">
        <v>0</v>
      </c>
      <c r="N3963" t="n">
        <v>0</v>
      </c>
      <c r="O3963" t="n">
        <v>0</v>
      </c>
      <c r="P3963" t="n">
        <v>0</v>
      </c>
      <c r="Q3963" t="n">
        <v>0</v>
      </c>
      <c r="R3963" s="2" t="inlineStr"/>
    </row>
    <row r="3964" ht="15" customHeight="1">
      <c r="A3964" t="inlineStr">
        <is>
          <t>A 8373-2022</t>
        </is>
      </c>
      <c r="B3964" s="1" t="n">
        <v>44610</v>
      </c>
      <c r="C3964" s="1" t="n">
        <v>45952</v>
      </c>
      <c r="D3964" t="inlineStr">
        <is>
          <t>VÄSTRA GÖTALANDS LÄN</t>
        </is>
      </c>
      <c r="E3964" t="inlineStr">
        <is>
          <t>TIDAHOLM</t>
        </is>
      </c>
      <c r="G3964" t="n">
        <v>1.9</v>
      </c>
      <c r="H3964" t="n">
        <v>0</v>
      </c>
      <c r="I3964" t="n">
        <v>0</v>
      </c>
      <c r="J3964" t="n">
        <v>0</v>
      </c>
      <c r="K3964" t="n">
        <v>0</v>
      </c>
      <c r="L3964" t="n">
        <v>0</v>
      </c>
      <c r="M3964" t="n">
        <v>0</v>
      </c>
      <c r="N3964" t="n">
        <v>0</v>
      </c>
      <c r="O3964" t="n">
        <v>0</v>
      </c>
      <c r="P3964" t="n">
        <v>0</v>
      </c>
      <c r="Q3964" t="n">
        <v>0</v>
      </c>
      <c r="R3964" s="2" t="inlineStr"/>
    </row>
    <row r="3965" ht="15" customHeight="1">
      <c r="A3965" t="inlineStr">
        <is>
          <t>A 15311-2025</t>
        </is>
      </c>
      <c r="B3965" s="1" t="n">
        <v>45746.8065625</v>
      </c>
      <c r="C3965" s="1" t="n">
        <v>45952</v>
      </c>
      <c r="D3965" t="inlineStr">
        <is>
          <t>VÄSTRA GÖTALANDS LÄN</t>
        </is>
      </c>
      <c r="E3965" t="inlineStr">
        <is>
          <t>TRANEMO</t>
        </is>
      </c>
      <c r="G3965" t="n">
        <v>5.1</v>
      </c>
      <c r="H3965" t="n">
        <v>0</v>
      </c>
      <c r="I3965" t="n">
        <v>0</v>
      </c>
      <c r="J3965" t="n">
        <v>0</v>
      </c>
      <c r="K3965" t="n">
        <v>0</v>
      </c>
      <c r="L3965" t="n">
        <v>0</v>
      </c>
      <c r="M3965" t="n">
        <v>0</v>
      </c>
      <c r="N3965" t="n">
        <v>0</v>
      </c>
      <c r="O3965" t="n">
        <v>0</v>
      </c>
      <c r="P3965" t="n">
        <v>0</v>
      </c>
      <c r="Q3965" t="n">
        <v>0</v>
      </c>
      <c r="R3965" s="2" t="inlineStr"/>
    </row>
    <row r="3966" ht="15" customHeight="1">
      <c r="A3966" t="inlineStr">
        <is>
          <t>A 10902-2024</t>
        </is>
      </c>
      <c r="B3966" s="1" t="n">
        <v>45370.37342592593</v>
      </c>
      <c r="C3966" s="1" t="n">
        <v>45952</v>
      </c>
      <c r="D3966" t="inlineStr">
        <is>
          <t>VÄSTRA GÖTALANDS LÄN</t>
        </is>
      </c>
      <c r="E3966" t="inlineStr">
        <is>
          <t>MARK</t>
        </is>
      </c>
      <c r="G3966" t="n">
        <v>1.4</v>
      </c>
      <c r="H3966" t="n">
        <v>0</v>
      </c>
      <c r="I3966" t="n">
        <v>0</v>
      </c>
      <c r="J3966" t="n">
        <v>0</v>
      </c>
      <c r="K3966" t="n">
        <v>0</v>
      </c>
      <c r="L3966" t="n">
        <v>0</v>
      </c>
      <c r="M3966" t="n">
        <v>0</v>
      </c>
      <c r="N3966" t="n">
        <v>0</v>
      </c>
      <c r="O3966" t="n">
        <v>0</v>
      </c>
      <c r="P3966" t="n">
        <v>0</v>
      </c>
      <c r="Q3966" t="n">
        <v>0</v>
      </c>
      <c r="R3966" s="2" t="inlineStr"/>
    </row>
    <row r="3967" ht="15" customHeight="1">
      <c r="A3967" t="inlineStr">
        <is>
          <t>A 10929-2024</t>
        </is>
      </c>
      <c r="B3967" s="1" t="n">
        <v>45370.43350694444</v>
      </c>
      <c r="C3967" s="1" t="n">
        <v>45952</v>
      </c>
      <c r="D3967" t="inlineStr">
        <is>
          <t>VÄSTRA GÖTALANDS LÄN</t>
        </is>
      </c>
      <c r="E3967" t="inlineStr">
        <is>
          <t>FALKÖPING</t>
        </is>
      </c>
      <c r="G3967" t="n">
        <v>1.8</v>
      </c>
      <c r="H3967" t="n">
        <v>0</v>
      </c>
      <c r="I3967" t="n">
        <v>0</v>
      </c>
      <c r="J3967" t="n">
        <v>0</v>
      </c>
      <c r="K3967" t="n">
        <v>0</v>
      </c>
      <c r="L3967" t="n">
        <v>0</v>
      </c>
      <c r="M3967" t="n">
        <v>0</v>
      </c>
      <c r="N3967" t="n">
        <v>0</v>
      </c>
      <c r="O3967" t="n">
        <v>0</v>
      </c>
      <c r="P3967" t="n">
        <v>0</v>
      </c>
      <c r="Q3967" t="n">
        <v>0</v>
      </c>
      <c r="R3967" s="2" t="inlineStr"/>
    </row>
    <row r="3968" ht="15" customHeight="1">
      <c r="A3968" t="inlineStr">
        <is>
          <t>A 20123-2025</t>
        </is>
      </c>
      <c r="B3968" s="1" t="n">
        <v>45772.49256944445</v>
      </c>
      <c r="C3968" s="1" t="n">
        <v>45952</v>
      </c>
      <c r="D3968" t="inlineStr">
        <is>
          <t>VÄSTRA GÖTALANDS LÄN</t>
        </is>
      </c>
      <c r="E3968" t="inlineStr">
        <is>
          <t>ALINGSÅS</t>
        </is>
      </c>
      <c r="G3968" t="n">
        <v>1.4</v>
      </c>
      <c r="H3968" t="n">
        <v>0</v>
      </c>
      <c r="I3968" t="n">
        <v>0</v>
      </c>
      <c r="J3968" t="n">
        <v>0</v>
      </c>
      <c r="K3968" t="n">
        <v>0</v>
      </c>
      <c r="L3968" t="n">
        <v>0</v>
      </c>
      <c r="M3968" t="n">
        <v>0</v>
      </c>
      <c r="N3968" t="n">
        <v>0</v>
      </c>
      <c r="O3968" t="n">
        <v>0</v>
      </c>
      <c r="P3968" t="n">
        <v>0</v>
      </c>
      <c r="Q3968" t="n">
        <v>0</v>
      </c>
      <c r="R3968" s="2" t="inlineStr"/>
    </row>
    <row r="3969" ht="15" customHeight="1">
      <c r="A3969" t="inlineStr">
        <is>
          <t>A 25429-2022</t>
        </is>
      </c>
      <c r="B3969" s="1" t="n">
        <v>44732.47703703704</v>
      </c>
      <c r="C3969" s="1" t="n">
        <v>45952</v>
      </c>
      <c r="D3969" t="inlineStr">
        <is>
          <t>VÄSTRA GÖTALANDS LÄN</t>
        </is>
      </c>
      <c r="E3969" t="inlineStr">
        <is>
          <t>TRANEMO</t>
        </is>
      </c>
      <c r="G3969" t="n">
        <v>1.1</v>
      </c>
      <c r="H3969" t="n">
        <v>0</v>
      </c>
      <c r="I3969" t="n">
        <v>0</v>
      </c>
      <c r="J3969" t="n">
        <v>0</v>
      </c>
      <c r="K3969" t="n">
        <v>0</v>
      </c>
      <c r="L3969" t="n">
        <v>0</v>
      </c>
      <c r="M3969" t="n">
        <v>0</v>
      </c>
      <c r="N3969" t="n">
        <v>0</v>
      </c>
      <c r="O3969" t="n">
        <v>0</v>
      </c>
      <c r="P3969" t="n">
        <v>0</v>
      </c>
      <c r="Q3969" t="n">
        <v>0</v>
      </c>
      <c r="R3969" s="2" t="inlineStr"/>
    </row>
    <row r="3970" ht="15" customHeight="1">
      <c r="A3970" t="inlineStr">
        <is>
          <t>A 2979-2025</t>
        </is>
      </c>
      <c r="B3970" s="1" t="n">
        <v>45678.48315972222</v>
      </c>
      <c r="C3970" s="1" t="n">
        <v>45952</v>
      </c>
      <c r="D3970" t="inlineStr">
        <is>
          <t>VÄSTRA GÖTALANDS LÄN</t>
        </is>
      </c>
      <c r="E3970" t="inlineStr">
        <is>
          <t>SVENLJUNGA</t>
        </is>
      </c>
      <c r="G3970" t="n">
        <v>1</v>
      </c>
      <c r="H3970" t="n">
        <v>0</v>
      </c>
      <c r="I3970" t="n">
        <v>0</v>
      </c>
      <c r="J3970" t="n">
        <v>0</v>
      </c>
      <c r="K3970" t="n">
        <v>0</v>
      </c>
      <c r="L3970" t="n">
        <v>0</v>
      </c>
      <c r="M3970" t="n">
        <v>0</v>
      </c>
      <c r="N3970" t="n">
        <v>0</v>
      </c>
      <c r="O3970" t="n">
        <v>0</v>
      </c>
      <c r="P3970" t="n">
        <v>0</v>
      </c>
      <c r="Q3970" t="n">
        <v>0</v>
      </c>
      <c r="R3970" s="2" t="inlineStr"/>
    </row>
    <row r="3971" ht="15" customHeight="1">
      <c r="A3971" t="inlineStr">
        <is>
          <t>A 2982-2025</t>
        </is>
      </c>
      <c r="B3971" s="1" t="n">
        <v>45678.51011574074</v>
      </c>
      <c r="C3971" s="1" t="n">
        <v>45952</v>
      </c>
      <c r="D3971" t="inlineStr">
        <is>
          <t>VÄSTRA GÖTALANDS LÄN</t>
        </is>
      </c>
      <c r="E3971" t="inlineStr">
        <is>
          <t>STRÖMSTAD</t>
        </is>
      </c>
      <c r="G3971" t="n">
        <v>1</v>
      </c>
      <c r="H3971" t="n">
        <v>0</v>
      </c>
      <c r="I3971" t="n">
        <v>0</v>
      </c>
      <c r="J3971" t="n">
        <v>0</v>
      </c>
      <c r="K3971" t="n">
        <v>0</v>
      </c>
      <c r="L3971" t="n">
        <v>0</v>
      </c>
      <c r="M3971" t="n">
        <v>0</v>
      </c>
      <c r="N3971" t="n">
        <v>0</v>
      </c>
      <c r="O3971" t="n">
        <v>0</v>
      </c>
      <c r="P3971" t="n">
        <v>0</v>
      </c>
      <c r="Q3971" t="n">
        <v>0</v>
      </c>
      <c r="R3971" s="2" t="inlineStr"/>
    </row>
    <row r="3972" ht="15" customHeight="1">
      <c r="A3972" t="inlineStr">
        <is>
          <t>A 17985-2022</t>
        </is>
      </c>
      <c r="B3972" s="1" t="n">
        <v>44683</v>
      </c>
      <c r="C3972" s="1" t="n">
        <v>45952</v>
      </c>
      <c r="D3972" t="inlineStr">
        <is>
          <t>VÄSTRA GÖTALANDS LÄN</t>
        </is>
      </c>
      <c r="E3972" t="inlineStr">
        <is>
          <t>VÄNERSBORG</t>
        </is>
      </c>
      <c r="G3972" t="n">
        <v>10</v>
      </c>
      <c r="H3972" t="n">
        <v>0</v>
      </c>
      <c r="I3972" t="n">
        <v>0</v>
      </c>
      <c r="J3972" t="n">
        <v>0</v>
      </c>
      <c r="K3972" t="n">
        <v>0</v>
      </c>
      <c r="L3972" t="n">
        <v>0</v>
      </c>
      <c r="M3972" t="n">
        <v>0</v>
      </c>
      <c r="N3972" t="n">
        <v>0</v>
      </c>
      <c r="O3972" t="n">
        <v>0</v>
      </c>
      <c r="P3972" t="n">
        <v>0</v>
      </c>
      <c r="Q3972" t="n">
        <v>0</v>
      </c>
      <c r="R3972" s="2" t="inlineStr"/>
    </row>
    <row r="3973" ht="15" customHeight="1">
      <c r="A3973" t="inlineStr">
        <is>
          <t>A 51162-2023</t>
        </is>
      </c>
      <c r="B3973" s="1" t="n">
        <v>45219</v>
      </c>
      <c r="C3973" s="1" t="n">
        <v>45952</v>
      </c>
      <c r="D3973" t="inlineStr">
        <is>
          <t>VÄSTRA GÖTALANDS LÄN</t>
        </is>
      </c>
      <c r="E3973" t="inlineStr">
        <is>
          <t>HÄRRYDA</t>
        </is>
      </c>
      <c r="G3973" t="n">
        <v>0.6</v>
      </c>
      <c r="H3973" t="n">
        <v>0</v>
      </c>
      <c r="I3973" t="n">
        <v>0</v>
      </c>
      <c r="J3973" t="n">
        <v>0</v>
      </c>
      <c r="K3973" t="n">
        <v>0</v>
      </c>
      <c r="L3973" t="n">
        <v>0</v>
      </c>
      <c r="M3973" t="n">
        <v>0</v>
      </c>
      <c r="N3973" t="n">
        <v>0</v>
      </c>
      <c r="O3973" t="n">
        <v>0</v>
      </c>
      <c r="P3973" t="n">
        <v>0</v>
      </c>
      <c r="Q3973" t="n">
        <v>0</v>
      </c>
      <c r="R3973" s="2" t="inlineStr"/>
    </row>
    <row r="3974" ht="15" customHeight="1">
      <c r="A3974" t="inlineStr">
        <is>
          <t>A 27836-2023</t>
        </is>
      </c>
      <c r="B3974" s="1" t="n">
        <v>45098.5433912037</v>
      </c>
      <c r="C3974" s="1" t="n">
        <v>45952</v>
      </c>
      <c r="D3974" t="inlineStr">
        <is>
          <t>VÄSTRA GÖTALANDS LÄN</t>
        </is>
      </c>
      <c r="E3974" t="inlineStr">
        <is>
          <t>ÅMÅL</t>
        </is>
      </c>
      <c r="G3974" t="n">
        <v>1.2</v>
      </c>
      <c r="H3974" t="n">
        <v>0</v>
      </c>
      <c r="I3974" t="n">
        <v>0</v>
      </c>
      <c r="J3974" t="n">
        <v>0</v>
      </c>
      <c r="K3974" t="n">
        <v>0</v>
      </c>
      <c r="L3974" t="n">
        <v>0</v>
      </c>
      <c r="M3974" t="n">
        <v>0</v>
      </c>
      <c r="N3974" t="n">
        <v>0</v>
      </c>
      <c r="O3974" t="n">
        <v>0</v>
      </c>
      <c r="P3974" t="n">
        <v>0</v>
      </c>
      <c r="Q3974" t="n">
        <v>0</v>
      </c>
      <c r="R3974" s="2" t="inlineStr"/>
    </row>
    <row r="3975" ht="15" customHeight="1">
      <c r="A3975" t="inlineStr">
        <is>
          <t>A 9907-2022</t>
        </is>
      </c>
      <c r="B3975" s="1" t="n">
        <v>44620</v>
      </c>
      <c r="C3975" s="1" t="n">
        <v>45952</v>
      </c>
      <c r="D3975" t="inlineStr">
        <is>
          <t>VÄSTRA GÖTALANDS LÄN</t>
        </is>
      </c>
      <c r="E3975" t="inlineStr">
        <is>
          <t>BENGTSFORS</t>
        </is>
      </c>
      <c r="G3975" t="n">
        <v>2.5</v>
      </c>
      <c r="H3975" t="n">
        <v>0</v>
      </c>
      <c r="I3975" t="n">
        <v>0</v>
      </c>
      <c r="J3975" t="n">
        <v>0</v>
      </c>
      <c r="K3975" t="n">
        <v>0</v>
      </c>
      <c r="L3975" t="n">
        <v>0</v>
      </c>
      <c r="M3975" t="n">
        <v>0</v>
      </c>
      <c r="N3975" t="n">
        <v>0</v>
      </c>
      <c r="O3975" t="n">
        <v>0</v>
      </c>
      <c r="P3975" t="n">
        <v>0</v>
      </c>
      <c r="Q3975" t="n">
        <v>0</v>
      </c>
      <c r="R3975" s="2" t="inlineStr"/>
    </row>
    <row r="3976" ht="15" customHeight="1">
      <c r="A3976" t="inlineStr">
        <is>
          <t>A 33921-2023</t>
        </is>
      </c>
      <c r="B3976" s="1" t="n">
        <v>45134.47034722222</v>
      </c>
      <c r="C3976" s="1" t="n">
        <v>45952</v>
      </c>
      <c r="D3976" t="inlineStr">
        <is>
          <t>VÄSTRA GÖTALANDS LÄN</t>
        </is>
      </c>
      <c r="E3976" t="inlineStr">
        <is>
          <t>VÄNERSBORG</t>
        </is>
      </c>
      <c r="G3976" t="n">
        <v>2.4</v>
      </c>
      <c r="H3976" t="n">
        <v>0</v>
      </c>
      <c r="I3976" t="n">
        <v>0</v>
      </c>
      <c r="J3976" t="n">
        <v>0</v>
      </c>
      <c r="K3976" t="n">
        <v>0</v>
      </c>
      <c r="L3976" t="n">
        <v>0</v>
      </c>
      <c r="M3976" t="n">
        <v>0</v>
      </c>
      <c r="N3976" t="n">
        <v>0</v>
      </c>
      <c r="O3976" t="n">
        <v>0</v>
      </c>
      <c r="P3976" t="n">
        <v>0</v>
      </c>
      <c r="Q3976" t="n">
        <v>0</v>
      </c>
      <c r="R3976" s="2" t="inlineStr"/>
    </row>
    <row r="3977" ht="15" customHeight="1">
      <c r="A3977" t="inlineStr">
        <is>
          <t>A 36120-2021</t>
        </is>
      </c>
      <c r="B3977" s="1" t="n">
        <v>44389</v>
      </c>
      <c r="C3977" s="1" t="n">
        <v>45952</v>
      </c>
      <c r="D3977" t="inlineStr">
        <is>
          <t>VÄSTRA GÖTALANDS LÄN</t>
        </is>
      </c>
      <c r="E3977" t="inlineStr">
        <is>
          <t>ALINGSÅS</t>
        </is>
      </c>
      <c r="F3977" t="inlineStr">
        <is>
          <t>Allmännings- och besparingsskogar</t>
        </is>
      </c>
      <c r="G3977" t="n">
        <v>4.1</v>
      </c>
      <c r="H3977" t="n">
        <v>0</v>
      </c>
      <c r="I3977" t="n">
        <v>0</v>
      </c>
      <c r="J3977" t="n">
        <v>0</v>
      </c>
      <c r="K3977" t="n">
        <v>0</v>
      </c>
      <c r="L3977" t="n">
        <v>0</v>
      </c>
      <c r="M3977" t="n">
        <v>0</v>
      </c>
      <c r="N3977" t="n">
        <v>0</v>
      </c>
      <c r="O3977" t="n">
        <v>0</v>
      </c>
      <c r="P3977" t="n">
        <v>0</v>
      </c>
      <c r="Q3977" t="n">
        <v>0</v>
      </c>
      <c r="R3977" s="2" t="inlineStr"/>
    </row>
    <row r="3978" ht="15" customHeight="1">
      <c r="A3978" t="inlineStr">
        <is>
          <t>A 54144-2022</t>
        </is>
      </c>
      <c r="B3978" s="1" t="n">
        <v>44881</v>
      </c>
      <c r="C3978" s="1" t="n">
        <v>45952</v>
      </c>
      <c r="D3978" t="inlineStr">
        <is>
          <t>VÄSTRA GÖTALANDS LÄN</t>
        </is>
      </c>
      <c r="E3978" t="inlineStr">
        <is>
          <t>BOLLEBYGD</t>
        </is>
      </c>
      <c r="G3978" t="n">
        <v>0.4</v>
      </c>
      <c r="H3978" t="n">
        <v>0</v>
      </c>
      <c r="I3978" t="n">
        <v>0</v>
      </c>
      <c r="J3978" t="n">
        <v>0</v>
      </c>
      <c r="K3978" t="n">
        <v>0</v>
      </c>
      <c r="L3978" t="n">
        <v>0</v>
      </c>
      <c r="M3978" t="n">
        <v>0</v>
      </c>
      <c r="N3978" t="n">
        <v>0</v>
      </c>
      <c r="O3978" t="n">
        <v>0</v>
      </c>
      <c r="P3978" t="n">
        <v>0</v>
      </c>
      <c r="Q3978" t="n">
        <v>0</v>
      </c>
      <c r="R3978" s="2" t="inlineStr"/>
    </row>
    <row r="3979" ht="15" customHeight="1">
      <c r="A3979" t="inlineStr">
        <is>
          <t>A 64058-2023</t>
        </is>
      </c>
      <c r="B3979" s="1" t="n">
        <v>45279.35271990741</v>
      </c>
      <c r="C3979" s="1" t="n">
        <v>45952</v>
      </c>
      <c r="D3979" t="inlineStr">
        <is>
          <t>VÄSTRA GÖTALANDS LÄN</t>
        </is>
      </c>
      <c r="E3979" t="inlineStr">
        <is>
          <t>ALINGSÅS</t>
        </is>
      </c>
      <c r="F3979" t="inlineStr">
        <is>
          <t>Kommuner</t>
        </is>
      </c>
      <c r="G3979" t="n">
        <v>1</v>
      </c>
      <c r="H3979" t="n">
        <v>0</v>
      </c>
      <c r="I3979" t="n">
        <v>0</v>
      </c>
      <c r="J3979" t="n">
        <v>0</v>
      </c>
      <c r="K3979" t="n">
        <v>0</v>
      </c>
      <c r="L3979" t="n">
        <v>0</v>
      </c>
      <c r="M3979" t="n">
        <v>0</v>
      </c>
      <c r="N3979" t="n">
        <v>0</v>
      </c>
      <c r="O3979" t="n">
        <v>0</v>
      </c>
      <c r="P3979" t="n">
        <v>0</v>
      </c>
      <c r="Q3979" t="n">
        <v>0</v>
      </c>
      <c r="R3979" s="2" t="inlineStr"/>
    </row>
    <row r="3980" ht="15" customHeight="1">
      <c r="A3980" t="inlineStr">
        <is>
          <t>A 1937-2025</t>
        </is>
      </c>
      <c r="B3980" s="1" t="n">
        <v>45671.91678240741</v>
      </c>
      <c r="C3980" s="1" t="n">
        <v>45952</v>
      </c>
      <c r="D3980" t="inlineStr">
        <is>
          <t>VÄSTRA GÖTALANDS LÄN</t>
        </is>
      </c>
      <c r="E3980" t="inlineStr">
        <is>
          <t>ALINGSÅS</t>
        </is>
      </c>
      <c r="F3980" t="inlineStr">
        <is>
          <t>Kyrkan</t>
        </is>
      </c>
      <c r="G3980" t="n">
        <v>7.6</v>
      </c>
      <c r="H3980" t="n">
        <v>0</v>
      </c>
      <c r="I3980" t="n">
        <v>0</v>
      </c>
      <c r="J3980" t="n">
        <v>0</v>
      </c>
      <c r="K3980" t="n">
        <v>0</v>
      </c>
      <c r="L3980" t="n">
        <v>0</v>
      </c>
      <c r="M3980" t="n">
        <v>0</v>
      </c>
      <c r="N3980" t="n">
        <v>0</v>
      </c>
      <c r="O3980" t="n">
        <v>0</v>
      </c>
      <c r="P3980" t="n">
        <v>0</v>
      </c>
      <c r="Q3980" t="n">
        <v>0</v>
      </c>
      <c r="R3980" s="2" t="inlineStr"/>
    </row>
    <row r="3981" ht="15" customHeight="1">
      <c r="A3981" t="inlineStr">
        <is>
          <t>A 38663-2025</t>
        </is>
      </c>
      <c r="B3981" s="1" t="n">
        <v>45884.6134375</v>
      </c>
      <c r="C3981" s="1" t="n">
        <v>45952</v>
      </c>
      <c r="D3981" t="inlineStr">
        <is>
          <t>VÄSTRA GÖTALANDS LÄN</t>
        </is>
      </c>
      <c r="E3981" t="inlineStr">
        <is>
          <t>MELLERUD</t>
        </is>
      </c>
      <c r="G3981" t="n">
        <v>4.2</v>
      </c>
      <c r="H3981" t="n">
        <v>0</v>
      </c>
      <c r="I3981" t="n">
        <v>0</v>
      </c>
      <c r="J3981" t="n">
        <v>0</v>
      </c>
      <c r="K3981" t="n">
        <v>0</v>
      </c>
      <c r="L3981" t="n">
        <v>0</v>
      </c>
      <c r="M3981" t="n">
        <v>0</v>
      </c>
      <c r="N3981" t="n">
        <v>0</v>
      </c>
      <c r="O3981" t="n">
        <v>0</v>
      </c>
      <c r="P3981" t="n">
        <v>0</v>
      </c>
      <c r="Q3981" t="n">
        <v>0</v>
      </c>
      <c r="R3981" s="2" t="inlineStr"/>
    </row>
    <row r="3982" ht="15" customHeight="1">
      <c r="A3982" t="inlineStr">
        <is>
          <t>A 60267-2024</t>
        </is>
      </c>
      <c r="B3982" s="1" t="n">
        <v>45642.86611111111</v>
      </c>
      <c r="C3982" s="1" t="n">
        <v>45952</v>
      </c>
      <c r="D3982" t="inlineStr">
        <is>
          <t>VÄSTRA GÖTALANDS LÄN</t>
        </is>
      </c>
      <c r="E3982" t="inlineStr">
        <is>
          <t>TÖREBODA</t>
        </is>
      </c>
      <c r="G3982" t="n">
        <v>1</v>
      </c>
      <c r="H3982" t="n">
        <v>0</v>
      </c>
      <c r="I3982" t="n">
        <v>0</v>
      </c>
      <c r="J3982" t="n">
        <v>0</v>
      </c>
      <c r="K3982" t="n">
        <v>0</v>
      </c>
      <c r="L3982" t="n">
        <v>0</v>
      </c>
      <c r="M3982" t="n">
        <v>0</v>
      </c>
      <c r="N3982" t="n">
        <v>0</v>
      </c>
      <c r="O3982" t="n">
        <v>0</v>
      </c>
      <c r="P3982" t="n">
        <v>0</v>
      </c>
      <c r="Q3982" t="n">
        <v>0</v>
      </c>
      <c r="R3982" s="2" t="inlineStr"/>
    </row>
    <row r="3983" ht="15" customHeight="1">
      <c r="A3983" t="inlineStr">
        <is>
          <t>A 49389-2023</t>
        </is>
      </c>
      <c r="B3983" s="1" t="n">
        <v>45211</v>
      </c>
      <c r="C3983" s="1" t="n">
        <v>45952</v>
      </c>
      <c r="D3983" t="inlineStr">
        <is>
          <t>VÄSTRA GÖTALANDS LÄN</t>
        </is>
      </c>
      <c r="E3983" t="inlineStr">
        <is>
          <t>MARIESTAD</t>
        </is>
      </c>
      <c r="G3983" t="n">
        <v>1.9</v>
      </c>
      <c r="H3983" t="n">
        <v>0</v>
      </c>
      <c r="I3983" t="n">
        <v>0</v>
      </c>
      <c r="J3983" t="n">
        <v>0</v>
      </c>
      <c r="K3983" t="n">
        <v>0</v>
      </c>
      <c r="L3983" t="n">
        <v>0</v>
      </c>
      <c r="M3983" t="n">
        <v>0</v>
      </c>
      <c r="N3983" t="n">
        <v>0</v>
      </c>
      <c r="O3983" t="n">
        <v>0</v>
      </c>
      <c r="P3983" t="n">
        <v>0</v>
      </c>
      <c r="Q3983" t="n">
        <v>0</v>
      </c>
      <c r="R3983" s="2" t="inlineStr"/>
    </row>
    <row r="3984" ht="15" customHeight="1">
      <c r="A3984" t="inlineStr">
        <is>
          <t>A 49416-2023</t>
        </is>
      </c>
      <c r="B3984" s="1" t="n">
        <v>45211.44688657407</v>
      </c>
      <c r="C3984" s="1" t="n">
        <v>45952</v>
      </c>
      <c r="D3984" t="inlineStr">
        <is>
          <t>VÄSTRA GÖTALANDS LÄN</t>
        </is>
      </c>
      <c r="E3984" t="inlineStr">
        <is>
          <t>SKÖVDE</t>
        </is>
      </c>
      <c r="G3984" t="n">
        <v>3.6</v>
      </c>
      <c r="H3984" t="n">
        <v>0</v>
      </c>
      <c r="I3984" t="n">
        <v>0</v>
      </c>
      <c r="J3984" t="n">
        <v>0</v>
      </c>
      <c r="K3984" t="n">
        <v>0</v>
      </c>
      <c r="L3984" t="n">
        <v>0</v>
      </c>
      <c r="M3984" t="n">
        <v>0</v>
      </c>
      <c r="N3984" t="n">
        <v>0</v>
      </c>
      <c r="O3984" t="n">
        <v>0</v>
      </c>
      <c r="P3984" t="n">
        <v>0</v>
      </c>
      <c r="Q3984" t="n">
        <v>0</v>
      </c>
      <c r="R3984" s="2" t="inlineStr"/>
    </row>
    <row r="3985" ht="15" customHeight="1">
      <c r="A3985" t="inlineStr">
        <is>
          <t>A 10583-2022</t>
        </is>
      </c>
      <c r="B3985" s="1" t="n">
        <v>44624</v>
      </c>
      <c r="C3985" s="1" t="n">
        <v>45952</v>
      </c>
      <c r="D3985" t="inlineStr">
        <is>
          <t>VÄSTRA GÖTALANDS LÄN</t>
        </is>
      </c>
      <c r="E3985" t="inlineStr">
        <is>
          <t>MARK</t>
        </is>
      </c>
      <c r="G3985" t="n">
        <v>0.6</v>
      </c>
      <c r="H3985" t="n">
        <v>0</v>
      </c>
      <c r="I3985" t="n">
        <v>0</v>
      </c>
      <c r="J3985" t="n">
        <v>0</v>
      </c>
      <c r="K3985" t="n">
        <v>0</v>
      </c>
      <c r="L3985" t="n">
        <v>0</v>
      </c>
      <c r="M3985" t="n">
        <v>0</v>
      </c>
      <c r="N3985" t="n">
        <v>0</v>
      </c>
      <c r="O3985" t="n">
        <v>0</v>
      </c>
      <c r="P3985" t="n">
        <v>0</v>
      </c>
      <c r="Q3985" t="n">
        <v>0</v>
      </c>
      <c r="R3985" s="2" t="inlineStr"/>
    </row>
    <row r="3986" ht="15" customHeight="1">
      <c r="A3986" t="inlineStr">
        <is>
          <t>A 7986-2023</t>
        </is>
      </c>
      <c r="B3986" s="1" t="n">
        <v>44970</v>
      </c>
      <c r="C3986" s="1" t="n">
        <v>45952</v>
      </c>
      <c r="D3986" t="inlineStr">
        <is>
          <t>VÄSTRA GÖTALANDS LÄN</t>
        </is>
      </c>
      <c r="E3986" t="inlineStr">
        <is>
          <t>DALS-ED</t>
        </is>
      </c>
      <c r="F3986" t="inlineStr">
        <is>
          <t>Kyrkan</t>
        </is>
      </c>
      <c r="G3986" t="n">
        <v>1.2</v>
      </c>
      <c r="H3986" t="n">
        <v>0</v>
      </c>
      <c r="I3986" t="n">
        <v>0</v>
      </c>
      <c r="J3986" t="n">
        <v>0</v>
      </c>
      <c r="K3986" t="n">
        <v>0</v>
      </c>
      <c r="L3986" t="n">
        <v>0</v>
      </c>
      <c r="M3986" t="n">
        <v>0</v>
      </c>
      <c r="N3986" t="n">
        <v>0</v>
      </c>
      <c r="O3986" t="n">
        <v>0</v>
      </c>
      <c r="P3986" t="n">
        <v>0</v>
      </c>
      <c r="Q3986" t="n">
        <v>0</v>
      </c>
      <c r="R3986" s="2" t="inlineStr"/>
    </row>
    <row r="3987" ht="15" customHeight="1">
      <c r="A3987" t="inlineStr">
        <is>
          <t>A 11771-2024</t>
        </is>
      </c>
      <c r="B3987" s="1" t="n">
        <v>45373</v>
      </c>
      <c r="C3987" s="1" t="n">
        <v>45952</v>
      </c>
      <c r="D3987" t="inlineStr">
        <is>
          <t>VÄSTRA GÖTALANDS LÄN</t>
        </is>
      </c>
      <c r="E3987" t="inlineStr">
        <is>
          <t>GÖTENE</t>
        </is>
      </c>
      <c r="G3987" t="n">
        <v>3</v>
      </c>
      <c r="H3987" t="n">
        <v>0</v>
      </c>
      <c r="I3987" t="n">
        <v>0</v>
      </c>
      <c r="J3987" t="n">
        <v>0</v>
      </c>
      <c r="K3987" t="n">
        <v>0</v>
      </c>
      <c r="L3987" t="n">
        <v>0</v>
      </c>
      <c r="M3987" t="n">
        <v>0</v>
      </c>
      <c r="N3987" t="n">
        <v>0</v>
      </c>
      <c r="O3987" t="n">
        <v>0</v>
      </c>
      <c r="P3987" t="n">
        <v>0</v>
      </c>
      <c r="Q3987" t="n">
        <v>0</v>
      </c>
      <c r="R3987" s="2" t="inlineStr"/>
    </row>
    <row r="3988" ht="15" customHeight="1">
      <c r="A3988" t="inlineStr">
        <is>
          <t>A 9390-2023</t>
        </is>
      </c>
      <c r="B3988" s="1" t="n">
        <v>44981</v>
      </c>
      <c r="C3988" s="1" t="n">
        <v>45952</v>
      </c>
      <c r="D3988" t="inlineStr">
        <is>
          <t>VÄSTRA GÖTALANDS LÄN</t>
        </is>
      </c>
      <c r="E3988" t="inlineStr">
        <is>
          <t>SVENLJUNGA</t>
        </is>
      </c>
      <c r="G3988" t="n">
        <v>2.7</v>
      </c>
      <c r="H3988" t="n">
        <v>0</v>
      </c>
      <c r="I3988" t="n">
        <v>0</v>
      </c>
      <c r="J3988" t="n">
        <v>0</v>
      </c>
      <c r="K3988" t="n">
        <v>0</v>
      </c>
      <c r="L3988" t="n">
        <v>0</v>
      </c>
      <c r="M3988" t="n">
        <v>0</v>
      </c>
      <c r="N3988" t="n">
        <v>0</v>
      </c>
      <c r="O3988" t="n">
        <v>0</v>
      </c>
      <c r="P3988" t="n">
        <v>0</v>
      </c>
      <c r="Q3988" t="n">
        <v>0</v>
      </c>
      <c r="R3988" s="2" t="inlineStr"/>
    </row>
    <row r="3989" ht="15" customHeight="1">
      <c r="A3989" t="inlineStr">
        <is>
          <t>A 42822-2021</t>
        </is>
      </c>
      <c r="B3989" s="1" t="n">
        <v>44430</v>
      </c>
      <c r="C3989" s="1" t="n">
        <v>45952</v>
      </c>
      <c r="D3989" t="inlineStr">
        <is>
          <t>VÄSTRA GÖTALANDS LÄN</t>
        </is>
      </c>
      <c r="E3989" t="inlineStr">
        <is>
          <t>MARK</t>
        </is>
      </c>
      <c r="G3989" t="n">
        <v>1.5</v>
      </c>
      <c r="H3989" t="n">
        <v>0</v>
      </c>
      <c r="I3989" t="n">
        <v>0</v>
      </c>
      <c r="J3989" t="n">
        <v>0</v>
      </c>
      <c r="K3989" t="n">
        <v>0</v>
      </c>
      <c r="L3989" t="n">
        <v>0</v>
      </c>
      <c r="M3989" t="n">
        <v>0</v>
      </c>
      <c r="N3989" t="n">
        <v>0</v>
      </c>
      <c r="O3989" t="n">
        <v>0</v>
      </c>
      <c r="P3989" t="n">
        <v>0</v>
      </c>
      <c r="Q3989" t="n">
        <v>0</v>
      </c>
      <c r="R3989" s="2" t="inlineStr"/>
    </row>
    <row r="3990" ht="15" customHeight="1">
      <c r="A3990" t="inlineStr">
        <is>
          <t>A 9486-2023</t>
        </is>
      </c>
      <c r="B3990" s="1" t="n">
        <v>44977</v>
      </c>
      <c r="C3990" s="1" t="n">
        <v>45952</v>
      </c>
      <c r="D3990" t="inlineStr">
        <is>
          <t>VÄSTRA GÖTALANDS LÄN</t>
        </is>
      </c>
      <c r="E3990" t="inlineStr">
        <is>
          <t>GULLSPÅNG</t>
        </is>
      </c>
      <c r="G3990" t="n">
        <v>3</v>
      </c>
      <c r="H3990" t="n">
        <v>0</v>
      </c>
      <c r="I3990" t="n">
        <v>0</v>
      </c>
      <c r="J3990" t="n">
        <v>0</v>
      </c>
      <c r="K3990" t="n">
        <v>0</v>
      </c>
      <c r="L3990" t="n">
        <v>0</v>
      </c>
      <c r="M3990" t="n">
        <v>0</v>
      </c>
      <c r="N3990" t="n">
        <v>0</v>
      </c>
      <c r="O3990" t="n">
        <v>0</v>
      </c>
      <c r="P3990" t="n">
        <v>0</v>
      </c>
      <c r="Q3990" t="n">
        <v>0</v>
      </c>
      <c r="R3990" s="2" t="inlineStr"/>
    </row>
    <row r="3991" ht="15" customHeight="1">
      <c r="A3991" t="inlineStr">
        <is>
          <t>A 52918-2023</t>
        </is>
      </c>
      <c r="B3991" s="1" t="n">
        <v>45226.52905092593</v>
      </c>
      <c r="C3991" s="1" t="n">
        <v>45952</v>
      </c>
      <c r="D3991" t="inlineStr">
        <is>
          <t>VÄSTRA GÖTALANDS LÄN</t>
        </is>
      </c>
      <c r="E3991" t="inlineStr">
        <is>
          <t>VARA</t>
        </is>
      </c>
      <c r="G3991" t="n">
        <v>0.5</v>
      </c>
      <c r="H3991" t="n">
        <v>0</v>
      </c>
      <c r="I3991" t="n">
        <v>0</v>
      </c>
      <c r="J3991" t="n">
        <v>0</v>
      </c>
      <c r="K3991" t="n">
        <v>0</v>
      </c>
      <c r="L3991" t="n">
        <v>0</v>
      </c>
      <c r="M3991" t="n">
        <v>0</v>
      </c>
      <c r="N3991" t="n">
        <v>0</v>
      </c>
      <c r="O3991" t="n">
        <v>0</v>
      </c>
      <c r="P3991" t="n">
        <v>0</v>
      </c>
      <c r="Q3991" t="n">
        <v>0</v>
      </c>
      <c r="R3991" s="2" t="inlineStr"/>
    </row>
    <row r="3992" ht="15" customHeight="1">
      <c r="A3992" t="inlineStr">
        <is>
          <t>A 62269-2023</t>
        </is>
      </c>
      <c r="B3992" s="1" t="n">
        <v>45267.63450231482</v>
      </c>
      <c r="C3992" s="1" t="n">
        <v>45952</v>
      </c>
      <c r="D3992" t="inlineStr">
        <is>
          <t>VÄSTRA GÖTALANDS LÄN</t>
        </is>
      </c>
      <c r="E3992" t="inlineStr">
        <is>
          <t>SKÖVDE</t>
        </is>
      </c>
      <c r="G3992" t="n">
        <v>1.4</v>
      </c>
      <c r="H3992" t="n">
        <v>0</v>
      </c>
      <c r="I3992" t="n">
        <v>0</v>
      </c>
      <c r="J3992" t="n">
        <v>0</v>
      </c>
      <c r="K3992" t="n">
        <v>0</v>
      </c>
      <c r="L3992" t="n">
        <v>0</v>
      </c>
      <c r="M3992" t="n">
        <v>0</v>
      </c>
      <c r="N3992" t="n">
        <v>0</v>
      </c>
      <c r="O3992" t="n">
        <v>0</v>
      </c>
      <c r="P3992" t="n">
        <v>0</v>
      </c>
      <c r="Q3992" t="n">
        <v>0</v>
      </c>
      <c r="R3992" s="2" t="inlineStr"/>
    </row>
    <row r="3993" ht="15" customHeight="1">
      <c r="A3993" t="inlineStr">
        <is>
          <t>A 37370-2024</t>
        </is>
      </c>
      <c r="B3993" s="1" t="n">
        <v>45540.56581018519</v>
      </c>
      <c r="C3993" s="1" t="n">
        <v>45952</v>
      </c>
      <c r="D3993" t="inlineStr">
        <is>
          <t>VÄSTRA GÖTALANDS LÄN</t>
        </is>
      </c>
      <c r="E3993" t="inlineStr">
        <is>
          <t>MARK</t>
        </is>
      </c>
      <c r="G3993" t="n">
        <v>0.8</v>
      </c>
      <c r="H3993" t="n">
        <v>0</v>
      </c>
      <c r="I3993" t="n">
        <v>0</v>
      </c>
      <c r="J3993" t="n">
        <v>0</v>
      </c>
      <c r="K3993" t="n">
        <v>0</v>
      </c>
      <c r="L3993" t="n">
        <v>0</v>
      </c>
      <c r="M3993" t="n">
        <v>0</v>
      </c>
      <c r="N3993" t="n">
        <v>0</v>
      </c>
      <c r="O3993" t="n">
        <v>0</v>
      </c>
      <c r="P3993" t="n">
        <v>0</v>
      </c>
      <c r="Q3993" t="n">
        <v>0</v>
      </c>
      <c r="R3993" s="2" t="inlineStr"/>
    </row>
    <row r="3994" ht="15" customHeight="1">
      <c r="A3994" t="inlineStr">
        <is>
          <t>A 9581-2025</t>
        </is>
      </c>
      <c r="B3994" s="1" t="n">
        <v>45715.63009259259</v>
      </c>
      <c r="C3994" s="1" t="n">
        <v>45952</v>
      </c>
      <c r="D3994" t="inlineStr">
        <is>
          <t>VÄSTRA GÖTALANDS LÄN</t>
        </is>
      </c>
      <c r="E3994" t="inlineStr">
        <is>
          <t>ULRICEHAMN</t>
        </is>
      </c>
      <c r="F3994" t="inlineStr">
        <is>
          <t>Sveaskog</t>
        </is>
      </c>
      <c r="G3994" t="n">
        <v>0.7</v>
      </c>
      <c r="H3994" t="n">
        <v>0</v>
      </c>
      <c r="I3994" t="n">
        <v>0</v>
      </c>
      <c r="J3994" t="n">
        <v>0</v>
      </c>
      <c r="K3994" t="n">
        <v>0</v>
      </c>
      <c r="L3994" t="n">
        <v>0</v>
      </c>
      <c r="M3994" t="n">
        <v>0</v>
      </c>
      <c r="N3994" t="n">
        <v>0</v>
      </c>
      <c r="O3994" t="n">
        <v>0</v>
      </c>
      <c r="P3994" t="n">
        <v>0</v>
      </c>
      <c r="Q3994" t="n">
        <v>0</v>
      </c>
      <c r="R3994" s="2" t="inlineStr"/>
    </row>
    <row r="3995" ht="15" customHeight="1">
      <c r="A3995" t="inlineStr">
        <is>
          <t>A 56782-2022</t>
        </is>
      </c>
      <c r="B3995" s="1" t="n">
        <v>44894.39475694444</v>
      </c>
      <c r="C3995" s="1" t="n">
        <v>45952</v>
      </c>
      <c r="D3995" t="inlineStr">
        <is>
          <t>VÄSTRA GÖTALANDS LÄN</t>
        </is>
      </c>
      <c r="E3995" t="inlineStr">
        <is>
          <t>KUNGÄLV</t>
        </is>
      </c>
      <c r="G3995" t="n">
        <v>0.5</v>
      </c>
      <c r="H3995" t="n">
        <v>0</v>
      </c>
      <c r="I3995" t="n">
        <v>0</v>
      </c>
      <c r="J3995" t="n">
        <v>0</v>
      </c>
      <c r="K3995" t="n">
        <v>0</v>
      </c>
      <c r="L3995" t="n">
        <v>0</v>
      </c>
      <c r="M3995" t="n">
        <v>0</v>
      </c>
      <c r="N3995" t="n">
        <v>0</v>
      </c>
      <c r="O3995" t="n">
        <v>0</v>
      </c>
      <c r="P3995" t="n">
        <v>0</v>
      </c>
      <c r="Q3995" t="n">
        <v>0</v>
      </c>
      <c r="R3995" s="2" t="inlineStr"/>
    </row>
    <row r="3996" ht="15" customHeight="1">
      <c r="A3996" t="inlineStr">
        <is>
          <t>A 58417-2024</t>
        </is>
      </c>
      <c r="B3996" s="1" t="n">
        <v>45634.83702546296</v>
      </c>
      <c r="C3996" s="1" t="n">
        <v>45952</v>
      </c>
      <c r="D3996" t="inlineStr">
        <is>
          <t>VÄSTRA GÖTALANDS LÄN</t>
        </is>
      </c>
      <c r="E3996" t="inlineStr">
        <is>
          <t>GÖTENE</t>
        </is>
      </c>
      <c r="F3996" t="inlineStr">
        <is>
          <t>Kommuner</t>
        </is>
      </c>
      <c r="G3996" t="n">
        <v>0.5</v>
      </c>
      <c r="H3996" t="n">
        <v>0</v>
      </c>
      <c r="I3996" t="n">
        <v>0</v>
      </c>
      <c r="J3996" t="n">
        <v>0</v>
      </c>
      <c r="K3996" t="n">
        <v>0</v>
      </c>
      <c r="L3996" t="n">
        <v>0</v>
      </c>
      <c r="M3996" t="n">
        <v>0</v>
      </c>
      <c r="N3996" t="n">
        <v>0</v>
      </c>
      <c r="O3996" t="n">
        <v>0</v>
      </c>
      <c r="P3996" t="n">
        <v>0</v>
      </c>
      <c r="Q3996" t="n">
        <v>0</v>
      </c>
      <c r="R3996" s="2" t="inlineStr"/>
    </row>
    <row r="3997" ht="15" customHeight="1">
      <c r="A3997" t="inlineStr">
        <is>
          <t>A 61302-2024</t>
        </is>
      </c>
      <c r="B3997" s="1" t="n">
        <v>45645.90855324074</v>
      </c>
      <c r="C3997" s="1" t="n">
        <v>45952</v>
      </c>
      <c r="D3997" t="inlineStr">
        <is>
          <t>VÄSTRA GÖTALANDS LÄN</t>
        </is>
      </c>
      <c r="E3997" t="inlineStr">
        <is>
          <t>ORUST</t>
        </is>
      </c>
      <c r="G3997" t="n">
        <v>2.6</v>
      </c>
      <c r="H3997" t="n">
        <v>0</v>
      </c>
      <c r="I3997" t="n">
        <v>0</v>
      </c>
      <c r="J3997" t="n">
        <v>0</v>
      </c>
      <c r="K3997" t="n">
        <v>0</v>
      </c>
      <c r="L3997" t="n">
        <v>0</v>
      </c>
      <c r="M3997" t="n">
        <v>0</v>
      </c>
      <c r="N3997" t="n">
        <v>0</v>
      </c>
      <c r="O3997" t="n">
        <v>0</v>
      </c>
      <c r="P3997" t="n">
        <v>0</v>
      </c>
      <c r="Q3997" t="n">
        <v>0</v>
      </c>
      <c r="R3997" s="2" t="inlineStr"/>
    </row>
    <row r="3998" ht="15" customHeight="1">
      <c r="A3998" t="inlineStr">
        <is>
          <t>A 9792-2021</t>
        </is>
      </c>
      <c r="B3998" s="1" t="n">
        <v>44252.68719907408</v>
      </c>
      <c r="C3998" s="1" t="n">
        <v>45952</v>
      </c>
      <c r="D3998" t="inlineStr">
        <is>
          <t>VÄSTRA GÖTALANDS LÄN</t>
        </is>
      </c>
      <c r="E3998" t="inlineStr">
        <is>
          <t>FÄRGELANDA</t>
        </is>
      </c>
      <c r="G3998" t="n">
        <v>1.5</v>
      </c>
      <c r="H3998" t="n">
        <v>0</v>
      </c>
      <c r="I3998" t="n">
        <v>0</v>
      </c>
      <c r="J3998" t="n">
        <v>0</v>
      </c>
      <c r="K3998" t="n">
        <v>0</v>
      </c>
      <c r="L3998" t="n">
        <v>0</v>
      </c>
      <c r="M3998" t="n">
        <v>0</v>
      </c>
      <c r="N3998" t="n">
        <v>0</v>
      </c>
      <c r="O3998" t="n">
        <v>0</v>
      </c>
      <c r="P3998" t="n">
        <v>0</v>
      </c>
      <c r="Q3998" t="n">
        <v>0</v>
      </c>
      <c r="R3998" s="2" t="inlineStr"/>
    </row>
    <row r="3999" ht="15" customHeight="1">
      <c r="A3999" t="inlineStr">
        <is>
          <t>A 55303-2022</t>
        </is>
      </c>
      <c r="B3999" s="1" t="n">
        <v>44887</v>
      </c>
      <c r="C3999" s="1" t="n">
        <v>45952</v>
      </c>
      <c r="D3999" t="inlineStr">
        <is>
          <t>VÄSTRA GÖTALANDS LÄN</t>
        </is>
      </c>
      <c r="E3999" t="inlineStr">
        <is>
          <t>TROLLHÄTTAN</t>
        </is>
      </c>
      <c r="G3999" t="n">
        <v>1.5</v>
      </c>
      <c r="H3999" t="n">
        <v>0</v>
      </c>
      <c r="I3999" t="n">
        <v>0</v>
      </c>
      <c r="J3999" t="n">
        <v>0</v>
      </c>
      <c r="K3999" t="n">
        <v>0</v>
      </c>
      <c r="L3999" t="n">
        <v>0</v>
      </c>
      <c r="M3999" t="n">
        <v>0</v>
      </c>
      <c r="N3999" t="n">
        <v>0</v>
      </c>
      <c r="O3999" t="n">
        <v>0</v>
      </c>
      <c r="P3999" t="n">
        <v>0</v>
      </c>
      <c r="Q3999" t="n">
        <v>0</v>
      </c>
      <c r="R3999" s="2" t="inlineStr"/>
    </row>
    <row r="4000" ht="15" customHeight="1">
      <c r="A4000" t="inlineStr">
        <is>
          <t>A 21902-2025</t>
        </is>
      </c>
      <c r="B4000" s="1" t="n">
        <v>45784.45983796296</v>
      </c>
      <c r="C4000" s="1" t="n">
        <v>45952</v>
      </c>
      <c r="D4000" t="inlineStr">
        <is>
          <t>VÄSTRA GÖTALANDS LÄN</t>
        </is>
      </c>
      <c r="E4000" t="inlineStr">
        <is>
          <t>BORÅS</t>
        </is>
      </c>
      <c r="G4000" t="n">
        <v>3.6</v>
      </c>
      <c r="H4000" t="n">
        <v>0</v>
      </c>
      <c r="I4000" t="n">
        <v>0</v>
      </c>
      <c r="J4000" t="n">
        <v>0</v>
      </c>
      <c r="K4000" t="n">
        <v>0</v>
      </c>
      <c r="L4000" t="n">
        <v>0</v>
      </c>
      <c r="M4000" t="n">
        <v>0</v>
      </c>
      <c r="N4000" t="n">
        <v>0</v>
      </c>
      <c r="O4000" t="n">
        <v>0</v>
      </c>
      <c r="P4000" t="n">
        <v>0</v>
      </c>
      <c r="Q4000" t="n">
        <v>0</v>
      </c>
      <c r="R4000" s="2" t="inlineStr"/>
    </row>
    <row r="4001" ht="15" customHeight="1">
      <c r="A4001" t="inlineStr">
        <is>
          <t>A 59644-2023</t>
        </is>
      </c>
      <c r="B4001" s="1" t="n">
        <v>45254</v>
      </c>
      <c r="C4001" s="1" t="n">
        <v>45952</v>
      </c>
      <c r="D4001" t="inlineStr">
        <is>
          <t>VÄSTRA GÖTALANDS LÄN</t>
        </is>
      </c>
      <c r="E4001" t="inlineStr">
        <is>
          <t>LIDKÖPING</t>
        </is>
      </c>
      <c r="G4001" t="n">
        <v>0.6</v>
      </c>
      <c r="H4001" t="n">
        <v>0</v>
      </c>
      <c r="I4001" t="n">
        <v>0</v>
      </c>
      <c r="J4001" t="n">
        <v>0</v>
      </c>
      <c r="K4001" t="n">
        <v>0</v>
      </c>
      <c r="L4001" t="n">
        <v>0</v>
      </c>
      <c r="M4001" t="n">
        <v>0</v>
      </c>
      <c r="N4001" t="n">
        <v>0</v>
      </c>
      <c r="O4001" t="n">
        <v>0</v>
      </c>
      <c r="P4001" t="n">
        <v>0</v>
      </c>
      <c r="Q4001" t="n">
        <v>0</v>
      </c>
      <c r="R4001" s="2" t="inlineStr"/>
    </row>
    <row r="4002" ht="15" customHeight="1">
      <c r="A4002" t="inlineStr">
        <is>
          <t>A 15521-2025</t>
        </is>
      </c>
      <c r="B4002" s="1" t="n">
        <v>45747</v>
      </c>
      <c r="C4002" s="1" t="n">
        <v>45952</v>
      </c>
      <c r="D4002" t="inlineStr">
        <is>
          <t>VÄSTRA GÖTALANDS LÄN</t>
        </is>
      </c>
      <c r="E4002" t="inlineStr">
        <is>
          <t>SVENLJUNGA</t>
        </is>
      </c>
      <c r="G4002" t="n">
        <v>1</v>
      </c>
      <c r="H4002" t="n">
        <v>0</v>
      </c>
      <c r="I4002" t="n">
        <v>0</v>
      </c>
      <c r="J4002" t="n">
        <v>0</v>
      </c>
      <c r="K4002" t="n">
        <v>0</v>
      </c>
      <c r="L4002" t="n">
        <v>0</v>
      </c>
      <c r="M4002" t="n">
        <v>0</v>
      </c>
      <c r="N4002" t="n">
        <v>0</v>
      </c>
      <c r="O4002" t="n">
        <v>0</v>
      </c>
      <c r="P4002" t="n">
        <v>0</v>
      </c>
      <c r="Q4002" t="n">
        <v>0</v>
      </c>
      <c r="R4002" s="2" t="inlineStr"/>
    </row>
    <row r="4003" ht="15" customHeight="1">
      <c r="A4003" t="inlineStr">
        <is>
          <t>A 15522-2025</t>
        </is>
      </c>
      <c r="B4003" s="1" t="n">
        <v>45747</v>
      </c>
      <c r="C4003" s="1" t="n">
        <v>45952</v>
      </c>
      <c r="D4003" t="inlineStr">
        <is>
          <t>VÄSTRA GÖTALANDS LÄN</t>
        </is>
      </c>
      <c r="E4003" t="inlineStr">
        <is>
          <t>SVENLJUNGA</t>
        </is>
      </c>
      <c r="G4003" t="n">
        <v>0.7</v>
      </c>
      <c r="H4003" t="n">
        <v>0</v>
      </c>
      <c r="I4003" t="n">
        <v>0</v>
      </c>
      <c r="J4003" t="n">
        <v>0</v>
      </c>
      <c r="K4003" t="n">
        <v>0</v>
      </c>
      <c r="L4003" t="n">
        <v>0</v>
      </c>
      <c r="M4003" t="n">
        <v>0</v>
      </c>
      <c r="N4003" t="n">
        <v>0</v>
      </c>
      <c r="O4003" t="n">
        <v>0</v>
      </c>
      <c r="P4003" t="n">
        <v>0</v>
      </c>
      <c r="Q4003" t="n">
        <v>0</v>
      </c>
      <c r="R4003" s="2" t="inlineStr"/>
    </row>
    <row r="4004" ht="15" customHeight="1">
      <c r="A4004" t="inlineStr">
        <is>
          <t>A 7414-2025</t>
        </is>
      </c>
      <c r="B4004" s="1" t="n">
        <v>45705.37196759259</v>
      </c>
      <c r="C4004" s="1" t="n">
        <v>45952</v>
      </c>
      <c r="D4004" t="inlineStr">
        <is>
          <t>VÄSTRA GÖTALANDS LÄN</t>
        </is>
      </c>
      <c r="E4004" t="inlineStr">
        <is>
          <t>HERRLJUNGA</t>
        </is>
      </c>
      <c r="G4004" t="n">
        <v>2</v>
      </c>
      <c r="H4004" t="n">
        <v>0</v>
      </c>
      <c r="I4004" t="n">
        <v>0</v>
      </c>
      <c r="J4004" t="n">
        <v>0</v>
      </c>
      <c r="K4004" t="n">
        <v>0</v>
      </c>
      <c r="L4004" t="n">
        <v>0</v>
      </c>
      <c r="M4004" t="n">
        <v>0</v>
      </c>
      <c r="N4004" t="n">
        <v>0</v>
      </c>
      <c r="O4004" t="n">
        <v>0</v>
      </c>
      <c r="P4004" t="n">
        <v>0</v>
      </c>
      <c r="Q4004" t="n">
        <v>0</v>
      </c>
      <c r="R4004" s="2" t="inlineStr"/>
    </row>
    <row r="4005" ht="15" customHeight="1">
      <c r="A4005" t="inlineStr">
        <is>
          <t>A 62055-2024</t>
        </is>
      </c>
      <c r="B4005" s="1" t="n">
        <v>45656.3703587963</v>
      </c>
      <c r="C4005" s="1" t="n">
        <v>45952</v>
      </c>
      <c r="D4005" t="inlineStr">
        <is>
          <t>VÄSTRA GÖTALANDS LÄN</t>
        </is>
      </c>
      <c r="E4005" t="inlineStr">
        <is>
          <t>UDDEVALLA</t>
        </is>
      </c>
      <c r="F4005" t="inlineStr">
        <is>
          <t>Kommuner</t>
        </is>
      </c>
      <c r="G4005" t="n">
        <v>3.6</v>
      </c>
      <c r="H4005" t="n">
        <v>0</v>
      </c>
      <c r="I4005" t="n">
        <v>0</v>
      </c>
      <c r="J4005" t="n">
        <v>0</v>
      </c>
      <c r="K4005" t="n">
        <v>0</v>
      </c>
      <c r="L4005" t="n">
        <v>0</v>
      </c>
      <c r="M4005" t="n">
        <v>0</v>
      </c>
      <c r="N4005" t="n">
        <v>0</v>
      </c>
      <c r="O4005" t="n">
        <v>0</v>
      </c>
      <c r="P4005" t="n">
        <v>0</v>
      </c>
      <c r="Q4005" t="n">
        <v>0</v>
      </c>
      <c r="R4005" s="2" t="inlineStr"/>
    </row>
    <row r="4006" ht="15" customHeight="1">
      <c r="A4006" t="inlineStr">
        <is>
          <t>A 28409-2024</t>
        </is>
      </c>
      <c r="B4006" s="1" t="n">
        <v>45477.62280092593</v>
      </c>
      <c r="C4006" s="1" t="n">
        <v>45952</v>
      </c>
      <c r="D4006" t="inlineStr">
        <is>
          <t>VÄSTRA GÖTALANDS LÄN</t>
        </is>
      </c>
      <c r="E4006" t="inlineStr">
        <is>
          <t>SOTENÄS</t>
        </is>
      </c>
      <c r="G4006" t="n">
        <v>0.4</v>
      </c>
      <c r="H4006" t="n">
        <v>0</v>
      </c>
      <c r="I4006" t="n">
        <v>0</v>
      </c>
      <c r="J4006" t="n">
        <v>0</v>
      </c>
      <c r="K4006" t="n">
        <v>0</v>
      </c>
      <c r="L4006" t="n">
        <v>0</v>
      </c>
      <c r="M4006" t="n">
        <v>0</v>
      </c>
      <c r="N4006" t="n">
        <v>0</v>
      </c>
      <c r="O4006" t="n">
        <v>0</v>
      </c>
      <c r="P4006" t="n">
        <v>0</v>
      </c>
      <c r="Q4006" t="n">
        <v>0</v>
      </c>
      <c r="R4006" s="2" t="inlineStr"/>
    </row>
    <row r="4007" ht="15" customHeight="1">
      <c r="A4007" t="inlineStr">
        <is>
          <t>A 5066-2022</t>
        </is>
      </c>
      <c r="B4007" s="1" t="n">
        <v>44593</v>
      </c>
      <c r="C4007" s="1" t="n">
        <v>45952</v>
      </c>
      <c r="D4007" t="inlineStr">
        <is>
          <t>VÄSTRA GÖTALANDS LÄN</t>
        </is>
      </c>
      <c r="E4007" t="inlineStr">
        <is>
          <t>ULRICEHAMN</t>
        </is>
      </c>
      <c r="G4007" t="n">
        <v>0.9</v>
      </c>
      <c r="H4007" t="n">
        <v>0</v>
      </c>
      <c r="I4007" t="n">
        <v>0</v>
      </c>
      <c r="J4007" t="n">
        <v>0</v>
      </c>
      <c r="K4007" t="n">
        <v>0</v>
      </c>
      <c r="L4007" t="n">
        <v>0</v>
      </c>
      <c r="M4007" t="n">
        <v>0</v>
      </c>
      <c r="N4007" t="n">
        <v>0</v>
      </c>
      <c r="O4007" t="n">
        <v>0</v>
      </c>
      <c r="P4007" t="n">
        <v>0</v>
      </c>
      <c r="Q4007" t="n">
        <v>0</v>
      </c>
      <c r="R4007" s="2" t="inlineStr"/>
    </row>
    <row r="4008" ht="15" customHeight="1">
      <c r="A4008" t="inlineStr">
        <is>
          <t>A 16381-2025</t>
        </is>
      </c>
      <c r="B4008" s="1" t="n">
        <v>45751.41517361111</v>
      </c>
      <c r="C4008" s="1" t="n">
        <v>45952</v>
      </c>
      <c r="D4008" t="inlineStr">
        <is>
          <t>VÄSTRA GÖTALANDS LÄN</t>
        </is>
      </c>
      <c r="E4008" t="inlineStr">
        <is>
          <t>SVENLJUNGA</t>
        </is>
      </c>
      <c r="G4008" t="n">
        <v>6.9</v>
      </c>
      <c r="H4008" t="n">
        <v>0</v>
      </c>
      <c r="I4008" t="n">
        <v>0</v>
      </c>
      <c r="J4008" t="n">
        <v>0</v>
      </c>
      <c r="K4008" t="n">
        <v>0</v>
      </c>
      <c r="L4008" t="n">
        <v>0</v>
      </c>
      <c r="M4008" t="n">
        <v>0</v>
      </c>
      <c r="N4008" t="n">
        <v>0</v>
      </c>
      <c r="O4008" t="n">
        <v>0</v>
      </c>
      <c r="P4008" t="n">
        <v>0</v>
      </c>
      <c r="Q4008" t="n">
        <v>0</v>
      </c>
      <c r="R4008" s="2" t="inlineStr"/>
    </row>
    <row r="4009" ht="15" customHeight="1">
      <c r="A4009" t="inlineStr">
        <is>
          <t>A 11268-2024</t>
        </is>
      </c>
      <c r="B4009" s="1" t="n">
        <v>45371.68351851852</v>
      </c>
      <c r="C4009" s="1" t="n">
        <v>45952</v>
      </c>
      <c r="D4009" t="inlineStr">
        <is>
          <t>VÄSTRA GÖTALANDS LÄN</t>
        </is>
      </c>
      <c r="E4009" t="inlineStr">
        <is>
          <t>MUNKEDAL</t>
        </is>
      </c>
      <c r="G4009" t="n">
        <v>4.1</v>
      </c>
      <c r="H4009" t="n">
        <v>0</v>
      </c>
      <c r="I4009" t="n">
        <v>0</v>
      </c>
      <c r="J4009" t="n">
        <v>0</v>
      </c>
      <c r="K4009" t="n">
        <v>0</v>
      </c>
      <c r="L4009" t="n">
        <v>0</v>
      </c>
      <c r="M4009" t="n">
        <v>0</v>
      </c>
      <c r="N4009" t="n">
        <v>0</v>
      </c>
      <c r="O4009" t="n">
        <v>0</v>
      </c>
      <c r="P4009" t="n">
        <v>0</v>
      </c>
      <c r="Q4009" t="n">
        <v>0</v>
      </c>
      <c r="R4009" s="2" t="inlineStr"/>
    </row>
    <row r="4010" ht="15" customHeight="1">
      <c r="A4010" t="inlineStr">
        <is>
          <t>A 44889-2022</t>
        </is>
      </c>
      <c r="B4010" s="1" t="n">
        <v>44841.49253472222</v>
      </c>
      <c r="C4010" s="1" t="n">
        <v>45952</v>
      </c>
      <c r="D4010" t="inlineStr">
        <is>
          <t>VÄSTRA GÖTALANDS LÄN</t>
        </is>
      </c>
      <c r="E4010" t="inlineStr">
        <is>
          <t>TANUM</t>
        </is>
      </c>
      <c r="G4010" t="n">
        <v>1</v>
      </c>
      <c r="H4010" t="n">
        <v>0</v>
      </c>
      <c r="I4010" t="n">
        <v>0</v>
      </c>
      <c r="J4010" t="n">
        <v>0</v>
      </c>
      <c r="K4010" t="n">
        <v>0</v>
      </c>
      <c r="L4010" t="n">
        <v>0</v>
      </c>
      <c r="M4010" t="n">
        <v>0</v>
      </c>
      <c r="N4010" t="n">
        <v>0</v>
      </c>
      <c r="O4010" t="n">
        <v>0</v>
      </c>
      <c r="P4010" t="n">
        <v>0</v>
      </c>
      <c r="Q4010" t="n">
        <v>0</v>
      </c>
      <c r="R4010" s="2" t="inlineStr"/>
    </row>
    <row r="4011" ht="15" customHeight="1">
      <c r="A4011" t="inlineStr">
        <is>
          <t>A 37149-2023</t>
        </is>
      </c>
      <c r="B4011" s="1" t="n">
        <v>45155</v>
      </c>
      <c r="C4011" s="1" t="n">
        <v>45952</v>
      </c>
      <c r="D4011" t="inlineStr">
        <is>
          <t>VÄSTRA GÖTALANDS LÄN</t>
        </is>
      </c>
      <c r="E4011" t="inlineStr">
        <is>
          <t>LYSEKIL</t>
        </is>
      </c>
      <c r="G4011" t="n">
        <v>1.5</v>
      </c>
      <c r="H4011" t="n">
        <v>0</v>
      </c>
      <c r="I4011" t="n">
        <v>0</v>
      </c>
      <c r="J4011" t="n">
        <v>0</v>
      </c>
      <c r="K4011" t="n">
        <v>0</v>
      </c>
      <c r="L4011" t="n">
        <v>0</v>
      </c>
      <c r="M4011" t="n">
        <v>0</v>
      </c>
      <c r="N4011" t="n">
        <v>0</v>
      </c>
      <c r="O4011" t="n">
        <v>0</v>
      </c>
      <c r="P4011" t="n">
        <v>0</v>
      </c>
      <c r="Q4011" t="n">
        <v>0</v>
      </c>
      <c r="R4011" s="2" t="inlineStr"/>
    </row>
    <row r="4012" ht="15" customHeight="1">
      <c r="A4012" t="inlineStr">
        <is>
          <t>A 17584-2025</t>
        </is>
      </c>
      <c r="B4012" s="1" t="n">
        <v>45757.6719212963</v>
      </c>
      <c r="C4012" s="1" t="n">
        <v>45952</v>
      </c>
      <c r="D4012" t="inlineStr">
        <is>
          <t>VÄSTRA GÖTALANDS LÄN</t>
        </is>
      </c>
      <c r="E4012" t="inlineStr">
        <is>
          <t>ULRICEHAMN</t>
        </is>
      </c>
      <c r="G4012" t="n">
        <v>0.9</v>
      </c>
      <c r="H4012" t="n">
        <v>0</v>
      </c>
      <c r="I4012" t="n">
        <v>0</v>
      </c>
      <c r="J4012" t="n">
        <v>0</v>
      </c>
      <c r="K4012" t="n">
        <v>0</v>
      </c>
      <c r="L4012" t="n">
        <v>0</v>
      </c>
      <c r="M4012" t="n">
        <v>0</v>
      </c>
      <c r="N4012" t="n">
        <v>0</v>
      </c>
      <c r="O4012" t="n">
        <v>0</v>
      </c>
      <c r="P4012" t="n">
        <v>0</v>
      </c>
      <c r="Q4012" t="n">
        <v>0</v>
      </c>
      <c r="R4012" s="2" t="inlineStr"/>
    </row>
    <row r="4013" ht="15" customHeight="1">
      <c r="A4013" t="inlineStr">
        <is>
          <t>A 50428-2022</t>
        </is>
      </c>
      <c r="B4013" s="1" t="n">
        <v>44866</v>
      </c>
      <c r="C4013" s="1" t="n">
        <v>45952</v>
      </c>
      <c r="D4013" t="inlineStr">
        <is>
          <t>VÄSTRA GÖTALANDS LÄN</t>
        </is>
      </c>
      <c r="E4013" t="inlineStr">
        <is>
          <t>ÅMÅL</t>
        </is>
      </c>
      <c r="G4013" t="n">
        <v>1.6</v>
      </c>
      <c r="H4013" t="n">
        <v>0</v>
      </c>
      <c r="I4013" t="n">
        <v>0</v>
      </c>
      <c r="J4013" t="n">
        <v>0</v>
      </c>
      <c r="K4013" t="n">
        <v>0</v>
      </c>
      <c r="L4013" t="n">
        <v>0</v>
      </c>
      <c r="M4013" t="n">
        <v>0</v>
      </c>
      <c r="N4013" t="n">
        <v>0</v>
      </c>
      <c r="O4013" t="n">
        <v>0</v>
      </c>
      <c r="P4013" t="n">
        <v>0</v>
      </c>
      <c r="Q4013" t="n">
        <v>0</v>
      </c>
      <c r="R4013" s="2" t="inlineStr"/>
    </row>
    <row r="4014" ht="15" customHeight="1">
      <c r="A4014" t="inlineStr">
        <is>
          <t>A 13245-2021</t>
        </is>
      </c>
      <c r="B4014" s="1" t="n">
        <v>44272.6200462963</v>
      </c>
      <c r="C4014" s="1" t="n">
        <v>45952</v>
      </c>
      <c r="D4014" t="inlineStr">
        <is>
          <t>VÄSTRA GÖTALANDS LÄN</t>
        </is>
      </c>
      <c r="E4014" t="inlineStr">
        <is>
          <t>GÖTENE</t>
        </is>
      </c>
      <c r="G4014" t="n">
        <v>0.7</v>
      </c>
      <c r="H4014" t="n">
        <v>0</v>
      </c>
      <c r="I4014" t="n">
        <v>0</v>
      </c>
      <c r="J4014" t="n">
        <v>0</v>
      </c>
      <c r="K4014" t="n">
        <v>0</v>
      </c>
      <c r="L4014" t="n">
        <v>0</v>
      </c>
      <c r="M4014" t="n">
        <v>0</v>
      </c>
      <c r="N4014" t="n">
        <v>0</v>
      </c>
      <c r="O4014" t="n">
        <v>0</v>
      </c>
      <c r="P4014" t="n">
        <v>0</v>
      </c>
      <c r="Q4014" t="n">
        <v>0</v>
      </c>
      <c r="R4014" s="2" t="inlineStr"/>
    </row>
    <row r="4015" ht="15" customHeight="1">
      <c r="A4015" t="inlineStr">
        <is>
          <t>A 52381-2023</t>
        </is>
      </c>
      <c r="B4015" s="1" t="n">
        <v>45224.80859953703</v>
      </c>
      <c r="C4015" s="1" t="n">
        <v>45952</v>
      </c>
      <c r="D4015" t="inlineStr">
        <is>
          <t>VÄSTRA GÖTALANDS LÄN</t>
        </is>
      </c>
      <c r="E4015" t="inlineStr">
        <is>
          <t>SKARA</t>
        </is>
      </c>
      <c r="G4015" t="n">
        <v>0.2</v>
      </c>
      <c r="H4015" t="n">
        <v>0</v>
      </c>
      <c r="I4015" t="n">
        <v>0</v>
      </c>
      <c r="J4015" t="n">
        <v>0</v>
      </c>
      <c r="K4015" t="n">
        <v>0</v>
      </c>
      <c r="L4015" t="n">
        <v>0</v>
      </c>
      <c r="M4015" t="n">
        <v>0</v>
      </c>
      <c r="N4015" t="n">
        <v>0</v>
      </c>
      <c r="O4015" t="n">
        <v>0</v>
      </c>
      <c r="P4015" t="n">
        <v>0</v>
      </c>
      <c r="Q4015" t="n">
        <v>0</v>
      </c>
      <c r="R4015" s="2" t="inlineStr"/>
    </row>
    <row r="4016" ht="15" customHeight="1">
      <c r="A4016" t="inlineStr">
        <is>
          <t>A 38809-2024</t>
        </is>
      </c>
      <c r="B4016" s="1" t="n">
        <v>45547</v>
      </c>
      <c r="C4016" s="1" t="n">
        <v>45952</v>
      </c>
      <c r="D4016" t="inlineStr">
        <is>
          <t>VÄSTRA GÖTALANDS LÄN</t>
        </is>
      </c>
      <c r="E4016" t="inlineStr">
        <is>
          <t>BENGTSFORS</t>
        </is>
      </c>
      <c r="G4016" t="n">
        <v>4.3</v>
      </c>
      <c r="H4016" t="n">
        <v>0</v>
      </c>
      <c r="I4016" t="n">
        <v>0</v>
      </c>
      <c r="J4016" t="n">
        <v>0</v>
      </c>
      <c r="K4016" t="n">
        <v>0</v>
      </c>
      <c r="L4016" t="n">
        <v>0</v>
      </c>
      <c r="M4016" t="n">
        <v>0</v>
      </c>
      <c r="N4016" t="n">
        <v>0</v>
      </c>
      <c r="O4016" t="n">
        <v>0</v>
      </c>
      <c r="P4016" t="n">
        <v>0</v>
      </c>
      <c r="Q4016" t="n">
        <v>0</v>
      </c>
      <c r="R4016" s="2" t="inlineStr"/>
    </row>
    <row r="4017" ht="15" customHeight="1">
      <c r="A4017" t="inlineStr">
        <is>
          <t>A 19048-2023</t>
        </is>
      </c>
      <c r="B4017" s="1" t="n">
        <v>45047</v>
      </c>
      <c r="C4017" s="1" t="n">
        <v>45952</v>
      </c>
      <c r="D4017" t="inlineStr">
        <is>
          <t>VÄSTRA GÖTALANDS LÄN</t>
        </is>
      </c>
      <c r="E4017" t="inlineStr">
        <is>
          <t>TROLLHÄTTAN</t>
        </is>
      </c>
      <c r="G4017" t="n">
        <v>12.5</v>
      </c>
      <c r="H4017" t="n">
        <v>0</v>
      </c>
      <c r="I4017" t="n">
        <v>0</v>
      </c>
      <c r="J4017" t="n">
        <v>0</v>
      </c>
      <c r="K4017" t="n">
        <v>0</v>
      </c>
      <c r="L4017" t="n">
        <v>0</v>
      </c>
      <c r="M4017" t="n">
        <v>0</v>
      </c>
      <c r="N4017" t="n">
        <v>0</v>
      </c>
      <c r="O4017" t="n">
        <v>0</v>
      </c>
      <c r="P4017" t="n">
        <v>0</v>
      </c>
      <c r="Q4017" t="n">
        <v>0</v>
      </c>
      <c r="R4017" s="2" t="inlineStr"/>
    </row>
    <row r="4018" ht="15" customHeight="1">
      <c r="A4018" t="inlineStr">
        <is>
          <t>A 19049-2023</t>
        </is>
      </c>
      <c r="B4018" s="1" t="n">
        <v>45047</v>
      </c>
      <c r="C4018" s="1" t="n">
        <v>45952</v>
      </c>
      <c r="D4018" t="inlineStr">
        <is>
          <t>VÄSTRA GÖTALANDS LÄN</t>
        </is>
      </c>
      <c r="E4018" t="inlineStr">
        <is>
          <t>DALS-ED</t>
        </is>
      </c>
      <c r="G4018" t="n">
        <v>0.9</v>
      </c>
      <c r="H4018" t="n">
        <v>0</v>
      </c>
      <c r="I4018" t="n">
        <v>0</v>
      </c>
      <c r="J4018" t="n">
        <v>0</v>
      </c>
      <c r="K4018" t="n">
        <v>0</v>
      </c>
      <c r="L4018" t="n">
        <v>0</v>
      </c>
      <c r="M4018" t="n">
        <v>0</v>
      </c>
      <c r="N4018" t="n">
        <v>0</v>
      </c>
      <c r="O4018" t="n">
        <v>0</v>
      </c>
      <c r="P4018" t="n">
        <v>0</v>
      </c>
      <c r="Q4018" t="n">
        <v>0</v>
      </c>
      <c r="R4018" s="2" t="inlineStr"/>
    </row>
    <row r="4019" ht="15" customHeight="1">
      <c r="A4019" t="inlineStr">
        <is>
          <t>A 50986-2024</t>
        </is>
      </c>
      <c r="B4019" s="1" t="n">
        <v>45603.36643518518</v>
      </c>
      <c r="C4019" s="1" t="n">
        <v>45952</v>
      </c>
      <c r="D4019" t="inlineStr">
        <is>
          <t>VÄSTRA GÖTALANDS LÄN</t>
        </is>
      </c>
      <c r="E4019" t="inlineStr">
        <is>
          <t>BENGTSFORS</t>
        </is>
      </c>
      <c r="G4019" t="n">
        <v>1.6</v>
      </c>
      <c r="H4019" t="n">
        <v>0</v>
      </c>
      <c r="I4019" t="n">
        <v>0</v>
      </c>
      <c r="J4019" t="n">
        <v>0</v>
      </c>
      <c r="K4019" t="n">
        <v>0</v>
      </c>
      <c r="L4019" t="n">
        <v>0</v>
      </c>
      <c r="M4019" t="n">
        <v>0</v>
      </c>
      <c r="N4019" t="n">
        <v>0</v>
      </c>
      <c r="O4019" t="n">
        <v>0</v>
      </c>
      <c r="P4019" t="n">
        <v>0</v>
      </c>
      <c r="Q4019" t="n">
        <v>0</v>
      </c>
      <c r="R4019" s="2" t="inlineStr"/>
    </row>
    <row r="4020" ht="15" customHeight="1">
      <c r="A4020" t="inlineStr">
        <is>
          <t>A 29692-2023</t>
        </is>
      </c>
      <c r="B4020" s="1" t="n">
        <v>45107</v>
      </c>
      <c r="C4020" s="1" t="n">
        <v>45952</v>
      </c>
      <c r="D4020" t="inlineStr">
        <is>
          <t>VÄSTRA GÖTALANDS LÄN</t>
        </is>
      </c>
      <c r="E4020" t="inlineStr">
        <is>
          <t>SVENLJUNGA</t>
        </is>
      </c>
      <c r="G4020" t="n">
        <v>6.8</v>
      </c>
      <c r="H4020" t="n">
        <v>0</v>
      </c>
      <c r="I4020" t="n">
        <v>0</v>
      </c>
      <c r="J4020" t="n">
        <v>0</v>
      </c>
      <c r="K4020" t="n">
        <v>0</v>
      </c>
      <c r="L4020" t="n">
        <v>0</v>
      </c>
      <c r="M4020" t="n">
        <v>0</v>
      </c>
      <c r="N4020" t="n">
        <v>0</v>
      </c>
      <c r="O4020" t="n">
        <v>0</v>
      </c>
      <c r="P4020" t="n">
        <v>0</v>
      </c>
      <c r="Q4020" t="n">
        <v>0</v>
      </c>
      <c r="R4020" s="2" t="inlineStr"/>
    </row>
    <row r="4021" ht="15" customHeight="1">
      <c r="A4021" t="inlineStr">
        <is>
          <t>A 10115-2023</t>
        </is>
      </c>
      <c r="B4021" s="1" t="n">
        <v>44986.34202546296</v>
      </c>
      <c r="C4021" s="1" t="n">
        <v>45952</v>
      </c>
      <c r="D4021" t="inlineStr">
        <is>
          <t>VÄSTRA GÖTALANDS LÄN</t>
        </is>
      </c>
      <c r="E4021" t="inlineStr">
        <is>
          <t>TIBRO</t>
        </is>
      </c>
      <c r="F4021" t="inlineStr">
        <is>
          <t>Sveaskog</t>
        </is>
      </c>
      <c r="G4021" t="n">
        <v>2.3</v>
      </c>
      <c r="H4021" t="n">
        <v>0</v>
      </c>
      <c r="I4021" t="n">
        <v>0</v>
      </c>
      <c r="J4021" t="n">
        <v>0</v>
      </c>
      <c r="K4021" t="n">
        <v>0</v>
      </c>
      <c r="L4021" t="n">
        <v>0</v>
      </c>
      <c r="M4021" t="n">
        <v>0</v>
      </c>
      <c r="N4021" t="n">
        <v>0</v>
      </c>
      <c r="O4021" t="n">
        <v>0</v>
      </c>
      <c r="P4021" t="n">
        <v>0</v>
      </c>
      <c r="Q4021" t="n">
        <v>0</v>
      </c>
      <c r="R4021" s="2" t="inlineStr"/>
    </row>
    <row r="4022" ht="15" customHeight="1">
      <c r="A4022" t="inlineStr">
        <is>
          <t>A 54246-2023</t>
        </is>
      </c>
      <c r="B4022" s="1" t="n">
        <v>45232.6234837963</v>
      </c>
      <c r="C4022" s="1" t="n">
        <v>45952</v>
      </c>
      <c r="D4022" t="inlineStr">
        <is>
          <t>VÄSTRA GÖTALANDS LÄN</t>
        </is>
      </c>
      <c r="E4022" t="inlineStr">
        <is>
          <t>BORÅS</t>
        </is>
      </c>
      <c r="G4022" t="n">
        <v>0.9</v>
      </c>
      <c r="H4022" t="n">
        <v>0</v>
      </c>
      <c r="I4022" t="n">
        <v>0</v>
      </c>
      <c r="J4022" t="n">
        <v>0</v>
      </c>
      <c r="K4022" t="n">
        <v>0</v>
      </c>
      <c r="L4022" t="n">
        <v>0</v>
      </c>
      <c r="M4022" t="n">
        <v>0</v>
      </c>
      <c r="N4022" t="n">
        <v>0</v>
      </c>
      <c r="O4022" t="n">
        <v>0</v>
      </c>
      <c r="P4022" t="n">
        <v>0</v>
      </c>
      <c r="Q4022" t="n">
        <v>0</v>
      </c>
      <c r="R4022" s="2" t="inlineStr"/>
    </row>
    <row r="4023" ht="15" customHeight="1">
      <c r="A4023" t="inlineStr">
        <is>
          <t>A 10470-2024</t>
        </is>
      </c>
      <c r="B4023" s="1" t="n">
        <v>45366.38853009259</v>
      </c>
      <c r="C4023" s="1" t="n">
        <v>45952</v>
      </c>
      <c r="D4023" t="inlineStr">
        <is>
          <t>VÄSTRA GÖTALANDS LÄN</t>
        </is>
      </c>
      <c r="E4023" t="inlineStr">
        <is>
          <t>STRÖMSTAD</t>
        </is>
      </c>
      <c r="G4023" t="n">
        <v>4.6</v>
      </c>
      <c r="H4023" t="n">
        <v>0</v>
      </c>
      <c r="I4023" t="n">
        <v>0</v>
      </c>
      <c r="J4023" t="n">
        <v>0</v>
      </c>
      <c r="K4023" t="n">
        <v>0</v>
      </c>
      <c r="L4023" t="n">
        <v>0</v>
      </c>
      <c r="M4023" t="n">
        <v>0</v>
      </c>
      <c r="N4023" t="n">
        <v>0</v>
      </c>
      <c r="O4023" t="n">
        <v>0</v>
      </c>
      <c r="P4023" t="n">
        <v>0</v>
      </c>
      <c r="Q4023" t="n">
        <v>0</v>
      </c>
      <c r="R4023" s="2" t="inlineStr"/>
    </row>
    <row r="4024" ht="15" customHeight="1">
      <c r="A4024" t="inlineStr">
        <is>
          <t>A 6729-2025</t>
        </is>
      </c>
      <c r="B4024" s="1" t="n">
        <v>45700.59056712963</v>
      </c>
      <c r="C4024" s="1" t="n">
        <v>45952</v>
      </c>
      <c r="D4024" t="inlineStr">
        <is>
          <t>VÄSTRA GÖTALANDS LÄN</t>
        </is>
      </c>
      <c r="E4024" t="inlineStr">
        <is>
          <t>FALKÖPING</t>
        </is>
      </c>
      <c r="G4024" t="n">
        <v>0.7</v>
      </c>
      <c r="H4024" t="n">
        <v>0</v>
      </c>
      <c r="I4024" t="n">
        <v>0</v>
      </c>
      <c r="J4024" t="n">
        <v>0</v>
      </c>
      <c r="K4024" t="n">
        <v>0</v>
      </c>
      <c r="L4024" t="n">
        <v>0</v>
      </c>
      <c r="M4024" t="n">
        <v>0</v>
      </c>
      <c r="N4024" t="n">
        <v>0</v>
      </c>
      <c r="O4024" t="n">
        <v>0</v>
      </c>
      <c r="P4024" t="n">
        <v>0</v>
      </c>
      <c r="Q4024" t="n">
        <v>0</v>
      </c>
      <c r="R4024" s="2" t="inlineStr"/>
    </row>
    <row r="4025" ht="15" customHeight="1">
      <c r="A4025" t="inlineStr">
        <is>
          <t>A 4759-2025</t>
        </is>
      </c>
      <c r="B4025" s="1" t="n">
        <v>45688.47086805556</v>
      </c>
      <c r="C4025" s="1" t="n">
        <v>45952</v>
      </c>
      <c r="D4025" t="inlineStr">
        <is>
          <t>VÄSTRA GÖTALANDS LÄN</t>
        </is>
      </c>
      <c r="E4025" t="inlineStr">
        <is>
          <t>ULRICEHAMN</t>
        </is>
      </c>
      <c r="G4025" t="n">
        <v>1.9</v>
      </c>
      <c r="H4025" t="n">
        <v>0</v>
      </c>
      <c r="I4025" t="n">
        <v>0</v>
      </c>
      <c r="J4025" t="n">
        <v>0</v>
      </c>
      <c r="K4025" t="n">
        <v>0</v>
      </c>
      <c r="L4025" t="n">
        <v>0</v>
      </c>
      <c r="M4025" t="n">
        <v>0</v>
      </c>
      <c r="N4025" t="n">
        <v>0</v>
      </c>
      <c r="O4025" t="n">
        <v>0</v>
      </c>
      <c r="P4025" t="n">
        <v>0</v>
      </c>
      <c r="Q4025" t="n">
        <v>0</v>
      </c>
      <c r="R4025" s="2" t="inlineStr"/>
    </row>
    <row r="4026" ht="15" customHeight="1">
      <c r="A4026" t="inlineStr">
        <is>
          <t>A 15241-2025</t>
        </is>
      </c>
      <c r="B4026" s="1" t="n">
        <v>45744.61255787037</v>
      </c>
      <c r="C4026" s="1" t="n">
        <v>45952</v>
      </c>
      <c r="D4026" t="inlineStr">
        <is>
          <t>VÄSTRA GÖTALANDS LÄN</t>
        </is>
      </c>
      <c r="E4026" t="inlineStr">
        <is>
          <t>ALE</t>
        </is>
      </c>
      <c r="G4026" t="n">
        <v>2.2</v>
      </c>
      <c r="H4026" t="n">
        <v>0</v>
      </c>
      <c r="I4026" t="n">
        <v>0</v>
      </c>
      <c r="J4026" t="n">
        <v>0</v>
      </c>
      <c r="K4026" t="n">
        <v>0</v>
      </c>
      <c r="L4026" t="n">
        <v>0</v>
      </c>
      <c r="M4026" t="n">
        <v>0</v>
      </c>
      <c r="N4026" t="n">
        <v>0</v>
      </c>
      <c r="O4026" t="n">
        <v>0</v>
      </c>
      <c r="P4026" t="n">
        <v>0</v>
      </c>
      <c r="Q4026" t="n">
        <v>0</v>
      </c>
      <c r="R4026" s="2" t="inlineStr"/>
    </row>
    <row r="4027" ht="15" customHeight="1">
      <c r="A4027" t="inlineStr">
        <is>
          <t>A 38818-2024</t>
        </is>
      </c>
      <c r="B4027" s="1" t="n">
        <v>45547.55392361111</v>
      </c>
      <c r="C4027" s="1" t="n">
        <v>45952</v>
      </c>
      <c r="D4027" t="inlineStr">
        <is>
          <t>VÄSTRA GÖTALANDS LÄN</t>
        </is>
      </c>
      <c r="E4027" t="inlineStr">
        <is>
          <t>STRÖMSTAD</t>
        </is>
      </c>
      <c r="G4027" t="n">
        <v>1.9</v>
      </c>
      <c r="H4027" t="n">
        <v>0</v>
      </c>
      <c r="I4027" t="n">
        <v>0</v>
      </c>
      <c r="J4027" t="n">
        <v>0</v>
      </c>
      <c r="K4027" t="n">
        <v>0</v>
      </c>
      <c r="L4027" t="n">
        <v>0</v>
      </c>
      <c r="M4027" t="n">
        <v>0</v>
      </c>
      <c r="N4027" t="n">
        <v>0</v>
      </c>
      <c r="O4027" t="n">
        <v>0</v>
      </c>
      <c r="P4027" t="n">
        <v>0</v>
      </c>
      <c r="Q4027" t="n">
        <v>0</v>
      </c>
      <c r="R4027" s="2" t="inlineStr"/>
    </row>
    <row r="4028" ht="15" customHeight="1">
      <c r="A4028" t="inlineStr">
        <is>
          <t>A 18499-2022</t>
        </is>
      </c>
      <c r="B4028" s="1" t="n">
        <v>44686</v>
      </c>
      <c r="C4028" s="1" t="n">
        <v>45952</v>
      </c>
      <c r="D4028" t="inlineStr">
        <is>
          <t>VÄSTRA GÖTALANDS LÄN</t>
        </is>
      </c>
      <c r="E4028" t="inlineStr">
        <is>
          <t>ESSUNGA</t>
        </is>
      </c>
      <c r="F4028" t="inlineStr">
        <is>
          <t>Allmännings- och besparingsskogar</t>
        </is>
      </c>
      <c r="G4028" t="n">
        <v>2</v>
      </c>
      <c r="H4028" t="n">
        <v>0</v>
      </c>
      <c r="I4028" t="n">
        <v>0</v>
      </c>
      <c r="J4028" t="n">
        <v>0</v>
      </c>
      <c r="K4028" t="n">
        <v>0</v>
      </c>
      <c r="L4028" t="n">
        <v>0</v>
      </c>
      <c r="M4028" t="n">
        <v>0</v>
      </c>
      <c r="N4028" t="n">
        <v>0</v>
      </c>
      <c r="O4028" t="n">
        <v>0</v>
      </c>
      <c r="P4028" t="n">
        <v>0</v>
      </c>
      <c r="Q4028" t="n">
        <v>0</v>
      </c>
      <c r="R4028" s="2" t="inlineStr"/>
    </row>
    <row r="4029" ht="15" customHeight="1">
      <c r="A4029" t="inlineStr">
        <is>
          <t>A 32564-2023</t>
        </is>
      </c>
      <c r="B4029" s="1" t="n">
        <v>45111</v>
      </c>
      <c r="C4029" s="1" t="n">
        <v>45952</v>
      </c>
      <c r="D4029" t="inlineStr">
        <is>
          <t>VÄSTRA GÖTALANDS LÄN</t>
        </is>
      </c>
      <c r="E4029" t="inlineStr">
        <is>
          <t>GULLSPÅNG</t>
        </is>
      </c>
      <c r="G4029" t="n">
        <v>1.2</v>
      </c>
      <c r="H4029" t="n">
        <v>0</v>
      </c>
      <c r="I4029" t="n">
        <v>0</v>
      </c>
      <c r="J4029" t="n">
        <v>0</v>
      </c>
      <c r="K4029" t="n">
        <v>0</v>
      </c>
      <c r="L4029" t="n">
        <v>0</v>
      </c>
      <c r="M4029" t="n">
        <v>0</v>
      </c>
      <c r="N4029" t="n">
        <v>0</v>
      </c>
      <c r="O4029" t="n">
        <v>0</v>
      </c>
      <c r="P4029" t="n">
        <v>0</v>
      </c>
      <c r="Q4029" t="n">
        <v>0</v>
      </c>
      <c r="R4029" s="2" t="inlineStr"/>
    </row>
    <row r="4030" ht="15" customHeight="1">
      <c r="A4030" t="inlineStr">
        <is>
          <t>A 13581-2023</t>
        </is>
      </c>
      <c r="B4030" s="1" t="n">
        <v>45006.54443287037</v>
      </c>
      <c r="C4030" s="1" t="n">
        <v>45952</v>
      </c>
      <c r="D4030" t="inlineStr">
        <is>
          <t>VÄSTRA GÖTALANDS LÄN</t>
        </is>
      </c>
      <c r="E4030" t="inlineStr">
        <is>
          <t>LILLA EDET</t>
        </is>
      </c>
      <c r="F4030" t="inlineStr">
        <is>
          <t>Kommuner</t>
        </is>
      </c>
      <c r="G4030" t="n">
        <v>3.8</v>
      </c>
      <c r="H4030" t="n">
        <v>0</v>
      </c>
      <c r="I4030" t="n">
        <v>0</v>
      </c>
      <c r="J4030" t="n">
        <v>0</v>
      </c>
      <c r="K4030" t="n">
        <v>0</v>
      </c>
      <c r="L4030" t="n">
        <v>0</v>
      </c>
      <c r="M4030" t="n">
        <v>0</v>
      </c>
      <c r="N4030" t="n">
        <v>0</v>
      </c>
      <c r="O4030" t="n">
        <v>0</v>
      </c>
      <c r="P4030" t="n">
        <v>0</v>
      </c>
      <c r="Q4030" t="n">
        <v>0</v>
      </c>
      <c r="R4030" s="2" t="inlineStr"/>
    </row>
    <row r="4031" ht="15" customHeight="1">
      <c r="A4031" t="inlineStr">
        <is>
          <t>A 13588-2023</t>
        </is>
      </c>
      <c r="B4031" s="1" t="n">
        <v>45006.5583449074</v>
      </c>
      <c r="C4031" s="1" t="n">
        <v>45952</v>
      </c>
      <c r="D4031" t="inlineStr">
        <is>
          <t>VÄSTRA GÖTALANDS LÄN</t>
        </is>
      </c>
      <c r="E4031" t="inlineStr">
        <is>
          <t>TIDAHOLM</t>
        </is>
      </c>
      <c r="G4031" t="n">
        <v>0.5</v>
      </c>
      <c r="H4031" t="n">
        <v>0</v>
      </c>
      <c r="I4031" t="n">
        <v>0</v>
      </c>
      <c r="J4031" t="n">
        <v>0</v>
      </c>
      <c r="K4031" t="n">
        <v>0</v>
      </c>
      <c r="L4031" t="n">
        <v>0</v>
      </c>
      <c r="M4031" t="n">
        <v>0</v>
      </c>
      <c r="N4031" t="n">
        <v>0</v>
      </c>
      <c r="O4031" t="n">
        <v>0</v>
      </c>
      <c r="P4031" t="n">
        <v>0</v>
      </c>
      <c r="Q4031" t="n">
        <v>0</v>
      </c>
      <c r="R4031" s="2" t="inlineStr"/>
    </row>
    <row r="4032" ht="15" customHeight="1">
      <c r="A4032" t="inlineStr">
        <is>
          <t>A 43271-2023</t>
        </is>
      </c>
      <c r="B4032" s="1" t="n">
        <v>45183</v>
      </c>
      <c r="C4032" s="1" t="n">
        <v>45952</v>
      </c>
      <c r="D4032" t="inlineStr">
        <is>
          <t>VÄSTRA GÖTALANDS LÄN</t>
        </is>
      </c>
      <c r="E4032" t="inlineStr">
        <is>
          <t>UDDEVALLA</t>
        </is>
      </c>
      <c r="G4032" t="n">
        <v>1.6</v>
      </c>
      <c r="H4032" t="n">
        <v>0</v>
      </c>
      <c r="I4032" t="n">
        <v>0</v>
      </c>
      <c r="J4032" t="n">
        <v>0</v>
      </c>
      <c r="K4032" t="n">
        <v>0</v>
      </c>
      <c r="L4032" t="n">
        <v>0</v>
      </c>
      <c r="M4032" t="n">
        <v>0</v>
      </c>
      <c r="N4032" t="n">
        <v>0</v>
      </c>
      <c r="O4032" t="n">
        <v>0</v>
      </c>
      <c r="P4032" t="n">
        <v>0</v>
      </c>
      <c r="Q4032" t="n">
        <v>0</v>
      </c>
      <c r="R4032" s="2" t="inlineStr"/>
    </row>
    <row r="4033" ht="15" customHeight="1">
      <c r="A4033" t="inlineStr">
        <is>
          <t>A 40384-2021</t>
        </is>
      </c>
      <c r="B4033" s="1" t="n">
        <v>44419.62418981481</v>
      </c>
      <c r="C4033" s="1" t="n">
        <v>45952</v>
      </c>
      <c r="D4033" t="inlineStr">
        <is>
          <t>VÄSTRA GÖTALANDS LÄN</t>
        </is>
      </c>
      <c r="E4033" t="inlineStr">
        <is>
          <t>HERRLJUNGA</t>
        </is>
      </c>
      <c r="G4033" t="n">
        <v>1.3</v>
      </c>
      <c r="H4033" t="n">
        <v>0</v>
      </c>
      <c r="I4033" t="n">
        <v>0</v>
      </c>
      <c r="J4033" t="n">
        <v>0</v>
      </c>
      <c r="K4033" t="n">
        <v>0</v>
      </c>
      <c r="L4033" t="n">
        <v>0</v>
      </c>
      <c r="M4033" t="n">
        <v>0</v>
      </c>
      <c r="N4033" t="n">
        <v>0</v>
      </c>
      <c r="O4033" t="n">
        <v>0</v>
      </c>
      <c r="P4033" t="n">
        <v>0</v>
      </c>
      <c r="Q4033" t="n">
        <v>0</v>
      </c>
      <c r="R4033" s="2" t="inlineStr"/>
    </row>
    <row r="4034" ht="15" customHeight="1">
      <c r="A4034" t="inlineStr">
        <is>
          <t>A 2263-2025</t>
        </is>
      </c>
      <c r="B4034" s="1" t="n">
        <v>45673.52425925926</v>
      </c>
      <c r="C4034" s="1" t="n">
        <v>45952</v>
      </c>
      <c r="D4034" t="inlineStr">
        <is>
          <t>VÄSTRA GÖTALANDS LÄN</t>
        </is>
      </c>
      <c r="E4034" t="inlineStr">
        <is>
          <t>GRÄSTORP</t>
        </is>
      </c>
      <c r="G4034" t="n">
        <v>1</v>
      </c>
      <c r="H4034" t="n">
        <v>0</v>
      </c>
      <c r="I4034" t="n">
        <v>0</v>
      </c>
      <c r="J4034" t="n">
        <v>0</v>
      </c>
      <c r="K4034" t="n">
        <v>0</v>
      </c>
      <c r="L4034" t="n">
        <v>0</v>
      </c>
      <c r="M4034" t="n">
        <v>0</v>
      </c>
      <c r="N4034" t="n">
        <v>0</v>
      </c>
      <c r="O4034" t="n">
        <v>0</v>
      </c>
      <c r="P4034" t="n">
        <v>0</v>
      </c>
      <c r="Q4034" t="n">
        <v>0</v>
      </c>
      <c r="R4034" s="2" t="inlineStr"/>
    </row>
    <row r="4035" ht="15" customHeight="1">
      <c r="A4035" t="inlineStr">
        <is>
          <t>A 61448-2024</t>
        </is>
      </c>
      <c r="B4035" s="1" t="n">
        <v>45646.48758101852</v>
      </c>
      <c r="C4035" s="1" t="n">
        <v>45952</v>
      </c>
      <c r="D4035" t="inlineStr">
        <is>
          <t>VÄSTRA GÖTALANDS LÄN</t>
        </is>
      </c>
      <c r="E4035" t="inlineStr">
        <is>
          <t>BORÅS</t>
        </is>
      </c>
      <c r="G4035" t="n">
        <v>1</v>
      </c>
      <c r="H4035" t="n">
        <v>0</v>
      </c>
      <c r="I4035" t="n">
        <v>0</v>
      </c>
      <c r="J4035" t="n">
        <v>0</v>
      </c>
      <c r="K4035" t="n">
        <v>0</v>
      </c>
      <c r="L4035" t="n">
        <v>0</v>
      </c>
      <c r="M4035" t="n">
        <v>0</v>
      </c>
      <c r="N4035" t="n">
        <v>0</v>
      </c>
      <c r="O4035" t="n">
        <v>0</v>
      </c>
      <c r="P4035" t="n">
        <v>0</v>
      </c>
      <c r="Q4035" t="n">
        <v>0</v>
      </c>
      <c r="R4035" s="2" t="inlineStr"/>
    </row>
    <row r="4036" ht="15" customHeight="1">
      <c r="A4036" t="inlineStr">
        <is>
          <t>A 15684-2025</t>
        </is>
      </c>
      <c r="B4036" s="1" t="n">
        <v>45748.45770833334</v>
      </c>
      <c r="C4036" s="1" t="n">
        <v>45952</v>
      </c>
      <c r="D4036" t="inlineStr">
        <is>
          <t>VÄSTRA GÖTALANDS LÄN</t>
        </is>
      </c>
      <c r="E4036" t="inlineStr">
        <is>
          <t>FALKÖPING</t>
        </is>
      </c>
      <c r="G4036" t="n">
        <v>3</v>
      </c>
      <c r="H4036" t="n">
        <v>0</v>
      </c>
      <c r="I4036" t="n">
        <v>0</v>
      </c>
      <c r="J4036" t="n">
        <v>0</v>
      </c>
      <c r="K4036" t="n">
        <v>0</v>
      </c>
      <c r="L4036" t="n">
        <v>0</v>
      </c>
      <c r="M4036" t="n">
        <v>0</v>
      </c>
      <c r="N4036" t="n">
        <v>0</v>
      </c>
      <c r="O4036" t="n">
        <v>0</v>
      </c>
      <c r="P4036" t="n">
        <v>0</v>
      </c>
      <c r="Q4036" t="n">
        <v>0</v>
      </c>
      <c r="R4036" s="2" t="inlineStr"/>
    </row>
    <row r="4037" ht="15" customHeight="1">
      <c r="A4037" t="inlineStr">
        <is>
          <t>A 2956-2022</t>
        </is>
      </c>
      <c r="B4037" s="1" t="n">
        <v>44581</v>
      </c>
      <c r="C4037" s="1" t="n">
        <v>45952</v>
      </c>
      <c r="D4037" t="inlineStr">
        <is>
          <t>VÄSTRA GÖTALANDS LÄN</t>
        </is>
      </c>
      <c r="E4037" t="inlineStr">
        <is>
          <t>BENGTSFORS</t>
        </is>
      </c>
      <c r="G4037" t="n">
        <v>4</v>
      </c>
      <c r="H4037" t="n">
        <v>0</v>
      </c>
      <c r="I4037" t="n">
        <v>0</v>
      </c>
      <c r="J4037" t="n">
        <v>0</v>
      </c>
      <c r="K4037" t="n">
        <v>0</v>
      </c>
      <c r="L4037" t="n">
        <v>0</v>
      </c>
      <c r="M4037" t="n">
        <v>0</v>
      </c>
      <c r="N4037" t="n">
        <v>0</v>
      </c>
      <c r="O4037" t="n">
        <v>0</v>
      </c>
      <c r="P4037" t="n">
        <v>0</v>
      </c>
      <c r="Q4037" t="n">
        <v>0</v>
      </c>
      <c r="R4037" s="2" t="inlineStr"/>
    </row>
    <row r="4038" ht="15" customHeight="1">
      <c r="A4038" t="inlineStr">
        <is>
          <t>A 54615-2024</t>
        </is>
      </c>
      <c r="B4038" s="1" t="n">
        <v>45617.72695601852</v>
      </c>
      <c r="C4038" s="1" t="n">
        <v>45952</v>
      </c>
      <c r="D4038" t="inlineStr">
        <is>
          <t>VÄSTRA GÖTALANDS LÄN</t>
        </is>
      </c>
      <c r="E4038" t="inlineStr">
        <is>
          <t>ALINGSÅS</t>
        </is>
      </c>
      <c r="G4038" t="n">
        <v>1.9</v>
      </c>
      <c r="H4038" t="n">
        <v>0</v>
      </c>
      <c r="I4038" t="n">
        <v>0</v>
      </c>
      <c r="J4038" t="n">
        <v>0</v>
      </c>
      <c r="K4038" t="n">
        <v>0</v>
      </c>
      <c r="L4038" t="n">
        <v>0</v>
      </c>
      <c r="M4038" t="n">
        <v>0</v>
      </c>
      <c r="N4038" t="n">
        <v>0</v>
      </c>
      <c r="O4038" t="n">
        <v>0</v>
      </c>
      <c r="P4038" t="n">
        <v>0</v>
      </c>
      <c r="Q4038" t="n">
        <v>0</v>
      </c>
      <c r="R4038" s="2" t="inlineStr"/>
    </row>
    <row r="4039" ht="15" customHeight="1">
      <c r="A4039" t="inlineStr">
        <is>
          <t>A 8701-2023</t>
        </is>
      </c>
      <c r="B4039" s="1" t="n">
        <v>44978.35130787037</v>
      </c>
      <c r="C4039" s="1" t="n">
        <v>45952</v>
      </c>
      <c r="D4039" t="inlineStr">
        <is>
          <t>VÄSTRA GÖTALANDS LÄN</t>
        </is>
      </c>
      <c r="E4039" t="inlineStr">
        <is>
          <t>SKARA</t>
        </is>
      </c>
      <c r="G4039" t="n">
        <v>1.7</v>
      </c>
      <c r="H4039" t="n">
        <v>0</v>
      </c>
      <c r="I4039" t="n">
        <v>0</v>
      </c>
      <c r="J4039" t="n">
        <v>0</v>
      </c>
      <c r="K4039" t="n">
        <v>0</v>
      </c>
      <c r="L4039" t="n">
        <v>0</v>
      </c>
      <c r="M4039" t="n">
        <v>0</v>
      </c>
      <c r="N4039" t="n">
        <v>0</v>
      </c>
      <c r="O4039" t="n">
        <v>0</v>
      </c>
      <c r="P4039" t="n">
        <v>0</v>
      </c>
      <c r="Q4039" t="n">
        <v>0</v>
      </c>
      <c r="R4039" s="2" t="inlineStr"/>
    </row>
    <row r="4040" ht="15" customHeight="1">
      <c r="A4040" t="inlineStr">
        <is>
          <t>A 36436-2023</t>
        </is>
      </c>
      <c r="B4040" s="1" t="n">
        <v>45151</v>
      </c>
      <c r="C4040" s="1" t="n">
        <v>45952</v>
      </c>
      <c r="D4040" t="inlineStr">
        <is>
          <t>VÄSTRA GÖTALANDS LÄN</t>
        </is>
      </c>
      <c r="E4040" t="inlineStr">
        <is>
          <t>DALS-ED</t>
        </is>
      </c>
      <c r="G4040" t="n">
        <v>27.1</v>
      </c>
      <c r="H4040" t="n">
        <v>0</v>
      </c>
      <c r="I4040" t="n">
        <v>0</v>
      </c>
      <c r="J4040" t="n">
        <v>0</v>
      </c>
      <c r="K4040" t="n">
        <v>0</v>
      </c>
      <c r="L4040" t="n">
        <v>0</v>
      </c>
      <c r="M4040" t="n">
        <v>0</v>
      </c>
      <c r="N4040" t="n">
        <v>0</v>
      </c>
      <c r="O4040" t="n">
        <v>0</v>
      </c>
      <c r="P4040" t="n">
        <v>0</v>
      </c>
      <c r="Q4040" t="n">
        <v>0</v>
      </c>
      <c r="R4040" s="2" t="inlineStr"/>
      <c r="U4040">
        <f>HYPERLINK("https://klasma.github.io/Logging_1438/knärot/A 36436-2023 karta knärot.png", "A 36436-2023")</f>
        <v/>
      </c>
      <c r="V4040">
        <f>HYPERLINK("https://klasma.github.io/Logging_1438/klagomål/A 36436-2023 FSC-klagomål.docx", "A 36436-2023")</f>
        <v/>
      </c>
      <c r="W4040">
        <f>HYPERLINK("https://klasma.github.io/Logging_1438/klagomålsmail/A 36436-2023 FSC-klagomål mail.docx", "A 36436-2023")</f>
        <v/>
      </c>
      <c r="X4040">
        <f>HYPERLINK("https://klasma.github.io/Logging_1438/tillsyn/A 36436-2023 tillsynsbegäran.docx", "A 36436-2023")</f>
        <v/>
      </c>
      <c r="Y4040">
        <f>HYPERLINK("https://klasma.github.io/Logging_1438/tillsynsmail/A 36436-2023 tillsynsbegäran mail.docx", "A 36436-2023")</f>
        <v/>
      </c>
    </row>
    <row r="4041" ht="15" customHeight="1">
      <c r="A4041" t="inlineStr">
        <is>
          <t>A 39611-2022</t>
        </is>
      </c>
      <c r="B4041" s="1" t="n">
        <v>44818.63516203704</v>
      </c>
      <c r="C4041" s="1" t="n">
        <v>45952</v>
      </c>
      <c r="D4041" t="inlineStr">
        <is>
          <t>VÄSTRA GÖTALANDS LÄN</t>
        </is>
      </c>
      <c r="E4041" t="inlineStr">
        <is>
          <t>TROLLHÄTTAN</t>
        </is>
      </c>
      <c r="F4041" t="inlineStr">
        <is>
          <t>Kommuner</t>
        </is>
      </c>
      <c r="G4041" t="n">
        <v>1.3</v>
      </c>
      <c r="H4041" t="n">
        <v>0</v>
      </c>
      <c r="I4041" t="n">
        <v>0</v>
      </c>
      <c r="J4041" t="n">
        <v>0</v>
      </c>
      <c r="K4041" t="n">
        <v>0</v>
      </c>
      <c r="L4041" t="n">
        <v>0</v>
      </c>
      <c r="M4041" t="n">
        <v>0</v>
      </c>
      <c r="N4041" t="n">
        <v>0</v>
      </c>
      <c r="O4041" t="n">
        <v>0</v>
      </c>
      <c r="P4041" t="n">
        <v>0</v>
      </c>
      <c r="Q4041" t="n">
        <v>0</v>
      </c>
      <c r="R4041" s="2" t="inlineStr"/>
    </row>
    <row r="4042" ht="15" customHeight="1">
      <c r="A4042" t="inlineStr">
        <is>
          <t>A 60086-2024</t>
        </is>
      </c>
      <c r="B4042" s="1" t="n">
        <v>45642.54302083333</v>
      </c>
      <c r="C4042" s="1" t="n">
        <v>45952</v>
      </c>
      <c r="D4042" t="inlineStr">
        <is>
          <t>VÄSTRA GÖTALANDS LÄN</t>
        </is>
      </c>
      <c r="E4042" t="inlineStr">
        <is>
          <t>SKARA</t>
        </is>
      </c>
      <c r="G4042" t="n">
        <v>3.8</v>
      </c>
      <c r="H4042" t="n">
        <v>0</v>
      </c>
      <c r="I4042" t="n">
        <v>0</v>
      </c>
      <c r="J4042" t="n">
        <v>0</v>
      </c>
      <c r="K4042" t="n">
        <v>0</v>
      </c>
      <c r="L4042" t="n">
        <v>0</v>
      </c>
      <c r="M4042" t="n">
        <v>0</v>
      </c>
      <c r="N4042" t="n">
        <v>0</v>
      </c>
      <c r="O4042" t="n">
        <v>0</v>
      </c>
      <c r="P4042" t="n">
        <v>0</v>
      </c>
      <c r="Q4042" t="n">
        <v>0</v>
      </c>
      <c r="R4042" s="2" t="inlineStr"/>
    </row>
    <row r="4043" ht="15" customHeight="1">
      <c r="A4043" t="inlineStr">
        <is>
          <t>A 15684-2023</t>
        </is>
      </c>
      <c r="B4043" s="1" t="n">
        <v>45021</v>
      </c>
      <c r="C4043" s="1" t="n">
        <v>45952</v>
      </c>
      <c r="D4043" t="inlineStr">
        <is>
          <t>VÄSTRA GÖTALANDS LÄN</t>
        </is>
      </c>
      <c r="E4043" t="inlineStr">
        <is>
          <t>TIBRO</t>
        </is>
      </c>
      <c r="G4043" t="n">
        <v>4.4</v>
      </c>
      <c r="H4043" t="n">
        <v>0</v>
      </c>
      <c r="I4043" t="n">
        <v>0</v>
      </c>
      <c r="J4043" t="n">
        <v>0</v>
      </c>
      <c r="K4043" t="n">
        <v>0</v>
      </c>
      <c r="L4043" t="n">
        <v>0</v>
      </c>
      <c r="M4043" t="n">
        <v>0</v>
      </c>
      <c r="N4043" t="n">
        <v>0</v>
      </c>
      <c r="O4043" t="n">
        <v>0</v>
      </c>
      <c r="P4043" t="n">
        <v>0</v>
      </c>
      <c r="Q4043" t="n">
        <v>0</v>
      </c>
      <c r="R4043" s="2" t="inlineStr"/>
    </row>
    <row r="4044" ht="15" customHeight="1">
      <c r="A4044" t="inlineStr">
        <is>
          <t>A 56295-2023</t>
        </is>
      </c>
      <c r="B4044" s="1" t="n">
        <v>45242</v>
      </c>
      <c r="C4044" s="1" t="n">
        <v>45952</v>
      </c>
      <c r="D4044" t="inlineStr">
        <is>
          <t>VÄSTRA GÖTALANDS LÄN</t>
        </is>
      </c>
      <c r="E4044" t="inlineStr">
        <is>
          <t>ULRICEHAMN</t>
        </is>
      </c>
      <c r="G4044" t="n">
        <v>1.8</v>
      </c>
      <c r="H4044" t="n">
        <v>0</v>
      </c>
      <c r="I4044" t="n">
        <v>0</v>
      </c>
      <c r="J4044" t="n">
        <v>0</v>
      </c>
      <c r="K4044" t="n">
        <v>0</v>
      </c>
      <c r="L4044" t="n">
        <v>0</v>
      </c>
      <c r="M4044" t="n">
        <v>0</v>
      </c>
      <c r="N4044" t="n">
        <v>0</v>
      </c>
      <c r="O4044" t="n">
        <v>0</v>
      </c>
      <c r="P4044" t="n">
        <v>0</v>
      </c>
      <c r="Q4044" t="n">
        <v>0</v>
      </c>
      <c r="R4044" s="2" t="inlineStr"/>
    </row>
    <row r="4045" ht="15" customHeight="1">
      <c r="A4045" t="inlineStr">
        <is>
          <t>A 56365-2024</t>
        </is>
      </c>
      <c r="B4045" s="1" t="n">
        <v>45625.32438657407</v>
      </c>
      <c r="C4045" s="1" t="n">
        <v>45952</v>
      </c>
      <c r="D4045" t="inlineStr">
        <is>
          <t>VÄSTRA GÖTALANDS LÄN</t>
        </is>
      </c>
      <c r="E4045" t="inlineStr">
        <is>
          <t>LIDKÖPING</t>
        </is>
      </c>
      <c r="G4045" t="n">
        <v>0.6</v>
      </c>
      <c r="H4045" t="n">
        <v>0</v>
      </c>
      <c r="I4045" t="n">
        <v>0</v>
      </c>
      <c r="J4045" t="n">
        <v>0</v>
      </c>
      <c r="K4045" t="n">
        <v>0</v>
      </c>
      <c r="L4045" t="n">
        <v>0</v>
      </c>
      <c r="M4045" t="n">
        <v>0</v>
      </c>
      <c r="N4045" t="n">
        <v>0</v>
      </c>
      <c r="O4045" t="n">
        <v>0</v>
      </c>
      <c r="P4045" t="n">
        <v>0</v>
      </c>
      <c r="Q4045" t="n">
        <v>0</v>
      </c>
      <c r="R4045" s="2" t="inlineStr"/>
    </row>
    <row r="4046" ht="15" customHeight="1">
      <c r="A4046" t="inlineStr">
        <is>
          <t>A 18600-2025</t>
        </is>
      </c>
      <c r="B4046" s="1" t="n">
        <v>45763.49094907408</v>
      </c>
      <c r="C4046" s="1" t="n">
        <v>45952</v>
      </c>
      <c r="D4046" t="inlineStr">
        <is>
          <t>VÄSTRA GÖTALANDS LÄN</t>
        </is>
      </c>
      <c r="E4046" t="inlineStr">
        <is>
          <t>MARK</t>
        </is>
      </c>
      <c r="G4046" t="n">
        <v>1.4</v>
      </c>
      <c r="H4046" t="n">
        <v>0</v>
      </c>
      <c r="I4046" t="n">
        <v>0</v>
      </c>
      <c r="J4046" t="n">
        <v>0</v>
      </c>
      <c r="K4046" t="n">
        <v>0</v>
      </c>
      <c r="L4046" t="n">
        <v>0</v>
      </c>
      <c r="M4046" t="n">
        <v>0</v>
      </c>
      <c r="N4046" t="n">
        <v>0</v>
      </c>
      <c r="O4046" t="n">
        <v>0</v>
      </c>
      <c r="P4046" t="n">
        <v>0</v>
      </c>
      <c r="Q4046" t="n">
        <v>0</v>
      </c>
      <c r="R4046" s="2" t="inlineStr"/>
    </row>
    <row r="4047" ht="15" customHeight="1">
      <c r="A4047" t="inlineStr">
        <is>
          <t>A 19254-2025</t>
        </is>
      </c>
      <c r="B4047" s="1" t="n">
        <v>45769.49473379629</v>
      </c>
      <c r="C4047" s="1" t="n">
        <v>45952</v>
      </c>
      <c r="D4047" t="inlineStr">
        <is>
          <t>VÄSTRA GÖTALANDS LÄN</t>
        </is>
      </c>
      <c r="E4047" t="inlineStr">
        <is>
          <t>TRANEMO</t>
        </is>
      </c>
      <c r="G4047" t="n">
        <v>4.1</v>
      </c>
      <c r="H4047" t="n">
        <v>0</v>
      </c>
      <c r="I4047" t="n">
        <v>0</v>
      </c>
      <c r="J4047" t="n">
        <v>0</v>
      </c>
      <c r="K4047" t="n">
        <v>0</v>
      </c>
      <c r="L4047" t="n">
        <v>0</v>
      </c>
      <c r="M4047" t="n">
        <v>0</v>
      </c>
      <c r="N4047" t="n">
        <v>0</v>
      </c>
      <c r="O4047" t="n">
        <v>0</v>
      </c>
      <c r="P4047" t="n">
        <v>0</v>
      </c>
      <c r="Q4047" t="n">
        <v>0</v>
      </c>
      <c r="R4047" s="2" t="inlineStr"/>
    </row>
    <row r="4048" ht="15" customHeight="1">
      <c r="A4048" t="inlineStr">
        <is>
          <t>A 47363-2024</t>
        </is>
      </c>
      <c r="B4048" s="1" t="n">
        <v>45587.44087962963</v>
      </c>
      <c r="C4048" s="1" t="n">
        <v>45952</v>
      </c>
      <c r="D4048" t="inlineStr">
        <is>
          <t>VÄSTRA GÖTALANDS LÄN</t>
        </is>
      </c>
      <c r="E4048" t="inlineStr">
        <is>
          <t>TRANEMO</t>
        </is>
      </c>
      <c r="G4048" t="n">
        <v>1</v>
      </c>
      <c r="H4048" t="n">
        <v>0</v>
      </c>
      <c r="I4048" t="n">
        <v>0</v>
      </c>
      <c r="J4048" t="n">
        <v>0</v>
      </c>
      <c r="K4048" t="n">
        <v>0</v>
      </c>
      <c r="L4048" t="n">
        <v>0</v>
      </c>
      <c r="M4048" t="n">
        <v>0</v>
      </c>
      <c r="N4048" t="n">
        <v>0</v>
      </c>
      <c r="O4048" t="n">
        <v>0</v>
      </c>
      <c r="P4048" t="n">
        <v>0</v>
      </c>
      <c r="Q4048" t="n">
        <v>0</v>
      </c>
      <c r="R4048" s="2" t="inlineStr"/>
    </row>
    <row r="4049" ht="15" customHeight="1">
      <c r="A4049" t="inlineStr">
        <is>
          <t>A 7246-2025</t>
        </is>
      </c>
      <c r="B4049" s="1" t="n">
        <v>45702.55307870371</v>
      </c>
      <c r="C4049" s="1" t="n">
        <v>45952</v>
      </c>
      <c r="D4049" t="inlineStr">
        <is>
          <t>VÄSTRA GÖTALANDS LÄN</t>
        </is>
      </c>
      <c r="E4049" t="inlineStr">
        <is>
          <t>HERRLJUNGA</t>
        </is>
      </c>
      <c r="G4049" t="n">
        <v>3</v>
      </c>
      <c r="H4049" t="n">
        <v>0</v>
      </c>
      <c r="I4049" t="n">
        <v>0</v>
      </c>
      <c r="J4049" t="n">
        <v>0</v>
      </c>
      <c r="K4049" t="n">
        <v>0</v>
      </c>
      <c r="L4049" t="n">
        <v>0</v>
      </c>
      <c r="M4049" t="n">
        <v>0</v>
      </c>
      <c r="N4049" t="n">
        <v>0</v>
      </c>
      <c r="O4049" t="n">
        <v>0</v>
      </c>
      <c r="P4049" t="n">
        <v>0</v>
      </c>
      <c r="Q4049" t="n">
        <v>0</v>
      </c>
      <c r="R4049" s="2" t="inlineStr"/>
    </row>
    <row r="4050" ht="15" customHeight="1">
      <c r="A4050" t="inlineStr">
        <is>
          <t>A 57576-2024</t>
        </is>
      </c>
      <c r="B4050" s="1" t="n">
        <v>45630.47453703704</v>
      </c>
      <c r="C4050" s="1" t="n">
        <v>45952</v>
      </c>
      <c r="D4050" t="inlineStr">
        <is>
          <t>VÄSTRA GÖTALANDS LÄN</t>
        </is>
      </c>
      <c r="E4050" t="inlineStr">
        <is>
          <t>TIDAHOLM</t>
        </is>
      </c>
      <c r="G4050" t="n">
        <v>1.8</v>
      </c>
      <c r="H4050" t="n">
        <v>0</v>
      </c>
      <c r="I4050" t="n">
        <v>0</v>
      </c>
      <c r="J4050" t="n">
        <v>0</v>
      </c>
      <c r="K4050" t="n">
        <v>0</v>
      </c>
      <c r="L4050" t="n">
        <v>0</v>
      </c>
      <c r="M4050" t="n">
        <v>0</v>
      </c>
      <c r="N4050" t="n">
        <v>0</v>
      </c>
      <c r="O4050" t="n">
        <v>0</v>
      </c>
      <c r="P4050" t="n">
        <v>0</v>
      </c>
      <c r="Q4050" t="n">
        <v>0</v>
      </c>
      <c r="R4050" s="2" t="inlineStr"/>
    </row>
    <row r="4051" ht="15" customHeight="1">
      <c r="A4051" t="inlineStr">
        <is>
          <t>A 57600-2024</t>
        </is>
      </c>
      <c r="B4051" s="1" t="n">
        <v>45630.51900462963</v>
      </c>
      <c r="C4051" s="1" t="n">
        <v>45952</v>
      </c>
      <c r="D4051" t="inlineStr">
        <is>
          <t>VÄSTRA GÖTALANDS LÄN</t>
        </is>
      </c>
      <c r="E4051" t="inlineStr">
        <is>
          <t>SVENLJUNGA</t>
        </is>
      </c>
      <c r="G4051" t="n">
        <v>1.2</v>
      </c>
      <c r="H4051" t="n">
        <v>0</v>
      </c>
      <c r="I4051" t="n">
        <v>0</v>
      </c>
      <c r="J4051" t="n">
        <v>0</v>
      </c>
      <c r="K4051" t="n">
        <v>0</v>
      </c>
      <c r="L4051" t="n">
        <v>0</v>
      </c>
      <c r="M4051" t="n">
        <v>0</v>
      </c>
      <c r="N4051" t="n">
        <v>0</v>
      </c>
      <c r="O4051" t="n">
        <v>0</v>
      </c>
      <c r="P4051" t="n">
        <v>0</v>
      </c>
      <c r="Q4051" t="n">
        <v>0</v>
      </c>
      <c r="R4051" s="2" t="inlineStr"/>
    </row>
    <row r="4052" ht="15" customHeight="1">
      <c r="A4052" t="inlineStr">
        <is>
          <t>A 7971-2025</t>
        </is>
      </c>
      <c r="B4052" s="1" t="n">
        <v>45707</v>
      </c>
      <c r="C4052" s="1" t="n">
        <v>45952</v>
      </c>
      <c r="D4052" t="inlineStr">
        <is>
          <t>VÄSTRA GÖTALANDS LÄN</t>
        </is>
      </c>
      <c r="E4052" t="inlineStr">
        <is>
          <t>SKARA</t>
        </is>
      </c>
      <c r="G4052" t="n">
        <v>7.3</v>
      </c>
      <c r="H4052" t="n">
        <v>0</v>
      </c>
      <c r="I4052" t="n">
        <v>0</v>
      </c>
      <c r="J4052" t="n">
        <v>0</v>
      </c>
      <c r="K4052" t="n">
        <v>0</v>
      </c>
      <c r="L4052" t="n">
        <v>0</v>
      </c>
      <c r="M4052" t="n">
        <v>0</v>
      </c>
      <c r="N4052" t="n">
        <v>0</v>
      </c>
      <c r="O4052" t="n">
        <v>0</v>
      </c>
      <c r="P4052" t="n">
        <v>0</v>
      </c>
      <c r="Q4052" t="n">
        <v>0</v>
      </c>
      <c r="R4052" s="2" t="inlineStr"/>
    </row>
    <row r="4053" ht="15" customHeight="1">
      <c r="A4053" t="inlineStr">
        <is>
          <t>A 26940-2023</t>
        </is>
      </c>
      <c r="B4053" s="1" t="n">
        <v>45093.62900462963</v>
      </c>
      <c r="C4053" s="1" t="n">
        <v>45952</v>
      </c>
      <c r="D4053" t="inlineStr">
        <is>
          <t>VÄSTRA GÖTALANDS LÄN</t>
        </is>
      </c>
      <c r="E4053" t="inlineStr">
        <is>
          <t>UDDEVALLA</t>
        </is>
      </c>
      <c r="G4053" t="n">
        <v>1.7</v>
      </c>
      <c r="H4053" t="n">
        <v>0</v>
      </c>
      <c r="I4053" t="n">
        <v>0</v>
      </c>
      <c r="J4053" t="n">
        <v>0</v>
      </c>
      <c r="K4053" t="n">
        <v>0</v>
      </c>
      <c r="L4053" t="n">
        <v>0</v>
      </c>
      <c r="M4053" t="n">
        <v>0</v>
      </c>
      <c r="N4053" t="n">
        <v>0</v>
      </c>
      <c r="O4053" t="n">
        <v>0</v>
      </c>
      <c r="P4053" t="n">
        <v>0</v>
      </c>
      <c r="Q4053" t="n">
        <v>0</v>
      </c>
      <c r="R4053" s="2" t="inlineStr"/>
    </row>
    <row r="4054" ht="15" customHeight="1">
      <c r="A4054" t="inlineStr">
        <is>
          <t>A 28851-2024</t>
        </is>
      </c>
      <c r="B4054" s="1" t="n">
        <v>45478.78487268519</v>
      </c>
      <c r="C4054" s="1" t="n">
        <v>45952</v>
      </c>
      <c r="D4054" t="inlineStr">
        <is>
          <t>VÄSTRA GÖTALANDS LÄN</t>
        </is>
      </c>
      <c r="E4054" t="inlineStr">
        <is>
          <t>VARA</t>
        </is>
      </c>
      <c r="G4054" t="n">
        <v>1.7</v>
      </c>
      <c r="H4054" t="n">
        <v>0</v>
      </c>
      <c r="I4054" t="n">
        <v>0</v>
      </c>
      <c r="J4054" t="n">
        <v>0</v>
      </c>
      <c r="K4054" t="n">
        <v>0</v>
      </c>
      <c r="L4054" t="n">
        <v>0</v>
      </c>
      <c r="M4054" t="n">
        <v>0</v>
      </c>
      <c r="N4054" t="n">
        <v>0</v>
      </c>
      <c r="O4054" t="n">
        <v>0</v>
      </c>
      <c r="P4054" t="n">
        <v>0</v>
      </c>
      <c r="Q4054" t="n">
        <v>0</v>
      </c>
      <c r="R4054" s="2" t="inlineStr"/>
    </row>
    <row r="4055" ht="15" customHeight="1">
      <c r="A4055" t="inlineStr">
        <is>
          <t>A 57964-2022</t>
        </is>
      </c>
      <c r="B4055" s="1" t="n">
        <v>44900.43491898148</v>
      </c>
      <c r="C4055" s="1" t="n">
        <v>45952</v>
      </c>
      <c r="D4055" t="inlineStr">
        <is>
          <t>VÄSTRA GÖTALANDS LÄN</t>
        </is>
      </c>
      <c r="E4055" t="inlineStr">
        <is>
          <t>TIDAHOLM</t>
        </is>
      </c>
      <c r="F4055" t="inlineStr">
        <is>
          <t>Sveaskog</t>
        </is>
      </c>
      <c r="G4055" t="n">
        <v>2</v>
      </c>
      <c r="H4055" t="n">
        <v>0</v>
      </c>
      <c r="I4055" t="n">
        <v>0</v>
      </c>
      <c r="J4055" t="n">
        <v>0</v>
      </c>
      <c r="K4055" t="n">
        <v>0</v>
      </c>
      <c r="L4055" t="n">
        <v>0</v>
      </c>
      <c r="M4055" t="n">
        <v>0</v>
      </c>
      <c r="N4055" t="n">
        <v>0</v>
      </c>
      <c r="O4055" t="n">
        <v>0</v>
      </c>
      <c r="P4055" t="n">
        <v>0</v>
      </c>
      <c r="Q4055" t="n">
        <v>0</v>
      </c>
      <c r="R4055" s="2" t="inlineStr"/>
    </row>
    <row r="4056" ht="15" customHeight="1">
      <c r="A4056" t="inlineStr">
        <is>
          <t>A 57969-2022</t>
        </is>
      </c>
      <c r="B4056" s="1" t="n">
        <v>44900.44082175926</v>
      </c>
      <c r="C4056" s="1" t="n">
        <v>45952</v>
      </c>
      <c r="D4056" t="inlineStr">
        <is>
          <t>VÄSTRA GÖTALANDS LÄN</t>
        </is>
      </c>
      <c r="E4056" t="inlineStr">
        <is>
          <t>TIDAHOLM</t>
        </is>
      </c>
      <c r="F4056" t="inlineStr">
        <is>
          <t>Sveaskog</t>
        </is>
      </c>
      <c r="G4056" t="n">
        <v>1.5</v>
      </c>
      <c r="H4056" t="n">
        <v>0</v>
      </c>
      <c r="I4056" t="n">
        <v>0</v>
      </c>
      <c r="J4056" t="n">
        <v>0</v>
      </c>
      <c r="K4056" t="n">
        <v>0</v>
      </c>
      <c r="L4056" t="n">
        <v>0</v>
      </c>
      <c r="M4056" t="n">
        <v>0</v>
      </c>
      <c r="N4056" t="n">
        <v>0</v>
      </c>
      <c r="O4056" t="n">
        <v>0</v>
      </c>
      <c r="P4056" t="n">
        <v>0</v>
      </c>
      <c r="Q4056" t="n">
        <v>0</v>
      </c>
      <c r="R4056" s="2" t="inlineStr"/>
    </row>
    <row r="4057" ht="15" customHeight="1">
      <c r="A4057" t="inlineStr">
        <is>
          <t>A 24074-2023</t>
        </is>
      </c>
      <c r="B4057" s="1" t="n">
        <v>45078</v>
      </c>
      <c r="C4057" s="1" t="n">
        <v>45952</v>
      </c>
      <c r="D4057" t="inlineStr">
        <is>
          <t>VÄSTRA GÖTALANDS LÄN</t>
        </is>
      </c>
      <c r="E4057" t="inlineStr">
        <is>
          <t>FÄRGELANDA</t>
        </is>
      </c>
      <c r="G4057" t="n">
        <v>0.5</v>
      </c>
      <c r="H4057" t="n">
        <v>0</v>
      </c>
      <c r="I4057" t="n">
        <v>0</v>
      </c>
      <c r="J4057" t="n">
        <v>0</v>
      </c>
      <c r="K4057" t="n">
        <v>0</v>
      </c>
      <c r="L4057" t="n">
        <v>0</v>
      </c>
      <c r="M4057" t="n">
        <v>0</v>
      </c>
      <c r="N4057" t="n">
        <v>0</v>
      </c>
      <c r="O4057" t="n">
        <v>0</v>
      </c>
      <c r="P4057" t="n">
        <v>0</v>
      </c>
      <c r="Q4057" t="n">
        <v>0</v>
      </c>
      <c r="R4057" s="2" t="inlineStr"/>
    </row>
    <row r="4058" ht="15" customHeight="1">
      <c r="A4058" t="inlineStr">
        <is>
          <t>A 24115-2023</t>
        </is>
      </c>
      <c r="B4058" s="1" t="n">
        <v>45079.47261574074</v>
      </c>
      <c r="C4058" s="1" t="n">
        <v>45952</v>
      </c>
      <c r="D4058" t="inlineStr">
        <is>
          <t>VÄSTRA GÖTALANDS LÄN</t>
        </is>
      </c>
      <c r="E4058" t="inlineStr">
        <is>
          <t>BENGTSFORS</t>
        </is>
      </c>
      <c r="G4058" t="n">
        <v>0.3</v>
      </c>
      <c r="H4058" t="n">
        <v>0</v>
      </c>
      <c r="I4058" t="n">
        <v>0</v>
      </c>
      <c r="J4058" t="n">
        <v>0</v>
      </c>
      <c r="K4058" t="n">
        <v>0</v>
      </c>
      <c r="L4058" t="n">
        <v>0</v>
      </c>
      <c r="M4058" t="n">
        <v>0</v>
      </c>
      <c r="N4058" t="n">
        <v>0</v>
      </c>
      <c r="O4058" t="n">
        <v>0</v>
      </c>
      <c r="P4058" t="n">
        <v>0</v>
      </c>
      <c r="Q4058" t="n">
        <v>0</v>
      </c>
      <c r="R4058" s="2" t="inlineStr"/>
    </row>
    <row r="4059" ht="15" customHeight="1">
      <c r="A4059" t="inlineStr">
        <is>
          <t>A 3493-2022</t>
        </is>
      </c>
      <c r="B4059" s="1" t="n">
        <v>44585</v>
      </c>
      <c r="C4059" s="1" t="n">
        <v>45952</v>
      </c>
      <c r="D4059" t="inlineStr">
        <is>
          <t>VÄSTRA GÖTALANDS LÄN</t>
        </is>
      </c>
      <c r="E4059" t="inlineStr">
        <is>
          <t>TANUM</t>
        </is>
      </c>
      <c r="G4059" t="n">
        <v>4.2</v>
      </c>
      <c r="H4059" t="n">
        <v>0</v>
      </c>
      <c r="I4059" t="n">
        <v>0</v>
      </c>
      <c r="J4059" t="n">
        <v>0</v>
      </c>
      <c r="K4059" t="n">
        <v>0</v>
      </c>
      <c r="L4059" t="n">
        <v>0</v>
      </c>
      <c r="M4059" t="n">
        <v>0</v>
      </c>
      <c r="N4059" t="n">
        <v>0</v>
      </c>
      <c r="O4059" t="n">
        <v>0</v>
      </c>
      <c r="P4059" t="n">
        <v>0</v>
      </c>
      <c r="Q4059" t="n">
        <v>0</v>
      </c>
      <c r="R4059" s="2" t="inlineStr"/>
    </row>
    <row r="4060" ht="15" customHeight="1">
      <c r="A4060" t="inlineStr">
        <is>
          <t>A 2214-2025</t>
        </is>
      </c>
      <c r="B4060" s="1" t="n">
        <v>45673.43833333333</v>
      </c>
      <c r="C4060" s="1" t="n">
        <v>45952</v>
      </c>
      <c r="D4060" t="inlineStr">
        <is>
          <t>VÄSTRA GÖTALANDS LÄN</t>
        </is>
      </c>
      <c r="E4060" t="inlineStr">
        <is>
          <t>TRANEMO</t>
        </is>
      </c>
      <c r="G4060" t="n">
        <v>16.6</v>
      </c>
      <c r="H4060" t="n">
        <v>0</v>
      </c>
      <c r="I4060" t="n">
        <v>0</v>
      </c>
      <c r="J4060" t="n">
        <v>0</v>
      </c>
      <c r="K4060" t="n">
        <v>0</v>
      </c>
      <c r="L4060" t="n">
        <v>0</v>
      </c>
      <c r="M4060" t="n">
        <v>0</v>
      </c>
      <c r="N4060" t="n">
        <v>0</v>
      </c>
      <c r="O4060" t="n">
        <v>0</v>
      </c>
      <c r="P4060" t="n">
        <v>0</v>
      </c>
      <c r="Q4060" t="n">
        <v>0</v>
      </c>
      <c r="R4060" s="2" t="inlineStr"/>
    </row>
    <row r="4061" ht="15" customHeight="1">
      <c r="A4061" t="inlineStr">
        <is>
          <t>A 3670-2022</t>
        </is>
      </c>
      <c r="B4061" s="1" t="n">
        <v>44586</v>
      </c>
      <c r="C4061" s="1" t="n">
        <v>45952</v>
      </c>
      <c r="D4061" t="inlineStr">
        <is>
          <t>VÄSTRA GÖTALANDS LÄN</t>
        </is>
      </c>
      <c r="E4061" t="inlineStr">
        <is>
          <t>SKÖVDE</t>
        </is>
      </c>
      <c r="G4061" t="n">
        <v>1.1</v>
      </c>
      <c r="H4061" t="n">
        <v>0</v>
      </c>
      <c r="I4061" t="n">
        <v>0</v>
      </c>
      <c r="J4061" t="n">
        <v>0</v>
      </c>
      <c r="K4061" t="n">
        <v>0</v>
      </c>
      <c r="L4061" t="n">
        <v>0</v>
      </c>
      <c r="M4061" t="n">
        <v>0</v>
      </c>
      <c r="N4061" t="n">
        <v>0</v>
      </c>
      <c r="O4061" t="n">
        <v>0</v>
      </c>
      <c r="P4061" t="n">
        <v>0</v>
      </c>
      <c r="Q4061" t="n">
        <v>0</v>
      </c>
      <c r="R4061" s="2" t="inlineStr"/>
    </row>
    <row r="4062" ht="15" customHeight="1">
      <c r="A4062" t="inlineStr">
        <is>
          <t>A 6554-2025</t>
        </is>
      </c>
      <c r="B4062" s="1" t="n">
        <v>45699.71619212963</v>
      </c>
      <c r="C4062" s="1" t="n">
        <v>45952</v>
      </c>
      <c r="D4062" t="inlineStr">
        <is>
          <t>VÄSTRA GÖTALANDS LÄN</t>
        </is>
      </c>
      <c r="E4062" t="inlineStr">
        <is>
          <t>SVENLJUNGA</t>
        </is>
      </c>
      <c r="F4062" t="inlineStr">
        <is>
          <t>Kommuner</t>
        </is>
      </c>
      <c r="G4062" t="n">
        <v>1.1</v>
      </c>
      <c r="H4062" t="n">
        <v>0</v>
      </c>
      <c r="I4062" t="n">
        <v>0</v>
      </c>
      <c r="J4062" t="n">
        <v>0</v>
      </c>
      <c r="K4062" t="n">
        <v>0</v>
      </c>
      <c r="L4062" t="n">
        <v>0</v>
      </c>
      <c r="M4062" t="n">
        <v>0</v>
      </c>
      <c r="N4062" t="n">
        <v>0</v>
      </c>
      <c r="O4062" t="n">
        <v>0</v>
      </c>
      <c r="P4062" t="n">
        <v>0</v>
      </c>
      <c r="Q4062" t="n">
        <v>0</v>
      </c>
      <c r="R4062" s="2" t="inlineStr"/>
    </row>
    <row r="4063" ht="15" customHeight="1">
      <c r="A4063" t="inlineStr">
        <is>
          <t>A 15708-2023</t>
        </is>
      </c>
      <c r="B4063" s="1" t="n">
        <v>45021.52868055556</v>
      </c>
      <c r="C4063" s="1" t="n">
        <v>45952</v>
      </c>
      <c r="D4063" t="inlineStr">
        <is>
          <t>VÄSTRA GÖTALANDS LÄN</t>
        </is>
      </c>
      <c r="E4063" t="inlineStr">
        <is>
          <t>SVENLJUNGA</t>
        </is>
      </c>
      <c r="G4063" t="n">
        <v>0.9</v>
      </c>
      <c r="H4063" t="n">
        <v>0</v>
      </c>
      <c r="I4063" t="n">
        <v>0</v>
      </c>
      <c r="J4063" t="n">
        <v>0</v>
      </c>
      <c r="K4063" t="n">
        <v>0</v>
      </c>
      <c r="L4063" t="n">
        <v>0</v>
      </c>
      <c r="M4063" t="n">
        <v>0</v>
      </c>
      <c r="N4063" t="n">
        <v>0</v>
      </c>
      <c r="O4063" t="n">
        <v>0</v>
      </c>
      <c r="P4063" t="n">
        <v>0</v>
      </c>
      <c r="Q4063" t="n">
        <v>0</v>
      </c>
      <c r="R4063" s="2" t="inlineStr"/>
    </row>
    <row r="4064" ht="15" customHeight="1">
      <c r="A4064" t="inlineStr">
        <is>
          <t>A 38251-2021</t>
        </is>
      </c>
      <c r="B4064" s="1" t="n">
        <v>44405</v>
      </c>
      <c r="C4064" s="1" t="n">
        <v>45952</v>
      </c>
      <c r="D4064" t="inlineStr">
        <is>
          <t>VÄSTRA GÖTALANDS LÄN</t>
        </is>
      </c>
      <c r="E4064" t="inlineStr">
        <is>
          <t>GÖTENE</t>
        </is>
      </c>
      <c r="G4064" t="n">
        <v>1.3</v>
      </c>
      <c r="H4064" t="n">
        <v>0</v>
      </c>
      <c r="I4064" t="n">
        <v>0</v>
      </c>
      <c r="J4064" t="n">
        <v>0</v>
      </c>
      <c r="K4064" t="n">
        <v>0</v>
      </c>
      <c r="L4064" t="n">
        <v>0</v>
      </c>
      <c r="M4064" t="n">
        <v>0</v>
      </c>
      <c r="N4064" t="n">
        <v>0</v>
      </c>
      <c r="O4064" t="n">
        <v>0</v>
      </c>
      <c r="P4064" t="n">
        <v>0</v>
      </c>
      <c r="Q4064" t="n">
        <v>0</v>
      </c>
      <c r="R4064" s="2" t="inlineStr"/>
    </row>
    <row r="4065" ht="15" customHeight="1">
      <c r="A4065" t="inlineStr">
        <is>
          <t>A 59381-2022</t>
        </is>
      </c>
      <c r="B4065" s="1" t="n">
        <v>44905.46840277778</v>
      </c>
      <c r="C4065" s="1" t="n">
        <v>45952</v>
      </c>
      <c r="D4065" t="inlineStr">
        <is>
          <t>VÄSTRA GÖTALANDS LÄN</t>
        </is>
      </c>
      <c r="E4065" t="inlineStr">
        <is>
          <t>VÅRGÅRDA</t>
        </is>
      </c>
      <c r="G4065" t="n">
        <v>1.3</v>
      </c>
      <c r="H4065" t="n">
        <v>0</v>
      </c>
      <c r="I4065" t="n">
        <v>0</v>
      </c>
      <c r="J4065" t="n">
        <v>0</v>
      </c>
      <c r="K4065" t="n">
        <v>0</v>
      </c>
      <c r="L4065" t="n">
        <v>0</v>
      </c>
      <c r="M4065" t="n">
        <v>0</v>
      </c>
      <c r="N4065" t="n">
        <v>0</v>
      </c>
      <c r="O4065" t="n">
        <v>0</v>
      </c>
      <c r="P4065" t="n">
        <v>0</v>
      </c>
      <c r="Q4065" t="n">
        <v>0</v>
      </c>
      <c r="R4065" s="2" t="inlineStr"/>
    </row>
    <row r="4066" ht="15" customHeight="1">
      <c r="A4066" t="inlineStr">
        <is>
          <t>A 61969-2022</t>
        </is>
      </c>
      <c r="B4066" s="1" t="n">
        <v>44914</v>
      </c>
      <c r="C4066" s="1" t="n">
        <v>45952</v>
      </c>
      <c r="D4066" t="inlineStr">
        <is>
          <t>VÄSTRA GÖTALANDS LÄN</t>
        </is>
      </c>
      <c r="E4066" t="inlineStr">
        <is>
          <t>VÅRGÅRDA</t>
        </is>
      </c>
      <c r="G4066" t="n">
        <v>5.7</v>
      </c>
      <c r="H4066" t="n">
        <v>0</v>
      </c>
      <c r="I4066" t="n">
        <v>0</v>
      </c>
      <c r="J4066" t="n">
        <v>0</v>
      </c>
      <c r="K4066" t="n">
        <v>0</v>
      </c>
      <c r="L4066" t="n">
        <v>0</v>
      </c>
      <c r="M4066" t="n">
        <v>0</v>
      </c>
      <c r="N4066" t="n">
        <v>0</v>
      </c>
      <c r="O4066" t="n">
        <v>0</v>
      </c>
      <c r="P4066" t="n">
        <v>0</v>
      </c>
      <c r="Q4066" t="n">
        <v>0</v>
      </c>
      <c r="R4066" s="2" t="inlineStr"/>
    </row>
    <row r="4067" ht="15" customHeight="1">
      <c r="A4067" t="inlineStr">
        <is>
          <t>A 20169-2025</t>
        </is>
      </c>
      <c r="B4067" s="1" t="n">
        <v>45772.57777777778</v>
      </c>
      <c r="C4067" s="1" t="n">
        <v>45952</v>
      </c>
      <c r="D4067" t="inlineStr">
        <is>
          <t>VÄSTRA GÖTALANDS LÄN</t>
        </is>
      </c>
      <c r="E4067" t="inlineStr">
        <is>
          <t>VÅRGÅRDA</t>
        </is>
      </c>
      <c r="G4067" t="n">
        <v>2.1</v>
      </c>
      <c r="H4067" t="n">
        <v>0</v>
      </c>
      <c r="I4067" t="n">
        <v>0</v>
      </c>
      <c r="J4067" t="n">
        <v>0</v>
      </c>
      <c r="K4067" t="n">
        <v>0</v>
      </c>
      <c r="L4067" t="n">
        <v>0</v>
      </c>
      <c r="M4067" t="n">
        <v>0</v>
      </c>
      <c r="N4067" t="n">
        <v>0</v>
      </c>
      <c r="O4067" t="n">
        <v>0</v>
      </c>
      <c r="P4067" t="n">
        <v>0</v>
      </c>
      <c r="Q4067" t="n">
        <v>0</v>
      </c>
      <c r="R4067" s="2" t="inlineStr"/>
    </row>
    <row r="4068" ht="15" customHeight="1">
      <c r="A4068" t="inlineStr">
        <is>
          <t>A 25519-2023</t>
        </is>
      </c>
      <c r="B4068" s="1" t="n">
        <v>45089.5193287037</v>
      </c>
      <c r="C4068" s="1" t="n">
        <v>45952</v>
      </c>
      <c r="D4068" t="inlineStr">
        <is>
          <t>VÄSTRA GÖTALANDS LÄN</t>
        </is>
      </c>
      <c r="E4068" t="inlineStr">
        <is>
          <t>UDDEVALLA</t>
        </is>
      </c>
      <c r="G4068" t="n">
        <v>0.7</v>
      </c>
      <c r="H4068" t="n">
        <v>0</v>
      </c>
      <c r="I4068" t="n">
        <v>0</v>
      </c>
      <c r="J4068" t="n">
        <v>0</v>
      </c>
      <c r="K4068" t="n">
        <v>0</v>
      </c>
      <c r="L4068" t="n">
        <v>0</v>
      </c>
      <c r="M4068" t="n">
        <v>0</v>
      </c>
      <c r="N4068" t="n">
        <v>0</v>
      </c>
      <c r="O4068" t="n">
        <v>0</v>
      </c>
      <c r="P4068" t="n">
        <v>0</v>
      </c>
      <c r="Q4068" t="n">
        <v>0</v>
      </c>
      <c r="R4068" s="2" t="inlineStr"/>
    </row>
    <row r="4069" ht="15" customHeight="1">
      <c r="A4069" t="inlineStr">
        <is>
          <t>A 62360-2021</t>
        </is>
      </c>
      <c r="B4069" s="1" t="n">
        <v>44503.45417824074</v>
      </c>
      <c r="C4069" s="1" t="n">
        <v>45952</v>
      </c>
      <c r="D4069" t="inlineStr">
        <is>
          <t>VÄSTRA GÖTALANDS LÄN</t>
        </is>
      </c>
      <c r="E4069" t="inlineStr">
        <is>
          <t>ESSUNGA</t>
        </is>
      </c>
      <c r="G4069" t="n">
        <v>0.7</v>
      </c>
      <c r="H4069" t="n">
        <v>0</v>
      </c>
      <c r="I4069" t="n">
        <v>0</v>
      </c>
      <c r="J4069" t="n">
        <v>0</v>
      </c>
      <c r="K4069" t="n">
        <v>0</v>
      </c>
      <c r="L4069" t="n">
        <v>0</v>
      </c>
      <c r="M4069" t="n">
        <v>0</v>
      </c>
      <c r="N4069" t="n">
        <v>0</v>
      </c>
      <c r="O4069" t="n">
        <v>0</v>
      </c>
      <c r="P4069" t="n">
        <v>0</v>
      </c>
      <c r="Q4069" t="n">
        <v>0</v>
      </c>
      <c r="R4069" s="2" t="inlineStr"/>
    </row>
    <row r="4070" ht="15" customHeight="1">
      <c r="A4070" t="inlineStr">
        <is>
          <t>A 35440-2024</t>
        </is>
      </c>
      <c r="B4070" s="1" t="n">
        <v>45531</v>
      </c>
      <c r="C4070" s="1" t="n">
        <v>45952</v>
      </c>
      <c r="D4070" t="inlineStr">
        <is>
          <t>VÄSTRA GÖTALANDS LÄN</t>
        </is>
      </c>
      <c r="E4070" t="inlineStr">
        <is>
          <t>TANUM</t>
        </is>
      </c>
      <c r="G4070" t="n">
        <v>0.6</v>
      </c>
      <c r="H4070" t="n">
        <v>0</v>
      </c>
      <c r="I4070" t="n">
        <v>0</v>
      </c>
      <c r="J4070" t="n">
        <v>0</v>
      </c>
      <c r="K4070" t="n">
        <v>0</v>
      </c>
      <c r="L4070" t="n">
        <v>0</v>
      </c>
      <c r="M4070" t="n">
        <v>0</v>
      </c>
      <c r="N4070" t="n">
        <v>0</v>
      </c>
      <c r="O4070" t="n">
        <v>0</v>
      </c>
      <c r="P4070" t="n">
        <v>0</v>
      </c>
      <c r="Q4070" t="n">
        <v>0</v>
      </c>
      <c r="R4070" s="2" t="inlineStr"/>
    </row>
    <row r="4071" ht="15" customHeight="1">
      <c r="A4071" t="inlineStr">
        <is>
          <t>A 35448-2024</t>
        </is>
      </c>
      <c r="B4071" s="1" t="n">
        <v>45531</v>
      </c>
      <c r="C4071" s="1" t="n">
        <v>45952</v>
      </c>
      <c r="D4071" t="inlineStr">
        <is>
          <t>VÄSTRA GÖTALANDS LÄN</t>
        </is>
      </c>
      <c r="E4071" t="inlineStr">
        <is>
          <t>TÖREBODA</t>
        </is>
      </c>
      <c r="G4071" t="n">
        <v>2.7</v>
      </c>
      <c r="H4071" t="n">
        <v>0</v>
      </c>
      <c r="I4071" t="n">
        <v>0</v>
      </c>
      <c r="J4071" t="n">
        <v>0</v>
      </c>
      <c r="K4071" t="n">
        <v>0</v>
      </c>
      <c r="L4071" t="n">
        <v>0</v>
      </c>
      <c r="M4071" t="n">
        <v>0</v>
      </c>
      <c r="N4071" t="n">
        <v>0</v>
      </c>
      <c r="O4071" t="n">
        <v>0</v>
      </c>
      <c r="P4071" t="n">
        <v>0</v>
      </c>
      <c r="Q4071" t="n">
        <v>0</v>
      </c>
      <c r="R4071" s="2" t="inlineStr"/>
    </row>
    <row r="4072" ht="15" customHeight="1">
      <c r="A4072" t="inlineStr">
        <is>
          <t>A 19125-2025</t>
        </is>
      </c>
      <c r="B4072" s="1" t="n">
        <v>45768.8713425926</v>
      </c>
      <c r="C4072" s="1" t="n">
        <v>45952</v>
      </c>
      <c r="D4072" t="inlineStr">
        <is>
          <t>VÄSTRA GÖTALANDS LÄN</t>
        </is>
      </c>
      <c r="E4072" t="inlineStr">
        <is>
          <t>KARLSBORG</t>
        </is>
      </c>
      <c r="G4072" t="n">
        <v>2.3</v>
      </c>
      <c r="H4072" t="n">
        <v>0</v>
      </c>
      <c r="I4072" t="n">
        <v>0</v>
      </c>
      <c r="J4072" t="n">
        <v>0</v>
      </c>
      <c r="K4072" t="n">
        <v>0</v>
      </c>
      <c r="L4072" t="n">
        <v>0</v>
      </c>
      <c r="M4072" t="n">
        <v>0</v>
      </c>
      <c r="N4072" t="n">
        <v>0</v>
      </c>
      <c r="O4072" t="n">
        <v>0</v>
      </c>
      <c r="P4072" t="n">
        <v>0</v>
      </c>
      <c r="Q4072" t="n">
        <v>0</v>
      </c>
      <c r="R4072" s="2" t="inlineStr"/>
    </row>
    <row r="4073" ht="15" customHeight="1">
      <c r="A4073" t="inlineStr">
        <is>
          <t>A 26246-2023</t>
        </is>
      </c>
      <c r="B4073" s="1" t="n">
        <v>45091</v>
      </c>
      <c r="C4073" s="1" t="n">
        <v>45952</v>
      </c>
      <c r="D4073" t="inlineStr">
        <is>
          <t>VÄSTRA GÖTALANDS LÄN</t>
        </is>
      </c>
      <c r="E4073" t="inlineStr">
        <is>
          <t>BENGTSFORS</t>
        </is>
      </c>
      <c r="G4073" t="n">
        <v>0.7</v>
      </c>
      <c r="H4073" t="n">
        <v>0</v>
      </c>
      <c r="I4073" t="n">
        <v>0</v>
      </c>
      <c r="J4073" t="n">
        <v>0</v>
      </c>
      <c r="K4073" t="n">
        <v>0</v>
      </c>
      <c r="L4073" t="n">
        <v>0</v>
      </c>
      <c r="M4073" t="n">
        <v>0</v>
      </c>
      <c r="N4073" t="n">
        <v>0</v>
      </c>
      <c r="O4073" t="n">
        <v>0</v>
      </c>
      <c r="P4073" t="n">
        <v>0</v>
      </c>
      <c r="Q4073" t="n">
        <v>0</v>
      </c>
      <c r="R4073" s="2" t="inlineStr"/>
    </row>
    <row r="4074" ht="15" customHeight="1">
      <c r="A4074" t="inlineStr">
        <is>
          <t>A 26248-2023</t>
        </is>
      </c>
      <c r="B4074" s="1" t="n">
        <v>45091</v>
      </c>
      <c r="C4074" s="1" t="n">
        <v>45952</v>
      </c>
      <c r="D4074" t="inlineStr">
        <is>
          <t>VÄSTRA GÖTALANDS LÄN</t>
        </is>
      </c>
      <c r="E4074" t="inlineStr">
        <is>
          <t>ULRICEHAMN</t>
        </is>
      </c>
      <c r="G4074" t="n">
        <v>5.3</v>
      </c>
      <c r="H4074" t="n">
        <v>0</v>
      </c>
      <c r="I4074" t="n">
        <v>0</v>
      </c>
      <c r="J4074" t="n">
        <v>0</v>
      </c>
      <c r="K4074" t="n">
        <v>0</v>
      </c>
      <c r="L4074" t="n">
        <v>0</v>
      </c>
      <c r="M4074" t="n">
        <v>0</v>
      </c>
      <c r="N4074" t="n">
        <v>0</v>
      </c>
      <c r="O4074" t="n">
        <v>0</v>
      </c>
      <c r="P4074" t="n">
        <v>0</v>
      </c>
      <c r="Q4074" t="n">
        <v>0</v>
      </c>
      <c r="R4074" s="2" t="inlineStr"/>
    </row>
    <row r="4075" ht="15" customHeight="1">
      <c r="A4075" t="inlineStr">
        <is>
          <t>A 35489-2024</t>
        </is>
      </c>
      <c r="B4075" s="1" t="n">
        <v>45531</v>
      </c>
      <c r="C4075" s="1" t="n">
        <v>45952</v>
      </c>
      <c r="D4075" t="inlineStr">
        <is>
          <t>VÄSTRA GÖTALANDS LÄN</t>
        </is>
      </c>
      <c r="E4075" t="inlineStr">
        <is>
          <t>TÖREBODA</t>
        </is>
      </c>
      <c r="G4075" t="n">
        <v>0.7</v>
      </c>
      <c r="H4075" t="n">
        <v>0</v>
      </c>
      <c r="I4075" t="n">
        <v>0</v>
      </c>
      <c r="J4075" t="n">
        <v>0</v>
      </c>
      <c r="K4075" t="n">
        <v>0</v>
      </c>
      <c r="L4075" t="n">
        <v>0</v>
      </c>
      <c r="M4075" t="n">
        <v>0</v>
      </c>
      <c r="N4075" t="n">
        <v>0</v>
      </c>
      <c r="O4075" t="n">
        <v>0</v>
      </c>
      <c r="P4075" t="n">
        <v>0</v>
      </c>
      <c r="Q4075" t="n">
        <v>0</v>
      </c>
      <c r="R4075" s="2" t="inlineStr"/>
    </row>
    <row r="4076" ht="15" customHeight="1">
      <c r="A4076" t="inlineStr">
        <is>
          <t>A 3430-2024</t>
        </is>
      </c>
      <c r="B4076" s="1" t="n">
        <v>45317</v>
      </c>
      <c r="C4076" s="1" t="n">
        <v>45952</v>
      </c>
      <c r="D4076" t="inlineStr">
        <is>
          <t>VÄSTRA GÖTALANDS LÄN</t>
        </is>
      </c>
      <c r="E4076" t="inlineStr">
        <is>
          <t>UDDEVALLA</t>
        </is>
      </c>
      <c r="F4076" t="inlineStr">
        <is>
          <t>Kyrkan</t>
        </is>
      </c>
      <c r="G4076" t="n">
        <v>0.9</v>
      </c>
      <c r="H4076" t="n">
        <v>0</v>
      </c>
      <c r="I4076" t="n">
        <v>0</v>
      </c>
      <c r="J4076" t="n">
        <v>0</v>
      </c>
      <c r="K4076" t="n">
        <v>0</v>
      </c>
      <c r="L4076" t="n">
        <v>0</v>
      </c>
      <c r="M4076" t="n">
        <v>0</v>
      </c>
      <c r="N4076" t="n">
        <v>0</v>
      </c>
      <c r="O4076" t="n">
        <v>0</v>
      </c>
      <c r="P4076" t="n">
        <v>0</v>
      </c>
      <c r="Q4076" t="n">
        <v>0</v>
      </c>
      <c r="R4076" s="2" t="inlineStr"/>
    </row>
    <row r="4077" ht="15" customHeight="1">
      <c r="A4077" t="inlineStr">
        <is>
          <t>A 30277-2024</t>
        </is>
      </c>
      <c r="B4077" s="1" t="n">
        <v>45490</v>
      </c>
      <c r="C4077" s="1" t="n">
        <v>45952</v>
      </c>
      <c r="D4077" t="inlineStr">
        <is>
          <t>VÄSTRA GÖTALANDS LÄN</t>
        </is>
      </c>
      <c r="E4077" t="inlineStr">
        <is>
          <t>MARK</t>
        </is>
      </c>
      <c r="G4077" t="n">
        <v>0.9</v>
      </c>
      <c r="H4077" t="n">
        <v>0</v>
      </c>
      <c r="I4077" t="n">
        <v>0</v>
      </c>
      <c r="J4077" t="n">
        <v>0</v>
      </c>
      <c r="K4077" t="n">
        <v>0</v>
      </c>
      <c r="L4077" t="n">
        <v>0</v>
      </c>
      <c r="M4077" t="n">
        <v>0</v>
      </c>
      <c r="N4077" t="n">
        <v>0</v>
      </c>
      <c r="O4077" t="n">
        <v>0</v>
      </c>
      <c r="P4077" t="n">
        <v>0</v>
      </c>
      <c r="Q4077" t="n">
        <v>0</v>
      </c>
      <c r="R4077" s="2" t="inlineStr"/>
    </row>
    <row r="4078" ht="15" customHeight="1">
      <c r="A4078" t="inlineStr">
        <is>
          <t>A 6112-2025</t>
        </is>
      </c>
      <c r="B4078" s="1" t="n">
        <v>45698.31922453704</v>
      </c>
      <c r="C4078" s="1" t="n">
        <v>45952</v>
      </c>
      <c r="D4078" t="inlineStr">
        <is>
          <t>VÄSTRA GÖTALANDS LÄN</t>
        </is>
      </c>
      <c r="E4078" t="inlineStr">
        <is>
          <t>TANUM</t>
        </is>
      </c>
      <c r="G4078" t="n">
        <v>0.9</v>
      </c>
      <c r="H4078" t="n">
        <v>0</v>
      </c>
      <c r="I4078" t="n">
        <v>0</v>
      </c>
      <c r="J4078" t="n">
        <v>0</v>
      </c>
      <c r="K4078" t="n">
        <v>0</v>
      </c>
      <c r="L4078" t="n">
        <v>0</v>
      </c>
      <c r="M4078" t="n">
        <v>0</v>
      </c>
      <c r="N4078" t="n">
        <v>0</v>
      </c>
      <c r="O4078" t="n">
        <v>0</v>
      </c>
      <c r="P4078" t="n">
        <v>0</v>
      </c>
      <c r="Q4078" t="n">
        <v>0</v>
      </c>
      <c r="R4078" s="2" t="inlineStr"/>
    </row>
    <row r="4079" ht="15" customHeight="1">
      <c r="A4079" t="inlineStr">
        <is>
          <t>A 19126-2025</t>
        </is>
      </c>
      <c r="B4079" s="1" t="n">
        <v>45768.87210648148</v>
      </c>
      <c r="C4079" s="1" t="n">
        <v>45952</v>
      </c>
      <c r="D4079" t="inlineStr">
        <is>
          <t>VÄSTRA GÖTALANDS LÄN</t>
        </is>
      </c>
      <c r="E4079" t="inlineStr">
        <is>
          <t>KARLSBORG</t>
        </is>
      </c>
      <c r="G4079" t="n">
        <v>4.4</v>
      </c>
      <c r="H4079" t="n">
        <v>0</v>
      </c>
      <c r="I4079" t="n">
        <v>0</v>
      </c>
      <c r="J4079" t="n">
        <v>0</v>
      </c>
      <c r="K4079" t="n">
        <v>0</v>
      </c>
      <c r="L4079" t="n">
        <v>0</v>
      </c>
      <c r="M4079" t="n">
        <v>0</v>
      </c>
      <c r="N4079" t="n">
        <v>0</v>
      </c>
      <c r="O4079" t="n">
        <v>0</v>
      </c>
      <c r="P4079" t="n">
        <v>0</v>
      </c>
      <c r="Q4079" t="n">
        <v>0</v>
      </c>
      <c r="R4079" s="2" t="inlineStr"/>
    </row>
    <row r="4080" ht="15" customHeight="1">
      <c r="A4080" t="inlineStr">
        <is>
          <t>A 43402-2023</t>
        </is>
      </c>
      <c r="B4080" s="1" t="n">
        <v>45183</v>
      </c>
      <c r="C4080" s="1" t="n">
        <v>45952</v>
      </c>
      <c r="D4080" t="inlineStr">
        <is>
          <t>VÄSTRA GÖTALANDS LÄN</t>
        </is>
      </c>
      <c r="E4080" t="inlineStr">
        <is>
          <t>MARK</t>
        </is>
      </c>
      <c r="G4080" t="n">
        <v>0.7</v>
      </c>
      <c r="H4080" t="n">
        <v>0</v>
      </c>
      <c r="I4080" t="n">
        <v>0</v>
      </c>
      <c r="J4080" t="n">
        <v>0</v>
      </c>
      <c r="K4080" t="n">
        <v>0</v>
      </c>
      <c r="L4080" t="n">
        <v>0</v>
      </c>
      <c r="M4080" t="n">
        <v>0</v>
      </c>
      <c r="N4080" t="n">
        <v>0</v>
      </c>
      <c r="O4080" t="n">
        <v>0</v>
      </c>
      <c r="P4080" t="n">
        <v>0</v>
      </c>
      <c r="Q4080" t="n">
        <v>0</v>
      </c>
      <c r="R4080" s="2" t="inlineStr"/>
    </row>
    <row r="4081" ht="15" customHeight="1">
      <c r="A4081" t="inlineStr">
        <is>
          <t>A 49746-2021</t>
        </is>
      </c>
      <c r="B4081" s="1" t="n">
        <v>44455</v>
      </c>
      <c r="C4081" s="1" t="n">
        <v>45952</v>
      </c>
      <c r="D4081" t="inlineStr">
        <is>
          <t>VÄSTRA GÖTALANDS LÄN</t>
        </is>
      </c>
      <c r="E4081" t="inlineStr">
        <is>
          <t>TANUM</t>
        </is>
      </c>
      <c r="G4081" t="n">
        <v>5.5</v>
      </c>
      <c r="H4081" t="n">
        <v>0</v>
      </c>
      <c r="I4081" t="n">
        <v>0</v>
      </c>
      <c r="J4081" t="n">
        <v>0</v>
      </c>
      <c r="K4081" t="n">
        <v>0</v>
      </c>
      <c r="L4081" t="n">
        <v>0</v>
      </c>
      <c r="M4081" t="n">
        <v>0</v>
      </c>
      <c r="N4081" t="n">
        <v>0</v>
      </c>
      <c r="O4081" t="n">
        <v>0</v>
      </c>
      <c r="P4081" t="n">
        <v>0</v>
      </c>
      <c r="Q4081" t="n">
        <v>0</v>
      </c>
      <c r="R4081" s="2" t="inlineStr"/>
    </row>
    <row r="4082" ht="15" customHeight="1">
      <c r="A4082" t="inlineStr">
        <is>
          <t>A 3441-2024</t>
        </is>
      </c>
      <c r="B4082" s="1" t="n">
        <v>45320</v>
      </c>
      <c r="C4082" s="1" t="n">
        <v>45952</v>
      </c>
      <c r="D4082" t="inlineStr">
        <is>
          <t>VÄSTRA GÖTALANDS LÄN</t>
        </is>
      </c>
      <c r="E4082" t="inlineStr">
        <is>
          <t>ULRICEHAMN</t>
        </is>
      </c>
      <c r="G4082" t="n">
        <v>1.1</v>
      </c>
      <c r="H4082" t="n">
        <v>0</v>
      </c>
      <c r="I4082" t="n">
        <v>0</v>
      </c>
      <c r="J4082" t="n">
        <v>0</v>
      </c>
      <c r="K4082" t="n">
        <v>0</v>
      </c>
      <c r="L4082" t="n">
        <v>0</v>
      </c>
      <c r="M4082" t="n">
        <v>0</v>
      </c>
      <c r="N4082" t="n">
        <v>0</v>
      </c>
      <c r="O4082" t="n">
        <v>0</v>
      </c>
      <c r="P4082" t="n">
        <v>0</v>
      </c>
      <c r="Q4082" t="n">
        <v>0</v>
      </c>
      <c r="R4082" s="2" t="inlineStr"/>
    </row>
    <row r="4083" ht="15" customHeight="1">
      <c r="A4083" t="inlineStr">
        <is>
          <t>A 6140-2024</t>
        </is>
      </c>
      <c r="B4083" s="1" t="n">
        <v>45337</v>
      </c>
      <c r="C4083" s="1" t="n">
        <v>45952</v>
      </c>
      <c r="D4083" t="inlineStr">
        <is>
          <t>VÄSTRA GÖTALANDS LÄN</t>
        </is>
      </c>
      <c r="E4083" t="inlineStr">
        <is>
          <t>VÄNERSBORG</t>
        </is>
      </c>
      <c r="G4083" t="n">
        <v>12.8</v>
      </c>
      <c r="H4083" t="n">
        <v>0</v>
      </c>
      <c r="I4083" t="n">
        <v>0</v>
      </c>
      <c r="J4083" t="n">
        <v>0</v>
      </c>
      <c r="K4083" t="n">
        <v>0</v>
      </c>
      <c r="L4083" t="n">
        <v>0</v>
      </c>
      <c r="M4083" t="n">
        <v>0</v>
      </c>
      <c r="N4083" t="n">
        <v>0</v>
      </c>
      <c r="O4083" t="n">
        <v>0</v>
      </c>
      <c r="P4083" t="n">
        <v>0</v>
      </c>
      <c r="Q4083" t="n">
        <v>0</v>
      </c>
      <c r="R4083" s="2" t="inlineStr"/>
    </row>
    <row r="4084" ht="15" customHeight="1">
      <c r="A4084" t="inlineStr">
        <is>
          <t>A 25749-2024</t>
        </is>
      </c>
      <c r="B4084" s="1" t="n">
        <v>45465.44537037037</v>
      </c>
      <c r="C4084" s="1" t="n">
        <v>45952</v>
      </c>
      <c r="D4084" t="inlineStr">
        <is>
          <t>VÄSTRA GÖTALANDS LÄN</t>
        </is>
      </c>
      <c r="E4084" t="inlineStr">
        <is>
          <t>ALINGSÅS</t>
        </is>
      </c>
      <c r="G4084" t="n">
        <v>2.6</v>
      </c>
      <c r="H4084" t="n">
        <v>0</v>
      </c>
      <c r="I4084" t="n">
        <v>0</v>
      </c>
      <c r="J4084" t="n">
        <v>0</v>
      </c>
      <c r="K4084" t="n">
        <v>0</v>
      </c>
      <c r="L4084" t="n">
        <v>0</v>
      </c>
      <c r="M4084" t="n">
        <v>0</v>
      </c>
      <c r="N4084" t="n">
        <v>0</v>
      </c>
      <c r="O4084" t="n">
        <v>0</v>
      </c>
      <c r="P4084" t="n">
        <v>0</v>
      </c>
      <c r="Q4084" t="n">
        <v>0</v>
      </c>
      <c r="R4084" s="2" t="inlineStr"/>
    </row>
    <row r="4085" ht="15" customHeight="1">
      <c r="A4085" t="inlineStr">
        <is>
          <t>A 37497-2023</t>
        </is>
      </c>
      <c r="B4085" s="1" t="n">
        <v>45157.35537037037</v>
      </c>
      <c r="C4085" s="1" t="n">
        <v>45952</v>
      </c>
      <c r="D4085" t="inlineStr">
        <is>
          <t>VÄSTRA GÖTALANDS LÄN</t>
        </is>
      </c>
      <c r="E4085" t="inlineStr">
        <is>
          <t>TRANEMO</t>
        </is>
      </c>
      <c r="G4085" t="n">
        <v>3.6</v>
      </c>
      <c r="H4085" t="n">
        <v>0</v>
      </c>
      <c r="I4085" t="n">
        <v>0</v>
      </c>
      <c r="J4085" t="n">
        <v>0</v>
      </c>
      <c r="K4085" t="n">
        <v>0</v>
      </c>
      <c r="L4085" t="n">
        <v>0</v>
      </c>
      <c r="M4085" t="n">
        <v>0</v>
      </c>
      <c r="N4085" t="n">
        <v>0</v>
      </c>
      <c r="O4085" t="n">
        <v>0</v>
      </c>
      <c r="P4085" t="n">
        <v>0</v>
      </c>
      <c r="Q4085" t="n">
        <v>0</v>
      </c>
      <c r="R4085" s="2" t="inlineStr"/>
    </row>
    <row r="4086" ht="15" customHeight="1">
      <c r="A4086" t="inlineStr">
        <is>
          <t>A 58514-2024</t>
        </is>
      </c>
      <c r="B4086" s="1" t="n">
        <v>45635.42575231481</v>
      </c>
      <c r="C4086" s="1" t="n">
        <v>45952</v>
      </c>
      <c r="D4086" t="inlineStr">
        <is>
          <t>VÄSTRA GÖTALANDS LÄN</t>
        </is>
      </c>
      <c r="E4086" t="inlineStr">
        <is>
          <t>VARA</t>
        </is>
      </c>
      <c r="G4086" t="n">
        <v>4.5</v>
      </c>
      <c r="H4086" t="n">
        <v>0</v>
      </c>
      <c r="I4086" t="n">
        <v>0</v>
      </c>
      <c r="J4086" t="n">
        <v>0</v>
      </c>
      <c r="K4086" t="n">
        <v>0</v>
      </c>
      <c r="L4086" t="n">
        <v>0</v>
      </c>
      <c r="M4086" t="n">
        <v>0</v>
      </c>
      <c r="N4086" t="n">
        <v>0</v>
      </c>
      <c r="O4086" t="n">
        <v>0</v>
      </c>
      <c r="P4086" t="n">
        <v>0</v>
      </c>
      <c r="Q4086" t="n">
        <v>0</v>
      </c>
      <c r="R4086" s="2" t="inlineStr"/>
    </row>
    <row r="4087" ht="15" customHeight="1">
      <c r="A4087" t="inlineStr">
        <is>
          <t>A 4550-2024</t>
        </is>
      </c>
      <c r="B4087" s="1" t="n">
        <v>45327.71622685185</v>
      </c>
      <c r="C4087" s="1" t="n">
        <v>45952</v>
      </c>
      <c r="D4087" t="inlineStr">
        <is>
          <t>VÄSTRA GÖTALANDS LÄN</t>
        </is>
      </c>
      <c r="E4087" t="inlineStr">
        <is>
          <t>VÅRGÅRDA</t>
        </is>
      </c>
      <c r="G4087" t="n">
        <v>2.6</v>
      </c>
      <c r="H4087" t="n">
        <v>0</v>
      </c>
      <c r="I4087" t="n">
        <v>0</v>
      </c>
      <c r="J4087" t="n">
        <v>0</v>
      </c>
      <c r="K4087" t="n">
        <v>0</v>
      </c>
      <c r="L4087" t="n">
        <v>0</v>
      </c>
      <c r="M4087" t="n">
        <v>0</v>
      </c>
      <c r="N4087" t="n">
        <v>0</v>
      </c>
      <c r="O4087" t="n">
        <v>0</v>
      </c>
      <c r="P4087" t="n">
        <v>0</v>
      </c>
      <c r="Q4087" t="n">
        <v>0</v>
      </c>
      <c r="R4087" s="2" t="inlineStr"/>
    </row>
    <row r="4088" ht="15" customHeight="1">
      <c r="A4088" t="inlineStr">
        <is>
          <t>A 6913-2024</t>
        </is>
      </c>
      <c r="B4088" s="1" t="n">
        <v>45343.28206018519</v>
      </c>
      <c r="C4088" s="1" t="n">
        <v>45952</v>
      </c>
      <c r="D4088" t="inlineStr">
        <is>
          <t>VÄSTRA GÖTALANDS LÄN</t>
        </is>
      </c>
      <c r="E4088" t="inlineStr">
        <is>
          <t>STENUNGSUND</t>
        </is>
      </c>
      <c r="G4088" t="n">
        <v>2</v>
      </c>
      <c r="H4088" t="n">
        <v>0</v>
      </c>
      <c r="I4088" t="n">
        <v>0</v>
      </c>
      <c r="J4088" t="n">
        <v>0</v>
      </c>
      <c r="K4088" t="n">
        <v>0</v>
      </c>
      <c r="L4088" t="n">
        <v>0</v>
      </c>
      <c r="M4088" t="n">
        <v>0</v>
      </c>
      <c r="N4088" t="n">
        <v>0</v>
      </c>
      <c r="O4088" t="n">
        <v>0</v>
      </c>
      <c r="P4088" t="n">
        <v>0</v>
      </c>
      <c r="Q4088" t="n">
        <v>0</v>
      </c>
      <c r="R4088" s="2" t="inlineStr"/>
    </row>
    <row r="4089" ht="15" customHeight="1">
      <c r="A4089" t="inlineStr">
        <is>
          <t>A 45665-2021</t>
        </is>
      </c>
      <c r="B4089" s="1" t="n">
        <v>44441.32771990741</v>
      </c>
      <c r="C4089" s="1" t="n">
        <v>45952</v>
      </c>
      <c r="D4089" t="inlineStr">
        <is>
          <t>VÄSTRA GÖTALANDS LÄN</t>
        </is>
      </c>
      <c r="E4089" t="inlineStr">
        <is>
          <t>TIBRO</t>
        </is>
      </c>
      <c r="G4089" t="n">
        <v>1.3</v>
      </c>
      <c r="H4089" t="n">
        <v>0</v>
      </c>
      <c r="I4089" t="n">
        <v>0</v>
      </c>
      <c r="J4089" t="n">
        <v>0</v>
      </c>
      <c r="K4089" t="n">
        <v>0</v>
      </c>
      <c r="L4089" t="n">
        <v>0</v>
      </c>
      <c r="M4089" t="n">
        <v>0</v>
      </c>
      <c r="N4089" t="n">
        <v>0</v>
      </c>
      <c r="O4089" t="n">
        <v>0</v>
      </c>
      <c r="P4089" t="n">
        <v>0</v>
      </c>
      <c r="Q4089" t="n">
        <v>0</v>
      </c>
      <c r="R4089" s="2" t="inlineStr"/>
    </row>
    <row r="4090" ht="15" customHeight="1">
      <c r="A4090" t="inlineStr">
        <is>
          <t>A 6917-2024</t>
        </is>
      </c>
      <c r="B4090" s="1" t="n">
        <v>45343</v>
      </c>
      <c r="C4090" s="1" t="n">
        <v>45952</v>
      </c>
      <c r="D4090" t="inlineStr">
        <is>
          <t>VÄSTRA GÖTALANDS LÄN</t>
        </is>
      </c>
      <c r="E4090" t="inlineStr">
        <is>
          <t>BORÅS</t>
        </is>
      </c>
      <c r="F4090" t="inlineStr">
        <is>
          <t>Sveaskog</t>
        </is>
      </c>
      <c r="G4090" t="n">
        <v>0.9</v>
      </c>
      <c r="H4090" t="n">
        <v>0</v>
      </c>
      <c r="I4090" t="n">
        <v>0</v>
      </c>
      <c r="J4090" t="n">
        <v>0</v>
      </c>
      <c r="K4090" t="n">
        <v>0</v>
      </c>
      <c r="L4090" t="n">
        <v>0</v>
      </c>
      <c r="M4090" t="n">
        <v>0</v>
      </c>
      <c r="N4090" t="n">
        <v>0</v>
      </c>
      <c r="O4090" t="n">
        <v>0</v>
      </c>
      <c r="P4090" t="n">
        <v>0</v>
      </c>
      <c r="Q4090" t="n">
        <v>0</v>
      </c>
      <c r="R4090" s="2" t="inlineStr"/>
    </row>
    <row r="4091" ht="15" customHeight="1">
      <c r="A4091" t="inlineStr">
        <is>
          <t>A 13235-2024</t>
        </is>
      </c>
      <c r="B4091" s="1" t="n">
        <v>45386</v>
      </c>
      <c r="C4091" s="1" t="n">
        <v>45952</v>
      </c>
      <c r="D4091" t="inlineStr">
        <is>
          <t>VÄSTRA GÖTALANDS LÄN</t>
        </is>
      </c>
      <c r="E4091" t="inlineStr">
        <is>
          <t>VARA</t>
        </is>
      </c>
      <c r="G4091" t="n">
        <v>2.2</v>
      </c>
      <c r="H4091" t="n">
        <v>0</v>
      </c>
      <c r="I4091" t="n">
        <v>0</v>
      </c>
      <c r="J4091" t="n">
        <v>0</v>
      </c>
      <c r="K4091" t="n">
        <v>0</v>
      </c>
      <c r="L4091" t="n">
        <v>0</v>
      </c>
      <c r="M4091" t="n">
        <v>0</v>
      </c>
      <c r="N4091" t="n">
        <v>0</v>
      </c>
      <c r="O4091" t="n">
        <v>0</v>
      </c>
      <c r="P4091" t="n">
        <v>0</v>
      </c>
      <c r="Q4091" t="n">
        <v>0</v>
      </c>
      <c r="R4091" s="2" t="inlineStr"/>
    </row>
    <row r="4092" ht="15" customHeight="1">
      <c r="A4092" t="inlineStr">
        <is>
          <t>A 69193-2021</t>
        </is>
      </c>
      <c r="B4092" s="1" t="n">
        <v>44531</v>
      </c>
      <c r="C4092" s="1" t="n">
        <v>45952</v>
      </c>
      <c r="D4092" t="inlineStr">
        <is>
          <t>VÄSTRA GÖTALANDS LÄN</t>
        </is>
      </c>
      <c r="E4092" t="inlineStr">
        <is>
          <t>ORUST</t>
        </is>
      </c>
      <c r="G4092" t="n">
        <v>2.9</v>
      </c>
      <c r="H4092" t="n">
        <v>0</v>
      </c>
      <c r="I4092" t="n">
        <v>0</v>
      </c>
      <c r="J4092" t="n">
        <v>0</v>
      </c>
      <c r="K4092" t="n">
        <v>0</v>
      </c>
      <c r="L4092" t="n">
        <v>0</v>
      </c>
      <c r="M4092" t="n">
        <v>0</v>
      </c>
      <c r="N4092" t="n">
        <v>0</v>
      </c>
      <c r="O4092" t="n">
        <v>0</v>
      </c>
      <c r="P4092" t="n">
        <v>0</v>
      </c>
      <c r="Q4092" t="n">
        <v>0</v>
      </c>
      <c r="R4092" s="2" t="inlineStr"/>
    </row>
    <row r="4093" ht="15" customHeight="1">
      <c r="A4093" t="inlineStr">
        <is>
          <t>A 28257-2024</t>
        </is>
      </c>
      <c r="B4093" s="1" t="n">
        <v>45477.42391203704</v>
      </c>
      <c r="C4093" s="1" t="n">
        <v>45952</v>
      </c>
      <c r="D4093" t="inlineStr">
        <is>
          <t>VÄSTRA GÖTALANDS LÄN</t>
        </is>
      </c>
      <c r="E4093" t="inlineStr">
        <is>
          <t>MARK</t>
        </is>
      </c>
      <c r="G4093" t="n">
        <v>0.7</v>
      </c>
      <c r="H4093" t="n">
        <v>0</v>
      </c>
      <c r="I4093" t="n">
        <v>0</v>
      </c>
      <c r="J4093" t="n">
        <v>0</v>
      </c>
      <c r="K4093" t="n">
        <v>0</v>
      </c>
      <c r="L4093" t="n">
        <v>0</v>
      </c>
      <c r="M4093" t="n">
        <v>0</v>
      </c>
      <c r="N4093" t="n">
        <v>0</v>
      </c>
      <c r="O4093" t="n">
        <v>0</v>
      </c>
      <c r="P4093" t="n">
        <v>0</v>
      </c>
      <c r="Q4093" t="n">
        <v>0</v>
      </c>
      <c r="R4093" s="2" t="inlineStr"/>
    </row>
    <row r="4094" ht="15" customHeight="1">
      <c r="A4094" t="inlineStr">
        <is>
          <t>A 8071-2024</t>
        </is>
      </c>
      <c r="B4094" s="1" t="n">
        <v>45351</v>
      </c>
      <c r="C4094" s="1" t="n">
        <v>45952</v>
      </c>
      <c r="D4094" t="inlineStr">
        <is>
          <t>VÄSTRA GÖTALANDS LÄN</t>
        </is>
      </c>
      <c r="E4094" t="inlineStr">
        <is>
          <t>LILLA EDET</t>
        </is>
      </c>
      <c r="G4094" t="n">
        <v>1.6</v>
      </c>
      <c r="H4094" t="n">
        <v>0</v>
      </c>
      <c r="I4094" t="n">
        <v>0</v>
      </c>
      <c r="J4094" t="n">
        <v>0</v>
      </c>
      <c r="K4094" t="n">
        <v>0</v>
      </c>
      <c r="L4094" t="n">
        <v>0</v>
      </c>
      <c r="M4094" t="n">
        <v>0</v>
      </c>
      <c r="N4094" t="n">
        <v>0</v>
      </c>
      <c r="O4094" t="n">
        <v>0</v>
      </c>
      <c r="P4094" t="n">
        <v>0</v>
      </c>
      <c r="Q4094" t="n">
        <v>0</v>
      </c>
      <c r="R4094" s="2" t="inlineStr"/>
    </row>
    <row r="4095" ht="15" customHeight="1">
      <c r="A4095" t="inlineStr">
        <is>
          <t>A 6809-2024</t>
        </is>
      </c>
      <c r="B4095" s="1" t="n">
        <v>45342</v>
      </c>
      <c r="C4095" s="1" t="n">
        <v>45952</v>
      </c>
      <c r="D4095" t="inlineStr">
        <is>
          <t>VÄSTRA GÖTALANDS LÄN</t>
        </is>
      </c>
      <c r="E4095" t="inlineStr">
        <is>
          <t>MUNKEDAL</t>
        </is>
      </c>
      <c r="F4095" t="inlineStr">
        <is>
          <t>Kyrkan</t>
        </is>
      </c>
      <c r="G4095" t="n">
        <v>5.4</v>
      </c>
      <c r="H4095" t="n">
        <v>0</v>
      </c>
      <c r="I4095" t="n">
        <v>0</v>
      </c>
      <c r="J4095" t="n">
        <v>0</v>
      </c>
      <c r="K4095" t="n">
        <v>0</v>
      </c>
      <c r="L4095" t="n">
        <v>0</v>
      </c>
      <c r="M4095" t="n">
        <v>0</v>
      </c>
      <c r="N4095" t="n">
        <v>0</v>
      </c>
      <c r="O4095" t="n">
        <v>0</v>
      </c>
      <c r="P4095" t="n">
        <v>0</v>
      </c>
      <c r="Q4095" t="n">
        <v>0</v>
      </c>
      <c r="R4095" s="2" t="inlineStr"/>
    </row>
    <row r="4096" ht="15" customHeight="1">
      <c r="A4096" t="inlineStr">
        <is>
          <t>A 19185-2024</t>
        </is>
      </c>
      <c r="B4096" s="1" t="n">
        <v>45428.48590277778</v>
      </c>
      <c r="C4096" s="1" t="n">
        <v>45952</v>
      </c>
      <c r="D4096" t="inlineStr">
        <is>
          <t>VÄSTRA GÖTALANDS LÄN</t>
        </is>
      </c>
      <c r="E4096" t="inlineStr">
        <is>
          <t>MARK</t>
        </is>
      </c>
      <c r="G4096" t="n">
        <v>1.3</v>
      </c>
      <c r="H4096" t="n">
        <v>0</v>
      </c>
      <c r="I4096" t="n">
        <v>0</v>
      </c>
      <c r="J4096" t="n">
        <v>0</v>
      </c>
      <c r="K4096" t="n">
        <v>0</v>
      </c>
      <c r="L4096" t="n">
        <v>0</v>
      </c>
      <c r="M4096" t="n">
        <v>0</v>
      </c>
      <c r="N4096" t="n">
        <v>0</v>
      </c>
      <c r="O4096" t="n">
        <v>0</v>
      </c>
      <c r="P4096" t="n">
        <v>0</v>
      </c>
      <c r="Q4096" t="n">
        <v>0</v>
      </c>
      <c r="R4096" s="2" t="inlineStr"/>
    </row>
    <row r="4097" ht="15" customHeight="1">
      <c r="A4097" t="inlineStr">
        <is>
          <t>A 38671-2024</t>
        </is>
      </c>
      <c r="B4097" s="1" t="n">
        <v>45547.32871527778</v>
      </c>
      <c r="C4097" s="1" t="n">
        <v>45952</v>
      </c>
      <c r="D4097" t="inlineStr">
        <is>
          <t>VÄSTRA GÖTALANDS LÄN</t>
        </is>
      </c>
      <c r="E4097" t="inlineStr">
        <is>
          <t>DALS-ED</t>
        </is>
      </c>
      <c r="G4097" t="n">
        <v>4.9</v>
      </c>
      <c r="H4097" t="n">
        <v>0</v>
      </c>
      <c r="I4097" t="n">
        <v>0</v>
      </c>
      <c r="J4097" t="n">
        <v>0</v>
      </c>
      <c r="K4097" t="n">
        <v>0</v>
      </c>
      <c r="L4097" t="n">
        <v>0</v>
      </c>
      <c r="M4097" t="n">
        <v>0</v>
      </c>
      <c r="N4097" t="n">
        <v>0</v>
      </c>
      <c r="O4097" t="n">
        <v>0</v>
      </c>
      <c r="P4097" t="n">
        <v>0</v>
      </c>
      <c r="Q4097" t="n">
        <v>0</v>
      </c>
      <c r="R4097" s="2" t="inlineStr"/>
    </row>
    <row r="4098" ht="15" customHeight="1">
      <c r="A4098" t="inlineStr">
        <is>
          <t>A 38674-2024</t>
        </is>
      </c>
      <c r="B4098" s="1" t="n">
        <v>45547.33179398148</v>
      </c>
      <c r="C4098" s="1" t="n">
        <v>45952</v>
      </c>
      <c r="D4098" t="inlineStr">
        <is>
          <t>VÄSTRA GÖTALANDS LÄN</t>
        </is>
      </c>
      <c r="E4098" t="inlineStr">
        <is>
          <t>BORÅS</t>
        </is>
      </c>
      <c r="G4098" t="n">
        <v>1.2</v>
      </c>
      <c r="H4098" t="n">
        <v>0</v>
      </c>
      <c r="I4098" t="n">
        <v>0</v>
      </c>
      <c r="J4098" t="n">
        <v>0</v>
      </c>
      <c r="K4098" t="n">
        <v>0</v>
      </c>
      <c r="L4098" t="n">
        <v>0</v>
      </c>
      <c r="M4098" t="n">
        <v>0</v>
      </c>
      <c r="N4098" t="n">
        <v>0</v>
      </c>
      <c r="O4098" t="n">
        <v>0</v>
      </c>
      <c r="P4098" t="n">
        <v>0</v>
      </c>
      <c r="Q4098" t="n">
        <v>0</v>
      </c>
      <c r="R4098" s="2" t="inlineStr"/>
    </row>
    <row r="4099" ht="15" customHeight="1">
      <c r="A4099" t="inlineStr">
        <is>
          <t>A 50939-2024</t>
        </is>
      </c>
      <c r="B4099" s="1" t="n">
        <v>45602.92913194445</v>
      </c>
      <c r="C4099" s="1" t="n">
        <v>45952</v>
      </c>
      <c r="D4099" t="inlineStr">
        <is>
          <t>VÄSTRA GÖTALANDS LÄN</t>
        </is>
      </c>
      <c r="E4099" t="inlineStr">
        <is>
          <t>VÄNERSBORG</t>
        </is>
      </c>
      <c r="G4099" t="n">
        <v>0.9</v>
      </c>
      <c r="H4099" t="n">
        <v>0</v>
      </c>
      <c r="I4099" t="n">
        <v>0</v>
      </c>
      <c r="J4099" t="n">
        <v>0</v>
      </c>
      <c r="K4099" t="n">
        <v>0</v>
      </c>
      <c r="L4099" t="n">
        <v>0</v>
      </c>
      <c r="M4099" t="n">
        <v>0</v>
      </c>
      <c r="N4099" t="n">
        <v>0</v>
      </c>
      <c r="O4099" t="n">
        <v>0</v>
      </c>
      <c r="P4099" t="n">
        <v>0</v>
      </c>
      <c r="Q4099" t="n">
        <v>0</v>
      </c>
      <c r="R4099" s="2" t="inlineStr"/>
    </row>
    <row r="4100" ht="15" customHeight="1">
      <c r="A4100" t="inlineStr">
        <is>
          <t>A 29225-2023</t>
        </is>
      </c>
      <c r="B4100" s="1" t="n">
        <v>45105</v>
      </c>
      <c r="C4100" s="1" t="n">
        <v>45952</v>
      </c>
      <c r="D4100" t="inlineStr">
        <is>
          <t>VÄSTRA GÖTALANDS LÄN</t>
        </is>
      </c>
      <c r="E4100" t="inlineStr">
        <is>
          <t>FALKÖPING</t>
        </is>
      </c>
      <c r="G4100" t="n">
        <v>2.6</v>
      </c>
      <c r="H4100" t="n">
        <v>0</v>
      </c>
      <c r="I4100" t="n">
        <v>0</v>
      </c>
      <c r="J4100" t="n">
        <v>0</v>
      </c>
      <c r="K4100" t="n">
        <v>0</v>
      </c>
      <c r="L4100" t="n">
        <v>0</v>
      </c>
      <c r="M4100" t="n">
        <v>0</v>
      </c>
      <c r="N4100" t="n">
        <v>0</v>
      </c>
      <c r="O4100" t="n">
        <v>0</v>
      </c>
      <c r="P4100" t="n">
        <v>0</v>
      </c>
      <c r="Q4100" t="n">
        <v>0</v>
      </c>
      <c r="R4100" s="2" t="inlineStr"/>
    </row>
    <row r="4101" ht="15" customHeight="1">
      <c r="A4101" t="inlineStr">
        <is>
          <t>A 28629-2022</t>
        </is>
      </c>
      <c r="B4101" s="1" t="n">
        <v>44748.5990625</v>
      </c>
      <c r="C4101" s="1" t="n">
        <v>45952</v>
      </c>
      <c r="D4101" t="inlineStr">
        <is>
          <t>VÄSTRA GÖTALANDS LÄN</t>
        </is>
      </c>
      <c r="E4101" t="inlineStr">
        <is>
          <t>TRANEMO</t>
        </is>
      </c>
      <c r="F4101" t="inlineStr">
        <is>
          <t>Kommuner</t>
        </is>
      </c>
      <c r="G4101" t="n">
        <v>3</v>
      </c>
      <c r="H4101" t="n">
        <v>0</v>
      </c>
      <c r="I4101" t="n">
        <v>0</v>
      </c>
      <c r="J4101" t="n">
        <v>0</v>
      </c>
      <c r="K4101" t="n">
        <v>0</v>
      </c>
      <c r="L4101" t="n">
        <v>0</v>
      </c>
      <c r="M4101" t="n">
        <v>0</v>
      </c>
      <c r="N4101" t="n">
        <v>0</v>
      </c>
      <c r="O4101" t="n">
        <v>0</v>
      </c>
      <c r="P4101" t="n">
        <v>0</v>
      </c>
      <c r="Q4101" t="n">
        <v>0</v>
      </c>
      <c r="R4101" s="2" t="inlineStr"/>
    </row>
    <row r="4102" ht="15" customHeight="1">
      <c r="A4102" t="inlineStr">
        <is>
          <t>A 8182-2024</t>
        </is>
      </c>
      <c r="B4102" s="1" t="n">
        <v>45351.63769675926</v>
      </c>
      <c r="C4102" s="1" t="n">
        <v>45952</v>
      </c>
      <c r="D4102" t="inlineStr">
        <is>
          <t>VÄSTRA GÖTALANDS LÄN</t>
        </is>
      </c>
      <c r="E4102" t="inlineStr">
        <is>
          <t>BORÅS</t>
        </is>
      </c>
      <c r="G4102" t="n">
        <v>0.1</v>
      </c>
      <c r="H4102" t="n">
        <v>0</v>
      </c>
      <c r="I4102" t="n">
        <v>0</v>
      </c>
      <c r="J4102" t="n">
        <v>0</v>
      </c>
      <c r="K4102" t="n">
        <v>0</v>
      </c>
      <c r="L4102" t="n">
        <v>0</v>
      </c>
      <c r="M4102" t="n">
        <v>0</v>
      </c>
      <c r="N4102" t="n">
        <v>0</v>
      </c>
      <c r="O4102" t="n">
        <v>0</v>
      </c>
      <c r="P4102" t="n">
        <v>0</v>
      </c>
      <c r="Q4102" t="n">
        <v>0</v>
      </c>
      <c r="R4102" s="2" t="inlineStr"/>
    </row>
    <row r="4103" ht="15" customHeight="1">
      <c r="A4103" t="inlineStr">
        <is>
          <t>A 4578-2023</t>
        </is>
      </c>
      <c r="B4103" s="1" t="n">
        <v>44951</v>
      </c>
      <c r="C4103" s="1" t="n">
        <v>45952</v>
      </c>
      <c r="D4103" t="inlineStr">
        <is>
          <t>VÄSTRA GÖTALANDS LÄN</t>
        </is>
      </c>
      <c r="E4103" t="inlineStr">
        <is>
          <t>STENUNGSUND</t>
        </is>
      </c>
      <c r="G4103" t="n">
        <v>0.7</v>
      </c>
      <c r="H4103" t="n">
        <v>0</v>
      </c>
      <c r="I4103" t="n">
        <v>0</v>
      </c>
      <c r="J4103" t="n">
        <v>0</v>
      </c>
      <c r="K4103" t="n">
        <v>0</v>
      </c>
      <c r="L4103" t="n">
        <v>0</v>
      </c>
      <c r="M4103" t="n">
        <v>0</v>
      </c>
      <c r="N4103" t="n">
        <v>0</v>
      </c>
      <c r="O4103" t="n">
        <v>0</v>
      </c>
      <c r="P4103" t="n">
        <v>0</v>
      </c>
      <c r="Q4103" t="n">
        <v>0</v>
      </c>
      <c r="R4103" s="2" t="inlineStr"/>
    </row>
    <row r="4104" ht="15" customHeight="1">
      <c r="A4104" t="inlineStr">
        <is>
          <t>A 12476-2023</t>
        </is>
      </c>
      <c r="B4104" s="1" t="n">
        <v>44999.64097222222</v>
      </c>
      <c r="C4104" s="1" t="n">
        <v>45952</v>
      </c>
      <c r="D4104" t="inlineStr">
        <is>
          <t>VÄSTRA GÖTALANDS LÄN</t>
        </is>
      </c>
      <c r="E4104" t="inlineStr">
        <is>
          <t>GULLSPÅNG</t>
        </is>
      </c>
      <c r="G4104" t="n">
        <v>3.8</v>
      </c>
      <c r="H4104" t="n">
        <v>0</v>
      </c>
      <c r="I4104" t="n">
        <v>0</v>
      </c>
      <c r="J4104" t="n">
        <v>0</v>
      </c>
      <c r="K4104" t="n">
        <v>0</v>
      </c>
      <c r="L4104" t="n">
        <v>0</v>
      </c>
      <c r="M4104" t="n">
        <v>0</v>
      </c>
      <c r="N4104" t="n">
        <v>0</v>
      </c>
      <c r="O4104" t="n">
        <v>0</v>
      </c>
      <c r="P4104" t="n">
        <v>0</v>
      </c>
      <c r="Q4104" t="n">
        <v>0</v>
      </c>
      <c r="R4104" s="2" t="inlineStr"/>
    </row>
    <row r="4105" ht="15" customHeight="1">
      <c r="A4105" t="inlineStr">
        <is>
          <t>A 61687-2023</t>
        </is>
      </c>
      <c r="B4105" s="1" t="n">
        <v>45264</v>
      </c>
      <c r="C4105" s="1" t="n">
        <v>45952</v>
      </c>
      <c r="D4105" t="inlineStr">
        <is>
          <t>VÄSTRA GÖTALANDS LÄN</t>
        </is>
      </c>
      <c r="E4105" t="inlineStr">
        <is>
          <t>VARA</t>
        </is>
      </c>
      <c r="G4105" t="n">
        <v>3.2</v>
      </c>
      <c r="H4105" t="n">
        <v>0</v>
      </c>
      <c r="I4105" t="n">
        <v>0</v>
      </c>
      <c r="J4105" t="n">
        <v>0</v>
      </c>
      <c r="K4105" t="n">
        <v>0</v>
      </c>
      <c r="L4105" t="n">
        <v>0</v>
      </c>
      <c r="M4105" t="n">
        <v>0</v>
      </c>
      <c r="N4105" t="n">
        <v>0</v>
      </c>
      <c r="O4105" t="n">
        <v>0</v>
      </c>
      <c r="P4105" t="n">
        <v>0</v>
      </c>
      <c r="Q4105" t="n">
        <v>0</v>
      </c>
      <c r="R4105" s="2" t="inlineStr"/>
    </row>
    <row r="4106" ht="15" customHeight="1">
      <c r="A4106" t="inlineStr">
        <is>
          <t>A 61701-2023</t>
        </is>
      </c>
      <c r="B4106" s="1" t="n">
        <v>45265</v>
      </c>
      <c r="C4106" s="1" t="n">
        <v>45952</v>
      </c>
      <c r="D4106" t="inlineStr">
        <is>
          <t>VÄSTRA GÖTALANDS LÄN</t>
        </is>
      </c>
      <c r="E4106" t="inlineStr">
        <is>
          <t>HERRLJUNGA</t>
        </is>
      </c>
      <c r="G4106" t="n">
        <v>2.1</v>
      </c>
      <c r="H4106" t="n">
        <v>0</v>
      </c>
      <c r="I4106" t="n">
        <v>0</v>
      </c>
      <c r="J4106" t="n">
        <v>0</v>
      </c>
      <c r="K4106" t="n">
        <v>0</v>
      </c>
      <c r="L4106" t="n">
        <v>0</v>
      </c>
      <c r="M4106" t="n">
        <v>0</v>
      </c>
      <c r="N4106" t="n">
        <v>0</v>
      </c>
      <c r="O4106" t="n">
        <v>0</v>
      </c>
      <c r="P4106" t="n">
        <v>0</v>
      </c>
      <c r="Q4106" t="n">
        <v>0</v>
      </c>
      <c r="R4106" s="2" t="inlineStr"/>
    </row>
    <row r="4107" ht="15" customHeight="1">
      <c r="A4107" t="inlineStr">
        <is>
          <t>A 61715-2023</t>
        </is>
      </c>
      <c r="B4107" s="1" t="n">
        <v>45265.66866898148</v>
      </c>
      <c r="C4107" s="1" t="n">
        <v>45952</v>
      </c>
      <c r="D4107" t="inlineStr">
        <is>
          <t>VÄSTRA GÖTALANDS LÄN</t>
        </is>
      </c>
      <c r="E4107" t="inlineStr">
        <is>
          <t>TANUM</t>
        </is>
      </c>
      <c r="G4107" t="n">
        <v>0.5</v>
      </c>
      <c r="H4107" t="n">
        <v>0</v>
      </c>
      <c r="I4107" t="n">
        <v>0</v>
      </c>
      <c r="J4107" t="n">
        <v>0</v>
      </c>
      <c r="K4107" t="n">
        <v>0</v>
      </c>
      <c r="L4107" t="n">
        <v>0</v>
      </c>
      <c r="M4107" t="n">
        <v>0</v>
      </c>
      <c r="N4107" t="n">
        <v>0</v>
      </c>
      <c r="O4107" t="n">
        <v>0</v>
      </c>
      <c r="P4107" t="n">
        <v>0</v>
      </c>
      <c r="Q4107" t="n">
        <v>0</v>
      </c>
      <c r="R4107" s="2" t="inlineStr"/>
    </row>
    <row r="4108" ht="15" customHeight="1">
      <c r="A4108" t="inlineStr">
        <is>
          <t>A 24041-2022</t>
        </is>
      </c>
      <c r="B4108" s="1" t="n">
        <v>44724.59394675926</v>
      </c>
      <c r="C4108" s="1" t="n">
        <v>45952</v>
      </c>
      <c r="D4108" t="inlineStr">
        <is>
          <t>VÄSTRA GÖTALANDS LÄN</t>
        </is>
      </c>
      <c r="E4108" t="inlineStr">
        <is>
          <t>ULRICEHAMN</t>
        </is>
      </c>
      <c r="G4108" t="n">
        <v>3</v>
      </c>
      <c r="H4108" t="n">
        <v>0</v>
      </c>
      <c r="I4108" t="n">
        <v>0</v>
      </c>
      <c r="J4108" t="n">
        <v>0</v>
      </c>
      <c r="K4108" t="n">
        <v>0</v>
      </c>
      <c r="L4108" t="n">
        <v>0</v>
      </c>
      <c r="M4108" t="n">
        <v>0</v>
      </c>
      <c r="N4108" t="n">
        <v>0</v>
      </c>
      <c r="O4108" t="n">
        <v>0</v>
      </c>
      <c r="P4108" t="n">
        <v>0</v>
      </c>
      <c r="Q4108" t="n">
        <v>0</v>
      </c>
      <c r="R4108" s="2" t="inlineStr"/>
    </row>
    <row r="4109" ht="15" customHeight="1">
      <c r="A4109" t="inlineStr">
        <is>
          <t>A 24860-2022</t>
        </is>
      </c>
      <c r="B4109" s="1" t="n">
        <v>44728</v>
      </c>
      <c r="C4109" s="1" t="n">
        <v>45952</v>
      </c>
      <c r="D4109" t="inlineStr">
        <is>
          <t>VÄSTRA GÖTALANDS LÄN</t>
        </is>
      </c>
      <c r="E4109" t="inlineStr">
        <is>
          <t>BORÅS</t>
        </is>
      </c>
      <c r="G4109" t="n">
        <v>2.4</v>
      </c>
      <c r="H4109" t="n">
        <v>0</v>
      </c>
      <c r="I4109" t="n">
        <v>0</v>
      </c>
      <c r="J4109" t="n">
        <v>0</v>
      </c>
      <c r="K4109" t="n">
        <v>0</v>
      </c>
      <c r="L4109" t="n">
        <v>0</v>
      </c>
      <c r="M4109" t="n">
        <v>0</v>
      </c>
      <c r="N4109" t="n">
        <v>0</v>
      </c>
      <c r="O4109" t="n">
        <v>0</v>
      </c>
      <c r="P4109" t="n">
        <v>0</v>
      </c>
      <c r="Q4109" t="n">
        <v>0</v>
      </c>
      <c r="R4109" s="2" t="inlineStr"/>
    </row>
    <row r="4110" ht="15" customHeight="1">
      <c r="A4110" t="inlineStr">
        <is>
          <t>A 60718-2022</t>
        </is>
      </c>
      <c r="B4110" s="1" t="n">
        <v>44912.89109953704</v>
      </c>
      <c r="C4110" s="1" t="n">
        <v>45952</v>
      </c>
      <c r="D4110" t="inlineStr">
        <is>
          <t>VÄSTRA GÖTALANDS LÄN</t>
        </is>
      </c>
      <c r="E4110" t="inlineStr">
        <is>
          <t>TJÖRN</t>
        </is>
      </c>
      <c r="G4110" t="n">
        <v>1</v>
      </c>
      <c r="H4110" t="n">
        <v>0</v>
      </c>
      <c r="I4110" t="n">
        <v>0</v>
      </c>
      <c r="J4110" t="n">
        <v>0</v>
      </c>
      <c r="K4110" t="n">
        <v>0</v>
      </c>
      <c r="L4110" t="n">
        <v>0</v>
      </c>
      <c r="M4110" t="n">
        <v>0</v>
      </c>
      <c r="N4110" t="n">
        <v>0</v>
      </c>
      <c r="O4110" t="n">
        <v>0</v>
      </c>
      <c r="P4110" t="n">
        <v>0</v>
      </c>
      <c r="Q4110" t="n">
        <v>0</v>
      </c>
      <c r="R4110" s="2" t="inlineStr"/>
    </row>
    <row r="4111" ht="15" customHeight="1">
      <c r="A4111" t="inlineStr">
        <is>
          <t>A 60768-2022</t>
        </is>
      </c>
      <c r="B4111" s="1" t="n">
        <v>44907</v>
      </c>
      <c r="C4111" s="1" t="n">
        <v>45952</v>
      </c>
      <c r="D4111" t="inlineStr">
        <is>
          <t>VÄSTRA GÖTALANDS LÄN</t>
        </is>
      </c>
      <c r="E4111" t="inlineStr">
        <is>
          <t>STRÖMSTAD</t>
        </is>
      </c>
      <c r="G4111" t="n">
        <v>10</v>
      </c>
      <c r="H4111" t="n">
        <v>0</v>
      </c>
      <c r="I4111" t="n">
        <v>0</v>
      </c>
      <c r="J4111" t="n">
        <v>0</v>
      </c>
      <c r="K4111" t="n">
        <v>0</v>
      </c>
      <c r="L4111" t="n">
        <v>0</v>
      </c>
      <c r="M4111" t="n">
        <v>0</v>
      </c>
      <c r="N4111" t="n">
        <v>0</v>
      </c>
      <c r="O4111" t="n">
        <v>0</v>
      </c>
      <c r="P4111" t="n">
        <v>0</v>
      </c>
      <c r="Q4111" t="n">
        <v>0</v>
      </c>
      <c r="R4111" s="2" t="inlineStr"/>
    </row>
    <row r="4112" ht="15" customHeight="1">
      <c r="A4112" t="inlineStr">
        <is>
          <t>A 32719-2024</t>
        </is>
      </c>
      <c r="B4112" s="1" t="n">
        <v>45514</v>
      </c>
      <c r="C4112" s="1" t="n">
        <v>45952</v>
      </c>
      <c r="D4112" t="inlineStr">
        <is>
          <t>VÄSTRA GÖTALANDS LÄN</t>
        </is>
      </c>
      <c r="E4112" t="inlineStr">
        <is>
          <t>ÅMÅL</t>
        </is>
      </c>
      <c r="G4112" t="n">
        <v>0.9</v>
      </c>
      <c r="H4112" t="n">
        <v>0</v>
      </c>
      <c r="I4112" t="n">
        <v>0</v>
      </c>
      <c r="J4112" t="n">
        <v>0</v>
      </c>
      <c r="K4112" t="n">
        <v>0</v>
      </c>
      <c r="L4112" t="n">
        <v>0</v>
      </c>
      <c r="M4112" t="n">
        <v>0</v>
      </c>
      <c r="N4112" t="n">
        <v>0</v>
      </c>
      <c r="O4112" t="n">
        <v>0</v>
      </c>
      <c r="P4112" t="n">
        <v>0</v>
      </c>
      <c r="Q4112" t="n">
        <v>0</v>
      </c>
      <c r="R4112" s="2" t="inlineStr"/>
    </row>
    <row r="4113" ht="15" customHeight="1">
      <c r="A4113" t="inlineStr">
        <is>
          <t>A 32728-2024</t>
        </is>
      </c>
      <c r="B4113" s="1" t="n">
        <v>45516</v>
      </c>
      <c r="C4113" s="1" t="n">
        <v>45952</v>
      </c>
      <c r="D4113" t="inlineStr">
        <is>
          <t>VÄSTRA GÖTALANDS LÄN</t>
        </is>
      </c>
      <c r="E4113" t="inlineStr">
        <is>
          <t>BENGTSFORS</t>
        </is>
      </c>
      <c r="F4113" t="inlineStr">
        <is>
          <t>Kyrkan</t>
        </is>
      </c>
      <c r="G4113" t="n">
        <v>1.6</v>
      </c>
      <c r="H4113" t="n">
        <v>0</v>
      </c>
      <c r="I4113" t="n">
        <v>0</v>
      </c>
      <c r="J4113" t="n">
        <v>0</v>
      </c>
      <c r="K4113" t="n">
        <v>0</v>
      </c>
      <c r="L4113" t="n">
        <v>0</v>
      </c>
      <c r="M4113" t="n">
        <v>0</v>
      </c>
      <c r="N4113" t="n">
        <v>0</v>
      </c>
      <c r="O4113" t="n">
        <v>0</v>
      </c>
      <c r="P4113" t="n">
        <v>0</v>
      </c>
      <c r="Q4113" t="n">
        <v>0</v>
      </c>
      <c r="R4113" s="2" t="inlineStr"/>
    </row>
    <row r="4114" ht="15" customHeight="1">
      <c r="A4114" t="inlineStr">
        <is>
          <t>A 18243-2025</t>
        </is>
      </c>
      <c r="B4114" s="1" t="n">
        <v>45762.31956018518</v>
      </c>
      <c r="C4114" s="1" t="n">
        <v>45952</v>
      </c>
      <c r="D4114" t="inlineStr">
        <is>
          <t>VÄSTRA GÖTALANDS LÄN</t>
        </is>
      </c>
      <c r="E4114" t="inlineStr">
        <is>
          <t>MARIESTAD</t>
        </is>
      </c>
      <c r="F4114" t="inlineStr">
        <is>
          <t>Sveaskog</t>
        </is>
      </c>
      <c r="G4114" t="n">
        <v>1.4</v>
      </c>
      <c r="H4114" t="n">
        <v>0</v>
      </c>
      <c r="I4114" t="n">
        <v>0</v>
      </c>
      <c r="J4114" t="n">
        <v>0</v>
      </c>
      <c r="K4114" t="n">
        <v>0</v>
      </c>
      <c r="L4114" t="n">
        <v>0</v>
      </c>
      <c r="M4114" t="n">
        <v>0</v>
      </c>
      <c r="N4114" t="n">
        <v>0</v>
      </c>
      <c r="O4114" t="n">
        <v>0</v>
      </c>
      <c r="P4114" t="n">
        <v>0</v>
      </c>
      <c r="Q4114" t="n">
        <v>0</v>
      </c>
      <c r="R4114" s="2" t="inlineStr"/>
    </row>
    <row r="4115" ht="15" customHeight="1">
      <c r="A4115" t="inlineStr">
        <is>
          <t>A 18245-2025</t>
        </is>
      </c>
      <c r="B4115" s="1" t="n">
        <v>45762.32237268519</v>
      </c>
      <c r="C4115" s="1" t="n">
        <v>45952</v>
      </c>
      <c r="D4115" t="inlineStr">
        <is>
          <t>VÄSTRA GÖTALANDS LÄN</t>
        </is>
      </c>
      <c r="E4115" t="inlineStr">
        <is>
          <t>MARIESTAD</t>
        </is>
      </c>
      <c r="F4115" t="inlineStr">
        <is>
          <t>Sveaskog</t>
        </is>
      </c>
      <c r="G4115" t="n">
        <v>4.4</v>
      </c>
      <c r="H4115" t="n">
        <v>0</v>
      </c>
      <c r="I4115" t="n">
        <v>0</v>
      </c>
      <c r="J4115" t="n">
        <v>0</v>
      </c>
      <c r="K4115" t="n">
        <v>0</v>
      </c>
      <c r="L4115" t="n">
        <v>0</v>
      </c>
      <c r="M4115" t="n">
        <v>0</v>
      </c>
      <c r="N4115" t="n">
        <v>0</v>
      </c>
      <c r="O4115" t="n">
        <v>0</v>
      </c>
      <c r="P4115" t="n">
        <v>0</v>
      </c>
      <c r="Q4115" t="n">
        <v>0</v>
      </c>
      <c r="R4115" s="2" t="inlineStr"/>
    </row>
    <row r="4116" ht="15" customHeight="1">
      <c r="A4116" t="inlineStr">
        <is>
          <t>A 70491-2021</t>
        </is>
      </c>
      <c r="B4116" s="1" t="n">
        <v>44536</v>
      </c>
      <c r="C4116" s="1" t="n">
        <v>45952</v>
      </c>
      <c r="D4116" t="inlineStr">
        <is>
          <t>VÄSTRA GÖTALANDS LÄN</t>
        </is>
      </c>
      <c r="E4116" t="inlineStr">
        <is>
          <t>UDDEVALLA</t>
        </is>
      </c>
      <c r="G4116" t="n">
        <v>0.3</v>
      </c>
      <c r="H4116" t="n">
        <v>0</v>
      </c>
      <c r="I4116" t="n">
        <v>0</v>
      </c>
      <c r="J4116" t="n">
        <v>0</v>
      </c>
      <c r="K4116" t="n">
        <v>0</v>
      </c>
      <c r="L4116" t="n">
        <v>0</v>
      </c>
      <c r="M4116" t="n">
        <v>0</v>
      </c>
      <c r="N4116" t="n">
        <v>0</v>
      </c>
      <c r="O4116" t="n">
        <v>0</v>
      </c>
      <c r="P4116" t="n">
        <v>0</v>
      </c>
      <c r="Q4116" t="n">
        <v>0</v>
      </c>
      <c r="R4116" s="2" t="inlineStr"/>
    </row>
    <row r="4117" ht="15" customHeight="1">
      <c r="A4117" t="inlineStr">
        <is>
          <t>A 9117-2025</t>
        </is>
      </c>
      <c r="B4117" s="1" t="n">
        <v>45713.79837962963</v>
      </c>
      <c r="C4117" s="1" t="n">
        <v>45952</v>
      </c>
      <c r="D4117" t="inlineStr">
        <is>
          <t>VÄSTRA GÖTALANDS LÄN</t>
        </is>
      </c>
      <c r="E4117" t="inlineStr">
        <is>
          <t>SKARA</t>
        </is>
      </c>
      <c r="G4117" t="n">
        <v>2.3</v>
      </c>
      <c r="H4117" t="n">
        <v>0</v>
      </c>
      <c r="I4117" t="n">
        <v>0</v>
      </c>
      <c r="J4117" t="n">
        <v>0</v>
      </c>
      <c r="K4117" t="n">
        <v>0</v>
      </c>
      <c r="L4117" t="n">
        <v>0</v>
      </c>
      <c r="M4117" t="n">
        <v>0</v>
      </c>
      <c r="N4117" t="n">
        <v>0</v>
      </c>
      <c r="O4117" t="n">
        <v>0</v>
      </c>
      <c r="P4117" t="n">
        <v>0</v>
      </c>
      <c r="Q4117" t="n">
        <v>0</v>
      </c>
      <c r="R4117" s="2" t="inlineStr"/>
    </row>
    <row r="4118" ht="15" customHeight="1">
      <c r="A4118" t="inlineStr">
        <is>
          <t>A 44883-2021</t>
        </is>
      </c>
      <c r="B4118" s="1" t="n">
        <v>44438.61731481482</v>
      </c>
      <c r="C4118" s="1" t="n">
        <v>45952</v>
      </c>
      <c r="D4118" t="inlineStr">
        <is>
          <t>VÄSTRA GÖTALANDS LÄN</t>
        </is>
      </c>
      <c r="E4118" t="inlineStr">
        <is>
          <t>STRÖMSTAD</t>
        </is>
      </c>
      <c r="G4118" t="n">
        <v>1.9</v>
      </c>
      <c r="H4118" t="n">
        <v>0</v>
      </c>
      <c r="I4118" t="n">
        <v>0</v>
      </c>
      <c r="J4118" t="n">
        <v>0</v>
      </c>
      <c r="K4118" t="n">
        <v>0</v>
      </c>
      <c r="L4118" t="n">
        <v>0</v>
      </c>
      <c r="M4118" t="n">
        <v>0</v>
      </c>
      <c r="N4118" t="n">
        <v>0</v>
      </c>
      <c r="O4118" t="n">
        <v>0</v>
      </c>
      <c r="P4118" t="n">
        <v>0</v>
      </c>
      <c r="Q4118" t="n">
        <v>0</v>
      </c>
      <c r="R4118" s="2" t="inlineStr"/>
    </row>
    <row r="4119" ht="15" customHeight="1">
      <c r="A4119" t="inlineStr">
        <is>
          <t>A 5655-2024</t>
        </is>
      </c>
      <c r="B4119" s="1" t="n">
        <v>45334.63966435185</v>
      </c>
      <c r="C4119" s="1" t="n">
        <v>45952</v>
      </c>
      <c r="D4119" t="inlineStr">
        <is>
          <t>VÄSTRA GÖTALANDS LÄN</t>
        </is>
      </c>
      <c r="E4119" t="inlineStr">
        <is>
          <t>TANUM</t>
        </is>
      </c>
      <c r="G4119" t="n">
        <v>0.9</v>
      </c>
      <c r="H4119" t="n">
        <v>0</v>
      </c>
      <c r="I4119" t="n">
        <v>0</v>
      </c>
      <c r="J4119" t="n">
        <v>0</v>
      </c>
      <c r="K4119" t="n">
        <v>0</v>
      </c>
      <c r="L4119" t="n">
        <v>0</v>
      </c>
      <c r="M4119" t="n">
        <v>0</v>
      </c>
      <c r="N4119" t="n">
        <v>0</v>
      </c>
      <c r="O4119" t="n">
        <v>0</v>
      </c>
      <c r="P4119" t="n">
        <v>0</v>
      </c>
      <c r="Q4119" t="n">
        <v>0</v>
      </c>
      <c r="R4119" s="2" t="inlineStr"/>
    </row>
    <row r="4120" ht="15" customHeight="1">
      <c r="A4120" t="inlineStr">
        <is>
          <t>A 9833-2025</t>
        </is>
      </c>
      <c r="B4120" s="1" t="n">
        <v>45716.58680555555</v>
      </c>
      <c r="C4120" s="1" t="n">
        <v>45952</v>
      </c>
      <c r="D4120" t="inlineStr">
        <is>
          <t>VÄSTRA GÖTALANDS LÄN</t>
        </is>
      </c>
      <c r="E4120" t="inlineStr">
        <is>
          <t>TRANEMO</t>
        </is>
      </c>
      <c r="G4120" t="n">
        <v>1.8</v>
      </c>
      <c r="H4120" t="n">
        <v>0</v>
      </c>
      <c r="I4120" t="n">
        <v>0</v>
      </c>
      <c r="J4120" t="n">
        <v>0</v>
      </c>
      <c r="K4120" t="n">
        <v>0</v>
      </c>
      <c r="L4120" t="n">
        <v>0</v>
      </c>
      <c r="M4120" t="n">
        <v>0</v>
      </c>
      <c r="N4120" t="n">
        <v>0</v>
      </c>
      <c r="O4120" t="n">
        <v>0</v>
      </c>
      <c r="P4120" t="n">
        <v>0</v>
      </c>
      <c r="Q4120" t="n">
        <v>0</v>
      </c>
      <c r="R4120" s="2" t="inlineStr"/>
    </row>
    <row r="4121" ht="15" customHeight="1">
      <c r="A4121" t="inlineStr">
        <is>
          <t>A 45522-2024</t>
        </is>
      </c>
      <c r="B4121" s="1" t="n">
        <v>45578.74212962963</v>
      </c>
      <c r="C4121" s="1" t="n">
        <v>45952</v>
      </c>
      <c r="D4121" t="inlineStr">
        <is>
          <t>VÄSTRA GÖTALANDS LÄN</t>
        </is>
      </c>
      <c r="E4121" t="inlineStr">
        <is>
          <t>HERRLJUNGA</t>
        </is>
      </c>
      <c r="G4121" t="n">
        <v>0.8</v>
      </c>
      <c r="H4121" t="n">
        <v>0</v>
      </c>
      <c r="I4121" t="n">
        <v>0</v>
      </c>
      <c r="J4121" t="n">
        <v>0</v>
      </c>
      <c r="K4121" t="n">
        <v>0</v>
      </c>
      <c r="L4121" t="n">
        <v>0</v>
      </c>
      <c r="M4121" t="n">
        <v>0</v>
      </c>
      <c r="N4121" t="n">
        <v>0</v>
      </c>
      <c r="O4121" t="n">
        <v>0</v>
      </c>
      <c r="P4121" t="n">
        <v>0</v>
      </c>
      <c r="Q4121" t="n">
        <v>0</v>
      </c>
      <c r="R4121" s="2" t="inlineStr"/>
    </row>
    <row r="4122" ht="15" customHeight="1">
      <c r="A4122" t="inlineStr">
        <is>
          <t>A 45528-2024</t>
        </is>
      </c>
      <c r="B4122" s="1" t="n">
        <v>45579.27511574074</v>
      </c>
      <c r="C4122" s="1" t="n">
        <v>45952</v>
      </c>
      <c r="D4122" t="inlineStr">
        <is>
          <t>VÄSTRA GÖTALANDS LÄN</t>
        </is>
      </c>
      <c r="E4122" t="inlineStr">
        <is>
          <t>ULRICEHAMN</t>
        </is>
      </c>
      <c r="G4122" t="n">
        <v>2.8</v>
      </c>
      <c r="H4122" t="n">
        <v>0</v>
      </c>
      <c r="I4122" t="n">
        <v>0</v>
      </c>
      <c r="J4122" t="n">
        <v>0</v>
      </c>
      <c r="K4122" t="n">
        <v>0</v>
      </c>
      <c r="L4122" t="n">
        <v>0</v>
      </c>
      <c r="M4122" t="n">
        <v>0</v>
      </c>
      <c r="N4122" t="n">
        <v>0</v>
      </c>
      <c r="O4122" t="n">
        <v>0</v>
      </c>
      <c r="P4122" t="n">
        <v>0</v>
      </c>
      <c r="Q4122" t="n">
        <v>0</v>
      </c>
      <c r="R4122" s="2" t="inlineStr"/>
    </row>
    <row r="4123" ht="15" customHeight="1">
      <c r="A4123" t="inlineStr">
        <is>
          <t>A 59257-2024</t>
        </is>
      </c>
      <c r="B4123" s="1" t="n">
        <v>45636</v>
      </c>
      <c r="C4123" s="1" t="n">
        <v>45952</v>
      </c>
      <c r="D4123" t="inlineStr">
        <is>
          <t>VÄSTRA GÖTALANDS LÄN</t>
        </is>
      </c>
      <c r="E4123" t="inlineStr">
        <is>
          <t>MUNKEDAL</t>
        </is>
      </c>
      <c r="G4123" t="n">
        <v>5.8</v>
      </c>
      <c r="H4123" t="n">
        <v>0</v>
      </c>
      <c r="I4123" t="n">
        <v>0</v>
      </c>
      <c r="J4123" t="n">
        <v>0</v>
      </c>
      <c r="K4123" t="n">
        <v>0</v>
      </c>
      <c r="L4123" t="n">
        <v>0</v>
      </c>
      <c r="M4123" t="n">
        <v>0</v>
      </c>
      <c r="N4123" t="n">
        <v>0</v>
      </c>
      <c r="O4123" t="n">
        <v>0</v>
      </c>
      <c r="P4123" t="n">
        <v>0</v>
      </c>
      <c r="Q4123" t="n">
        <v>0</v>
      </c>
      <c r="R4123" s="2" t="inlineStr"/>
    </row>
    <row r="4124" ht="15" customHeight="1">
      <c r="A4124" t="inlineStr">
        <is>
          <t>A 62884-2021</t>
        </is>
      </c>
      <c r="B4124" s="1" t="n">
        <v>44504</v>
      </c>
      <c r="C4124" s="1" t="n">
        <v>45952</v>
      </c>
      <c r="D4124" t="inlineStr">
        <is>
          <t>VÄSTRA GÖTALANDS LÄN</t>
        </is>
      </c>
      <c r="E4124" t="inlineStr">
        <is>
          <t>GÖTEBORG</t>
        </is>
      </c>
      <c r="G4124" t="n">
        <v>0.8</v>
      </c>
      <c r="H4124" t="n">
        <v>0</v>
      </c>
      <c r="I4124" t="n">
        <v>0</v>
      </c>
      <c r="J4124" t="n">
        <v>0</v>
      </c>
      <c r="K4124" t="n">
        <v>0</v>
      </c>
      <c r="L4124" t="n">
        <v>0</v>
      </c>
      <c r="M4124" t="n">
        <v>0</v>
      </c>
      <c r="N4124" t="n">
        <v>0</v>
      </c>
      <c r="O4124" t="n">
        <v>0</v>
      </c>
      <c r="P4124" t="n">
        <v>0</v>
      </c>
      <c r="Q4124" t="n">
        <v>0</v>
      </c>
      <c r="R4124" s="2" t="inlineStr"/>
    </row>
    <row r="4125" ht="15" customHeight="1">
      <c r="A4125" t="inlineStr">
        <is>
          <t>A 4845-2024</t>
        </is>
      </c>
      <c r="B4125" s="1" t="n">
        <v>45329.35953703704</v>
      </c>
      <c r="C4125" s="1" t="n">
        <v>45952</v>
      </c>
      <c r="D4125" t="inlineStr">
        <is>
          <t>VÄSTRA GÖTALANDS LÄN</t>
        </is>
      </c>
      <c r="E4125" t="inlineStr">
        <is>
          <t>VÅRGÅRDA</t>
        </is>
      </c>
      <c r="G4125" t="n">
        <v>4.4</v>
      </c>
      <c r="H4125" t="n">
        <v>0</v>
      </c>
      <c r="I4125" t="n">
        <v>0</v>
      </c>
      <c r="J4125" t="n">
        <v>0</v>
      </c>
      <c r="K4125" t="n">
        <v>0</v>
      </c>
      <c r="L4125" t="n">
        <v>0</v>
      </c>
      <c r="M4125" t="n">
        <v>0</v>
      </c>
      <c r="N4125" t="n">
        <v>0</v>
      </c>
      <c r="O4125" t="n">
        <v>0</v>
      </c>
      <c r="P4125" t="n">
        <v>0</v>
      </c>
      <c r="Q4125" t="n">
        <v>0</v>
      </c>
      <c r="R4125" s="2" t="inlineStr"/>
    </row>
    <row r="4126" ht="15" customHeight="1">
      <c r="A4126" t="inlineStr">
        <is>
          <t>A 2084-2025</t>
        </is>
      </c>
      <c r="B4126" s="1" t="n">
        <v>45672.58885416666</v>
      </c>
      <c r="C4126" s="1" t="n">
        <v>45952</v>
      </c>
      <c r="D4126" t="inlineStr">
        <is>
          <t>VÄSTRA GÖTALANDS LÄN</t>
        </is>
      </c>
      <c r="E4126" t="inlineStr">
        <is>
          <t>BENGTSFORS</t>
        </is>
      </c>
      <c r="G4126" t="n">
        <v>0.6</v>
      </c>
      <c r="H4126" t="n">
        <v>0</v>
      </c>
      <c r="I4126" t="n">
        <v>0</v>
      </c>
      <c r="J4126" t="n">
        <v>0</v>
      </c>
      <c r="K4126" t="n">
        <v>0</v>
      </c>
      <c r="L4126" t="n">
        <v>0</v>
      </c>
      <c r="M4126" t="n">
        <v>0</v>
      </c>
      <c r="N4126" t="n">
        <v>0</v>
      </c>
      <c r="O4126" t="n">
        <v>0</v>
      </c>
      <c r="P4126" t="n">
        <v>0</v>
      </c>
      <c r="Q4126" t="n">
        <v>0</v>
      </c>
      <c r="R4126" s="2" t="inlineStr"/>
    </row>
    <row r="4127" ht="15" customHeight="1">
      <c r="A4127" t="inlineStr">
        <is>
          <t>A 49332-2024</t>
        </is>
      </c>
      <c r="B4127" s="1" t="n">
        <v>45595.58311342593</v>
      </c>
      <c r="C4127" s="1" t="n">
        <v>45952</v>
      </c>
      <c r="D4127" t="inlineStr">
        <is>
          <t>VÄSTRA GÖTALANDS LÄN</t>
        </is>
      </c>
      <c r="E4127" t="inlineStr">
        <is>
          <t>FALKÖPING</t>
        </is>
      </c>
      <c r="G4127" t="n">
        <v>1.2</v>
      </c>
      <c r="H4127" t="n">
        <v>0</v>
      </c>
      <c r="I4127" t="n">
        <v>0</v>
      </c>
      <c r="J4127" t="n">
        <v>0</v>
      </c>
      <c r="K4127" t="n">
        <v>0</v>
      </c>
      <c r="L4127" t="n">
        <v>0</v>
      </c>
      <c r="M4127" t="n">
        <v>0</v>
      </c>
      <c r="N4127" t="n">
        <v>0</v>
      </c>
      <c r="O4127" t="n">
        <v>0</v>
      </c>
      <c r="P4127" t="n">
        <v>0</v>
      </c>
      <c r="Q4127" t="n">
        <v>0</v>
      </c>
      <c r="R4127" s="2" t="inlineStr"/>
    </row>
    <row r="4128" ht="15" customHeight="1">
      <c r="A4128" t="inlineStr">
        <is>
          <t>A 52030-2024</t>
        </is>
      </c>
      <c r="B4128" s="1" t="n">
        <v>45608.27928240741</v>
      </c>
      <c r="C4128" s="1" t="n">
        <v>45952</v>
      </c>
      <c r="D4128" t="inlineStr">
        <is>
          <t>VÄSTRA GÖTALANDS LÄN</t>
        </is>
      </c>
      <c r="E4128" t="inlineStr">
        <is>
          <t>TIDAHOLM</t>
        </is>
      </c>
      <c r="G4128" t="n">
        <v>0.6</v>
      </c>
      <c r="H4128" t="n">
        <v>0</v>
      </c>
      <c r="I4128" t="n">
        <v>0</v>
      </c>
      <c r="J4128" t="n">
        <v>0</v>
      </c>
      <c r="K4128" t="n">
        <v>0</v>
      </c>
      <c r="L4128" t="n">
        <v>0</v>
      </c>
      <c r="M4128" t="n">
        <v>0</v>
      </c>
      <c r="N4128" t="n">
        <v>0</v>
      </c>
      <c r="O4128" t="n">
        <v>0</v>
      </c>
      <c r="P4128" t="n">
        <v>0</v>
      </c>
      <c r="Q4128" t="n">
        <v>0</v>
      </c>
      <c r="R4128" s="2" t="inlineStr"/>
    </row>
    <row r="4129" ht="15" customHeight="1">
      <c r="A4129" t="inlineStr">
        <is>
          <t>A 4881-2024</t>
        </is>
      </c>
      <c r="B4129" s="1" t="n">
        <v>45329.44875</v>
      </c>
      <c r="C4129" s="1" t="n">
        <v>45952</v>
      </c>
      <c r="D4129" t="inlineStr">
        <is>
          <t>VÄSTRA GÖTALANDS LÄN</t>
        </is>
      </c>
      <c r="E4129" t="inlineStr">
        <is>
          <t>LILLA EDET</t>
        </is>
      </c>
      <c r="G4129" t="n">
        <v>3.5</v>
      </c>
      <c r="H4129" t="n">
        <v>0</v>
      </c>
      <c r="I4129" t="n">
        <v>0</v>
      </c>
      <c r="J4129" t="n">
        <v>0</v>
      </c>
      <c r="K4129" t="n">
        <v>0</v>
      </c>
      <c r="L4129" t="n">
        <v>0</v>
      </c>
      <c r="M4129" t="n">
        <v>0</v>
      </c>
      <c r="N4129" t="n">
        <v>0</v>
      </c>
      <c r="O4129" t="n">
        <v>0</v>
      </c>
      <c r="P4129" t="n">
        <v>0</v>
      </c>
      <c r="Q4129" t="n">
        <v>0</v>
      </c>
      <c r="R4129" s="2" t="inlineStr"/>
    </row>
    <row r="4130" ht="15" customHeight="1">
      <c r="A4130" t="inlineStr">
        <is>
          <t>A 57692-2024</t>
        </is>
      </c>
      <c r="B4130" s="1" t="n">
        <v>45630</v>
      </c>
      <c r="C4130" s="1" t="n">
        <v>45952</v>
      </c>
      <c r="D4130" t="inlineStr">
        <is>
          <t>VÄSTRA GÖTALANDS LÄN</t>
        </is>
      </c>
      <c r="E4130" t="inlineStr">
        <is>
          <t>BENGTSFORS</t>
        </is>
      </c>
      <c r="F4130" t="inlineStr">
        <is>
          <t>Kyrkan</t>
        </is>
      </c>
      <c r="G4130" t="n">
        <v>10.8</v>
      </c>
      <c r="H4130" t="n">
        <v>0</v>
      </c>
      <c r="I4130" t="n">
        <v>0</v>
      </c>
      <c r="J4130" t="n">
        <v>0</v>
      </c>
      <c r="K4130" t="n">
        <v>0</v>
      </c>
      <c r="L4130" t="n">
        <v>0</v>
      </c>
      <c r="M4130" t="n">
        <v>0</v>
      </c>
      <c r="N4130" t="n">
        <v>0</v>
      </c>
      <c r="O4130" t="n">
        <v>0</v>
      </c>
      <c r="P4130" t="n">
        <v>0</v>
      </c>
      <c r="Q4130" t="n">
        <v>0</v>
      </c>
      <c r="R4130" s="2" t="inlineStr"/>
    </row>
    <row r="4131" ht="15" customHeight="1">
      <c r="A4131" t="inlineStr">
        <is>
          <t>A 33812-2023</t>
        </is>
      </c>
      <c r="B4131" s="1" t="n">
        <v>45133.58770833333</v>
      </c>
      <c r="C4131" s="1" t="n">
        <v>45952</v>
      </c>
      <c r="D4131" t="inlineStr">
        <is>
          <t>VÄSTRA GÖTALANDS LÄN</t>
        </is>
      </c>
      <c r="E4131" t="inlineStr">
        <is>
          <t>ALINGSÅS</t>
        </is>
      </c>
      <c r="G4131" t="n">
        <v>1</v>
      </c>
      <c r="H4131" t="n">
        <v>0</v>
      </c>
      <c r="I4131" t="n">
        <v>0</v>
      </c>
      <c r="J4131" t="n">
        <v>0</v>
      </c>
      <c r="K4131" t="n">
        <v>0</v>
      </c>
      <c r="L4131" t="n">
        <v>0</v>
      </c>
      <c r="M4131" t="n">
        <v>0</v>
      </c>
      <c r="N4131" t="n">
        <v>0</v>
      </c>
      <c r="O4131" t="n">
        <v>0</v>
      </c>
      <c r="P4131" t="n">
        <v>0</v>
      </c>
      <c r="Q4131" t="n">
        <v>0</v>
      </c>
      <c r="R4131" s="2" t="inlineStr"/>
    </row>
    <row r="4132" ht="15" customHeight="1">
      <c r="A4132" t="inlineStr">
        <is>
          <t>A 17914-2024</t>
        </is>
      </c>
      <c r="B4132" s="1" t="n">
        <v>45419.52296296296</v>
      </c>
      <c r="C4132" s="1" t="n">
        <v>45952</v>
      </c>
      <c r="D4132" t="inlineStr">
        <is>
          <t>VÄSTRA GÖTALANDS LÄN</t>
        </is>
      </c>
      <c r="E4132" t="inlineStr">
        <is>
          <t>MUNKEDAL</t>
        </is>
      </c>
      <c r="G4132" t="n">
        <v>1.7</v>
      </c>
      <c r="H4132" t="n">
        <v>0</v>
      </c>
      <c r="I4132" t="n">
        <v>0</v>
      </c>
      <c r="J4132" t="n">
        <v>0</v>
      </c>
      <c r="K4132" t="n">
        <v>0</v>
      </c>
      <c r="L4132" t="n">
        <v>0</v>
      </c>
      <c r="M4132" t="n">
        <v>0</v>
      </c>
      <c r="N4132" t="n">
        <v>0</v>
      </c>
      <c r="O4132" t="n">
        <v>0</v>
      </c>
      <c r="P4132" t="n">
        <v>0</v>
      </c>
      <c r="Q4132" t="n">
        <v>0</v>
      </c>
      <c r="R4132" s="2" t="inlineStr"/>
    </row>
    <row r="4133" ht="15" customHeight="1">
      <c r="A4133" t="inlineStr">
        <is>
          <t>A 33892-2023</t>
        </is>
      </c>
      <c r="B4133" s="1" t="n">
        <v>45134.34258101852</v>
      </c>
      <c r="C4133" s="1" t="n">
        <v>45952</v>
      </c>
      <c r="D4133" t="inlineStr">
        <is>
          <t>VÄSTRA GÖTALANDS LÄN</t>
        </is>
      </c>
      <c r="E4133" t="inlineStr">
        <is>
          <t>ULRICEHAMN</t>
        </is>
      </c>
      <c r="G4133" t="n">
        <v>2</v>
      </c>
      <c r="H4133" t="n">
        <v>0</v>
      </c>
      <c r="I4133" t="n">
        <v>0</v>
      </c>
      <c r="J4133" t="n">
        <v>0</v>
      </c>
      <c r="K4133" t="n">
        <v>0</v>
      </c>
      <c r="L4133" t="n">
        <v>0</v>
      </c>
      <c r="M4133" t="n">
        <v>0</v>
      </c>
      <c r="N4133" t="n">
        <v>0</v>
      </c>
      <c r="O4133" t="n">
        <v>0</v>
      </c>
      <c r="P4133" t="n">
        <v>0</v>
      </c>
      <c r="Q4133" t="n">
        <v>0</v>
      </c>
      <c r="R4133" s="2" t="inlineStr"/>
    </row>
    <row r="4134" ht="15" customHeight="1">
      <c r="A4134" t="inlineStr">
        <is>
          <t>A 28795-2023</t>
        </is>
      </c>
      <c r="B4134" s="1" t="n">
        <v>45104.35747685185</v>
      </c>
      <c r="C4134" s="1" t="n">
        <v>45952</v>
      </c>
      <c r="D4134" t="inlineStr">
        <is>
          <t>VÄSTRA GÖTALANDS LÄN</t>
        </is>
      </c>
      <c r="E4134" t="inlineStr">
        <is>
          <t>TANUM</t>
        </is>
      </c>
      <c r="F4134" t="inlineStr">
        <is>
          <t>Naturvårdsverket</t>
        </is>
      </c>
      <c r="G4134" t="n">
        <v>2.4</v>
      </c>
      <c r="H4134" t="n">
        <v>0</v>
      </c>
      <c r="I4134" t="n">
        <v>0</v>
      </c>
      <c r="J4134" t="n">
        <v>0</v>
      </c>
      <c r="K4134" t="n">
        <v>0</v>
      </c>
      <c r="L4134" t="n">
        <v>0</v>
      </c>
      <c r="M4134" t="n">
        <v>0</v>
      </c>
      <c r="N4134" t="n">
        <v>0</v>
      </c>
      <c r="O4134" t="n">
        <v>0</v>
      </c>
      <c r="P4134" t="n">
        <v>0</v>
      </c>
      <c r="Q4134" t="n">
        <v>0</v>
      </c>
      <c r="R4134" s="2" t="inlineStr"/>
    </row>
    <row r="4135" ht="15" customHeight="1">
      <c r="A4135" t="inlineStr">
        <is>
          <t>A 29437-2023</t>
        </is>
      </c>
      <c r="B4135" s="1" t="n">
        <v>45106</v>
      </c>
      <c r="C4135" s="1" t="n">
        <v>45952</v>
      </c>
      <c r="D4135" t="inlineStr">
        <is>
          <t>VÄSTRA GÖTALANDS LÄN</t>
        </is>
      </c>
      <c r="E4135" t="inlineStr">
        <is>
          <t>TANUM</t>
        </is>
      </c>
      <c r="G4135" t="n">
        <v>4.1</v>
      </c>
      <c r="H4135" t="n">
        <v>0</v>
      </c>
      <c r="I4135" t="n">
        <v>0</v>
      </c>
      <c r="J4135" t="n">
        <v>0</v>
      </c>
      <c r="K4135" t="n">
        <v>0</v>
      </c>
      <c r="L4135" t="n">
        <v>0</v>
      </c>
      <c r="M4135" t="n">
        <v>0</v>
      </c>
      <c r="N4135" t="n">
        <v>0</v>
      </c>
      <c r="O4135" t="n">
        <v>0</v>
      </c>
      <c r="P4135" t="n">
        <v>0</v>
      </c>
      <c r="Q4135" t="n">
        <v>0</v>
      </c>
      <c r="R4135" s="2" t="inlineStr"/>
    </row>
    <row r="4136" ht="15" customHeight="1">
      <c r="A4136" t="inlineStr">
        <is>
          <t>A 60023-2023</t>
        </is>
      </c>
      <c r="B4136" s="1" t="n">
        <v>45258.30628472222</v>
      </c>
      <c r="C4136" s="1" t="n">
        <v>45952</v>
      </c>
      <c r="D4136" t="inlineStr">
        <is>
          <t>VÄSTRA GÖTALANDS LÄN</t>
        </is>
      </c>
      <c r="E4136" t="inlineStr">
        <is>
          <t>BENGTSFORS</t>
        </is>
      </c>
      <c r="G4136" t="n">
        <v>0.7</v>
      </c>
      <c r="H4136" t="n">
        <v>0</v>
      </c>
      <c r="I4136" t="n">
        <v>0</v>
      </c>
      <c r="J4136" t="n">
        <v>0</v>
      </c>
      <c r="K4136" t="n">
        <v>0</v>
      </c>
      <c r="L4136" t="n">
        <v>0</v>
      </c>
      <c r="M4136" t="n">
        <v>0</v>
      </c>
      <c r="N4136" t="n">
        <v>0</v>
      </c>
      <c r="O4136" t="n">
        <v>0</v>
      </c>
      <c r="P4136" t="n">
        <v>0</v>
      </c>
      <c r="Q4136" t="n">
        <v>0</v>
      </c>
      <c r="R4136" s="2" t="inlineStr"/>
    </row>
    <row r="4137" ht="15" customHeight="1">
      <c r="A4137" t="inlineStr">
        <is>
          <t>A 1995-2024</t>
        </is>
      </c>
      <c r="B4137" s="1" t="n">
        <v>45308</v>
      </c>
      <c r="C4137" s="1" t="n">
        <v>45952</v>
      </c>
      <c r="D4137" t="inlineStr">
        <is>
          <t>VÄSTRA GÖTALANDS LÄN</t>
        </is>
      </c>
      <c r="E4137" t="inlineStr">
        <is>
          <t>KUNGÄLV</t>
        </is>
      </c>
      <c r="G4137" t="n">
        <v>0.5</v>
      </c>
      <c r="H4137" t="n">
        <v>0</v>
      </c>
      <c r="I4137" t="n">
        <v>0</v>
      </c>
      <c r="J4137" t="n">
        <v>0</v>
      </c>
      <c r="K4137" t="n">
        <v>0</v>
      </c>
      <c r="L4137" t="n">
        <v>0</v>
      </c>
      <c r="M4137" t="n">
        <v>0</v>
      </c>
      <c r="N4137" t="n">
        <v>0</v>
      </c>
      <c r="O4137" t="n">
        <v>0</v>
      </c>
      <c r="P4137" t="n">
        <v>0</v>
      </c>
      <c r="Q4137" t="n">
        <v>0</v>
      </c>
      <c r="R4137" s="2" t="inlineStr"/>
    </row>
    <row r="4138" ht="15" customHeight="1">
      <c r="A4138" t="inlineStr">
        <is>
          <t>A 60034-2023</t>
        </is>
      </c>
      <c r="B4138" s="1" t="n">
        <v>45258.3278125</v>
      </c>
      <c r="C4138" s="1" t="n">
        <v>45952</v>
      </c>
      <c r="D4138" t="inlineStr">
        <is>
          <t>VÄSTRA GÖTALANDS LÄN</t>
        </is>
      </c>
      <c r="E4138" t="inlineStr">
        <is>
          <t>TRANEMO</t>
        </is>
      </c>
      <c r="G4138" t="n">
        <v>1.1</v>
      </c>
      <c r="H4138" t="n">
        <v>0</v>
      </c>
      <c r="I4138" t="n">
        <v>0</v>
      </c>
      <c r="J4138" t="n">
        <v>0</v>
      </c>
      <c r="K4138" t="n">
        <v>0</v>
      </c>
      <c r="L4138" t="n">
        <v>0</v>
      </c>
      <c r="M4138" t="n">
        <v>0</v>
      </c>
      <c r="N4138" t="n">
        <v>0</v>
      </c>
      <c r="O4138" t="n">
        <v>0</v>
      </c>
      <c r="P4138" t="n">
        <v>0</v>
      </c>
      <c r="Q4138" t="n">
        <v>0</v>
      </c>
      <c r="R4138" s="2" t="inlineStr"/>
    </row>
    <row r="4139" ht="15" customHeight="1">
      <c r="A4139" t="inlineStr">
        <is>
          <t>A 1777-2025</t>
        </is>
      </c>
      <c r="B4139" s="1" t="n">
        <v>45670</v>
      </c>
      <c r="C4139" s="1" t="n">
        <v>45952</v>
      </c>
      <c r="D4139" t="inlineStr">
        <is>
          <t>VÄSTRA GÖTALANDS LÄN</t>
        </is>
      </c>
      <c r="E4139" t="inlineStr">
        <is>
          <t>BORÅS</t>
        </is>
      </c>
      <c r="F4139" t="inlineStr">
        <is>
          <t>Kommuner</t>
        </is>
      </c>
      <c r="G4139" t="n">
        <v>1.7</v>
      </c>
      <c r="H4139" t="n">
        <v>0</v>
      </c>
      <c r="I4139" t="n">
        <v>0</v>
      </c>
      <c r="J4139" t="n">
        <v>0</v>
      </c>
      <c r="K4139" t="n">
        <v>0</v>
      </c>
      <c r="L4139" t="n">
        <v>0</v>
      </c>
      <c r="M4139" t="n">
        <v>0</v>
      </c>
      <c r="N4139" t="n">
        <v>0</v>
      </c>
      <c r="O4139" t="n">
        <v>0</v>
      </c>
      <c r="P4139" t="n">
        <v>0</v>
      </c>
      <c r="Q4139" t="n">
        <v>0</v>
      </c>
      <c r="R4139" s="2" t="inlineStr"/>
    </row>
    <row r="4140" ht="15" customHeight="1">
      <c r="A4140" t="inlineStr">
        <is>
          <t>A 1800-2025</t>
        </is>
      </c>
      <c r="B4140" s="1" t="n">
        <v>45671.46813657408</v>
      </c>
      <c r="C4140" s="1" t="n">
        <v>45952</v>
      </c>
      <c r="D4140" t="inlineStr">
        <is>
          <t>VÄSTRA GÖTALANDS LÄN</t>
        </is>
      </c>
      <c r="E4140" t="inlineStr">
        <is>
          <t>BORÅS</t>
        </is>
      </c>
      <c r="G4140" t="n">
        <v>1.8</v>
      </c>
      <c r="H4140" t="n">
        <v>0</v>
      </c>
      <c r="I4140" t="n">
        <v>0</v>
      </c>
      <c r="J4140" t="n">
        <v>0</v>
      </c>
      <c r="K4140" t="n">
        <v>0</v>
      </c>
      <c r="L4140" t="n">
        <v>0</v>
      </c>
      <c r="M4140" t="n">
        <v>0</v>
      </c>
      <c r="N4140" t="n">
        <v>0</v>
      </c>
      <c r="O4140" t="n">
        <v>0</v>
      </c>
      <c r="P4140" t="n">
        <v>0</v>
      </c>
      <c r="Q4140" t="n">
        <v>0</v>
      </c>
      <c r="R4140" s="2" t="inlineStr"/>
    </row>
    <row r="4141" ht="15" customHeight="1">
      <c r="A4141" t="inlineStr">
        <is>
          <t>A 58972-2024</t>
        </is>
      </c>
      <c r="B4141" s="1" t="n">
        <v>45636.60099537037</v>
      </c>
      <c r="C4141" s="1" t="n">
        <v>45952</v>
      </c>
      <c r="D4141" t="inlineStr">
        <is>
          <t>VÄSTRA GÖTALANDS LÄN</t>
        </is>
      </c>
      <c r="E4141" t="inlineStr">
        <is>
          <t>VÄNERSBORG</t>
        </is>
      </c>
      <c r="G4141" t="n">
        <v>2.1</v>
      </c>
      <c r="H4141" t="n">
        <v>0</v>
      </c>
      <c r="I4141" t="n">
        <v>0</v>
      </c>
      <c r="J4141" t="n">
        <v>0</v>
      </c>
      <c r="K4141" t="n">
        <v>0</v>
      </c>
      <c r="L4141" t="n">
        <v>0</v>
      </c>
      <c r="M4141" t="n">
        <v>0</v>
      </c>
      <c r="N4141" t="n">
        <v>0</v>
      </c>
      <c r="O4141" t="n">
        <v>0</v>
      </c>
      <c r="P4141" t="n">
        <v>0</v>
      </c>
      <c r="Q4141" t="n">
        <v>0</v>
      </c>
      <c r="R4141" s="2" t="inlineStr"/>
    </row>
    <row r="4142" ht="15" customHeight="1">
      <c r="A4142" t="inlineStr">
        <is>
          <t>A 5416-2021</t>
        </is>
      </c>
      <c r="B4142" s="1" t="n">
        <v>44229</v>
      </c>
      <c r="C4142" s="1" t="n">
        <v>45952</v>
      </c>
      <c r="D4142" t="inlineStr">
        <is>
          <t>VÄSTRA GÖTALANDS LÄN</t>
        </is>
      </c>
      <c r="E4142" t="inlineStr">
        <is>
          <t>TROLLHÄTTAN</t>
        </is>
      </c>
      <c r="G4142" t="n">
        <v>12.8</v>
      </c>
      <c r="H4142" t="n">
        <v>0</v>
      </c>
      <c r="I4142" t="n">
        <v>0</v>
      </c>
      <c r="J4142" t="n">
        <v>0</v>
      </c>
      <c r="K4142" t="n">
        <v>0</v>
      </c>
      <c r="L4142" t="n">
        <v>0</v>
      </c>
      <c r="M4142" t="n">
        <v>0</v>
      </c>
      <c r="N4142" t="n">
        <v>0</v>
      </c>
      <c r="O4142" t="n">
        <v>0</v>
      </c>
      <c r="P4142" t="n">
        <v>0</v>
      </c>
      <c r="Q4142" t="n">
        <v>0</v>
      </c>
      <c r="R4142" s="2" t="inlineStr"/>
    </row>
    <row r="4143" ht="15" customHeight="1">
      <c r="A4143" t="inlineStr">
        <is>
          <t>A 37775-2024</t>
        </is>
      </c>
      <c r="B4143" s="1" t="n">
        <v>45542.42527777778</v>
      </c>
      <c r="C4143" s="1" t="n">
        <v>45952</v>
      </c>
      <c r="D4143" t="inlineStr">
        <is>
          <t>VÄSTRA GÖTALANDS LÄN</t>
        </is>
      </c>
      <c r="E4143" t="inlineStr">
        <is>
          <t>GRÄSTORP</t>
        </is>
      </c>
      <c r="G4143" t="n">
        <v>6.4</v>
      </c>
      <c r="H4143" t="n">
        <v>0</v>
      </c>
      <c r="I4143" t="n">
        <v>0</v>
      </c>
      <c r="J4143" t="n">
        <v>0</v>
      </c>
      <c r="K4143" t="n">
        <v>0</v>
      </c>
      <c r="L4143" t="n">
        <v>0</v>
      </c>
      <c r="M4143" t="n">
        <v>0</v>
      </c>
      <c r="N4143" t="n">
        <v>0</v>
      </c>
      <c r="O4143" t="n">
        <v>0</v>
      </c>
      <c r="P4143" t="n">
        <v>0</v>
      </c>
      <c r="Q4143" t="n">
        <v>0</v>
      </c>
      <c r="R4143" s="2" t="inlineStr"/>
    </row>
    <row r="4144" ht="15" customHeight="1">
      <c r="A4144" t="inlineStr">
        <is>
          <t>A 17795-2025</t>
        </is>
      </c>
      <c r="B4144" s="1" t="n">
        <v>45758.54459490741</v>
      </c>
      <c r="C4144" s="1" t="n">
        <v>45952</v>
      </c>
      <c r="D4144" t="inlineStr">
        <is>
          <t>VÄSTRA GÖTALANDS LÄN</t>
        </is>
      </c>
      <c r="E4144" t="inlineStr">
        <is>
          <t>MARK</t>
        </is>
      </c>
      <c r="G4144" t="n">
        <v>1</v>
      </c>
      <c r="H4144" t="n">
        <v>0</v>
      </c>
      <c r="I4144" t="n">
        <v>0</v>
      </c>
      <c r="J4144" t="n">
        <v>0</v>
      </c>
      <c r="K4144" t="n">
        <v>0</v>
      </c>
      <c r="L4144" t="n">
        <v>0</v>
      </c>
      <c r="M4144" t="n">
        <v>0</v>
      </c>
      <c r="N4144" t="n">
        <v>0</v>
      </c>
      <c r="O4144" t="n">
        <v>0</v>
      </c>
      <c r="P4144" t="n">
        <v>0</v>
      </c>
      <c r="Q4144" t="n">
        <v>0</v>
      </c>
      <c r="R4144" s="2" t="inlineStr"/>
    </row>
    <row r="4145" ht="15" customHeight="1">
      <c r="A4145" t="inlineStr">
        <is>
          <t>A 17806-2025</t>
        </is>
      </c>
      <c r="B4145" s="1" t="n">
        <v>45758.55542824074</v>
      </c>
      <c r="C4145" s="1" t="n">
        <v>45952</v>
      </c>
      <c r="D4145" t="inlineStr">
        <is>
          <t>VÄSTRA GÖTALANDS LÄN</t>
        </is>
      </c>
      <c r="E4145" t="inlineStr">
        <is>
          <t>MARK</t>
        </is>
      </c>
      <c r="G4145" t="n">
        <v>15</v>
      </c>
      <c r="H4145" t="n">
        <v>0</v>
      </c>
      <c r="I4145" t="n">
        <v>0</v>
      </c>
      <c r="J4145" t="n">
        <v>0</v>
      </c>
      <c r="K4145" t="n">
        <v>0</v>
      </c>
      <c r="L4145" t="n">
        <v>0</v>
      </c>
      <c r="M4145" t="n">
        <v>0</v>
      </c>
      <c r="N4145" t="n">
        <v>0</v>
      </c>
      <c r="O4145" t="n">
        <v>0</v>
      </c>
      <c r="P4145" t="n">
        <v>0</v>
      </c>
      <c r="Q4145" t="n">
        <v>0</v>
      </c>
      <c r="R4145" s="2" t="inlineStr"/>
    </row>
    <row r="4146" ht="15" customHeight="1">
      <c r="A4146" t="inlineStr">
        <is>
          <t>A 32439-2023</t>
        </is>
      </c>
      <c r="B4146" s="1" t="n">
        <v>45120</v>
      </c>
      <c r="C4146" s="1" t="n">
        <v>45952</v>
      </c>
      <c r="D4146" t="inlineStr">
        <is>
          <t>VÄSTRA GÖTALANDS LÄN</t>
        </is>
      </c>
      <c r="E4146" t="inlineStr">
        <is>
          <t>TIDAHOLM</t>
        </is>
      </c>
      <c r="G4146" t="n">
        <v>1.8</v>
      </c>
      <c r="H4146" t="n">
        <v>0</v>
      </c>
      <c r="I4146" t="n">
        <v>0</v>
      </c>
      <c r="J4146" t="n">
        <v>0</v>
      </c>
      <c r="K4146" t="n">
        <v>0</v>
      </c>
      <c r="L4146" t="n">
        <v>0</v>
      </c>
      <c r="M4146" t="n">
        <v>0</v>
      </c>
      <c r="N4146" t="n">
        <v>0</v>
      </c>
      <c r="O4146" t="n">
        <v>0</v>
      </c>
      <c r="P4146" t="n">
        <v>0</v>
      </c>
      <c r="Q4146" t="n">
        <v>0</v>
      </c>
      <c r="R4146" s="2" t="inlineStr"/>
    </row>
    <row r="4147" ht="15" customHeight="1">
      <c r="A4147" t="inlineStr">
        <is>
          <t>A 59958-2020</t>
        </is>
      </c>
      <c r="B4147" s="1" t="n">
        <v>44151</v>
      </c>
      <c r="C4147" s="1" t="n">
        <v>45952</v>
      </c>
      <c r="D4147" t="inlineStr">
        <is>
          <t>VÄSTRA GÖTALANDS LÄN</t>
        </is>
      </c>
      <c r="E4147" t="inlineStr">
        <is>
          <t>TROLLHÄTTAN</t>
        </is>
      </c>
      <c r="G4147" t="n">
        <v>0.5</v>
      </c>
      <c r="H4147" t="n">
        <v>0</v>
      </c>
      <c r="I4147" t="n">
        <v>0</v>
      </c>
      <c r="J4147" t="n">
        <v>0</v>
      </c>
      <c r="K4147" t="n">
        <v>0</v>
      </c>
      <c r="L4147" t="n">
        <v>0</v>
      </c>
      <c r="M4147" t="n">
        <v>0</v>
      </c>
      <c r="N4147" t="n">
        <v>0</v>
      </c>
      <c r="O4147" t="n">
        <v>0</v>
      </c>
      <c r="P4147" t="n">
        <v>0</v>
      </c>
      <c r="Q4147" t="n">
        <v>0</v>
      </c>
      <c r="R4147" s="2" t="inlineStr"/>
    </row>
    <row r="4148" ht="15" customHeight="1">
      <c r="A4148" t="inlineStr">
        <is>
          <t>A 2027-2022</t>
        </is>
      </c>
      <c r="B4148" s="1" t="n">
        <v>44575</v>
      </c>
      <c r="C4148" s="1" t="n">
        <v>45952</v>
      </c>
      <c r="D4148" t="inlineStr">
        <is>
          <t>VÄSTRA GÖTALANDS LÄN</t>
        </is>
      </c>
      <c r="E4148" t="inlineStr">
        <is>
          <t>ÅMÅL</t>
        </is>
      </c>
      <c r="G4148" t="n">
        <v>1.6</v>
      </c>
      <c r="H4148" t="n">
        <v>0</v>
      </c>
      <c r="I4148" t="n">
        <v>0</v>
      </c>
      <c r="J4148" t="n">
        <v>0</v>
      </c>
      <c r="K4148" t="n">
        <v>0</v>
      </c>
      <c r="L4148" t="n">
        <v>0</v>
      </c>
      <c r="M4148" t="n">
        <v>0</v>
      </c>
      <c r="N4148" t="n">
        <v>0</v>
      </c>
      <c r="O4148" t="n">
        <v>0</v>
      </c>
      <c r="P4148" t="n">
        <v>0</v>
      </c>
      <c r="Q4148" t="n">
        <v>0</v>
      </c>
      <c r="R4148" s="2" t="inlineStr"/>
    </row>
    <row r="4149" ht="15" customHeight="1">
      <c r="A4149" t="inlineStr">
        <is>
          <t>A 2092-2022</t>
        </is>
      </c>
      <c r="B4149" s="1" t="n">
        <v>44577.44398148148</v>
      </c>
      <c r="C4149" s="1" t="n">
        <v>45952</v>
      </c>
      <c r="D4149" t="inlineStr">
        <is>
          <t>VÄSTRA GÖTALANDS LÄN</t>
        </is>
      </c>
      <c r="E4149" t="inlineStr">
        <is>
          <t>BORÅS</t>
        </is>
      </c>
      <c r="G4149" t="n">
        <v>5.2</v>
      </c>
      <c r="H4149" t="n">
        <v>0</v>
      </c>
      <c r="I4149" t="n">
        <v>0</v>
      </c>
      <c r="J4149" t="n">
        <v>0</v>
      </c>
      <c r="K4149" t="n">
        <v>0</v>
      </c>
      <c r="L4149" t="n">
        <v>0</v>
      </c>
      <c r="M4149" t="n">
        <v>0</v>
      </c>
      <c r="N4149" t="n">
        <v>0</v>
      </c>
      <c r="O4149" t="n">
        <v>0</v>
      </c>
      <c r="P4149" t="n">
        <v>0</v>
      </c>
      <c r="Q4149" t="n">
        <v>0</v>
      </c>
      <c r="R4149" s="2" t="inlineStr"/>
    </row>
    <row r="4150" ht="15" customHeight="1">
      <c r="A4150" t="inlineStr">
        <is>
          <t>A 41627-2022</t>
        </is>
      </c>
      <c r="B4150" s="1" t="n">
        <v>44827</v>
      </c>
      <c r="C4150" s="1" t="n">
        <v>45952</v>
      </c>
      <c r="D4150" t="inlineStr">
        <is>
          <t>VÄSTRA GÖTALANDS LÄN</t>
        </is>
      </c>
      <c r="E4150" t="inlineStr">
        <is>
          <t>TÖREBODA</t>
        </is>
      </c>
      <c r="G4150" t="n">
        <v>2.4</v>
      </c>
      <c r="H4150" t="n">
        <v>0</v>
      </c>
      <c r="I4150" t="n">
        <v>0</v>
      </c>
      <c r="J4150" t="n">
        <v>0</v>
      </c>
      <c r="K4150" t="n">
        <v>0</v>
      </c>
      <c r="L4150" t="n">
        <v>0</v>
      </c>
      <c r="M4150" t="n">
        <v>0</v>
      </c>
      <c r="N4150" t="n">
        <v>0</v>
      </c>
      <c r="O4150" t="n">
        <v>0</v>
      </c>
      <c r="P4150" t="n">
        <v>0</v>
      </c>
      <c r="Q4150" t="n">
        <v>0</v>
      </c>
      <c r="R4150" s="2" t="inlineStr"/>
    </row>
    <row r="4151" ht="15" customHeight="1">
      <c r="A4151" t="inlineStr">
        <is>
          <t>A 41632-2022</t>
        </is>
      </c>
      <c r="B4151" s="1" t="n">
        <v>44827</v>
      </c>
      <c r="C4151" s="1" t="n">
        <v>45952</v>
      </c>
      <c r="D4151" t="inlineStr">
        <is>
          <t>VÄSTRA GÖTALANDS LÄN</t>
        </is>
      </c>
      <c r="E4151" t="inlineStr">
        <is>
          <t>TÖREBODA</t>
        </is>
      </c>
      <c r="G4151" t="n">
        <v>1.7</v>
      </c>
      <c r="H4151" t="n">
        <v>0</v>
      </c>
      <c r="I4151" t="n">
        <v>0</v>
      </c>
      <c r="J4151" t="n">
        <v>0</v>
      </c>
      <c r="K4151" t="n">
        <v>0</v>
      </c>
      <c r="L4151" t="n">
        <v>0</v>
      </c>
      <c r="M4151" t="n">
        <v>0</v>
      </c>
      <c r="N4151" t="n">
        <v>0</v>
      </c>
      <c r="O4151" t="n">
        <v>0</v>
      </c>
      <c r="P4151" t="n">
        <v>0</v>
      </c>
      <c r="Q4151" t="n">
        <v>0</v>
      </c>
      <c r="R4151" s="2" t="inlineStr"/>
    </row>
    <row r="4152" ht="15" customHeight="1">
      <c r="A4152" t="inlineStr">
        <is>
          <t>A 13345-2022</t>
        </is>
      </c>
      <c r="B4152" s="1" t="n">
        <v>44645</v>
      </c>
      <c r="C4152" s="1" t="n">
        <v>45952</v>
      </c>
      <c r="D4152" t="inlineStr">
        <is>
          <t>VÄSTRA GÖTALANDS LÄN</t>
        </is>
      </c>
      <c r="E4152" t="inlineStr">
        <is>
          <t>GÖTENE</t>
        </is>
      </c>
      <c r="G4152" t="n">
        <v>3.4</v>
      </c>
      <c r="H4152" t="n">
        <v>0</v>
      </c>
      <c r="I4152" t="n">
        <v>0</v>
      </c>
      <c r="J4152" t="n">
        <v>0</v>
      </c>
      <c r="K4152" t="n">
        <v>0</v>
      </c>
      <c r="L4152" t="n">
        <v>0</v>
      </c>
      <c r="M4152" t="n">
        <v>0</v>
      </c>
      <c r="N4152" t="n">
        <v>0</v>
      </c>
      <c r="O4152" t="n">
        <v>0</v>
      </c>
      <c r="P4152" t="n">
        <v>0</v>
      </c>
      <c r="Q4152" t="n">
        <v>0</v>
      </c>
      <c r="R4152" s="2" t="inlineStr"/>
    </row>
    <row r="4153" ht="15" customHeight="1">
      <c r="A4153" t="inlineStr">
        <is>
          <t>A 11679-2021</t>
        </is>
      </c>
      <c r="B4153" s="1" t="n">
        <v>44264</v>
      </c>
      <c r="C4153" s="1" t="n">
        <v>45952</v>
      </c>
      <c r="D4153" t="inlineStr">
        <is>
          <t>VÄSTRA GÖTALANDS LÄN</t>
        </is>
      </c>
      <c r="E4153" t="inlineStr">
        <is>
          <t>SVENLJUNGA</t>
        </is>
      </c>
      <c r="G4153" t="n">
        <v>1.8</v>
      </c>
      <c r="H4153" t="n">
        <v>0</v>
      </c>
      <c r="I4153" t="n">
        <v>0</v>
      </c>
      <c r="J4153" t="n">
        <v>0</v>
      </c>
      <c r="K4153" t="n">
        <v>0</v>
      </c>
      <c r="L4153" t="n">
        <v>0</v>
      </c>
      <c r="M4153" t="n">
        <v>0</v>
      </c>
      <c r="N4153" t="n">
        <v>0</v>
      </c>
      <c r="O4153" t="n">
        <v>0</v>
      </c>
      <c r="P4153" t="n">
        <v>0</v>
      </c>
      <c r="Q4153" t="n">
        <v>0</v>
      </c>
      <c r="R4153" s="2" t="inlineStr"/>
    </row>
    <row r="4154" ht="15" customHeight="1">
      <c r="A4154" t="inlineStr">
        <is>
          <t>A 58167-2020</t>
        </is>
      </c>
      <c r="B4154" s="1" t="n">
        <v>44144</v>
      </c>
      <c r="C4154" s="1" t="n">
        <v>45952</v>
      </c>
      <c r="D4154" t="inlineStr">
        <is>
          <t>VÄSTRA GÖTALANDS LÄN</t>
        </is>
      </c>
      <c r="E4154" t="inlineStr">
        <is>
          <t>KARLSBORG</t>
        </is>
      </c>
      <c r="G4154" t="n">
        <v>0.7</v>
      </c>
      <c r="H4154" t="n">
        <v>0</v>
      </c>
      <c r="I4154" t="n">
        <v>0</v>
      </c>
      <c r="J4154" t="n">
        <v>0</v>
      </c>
      <c r="K4154" t="n">
        <v>0</v>
      </c>
      <c r="L4154" t="n">
        <v>0</v>
      </c>
      <c r="M4154" t="n">
        <v>0</v>
      </c>
      <c r="N4154" t="n">
        <v>0</v>
      </c>
      <c r="O4154" t="n">
        <v>0</v>
      </c>
      <c r="P4154" t="n">
        <v>0</v>
      </c>
      <c r="Q4154" t="n">
        <v>0</v>
      </c>
      <c r="R4154" s="2" t="inlineStr"/>
    </row>
    <row r="4155" ht="15" customHeight="1">
      <c r="A4155" t="inlineStr">
        <is>
          <t>A 39113-2024</t>
        </is>
      </c>
      <c r="B4155" s="1" t="n">
        <v>45548.58054398148</v>
      </c>
      <c r="C4155" s="1" t="n">
        <v>45952</v>
      </c>
      <c r="D4155" t="inlineStr">
        <is>
          <t>VÄSTRA GÖTALANDS LÄN</t>
        </is>
      </c>
      <c r="E4155" t="inlineStr">
        <is>
          <t>LERUM</t>
        </is>
      </c>
      <c r="G4155" t="n">
        <v>0.7</v>
      </c>
      <c r="H4155" t="n">
        <v>0</v>
      </c>
      <c r="I4155" t="n">
        <v>0</v>
      </c>
      <c r="J4155" t="n">
        <v>0</v>
      </c>
      <c r="K4155" t="n">
        <v>0</v>
      </c>
      <c r="L4155" t="n">
        <v>0</v>
      </c>
      <c r="M4155" t="n">
        <v>0</v>
      </c>
      <c r="N4155" t="n">
        <v>0</v>
      </c>
      <c r="O4155" t="n">
        <v>0</v>
      </c>
      <c r="P4155" t="n">
        <v>0</v>
      </c>
      <c r="Q4155" t="n">
        <v>0</v>
      </c>
      <c r="R4155" s="2" t="inlineStr"/>
    </row>
    <row r="4156" ht="15" customHeight="1">
      <c r="A4156" t="inlineStr">
        <is>
          <t>A 50298-2024</t>
        </is>
      </c>
      <c r="B4156" s="1" t="n">
        <v>45600.62725694444</v>
      </c>
      <c r="C4156" s="1" t="n">
        <v>45952</v>
      </c>
      <c r="D4156" t="inlineStr">
        <is>
          <t>VÄSTRA GÖTALANDS LÄN</t>
        </is>
      </c>
      <c r="E4156" t="inlineStr">
        <is>
          <t>DALS-ED</t>
        </is>
      </c>
      <c r="G4156" t="n">
        <v>2.5</v>
      </c>
      <c r="H4156" t="n">
        <v>0</v>
      </c>
      <c r="I4156" t="n">
        <v>0</v>
      </c>
      <c r="J4156" t="n">
        <v>0</v>
      </c>
      <c r="K4156" t="n">
        <v>0</v>
      </c>
      <c r="L4156" t="n">
        <v>0</v>
      </c>
      <c r="M4156" t="n">
        <v>0</v>
      </c>
      <c r="N4156" t="n">
        <v>0</v>
      </c>
      <c r="O4156" t="n">
        <v>0</v>
      </c>
      <c r="P4156" t="n">
        <v>0</v>
      </c>
      <c r="Q4156" t="n">
        <v>0</v>
      </c>
      <c r="R4156" s="2" t="inlineStr"/>
    </row>
    <row r="4157" ht="15" customHeight="1">
      <c r="A4157" t="inlineStr">
        <is>
          <t>A 50303-2024</t>
        </is>
      </c>
      <c r="B4157" s="1" t="n">
        <v>45600.63454861111</v>
      </c>
      <c r="C4157" s="1" t="n">
        <v>45952</v>
      </c>
      <c r="D4157" t="inlineStr">
        <is>
          <t>VÄSTRA GÖTALANDS LÄN</t>
        </is>
      </c>
      <c r="E4157" t="inlineStr">
        <is>
          <t>DALS-ED</t>
        </is>
      </c>
      <c r="G4157" t="n">
        <v>1.1</v>
      </c>
      <c r="H4157" t="n">
        <v>0</v>
      </c>
      <c r="I4157" t="n">
        <v>0</v>
      </c>
      <c r="J4157" t="n">
        <v>0</v>
      </c>
      <c r="K4157" t="n">
        <v>0</v>
      </c>
      <c r="L4157" t="n">
        <v>0</v>
      </c>
      <c r="M4157" t="n">
        <v>0</v>
      </c>
      <c r="N4157" t="n">
        <v>0</v>
      </c>
      <c r="O4157" t="n">
        <v>0</v>
      </c>
      <c r="P4157" t="n">
        <v>0</v>
      </c>
      <c r="Q4157" t="n">
        <v>0</v>
      </c>
      <c r="R4157" s="2" t="inlineStr"/>
    </row>
    <row r="4158" ht="15" customHeight="1">
      <c r="A4158" t="inlineStr">
        <is>
          <t>A 39121-2024</t>
        </is>
      </c>
      <c r="B4158" s="1" t="n">
        <v>45548.5928587963</v>
      </c>
      <c r="C4158" s="1" t="n">
        <v>45952</v>
      </c>
      <c r="D4158" t="inlineStr">
        <is>
          <t>VÄSTRA GÖTALANDS LÄN</t>
        </is>
      </c>
      <c r="E4158" t="inlineStr">
        <is>
          <t>UDDEVALLA</t>
        </is>
      </c>
      <c r="G4158" t="n">
        <v>0.6</v>
      </c>
      <c r="H4158" t="n">
        <v>0</v>
      </c>
      <c r="I4158" t="n">
        <v>0</v>
      </c>
      <c r="J4158" t="n">
        <v>0</v>
      </c>
      <c r="K4158" t="n">
        <v>0</v>
      </c>
      <c r="L4158" t="n">
        <v>0</v>
      </c>
      <c r="M4158" t="n">
        <v>0</v>
      </c>
      <c r="N4158" t="n">
        <v>0</v>
      </c>
      <c r="O4158" t="n">
        <v>0</v>
      </c>
      <c r="P4158" t="n">
        <v>0</v>
      </c>
      <c r="Q4158" t="n">
        <v>0</v>
      </c>
      <c r="R4158" s="2" t="inlineStr"/>
    </row>
    <row r="4159" ht="15" customHeight="1">
      <c r="A4159" t="inlineStr">
        <is>
          <t>A 27869-2024</t>
        </is>
      </c>
      <c r="B4159" s="1" t="n">
        <v>45475.70398148148</v>
      </c>
      <c r="C4159" s="1" t="n">
        <v>45952</v>
      </c>
      <c r="D4159" t="inlineStr">
        <is>
          <t>VÄSTRA GÖTALANDS LÄN</t>
        </is>
      </c>
      <c r="E4159" t="inlineStr">
        <is>
          <t>UDDEVALLA</t>
        </is>
      </c>
      <c r="G4159" t="n">
        <v>1</v>
      </c>
      <c r="H4159" t="n">
        <v>0</v>
      </c>
      <c r="I4159" t="n">
        <v>0</v>
      </c>
      <c r="J4159" t="n">
        <v>0</v>
      </c>
      <c r="K4159" t="n">
        <v>0</v>
      </c>
      <c r="L4159" t="n">
        <v>0</v>
      </c>
      <c r="M4159" t="n">
        <v>0</v>
      </c>
      <c r="N4159" t="n">
        <v>0</v>
      </c>
      <c r="O4159" t="n">
        <v>0</v>
      </c>
      <c r="P4159" t="n">
        <v>0</v>
      </c>
      <c r="Q4159" t="n">
        <v>0</v>
      </c>
      <c r="R4159" s="2" t="inlineStr"/>
    </row>
    <row r="4160" ht="15" customHeight="1">
      <c r="A4160" t="inlineStr">
        <is>
          <t>A 38073-2023</t>
        </is>
      </c>
      <c r="B4160" s="1" t="n">
        <v>45160.77502314815</v>
      </c>
      <c r="C4160" s="1" t="n">
        <v>45952</v>
      </c>
      <c r="D4160" t="inlineStr">
        <is>
          <t>VÄSTRA GÖTALANDS LÄN</t>
        </is>
      </c>
      <c r="E4160" t="inlineStr">
        <is>
          <t>KARLSBORG</t>
        </is>
      </c>
      <c r="G4160" t="n">
        <v>2.9</v>
      </c>
      <c r="H4160" t="n">
        <v>0</v>
      </c>
      <c r="I4160" t="n">
        <v>0</v>
      </c>
      <c r="J4160" t="n">
        <v>0</v>
      </c>
      <c r="K4160" t="n">
        <v>0</v>
      </c>
      <c r="L4160" t="n">
        <v>0</v>
      </c>
      <c r="M4160" t="n">
        <v>0</v>
      </c>
      <c r="N4160" t="n">
        <v>0</v>
      </c>
      <c r="O4160" t="n">
        <v>0</v>
      </c>
      <c r="P4160" t="n">
        <v>0</v>
      </c>
      <c r="Q4160" t="n">
        <v>0</v>
      </c>
      <c r="R4160" s="2" t="inlineStr"/>
    </row>
    <row r="4161" ht="15" customHeight="1">
      <c r="A4161" t="inlineStr">
        <is>
          <t>A 38074-2023</t>
        </is>
      </c>
      <c r="B4161" s="1" t="n">
        <v>45160.78711805555</v>
      </c>
      <c r="C4161" s="1" t="n">
        <v>45952</v>
      </c>
      <c r="D4161" t="inlineStr">
        <is>
          <t>VÄSTRA GÖTALANDS LÄN</t>
        </is>
      </c>
      <c r="E4161" t="inlineStr">
        <is>
          <t>BOLLEBYGD</t>
        </is>
      </c>
      <c r="G4161" t="n">
        <v>0.5</v>
      </c>
      <c r="H4161" t="n">
        <v>0</v>
      </c>
      <c r="I4161" t="n">
        <v>0</v>
      </c>
      <c r="J4161" t="n">
        <v>0</v>
      </c>
      <c r="K4161" t="n">
        <v>0</v>
      </c>
      <c r="L4161" t="n">
        <v>0</v>
      </c>
      <c r="M4161" t="n">
        <v>0</v>
      </c>
      <c r="N4161" t="n">
        <v>0</v>
      </c>
      <c r="O4161" t="n">
        <v>0</v>
      </c>
      <c r="P4161" t="n">
        <v>0</v>
      </c>
      <c r="Q4161" t="n">
        <v>0</v>
      </c>
      <c r="R4161" s="2" t="inlineStr"/>
    </row>
    <row r="4162" ht="15" customHeight="1">
      <c r="A4162" t="inlineStr">
        <is>
          <t>A 19868-2023</t>
        </is>
      </c>
      <c r="B4162" s="1" t="n">
        <v>45054</v>
      </c>
      <c r="C4162" s="1" t="n">
        <v>45952</v>
      </c>
      <c r="D4162" t="inlineStr">
        <is>
          <t>VÄSTRA GÖTALANDS LÄN</t>
        </is>
      </c>
      <c r="E4162" t="inlineStr">
        <is>
          <t>BENGTSFORS</t>
        </is>
      </c>
      <c r="G4162" t="n">
        <v>1.5</v>
      </c>
      <c r="H4162" t="n">
        <v>0</v>
      </c>
      <c r="I4162" t="n">
        <v>0</v>
      </c>
      <c r="J4162" t="n">
        <v>0</v>
      </c>
      <c r="K4162" t="n">
        <v>0</v>
      </c>
      <c r="L4162" t="n">
        <v>0</v>
      </c>
      <c r="M4162" t="n">
        <v>0</v>
      </c>
      <c r="N4162" t="n">
        <v>0</v>
      </c>
      <c r="O4162" t="n">
        <v>0</v>
      </c>
      <c r="P4162" t="n">
        <v>0</v>
      </c>
      <c r="Q4162" t="n">
        <v>0</v>
      </c>
      <c r="R4162" s="2" t="inlineStr"/>
    </row>
    <row r="4163" ht="15" customHeight="1">
      <c r="A4163" t="inlineStr">
        <is>
          <t>A 19872-2023</t>
        </is>
      </c>
      <c r="B4163" s="1" t="n">
        <v>45054</v>
      </c>
      <c r="C4163" s="1" t="n">
        <v>45952</v>
      </c>
      <c r="D4163" t="inlineStr">
        <is>
          <t>VÄSTRA GÖTALANDS LÄN</t>
        </is>
      </c>
      <c r="E4163" t="inlineStr">
        <is>
          <t>MELLERUD</t>
        </is>
      </c>
      <c r="G4163" t="n">
        <v>8.4</v>
      </c>
      <c r="H4163" t="n">
        <v>0</v>
      </c>
      <c r="I4163" t="n">
        <v>0</v>
      </c>
      <c r="J4163" t="n">
        <v>0</v>
      </c>
      <c r="K4163" t="n">
        <v>0</v>
      </c>
      <c r="L4163" t="n">
        <v>0</v>
      </c>
      <c r="M4163" t="n">
        <v>0</v>
      </c>
      <c r="N4163" t="n">
        <v>0</v>
      </c>
      <c r="O4163" t="n">
        <v>0</v>
      </c>
      <c r="P4163" t="n">
        <v>0</v>
      </c>
      <c r="Q4163" t="n">
        <v>0</v>
      </c>
      <c r="R4163" s="2" t="inlineStr"/>
    </row>
    <row r="4164" ht="15" customHeight="1">
      <c r="A4164" t="inlineStr">
        <is>
          <t>A 13194-2022</t>
        </is>
      </c>
      <c r="B4164" s="1" t="n">
        <v>44644</v>
      </c>
      <c r="C4164" s="1" t="n">
        <v>45952</v>
      </c>
      <c r="D4164" t="inlineStr">
        <is>
          <t>VÄSTRA GÖTALANDS LÄN</t>
        </is>
      </c>
      <c r="E4164" t="inlineStr">
        <is>
          <t>VARA</t>
        </is>
      </c>
      <c r="G4164" t="n">
        <v>1.5</v>
      </c>
      <c r="H4164" t="n">
        <v>0</v>
      </c>
      <c r="I4164" t="n">
        <v>0</v>
      </c>
      <c r="J4164" t="n">
        <v>0</v>
      </c>
      <c r="K4164" t="n">
        <v>0</v>
      </c>
      <c r="L4164" t="n">
        <v>0</v>
      </c>
      <c r="M4164" t="n">
        <v>0</v>
      </c>
      <c r="N4164" t="n">
        <v>0</v>
      </c>
      <c r="O4164" t="n">
        <v>0</v>
      </c>
      <c r="P4164" t="n">
        <v>0</v>
      </c>
      <c r="Q4164" t="n">
        <v>0</v>
      </c>
      <c r="R4164" s="2" t="inlineStr"/>
    </row>
    <row r="4165" ht="15" customHeight="1">
      <c r="A4165" t="inlineStr">
        <is>
          <t>A 13200-2022</t>
        </is>
      </c>
      <c r="B4165" s="1" t="n">
        <v>44644</v>
      </c>
      <c r="C4165" s="1" t="n">
        <v>45952</v>
      </c>
      <c r="D4165" t="inlineStr">
        <is>
          <t>VÄSTRA GÖTALANDS LÄN</t>
        </is>
      </c>
      <c r="E4165" t="inlineStr">
        <is>
          <t>HERRLJUNGA</t>
        </is>
      </c>
      <c r="G4165" t="n">
        <v>1.6</v>
      </c>
      <c r="H4165" t="n">
        <v>0</v>
      </c>
      <c r="I4165" t="n">
        <v>0</v>
      </c>
      <c r="J4165" t="n">
        <v>0</v>
      </c>
      <c r="K4165" t="n">
        <v>0</v>
      </c>
      <c r="L4165" t="n">
        <v>0</v>
      </c>
      <c r="M4165" t="n">
        <v>0</v>
      </c>
      <c r="N4165" t="n">
        <v>0</v>
      </c>
      <c r="O4165" t="n">
        <v>0</v>
      </c>
      <c r="P4165" t="n">
        <v>0</v>
      </c>
      <c r="Q4165" t="n">
        <v>0</v>
      </c>
      <c r="R4165" s="2" t="inlineStr"/>
    </row>
    <row r="4166" ht="15" customHeight="1">
      <c r="A4166" t="inlineStr">
        <is>
          <t>A 54459-2022</t>
        </is>
      </c>
      <c r="B4166" s="1" t="n">
        <v>44882</v>
      </c>
      <c r="C4166" s="1" t="n">
        <v>45952</v>
      </c>
      <c r="D4166" t="inlineStr">
        <is>
          <t>VÄSTRA GÖTALANDS LÄN</t>
        </is>
      </c>
      <c r="E4166" t="inlineStr">
        <is>
          <t>TRANEMO</t>
        </is>
      </c>
      <c r="G4166" t="n">
        <v>3.2</v>
      </c>
      <c r="H4166" t="n">
        <v>0</v>
      </c>
      <c r="I4166" t="n">
        <v>0</v>
      </c>
      <c r="J4166" t="n">
        <v>0</v>
      </c>
      <c r="K4166" t="n">
        <v>0</v>
      </c>
      <c r="L4166" t="n">
        <v>0</v>
      </c>
      <c r="M4166" t="n">
        <v>0</v>
      </c>
      <c r="N4166" t="n">
        <v>0</v>
      </c>
      <c r="O4166" t="n">
        <v>0</v>
      </c>
      <c r="P4166" t="n">
        <v>0</v>
      </c>
      <c r="Q4166" t="n">
        <v>0</v>
      </c>
      <c r="R4166" s="2" t="inlineStr"/>
    </row>
    <row r="4167" ht="15" customHeight="1">
      <c r="A4167" t="inlineStr">
        <is>
          <t>A 32774-2023</t>
        </is>
      </c>
      <c r="B4167" s="1" t="n">
        <v>45123.83592592592</v>
      </c>
      <c r="C4167" s="1" t="n">
        <v>45952</v>
      </c>
      <c r="D4167" t="inlineStr">
        <is>
          <t>VÄSTRA GÖTALANDS LÄN</t>
        </is>
      </c>
      <c r="E4167" t="inlineStr">
        <is>
          <t>FALKÖPING</t>
        </is>
      </c>
      <c r="G4167" t="n">
        <v>5.9</v>
      </c>
      <c r="H4167" t="n">
        <v>0</v>
      </c>
      <c r="I4167" t="n">
        <v>0</v>
      </c>
      <c r="J4167" t="n">
        <v>0</v>
      </c>
      <c r="K4167" t="n">
        <v>0</v>
      </c>
      <c r="L4167" t="n">
        <v>0</v>
      </c>
      <c r="M4167" t="n">
        <v>0</v>
      </c>
      <c r="N4167" t="n">
        <v>0</v>
      </c>
      <c r="O4167" t="n">
        <v>0</v>
      </c>
      <c r="P4167" t="n">
        <v>0</v>
      </c>
      <c r="Q4167" t="n">
        <v>0</v>
      </c>
      <c r="R4167" s="2" t="inlineStr"/>
    </row>
    <row r="4168" ht="15" customHeight="1">
      <c r="A4168" t="inlineStr">
        <is>
          <t>A 32788-2023</t>
        </is>
      </c>
      <c r="B4168" s="1" t="n">
        <v>45124.37938657407</v>
      </c>
      <c r="C4168" s="1" t="n">
        <v>45952</v>
      </c>
      <c r="D4168" t="inlineStr">
        <is>
          <t>VÄSTRA GÖTALANDS LÄN</t>
        </is>
      </c>
      <c r="E4168" t="inlineStr">
        <is>
          <t>ULRICEHAMN</t>
        </is>
      </c>
      <c r="G4168" t="n">
        <v>2.9</v>
      </c>
      <c r="H4168" t="n">
        <v>0</v>
      </c>
      <c r="I4168" t="n">
        <v>0</v>
      </c>
      <c r="J4168" t="n">
        <v>0</v>
      </c>
      <c r="K4168" t="n">
        <v>0</v>
      </c>
      <c r="L4168" t="n">
        <v>0</v>
      </c>
      <c r="M4168" t="n">
        <v>0</v>
      </c>
      <c r="N4168" t="n">
        <v>0</v>
      </c>
      <c r="O4168" t="n">
        <v>0</v>
      </c>
      <c r="P4168" t="n">
        <v>0</v>
      </c>
      <c r="Q4168" t="n">
        <v>0</v>
      </c>
      <c r="R4168" s="2" t="inlineStr"/>
    </row>
    <row r="4169" ht="15" customHeight="1">
      <c r="A4169" t="inlineStr">
        <is>
          <t>A 19867-2022</t>
        </is>
      </c>
      <c r="B4169" s="1" t="n">
        <v>44697.32734953704</v>
      </c>
      <c r="C4169" s="1" t="n">
        <v>45952</v>
      </c>
      <c r="D4169" t="inlineStr">
        <is>
          <t>VÄSTRA GÖTALANDS LÄN</t>
        </is>
      </c>
      <c r="E4169" t="inlineStr">
        <is>
          <t>ULRICEHAMN</t>
        </is>
      </c>
      <c r="G4169" t="n">
        <v>0.9</v>
      </c>
      <c r="H4169" t="n">
        <v>0</v>
      </c>
      <c r="I4169" t="n">
        <v>0</v>
      </c>
      <c r="J4169" t="n">
        <v>0</v>
      </c>
      <c r="K4169" t="n">
        <v>0</v>
      </c>
      <c r="L4169" t="n">
        <v>0</v>
      </c>
      <c r="M4169" t="n">
        <v>0</v>
      </c>
      <c r="N4169" t="n">
        <v>0</v>
      </c>
      <c r="O4169" t="n">
        <v>0</v>
      </c>
      <c r="P4169" t="n">
        <v>0</v>
      </c>
      <c r="Q4169" t="n">
        <v>0</v>
      </c>
      <c r="R4169" s="2" t="inlineStr"/>
    </row>
    <row r="4170" ht="15" customHeight="1">
      <c r="A4170" t="inlineStr">
        <is>
          <t>A 45487-2024</t>
        </is>
      </c>
      <c r="B4170" s="1" t="n">
        <v>45577.38703703704</v>
      </c>
      <c r="C4170" s="1" t="n">
        <v>45952</v>
      </c>
      <c r="D4170" t="inlineStr">
        <is>
          <t>VÄSTRA GÖTALANDS LÄN</t>
        </is>
      </c>
      <c r="E4170" t="inlineStr">
        <is>
          <t>BORÅS</t>
        </is>
      </c>
      <c r="G4170" t="n">
        <v>0.6</v>
      </c>
      <c r="H4170" t="n">
        <v>0</v>
      </c>
      <c r="I4170" t="n">
        <v>0</v>
      </c>
      <c r="J4170" t="n">
        <v>0</v>
      </c>
      <c r="K4170" t="n">
        <v>0</v>
      </c>
      <c r="L4170" t="n">
        <v>0</v>
      </c>
      <c r="M4170" t="n">
        <v>0</v>
      </c>
      <c r="N4170" t="n">
        <v>0</v>
      </c>
      <c r="O4170" t="n">
        <v>0</v>
      </c>
      <c r="P4170" t="n">
        <v>0</v>
      </c>
      <c r="Q4170" t="n">
        <v>0</v>
      </c>
      <c r="R4170" s="2" t="inlineStr"/>
    </row>
    <row r="4171" ht="15" customHeight="1">
      <c r="A4171" t="inlineStr">
        <is>
          <t>A 27181-2023</t>
        </is>
      </c>
      <c r="B4171" s="1" t="n">
        <v>45096.52827546297</v>
      </c>
      <c r="C4171" s="1" t="n">
        <v>45952</v>
      </c>
      <c r="D4171" t="inlineStr">
        <is>
          <t>VÄSTRA GÖTALANDS LÄN</t>
        </is>
      </c>
      <c r="E4171" t="inlineStr">
        <is>
          <t>VÄNERSBORG</t>
        </is>
      </c>
      <c r="G4171" t="n">
        <v>2</v>
      </c>
      <c r="H4171" t="n">
        <v>0</v>
      </c>
      <c r="I4171" t="n">
        <v>0</v>
      </c>
      <c r="J4171" t="n">
        <v>0</v>
      </c>
      <c r="K4171" t="n">
        <v>0</v>
      </c>
      <c r="L4171" t="n">
        <v>0</v>
      </c>
      <c r="M4171" t="n">
        <v>0</v>
      </c>
      <c r="N4171" t="n">
        <v>0</v>
      </c>
      <c r="O4171" t="n">
        <v>0</v>
      </c>
      <c r="P4171" t="n">
        <v>0</v>
      </c>
      <c r="Q4171" t="n">
        <v>0</v>
      </c>
      <c r="R4171" s="2" t="inlineStr"/>
    </row>
    <row r="4172" ht="15" customHeight="1">
      <c r="A4172" t="inlineStr">
        <is>
          <t>A 7290-2021</t>
        </is>
      </c>
      <c r="B4172" s="1" t="n">
        <v>44238</v>
      </c>
      <c r="C4172" s="1" t="n">
        <v>45952</v>
      </c>
      <c r="D4172" t="inlineStr">
        <is>
          <t>VÄSTRA GÖTALANDS LÄN</t>
        </is>
      </c>
      <c r="E4172" t="inlineStr">
        <is>
          <t>TRANEMO</t>
        </is>
      </c>
      <c r="F4172" t="inlineStr">
        <is>
          <t>Kyrkan</t>
        </is>
      </c>
      <c r="G4172" t="n">
        <v>3.6</v>
      </c>
      <c r="H4172" t="n">
        <v>0</v>
      </c>
      <c r="I4172" t="n">
        <v>0</v>
      </c>
      <c r="J4172" t="n">
        <v>0</v>
      </c>
      <c r="K4172" t="n">
        <v>0</v>
      </c>
      <c r="L4172" t="n">
        <v>0</v>
      </c>
      <c r="M4172" t="n">
        <v>0</v>
      </c>
      <c r="N4172" t="n">
        <v>0</v>
      </c>
      <c r="O4172" t="n">
        <v>0</v>
      </c>
      <c r="P4172" t="n">
        <v>0</v>
      </c>
      <c r="Q4172" t="n">
        <v>0</v>
      </c>
      <c r="R4172" s="2" t="inlineStr"/>
    </row>
    <row r="4173" ht="15" customHeight="1">
      <c r="A4173" t="inlineStr">
        <is>
          <t>A 22914-2022</t>
        </is>
      </c>
      <c r="B4173" s="1" t="n">
        <v>44715</v>
      </c>
      <c r="C4173" s="1" t="n">
        <v>45952</v>
      </c>
      <c r="D4173" t="inlineStr">
        <is>
          <t>VÄSTRA GÖTALANDS LÄN</t>
        </is>
      </c>
      <c r="E4173" t="inlineStr">
        <is>
          <t>MARK</t>
        </is>
      </c>
      <c r="G4173" t="n">
        <v>3.9</v>
      </c>
      <c r="H4173" t="n">
        <v>0</v>
      </c>
      <c r="I4173" t="n">
        <v>0</v>
      </c>
      <c r="J4173" t="n">
        <v>0</v>
      </c>
      <c r="K4173" t="n">
        <v>0</v>
      </c>
      <c r="L4173" t="n">
        <v>0</v>
      </c>
      <c r="M4173" t="n">
        <v>0</v>
      </c>
      <c r="N4173" t="n">
        <v>0</v>
      </c>
      <c r="O4173" t="n">
        <v>0</v>
      </c>
      <c r="P4173" t="n">
        <v>0</v>
      </c>
      <c r="Q4173" t="n">
        <v>0</v>
      </c>
      <c r="R4173" s="2" t="inlineStr"/>
    </row>
    <row r="4174" ht="15" customHeight="1">
      <c r="A4174" t="inlineStr">
        <is>
          <t>A 9844-2024</t>
        </is>
      </c>
      <c r="B4174" s="1" t="n">
        <v>45363.34048611111</v>
      </c>
      <c r="C4174" s="1" t="n">
        <v>45952</v>
      </c>
      <c r="D4174" t="inlineStr">
        <is>
          <t>VÄSTRA GÖTALANDS LÄN</t>
        </is>
      </c>
      <c r="E4174" t="inlineStr">
        <is>
          <t>SVENLJUNGA</t>
        </is>
      </c>
      <c r="G4174" t="n">
        <v>2.3</v>
      </c>
      <c r="H4174" t="n">
        <v>0</v>
      </c>
      <c r="I4174" t="n">
        <v>0</v>
      </c>
      <c r="J4174" t="n">
        <v>0</v>
      </c>
      <c r="K4174" t="n">
        <v>0</v>
      </c>
      <c r="L4174" t="n">
        <v>0</v>
      </c>
      <c r="M4174" t="n">
        <v>0</v>
      </c>
      <c r="N4174" t="n">
        <v>0</v>
      </c>
      <c r="O4174" t="n">
        <v>0</v>
      </c>
      <c r="P4174" t="n">
        <v>0</v>
      </c>
      <c r="Q4174" t="n">
        <v>0</v>
      </c>
      <c r="R4174" s="2" t="inlineStr"/>
    </row>
    <row r="4175" ht="15" customHeight="1">
      <c r="A4175" t="inlineStr">
        <is>
          <t>A 19977-2022</t>
        </is>
      </c>
      <c r="B4175" s="1" t="n">
        <v>44697</v>
      </c>
      <c r="C4175" s="1" t="n">
        <v>45952</v>
      </c>
      <c r="D4175" t="inlineStr">
        <is>
          <t>VÄSTRA GÖTALANDS LÄN</t>
        </is>
      </c>
      <c r="E4175" t="inlineStr">
        <is>
          <t>HÄRRYDA</t>
        </is>
      </c>
      <c r="G4175" t="n">
        <v>4.7</v>
      </c>
      <c r="H4175" t="n">
        <v>0</v>
      </c>
      <c r="I4175" t="n">
        <v>0</v>
      </c>
      <c r="J4175" t="n">
        <v>0</v>
      </c>
      <c r="K4175" t="n">
        <v>0</v>
      </c>
      <c r="L4175" t="n">
        <v>0</v>
      </c>
      <c r="M4175" t="n">
        <v>0</v>
      </c>
      <c r="N4175" t="n">
        <v>0</v>
      </c>
      <c r="O4175" t="n">
        <v>0</v>
      </c>
      <c r="P4175" t="n">
        <v>0</v>
      </c>
      <c r="Q4175" t="n">
        <v>0</v>
      </c>
      <c r="R4175" s="2" t="inlineStr"/>
    </row>
    <row r="4176" ht="15" customHeight="1">
      <c r="A4176" t="inlineStr">
        <is>
          <t>A 19357-2025</t>
        </is>
      </c>
      <c r="B4176" s="1" t="n">
        <v>45769.62415509259</v>
      </c>
      <c r="C4176" s="1" t="n">
        <v>45952</v>
      </c>
      <c r="D4176" t="inlineStr">
        <is>
          <t>VÄSTRA GÖTALANDS LÄN</t>
        </is>
      </c>
      <c r="E4176" t="inlineStr">
        <is>
          <t>DALS-ED</t>
        </is>
      </c>
      <c r="G4176" t="n">
        <v>4.3</v>
      </c>
      <c r="H4176" t="n">
        <v>0</v>
      </c>
      <c r="I4176" t="n">
        <v>0</v>
      </c>
      <c r="J4176" t="n">
        <v>0</v>
      </c>
      <c r="K4176" t="n">
        <v>0</v>
      </c>
      <c r="L4176" t="n">
        <v>0</v>
      </c>
      <c r="M4176" t="n">
        <v>0</v>
      </c>
      <c r="N4176" t="n">
        <v>0</v>
      </c>
      <c r="O4176" t="n">
        <v>0</v>
      </c>
      <c r="P4176" t="n">
        <v>0</v>
      </c>
      <c r="Q4176" t="n">
        <v>0</v>
      </c>
      <c r="R4176" s="2" t="inlineStr"/>
    </row>
    <row r="4177" ht="15" customHeight="1">
      <c r="A4177" t="inlineStr">
        <is>
          <t>A 58206-2022</t>
        </is>
      </c>
      <c r="B4177" s="1" t="n">
        <v>44901</v>
      </c>
      <c r="C4177" s="1" t="n">
        <v>45952</v>
      </c>
      <c r="D4177" t="inlineStr">
        <is>
          <t>VÄSTRA GÖTALANDS LÄN</t>
        </is>
      </c>
      <c r="E4177" t="inlineStr">
        <is>
          <t>DALS-ED</t>
        </is>
      </c>
      <c r="G4177" t="n">
        <v>5.3</v>
      </c>
      <c r="H4177" t="n">
        <v>0</v>
      </c>
      <c r="I4177" t="n">
        <v>0</v>
      </c>
      <c r="J4177" t="n">
        <v>0</v>
      </c>
      <c r="K4177" t="n">
        <v>0</v>
      </c>
      <c r="L4177" t="n">
        <v>0</v>
      </c>
      <c r="M4177" t="n">
        <v>0</v>
      </c>
      <c r="N4177" t="n">
        <v>0</v>
      </c>
      <c r="O4177" t="n">
        <v>0</v>
      </c>
      <c r="P4177" t="n">
        <v>0</v>
      </c>
      <c r="Q4177" t="n">
        <v>0</v>
      </c>
      <c r="R4177" s="2" t="inlineStr"/>
    </row>
    <row r="4178" ht="15" customHeight="1">
      <c r="A4178" t="inlineStr">
        <is>
          <t>A 59513-2024</t>
        </is>
      </c>
      <c r="B4178" s="1" t="n">
        <v>45638.55920138889</v>
      </c>
      <c r="C4178" s="1" t="n">
        <v>45952</v>
      </c>
      <c r="D4178" t="inlineStr">
        <is>
          <t>VÄSTRA GÖTALANDS LÄN</t>
        </is>
      </c>
      <c r="E4178" t="inlineStr">
        <is>
          <t>UDDEVALLA</t>
        </is>
      </c>
      <c r="G4178" t="n">
        <v>1</v>
      </c>
      <c r="H4178" t="n">
        <v>0</v>
      </c>
      <c r="I4178" t="n">
        <v>0</v>
      </c>
      <c r="J4178" t="n">
        <v>0</v>
      </c>
      <c r="K4178" t="n">
        <v>0</v>
      </c>
      <c r="L4178" t="n">
        <v>0</v>
      </c>
      <c r="M4178" t="n">
        <v>0</v>
      </c>
      <c r="N4178" t="n">
        <v>0</v>
      </c>
      <c r="O4178" t="n">
        <v>0</v>
      </c>
      <c r="P4178" t="n">
        <v>0</v>
      </c>
      <c r="Q4178" t="n">
        <v>0</v>
      </c>
      <c r="R4178" s="2" t="inlineStr"/>
    </row>
    <row r="4179" ht="15" customHeight="1">
      <c r="A4179" t="inlineStr">
        <is>
          <t>A 1636-2022</t>
        </is>
      </c>
      <c r="B4179" s="1" t="n">
        <v>44574.24587962963</v>
      </c>
      <c r="C4179" s="1" t="n">
        <v>45952</v>
      </c>
      <c r="D4179" t="inlineStr">
        <is>
          <t>VÄSTRA GÖTALANDS LÄN</t>
        </is>
      </c>
      <c r="E4179" t="inlineStr">
        <is>
          <t>MARIESTAD</t>
        </is>
      </c>
      <c r="G4179" t="n">
        <v>1.1</v>
      </c>
      <c r="H4179" t="n">
        <v>0</v>
      </c>
      <c r="I4179" t="n">
        <v>0</v>
      </c>
      <c r="J4179" t="n">
        <v>0</v>
      </c>
      <c r="K4179" t="n">
        <v>0</v>
      </c>
      <c r="L4179" t="n">
        <v>0</v>
      </c>
      <c r="M4179" t="n">
        <v>0</v>
      </c>
      <c r="N4179" t="n">
        <v>0</v>
      </c>
      <c r="O4179" t="n">
        <v>0</v>
      </c>
      <c r="P4179" t="n">
        <v>0</v>
      </c>
      <c r="Q4179" t="n">
        <v>0</v>
      </c>
      <c r="R4179" s="2" t="inlineStr"/>
    </row>
    <row r="4180" ht="15" customHeight="1">
      <c r="A4180" t="inlineStr">
        <is>
          <t>A 35779-2024</t>
        </is>
      </c>
      <c r="B4180" s="1" t="n">
        <v>45532.60379629629</v>
      </c>
      <c r="C4180" s="1" t="n">
        <v>45952</v>
      </c>
      <c r="D4180" t="inlineStr">
        <is>
          <t>VÄSTRA GÖTALANDS LÄN</t>
        </is>
      </c>
      <c r="E4180" t="inlineStr">
        <is>
          <t>ÅMÅL</t>
        </is>
      </c>
      <c r="G4180" t="n">
        <v>0.7</v>
      </c>
      <c r="H4180" t="n">
        <v>0</v>
      </c>
      <c r="I4180" t="n">
        <v>0</v>
      </c>
      <c r="J4180" t="n">
        <v>0</v>
      </c>
      <c r="K4180" t="n">
        <v>0</v>
      </c>
      <c r="L4180" t="n">
        <v>0</v>
      </c>
      <c r="M4180" t="n">
        <v>0</v>
      </c>
      <c r="N4180" t="n">
        <v>0</v>
      </c>
      <c r="O4180" t="n">
        <v>0</v>
      </c>
      <c r="P4180" t="n">
        <v>0</v>
      </c>
      <c r="Q4180" t="n">
        <v>0</v>
      </c>
      <c r="R4180" s="2" t="inlineStr"/>
    </row>
    <row r="4181" ht="15" customHeight="1">
      <c r="A4181" t="inlineStr">
        <is>
          <t>A 5773-2023</t>
        </is>
      </c>
      <c r="B4181" s="1" t="n">
        <v>44963.37827546296</v>
      </c>
      <c r="C4181" s="1" t="n">
        <v>45952</v>
      </c>
      <c r="D4181" t="inlineStr">
        <is>
          <t>VÄSTRA GÖTALANDS LÄN</t>
        </is>
      </c>
      <c r="E4181" t="inlineStr">
        <is>
          <t>HJO</t>
        </is>
      </c>
      <c r="G4181" t="n">
        <v>1.5</v>
      </c>
      <c r="H4181" t="n">
        <v>0</v>
      </c>
      <c r="I4181" t="n">
        <v>0</v>
      </c>
      <c r="J4181" t="n">
        <v>0</v>
      </c>
      <c r="K4181" t="n">
        <v>0</v>
      </c>
      <c r="L4181" t="n">
        <v>0</v>
      </c>
      <c r="M4181" t="n">
        <v>0</v>
      </c>
      <c r="N4181" t="n">
        <v>0</v>
      </c>
      <c r="O4181" t="n">
        <v>0</v>
      </c>
      <c r="P4181" t="n">
        <v>0</v>
      </c>
      <c r="Q4181" t="n">
        <v>0</v>
      </c>
      <c r="R4181" s="2" t="inlineStr"/>
    </row>
    <row r="4182" ht="15" customHeight="1">
      <c r="A4182" t="inlineStr">
        <is>
          <t>A 28862-2022</t>
        </is>
      </c>
      <c r="B4182" s="1" t="n">
        <v>44749.50611111111</v>
      </c>
      <c r="C4182" s="1" t="n">
        <v>45952</v>
      </c>
      <c r="D4182" t="inlineStr">
        <is>
          <t>VÄSTRA GÖTALANDS LÄN</t>
        </is>
      </c>
      <c r="E4182" t="inlineStr">
        <is>
          <t>ÅMÅL</t>
        </is>
      </c>
      <c r="G4182" t="n">
        <v>2.6</v>
      </c>
      <c r="H4182" t="n">
        <v>0</v>
      </c>
      <c r="I4182" t="n">
        <v>0</v>
      </c>
      <c r="J4182" t="n">
        <v>0</v>
      </c>
      <c r="K4182" t="n">
        <v>0</v>
      </c>
      <c r="L4182" t="n">
        <v>0</v>
      </c>
      <c r="M4182" t="n">
        <v>0</v>
      </c>
      <c r="N4182" t="n">
        <v>0</v>
      </c>
      <c r="O4182" t="n">
        <v>0</v>
      </c>
      <c r="P4182" t="n">
        <v>0</v>
      </c>
      <c r="Q4182" t="n">
        <v>0</v>
      </c>
      <c r="R4182" s="2" t="inlineStr"/>
    </row>
    <row r="4183" ht="15" customHeight="1">
      <c r="A4183" t="inlineStr">
        <is>
          <t>A 49408-2024</t>
        </is>
      </c>
      <c r="B4183" s="1" t="n">
        <v>45595.68054398148</v>
      </c>
      <c r="C4183" s="1" t="n">
        <v>45952</v>
      </c>
      <c r="D4183" t="inlineStr">
        <is>
          <t>VÄSTRA GÖTALANDS LÄN</t>
        </is>
      </c>
      <c r="E4183" t="inlineStr">
        <is>
          <t>MARK</t>
        </is>
      </c>
      <c r="G4183" t="n">
        <v>2.5</v>
      </c>
      <c r="H4183" t="n">
        <v>0</v>
      </c>
      <c r="I4183" t="n">
        <v>0</v>
      </c>
      <c r="J4183" t="n">
        <v>0</v>
      </c>
      <c r="K4183" t="n">
        <v>0</v>
      </c>
      <c r="L4183" t="n">
        <v>0</v>
      </c>
      <c r="M4183" t="n">
        <v>0</v>
      </c>
      <c r="N4183" t="n">
        <v>0</v>
      </c>
      <c r="O4183" t="n">
        <v>0</v>
      </c>
      <c r="P4183" t="n">
        <v>0</v>
      </c>
      <c r="Q4183" t="n">
        <v>0</v>
      </c>
      <c r="R4183" s="2" t="inlineStr"/>
    </row>
    <row r="4184" ht="15" customHeight="1">
      <c r="A4184" t="inlineStr">
        <is>
          <t>A 13692-2021</t>
        </is>
      </c>
      <c r="B4184" s="1" t="n">
        <v>44274</v>
      </c>
      <c r="C4184" s="1" t="n">
        <v>45952</v>
      </c>
      <c r="D4184" t="inlineStr">
        <is>
          <t>VÄSTRA GÖTALANDS LÄN</t>
        </is>
      </c>
      <c r="E4184" t="inlineStr">
        <is>
          <t>HÄRRYDA</t>
        </is>
      </c>
      <c r="G4184" t="n">
        <v>3.5</v>
      </c>
      <c r="H4184" t="n">
        <v>0</v>
      </c>
      <c r="I4184" t="n">
        <v>0</v>
      </c>
      <c r="J4184" t="n">
        <v>0</v>
      </c>
      <c r="K4184" t="n">
        <v>0</v>
      </c>
      <c r="L4184" t="n">
        <v>0</v>
      </c>
      <c r="M4184" t="n">
        <v>0</v>
      </c>
      <c r="N4184" t="n">
        <v>0</v>
      </c>
      <c r="O4184" t="n">
        <v>0</v>
      </c>
      <c r="P4184" t="n">
        <v>0</v>
      </c>
      <c r="Q4184" t="n">
        <v>0</v>
      </c>
      <c r="R4184" s="2" t="inlineStr"/>
    </row>
    <row r="4185" ht="15" customHeight="1">
      <c r="A4185" t="inlineStr">
        <is>
          <t>A 28944-2022</t>
        </is>
      </c>
      <c r="B4185" s="1" t="n">
        <v>44749</v>
      </c>
      <c r="C4185" s="1" t="n">
        <v>45952</v>
      </c>
      <c r="D4185" t="inlineStr">
        <is>
          <t>VÄSTRA GÖTALANDS LÄN</t>
        </is>
      </c>
      <c r="E4185" t="inlineStr">
        <is>
          <t>TRANEMO</t>
        </is>
      </c>
      <c r="G4185" t="n">
        <v>1.9</v>
      </c>
      <c r="H4185" t="n">
        <v>0</v>
      </c>
      <c r="I4185" t="n">
        <v>0</v>
      </c>
      <c r="J4185" t="n">
        <v>0</v>
      </c>
      <c r="K4185" t="n">
        <v>0</v>
      </c>
      <c r="L4185" t="n">
        <v>0</v>
      </c>
      <c r="M4185" t="n">
        <v>0</v>
      </c>
      <c r="N4185" t="n">
        <v>0</v>
      </c>
      <c r="O4185" t="n">
        <v>0</v>
      </c>
      <c r="P4185" t="n">
        <v>0</v>
      </c>
      <c r="Q4185" t="n">
        <v>0</v>
      </c>
      <c r="R4185" s="2" t="inlineStr"/>
    </row>
    <row r="4186" ht="15" customHeight="1">
      <c r="A4186" t="inlineStr">
        <is>
          <t>A 58704-2021</t>
        </is>
      </c>
      <c r="B4186" s="1" t="n">
        <v>44489</v>
      </c>
      <c r="C4186" s="1" t="n">
        <v>45952</v>
      </c>
      <c r="D4186" t="inlineStr">
        <is>
          <t>VÄSTRA GÖTALANDS LÄN</t>
        </is>
      </c>
      <c r="E4186" t="inlineStr">
        <is>
          <t>VÄNERSBORG</t>
        </is>
      </c>
      <c r="G4186" t="n">
        <v>8</v>
      </c>
      <c r="H4186" t="n">
        <v>0</v>
      </c>
      <c r="I4186" t="n">
        <v>0</v>
      </c>
      <c r="J4186" t="n">
        <v>0</v>
      </c>
      <c r="K4186" t="n">
        <v>0</v>
      </c>
      <c r="L4186" t="n">
        <v>0</v>
      </c>
      <c r="M4186" t="n">
        <v>0</v>
      </c>
      <c r="N4186" t="n">
        <v>0</v>
      </c>
      <c r="O4186" t="n">
        <v>0</v>
      </c>
      <c r="P4186" t="n">
        <v>0</v>
      </c>
      <c r="Q4186" t="n">
        <v>0</v>
      </c>
      <c r="R4186" s="2" t="inlineStr"/>
    </row>
    <row r="4187" ht="15" customHeight="1">
      <c r="A4187" t="inlineStr">
        <is>
          <t>A 49563-2023</t>
        </is>
      </c>
      <c r="B4187" s="1" t="n">
        <v>45211</v>
      </c>
      <c r="C4187" s="1" t="n">
        <v>45952</v>
      </c>
      <c r="D4187" t="inlineStr">
        <is>
          <t>VÄSTRA GÖTALANDS LÄN</t>
        </is>
      </c>
      <c r="E4187" t="inlineStr">
        <is>
          <t>MARIESTAD</t>
        </is>
      </c>
      <c r="G4187" t="n">
        <v>0.6</v>
      </c>
      <c r="H4187" t="n">
        <v>0</v>
      </c>
      <c r="I4187" t="n">
        <v>0</v>
      </c>
      <c r="J4187" t="n">
        <v>0</v>
      </c>
      <c r="K4187" t="n">
        <v>0</v>
      </c>
      <c r="L4187" t="n">
        <v>0</v>
      </c>
      <c r="M4187" t="n">
        <v>0</v>
      </c>
      <c r="N4187" t="n">
        <v>0</v>
      </c>
      <c r="O4187" t="n">
        <v>0</v>
      </c>
      <c r="P4187" t="n">
        <v>0</v>
      </c>
      <c r="Q4187" t="n">
        <v>0</v>
      </c>
      <c r="R4187" s="2" t="inlineStr"/>
    </row>
    <row r="4188" ht="15" customHeight="1">
      <c r="A4188" t="inlineStr">
        <is>
          <t>A 30555-2023</t>
        </is>
      </c>
      <c r="B4188" s="1" t="n">
        <v>45111.87844907407</v>
      </c>
      <c r="C4188" s="1" t="n">
        <v>45952</v>
      </c>
      <c r="D4188" t="inlineStr">
        <is>
          <t>VÄSTRA GÖTALANDS LÄN</t>
        </is>
      </c>
      <c r="E4188" t="inlineStr">
        <is>
          <t>MUNKEDAL</t>
        </is>
      </c>
      <c r="G4188" t="n">
        <v>0.7</v>
      </c>
      <c r="H4188" t="n">
        <v>0</v>
      </c>
      <c r="I4188" t="n">
        <v>0</v>
      </c>
      <c r="J4188" t="n">
        <v>0</v>
      </c>
      <c r="K4188" t="n">
        <v>0</v>
      </c>
      <c r="L4188" t="n">
        <v>0</v>
      </c>
      <c r="M4188" t="n">
        <v>0</v>
      </c>
      <c r="N4188" t="n">
        <v>0</v>
      </c>
      <c r="O4188" t="n">
        <v>0</v>
      </c>
      <c r="P4188" t="n">
        <v>0</v>
      </c>
      <c r="Q4188" t="n">
        <v>0</v>
      </c>
      <c r="R4188" s="2" t="inlineStr"/>
    </row>
    <row r="4189" ht="15" customHeight="1">
      <c r="A4189" t="inlineStr">
        <is>
          <t>A 37685-2022</t>
        </is>
      </c>
      <c r="B4189" s="1" t="n">
        <v>44810.48689814815</v>
      </c>
      <c r="C4189" s="1" t="n">
        <v>45952</v>
      </c>
      <c r="D4189" t="inlineStr">
        <is>
          <t>VÄSTRA GÖTALANDS LÄN</t>
        </is>
      </c>
      <c r="E4189" t="inlineStr">
        <is>
          <t>ULRICEHAMN</t>
        </is>
      </c>
      <c r="G4189" t="n">
        <v>5.4</v>
      </c>
      <c r="H4189" t="n">
        <v>0</v>
      </c>
      <c r="I4189" t="n">
        <v>0</v>
      </c>
      <c r="J4189" t="n">
        <v>0</v>
      </c>
      <c r="K4189" t="n">
        <v>0</v>
      </c>
      <c r="L4189" t="n">
        <v>0</v>
      </c>
      <c r="M4189" t="n">
        <v>0</v>
      </c>
      <c r="N4189" t="n">
        <v>0</v>
      </c>
      <c r="O4189" t="n">
        <v>0</v>
      </c>
      <c r="P4189" t="n">
        <v>0</v>
      </c>
      <c r="Q4189" t="n">
        <v>0</v>
      </c>
      <c r="R4189" s="2" t="inlineStr"/>
    </row>
    <row r="4190" ht="15" customHeight="1">
      <c r="A4190" t="inlineStr">
        <is>
          <t>A 24771-2023</t>
        </is>
      </c>
      <c r="B4190" s="1" t="n">
        <v>45084.64277777778</v>
      </c>
      <c r="C4190" s="1" t="n">
        <v>45952</v>
      </c>
      <c r="D4190" t="inlineStr">
        <is>
          <t>VÄSTRA GÖTALANDS LÄN</t>
        </is>
      </c>
      <c r="E4190" t="inlineStr">
        <is>
          <t>MÖLNDAL</t>
        </is>
      </c>
      <c r="G4190" t="n">
        <v>1</v>
      </c>
      <c r="H4190" t="n">
        <v>0</v>
      </c>
      <c r="I4190" t="n">
        <v>0</v>
      </c>
      <c r="J4190" t="n">
        <v>0</v>
      </c>
      <c r="K4190" t="n">
        <v>0</v>
      </c>
      <c r="L4190" t="n">
        <v>0</v>
      </c>
      <c r="M4190" t="n">
        <v>0</v>
      </c>
      <c r="N4190" t="n">
        <v>0</v>
      </c>
      <c r="O4190" t="n">
        <v>0</v>
      </c>
      <c r="P4190" t="n">
        <v>0</v>
      </c>
      <c r="Q4190" t="n">
        <v>0</v>
      </c>
      <c r="R4190" s="2" t="inlineStr"/>
    </row>
    <row r="4191" ht="15" customHeight="1">
      <c r="A4191" t="inlineStr">
        <is>
          <t>A 35761-2021</t>
        </is>
      </c>
      <c r="B4191" s="1" t="n">
        <v>44386.58719907407</v>
      </c>
      <c r="C4191" s="1" t="n">
        <v>45952</v>
      </c>
      <c r="D4191" t="inlineStr">
        <is>
          <t>VÄSTRA GÖTALANDS LÄN</t>
        </is>
      </c>
      <c r="E4191" t="inlineStr">
        <is>
          <t>FÄRGELANDA</t>
        </is>
      </c>
      <c r="G4191" t="n">
        <v>2.3</v>
      </c>
      <c r="H4191" t="n">
        <v>0</v>
      </c>
      <c r="I4191" t="n">
        <v>0</v>
      </c>
      <c r="J4191" t="n">
        <v>0</v>
      </c>
      <c r="K4191" t="n">
        <v>0</v>
      </c>
      <c r="L4191" t="n">
        <v>0</v>
      </c>
      <c r="M4191" t="n">
        <v>0</v>
      </c>
      <c r="N4191" t="n">
        <v>0</v>
      </c>
      <c r="O4191" t="n">
        <v>0</v>
      </c>
      <c r="P4191" t="n">
        <v>0</v>
      </c>
      <c r="Q4191" t="n">
        <v>0</v>
      </c>
      <c r="R4191" s="2" t="inlineStr"/>
    </row>
    <row r="4192" ht="15" customHeight="1">
      <c r="A4192" t="inlineStr">
        <is>
          <t>A 15482-2023</t>
        </is>
      </c>
      <c r="B4192" s="1" t="n">
        <v>45020.46041666667</v>
      </c>
      <c r="C4192" s="1" t="n">
        <v>45952</v>
      </c>
      <c r="D4192" t="inlineStr">
        <is>
          <t>VÄSTRA GÖTALANDS LÄN</t>
        </is>
      </c>
      <c r="E4192" t="inlineStr">
        <is>
          <t>SVENLJUNGA</t>
        </is>
      </c>
      <c r="G4192" t="n">
        <v>4.5</v>
      </c>
      <c r="H4192" t="n">
        <v>0</v>
      </c>
      <c r="I4192" t="n">
        <v>0</v>
      </c>
      <c r="J4192" t="n">
        <v>0</v>
      </c>
      <c r="K4192" t="n">
        <v>0</v>
      </c>
      <c r="L4192" t="n">
        <v>0</v>
      </c>
      <c r="M4192" t="n">
        <v>0</v>
      </c>
      <c r="N4192" t="n">
        <v>0</v>
      </c>
      <c r="O4192" t="n">
        <v>0</v>
      </c>
      <c r="P4192" t="n">
        <v>0</v>
      </c>
      <c r="Q4192" t="n">
        <v>0</v>
      </c>
      <c r="R4192" s="2" t="inlineStr"/>
    </row>
    <row r="4193" ht="15" customHeight="1">
      <c r="A4193" t="inlineStr">
        <is>
          <t>A 7869-2025</t>
        </is>
      </c>
      <c r="B4193" s="1" t="n">
        <v>45706.69854166666</v>
      </c>
      <c r="C4193" s="1" t="n">
        <v>45952</v>
      </c>
      <c r="D4193" t="inlineStr">
        <is>
          <t>VÄSTRA GÖTALANDS LÄN</t>
        </is>
      </c>
      <c r="E4193" t="inlineStr">
        <is>
          <t>SKÖVDE</t>
        </is>
      </c>
      <c r="G4193" t="n">
        <v>0.5</v>
      </c>
      <c r="H4193" t="n">
        <v>0</v>
      </c>
      <c r="I4193" t="n">
        <v>0</v>
      </c>
      <c r="J4193" t="n">
        <v>0</v>
      </c>
      <c r="K4193" t="n">
        <v>0</v>
      </c>
      <c r="L4193" t="n">
        <v>0</v>
      </c>
      <c r="M4193" t="n">
        <v>0</v>
      </c>
      <c r="N4193" t="n">
        <v>0</v>
      </c>
      <c r="O4193" t="n">
        <v>0</v>
      </c>
      <c r="P4193" t="n">
        <v>0</v>
      </c>
      <c r="Q4193" t="n">
        <v>0</v>
      </c>
      <c r="R4193" s="2" t="inlineStr"/>
    </row>
    <row r="4194" ht="15" customHeight="1">
      <c r="A4194" t="inlineStr">
        <is>
          <t>A 9341-2025</t>
        </is>
      </c>
      <c r="B4194" s="1" t="n">
        <v>45714.83510416667</v>
      </c>
      <c r="C4194" s="1" t="n">
        <v>45952</v>
      </c>
      <c r="D4194" t="inlineStr">
        <is>
          <t>VÄSTRA GÖTALANDS LÄN</t>
        </is>
      </c>
      <c r="E4194" t="inlineStr">
        <is>
          <t>BENGTSFORS</t>
        </is>
      </c>
      <c r="G4194" t="n">
        <v>1.4</v>
      </c>
      <c r="H4194" t="n">
        <v>0</v>
      </c>
      <c r="I4194" t="n">
        <v>0</v>
      </c>
      <c r="J4194" t="n">
        <v>0</v>
      </c>
      <c r="K4194" t="n">
        <v>0</v>
      </c>
      <c r="L4194" t="n">
        <v>0</v>
      </c>
      <c r="M4194" t="n">
        <v>0</v>
      </c>
      <c r="N4194" t="n">
        <v>0</v>
      </c>
      <c r="O4194" t="n">
        <v>0</v>
      </c>
      <c r="P4194" t="n">
        <v>0</v>
      </c>
      <c r="Q4194" t="n">
        <v>0</v>
      </c>
      <c r="R4194" s="2" t="inlineStr"/>
    </row>
    <row r="4195" ht="15" customHeight="1">
      <c r="A4195" t="inlineStr">
        <is>
          <t>A 27335-2024</t>
        </is>
      </c>
      <c r="B4195" s="1" t="n">
        <v>45472.88256944445</v>
      </c>
      <c r="C4195" s="1" t="n">
        <v>45952</v>
      </c>
      <c r="D4195" t="inlineStr">
        <is>
          <t>VÄSTRA GÖTALANDS LÄN</t>
        </is>
      </c>
      <c r="E4195" t="inlineStr">
        <is>
          <t>BORÅS</t>
        </is>
      </c>
      <c r="G4195" t="n">
        <v>0.4</v>
      </c>
      <c r="H4195" t="n">
        <v>0</v>
      </c>
      <c r="I4195" t="n">
        <v>0</v>
      </c>
      <c r="J4195" t="n">
        <v>0</v>
      </c>
      <c r="K4195" t="n">
        <v>0</v>
      </c>
      <c r="L4195" t="n">
        <v>0</v>
      </c>
      <c r="M4195" t="n">
        <v>0</v>
      </c>
      <c r="N4195" t="n">
        <v>0</v>
      </c>
      <c r="O4195" t="n">
        <v>0</v>
      </c>
      <c r="P4195" t="n">
        <v>0</v>
      </c>
      <c r="Q4195" t="n">
        <v>0</v>
      </c>
      <c r="R4195" s="2" t="inlineStr"/>
    </row>
    <row r="4196" ht="15" customHeight="1">
      <c r="A4196" t="inlineStr">
        <is>
          <t>A 33616-2023</t>
        </is>
      </c>
      <c r="B4196" s="1" t="n">
        <v>45132</v>
      </c>
      <c r="C4196" s="1" t="n">
        <v>45952</v>
      </c>
      <c r="D4196" t="inlineStr">
        <is>
          <t>VÄSTRA GÖTALANDS LÄN</t>
        </is>
      </c>
      <c r="E4196" t="inlineStr">
        <is>
          <t>DALS-ED</t>
        </is>
      </c>
      <c r="G4196" t="n">
        <v>26.5</v>
      </c>
      <c r="H4196" t="n">
        <v>0</v>
      </c>
      <c r="I4196" t="n">
        <v>0</v>
      </c>
      <c r="J4196" t="n">
        <v>0</v>
      </c>
      <c r="K4196" t="n">
        <v>0</v>
      </c>
      <c r="L4196" t="n">
        <v>0</v>
      </c>
      <c r="M4196" t="n">
        <v>0</v>
      </c>
      <c r="N4196" t="n">
        <v>0</v>
      </c>
      <c r="O4196" t="n">
        <v>0</v>
      </c>
      <c r="P4196" t="n">
        <v>0</v>
      </c>
      <c r="Q4196" t="n">
        <v>0</v>
      </c>
      <c r="R4196" s="2" t="inlineStr"/>
    </row>
    <row r="4197" ht="15" customHeight="1">
      <c r="A4197" t="inlineStr">
        <is>
          <t>A 17335-2025</t>
        </is>
      </c>
      <c r="B4197" s="1" t="n">
        <v>45756</v>
      </c>
      <c r="C4197" s="1" t="n">
        <v>45952</v>
      </c>
      <c r="D4197" t="inlineStr">
        <is>
          <t>VÄSTRA GÖTALANDS LÄN</t>
        </is>
      </c>
      <c r="E4197" t="inlineStr">
        <is>
          <t>TIBRO</t>
        </is>
      </c>
      <c r="G4197" t="n">
        <v>4.7</v>
      </c>
      <c r="H4197" t="n">
        <v>0</v>
      </c>
      <c r="I4197" t="n">
        <v>0</v>
      </c>
      <c r="J4197" t="n">
        <v>0</v>
      </c>
      <c r="K4197" t="n">
        <v>0</v>
      </c>
      <c r="L4197" t="n">
        <v>0</v>
      </c>
      <c r="M4197" t="n">
        <v>0</v>
      </c>
      <c r="N4197" t="n">
        <v>0</v>
      </c>
      <c r="O4197" t="n">
        <v>0</v>
      </c>
      <c r="P4197" t="n">
        <v>0</v>
      </c>
      <c r="Q4197" t="n">
        <v>0</v>
      </c>
      <c r="R4197" s="2" t="inlineStr"/>
    </row>
    <row r="4198" ht="15" customHeight="1">
      <c r="A4198" t="inlineStr">
        <is>
          <t>A 8789-2021</t>
        </is>
      </c>
      <c r="B4198" s="1" t="n">
        <v>44246</v>
      </c>
      <c r="C4198" s="1" t="n">
        <v>45952</v>
      </c>
      <c r="D4198" t="inlineStr">
        <is>
          <t>VÄSTRA GÖTALANDS LÄN</t>
        </is>
      </c>
      <c r="E4198" t="inlineStr">
        <is>
          <t>LIDKÖPING</t>
        </is>
      </c>
      <c r="G4198" t="n">
        <v>1.2</v>
      </c>
      <c r="H4198" t="n">
        <v>0</v>
      </c>
      <c r="I4198" t="n">
        <v>0</v>
      </c>
      <c r="J4198" t="n">
        <v>0</v>
      </c>
      <c r="K4198" t="n">
        <v>0</v>
      </c>
      <c r="L4198" t="n">
        <v>0</v>
      </c>
      <c r="M4198" t="n">
        <v>0</v>
      </c>
      <c r="N4198" t="n">
        <v>0</v>
      </c>
      <c r="O4198" t="n">
        <v>0</v>
      </c>
      <c r="P4198" t="n">
        <v>0</v>
      </c>
      <c r="Q4198" t="n">
        <v>0</v>
      </c>
      <c r="R4198" s="2" t="inlineStr"/>
    </row>
    <row r="4199" ht="15" customHeight="1">
      <c r="A4199" t="inlineStr">
        <is>
          <t>A 38467-2024</t>
        </is>
      </c>
      <c r="B4199" s="1" t="n">
        <v>45546.47134259259</v>
      </c>
      <c r="C4199" s="1" t="n">
        <v>45952</v>
      </c>
      <c r="D4199" t="inlineStr">
        <is>
          <t>VÄSTRA GÖTALANDS LÄN</t>
        </is>
      </c>
      <c r="E4199" t="inlineStr">
        <is>
          <t>HERRLJUNGA</t>
        </is>
      </c>
      <c r="G4199" t="n">
        <v>1.9</v>
      </c>
      <c r="H4199" t="n">
        <v>0</v>
      </c>
      <c r="I4199" t="n">
        <v>0</v>
      </c>
      <c r="J4199" t="n">
        <v>0</v>
      </c>
      <c r="K4199" t="n">
        <v>0</v>
      </c>
      <c r="L4199" t="n">
        <v>0</v>
      </c>
      <c r="M4199" t="n">
        <v>0</v>
      </c>
      <c r="N4199" t="n">
        <v>0</v>
      </c>
      <c r="O4199" t="n">
        <v>0</v>
      </c>
      <c r="P4199" t="n">
        <v>0</v>
      </c>
      <c r="Q4199" t="n">
        <v>0</v>
      </c>
      <c r="R4199" s="2" t="inlineStr"/>
    </row>
    <row r="4200" ht="15" customHeight="1">
      <c r="A4200" t="inlineStr">
        <is>
          <t>A 38470-2024</t>
        </is>
      </c>
      <c r="B4200" s="1" t="n">
        <v>45546.47361111111</v>
      </c>
      <c r="C4200" s="1" t="n">
        <v>45952</v>
      </c>
      <c r="D4200" t="inlineStr">
        <is>
          <t>VÄSTRA GÖTALANDS LÄN</t>
        </is>
      </c>
      <c r="E4200" t="inlineStr">
        <is>
          <t>HERRLJUNGA</t>
        </is>
      </c>
      <c r="G4200" t="n">
        <v>0.6</v>
      </c>
      <c r="H4200" t="n">
        <v>0</v>
      </c>
      <c r="I4200" t="n">
        <v>0</v>
      </c>
      <c r="J4200" t="n">
        <v>0</v>
      </c>
      <c r="K4200" t="n">
        <v>0</v>
      </c>
      <c r="L4200" t="n">
        <v>0</v>
      </c>
      <c r="M4200" t="n">
        <v>0</v>
      </c>
      <c r="N4200" t="n">
        <v>0</v>
      </c>
      <c r="O4200" t="n">
        <v>0</v>
      </c>
      <c r="P4200" t="n">
        <v>0</v>
      </c>
      <c r="Q4200" t="n">
        <v>0</v>
      </c>
      <c r="R4200" s="2" t="inlineStr"/>
    </row>
    <row r="4201" ht="15" customHeight="1">
      <c r="A4201" t="inlineStr">
        <is>
          <t>A 6816-2023</t>
        </is>
      </c>
      <c r="B4201" s="1" t="n">
        <v>44967.36393518518</v>
      </c>
      <c r="C4201" s="1" t="n">
        <v>45952</v>
      </c>
      <c r="D4201" t="inlineStr">
        <is>
          <t>VÄSTRA GÖTALANDS LÄN</t>
        </is>
      </c>
      <c r="E4201" t="inlineStr">
        <is>
          <t>BENGTSFORS</t>
        </is>
      </c>
      <c r="G4201" t="n">
        <v>0.4</v>
      </c>
      <c r="H4201" t="n">
        <v>0</v>
      </c>
      <c r="I4201" t="n">
        <v>0</v>
      </c>
      <c r="J4201" t="n">
        <v>0</v>
      </c>
      <c r="K4201" t="n">
        <v>0</v>
      </c>
      <c r="L4201" t="n">
        <v>0</v>
      </c>
      <c r="M4201" t="n">
        <v>0</v>
      </c>
      <c r="N4201" t="n">
        <v>0</v>
      </c>
      <c r="O4201" t="n">
        <v>0</v>
      </c>
      <c r="P4201" t="n">
        <v>0</v>
      </c>
      <c r="Q4201" t="n">
        <v>0</v>
      </c>
      <c r="R4201" s="2" t="inlineStr"/>
    </row>
    <row r="4202" ht="15" customHeight="1">
      <c r="A4202" t="inlineStr">
        <is>
          <t>A 11920-2024</t>
        </is>
      </c>
      <c r="B4202" s="1" t="n">
        <v>45376.61655092592</v>
      </c>
      <c r="C4202" s="1" t="n">
        <v>45952</v>
      </c>
      <c r="D4202" t="inlineStr">
        <is>
          <t>VÄSTRA GÖTALANDS LÄN</t>
        </is>
      </c>
      <c r="E4202" t="inlineStr">
        <is>
          <t>BENGTSFORS</t>
        </is>
      </c>
      <c r="G4202" t="n">
        <v>0.9</v>
      </c>
      <c r="H4202" t="n">
        <v>0</v>
      </c>
      <c r="I4202" t="n">
        <v>0</v>
      </c>
      <c r="J4202" t="n">
        <v>0</v>
      </c>
      <c r="K4202" t="n">
        <v>0</v>
      </c>
      <c r="L4202" t="n">
        <v>0</v>
      </c>
      <c r="M4202" t="n">
        <v>0</v>
      </c>
      <c r="N4202" t="n">
        <v>0</v>
      </c>
      <c r="O4202" t="n">
        <v>0</v>
      </c>
      <c r="P4202" t="n">
        <v>0</v>
      </c>
      <c r="Q4202" t="n">
        <v>0</v>
      </c>
      <c r="R4202" s="2" t="inlineStr"/>
    </row>
    <row r="4203" ht="15" customHeight="1">
      <c r="A4203" t="inlineStr">
        <is>
          <t>A 61736-2023</t>
        </is>
      </c>
      <c r="B4203" s="1" t="n">
        <v>45265</v>
      </c>
      <c r="C4203" s="1" t="n">
        <v>45952</v>
      </c>
      <c r="D4203" t="inlineStr">
        <is>
          <t>VÄSTRA GÖTALANDS LÄN</t>
        </is>
      </c>
      <c r="E4203" t="inlineStr">
        <is>
          <t>DALS-ED</t>
        </is>
      </c>
      <c r="G4203" t="n">
        <v>4.5</v>
      </c>
      <c r="H4203" t="n">
        <v>0</v>
      </c>
      <c r="I4203" t="n">
        <v>0</v>
      </c>
      <c r="J4203" t="n">
        <v>0</v>
      </c>
      <c r="K4203" t="n">
        <v>0</v>
      </c>
      <c r="L4203" t="n">
        <v>0</v>
      </c>
      <c r="M4203" t="n">
        <v>0</v>
      </c>
      <c r="N4203" t="n">
        <v>0</v>
      </c>
      <c r="O4203" t="n">
        <v>0</v>
      </c>
      <c r="P4203" t="n">
        <v>0</v>
      </c>
      <c r="Q4203" t="n">
        <v>0</v>
      </c>
      <c r="R4203" s="2" t="inlineStr"/>
    </row>
    <row r="4204" ht="15" customHeight="1">
      <c r="A4204" t="inlineStr">
        <is>
          <t>A 61740-2023</t>
        </is>
      </c>
      <c r="B4204" s="1" t="n">
        <v>45265.70538194444</v>
      </c>
      <c r="C4204" s="1" t="n">
        <v>45952</v>
      </c>
      <c r="D4204" t="inlineStr">
        <is>
          <t>VÄSTRA GÖTALANDS LÄN</t>
        </is>
      </c>
      <c r="E4204" t="inlineStr">
        <is>
          <t>VARA</t>
        </is>
      </c>
      <c r="G4204" t="n">
        <v>1.2</v>
      </c>
      <c r="H4204" t="n">
        <v>0</v>
      </c>
      <c r="I4204" t="n">
        <v>0</v>
      </c>
      <c r="J4204" t="n">
        <v>0</v>
      </c>
      <c r="K4204" t="n">
        <v>0</v>
      </c>
      <c r="L4204" t="n">
        <v>0</v>
      </c>
      <c r="M4204" t="n">
        <v>0</v>
      </c>
      <c r="N4204" t="n">
        <v>0</v>
      </c>
      <c r="O4204" t="n">
        <v>0</v>
      </c>
      <c r="P4204" t="n">
        <v>0</v>
      </c>
      <c r="Q4204" t="n">
        <v>0</v>
      </c>
      <c r="R4204" s="2" t="inlineStr"/>
    </row>
    <row r="4205" ht="15" customHeight="1">
      <c r="A4205" t="inlineStr">
        <is>
          <t>A 27153-2023</t>
        </is>
      </c>
      <c r="B4205" s="1" t="n">
        <v>45096.47690972222</v>
      </c>
      <c r="C4205" s="1" t="n">
        <v>45952</v>
      </c>
      <c r="D4205" t="inlineStr">
        <is>
          <t>VÄSTRA GÖTALANDS LÄN</t>
        </is>
      </c>
      <c r="E4205" t="inlineStr">
        <is>
          <t>TRANEMO</t>
        </is>
      </c>
      <c r="G4205" t="n">
        <v>1.4</v>
      </c>
      <c r="H4205" t="n">
        <v>0</v>
      </c>
      <c r="I4205" t="n">
        <v>0</v>
      </c>
      <c r="J4205" t="n">
        <v>0</v>
      </c>
      <c r="K4205" t="n">
        <v>0</v>
      </c>
      <c r="L4205" t="n">
        <v>0</v>
      </c>
      <c r="M4205" t="n">
        <v>0</v>
      </c>
      <c r="N4205" t="n">
        <v>0</v>
      </c>
      <c r="O4205" t="n">
        <v>0</v>
      </c>
      <c r="P4205" t="n">
        <v>0</v>
      </c>
      <c r="Q4205" t="n">
        <v>0</v>
      </c>
      <c r="R4205" s="2" t="inlineStr"/>
    </row>
    <row r="4206" ht="15" customHeight="1">
      <c r="A4206" t="inlineStr">
        <is>
          <t>A 36949-2024</t>
        </is>
      </c>
      <c r="B4206" s="1" t="n">
        <v>45538.70457175926</v>
      </c>
      <c r="C4206" s="1" t="n">
        <v>45952</v>
      </c>
      <c r="D4206" t="inlineStr">
        <is>
          <t>VÄSTRA GÖTALANDS LÄN</t>
        </is>
      </c>
      <c r="E4206" t="inlineStr">
        <is>
          <t>TANUM</t>
        </is>
      </c>
      <c r="G4206" t="n">
        <v>4.8</v>
      </c>
      <c r="H4206" t="n">
        <v>0</v>
      </c>
      <c r="I4206" t="n">
        <v>0</v>
      </c>
      <c r="J4206" t="n">
        <v>0</v>
      </c>
      <c r="K4206" t="n">
        <v>0</v>
      </c>
      <c r="L4206" t="n">
        <v>0</v>
      </c>
      <c r="M4206" t="n">
        <v>0</v>
      </c>
      <c r="N4206" t="n">
        <v>0</v>
      </c>
      <c r="O4206" t="n">
        <v>0</v>
      </c>
      <c r="P4206" t="n">
        <v>0</v>
      </c>
      <c r="Q4206" t="n">
        <v>0</v>
      </c>
      <c r="R4206" s="2" t="inlineStr"/>
    </row>
    <row r="4207" ht="15" customHeight="1">
      <c r="A4207" t="inlineStr">
        <is>
          <t>A 36982-2024</t>
        </is>
      </c>
      <c r="B4207" s="1" t="n">
        <v>45539.31283564815</v>
      </c>
      <c r="C4207" s="1" t="n">
        <v>45952</v>
      </c>
      <c r="D4207" t="inlineStr">
        <is>
          <t>VÄSTRA GÖTALANDS LÄN</t>
        </is>
      </c>
      <c r="E4207" t="inlineStr">
        <is>
          <t>TROLLHÄTTAN</t>
        </is>
      </c>
      <c r="G4207" t="n">
        <v>3.4</v>
      </c>
      <c r="H4207" t="n">
        <v>0</v>
      </c>
      <c r="I4207" t="n">
        <v>0</v>
      </c>
      <c r="J4207" t="n">
        <v>0</v>
      </c>
      <c r="K4207" t="n">
        <v>0</v>
      </c>
      <c r="L4207" t="n">
        <v>0</v>
      </c>
      <c r="M4207" t="n">
        <v>0</v>
      </c>
      <c r="N4207" t="n">
        <v>0</v>
      </c>
      <c r="O4207" t="n">
        <v>0</v>
      </c>
      <c r="P4207" t="n">
        <v>0</v>
      </c>
      <c r="Q4207" t="n">
        <v>0</v>
      </c>
      <c r="R4207" s="2" t="inlineStr"/>
    </row>
    <row r="4208" ht="15" customHeight="1">
      <c r="A4208" t="inlineStr">
        <is>
          <t>A 49680-2024</t>
        </is>
      </c>
      <c r="B4208" s="1" t="n">
        <v>45596.66880787037</v>
      </c>
      <c r="C4208" s="1" t="n">
        <v>45952</v>
      </c>
      <c r="D4208" t="inlineStr">
        <is>
          <t>VÄSTRA GÖTALANDS LÄN</t>
        </is>
      </c>
      <c r="E4208" t="inlineStr">
        <is>
          <t>ALE</t>
        </is>
      </c>
      <c r="G4208" t="n">
        <v>3.7</v>
      </c>
      <c r="H4208" t="n">
        <v>0</v>
      </c>
      <c r="I4208" t="n">
        <v>0</v>
      </c>
      <c r="J4208" t="n">
        <v>0</v>
      </c>
      <c r="K4208" t="n">
        <v>0</v>
      </c>
      <c r="L4208" t="n">
        <v>0</v>
      </c>
      <c r="M4208" t="n">
        <v>0</v>
      </c>
      <c r="N4208" t="n">
        <v>0</v>
      </c>
      <c r="O4208" t="n">
        <v>0</v>
      </c>
      <c r="P4208" t="n">
        <v>0</v>
      </c>
      <c r="Q4208" t="n">
        <v>0</v>
      </c>
      <c r="R4208" s="2" t="inlineStr"/>
    </row>
    <row r="4209" ht="15" customHeight="1">
      <c r="A4209" t="inlineStr">
        <is>
          <t>A 18337-2023</t>
        </is>
      </c>
      <c r="B4209" s="1" t="n">
        <v>45041</v>
      </c>
      <c r="C4209" s="1" t="n">
        <v>45952</v>
      </c>
      <c r="D4209" t="inlineStr">
        <is>
          <t>VÄSTRA GÖTALANDS LÄN</t>
        </is>
      </c>
      <c r="E4209" t="inlineStr">
        <is>
          <t>BOLLEBYGD</t>
        </is>
      </c>
      <c r="G4209" t="n">
        <v>1.7</v>
      </c>
      <c r="H4209" t="n">
        <v>0</v>
      </c>
      <c r="I4209" t="n">
        <v>0</v>
      </c>
      <c r="J4209" t="n">
        <v>0</v>
      </c>
      <c r="K4209" t="n">
        <v>0</v>
      </c>
      <c r="L4209" t="n">
        <v>0</v>
      </c>
      <c r="M4209" t="n">
        <v>0</v>
      </c>
      <c r="N4209" t="n">
        <v>0</v>
      </c>
      <c r="O4209" t="n">
        <v>0</v>
      </c>
      <c r="P4209" t="n">
        <v>0</v>
      </c>
      <c r="Q4209" t="n">
        <v>0</v>
      </c>
      <c r="R4209" s="2" t="inlineStr"/>
    </row>
    <row r="4210" ht="15" customHeight="1">
      <c r="A4210" t="inlineStr">
        <is>
          <t>A 25499-2022</t>
        </is>
      </c>
      <c r="B4210" s="1" t="n">
        <v>44732.57032407408</v>
      </c>
      <c r="C4210" s="1" t="n">
        <v>45952</v>
      </c>
      <c r="D4210" t="inlineStr">
        <is>
          <t>VÄSTRA GÖTALANDS LÄN</t>
        </is>
      </c>
      <c r="E4210" t="inlineStr">
        <is>
          <t>HÄRRYDA</t>
        </is>
      </c>
      <c r="G4210" t="n">
        <v>2.1</v>
      </c>
      <c r="H4210" t="n">
        <v>0</v>
      </c>
      <c r="I4210" t="n">
        <v>0</v>
      </c>
      <c r="J4210" t="n">
        <v>0</v>
      </c>
      <c r="K4210" t="n">
        <v>0</v>
      </c>
      <c r="L4210" t="n">
        <v>0</v>
      </c>
      <c r="M4210" t="n">
        <v>0</v>
      </c>
      <c r="N4210" t="n">
        <v>0</v>
      </c>
      <c r="O4210" t="n">
        <v>0</v>
      </c>
      <c r="P4210" t="n">
        <v>0</v>
      </c>
      <c r="Q4210" t="n">
        <v>0</v>
      </c>
      <c r="R4210" s="2" t="inlineStr"/>
    </row>
    <row r="4211" ht="15" customHeight="1">
      <c r="A4211" t="inlineStr">
        <is>
          <t>A 58996-2022</t>
        </is>
      </c>
      <c r="B4211" s="1" t="n">
        <v>44903</v>
      </c>
      <c r="C4211" s="1" t="n">
        <v>45952</v>
      </c>
      <c r="D4211" t="inlineStr">
        <is>
          <t>VÄSTRA GÖTALANDS LÄN</t>
        </is>
      </c>
      <c r="E4211" t="inlineStr">
        <is>
          <t>BENGTSFORS</t>
        </is>
      </c>
      <c r="G4211" t="n">
        <v>3</v>
      </c>
      <c r="H4211" t="n">
        <v>0</v>
      </c>
      <c r="I4211" t="n">
        <v>0</v>
      </c>
      <c r="J4211" t="n">
        <v>0</v>
      </c>
      <c r="K4211" t="n">
        <v>0</v>
      </c>
      <c r="L4211" t="n">
        <v>0</v>
      </c>
      <c r="M4211" t="n">
        <v>0</v>
      </c>
      <c r="N4211" t="n">
        <v>0</v>
      </c>
      <c r="O4211" t="n">
        <v>0</v>
      </c>
      <c r="P4211" t="n">
        <v>0</v>
      </c>
      <c r="Q4211" t="n">
        <v>0</v>
      </c>
      <c r="R4211" s="2" t="inlineStr"/>
    </row>
    <row r="4212" ht="15" customHeight="1">
      <c r="A4212" t="inlineStr">
        <is>
          <t>A 21389-2023</t>
        </is>
      </c>
      <c r="B4212" s="1" t="n">
        <v>45063</v>
      </c>
      <c r="C4212" s="1" t="n">
        <v>45952</v>
      </c>
      <c r="D4212" t="inlineStr">
        <is>
          <t>VÄSTRA GÖTALANDS LÄN</t>
        </is>
      </c>
      <c r="E4212" t="inlineStr">
        <is>
          <t>KUNGÄLV</t>
        </is>
      </c>
      <c r="G4212" t="n">
        <v>3.4</v>
      </c>
      <c r="H4212" t="n">
        <v>0</v>
      </c>
      <c r="I4212" t="n">
        <v>0</v>
      </c>
      <c r="J4212" t="n">
        <v>0</v>
      </c>
      <c r="K4212" t="n">
        <v>0</v>
      </c>
      <c r="L4212" t="n">
        <v>0</v>
      </c>
      <c r="M4212" t="n">
        <v>0</v>
      </c>
      <c r="N4212" t="n">
        <v>0</v>
      </c>
      <c r="O4212" t="n">
        <v>0</v>
      </c>
      <c r="P4212" t="n">
        <v>0</v>
      </c>
      <c r="Q4212" t="n">
        <v>0</v>
      </c>
      <c r="R4212" s="2" t="inlineStr"/>
    </row>
    <row r="4213" ht="15" customHeight="1">
      <c r="A4213" t="inlineStr">
        <is>
          <t>A 90-2025</t>
        </is>
      </c>
      <c r="B4213" s="1" t="n">
        <v>45649</v>
      </c>
      <c r="C4213" s="1" t="n">
        <v>45952</v>
      </c>
      <c r="D4213" t="inlineStr">
        <is>
          <t>VÄSTRA GÖTALANDS LÄN</t>
        </is>
      </c>
      <c r="E4213" t="inlineStr">
        <is>
          <t>TIDAHOLM</t>
        </is>
      </c>
      <c r="F4213" t="inlineStr">
        <is>
          <t>Allmännings- och besparingsskogar</t>
        </is>
      </c>
      <c r="G4213" t="n">
        <v>4.1</v>
      </c>
      <c r="H4213" t="n">
        <v>0</v>
      </c>
      <c r="I4213" t="n">
        <v>0</v>
      </c>
      <c r="J4213" t="n">
        <v>0</v>
      </c>
      <c r="K4213" t="n">
        <v>0</v>
      </c>
      <c r="L4213" t="n">
        <v>0</v>
      </c>
      <c r="M4213" t="n">
        <v>0</v>
      </c>
      <c r="N4213" t="n">
        <v>0</v>
      </c>
      <c r="O4213" t="n">
        <v>0</v>
      </c>
      <c r="P4213" t="n">
        <v>0</v>
      </c>
      <c r="Q4213" t="n">
        <v>0</v>
      </c>
      <c r="R4213" s="2" t="inlineStr"/>
    </row>
    <row r="4214" ht="15" customHeight="1">
      <c r="A4214" t="inlineStr">
        <is>
          <t>A 53838-2023</t>
        </is>
      </c>
      <c r="B4214" s="1" t="n">
        <v>45231</v>
      </c>
      <c r="C4214" s="1" t="n">
        <v>45952</v>
      </c>
      <c r="D4214" t="inlineStr">
        <is>
          <t>VÄSTRA GÖTALANDS LÄN</t>
        </is>
      </c>
      <c r="E4214" t="inlineStr">
        <is>
          <t>TANUM</t>
        </is>
      </c>
      <c r="G4214" t="n">
        <v>2.1</v>
      </c>
      <c r="H4214" t="n">
        <v>0</v>
      </c>
      <c r="I4214" t="n">
        <v>0</v>
      </c>
      <c r="J4214" t="n">
        <v>0</v>
      </c>
      <c r="K4214" t="n">
        <v>0</v>
      </c>
      <c r="L4214" t="n">
        <v>0</v>
      </c>
      <c r="M4214" t="n">
        <v>0</v>
      </c>
      <c r="N4214" t="n">
        <v>0</v>
      </c>
      <c r="O4214" t="n">
        <v>0</v>
      </c>
      <c r="P4214" t="n">
        <v>0</v>
      </c>
      <c r="Q4214" t="n">
        <v>0</v>
      </c>
      <c r="R4214" s="2" t="inlineStr"/>
    </row>
    <row r="4215" ht="15" customHeight="1">
      <c r="A4215" t="inlineStr">
        <is>
          <t>A 1177-2025</t>
        </is>
      </c>
      <c r="B4215" s="1" t="n">
        <v>45667.34559027778</v>
      </c>
      <c r="C4215" s="1" t="n">
        <v>45952</v>
      </c>
      <c r="D4215" t="inlineStr">
        <is>
          <t>VÄSTRA GÖTALANDS LÄN</t>
        </is>
      </c>
      <c r="E4215" t="inlineStr">
        <is>
          <t>ULRICEHAMN</t>
        </is>
      </c>
      <c r="G4215" t="n">
        <v>2.8</v>
      </c>
      <c r="H4215" t="n">
        <v>0</v>
      </c>
      <c r="I4215" t="n">
        <v>0</v>
      </c>
      <c r="J4215" t="n">
        <v>0</v>
      </c>
      <c r="K4215" t="n">
        <v>0</v>
      </c>
      <c r="L4215" t="n">
        <v>0</v>
      </c>
      <c r="M4215" t="n">
        <v>0</v>
      </c>
      <c r="N4215" t="n">
        <v>0</v>
      </c>
      <c r="O4215" t="n">
        <v>0</v>
      </c>
      <c r="P4215" t="n">
        <v>0</v>
      </c>
      <c r="Q4215" t="n">
        <v>0</v>
      </c>
      <c r="R4215" s="2" t="inlineStr"/>
    </row>
    <row r="4216" ht="15" customHeight="1">
      <c r="A4216" t="inlineStr">
        <is>
          <t>A 65844-2020</t>
        </is>
      </c>
      <c r="B4216" s="1" t="n">
        <v>44174</v>
      </c>
      <c r="C4216" s="1" t="n">
        <v>45952</v>
      </c>
      <c r="D4216" t="inlineStr">
        <is>
          <t>VÄSTRA GÖTALANDS LÄN</t>
        </is>
      </c>
      <c r="E4216" t="inlineStr">
        <is>
          <t>MARK</t>
        </is>
      </c>
      <c r="F4216" t="inlineStr">
        <is>
          <t>Kommuner</t>
        </is>
      </c>
      <c r="G4216" t="n">
        <v>5.3</v>
      </c>
      <c r="H4216" t="n">
        <v>0</v>
      </c>
      <c r="I4216" t="n">
        <v>0</v>
      </c>
      <c r="J4216" t="n">
        <v>0</v>
      </c>
      <c r="K4216" t="n">
        <v>0</v>
      </c>
      <c r="L4216" t="n">
        <v>0</v>
      </c>
      <c r="M4216" t="n">
        <v>0</v>
      </c>
      <c r="N4216" t="n">
        <v>0</v>
      </c>
      <c r="O4216" t="n">
        <v>0</v>
      </c>
      <c r="P4216" t="n">
        <v>0</v>
      </c>
      <c r="Q4216" t="n">
        <v>0</v>
      </c>
      <c r="R4216" s="2" t="inlineStr"/>
    </row>
    <row r="4217" ht="15" customHeight="1">
      <c r="A4217" t="inlineStr">
        <is>
          <t>A 53888-2023</t>
        </is>
      </c>
      <c r="B4217" s="1" t="n">
        <v>45231</v>
      </c>
      <c r="C4217" s="1" t="n">
        <v>45952</v>
      </c>
      <c r="D4217" t="inlineStr">
        <is>
          <t>VÄSTRA GÖTALANDS LÄN</t>
        </is>
      </c>
      <c r="E4217" t="inlineStr">
        <is>
          <t>MUNKEDAL</t>
        </is>
      </c>
      <c r="G4217" t="n">
        <v>2.6</v>
      </c>
      <c r="H4217" t="n">
        <v>0</v>
      </c>
      <c r="I4217" t="n">
        <v>0</v>
      </c>
      <c r="J4217" t="n">
        <v>0</v>
      </c>
      <c r="K4217" t="n">
        <v>0</v>
      </c>
      <c r="L4217" t="n">
        <v>0</v>
      </c>
      <c r="M4217" t="n">
        <v>0</v>
      </c>
      <c r="N4217" t="n">
        <v>0</v>
      </c>
      <c r="O4217" t="n">
        <v>0</v>
      </c>
      <c r="P4217" t="n">
        <v>0</v>
      </c>
      <c r="Q4217" t="n">
        <v>0</v>
      </c>
      <c r="R4217" s="2" t="inlineStr"/>
    </row>
    <row r="4218" ht="15" customHeight="1">
      <c r="A4218" t="inlineStr">
        <is>
          <t>A 48116-2023</t>
        </is>
      </c>
      <c r="B4218" s="1" t="n">
        <v>45205.35052083333</v>
      </c>
      <c r="C4218" s="1" t="n">
        <v>45952</v>
      </c>
      <c r="D4218" t="inlineStr">
        <is>
          <t>VÄSTRA GÖTALANDS LÄN</t>
        </is>
      </c>
      <c r="E4218" t="inlineStr">
        <is>
          <t>TIDAHOLM</t>
        </is>
      </c>
      <c r="G4218" t="n">
        <v>4.4</v>
      </c>
      <c r="H4218" t="n">
        <v>0</v>
      </c>
      <c r="I4218" t="n">
        <v>0</v>
      </c>
      <c r="J4218" t="n">
        <v>0</v>
      </c>
      <c r="K4218" t="n">
        <v>0</v>
      </c>
      <c r="L4218" t="n">
        <v>0</v>
      </c>
      <c r="M4218" t="n">
        <v>0</v>
      </c>
      <c r="N4218" t="n">
        <v>0</v>
      </c>
      <c r="O4218" t="n">
        <v>0</v>
      </c>
      <c r="P4218" t="n">
        <v>0</v>
      </c>
      <c r="Q4218" t="n">
        <v>0</v>
      </c>
      <c r="R4218" s="2" t="inlineStr"/>
    </row>
    <row r="4219" ht="15" customHeight="1">
      <c r="A4219" t="inlineStr">
        <is>
          <t>A 63626-2023</t>
        </is>
      </c>
      <c r="B4219" s="1" t="n">
        <v>45275</v>
      </c>
      <c r="C4219" s="1" t="n">
        <v>45952</v>
      </c>
      <c r="D4219" t="inlineStr">
        <is>
          <t>VÄSTRA GÖTALANDS LÄN</t>
        </is>
      </c>
      <c r="E4219" t="inlineStr">
        <is>
          <t>ORUST</t>
        </is>
      </c>
      <c r="G4219" t="n">
        <v>2.4</v>
      </c>
      <c r="H4219" t="n">
        <v>0</v>
      </c>
      <c r="I4219" t="n">
        <v>0</v>
      </c>
      <c r="J4219" t="n">
        <v>0</v>
      </c>
      <c r="K4219" t="n">
        <v>0</v>
      </c>
      <c r="L4219" t="n">
        <v>0</v>
      </c>
      <c r="M4219" t="n">
        <v>0</v>
      </c>
      <c r="N4219" t="n">
        <v>0</v>
      </c>
      <c r="O4219" t="n">
        <v>0</v>
      </c>
      <c r="P4219" t="n">
        <v>0</v>
      </c>
      <c r="Q4219" t="n">
        <v>0</v>
      </c>
      <c r="R4219" s="2" t="inlineStr"/>
    </row>
    <row r="4220" ht="15" customHeight="1">
      <c r="A4220" t="inlineStr">
        <is>
          <t>A 69198-2021</t>
        </is>
      </c>
      <c r="B4220" s="1" t="n">
        <v>44531.34621527778</v>
      </c>
      <c r="C4220" s="1" t="n">
        <v>45952</v>
      </c>
      <c r="D4220" t="inlineStr">
        <is>
          <t>VÄSTRA GÖTALANDS LÄN</t>
        </is>
      </c>
      <c r="E4220" t="inlineStr">
        <is>
          <t>UDDEVALLA</t>
        </is>
      </c>
      <c r="G4220" t="n">
        <v>0.7</v>
      </c>
      <c r="H4220" t="n">
        <v>0</v>
      </c>
      <c r="I4220" t="n">
        <v>0</v>
      </c>
      <c r="J4220" t="n">
        <v>0</v>
      </c>
      <c r="K4220" t="n">
        <v>0</v>
      </c>
      <c r="L4220" t="n">
        <v>0</v>
      </c>
      <c r="M4220" t="n">
        <v>0</v>
      </c>
      <c r="N4220" t="n">
        <v>0</v>
      </c>
      <c r="O4220" t="n">
        <v>0</v>
      </c>
      <c r="P4220" t="n">
        <v>0</v>
      </c>
      <c r="Q4220" t="n">
        <v>0</v>
      </c>
      <c r="R4220" s="2" t="inlineStr"/>
    </row>
    <row r="4221" ht="15" customHeight="1">
      <c r="A4221" t="inlineStr">
        <is>
          <t>A 53898-2023</t>
        </is>
      </c>
      <c r="B4221" s="1" t="n">
        <v>45231.54010416667</v>
      </c>
      <c r="C4221" s="1" t="n">
        <v>45952</v>
      </c>
      <c r="D4221" t="inlineStr">
        <is>
          <t>VÄSTRA GÖTALANDS LÄN</t>
        </is>
      </c>
      <c r="E4221" t="inlineStr">
        <is>
          <t>KARLSBORG</t>
        </is>
      </c>
      <c r="G4221" t="n">
        <v>9.5</v>
      </c>
      <c r="H4221" t="n">
        <v>0</v>
      </c>
      <c r="I4221" t="n">
        <v>0</v>
      </c>
      <c r="J4221" t="n">
        <v>0</v>
      </c>
      <c r="K4221" t="n">
        <v>0</v>
      </c>
      <c r="L4221" t="n">
        <v>0</v>
      </c>
      <c r="M4221" t="n">
        <v>0</v>
      </c>
      <c r="N4221" t="n">
        <v>0</v>
      </c>
      <c r="O4221" t="n">
        <v>0</v>
      </c>
      <c r="P4221" t="n">
        <v>0</v>
      </c>
      <c r="Q4221" t="n">
        <v>0</v>
      </c>
      <c r="R4221" s="2" t="inlineStr"/>
    </row>
    <row r="4222" ht="15" customHeight="1">
      <c r="A4222" t="inlineStr">
        <is>
          <t>A 53950-2023</t>
        </is>
      </c>
      <c r="B4222" s="1" t="n">
        <v>45231</v>
      </c>
      <c r="C4222" s="1" t="n">
        <v>45952</v>
      </c>
      <c r="D4222" t="inlineStr">
        <is>
          <t>VÄSTRA GÖTALANDS LÄN</t>
        </is>
      </c>
      <c r="E4222" t="inlineStr">
        <is>
          <t>HERRLJUNGA</t>
        </is>
      </c>
      <c r="G4222" t="n">
        <v>1.1</v>
      </c>
      <c r="H4222" t="n">
        <v>0</v>
      </c>
      <c r="I4222" t="n">
        <v>0</v>
      </c>
      <c r="J4222" t="n">
        <v>0</v>
      </c>
      <c r="K4222" t="n">
        <v>0</v>
      </c>
      <c r="L4222" t="n">
        <v>0</v>
      </c>
      <c r="M4222" t="n">
        <v>0</v>
      </c>
      <c r="N4222" t="n">
        <v>0</v>
      </c>
      <c r="O4222" t="n">
        <v>0</v>
      </c>
      <c r="P4222" t="n">
        <v>0</v>
      </c>
      <c r="Q4222" t="n">
        <v>0</v>
      </c>
      <c r="R4222" s="2" t="inlineStr"/>
    </row>
    <row r="4223" ht="15" customHeight="1">
      <c r="A4223" t="inlineStr">
        <is>
          <t>A 17297-2023</t>
        </is>
      </c>
      <c r="B4223" s="1" t="n">
        <v>45035.48894675926</v>
      </c>
      <c r="C4223" s="1" t="n">
        <v>45952</v>
      </c>
      <c r="D4223" t="inlineStr">
        <is>
          <t>VÄSTRA GÖTALANDS LÄN</t>
        </is>
      </c>
      <c r="E4223" t="inlineStr">
        <is>
          <t>TRANEMO</t>
        </is>
      </c>
      <c r="G4223" t="n">
        <v>2.2</v>
      </c>
      <c r="H4223" t="n">
        <v>0</v>
      </c>
      <c r="I4223" t="n">
        <v>0</v>
      </c>
      <c r="J4223" t="n">
        <v>0</v>
      </c>
      <c r="K4223" t="n">
        <v>0</v>
      </c>
      <c r="L4223" t="n">
        <v>0</v>
      </c>
      <c r="M4223" t="n">
        <v>0</v>
      </c>
      <c r="N4223" t="n">
        <v>0</v>
      </c>
      <c r="O4223" t="n">
        <v>0</v>
      </c>
      <c r="P4223" t="n">
        <v>0</v>
      </c>
      <c r="Q4223" t="n">
        <v>0</v>
      </c>
      <c r="R4223" s="2" t="inlineStr"/>
    </row>
    <row r="4224" ht="15" customHeight="1">
      <c r="A4224" t="inlineStr">
        <is>
          <t>A 62089-2023</t>
        </is>
      </c>
      <c r="B4224" s="1" t="n">
        <v>45266.87113425926</v>
      </c>
      <c r="C4224" s="1" t="n">
        <v>45952</v>
      </c>
      <c r="D4224" t="inlineStr">
        <is>
          <t>VÄSTRA GÖTALANDS LÄN</t>
        </is>
      </c>
      <c r="E4224" t="inlineStr">
        <is>
          <t>MARIESTAD</t>
        </is>
      </c>
      <c r="G4224" t="n">
        <v>2.7</v>
      </c>
      <c r="H4224" t="n">
        <v>0</v>
      </c>
      <c r="I4224" t="n">
        <v>0</v>
      </c>
      <c r="J4224" t="n">
        <v>0</v>
      </c>
      <c r="K4224" t="n">
        <v>0</v>
      </c>
      <c r="L4224" t="n">
        <v>0</v>
      </c>
      <c r="M4224" t="n">
        <v>0</v>
      </c>
      <c r="N4224" t="n">
        <v>0</v>
      </c>
      <c r="O4224" t="n">
        <v>0</v>
      </c>
      <c r="P4224" t="n">
        <v>0</v>
      </c>
      <c r="Q4224" t="n">
        <v>0</v>
      </c>
      <c r="R4224" s="2" t="inlineStr"/>
    </row>
    <row r="4225" ht="15" customHeight="1">
      <c r="A4225" t="inlineStr">
        <is>
          <t>A 62146-2023</t>
        </is>
      </c>
      <c r="B4225" s="1" t="n">
        <v>45267.37630787037</v>
      </c>
      <c r="C4225" s="1" t="n">
        <v>45952</v>
      </c>
      <c r="D4225" t="inlineStr">
        <is>
          <t>VÄSTRA GÖTALANDS LÄN</t>
        </is>
      </c>
      <c r="E4225" t="inlineStr">
        <is>
          <t>FÄRGELANDA</t>
        </is>
      </c>
      <c r="G4225" t="n">
        <v>3</v>
      </c>
      <c r="H4225" t="n">
        <v>0</v>
      </c>
      <c r="I4225" t="n">
        <v>0</v>
      </c>
      <c r="J4225" t="n">
        <v>0</v>
      </c>
      <c r="K4225" t="n">
        <v>0</v>
      </c>
      <c r="L4225" t="n">
        <v>0</v>
      </c>
      <c r="M4225" t="n">
        <v>0</v>
      </c>
      <c r="N4225" t="n">
        <v>0</v>
      </c>
      <c r="O4225" t="n">
        <v>0</v>
      </c>
      <c r="P4225" t="n">
        <v>0</v>
      </c>
      <c r="Q4225" t="n">
        <v>0</v>
      </c>
      <c r="R4225" s="2" t="inlineStr"/>
    </row>
    <row r="4226" ht="15" customHeight="1">
      <c r="A4226" t="inlineStr">
        <is>
          <t>A 62175-2023</t>
        </is>
      </c>
      <c r="B4226" s="1" t="n">
        <v>45267.43561342593</v>
      </c>
      <c r="C4226" s="1" t="n">
        <v>45952</v>
      </c>
      <c r="D4226" t="inlineStr">
        <is>
          <t>VÄSTRA GÖTALANDS LÄN</t>
        </is>
      </c>
      <c r="E4226" t="inlineStr">
        <is>
          <t>HERRLJUNGA</t>
        </is>
      </c>
      <c r="G4226" t="n">
        <v>0.8</v>
      </c>
      <c r="H4226" t="n">
        <v>0</v>
      </c>
      <c r="I4226" t="n">
        <v>0</v>
      </c>
      <c r="J4226" t="n">
        <v>0</v>
      </c>
      <c r="K4226" t="n">
        <v>0</v>
      </c>
      <c r="L4226" t="n">
        <v>0</v>
      </c>
      <c r="M4226" t="n">
        <v>0</v>
      </c>
      <c r="N4226" t="n">
        <v>0</v>
      </c>
      <c r="O4226" t="n">
        <v>0</v>
      </c>
      <c r="P4226" t="n">
        <v>0</v>
      </c>
      <c r="Q4226" t="n">
        <v>0</v>
      </c>
      <c r="R4226" s="2" t="inlineStr"/>
    </row>
    <row r="4227" ht="15" customHeight="1">
      <c r="A4227" t="inlineStr">
        <is>
          <t>A 62179-2023</t>
        </is>
      </c>
      <c r="B4227" s="1" t="n">
        <v>45267</v>
      </c>
      <c r="C4227" s="1" t="n">
        <v>45952</v>
      </c>
      <c r="D4227" t="inlineStr">
        <is>
          <t>VÄSTRA GÖTALANDS LÄN</t>
        </is>
      </c>
      <c r="E4227" t="inlineStr">
        <is>
          <t>HERRLJUNGA</t>
        </is>
      </c>
      <c r="G4227" t="n">
        <v>2.2</v>
      </c>
      <c r="H4227" t="n">
        <v>0</v>
      </c>
      <c r="I4227" t="n">
        <v>0</v>
      </c>
      <c r="J4227" t="n">
        <v>0</v>
      </c>
      <c r="K4227" t="n">
        <v>0</v>
      </c>
      <c r="L4227" t="n">
        <v>0</v>
      </c>
      <c r="M4227" t="n">
        <v>0</v>
      </c>
      <c r="N4227" t="n">
        <v>0</v>
      </c>
      <c r="O4227" t="n">
        <v>0</v>
      </c>
      <c r="P4227" t="n">
        <v>0</v>
      </c>
      <c r="Q4227" t="n">
        <v>0</v>
      </c>
      <c r="R4227" s="2" t="inlineStr"/>
    </row>
    <row r="4228" ht="15" customHeight="1">
      <c r="A4228" t="inlineStr">
        <is>
          <t>A 36606-2023</t>
        </is>
      </c>
      <c r="B4228" s="1" t="n">
        <v>45153.48958333334</v>
      </c>
      <c r="C4228" s="1" t="n">
        <v>45952</v>
      </c>
      <c r="D4228" t="inlineStr">
        <is>
          <t>VÄSTRA GÖTALANDS LÄN</t>
        </is>
      </c>
      <c r="E4228" t="inlineStr">
        <is>
          <t>FÄRGELANDA</t>
        </is>
      </c>
      <c r="G4228" t="n">
        <v>13.5</v>
      </c>
      <c r="H4228" t="n">
        <v>0</v>
      </c>
      <c r="I4228" t="n">
        <v>0</v>
      </c>
      <c r="J4228" t="n">
        <v>0</v>
      </c>
      <c r="K4228" t="n">
        <v>0</v>
      </c>
      <c r="L4228" t="n">
        <v>0</v>
      </c>
      <c r="M4228" t="n">
        <v>0</v>
      </c>
      <c r="N4228" t="n">
        <v>0</v>
      </c>
      <c r="O4228" t="n">
        <v>0</v>
      </c>
      <c r="P4228" t="n">
        <v>0</v>
      </c>
      <c r="Q4228" t="n">
        <v>0</v>
      </c>
      <c r="R4228" s="2" t="inlineStr"/>
    </row>
    <row r="4229" ht="15" customHeight="1">
      <c r="A4229" t="inlineStr">
        <is>
          <t>A 4011-2025</t>
        </is>
      </c>
      <c r="B4229" s="1" t="n">
        <v>45684.57792824074</v>
      </c>
      <c r="C4229" s="1" t="n">
        <v>45952</v>
      </c>
      <c r="D4229" t="inlineStr">
        <is>
          <t>VÄSTRA GÖTALANDS LÄN</t>
        </is>
      </c>
      <c r="E4229" t="inlineStr">
        <is>
          <t>MARK</t>
        </is>
      </c>
      <c r="G4229" t="n">
        <v>0.4</v>
      </c>
      <c r="H4229" t="n">
        <v>0</v>
      </c>
      <c r="I4229" t="n">
        <v>0</v>
      </c>
      <c r="J4229" t="n">
        <v>0</v>
      </c>
      <c r="K4229" t="n">
        <v>0</v>
      </c>
      <c r="L4229" t="n">
        <v>0</v>
      </c>
      <c r="M4229" t="n">
        <v>0</v>
      </c>
      <c r="N4229" t="n">
        <v>0</v>
      </c>
      <c r="O4229" t="n">
        <v>0</v>
      </c>
      <c r="P4229" t="n">
        <v>0</v>
      </c>
      <c r="Q4229" t="n">
        <v>0</v>
      </c>
      <c r="R4229" s="2" t="inlineStr"/>
    </row>
    <row r="4230" ht="15" customHeight="1">
      <c r="A4230" t="inlineStr">
        <is>
          <t>A 4023-2025</t>
        </is>
      </c>
      <c r="B4230" s="1" t="n">
        <v>45684.5937037037</v>
      </c>
      <c r="C4230" s="1" t="n">
        <v>45952</v>
      </c>
      <c r="D4230" t="inlineStr">
        <is>
          <t>VÄSTRA GÖTALANDS LÄN</t>
        </is>
      </c>
      <c r="E4230" t="inlineStr">
        <is>
          <t>MELLERUD</t>
        </is>
      </c>
      <c r="G4230" t="n">
        <v>1</v>
      </c>
      <c r="H4230" t="n">
        <v>0</v>
      </c>
      <c r="I4230" t="n">
        <v>0</v>
      </c>
      <c r="J4230" t="n">
        <v>0</v>
      </c>
      <c r="K4230" t="n">
        <v>0</v>
      </c>
      <c r="L4230" t="n">
        <v>0</v>
      </c>
      <c r="M4230" t="n">
        <v>0</v>
      </c>
      <c r="N4230" t="n">
        <v>0</v>
      </c>
      <c r="O4230" t="n">
        <v>0</v>
      </c>
      <c r="P4230" t="n">
        <v>0</v>
      </c>
      <c r="Q4230" t="n">
        <v>0</v>
      </c>
      <c r="R4230" s="2" t="inlineStr"/>
    </row>
    <row r="4231" ht="15" customHeight="1">
      <c r="A4231" t="inlineStr">
        <is>
          <t>A 4027-2025</t>
        </is>
      </c>
      <c r="B4231" s="1" t="n">
        <v>45684.59524305556</v>
      </c>
      <c r="C4231" s="1" t="n">
        <v>45952</v>
      </c>
      <c r="D4231" t="inlineStr">
        <is>
          <t>VÄSTRA GÖTALANDS LÄN</t>
        </is>
      </c>
      <c r="E4231" t="inlineStr">
        <is>
          <t>MELLERUD</t>
        </is>
      </c>
      <c r="G4231" t="n">
        <v>1.9</v>
      </c>
      <c r="H4231" t="n">
        <v>0</v>
      </c>
      <c r="I4231" t="n">
        <v>0</v>
      </c>
      <c r="J4231" t="n">
        <v>0</v>
      </c>
      <c r="K4231" t="n">
        <v>0</v>
      </c>
      <c r="L4231" t="n">
        <v>0</v>
      </c>
      <c r="M4231" t="n">
        <v>0</v>
      </c>
      <c r="N4231" t="n">
        <v>0</v>
      </c>
      <c r="O4231" t="n">
        <v>0</v>
      </c>
      <c r="P4231" t="n">
        <v>0</v>
      </c>
      <c r="Q4231" t="n">
        <v>0</v>
      </c>
      <c r="R4231" s="2" t="inlineStr"/>
    </row>
    <row r="4232" ht="15" customHeight="1">
      <c r="A4232" t="inlineStr">
        <is>
          <t>A 7356-2025</t>
        </is>
      </c>
      <c r="B4232" s="1" t="n">
        <v>45704.50445601852</v>
      </c>
      <c r="C4232" s="1" t="n">
        <v>45952</v>
      </c>
      <c r="D4232" t="inlineStr">
        <is>
          <t>VÄSTRA GÖTALANDS LÄN</t>
        </is>
      </c>
      <c r="E4232" t="inlineStr">
        <is>
          <t>HÄRRYDA</t>
        </is>
      </c>
      <c r="G4232" t="n">
        <v>0.9</v>
      </c>
      <c r="H4232" t="n">
        <v>0</v>
      </c>
      <c r="I4232" t="n">
        <v>0</v>
      </c>
      <c r="J4232" t="n">
        <v>0</v>
      </c>
      <c r="K4232" t="n">
        <v>0</v>
      </c>
      <c r="L4232" t="n">
        <v>0</v>
      </c>
      <c r="M4232" t="n">
        <v>0</v>
      </c>
      <c r="N4232" t="n">
        <v>0</v>
      </c>
      <c r="O4232" t="n">
        <v>0</v>
      </c>
      <c r="P4232" t="n">
        <v>0</v>
      </c>
      <c r="Q4232" t="n">
        <v>0</v>
      </c>
      <c r="R4232" s="2" t="inlineStr"/>
    </row>
    <row r="4233" ht="15" customHeight="1">
      <c r="A4233" t="inlineStr">
        <is>
          <t>A 7365-2025</t>
        </is>
      </c>
      <c r="B4233" s="1" t="n">
        <v>45704.69732638889</v>
      </c>
      <c r="C4233" s="1" t="n">
        <v>45952</v>
      </c>
      <c r="D4233" t="inlineStr">
        <is>
          <t>VÄSTRA GÖTALANDS LÄN</t>
        </is>
      </c>
      <c r="E4233" t="inlineStr">
        <is>
          <t>FALKÖPING</t>
        </is>
      </c>
      <c r="G4233" t="n">
        <v>2.8</v>
      </c>
      <c r="H4233" t="n">
        <v>0</v>
      </c>
      <c r="I4233" t="n">
        <v>0</v>
      </c>
      <c r="J4233" t="n">
        <v>0</v>
      </c>
      <c r="K4233" t="n">
        <v>0</v>
      </c>
      <c r="L4233" t="n">
        <v>0</v>
      </c>
      <c r="M4233" t="n">
        <v>0</v>
      </c>
      <c r="N4233" t="n">
        <v>0</v>
      </c>
      <c r="O4233" t="n">
        <v>0</v>
      </c>
      <c r="P4233" t="n">
        <v>0</v>
      </c>
      <c r="Q4233" t="n">
        <v>0</v>
      </c>
      <c r="R4233" s="2" t="inlineStr"/>
    </row>
    <row r="4234" ht="15" customHeight="1">
      <c r="A4234" t="inlineStr">
        <is>
          <t>A 40121-2024</t>
        </is>
      </c>
      <c r="B4234" s="1" t="n">
        <v>45554.46591435185</v>
      </c>
      <c r="C4234" s="1" t="n">
        <v>45952</v>
      </c>
      <c r="D4234" t="inlineStr">
        <is>
          <t>VÄSTRA GÖTALANDS LÄN</t>
        </is>
      </c>
      <c r="E4234" t="inlineStr">
        <is>
          <t>UDDEVALLA</t>
        </is>
      </c>
      <c r="G4234" t="n">
        <v>1.4</v>
      </c>
      <c r="H4234" t="n">
        <v>0</v>
      </c>
      <c r="I4234" t="n">
        <v>0</v>
      </c>
      <c r="J4234" t="n">
        <v>0</v>
      </c>
      <c r="K4234" t="n">
        <v>0</v>
      </c>
      <c r="L4234" t="n">
        <v>0</v>
      </c>
      <c r="M4234" t="n">
        <v>0</v>
      </c>
      <c r="N4234" t="n">
        <v>0</v>
      </c>
      <c r="O4234" t="n">
        <v>0</v>
      </c>
      <c r="P4234" t="n">
        <v>0</v>
      </c>
      <c r="Q4234" t="n">
        <v>0</v>
      </c>
      <c r="R4234" s="2" t="inlineStr"/>
    </row>
    <row r="4235" ht="15" customHeight="1">
      <c r="A4235" t="inlineStr">
        <is>
          <t>A 46833-2025</t>
        </is>
      </c>
      <c r="B4235" s="1" t="n">
        <v>45927.68620370371</v>
      </c>
      <c r="C4235" s="1" t="n">
        <v>45952</v>
      </c>
      <c r="D4235" t="inlineStr">
        <is>
          <t>VÄSTRA GÖTALANDS LÄN</t>
        </is>
      </c>
      <c r="E4235" t="inlineStr">
        <is>
          <t>VÅRGÅRDA</t>
        </is>
      </c>
      <c r="G4235" t="n">
        <v>0.9</v>
      </c>
      <c r="H4235" t="n">
        <v>0</v>
      </c>
      <c r="I4235" t="n">
        <v>0</v>
      </c>
      <c r="J4235" t="n">
        <v>0</v>
      </c>
      <c r="K4235" t="n">
        <v>0</v>
      </c>
      <c r="L4235" t="n">
        <v>0</v>
      </c>
      <c r="M4235" t="n">
        <v>0</v>
      </c>
      <c r="N4235" t="n">
        <v>0</v>
      </c>
      <c r="O4235" t="n">
        <v>0</v>
      </c>
      <c r="P4235" t="n">
        <v>0</v>
      </c>
      <c r="Q4235" t="n">
        <v>0</v>
      </c>
      <c r="R4235" s="2" t="inlineStr"/>
    </row>
    <row r="4236" ht="15" customHeight="1">
      <c r="A4236" t="inlineStr">
        <is>
          <t>A 13004-2025</t>
        </is>
      </c>
      <c r="B4236" s="1" t="n">
        <v>45734</v>
      </c>
      <c r="C4236" s="1" t="n">
        <v>45952</v>
      </c>
      <c r="D4236" t="inlineStr">
        <is>
          <t>VÄSTRA GÖTALANDS LÄN</t>
        </is>
      </c>
      <c r="E4236" t="inlineStr">
        <is>
          <t>SVENLJUNGA</t>
        </is>
      </c>
      <c r="G4236" t="n">
        <v>1.4</v>
      </c>
      <c r="H4236" t="n">
        <v>0</v>
      </c>
      <c r="I4236" t="n">
        <v>0</v>
      </c>
      <c r="J4236" t="n">
        <v>0</v>
      </c>
      <c r="K4236" t="n">
        <v>0</v>
      </c>
      <c r="L4236" t="n">
        <v>0</v>
      </c>
      <c r="M4236" t="n">
        <v>0</v>
      </c>
      <c r="N4236" t="n">
        <v>0</v>
      </c>
      <c r="O4236" t="n">
        <v>0</v>
      </c>
      <c r="P4236" t="n">
        <v>0</v>
      </c>
      <c r="Q4236" t="n">
        <v>0</v>
      </c>
      <c r="R4236" s="2" t="inlineStr"/>
    </row>
    <row r="4237" ht="15" customHeight="1">
      <c r="A4237" t="inlineStr">
        <is>
          <t>A 24144-2021</t>
        </is>
      </c>
      <c r="B4237" s="1" t="n">
        <v>44336</v>
      </c>
      <c r="C4237" s="1" t="n">
        <v>45952</v>
      </c>
      <c r="D4237" t="inlineStr">
        <is>
          <t>VÄSTRA GÖTALANDS LÄN</t>
        </is>
      </c>
      <c r="E4237" t="inlineStr">
        <is>
          <t>MARK</t>
        </is>
      </c>
      <c r="G4237" t="n">
        <v>6.1</v>
      </c>
      <c r="H4237" t="n">
        <v>0</v>
      </c>
      <c r="I4237" t="n">
        <v>0</v>
      </c>
      <c r="J4237" t="n">
        <v>0</v>
      </c>
      <c r="K4237" t="n">
        <v>0</v>
      </c>
      <c r="L4237" t="n">
        <v>0</v>
      </c>
      <c r="M4237" t="n">
        <v>0</v>
      </c>
      <c r="N4237" t="n">
        <v>0</v>
      </c>
      <c r="O4237" t="n">
        <v>0</v>
      </c>
      <c r="P4237" t="n">
        <v>0</v>
      </c>
      <c r="Q4237" t="n">
        <v>0</v>
      </c>
      <c r="R4237" s="2" t="inlineStr"/>
    </row>
    <row r="4238" ht="15" customHeight="1">
      <c r="A4238" t="inlineStr">
        <is>
          <t>A 12030-2025</t>
        </is>
      </c>
      <c r="B4238" s="1" t="n">
        <v>45728.64429398148</v>
      </c>
      <c r="C4238" s="1" t="n">
        <v>45952</v>
      </c>
      <c r="D4238" t="inlineStr">
        <is>
          <t>VÄSTRA GÖTALANDS LÄN</t>
        </is>
      </c>
      <c r="E4238" t="inlineStr">
        <is>
          <t>HERRLJUNGA</t>
        </is>
      </c>
      <c r="G4238" t="n">
        <v>0.6</v>
      </c>
      <c r="H4238" t="n">
        <v>0</v>
      </c>
      <c r="I4238" t="n">
        <v>0</v>
      </c>
      <c r="J4238" t="n">
        <v>0</v>
      </c>
      <c r="K4238" t="n">
        <v>0</v>
      </c>
      <c r="L4238" t="n">
        <v>0</v>
      </c>
      <c r="M4238" t="n">
        <v>0</v>
      </c>
      <c r="N4238" t="n">
        <v>0</v>
      </c>
      <c r="O4238" t="n">
        <v>0</v>
      </c>
      <c r="P4238" t="n">
        <v>0</v>
      </c>
      <c r="Q4238" t="n">
        <v>0</v>
      </c>
      <c r="R4238" s="2" t="inlineStr"/>
    </row>
    <row r="4239" ht="15" customHeight="1">
      <c r="A4239" t="inlineStr">
        <is>
          <t>A 63664-2023</t>
        </is>
      </c>
      <c r="B4239" s="1" t="n">
        <v>45275.62074074074</v>
      </c>
      <c r="C4239" s="1" t="n">
        <v>45952</v>
      </c>
      <c r="D4239" t="inlineStr">
        <is>
          <t>VÄSTRA GÖTALANDS LÄN</t>
        </is>
      </c>
      <c r="E4239" t="inlineStr">
        <is>
          <t>TJÖRN</t>
        </is>
      </c>
      <c r="G4239" t="n">
        <v>3.2</v>
      </c>
      <c r="H4239" t="n">
        <v>0</v>
      </c>
      <c r="I4239" t="n">
        <v>0</v>
      </c>
      <c r="J4239" t="n">
        <v>0</v>
      </c>
      <c r="K4239" t="n">
        <v>0</v>
      </c>
      <c r="L4239" t="n">
        <v>0</v>
      </c>
      <c r="M4239" t="n">
        <v>0</v>
      </c>
      <c r="N4239" t="n">
        <v>0</v>
      </c>
      <c r="O4239" t="n">
        <v>0</v>
      </c>
      <c r="P4239" t="n">
        <v>0</v>
      </c>
      <c r="Q4239" t="n">
        <v>0</v>
      </c>
      <c r="R4239" s="2" t="inlineStr"/>
    </row>
    <row r="4240" ht="15" customHeight="1">
      <c r="A4240" t="inlineStr">
        <is>
          <t>A 42778-2023</t>
        </is>
      </c>
      <c r="B4240" s="1" t="n">
        <v>45181.79244212963</v>
      </c>
      <c r="C4240" s="1" t="n">
        <v>45952</v>
      </c>
      <c r="D4240" t="inlineStr">
        <is>
          <t>VÄSTRA GÖTALANDS LÄN</t>
        </is>
      </c>
      <c r="E4240" t="inlineStr">
        <is>
          <t>TIDAHOLM</t>
        </is>
      </c>
      <c r="G4240" t="n">
        <v>1.6</v>
      </c>
      <c r="H4240" t="n">
        <v>0</v>
      </c>
      <c r="I4240" t="n">
        <v>0</v>
      </c>
      <c r="J4240" t="n">
        <v>0</v>
      </c>
      <c r="K4240" t="n">
        <v>0</v>
      </c>
      <c r="L4240" t="n">
        <v>0</v>
      </c>
      <c r="M4240" t="n">
        <v>0</v>
      </c>
      <c r="N4240" t="n">
        <v>0</v>
      </c>
      <c r="O4240" t="n">
        <v>0</v>
      </c>
      <c r="P4240" t="n">
        <v>0</v>
      </c>
      <c r="Q4240" t="n">
        <v>0</v>
      </c>
      <c r="R4240" s="2" t="inlineStr"/>
    </row>
    <row r="4241" ht="15" customHeight="1">
      <c r="A4241" t="inlineStr">
        <is>
          <t>A 42781-2023</t>
        </is>
      </c>
      <c r="B4241" s="1" t="n">
        <v>45181.86436342593</v>
      </c>
      <c r="C4241" s="1" t="n">
        <v>45952</v>
      </c>
      <c r="D4241" t="inlineStr">
        <is>
          <t>VÄSTRA GÖTALANDS LÄN</t>
        </is>
      </c>
      <c r="E4241" t="inlineStr">
        <is>
          <t>DALS-ED</t>
        </is>
      </c>
      <c r="G4241" t="n">
        <v>2.9</v>
      </c>
      <c r="H4241" t="n">
        <v>0</v>
      </c>
      <c r="I4241" t="n">
        <v>0</v>
      </c>
      <c r="J4241" t="n">
        <v>0</v>
      </c>
      <c r="K4241" t="n">
        <v>0</v>
      </c>
      <c r="L4241" t="n">
        <v>0</v>
      </c>
      <c r="M4241" t="n">
        <v>0</v>
      </c>
      <c r="N4241" t="n">
        <v>0</v>
      </c>
      <c r="O4241" t="n">
        <v>0</v>
      </c>
      <c r="P4241" t="n">
        <v>0</v>
      </c>
      <c r="Q4241" t="n">
        <v>0</v>
      </c>
      <c r="R4241" s="2" t="inlineStr"/>
    </row>
    <row r="4242" ht="15" customHeight="1">
      <c r="A4242" t="inlineStr">
        <is>
          <t>A 23634-2023</t>
        </is>
      </c>
      <c r="B4242" s="1" t="n">
        <v>45077.50708333333</v>
      </c>
      <c r="C4242" s="1" t="n">
        <v>45952</v>
      </c>
      <c r="D4242" t="inlineStr">
        <is>
          <t>VÄSTRA GÖTALANDS LÄN</t>
        </is>
      </c>
      <c r="E4242" t="inlineStr">
        <is>
          <t>MARK</t>
        </is>
      </c>
      <c r="G4242" t="n">
        <v>4</v>
      </c>
      <c r="H4242" t="n">
        <v>0</v>
      </c>
      <c r="I4242" t="n">
        <v>0</v>
      </c>
      <c r="J4242" t="n">
        <v>0</v>
      </c>
      <c r="K4242" t="n">
        <v>0</v>
      </c>
      <c r="L4242" t="n">
        <v>0</v>
      </c>
      <c r="M4242" t="n">
        <v>0</v>
      </c>
      <c r="N4242" t="n">
        <v>0</v>
      </c>
      <c r="O4242" t="n">
        <v>0</v>
      </c>
      <c r="P4242" t="n">
        <v>0</v>
      </c>
      <c r="Q4242" t="n">
        <v>0</v>
      </c>
      <c r="R4242" s="2" t="inlineStr"/>
    </row>
    <row r="4243" ht="15" customHeight="1">
      <c r="A4243" t="inlineStr">
        <is>
          <t>A 12660-2023</t>
        </is>
      </c>
      <c r="B4243" s="1" t="n">
        <v>45000</v>
      </c>
      <c r="C4243" s="1" t="n">
        <v>45952</v>
      </c>
      <c r="D4243" t="inlineStr">
        <is>
          <t>VÄSTRA GÖTALANDS LÄN</t>
        </is>
      </c>
      <c r="E4243" t="inlineStr">
        <is>
          <t>GÖTENE</t>
        </is>
      </c>
      <c r="G4243" t="n">
        <v>0.5</v>
      </c>
      <c r="H4243" t="n">
        <v>0</v>
      </c>
      <c r="I4243" t="n">
        <v>0</v>
      </c>
      <c r="J4243" t="n">
        <v>0</v>
      </c>
      <c r="K4243" t="n">
        <v>0</v>
      </c>
      <c r="L4243" t="n">
        <v>0</v>
      </c>
      <c r="M4243" t="n">
        <v>0</v>
      </c>
      <c r="N4243" t="n">
        <v>0</v>
      </c>
      <c r="O4243" t="n">
        <v>0</v>
      </c>
      <c r="P4243" t="n">
        <v>0</v>
      </c>
      <c r="Q4243" t="n">
        <v>0</v>
      </c>
      <c r="R4243" s="2" t="inlineStr"/>
    </row>
    <row r="4244" ht="15" customHeight="1">
      <c r="A4244" t="inlineStr">
        <is>
          <t>A 17188-2025</t>
        </is>
      </c>
      <c r="B4244" s="1" t="n">
        <v>45756.39010416667</v>
      </c>
      <c r="C4244" s="1" t="n">
        <v>45952</v>
      </c>
      <c r="D4244" t="inlineStr">
        <is>
          <t>VÄSTRA GÖTALANDS LÄN</t>
        </is>
      </c>
      <c r="E4244" t="inlineStr">
        <is>
          <t>TÖREBODA</t>
        </is>
      </c>
      <c r="F4244" t="inlineStr">
        <is>
          <t>Sveaskog</t>
        </is>
      </c>
      <c r="G4244" t="n">
        <v>3.7</v>
      </c>
      <c r="H4244" t="n">
        <v>0</v>
      </c>
      <c r="I4244" t="n">
        <v>0</v>
      </c>
      <c r="J4244" t="n">
        <v>0</v>
      </c>
      <c r="K4244" t="n">
        <v>0</v>
      </c>
      <c r="L4244" t="n">
        <v>0</v>
      </c>
      <c r="M4244" t="n">
        <v>0</v>
      </c>
      <c r="N4244" t="n">
        <v>0</v>
      </c>
      <c r="O4244" t="n">
        <v>0</v>
      </c>
      <c r="P4244" t="n">
        <v>0</v>
      </c>
      <c r="Q4244" t="n">
        <v>0</v>
      </c>
      <c r="R4244" s="2" t="inlineStr"/>
    </row>
    <row r="4245" ht="15" customHeight="1">
      <c r="A4245" t="inlineStr">
        <is>
          <t>A 17199-2025</t>
        </is>
      </c>
      <c r="B4245" s="1" t="n">
        <v>45756.41421296296</v>
      </c>
      <c r="C4245" s="1" t="n">
        <v>45952</v>
      </c>
      <c r="D4245" t="inlineStr">
        <is>
          <t>VÄSTRA GÖTALANDS LÄN</t>
        </is>
      </c>
      <c r="E4245" t="inlineStr">
        <is>
          <t>VÅRGÅRDA</t>
        </is>
      </c>
      <c r="G4245" t="n">
        <v>0.7</v>
      </c>
      <c r="H4245" t="n">
        <v>0</v>
      </c>
      <c r="I4245" t="n">
        <v>0</v>
      </c>
      <c r="J4245" t="n">
        <v>0</v>
      </c>
      <c r="K4245" t="n">
        <v>0</v>
      </c>
      <c r="L4245" t="n">
        <v>0</v>
      </c>
      <c r="M4245" t="n">
        <v>0</v>
      </c>
      <c r="N4245" t="n">
        <v>0</v>
      </c>
      <c r="O4245" t="n">
        <v>0</v>
      </c>
      <c r="P4245" t="n">
        <v>0</v>
      </c>
      <c r="Q4245" t="n">
        <v>0</v>
      </c>
      <c r="R4245" s="2" t="inlineStr"/>
    </row>
    <row r="4246" ht="15" customHeight="1">
      <c r="A4246" t="inlineStr">
        <is>
          <t>A 31122-2023</t>
        </is>
      </c>
      <c r="B4246" s="1" t="n">
        <v>45113</v>
      </c>
      <c r="C4246" s="1" t="n">
        <v>45952</v>
      </c>
      <c r="D4246" t="inlineStr">
        <is>
          <t>VÄSTRA GÖTALANDS LÄN</t>
        </is>
      </c>
      <c r="E4246" t="inlineStr">
        <is>
          <t>MELLERUD</t>
        </is>
      </c>
      <c r="G4246" t="n">
        <v>0.8</v>
      </c>
      <c r="H4246" t="n">
        <v>0</v>
      </c>
      <c r="I4246" t="n">
        <v>0</v>
      </c>
      <c r="J4246" t="n">
        <v>0</v>
      </c>
      <c r="K4246" t="n">
        <v>0</v>
      </c>
      <c r="L4246" t="n">
        <v>0</v>
      </c>
      <c r="M4246" t="n">
        <v>0</v>
      </c>
      <c r="N4246" t="n">
        <v>0</v>
      </c>
      <c r="O4246" t="n">
        <v>0</v>
      </c>
      <c r="P4246" t="n">
        <v>0</v>
      </c>
      <c r="Q4246" t="n">
        <v>0</v>
      </c>
      <c r="R4246" s="2" t="inlineStr"/>
    </row>
    <row r="4247" ht="15" customHeight="1">
      <c r="A4247" t="inlineStr">
        <is>
          <t>A 52408-2024</t>
        </is>
      </c>
      <c r="B4247" s="1" t="n">
        <v>45609.45116898148</v>
      </c>
      <c r="C4247" s="1" t="n">
        <v>45952</v>
      </c>
      <c r="D4247" t="inlineStr">
        <is>
          <t>VÄSTRA GÖTALANDS LÄN</t>
        </is>
      </c>
      <c r="E4247" t="inlineStr">
        <is>
          <t>SVENLJUNGA</t>
        </is>
      </c>
      <c r="G4247" t="n">
        <v>0.9</v>
      </c>
      <c r="H4247" t="n">
        <v>0</v>
      </c>
      <c r="I4247" t="n">
        <v>0</v>
      </c>
      <c r="J4247" t="n">
        <v>0</v>
      </c>
      <c r="K4247" t="n">
        <v>0</v>
      </c>
      <c r="L4247" t="n">
        <v>0</v>
      </c>
      <c r="M4247" t="n">
        <v>0</v>
      </c>
      <c r="N4247" t="n">
        <v>0</v>
      </c>
      <c r="O4247" t="n">
        <v>0</v>
      </c>
      <c r="P4247" t="n">
        <v>0</v>
      </c>
      <c r="Q4247" t="n">
        <v>0</v>
      </c>
      <c r="R4247" s="2" t="inlineStr"/>
    </row>
    <row r="4248" ht="15" customHeight="1">
      <c r="A4248" t="inlineStr">
        <is>
          <t>A 45486-2024</t>
        </is>
      </c>
      <c r="B4248" s="1" t="n">
        <v>45577.37951388889</v>
      </c>
      <c r="C4248" s="1" t="n">
        <v>45952</v>
      </c>
      <c r="D4248" t="inlineStr">
        <is>
          <t>VÄSTRA GÖTALANDS LÄN</t>
        </is>
      </c>
      <c r="E4248" t="inlineStr">
        <is>
          <t>BORÅS</t>
        </is>
      </c>
      <c r="G4248" t="n">
        <v>0.6</v>
      </c>
      <c r="H4248" t="n">
        <v>0</v>
      </c>
      <c r="I4248" t="n">
        <v>0</v>
      </c>
      <c r="J4248" t="n">
        <v>0</v>
      </c>
      <c r="K4248" t="n">
        <v>0</v>
      </c>
      <c r="L4248" t="n">
        <v>0</v>
      </c>
      <c r="M4248" t="n">
        <v>0</v>
      </c>
      <c r="N4248" t="n">
        <v>0</v>
      </c>
      <c r="O4248" t="n">
        <v>0</v>
      </c>
      <c r="P4248" t="n">
        <v>0</v>
      </c>
      <c r="Q4248" t="n">
        <v>0</v>
      </c>
      <c r="R4248" s="2" t="inlineStr"/>
    </row>
    <row r="4249" ht="15" customHeight="1">
      <c r="A4249" t="inlineStr">
        <is>
          <t>A 48837-2023</t>
        </is>
      </c>
      <c r="B4249" s="1" t="n">
        <v>45203</v>
      </c>
      <c r="C4249" s="1" t="n">
        <v>45952</v>
      </c>
      <c r="D4249" t="inlineStr">
        <is>
          <t>VÄSTRA GÖTALANDS LÄN</t>
        </is>
      </c>
      <c r="E4249" t="inlineStr">
        <is>
          <t>BENGTSFORS</t>
        </is>
      </c>
      <c r="F4249" t="inlineStr">
        <is>
          <t>Kyrkan</t>
        </is>
      </c>
      <c r="G4249" t="n">
        <v>6.8</v>
      </c>
      <c r="H4249" t="n">
        <v>0</v>
      </c>
      <c r="I4249" t="n">
        <v>0</v>
      </c>
      <c r="J4249" t="n">
        <v>0</v>
      </c>
      <c r="K4249" t="n">
        <v>0</v>
      </c>
      <c r="L4249" t="n">
        <v>0</v>
      </c>
      <c r="M4249" t="n">
        <v>0</v>
      </c>
      <c r="N4249" t="n">
        <v>0</v>
      </c>
      <c r="O4249" t="n">
        <v>0</v>
      </c>
      <c r="P4249" t="n">
        <v>0</v>
      </c>
      <c r="Q4249" t="n">
        <v>0</v>
      </c>
      <c r="R4249" s="2" t="inlineStr"/>
    </row>
    <row r="4250" ht="15" customHeight="1">
      <c r="A4250" t="inlineStr">
        <is>
          <t>A 14267-2024</t>
        </is>
      </c>
      <c r="B4250" s="1" t="n">
        <v>45393.57178240741</v>
      </c>
      <c r="C4250" s="1" t="n">
        <v>45952</v>
      </c>
      <c r="D4250" t="inlineStr">
        <is>
          <t>VÄSTRA GÖTALANDS LÄN</t>
        </is>
      </c>
      <c r="E4250" t="inlineStr">
        <is>
          <t>GULLSPÅNG</t>
        </is>
      </c>
      <c r="F4250" t="inlineStr">
        <is>
          <t>Kommuner</t>
        </is>
      </c>
      <c r="G4250" t="n">
        <v>1.4</v>
      </c>
      <c r="H4250" t="n">
        <v>0</v>
      </c>
      <c r="I4250" t="n">
        <v>0</v>
      </c>
      <c r="J4250" t="n">
        <v>0</v>
      </c>
      <c r="K4250" t="n">
        <v>0</v>
      </c>
      <c r="L4250" t="n">
        <v>0</v>
      </c>
      <c r="M4250" t="n">
        <v>0</v>
      </c>
      <c r="N4250" t="n">
        <v>0</v>
      </c>
      <c r="O4250" t="n">
        <v>0</v>
      </c>
      <c r="P4250" t="n">
        <v>0</v>
      </c>
      <c r="Q4250" t="n">
        <v>0</v>
      </c>
      <c r="R4250" s="2" t="inlineStr"/>
    </row>
    <row r="4251" ht="15" customHeight="1">
      <c r="A4251" t="inlineStr">
        <is>
          <t>A 4115-2023</t>
        </is>
      </c>
      <c r="B4251" s="1" t="n">
        <v>44952</v>
      </c>
      <c r="C4251" s="1" t="n">
        <v>45952</v>
      </c>
      <c r="D4251" t="inlineStr">
        <is>
          <t>VÄSTRA GÖTALANDS LÄN</t>
        </is>
      </c>
      <c r="E4251" t="inlineStr">
        <is>
          <t>DALS-ED</t>
        </is>
      </c>
      <c r="G4251" t="n">
        <v>4.2</v>
      </c>
      <c r="H4251" t="n">
        <v>0</v>
      </c>
      <c r="I4251" t="n">
        <v>0</v>
      </c>
      <c r="J4251" t="n">
        <v>0</v>
      </c>
      <c r="K4251" t="n">
        <v>0</v>
      </c>
      <c r="L4251" t="n">
        <v>0</v>
      </c>
      <c r="M4251" t="n">
        <v>0</v>
      </c>
      <c r="N4251" t="n">
        <v>0</v>
      </c>
      <c r="O4251" t="n">
        <v>0</v>
      </c>
      <c r="P4251" t="n">
        <v>0</v>
      </c>
      <c r="Q4251" t="n">
        <v>0</v>
      </c>
      <c r="R4251" s="2" t="inlineStr"/>
    </row>
    <row r="4252" ht="15" customHeight="1">
      <c r="A4252" t="inlineStr">
        <is>
          <t>A 28995-2022</t>
        </is>
      </c>
      <c r="B4252" s="1" t="n">
        <v>44749</v>
      </c>
      <c r="C4252" s="1" t="n">
        <v>45952</v>
      </c>
      <c r="D4252" t="inlineStr">
        <is>
          <t>VÄSTRA GÖTALANDS LÄN</t>
        </is>
      </c>
      <c r="E4252" t="inlineStr">
        <is>
          <t>MUNKEDAL</t>
        </is>
      </c>
      <c r="G4252" t="n">
        <v>0.9</v>
      </c>
      <c r="H4252" t="n">
        <v>0</v>
      </c>
      <c r="I4252" t="n">
        <v>0</v>
      </c>
      <c r="J4252" t="n">
        <v>0</v>
      </c>
      <c r="K4252" t="n">
        <v>0</v>
      </c>
      <c r="L4252" t="n">
        <v>0</v>
      </c>
      <c r="M4252" t="n">
        <v>0</v>
      </c>
      <c r="N4252" t="n">
        <v>0</v>
      </c>
      <c r="O4252" t="n">
        <v>0</v>
      </c>
      <c r="P4252" t="n">
        <v>0</v>
      </c>
      <c r="Q4252" t="n">
        <v>0</v>
      </c>
      <c r="R4252" s="2" t="inlineStr"/>
    </row>
    <row r="4253" ht="15" customHeight="1">
      <c r="A4253" t="inlineStr">
        <is>
          <t>A 23343-2024</t>
        </is>
      </c>
      <c r="B4253" s="1" t="n">
        <v>45453.50917824074</v>
      </c>
      <c r="C4253" s="1" t="n">
        <v>45952</v>
      </c>
      <c r="D4253" t="inlineStr">
        <is>
          <t>VÄSTRA GÖTALANDS LÄN</t>
        </is>
      </c>
      <c r="E4253" t="inlineStr">
        <is>
          <t>SVENLJUNGA</t>
        </is>
      </c>
      <c r="G4253" t="n">
        <v>2.1</v>
      </c>
      <c r="H4253" t="n">
        <v>0</v>
      </c>
      <c r="I4253" t="n">
        <v>0</v>
      </c>
      <c r="J4253" t="n">
        <v>0</v>
      </c>
      <c r="K4253" t="n">
        <v>0</v>
      </c>
      <c r="L4253" t="n">
        <v>0</v>
      </c>
      <c r="M4253" t="n">
        <v>0</v>
      </c>
      <c r="N4253" t="n">
        <v>0</v>
      </c>
      <c r="O4253" t="n">
        <v>0</v>
      </c>
      <c r="P4253" t="n">
        <v>0</v>
      </c>
      <c r="Q4253" t="n">
        <v>0</v>
      </c>
      <c r="R4253" s="2" t="inlineStr"/>
    </row>
    <row r="4254" ht="15" customHeight="1">
      <c r="A4254" t="inlineStr">
        <is>
          <t>A 55712-2022</t>
        </is>
      </c>
      <c r="B4254" s="1" t="n">
        <v>44885</v>
      </c>
      <c r="C4254" s="1" t="n">
        <v>45952</v>
      </c>
      <c r="D4254" t="inlineStr">
        <is>
          <t>VÄSTRA GÖTALANDS LÄN</t>
        </is>
      </c>
      <c r="E4254" t="inlineStr">
        <is>
          <t>STRÖMSTAD</t>
        </is>
      </c>
      <c r="G4254" t="n">
        <v>2.4</v>
      </c>
      <c r="H4254" t="n">
        <v>0</v>
      </c>
      <c r="I4254" t="n">
        <v>0</v>
      </c>
      <c r="J4254" t="n">
        <v>0</v>
      </c>
      <c r="K4254" t="n">
        <v>0</v>
      </c>
      <c r="L4254" t="n">
        <v>0</v>
      </c>
      <c r="M4254" t="n">
        <v>0</v>
      </c>
      <c r="N4254" t="n">
        <v>0</v>
      </c>
      <c r="O4254" t="n">
        <v>0</v>
      </c>
      <c r="P4254" t="n">
        <v>0</v>
      </c>
      <c r="Q4254" t="n">
        <v>0</v>
      </c>
      <c r="R4254" s="2" t="inlineStr"/>
    </row>
    <row r="4255" ht="15" customHeight="1">
      <c r="A4255" t="inlineStr">
        <is>
          <t>A 42003-2024</t>
        </is>
      </c>
      <c r="B4255" s="1" t="n">
        <v>45561.6612037037</v>
      </c>
      <c r="C4255" s="1" t="n">
        <v>45952</v>
      </c>
      <c r="D4255" t="inlineStr">
        <is>
          <t>VÄSTRA GÖTALANDS LÄN</t>
        </is>
      </c>
      <c r="E4255" t="inlineStr">
        <is>
          <t>MARK</t>
        </is>
      </c>
      <c r="G4255" t="n">
        <v>3.1</v>
      </c>
      <c r="H4255" t="n">
        <v>0</v>
      </c>
      <c r="I4255" t="n">
        <v>0</v>
      </c>
      <c r="J4255" t="n">
        <v>0</v>
      </c>
      <c r="K4255" t="n">
        <v>0</v>
      </c>
      <c r="L4255" t="n">
        <v>0</v>
      </c>
      <c r="M4255" t="n">
        <v>0</v>
      </c>
      <c r="N4255" t="n">
        <v>0</v>
      </c>
      <c r="O4255" t="n">
        <v>0</v>
      </c>
      <c r="P4255" t="n">
        <v>0</v>
      </c>
      <c r="Q4255" t="n">
        <v>0</v>
      </c>
      <c r="R4255" s="2" t="inlineStr"/>
    </row>
    <row r="4256" ht="15" customHeight="1">
      <c r="A4256" t="inlineStr">
        <is>
          <t>A 8474-2023</t>
        </is>
      </c>
      <c r="B4256" s="1" t="n">
        <v>44977.50395833333</v>
      </c>
      <c r="C4256" s="1" t="n">
        <v>45952</v>
      </c>
      <c r="D4256" t="inlineStr">
        <is>
          <t>VÄSTRA GÖTALANDS LÄN</t>
        </is>
      </c>
      <c r="E4256" t="inlineStr">
        <is>
          <t>LYSEKIL</t>
        </is>
      </c>
      <c r="G4256" t="n">
        <v>0.3</v>
      </c>
      <c r="H4256" t="n">
        <v>0</v>
      </c>
      <c r="I4256" t="n">
        <v>0</v>
      </c>
      <c r="J4256" t="n">
        <v>0</v>
      </c>
      <c r="K4256" t="n">
        <v>0</v>
      </c>
      <c r="L4256" t="n">
        <v>0</v>
      </c>
      <c r="M4256" t="n">
        <v>0</v>
      </c>
      <c r="N4256" t="n">
        <v>0</v>
      </c>
      <c r="O4256" t="n">
        <v>0</v>
      </c>
      <c r="P4256" t="n">
        <v>0</v>
      </c>
      <c r="Q4256" t="n">
        <v>0</v>
      </c>
      <c r="R4256" s="2" t="inlineStr"/>
    </row>
    <row r="4257" ht="15" customHeight="1">
      <c r="A4257" t="inlineStr">
        <is>
          <t>A 16435-2025</t>
        </is>
      </c>
      <c r="B4257" s="1" t="n">
        <v>45751.48401620371</v>
      </c>
      <c r="C4257" s="1" t="n">
        <v>45952</v>
      </c>
      <c r="D4257" t="inlineStr">
        <is>
          <t>VÄSTRA GÖTALANDS LÄN</t>
        </is>
      </c>
      <c r="E4257" t="inlineStr">
        <is>
          <t>HÄRRYDA</t>
        </is>
      </c>
      <c r="G4257" t="n">
        <v>1.5</v>
      </c>
      <c r="H4257" t="n">
        <v>0</v>
      </c>
      <c r="I4257" t="n">
        <v>0</v>
      </c>
      <c r="J4257" t="n">
        <v>0</v>
      </c>
      <c r="K4257" t="n">
        <v>0</v>
      </c>
      <c r="L4257" t="n">
        <v>0</v>
      </c>
      <c r="M4257" t="n">
        <v>0</v>
      </c>
      <c r="N4257" t="n">
        <v>0</v>
      </c>
      <c r="O4257" t="n">
        <v>0</v>
      </c>
      <c r="P4257" t="n">
        <v>0</v>
      </c>
      <c r="Q4257" t="n">
        <v>0</v>
      </c>
      <c r="R4257" s="2" t="inlineStr"/>
    </row>
    <row r="4258" ht="15" customHeight="1">
      <c r="A4258" t="inlineStr">
        <is>
          <t>A 22055-2023</t>
        </is>
      </c>
      <c r="B4258" s="1" t="n">
        <v>45069.41737268519</v>
      </c>
      <c r="C4258" s="1" t="n">
        <v>45952</v>
      </c>
      <c r="D4258" t="inlineStr">
        <is>
          <t>VÄSTRA GÖTALANDS LÄN</t>
        </is>
      </c>
      <c r="E4258" t="inlineStr">
        <is>
          <t>GÖTENE</t>
        </is>
      </c>
      <c r="G4258" t="n">
        <v>0.7</v>
      </c>
      <c r="H4258" t="n">
        <v>0</v>
      </c>
      <c r="I4258" t="n">
        <v>0</v>
      </c>
      <c r="J4258" t="n">
        <v>0</v>
      </c>
      <c r="K4258" t="n">
        <v>0</v>
      </c>
      <c r="L4258" t="n">
        <v>0</v>
      </c>
      <c r="M4258" t="n">
        <v>0</v>
      </c>
      <c r="N4258" t="n">
        <v>0</v>
      </c>
      <c r="O4258" t="n">
        <v>0</v>
      </c>
      <c r="P4258" t="n">
        <v>0</v>
      </c>
      <c r="Q4258" t="n">
        <v>0</v>
      </c>
      <c r="R4258" s="2" t="inlineStr"/>
    </row>
    <row r="4259" ht="15" customHeight="1">
      <c r="A4259" t="inlineStr">
        <is>
          <t>A 8535-2023</t>
        </is>
      </c>
      <c r="B4259" s="1" t="n">
        <v>44977</v>
      </c>
      <c r="C4259" s="1" t="n">
        <v>45952</v>
      </c>
      <c r="D4259" t="inlineStr">
        <is>
          <t>VÄSTRA GÖTALANDS LÄN</t>
        </is>
      </c>
      <c r="E4259" t="inlineStr">
        <is>
          <t>ÅMÅL</t>
        </is>
      </c>
      <c r="G4259" t="n">
        <v>2.7</v>
      </c>
      <c r="H4259" t="n">
        <v>0</v>
      </c>
      <c r="I4259" t="n">
        <v>0</v>
      </c>
      <c r="J4259" t="n">
        <v>0</v>
      </c>
      <c r="K4259" t="n">
        <v>0</v>
      </c>
      <c r="L4259" t="n">
        <v>0</v>
      </c>
      <c r="M4259" t="n">
        <v>0</v>
      </c>
      <c r="N4259" t="n">
        <v>0</v>
      </c>
      <c r="O4259" t="n">
        <v>0</v>
      </c>
      <c r="P4259" t="n">
        <v>0</v>
      </c>
      <c r="Q4259" t="n">
        <v>0</v>
      </c>
      <c r="R4259" s="2" t="inlineStr"/>
    </row>
    <row r="4260" ht="15" customHeight="1">
      <c r="A4260" t="inlineStr">
        <is>
          <t>A 46972-2025</t>
        </is>
      </c>
      <c r="B4260" s="1" t="n">
        <v>45929.50880787037</v>
      </c>
      <c r="C4260" s="1" t="n">
        <v>45952</v>
      </c>
      <c r="D4260" t="inlineStr">
        <is>
          <t>VÄSTRA GÖTALANDS LÄN</t>
        </is>
      </c>
      <c r="E4260" t="inlineStr">
        <is>
          <t>TÖREBODA</t>
        </is>
      </c>
      <c r="G4260" t="n">
        <v>1.3</v>
      </c>
      <c r="H4260" t="n">
        <v>0</v>
      </c>
      <c r="I4260" t="n">
        <v>0</v>
      </c>
      <c r="J4260" t="n">
        <v>0</v>
      </c>
      <c r="K4260" t="n">
        <v>0</v>
      </c>
      <c r="L4260" t="n">
        <v>0</v>
      </c>
      <c r="M4260" t="n">
        <v>0</v>
      </c>
      <c r="N4260" t="n">
        <v>0</v>
      </c>
      <c r="O4260" t="n">
        <v>0</v>
      </c>
      <c r="P4260" t="n">
        <v>0</v>
      </c>
      <c r="Q4260" t="n">
        <v>0</v>
      </c>
      <c r="R4260" s="2" t="inlineStr"/>
    </row>
    <row r="4261" ht="15" customHeight="1">
      <c r="A4261" t="inlineStr">
        <is>
          <t>A 46986-2025</t>
        </is>
      </c>
      <c r="B4261" s="1" t="n">
        <v>45929.5359375</v>
      </c>
      <c r="C4261" s="1" t="n">
        <v>45952</v>
      </c>
      <c r="D4261" t="inlineStr">
        <is>
          <t>VÄSTRA GÖTALANDS LÄN</t>
        </is>
      </c>
      <c r="E4261" t="inlineStr">
        <is>
          <t>VÄNERSBORG</t>
        </is>
      </c>
      <c r="G4261" t="n">
        <v>2.7</v>
      </c>
      <c r="H4261" t="n">
        <v>0</v>
      </c>
      <c r="I4261" t="n">
        <v>0</v>
      </c>
      <c r="J4261" t="n">
        <v>0</v>
      </c>
      <c r="K4261" t="n">
        <v>0</v>
      </c>
      <c r="L4261" t="n">
        <v>0</v>
      </c>
      <c r="M4261" t="n">
        <v>0</v>
      </c>
      <c r="N4261" t="n">
        <v>0</v>
      </c>
      <c r="O4261" t="n">
        <v>0</v>
      </c>
      <c r="P4261" t="n">
        <v>0</v>
      </c>
      <c r="Q4261" t="n">
        <v>0</v>
      </c>
      <c r="R4261" s="2" t="inlineStr"/>
    </row>
    <row r="4262" ht="15" customHeight="1">
      <c r="A4262" t="inlineStr">
        <is>
          <t>A 31078-2021</t>
        </is>
      </c>
      <c r="B4262" s="1" t="n">
        <v>44368</v>
      </c>
      <c r="C4262" s="1" t="n">
        <v>45952</v>
      </c>
      <c r="D4262" t="inlineStr">
        <is>
          <t>VÄSTRA GÖTALANDS LÄN</t>
        </is>
      </c>
      <c r="E4262" t="inlineStr">
        <is>
          <t>DALS-ED</t>
        </is>
      </c>
      <c r="G4262" t="n">
        <v>5.2</v>
      </c>
      <c r="H4262" t="n">
        <v>0</v>
      </c>
      <c r="I4262" t="n">
        <v>0</v>
      </c>
      <c r="J4262" t="n">
        <v>0</v>
      </c>
      <c r="K4262" t="n">
        <v>0</v>
      </c>
      <c r="L4262" t="n">
        <v>0</v>
      </c>
      <c r="M4262" t="n">
        <v>0</v>
      </c>
      <c r="N4262" t="n">
        <v>0</v>
      </c>
      <c r="O4262" t="n">
        <v>0</v>
      </c>
      <c r="P4262" t="n">
        <v>0</v>
      </c>
      <c r="Q4262" t="n">
        <v>0</v>
      </c>
      <c r="R4262" s="2" t="inlineStr"/>
    </row>
    <row r="4263" ht="15" customHeight="1">
      <c r="A4263" t="inlineStr">
        <is>
          <t>A 24594-2022</t>
        </is>
      </c>
      <c r="B4263" s="1" t="n">
        <v>44727.4684837963</v>
      </c>
      <c r="C4263" s="1" t="n">
        <v>45952</v>
      </c>
      <c r="D4263" t="inlineStr">
        <is>
          <t>VÄSTRA GÖTALANDS LÄN</t>
        </is>
      </c>
      <c r="E4263" t="inlineStr">
        <is>
          <t>KARLSBORG</t>
        </is>
      </c>
      <c r="G4263" t="n">
        <v>1.4</v>
      </c>
      <c r="H4263" t="n">
        <v>0</v>
      </c>
      <c r="I4263" t="n">
        <v>0</v>
      </c>
      <c r="J4263" t="n">
        <v>0</v>
      </c>
      <c r="K4263" t="n">
        <v>0</v>
      </c>
      <c r="L4263" t="n">
        <v>0</v>
      </c>
      <c r="M4263" t="n">
        <v>0</v>
      </c>
      <c r="N4263" t="n">
        <v>0</v>
      </c>
      <c r="O4263" t="n">
        <v>0</v>
      </c>
      <c r="P4263" t="n">
        <v>0</v>
      </c>
      <c r="Q4263" t="n">
        <v>0</v>
      </c>
      <c r="R4263" s="2" t="inlineStr"/>
    </row>
    <row r="4264" ht="15" customHeight="1">
      <c r="A4264" t="inlineStr">
        <is>
          <t>A 855-2023</t>
        </is>
      </c>
      <c r="B4264" s="1" t="n">
        <v>44931.60407407407</v>
      </c>
      <c r="C4264" s="1" t="n">
        <v>45952</v>
      </c>
      <c r="D4264" t="inlineStr">
        <is>
          <t>VÄSTRA GÖTALANDS LÄN</t>
        </is>
      </c>
      <c r="E4264" t="inlineStr">
        <is>
          <t>TROLLHÄTTAN</t>
        </is>
      </c>
      <c r="G4264" t="n">
        <v>3.1</v>
      </c>
      <c r="H4264" t="n">
        <v>0</v>
      </c>
      <c r="I4264" t="n">
        <v>0</v>
      </c>
      <c r="J4264" t="n">
        <v>0</v>
      </c>
      <c r="K4264" t="n">
        <v>0</v>
      </c>
      <c r="L4264" t="n">
        <v>0</v>
      </c>
      <c r="M4264" t="n">
        <v>0</v>
      </c>
      <c r="N4264" t="n">
        <v>0</v>
      </c>
      <c r="O4264" t="n">
        <v>0</v>
      </c>
      <c r="P4264" t="n">
        <v>0</v>
      </c>
      <c r="Q4264" t="n">
        <v>0</v>
      </c>
      <c r="R4264" s="2" t="inlineStr"/>
    </row>
    <row r="4265" ht="15" customHeight="1">
      <c r="A4265" t="inlineStr">
        <is>
          <t>A 36305-2024</t>
        </is>
      </c>
      <c r="B4265" s="1" t="n">
        <v>45534.61297453703</v>
      </c>
      <c r="C4265" s="1" t="n">
        <v>45952</v>
      </c>
      <c r="D4265" t="inlineStr">
        <is>
          <t>VÄSTRA GÖTALANDS LÄN</t>
        </is>
      </c>
      <c r="E4265" t="inlineStr">
        <is>
          <t>MARK</t>
        </is>
      </c>
      <c r="G4265" t="n">
        <v>0.9</v>
      </c>
      <c r="H4265" t="n">
        <v>0</v>
      </c>
      <c r="I4265" t="n">
        <v>0</v>
      </c>
      <c r="J4265" t="n">
        <v>0</v>
      </c>
      <c r="K4265" t="n">
        <v>0</v>
      </c>
      <c r="L4265" t="n">
        <v>0</v>
      </c>
      <c r="M4265" t="n">
        <v>0</v>
      </c>
      <c r="N4265" t="n">
        <v>0</v>
      </c>
      <c r="O4265" t="n">
        <v>0</v>
      </c>
      <c r="P4265" t="n">
        <v>0</v>
      </c>
      <c r="Q4265" t="n">
        <v>0</v>
      </c>
      <c r="R4265" s="2" t="inlineStr"/>
    </row>
    <row r="4266" ht="15" customHeight="1">
      <c r="A4266" t="inlineStr">
        <is>
          <t>A 49426-2024</t>
        </is>
      </c>
      <c r="B4266" s="1" t="n">
        <v>45595.79767361111</v>
      </c>
      <c r="C4266" s="1" t="n">
        <v>45952</v>
      </c>
      <c r="D4266" t="inlineStr">
        <is>
          <t>VÄSTRA GÖTALANDS LÄN</t>
        </is>
      </c>
      <c r="E4266" t="inlineStr">
        <is>
          <t>HERRLJUNGA</t>
        </is>
      </c>
      <c r="G4266" t="n">
        <v>0.9</v>
      </c>
      <c r="H4266" t="n">
        <v>0</v>
      </c>
      <c r="I4266" t="n">
        <v>0</v>
      </c>
      <c r="J4266" t="n">
        <v>0</v>
      </c>
      <c r="K4266" t="n">
        <v>0</v>
      </c>
      <c r="L4266" t="n">
        <v>0</v>
      </c>
      <c r="M4266" t="n">
        <v>0</v>
      </c>
      <c r="N4266" t="n">
        <v>0</v>
      </c>
      <c r="O4266" t="n">
        <v>0</v>
      </c>
      <c r="P4266" t="n">
        <v>0</v>
      </c>
      <c r="Q4266" t="n">
        <v>0</v>
      </c>
      <c r="R4266" s="2" t="inlineStr"/>
    </row>
    <row r="4267" ht="15" customHeight="1">
      <c r="A4267" t="inlineStr">
        <is>
          <t>A 3619-2023</t>
        </is>
      </c>
      <c r="B4267" s="1" t="n">
        <v>44950.63637731481</v>
      </c>
      <c r="C4267" s="1" t="n">
        <v>45952</v>
      </c>
      <c r="D4267" t="inlineStr">
        <is>
          <t>VÄSTRA GÖTALANDS LÄN</t>
        </is>
      </c>
      <c r="E4267" t="inlineStr">
        <is>
          <t>VÅRGÅRDA</t>
        </is>
      </c>
      <c r="G4267" t="n">
        <v>2.1</v>
      </c>
      <c r="H4267" t="n">
        <v>0</v>
      </c>
      <c r="I4267" t="n">
        <v>0</v>
      </c>
      <c r="J4267" t="n">
        <v>0</v>
      </c>
      <c r="K4267" t="n">
        <v>0</v>
      </c>
      <c r="L4267" t="n">
        <v>0</v>
      </c>
      <c r="M4267" t="n">
        <v>0</v>
      </c>
      <c r="N4267" t="n">
        <v>0</v>
      </c>
      <c r="O4267" t="n">
        <v>0</v>
      </c>
      <c r="P4267" t="n">
        <v>0</v>
      </c>
      <c r="Q4267" t="n">
        <v>0</v>
      </c>
      <c r="R4267" s="2" t="inlineStr"/>
    </row>
    <row r="4268" ht="15" customHeight="1">
      <c r="A4268" t="inlineStr">
        <is>
          <t>A 16205-2023</t>
        </is>
      </c>
      <c r="B4268" s="1" t="n">
        <v>45028.35108796296</v>
      </c>
      <c r="C4268" s="1" t="n">
        <v>45952</v>
      </c>
      <c r="D4268" t="inlineStr">
        <is>
          <t>VÄSTRA GÖTALANDS LÄN</t>
        </is>
      </c>
      <c r="E4268" t="inlineStr">
        <is>
          <t>UDDEVALLA</t>
        </is>
      </c>
      <c r="G4268" t="n">
        <v>1.8</v>
      </c>
      <c r="H4268" t="n">
        <v>0</v>
      </c>
      <c r="I4268" t="n">
        <v>0</v>
      </c>
      <c r="J4268" t="n">
        <v>0</v>
      </c>
      <c r="K4268" t="n">
        <v>0</v>
      </c>
      <c r="L4268" t="n">
        <v>0</v>
      </c>
      <c r="M4268" t="n">
        <v>0</v>
      </c>
      <c r="N4268" t="n">
        <v>0</v>
      </c>
      <c r="O4268" t="n">
        <v>0</v>
      </c>
      <c r="P4268" t="n">
        <v>0</v>
      </c>
      <c r="Q4268" t="n">
        <v>0</v>
      </c>
      <c r="R4268" s="2" t="inlineStr"/>
    </row>
    <row r="4269" ht="15" customHeight="1">
      <c r="A4269" t="inlineStr">
        <is>
          <t>A 32887-2023</t>
        </is>
      </c>
      <c r="B4269" s="1" t="n">
        <v>45112</v>
      </c>
      <c r="C4269" s="1" t="n">
        <v>45952</v>
      </c>
      <c r="D4269" t="inlineStr">
        <is>
          <t>VÄSTRA GÖTALANDS LÄN</t>
        </is>
      </c>
      <c r="E4269" t="inlineStr">
        <is>
          <t>ÅMÅL</t>
        </is>
      </c>
      <c r="G4269" t="n">
        <v>4</v>
      </c>
      <c r="H4269" t="n">
        <v>0</v>
      </c>
      <c r="I4269" t="n">
        <v>0</v>
      </c>
      <c r="J4269" t="n">
        <v>0</v>
      </c>
      <c r="K4269" t="n">
        <v>0</v>
      </c>
      <c r="L4269" t="n">
        <v>0</v>
      </c>
      <c r="M4269" t="n">
        <v>0</v>
      </c>
      <c r="N4269" t="n">
        <v>0</v>
      </c>
      <c r="O4269" t="n">
        <v>0</v>
      </c>
      <c r="P4269" t="n">
        <v>0</v>
      </c>
      <c r="Q4269" t="n">
        <v>0</v>
      </c>
      <c r="R4269" s="2" t="inlineStr"/>
    </row>
    <row r="4270" ht="15" customHeight="1">
      <c r="A4270" t="inlineStr">
        <is>
          <t>A 32889-2023</t>
        </is>
      </c>
      <c r="B4270" s="1" t="n">
        <v>45112</v>
      </c>
      <c r="C4270" s="1" t="n">
        <v>45952</v>
      </c>
      <c r="D4270" t="inlineStr">
        <is>
          <t>VÄSTRA GÖTALANDS LÄN</t>
        </is>
      </c>
      <c r="E4270" t="inlineStr">
        <is>
          <t>ÅMÅL</t>
        </is>
      </c>
      <c r="G4270" t="n">
        <v>1.5</v>
      </c>
      <c r="H4270" t="n">
        <v>0</v>
      </c>
      <c r="I4270" t="n">
        <v>0</v>
      </c>
      <c r="J4270" t="n">
        <v>0</v>
      </c>
      <c r="K4270" t="n">
        <v>0</v>
      </c>
      <c r="L4270" t="n">
        <v>0</v>
      </c>
      <c r="M4270" t="n">
        <v>0</v>
      </c>
      <c r="N4270" t="n">
        <v>0</v>
      </c>
      <c r="O4270" t="n">
        <v>0</v>
      </c>
      <c r="P4270" t="n">
        <v>0</v>
      </c>
      <c r="Q4270" t="n">
        <v>0</v>
      </c>
      <c r="R4270" s="2" t="inlineStr"/>
    </row>
    <row r="4271" ht="15" customHeight="1">
      <c r="A4271" t="inlineStr">
        <is>
          <t>A 47048-2025</t>
        </is>
      </c>
      <c r="B4271" s="1" t="n">
        <v>45929.60807870371</v>
      </c>
      <c r="C4271" s="1" t="n">
        <v>45952</v>
      </c>
      <c r="D4271" t="inlineStr">
        <is>
          <t>VÄSTRA GÖTALANDS LÄN</t>
        </is>
      </c>
      <c r="E4271" t="inlineStr">
        <is>
          <t>FALKÖPING</t>
        </is>
      </c>
      <c r="F4271" t="inlineStr">
        <is>
          <t>Kyrkan</t>
        </is>
      </c>
      <c r="G4271" t="n">
        <v>3</v>
      </c>
      <c r="H4271" t="n">
        <v>0</v>
      </c>
      <c r="I4271" t="n">
        <v>0</v>
      </c>
      <c r="J4271" t="n">
        <v>0</v>
      </c>
      <c r="K4271" t="n">
        <v>0</v>
      </c>
      <c r="L4271" t="n">
        <v>0</v>
      </c>
      <c r="M4271" t="n">
        <v>0</v>
      </c>
      <c r="N4271" t="n">
        <v>0</v>
      </c>
      <c r="O4271" t="n">
        <v>0</v>
      </c>
      <c r="P4271" t="n">
        <v>0</v>
      </c>
      <c r="Q4271" t="n">
        <v>0</v>
      </c>
      <c r="R4271" s="2" t="inlineStr"/>
    </row>
    <row r="4272" ht="15" customHeight="1">
      <c r="A4272" t="inlineStr">
        <is>
          <t>A 51137-2024</t>
        </is>
      </c>
      <c r="B4272" s="1" t="n">
        <v>45603.53729166667</v>
      </c>
      <c r="C4272" s="1" t="n">
        <v>45952</v>
      </c>
      <c r="D4272" t="inlineStr">
        <is>
          <t>VÄSTRA GÖTALANDS LÄN</t>
        </is>
      </c>
      <c r="E4272" t="inlineStr">
        <is>
          <t>ULRICEHAMN</t>
        </is>
      </c>
      <c r="G4272" t="n">
        <v>2.8</v>
      </c>
      <c r="H4272" t="n">
        <v>0</v>
      </c>
      <c r="I4272" t="n">
        <v>0</v>
      </c>
      <c r="J4272" t="n">
        <v>0</v>
      </c>
      <c r="K4272" t="n">
        <v>0</v>
      </c>
      <c r="L4272" t="n">
        <v>0</v>
      </c>
      <c r="M4272" t="n">
        <v>0</v>
      </c>
      <c r="N4272" t="n">
        <v>0</v>
      </c>
      <c r="O4272" t="n">
        <v>0</v>
      </c>
      <c r="P4272" t="n">
        <v>0</v>
      </c>
      <c r="Q4272" t="n">
        <v>0</v>
      </c>
      <c r="R4272" s="2" t="inlineStr"/>
    </row>
    <row r="4273" ht="15" customHeight="1">
      <c r="A4273" t="inlineStr">
        <is>
          <t>A 27577-2021</t>
        </is>
      </c>
      <c r="B4273" s="1" t="n">
        <v>44353.76177083333</v>
      </c>
      <c r="C4273" s="1" t="n">
        <v>45952</v>
      </c>
      <c r="D4273" t="inlineStr">
        <is>
          <t>VÄSTRA GÖTALANDS LÄN</t>
        </is>
      </c>
      <c r="E4273" t="inlineStr">
        <is>
          <t>SKÖVDE</t>
        </is>
      </c>
      <c r="G4273" t="n">
        <v>3.3</v>
      </c>
      <c r="H4273" t="n">
        <v>0</v>
      </c>
      <c r="I4273" t="n">
        <v>0</v>
      </c>
      <c r="J4273" t="n">
        <v>0</v>
      </c>
      <c r="K4273" t="n">
        <v>0</v>
      </c>
      <c r="L4273" t="n">
        <v>0</v>
      </c>
      <c r="M4273" t="n">
        <v>0</v>
      </c>
      <c r="N4273" t="n">
        <v>0</v>
      </c>
      <c r="O4273" t="n">
        <v>0</v>
      </c>
      <c r="P4273" t="n">
        <v>0</v>
      </c>
      <c r="Q4273" t="n">
        <v>0</v>
      </c>
      <c r="R4273" s="2" t="inlineStr"/>
    </row>
    <row r="4274" ht="15" customHeight="1">
      <c r="A4274" t="inlineStr">
        <is>
          <t>A 42054-2023</t>
        </is>
      </c>
      <c r="B4274" s="1" t="n">
        <v>45177</v>
      </c>
      <c r="C4274" s="1" t="n">
        <v>45952</v>
      </c>
      <c r="D4274" t="inlineStr">
        <is>
          <t>VÄSTRA GÖTALANDS LÄN</t>
        </is>
      </c>
      <c r="E4274" t="inlineStr">
        <is>
          <t>ALINGSÅS</t>
        </is>
      </c>
      <c r="G4274" t="n">
        <v>1.8</v>
      </c>
      <c r="H4274" t="n">
        <v>0</v>
      </c>
      <c r="I4274" t="n">
        <v>0</v>
      </c>
      <c r="J4274" t="n">
        <v>0</v>
      </c>
      <c r="K4274" t="n">
        <v>0</v>
      </c>
      <c r="L4274" t="n">
        <v>0</v>
      </c>
      <c r="M4274" t="n">
        <v>0</v>
      </c>
      <c r="N4274" t="n">
        <v>0</v>
      </c>
      <c r="O4274" t="n">
        <v>0</v>
      </c>
      <c r="P4274" t="n">
        <v>0</v>
      </c>
      <c r="Q4274" t="n">
        <v>0</v>
      </c>
      <c r="R4274" s="2" t="inlineStr"/>
    </row>
    <row r="4275" ht="15" customHeight="1">
      <c r="A4275" t="inlineStr">
        <is>
          <t>A 19922-2025</t>
        </is>
      </c>
      <c r="B4275" s="1" t="n">
        <v>45771.63034722222</v>
      </c>
      <c r="C4275" s="1" t="n">
        <v>45952</v>
      </c>
      <c r="D4275" t="inlineStr">
        <is>
          <t>VÄSTRA GÖTALANDS LÄN</t>
        </is>
      </c>
      <c r="E4275" t="inlineStr">
        <is>
          <t>GÖTEBORG</t>
        </is>
      </c>
      <c r="G4275" t="n">
        <v>10.1</v>
      </c>
      <c r="H4275" t="n">
        <v>0</v>
      </c>
      <c r="I4275" t="n">
        <v>0</v>
      </c>
      <c r="J4275" t="n">
        <v>0</v>
      </c>
      <c r="K4275" t="n">
        <v>0</v>
      </c>
      <c r="L4275" t="n">
        <v>0</v>
      </c>
      <c r="M4275" t="n">
        <v>0</v>
      </c>
      <c r="N4275" t="n">
        <v>0</v>
      </c>
      <c r="O4275" t="n">
        <v>0</v>
      </c>
      <c r="P4275" t="n">
        <v>0</v>
      </c>
      <c r="Q4275" t="n">
        <v>0</v>
      </c>
      <c r="R4275" s="2" t="inlineStr"/>
    </row>
    <row r="4276" ht="15" customHeight="1">
      <c r="A4276" t="inlineStr">
        <is>
          <t>A 19980-2025</t>
        </is>
      </c>
      <c r="B4276" s="1" t="n">
        <v>45771.71185185185</v>
      </c>
      <c r="C4276" s="1" t="n">
        <v>45952</v>
      </c>
      <c r="D4276" t="inlineStr">
        <is>
          <t>VÄSTRA GÖTALANDS LÄN</t>
        </is>
      </c>
      <c r="E4276" t="inlineStr">
        <is>
          <t>UDDEVALLA</t>
        </is>
      </c>
      <c r="G4276" t="n">
        <v>5.4</v>
      </c>
      <c r="H4276" t="n">
        <v>0</v>
      </c>
      <c r="I4276" t="n">
        <v>0</v>
      </c>
      <c r="J4276" t="n">
        <v>0</v>
      </c>
      <c r="K4276" t="n">
        <v>0</v>
      </c>
      <c r="L4276" t="n">
        <v>0</v>
      </c>
      <c r="M4276" t="n">
        <v>0</v>
      </c>
      <c r="N4276" t="n">
        <v>0</v>
      </c>
      <c r="O4276" t="n">
        <v>0</v>
      </c>
      <c r="P4276" t="n">
        <v>0</v>
      </c>
      <c r="Q4276" t="n">
        <v>0</v>
      </c>
      <c r="R4276" s="2" t="inlineStr"/>
    </row>
    <row r="4277" ht="15" customHeight="1">
      <c r="A4277" t="inlineStr">
        <is>
          <t>A 41562-2022</t>
        </is>
      </c>
      <c r="B4277" s="1" t="n">
        <v>44827</v>
      </c>
      <c r="C4277" s="1" t="n">
        <v>45952</v>
      </c>
      <c r="D4277" t="inlineStr">
        <is>
          <t>VÄSTRA GÖTALANDS LÄN</t>
        </is>
      </c>
      <c r="E4277" t="inlineStr">
        <is>
          <t>SKARA</t>
        </is>
      </c>
      <c r="G4277" t="n">
        <v>0.8</v>
      </c>
      <c r="H4277" t="n">
        <v>0</v>
      </c>
      <c r="I4277" t="n">
        <v>0</v>
      </c>
      <c r="J4277" t="n">
        <v>0</v>
      </c>
      <c r="K4277" t="n">
        <v>0</v>
      </c>
      <c r="L4277" t="n">
        <v>0</v>
      </c>
      <c r="M4277" t="n">
        <v>0</v>
      </c>
      <c r="N4277" t="n">
        <v>0</v>
      </c>
      <c r="O4277" t="n">
        <v>0</v>
      </c>
      <c r="P4277" t="n">
        <v>0</v>
      </c>
      <c r="Q4277" t="n">
        <v>0</v>
      </c>
      <c r="R4277" s="2" t="inlineStr"/>
    </row>
    <row r="4278" ht="15" customHeight="1">
      <c r="A4278" t="inlineStr">
        <is>
          <t>A 56833-2022</t>
        </is>
      </c>
      <c r="B4278" s="1" t="n">
        <v>44894.45989583333</v>
      </c>
      <c r="C4278" s="1" t="n">
        <v>45952</v>
      </c>
      <c r="D4278" t="inlineStr">
        <is>
          <t>VÄSTRA GÖTALANDS LÄN</t>
        </is>
      </c>
      <c r="E4278" t="inlineStr">
        <is>
          <t>ULRICEHAMN</t>
        </is>
      </c>
      <c r="G4278" t="n">
        <v>1.5</v>
      </c>
      <c r="H4278" t="n">
        <v>0</v>
      </c>
      <c r="I4278" t="n">
        <v>0</v>
      </c>
      <c r="J4278" t="n">
        <v>0</v>
      </c>
      <c r="K4278" t="n">
        <v>0</v>
      </c>
      <c r="L4278" t="n">
        <v>0</v>
      </c>
      <c r="M4278" t="n">
        <v>0</v>
      </c>
      <c r="N4278" t="n">
        <v>0</v>
      </c>
      <c r="O4278" t="n">
        <v>0</v>
      </c>
      <c r="P4278" t="n">
        <v>0</v>
      </c>
      <c r="Q4278" t="n">
        <v>0</v>
      </c>
      <c r="R4278" s="2" t="inlineStr"/>
    </row>
    <row r="4279" ht="15" customHeight="1">
      <c r="A4279" t="inlineStr">
        <is>
          <t>A 42979-2022</t>
        </is>
      </c>
      <c r="B4279" s="1" t="n">
        <v>44833.46141203704</v>
      </c>
      <c r="C4279" s="1" t="n">
        <v>45952</v>
      </c>
      <c r="D4279" t="inlineStr">
        <is>
          <t>VÄSTRA GÖTALANDS LÄN</t>
        </is>
      </c>
      <c r="E4279" t="inlineStr">
        <is>
          <t>DALS-ED</t>
        </is>
      </c>
      <c r="G4279" t="n">
        <v>4.1</v>
      </c>
      <c r="H4279" t="n">
        <v>0</v>
      </c>
      <c r="I4279" t="n">
        <v>0</v>
      </c>
      <c r="J4279" t="n">
        <v>0</v>
      </c>
      <c r="K4279" t="n">
        <v>0</v>
      </c>
      <c r="L4279" t="n">
        <v>0</v>
      </c>
      <c r="M4279" t="n">
        <v>0</v>
      </c>
      <c r="N4279" t="n">
        <v>0</v>
      </c>
      <c r="O4279" t="n">
        <v>0</v>
      </c>
      <c r="P4279" t="n">
        <v>0</v>
      </c>
      <c r="Q4279" t="n">
        <v>0</v>
      </c>
      <c r="R4279" s="2" t="inlineStr"/>
    </row>
    <row r="4280" ht="15" customHeight="1">
      <c r="A4280" t="inlineStr">
        <is>
          <t>A 54444-2023</t>
        </is>
      </c>
      <c r="B4280" s="1" t="n">
        <v>45233.4384375</v>
      </c>
      <c r="C4280" s="1" t="n">
        <v>45952</v>
      </c>
      <c r="D4280" t="inlineStr">
        <is>
          <t>VÄSTRA GÖTALANDS LÄN</t>
        </is>
      </c>
      <c r="E4280" t="inlineStr">
        <is>
          <t>KARLSBORG</t>
        </is>
      </c>
      <c r="G4280" t="n">
        <v>1.3</v>
      </c>
      <c r="H4280" t="n">
        <v>0</v>
      </c>
      <c r="I4280" t="n">
        <v>0</v>
      </c>
      <c r="J4280" t="n">
        <v>0</v>
      </c>
      <c r="K4280" t="n">
        <v>0</v>
      </c>
      <c r="L4280" t="n">
        <v>0</v>
      </c>
      <c r="M4280" t="n">
        <v>0</v>
      </c>
      <c r="N4280" t="n">
        <v>0</v>
      </c>
      <c r="O4280" t="n">
        <v>0</v>
      </c>
      <c r="P4280" t="n">
        <v>0</v>
      </c>
      <c r="Q4280" t="n">
        <v>0</v>
      </c>
      <c r="R4280" s="2" t="inlineStr"/>
    </row>
    <row r="4281" ht="15" customHeight="1">
      <c r="A4281" t="inlineStr">
        <is>
          <t>A 55119-2023</t>
        </is>
      </c>
      <c r="B4281" s="1" t="n">
        <v>45237.47695601852</v>
      </c>
      <c r="C4281" s="1" t="n">
        <v>45952</v>
      </c>
      <c r="D4281" t="inlineStr">
        <is>
          <t>VÄSTRA GÖTALANDS LÄN</t>
        </is>
      </c>
      <c r="E4281" t="inlineStr">
        <is>
          <t>HJO</t>
        </is>
      </c>
      <c r="G4281" t="n">
        <v>0.6</v>
      </c>
      <c r="H4281" t="n">
        <v>0</v>
      </c>
      <c r="I4281" t="n">
        <v>0</v>
      </c>
      <c r="J4281" t="n">
        <v>0</v>
      </c>
      <c r="K4281" t="n">
        <v>0</v>
      </c>
      <c r="L4281" t="n">
        <v>0</v>
      </c>
      <c r="M4281" t="n">
        <v>0</v>
      </c>
      <c r="N4281" t="n">
        <v>0</v>
      </c>
      <c r="O4281" t="n">
        <v>0</v>
      </c>
      <c r="P4281" t="n">
        <v>0</v>
      </c>
      <c r="Q4281" t="n">
        <v>0</v>
      </c>
      <c r="R4281" s="2" t="inlineStr"/>
    </row>
    <row r="4282" ht="15" customHeight="1">
      <c r="A4282" t="inlineStr">
        <is>
          <t>A 58308-2023</t>
        </is>
      </c>
      <c r="B4282" s="1" t="n">
        <v>45250</v>
      </c>
      <c r="C4282" s="1" t="n">
        <v>45952</v>
      </c>
      <c r="D4282" t="inlineStr">
        <is>
          <t>VÄSTRA GÖTALANDS LÄN</t>
        </is>
      </c>
      <c r="E4282" t="inlineStr">
        <is>
          <t>SVENLJUNGA</t>
        </is>
      </c>
      <c r="G4282" t="n">
        <v>1.8</v>
      </c>
      <c r="H4282" t="n">
        <v>0</v>
      </c>
      <c r="I4282" t="n">
        <v>0</v>
      </c>
      <c r="J4282" t="n">
        <v>0</v>
      </c>
      <c r="K4282" t="n">
        <v>0</v>
      </c>
      <c r="L4282" t="n">
        <v>0</v>
      </c>
      <c r="M4282" t="n">
        <v>0</v>
      </c>
      <c r="N4282" t="n">
        <v>0</v>
      </c>
      <c r="O4282" t="n">
        <v>0</v>
      </c>
      <c r="P4282" t="n">
        <v>0</v>
      </c>
      <c r="Q4282" t="n">
        <v>0</v>
      </c>
      <c r="R4282" s="2" t="inlineStr"/>
    </row>
    <row r="4283" ht="15" customHeight="1">
      <c r="A4283" t="inlineStr">
        <is>
          <t>A 14004-2024</t>
        </is>
      </c>
      <c r="B4283" s="1" t="n">
        <v>45392.47069444445</v>
      </c>
      <c r="C4283" s="1" t="n">
        <v>45952</v>
      </c>
      <c r="D4283" t="inlineStr">
        <is>
          <t>VÄSTRA GÖTALANDS LÄN</t>
        </is>
      </c>
      <c r="E4283" t="inlineStr">
        <is>
          <t>TANUM</t>
        </is>
      </c>
      <c r="G4283" t="n">
        <v>2.3</v>
      </c>
      <c r="H4283" t="n">
        <v>0</v>
      </c>
      <c r="I4283" t="n">
        <v>0</v>
      </c>
      <c r="J4283" t="n">
        <v>0</v>
      </c>
      <c r="K4283" t="n">
        <v>0</v>
      </c>
      <c r="L4283" t="n">
        <v>0</v>
      </c>
      <c r="M4283" t="n">
        <v>0</v>
      </c>
      <c r="N4283" t="n">
        <v>0</v>
      </c>
      <c r="O4283" t="n">
        <v>0</v>
      </c>
      <c r="P4283" t="n">
        <v>0</v>
      </c>
      <c r="Q4283" t="n">
        <v>0</v>
      </c>
      <c r="R4283" s="2" t="inlineStr"/>
    </row>
    <row r="4284" ht="15" customHeight="1">
      <c r="A4284" t="inlineStr">
        <is>
          <t>A 42898-2024</t>
        </is>
      </c>
      <c r="B4284" s="1" t="n">
        <v>45566.85488425926</v>
      </c>
      <c r="C4284" s="1" t="n">
        <v>45952</v>
      </c>
      <c r="D4284" t="inlineStr">
        <is>
          <t>VÄSTRA GÖTALANDS LÄN</t>
        </is>
      </c>
      <c r="E4284" t="inlineStr">
        <is>
          <t>SVENLJUNGA</t>
        </is>
      </c>
      <c r="G4284" t="n">
        <v>3.6</v>
      </c>
      <c r="H4284" t="n">
        <v>0</v>
      </c>
      <c r="I4284" t="n">
        <v>0</v>
      </c>
      <c r="J4284" t="n">
        <v>0</v>
      </c>
      <c r="K4284" t="n">
        <v>0</v>
      </c>
      <c r="L4284" t="n">
        <v>0</v>
      </c>
      <c r="M4284" t="n">
        <v>0</v>
      </c>
      <c r="N4284" t="n">
        <v>0</v>
      </c>
      <c r="O4284" t="n">
        <v>0</v>
      </c>
      <c r="P4284" t="n">
        <v>0</v>
      </c>
      <c r="Q4284" t="n">
        <v>0</v>
      </c>
      <c r="R4284" s="2" t="inlineStr"/>
    </row>
    <row r="4285" ht="15" customHeight="1">
      <c r="A4285" t="inlineStr">
        <is>
          <t>A 42899-2024</t>
        </is>
      </c>
      <c r="B4285" s="1" t="n">
        <v>45566.85929398148</v>
      </c>
      <c r="C4285" s="1" t="n">
        <v>45952</v>
      </c>
      <c r="D4285" t="inlineStr">
        <is>
          <t>VÄSTRA GÖTALANDS LÄN</t>
        </is>
      </c>
      <c r="E4285" t="inlineStr">
        <is>
          <t>SVENLJUNGA</t>
        </is>
      </c>
      <c r="G4285" t="n">
        <v>5</v>
      </c>
      <c r="H4285" t="n">
        <v>0</v>
      </c>
      <c r="I4285" t="n">
        <v>0</v>
      </c>
      <c r="J4285" t="n">
        <v>0</v>
      </c>
      <c r="K4285" t="n">
        <v>0</v>
      </c>
      <c r="L4285" t="n">
        <v>0</v>
      </c>
      <c r="M4285" t="n">
        <v>0</v>
      </c>
      <c r="N4285" t="n">
        <v>0</v>
      </c>
      <c r="O4285" t="n">
        <v>0</v>
      </c>
      <c r="P4285" t="n">
        <v>0</v>
      </c>
      <c r="Q4285" t="n">
        <v>0</v>
      </c>
      <c r="R4285" s="2" t="inlineStr"/>
    </row>
    <row r="4286" ht="15" customHeight="1">
      <c r="A4286" t="inlineStr">
        <is>
          <t>A 809-2025</t>
        </is>
      </c>
      <c r="B4286" s="1" t="n">
        <v>45665.5518287037</v>
      </c>
      <c r="C4286" s="1" t="n">
        <v>45952</v>
      </c>
      <c r="D4286" t="inlineStr">
        <is>
          <t>VÄSTRA GÖTALANDS LÄN</t>
        </is>
      </c>
      <c r="E4286" t="inlineStr">
        <is>
          <t>STENUNGSUND</t>
        </is>
      </c>
      <c r="G4286" t="n">
        <v>1</v>
      </c>
      <c r="H4286" t="n">
        <v>0</v>
      </c>
      <c r="I4286" t="n">
        <v>0</v>
      </c>
      <c r="J4286" t="n">
        <v>0</v>
      </c>
      <c r="K4286" t="n">
        <v>0</v>
      </c>
      <c r="L4286" t="n">
        <v>0</v>
      </c>
      <c r="M4286" t="n">
        <v>0</v>
      </c>
      <c r="N4286" t="n">
        <v>0</v>
      </c>
      <c r="O4286" t="n">
        <v>0</v>
      </c>
      <c r="P4286" t="n">
        <v>0</v>
      </c>
      <c r="Q4286" t="n">
        <v>0</v>
      </c>
      <c r="R4286" s="2" t="inlineStr"/>
    </row>
    <row r="4287" ht="15" customHeight="1">
      <c r="A4287" t="inlineStr">
        <is>
          <t>A 828-2025</t>
        </is>
      </c>
      <c r="B4287" s="1" t="n">
        <v>45665.57445601852</v>
      </c>
      <c r="C4287" s="1" t="n">
        <v>45952</v>
      </c>
      <c r="D4287" t="inlineStr">
        <is>
          <t>VÄSTRA GÖTALANDS LÄN</t>
        </is>
      </c>
      <c r="E4287" t="inlineStr">
        <is>
          <t>TRANEMO</t>
        </is>
      </c>
      <c r="G4287" t="n">
        <v>2.2</v>
      </c>
      <c r="H4287" t="n">
        <v>0</v>
      </c>
      <c r="I4287" t="n">
        <v>0</v>
      </c>
      <c r="J4287" t="n">
        <v>0</v>
      </c>
      <c r="K4287" t="n">
        <v>0</v>
      </c>
      <c r="L4287" t="n">
        <v>0</v>
      </c>
      <c r="M4287" t="n">
        <v>0</v>
      </c>
      <c r="N4287" t="n">
        <v>0</v>
      </c>
      <c r="O4287" t="n">
        <v>0</v>
      </c>
      <c r="P4287" t="n">
        <v>0</v>
      </c>
      <c r="Q4287" t="n">
        <v>0</v>
      </c>
      <c r="R4287" s="2" t="inlineStr"/>
    </row>
    <row r="4288" ht="15" customHeight="1">
      <c r="A4288" t="inlineStr">
        <is>
          <t>A 62573-2022</t>
        </is>
      </c>
      <c r="B4288" s="1" t="n">
        <v>44924.82454861111</v>
      </c>
      <c r="C4288" s="1" t="n">
        <v>45952</v>
      </c>
      <c r="D4288" t="inlineStr">
        <is>
          <t>VÄSTRA GÖTALANDS LÄN</t>
        </is>
      </c>
      <c r="E4288" t="inlineStr">
        <is>
          <t>MARK</t>
        </is>
      </c>
      <c r="G4288" t="n">
        <v>2.3</v>
      </c>
      <c r="H4288" t="n">
        <v>0</v>
      </c>
      <c r="I4288" t="n">
        <v>0</v>
      </c>
      <c r="J4288" t="n">
        <v>0</v>
      </c>
      <c r="K4288" t="n">
        <v>0</v>
      </c>
      <c r="L4288" t="n">
        <v>0</v>
      </c>
      <c r="M4288" t="n">
        <v>0</v>
      </c>
      <c r="N4288" t="n">
        <v>0</v>
      </c>
      <c r="O4288" t="n">
        <v>0</v>
      </c>
      <c r="P4288" t="n">
        <v>0</v>
      </c>
      <c r="Q4288" t="n">
        <v>0</v>
      </c>
      <c r="R4288" s="2" t="inlineStr"/>
    </row>
    <row r="4289" ht="15" customHeight="1">
      <c r="A4289" t="inlineStr">
        <is>
          <t>A 16277-2021</t>
        </is>
      </c>
      <c r="B4289" s="1" t="n">
        <v>44292.64259259259</v>
      </c>
      <c r="C4289" s="1" t="n">
        <v>45952</v>
      </c>
      <c r="D4289" t="inlineStr">
        <is>
          <t>VÄSTRA GÖTALANDS LÄN</t>
        </is>
      </c>
      <c r="E4289" t="inlineStr">
        <is>
          <t>SKÖVDE</t>
        </is>
      </c>
      <c r="G4289" t="n">
        <v>2.1</v>
      </c>
      <c r="H4289" t="n">
        <v>0</v>
      </c>
      <c r="I4289" t="n">
        <v>0</v>
      </c>
      <c r="J4289" t="n">
        <v>0</v>
      </c>
      <c r="K4289" t="n">
        <v>0</v>
      </c>
      <c r="L4289" t="n">
        <v>0</v>
      </c>
      <c r="M4289" t="n">
        <v>0</v>
      </c>
      <c r="N4289" t="n">
        <v>0</v>
      </c>
      <c r="O4289" t="n">
        <v>0</v>
      </c>
      <c r="P4289" t="n">
        <v>0</v>
      </c>
      <c r="Q4289" t="n">
        <v>0</v>
      </c>
      <c r="R4289" s="2" t="inlineStr"/>
    </row>
    <row r="4290" ht="15" customHeight="1">
      <c r="A4290" t="inlineStr">
        <is>
          <t>A 10472-2024</t>
        </is>
      </c>
      <c r="B4290" s="1" t="n">
        <v>45366.39716435185</v>
      </c>
      <c r="C4290" s="1" t="n">
        <v>45952</v>
      </c>
      <c r="D4290" t="inlineStr">
        <is>
          <t>VÄSTRA GÖTALANDS LÄN</t>
        </is>
      </c>
      <c r="E4290" t="inlineStr">
        <is>
          <t>STENUNGSUND</t>
        </is>
      </c>
      <c r="G4290" t="n">
        <v>6.3</v>
      </c>
      <c r="H4290" t="n">
        <v>0</v>
      </c>
      <c r="I4290" t="n">
        <v>0</v>
      </c>
      <c r="J4290" t="n">
        <v>0</v>
      </c>
      <c r="K4290" t="n">
        <v>0</v>
      </c>
      <c r="L4290" t="n">
        <v>0</v>
      </c>
      <c r="M4290" t="n">
        <v>0</v>
      </c>
      <c r="N4290" t="n">
        <v>0</v>
      </c>
      <c r="O4290" t="n">
        <v>0</v>
      </c>
      <c r="P4290" t="n">
        <v>0</v>
      </c>
      <c r="Q4290" t="n">
        <v>0</v>
      </c>
      <c r="R4290" s="2" t="inlineStr"/>
    </row>
    <row r="4291" ht="15" customHeight="1">
      <c r="A4291" t="inlineStr">
        <is>
          <t>A 34153-2024</t>
        </is>
      </c>
      <c r="B4291" s="1" t="n">
        <v>45524.38400462963</v>
      </c>
      <c r="C4291" s="1" t="n">
        <v>45952</v>
      </c>
      <c r="D4291" t="inlineStr">
        <is>
          <t>VÄSTRA GÖTALANDS LÄN</t>
        </is>
      </c>
      <c r="E4291" t="inlineStr">
        <is>
          <t>ALE</t>
        </is>
      </c>
      <c r="G4291" t="n">
        <v>0.8</v>
      </c>
      <c r="H4291" t="n">
        <v>0</v>
      </c>
      <c r="I4291" t="n">
        <v>0</v>
      </c>
      <c r="J4291" t="n">
        <v>0</v>
      </c>
      <c r="K4291" t="n">
        <v>0</v>
      </c>
      <c r="L4291" t="n">
        <v>0</v>
      </c>
      <c r="M4291" t="n">
        <v>0</v>
      </c>
      <c r="N4291" t="n">
        <v>0</v>
      </c>
      <c r="O4291" t="n">
        <v>0</v>
      </c>
      <c r="P4291" t="n">
        <v>0</v>
      </c>
      <c r="Q4291" t="n">
        <v>0</v>
      </c>
      <c r="R4291" s="2" t="inlineStr"/>
    </row>
    <row r="4292" ht="15" customHeight="1">
      <c r="A4292" t="inlineStr">
        <is>
          <t>A 4259-2022</t>
        </is>
      </c>
      <c r="B4292" s="1" t="n">
        <v>44588.67795138889</v>
      </c>
      <c r="C4292" s="1" t="n">
        <v>45952</v>
      </c>
      <c r="D4292" t="inlineStr">
        <is>
          <t>VÄSTRA GÖTALANDS LÄN</t>
        </is>
      </c>
      <c r="E4292" t="inlineStr">
        <is>
          <t>MUNKEDAL</t>
        </is>
      </c>
      <c r="G4292" t="n">
        <v>2.7</v>
      </c>
      <c r="H4292" t="n">
        <v>0</v>
      </c>
      <c r="I4292" t="n">
        <v>0</v>
      </c>
      <c r="J4292" t="n">
        <v>0</v>
      </c>
      <c r="K4292" t="n">
        <v>0</v>
      </c>
      <c r="L4292" t="n">
        <v>0</v>
      </c>
      <c r="M4292" t="n">
        <v>0</v>
      </c>
      <c r="N4292" t="n">
        <v>0</v>
      </c>
      <c r="O4292" t="n">
        <v>0</v>
      </c>
      <c r="P4292" t="n">
        <v>0</v>
      </c>
      <c r="Q4292" t="n">
        <v>0</v>
      </c>
      <c r="R4292" s="2" t="inlineStr"/>
    </row>
    <row r="4293" ht="15" customHeight="1">
      <c r="A4293" t="inlineStr">
        <is>
          <t>A 14731-2022</t>
        </is>
      </c>
      <c r="B4293" s="1" t="n">
        <v>44656</v>
      </c>
      <c r="C4293" s="1" t="n">
        <v>45952</v>
      </c>
      <c r="D4293" t="inlineStr">
        <is>
          <t>VÄSTRA GÖTALANDS LÄN</t>
        </is>
      </c>
      <c r="E4293" t="inlineStr">
        <is>
          <t>ALE</t>
        </is>
      </c>
      <c r="G4293" t="n">
        <v>1.8</v>
      </c>
      <c r="H4293" t="n">
        <v>0</v>
      </c>
      <c r="I4293" t="n">
        <v>0</v>
      </c>
      <c r="J4293" t="n">
        <v>0</v>
      </c>
      <c r="K4293" t="n">
        <v>0</v>
      </c>
      <c r="L4293" t="n">
        <v>0</v>
      </c>
      <c r="M4293" t="n">
        <v>0</v>
      </c>
      <c r="N4293" t="n">
        <v>0</v>
      </c>
      <c r="O4293" t="n">
        <v>0</v>
      </c>
      <c r="P4293" t="n">
        <v>0</v>
      </c>
      <c r="Q4293" t="n">
        <v>0</v>
      </c>
      <c r="R4293" s="2" t="inlineStr"/>
    </row>
    <row r="4294" ht="15" customHeight="1">
      <c r="A4294" t="inlineStr">
        <is>
          <t>A 52234-2023</t>
        </is>
      </c>
      <c r="B4294" s="1" t="n">
        <v>45224</v>
      </c>
      <c r="C4294" s="1" t="n">
        <v>45952</v>
      </c>
      <c r="D4294" t="inlineStr">
        <is>
          <t>VÄSTRA GÖTALANDS LÄN</t>
        </is>
      </c>
      <c r="E4294" t="inlineStr">
        <is>
          <t>SVENLJUNGA</t>
        </is>
      </c>
      <c r="G4294" t="n">
        <v>0.8</v>
      </c>
      <c r="H4294" t="n">
        <v>0</v>
      </c>
      <c r="I4294" t="n">
        <v>0</v>
      </c>
      <c r="J4294" t="n">
        <v>0</v>
      </c>
      <c r="K4294" t="n">
        <v>0</v>
      </c>
      <c r="L4294" t="n">
        <v>0</v>
      </c>
      <c r="M4294" t="n">
        <v>0</v>
      </c>
      <c r="N4294" t="n">
        <v>0</v>
      </c>
      <c r="O4294" t="n">
        <v>0</v>
      </c>
      <c r="P4294" t="n">
        <v>0</v>
      </c>
      <c r="Q4294" t="n">
        <v>0</v>
      </c>
      <c r="R4294" s="2" t="inlineStr"/>
    </row>
    <row r="4295" ht="15" customHeight="1">
      <c r="A4295" t="inlineStr">
        <is>
          <t>A 30632-2023</t>
        </is>
      </c>
      <c r="B4295" s="1" t="n">
        <v>45102</v>
      </c>
      <c r="C4295" s="1" t="n">
        <v>45952</v>
      </c>
      <c r="D4295" t="inlineStr">
        <is>
          <t>VÄSTRA GÖTALANDS LÄN</t>
        </is>
      </c>
      <c r="E4295" t="inlineStr">
        <is>
          <t>TANUM</t>
        </is>
      </c>
      <c r="G4295" t="n">
        <v>0.8</v>
      </c>
      <c r="H4295" t="n">
        <v>0</v>
      </c>
      <c r="I4295" t="n">
        <v>0</v>
      </c>
      <c r="J4295" t="n">
        <v>0</v>
      </c>
      <c r="K4295" t="n">
        <v>0</v>
      </c>
      <c r="L4295" t="n">
        <v>0</v>
      </c>
      <c r="M4295" t="n">
        <v>0</v>
      </c>
      <c r="N4295" t="n">
        <v>0</v>
      </c>
      <c r="O4295" t="n">
        <v>0</v>
      </c>
      <c r="P4295" t="n">
        <v>0</v>
      </c>
      <c r="Q4295" t="n">
        <v>0</v>
      </c>
      <c r="R4295" s="2" t="inlineStr"/>
    </row>
    <row r="4296" ht="15" customHeight="1">
      <c r="A4296" t="inlineStr">
        <is>
          <t>A 52254-2023</t>
        </is>
      </c>
      <c r="B4296" s="1" t="n">
        <v>45217</v>
      </c>
      <c r="C4296" s="1" t="n">
        <v>45952</v>
      </c>
      <c r="D4296" t="inlineStr">
        <is>
          <t>VÄSTRA GÖTALANDS LÄN</t>
        </is>
      </c>
      <c r="E4296" t="inlineStr">
        <is>
          <t>DALS-ED</t>
        </is>
      </c>
      <c r="F4296" t="inlineStr">
        <is>
          <t>Kyrkan</t>
        </is>
      </c>
      <c r="G4296" t="n">
        <v>1.2</v>
      </c>
      <c r="H4296" t="n">
        <v>0</v>
      </c>
      <c r="I4296" t="n">
        <v>0</v>
      </c>
      <c r="J4296" t="n">
        <v>0</v>
      </c>
      <c r="K4296" t="n">
        <v>0</v>
      </c>
      <c r="L4296" t="n">
        <v>0</v>
      </c>
      <c r="M4296" t="n">
        <v>0</v>
      </c>
      <c r="N4296" t="n">
        <v>0</v>
      </c>
      <c r="O4296" t="n">
        <v>0</v>
      </c>
      <c r="P4296" t="n">
        <v>0</v>
      </c>
      <c r="Q4296" t="n">
        <v>0</v>
      </c>
      <c r="R4296" s="2" t="inlineStr"/>
    </row>
    <row r="4297" ht="15" customHeight="1">
      <c r="A4297" t="inlineStr">
        <is>
          <t>A 19389-2023</t>
        </is>
      </c>
      <c r="B4297" s="1" t="n">
        <v>45049</v>
      </c>
      <c r="C4297" s="1" t="n">
        <v>45952</v>
      </c>
      <c r="D4297" t="inlineStr">
        <is>
          <t>VÄSTRA GÖTALANDS LÄN</t>
        </is>
      </c>
      <c r="E4297" t="inlineStr">
        <is>
          <t>FÄRGELANDA</t>
        </is>
      </c>
      <c r="G4297" t="n">
        <v>2.2</v>
      </c>
      <c r="H4297" t="n">
        <v>0</v>
      </c>
      <c r="I4297" t="n">
        <v>0</v>
      </c>
      <c r="J4297" t="n">
        <v>0</v>
      </c>
      <c r="K4297" t="n">
        <v>0</v>
      </c>
      <c r="L4297" t="n">
        <v>0</v>
      </c>
      <c r="M4297" t="n">
        <v>0</v>
      </c>
      <c r="N4297" t="n">
        <v>0</v>
      </c>
      <c r="O4297" t="n">
        <v>0</v>
      </c>
      <c r="P4297" t="n">
        <v>0</v>
      </c>
      <c r="Q4297" t="n">
        <v>0</v>
      </c>
      <c r="R4297" s="2" t="inlineStr"/>
    </row>
    <row r="4298" ht="15" customHeight="1">
      <c r="A4298" t="inlineStr">
        <is>
          <t>A 2309-2022</t>
        </is>
      </c>
      <c r="B4298" s="1" t="n">
        <v>44578.76435185185</v>
      </c>
      <c r="C4298" s="1" t="n">
        <v>45952</v>
      </c>
      <c r="D4298" t="inlineStr">
        <is>
          <t>VÄSTRA GÖTALANDS LÄN</t>
        </is>
      </c>
      <c r="E4298" t="inlineStr">
        <is>
          <t>ULRICEHAMN</t>
        </is>
      </c>
      <c r="G4298" t="n">
        <v>8.4</v>
      </c>
      <c r="H4298" t="n">
        <v>0</v>
      </c>
      <c r="I4298" t="n">
        <v>0</v>
      </c>
      <c r="J4298" t="n">
        <v>0</v>
      </c>
      <c r="K4298" t="n">
        <v>0</v>
      </c>
      <c r="L4298" t="n">
        <v>0</v>
      </c>
      <c r="M4298" t="n">
        <v>0</v>
      </c>
      <c r="N4298" t="n">
        <v>0</v>
      </c>
      <c r="O4298" t="n">
        <v>0</v>
      </c>
      <c r="P4298" t="n">
        <v>0</v>
      </c>
      <c r="Q4298" t="n">
        <v>0</v>
      </c>
      <c r="R4298" s="2" t="inlineStr"/>
    </row>
    <row r="4299" ht="15" customHeight="1">
      <c r="A4299" t="inlineStr">
        <is>
          <t>A 44744-2023</t>
        </is>
      </c>
      <c r="B4299" s="1" t="n">
        <v>45190.39100694445</v>
      </c>
      <c r="C4299" s="1" t="n">
        <v>45952</v>
      </c>
      <c r="D4299" t="inlineStr">
        <is>
          <t>VÄSTRA GÖTALANDS LÄN</t>
        </is>
      </c>
      <c r="E4299" t="inlineStr">
        <is>
          <t>VÅRGÅRDA</t>
        </is>
      </c>
      <c r="G4299" t="n">
        <v>2.5</v>
      </c>
      <c r="H4299" t="n">
        <v>0</v>
      </c>
      <c r="I4299" t="n">
        <v>0</v>
      </c>
      <c r="J4299" t="n">
        <v>0</v>
      </c>
      <c r="K4299" t="n">
        <v>0</v>
      </c>
      <c r="L4299" t="n">
        <v>0</v>
      </c>
      <c r="M4299" t="n">
        <v>0</v>
      </c>
      <c r="N4299" t="n">
        <v>0</v>
      </c>
      <c r="O4299" t="n">
        <v>0</v>
      </c>
      <c r="P4299" t="n">
        <v>0</v>
      </c>
      <c r="Q4299" t="n">
        <v>0</v>
      </c>
      <c r="R4299" s="2" t="inlineStr"/>
    </row>
    <row r="4300" ht="15" customHeight="1">
      <c r="A4300" t="inlineStr">
        <is>
          <t>A 61737-2023</t>
        </is>
      </c>
      <c r="B4300" s="1" t="n">
        <v>45265.69740740741</v>
      </c>
      <c r="C4300" s="1" t="n">
        <v>45952</v>
      </c>
      <c r="D4300" t="inlineStr">
        <is>
          <t>VÄSTRA GÖTALANDS LÄN</t>
        </is>
      </c>
      <c r="E4300" t="inlineStr">
        <is>
          <t>VARA</t>
        </is>
      </c>
      <c r="G4300" t="n">
        <v>2.6</v>
      </c>
      <c r="H4300" t="n">
        <v>0</v>
      </c>
      <c r="I4300" t="n">
        <v>0</v>
      </c>
      <c r="J4300" t="n">
        <v>0</v>
      </c>
      <c r="K4300" t="n">
        <v>0</v>
      </c>
      <c r="L4300" t="n">
        <v>0</v>
      </c>
      <c r="M4300" t="n">
        <v>0</v>
      </c>
      <c r="N4300" t="n">
        <v>0</v>
      </c>
      <c r="O4300" t="n">
        <v>0</v>
      </c>
      <c r="P4300" t="n">
        <v>0</v>
      </c>
      <c r="Q4300" t="n">
        <v>0</v>
      </c>
      <c r="R4300" s="2" t="inlineStr"/>
    </row>
    <row r="4301" ht="15" customHeight="1">
      <c r="A4301" t="inlineStr">
        <is>
          <t>A 19038-2024</t>
        </is>
      </c>
      <c r="B4301" s="1" t="n">
        <v>45427.6965625</v>
      </c>
      <c r="C4301" s="1" t="n">
        <v>45952</v>
      </c>
      <c r="D4301" t="inlineStr">
        <is>
          <t>VÄSTRA GÖTALANDS LÄN</t>
        </is>
      </c>
      <c r="E4301" t="inlineStr">
        <is>
          <t>ULRICEHAMN</t>
        </is>
      </c>
      <c r="G4301" t="n">
        <v>1.7</v>
      </c>
      <c r="H4301" t="n">
        <v>0</v>
      </c>
      <c r="I4301" t="n">
        <v>0</v>
      </c>
      <c r="J4301" t="n">
        <v>0</v>
      </c>
      <c r="K4301" t="n">
        <v>0</v>
      </c>
      <c r="L4301" t="n">
        <v>0</v>
      </c>
      <c r="M4301" t="n">
        <v>0</v>
      </c>
      <c r="N4301" t="n">
        <v>0</v>
      </c>
      <c r="O4301" t="n">
        <v>0</v>
      </c>
      <c r="P4301" t="n">
        <v>0</v>
      </c>
      <c r="Q4301" t="n">
        <v>0</v>
      </c>
      <c r="R4301" s="2" t="inlineStr"/>
    </row>
    <row r="4302" ht="15" customHeight="1">
      <c r="A4302" t="inlineStr">
        <is>
          <t>A 41079-2024</t>
        </is>
      </c>
      <c r="B4302" s="1" t="n">
        <v>45559</v>
      </c>
      <c r="C4302" s="1" t="n">
        <v>45952</v>
      </c>
      <c r="D4302" t="inlineStr">
        <is>
          <t>VÄSTRA GÖTALANDS LÄN</t>
        </is>
      </c>
      <c r="E4302" t="inlineStr">
        <is>
          <t>FALKÖPING</t>
        </is>
      </c>
      <c r="G4302" t="n">
        <v>1.9</v>
      </c>
      <c r="H4302" t="n">
        <v>0</v>
      </c>
      <c r="I4302" t="n">
        <v>0</v>
      </c>
      <c r="J4302" t="n">
        <v>0</v>
      </c>
      <c r="K4302" t="n">
        <v>0</v>
      </c>
      <c r="L4302" t="n">
        <v>0</v>
      </c>
      <c r="M4302" t="n">
        <v>0</v>
      </c>
      <c r="N4302" t="n">
        <v>0</v>
      </c>
      <c r="O4302" t="n">
        <v>0</v>
      </c>
      <c r="P4302" t="n">
        <v>0</v>
      </c>
      <c r="Q4302" t="n">
        <v>0</v>
      </c>
      <c r="R4302" s="2" t="inlineStr"/>
    </row>
    <row r="4303" ht="15" customHeight="1">
      <c r="A4303" t="inlineStr">
        <is>
          <t>A 7612-2023</t>
        </is>
      </c>
      <c r="B4303" s="1" t="n">
        <v>44972.48915509259</v>
      </c>
      <c r="C4303" s="1" t="n">
        <v>45952</v>
      </c>
      <c r="D4303" t="inlineStr">
        <is>
          <t>VÄSTRA GÖTALANDS LÄN</t>
        </is>
      </c>
      <c r="E4303" t="inlineStr">
        <is>
          <t>MARIESTAD</t>
        </is>
      </c>
      <c r="G4303" t="n">
        <v>2.3</v>
      </c>
      <c r="H4303" t="n">
        <v>0</v>
      </c>
      <c r="I4303" t="n">
        <v>0</v>
      </c>
      <c r="J4303" t="n">
        <v>0</v>
      </c>
      <c r="K4303" t="n">
        <v>0</v>
      </c>
      <c r="L4303" t="n">
        <v>0</v>
      </c>
      <c r="M4303" t="n">
        <v>0</v>
      </c>
      <c r="N4303" t="n">
        <v>0</v>
      </c>
      <c r="O4303" t="n">
        <v>0</v>
      </c>
      <c r="P4303" t="n">
        <v>0</v>
      </c>
      <c r="Q4303" t="n">
        <v>0</v>
      </c>
      <c r="R4303" s="2" t="inlineStr"/>
    </row>
    <row r="4304" ht="15" customHeight="1">
      <c r="A4304" t="inlineStr">
        <is>
          <t>A 45019-2024</t>
        </is>
      </c>
      <c r="B4304" s="1" t="n">
        <v>45575.49673611111</v>
      </c>
      <c r="C4304" s="1" t="n">
        <v>45952</v>
      </c>
      <c r="D4304" t="inlineStr">
        <is>
          <t>VÄSTRA GÖTALANDS LÄN</t>
        </is>
      </c>
      <c r="E4304" t="inlineStr">
        <is>
          <t>KARLSBORG</t>
        </is>
      </c>
      <c r="G4304" t="n">
        <v>1.7</v>
      </c>
      <c r="H4304" t="n">
        <v>0</v>
      </c>
      <c r="I4304" t="n">
        <v>0</v>
      </c>
      <c r="J4304" t="n">
        <v>0</v>
      </c>
      <c r="K4304" t="n">
        <v>0</v>
      </c>
      <c r="L4304" t="n">
        <v>0</v>
      </c>
      <c r="M4304" t="n">
        <v>0</v>
      </c>
      <c r="N4304" t="n">
        <v>0</v>
      </c>
      <c r="O4304" t="n">
        <v>0</v>
      </c>
      <c r="P4304" t="n">
        <v>0</v>
      </c>
      <c r="Q4304" t="n">
        <v>0</v>
      </c>
      <c r="R4304" s="2" t="inlineStr"/>
    </row>
    <row r="4305" ht="15" customHeight="1">
      <c r="A4305" t="inlineStr">
        <is>
          <t>A 58123-2022</t>
        </is>
      </c>
      <c r="B4305" s="1" t="n">
        <v>44900.66938657407</v>
      </c>
      <c r="C4305" s="1" t="n">
        <v>45952</v>
      </c>
      <c r="D4305" t="inlineStr">
        <is>
          <t>VÄSTRA GÖTALANDS LÄN</t>
        </is>
      </c>
      <c r="E4305" t="inlineStr">
        <is>
          <t>TÖREBODA</t>
        </is>
      </c>
      <c r="G4305" t="n">
        <v>2.8</v>
      </c>
      <c r="H4305" t="n">
        <v>0</v>
      </c>
      <c r="I4305" t="n">
        <v>0</v>
      </c>
      <c r="J4305" t="n">
        <v>0</v>
      </c>
      <c r="K4305" t="n">
        <v>0</v>
      </c>
      <c r="L4305" t="n">
        <v>0</v>
      </c>
      <c r="M4305" t="n">
        <v>0</v>
      </c>
      <c r="N4305" t="n">
        <v>0</v>
      </c>
      <c r="O4305" t="n">
        <v>0</v>
      </c>
      <c r="P4305" t="n">
        <v>0</v>
      </c>
      <c r="Q4305" t="n">
        <v>0</v>
      </c>
      <c r="R4305" s="2" t="inlineStr"/>
    </row>
    <row r="4306" ht="15" customHeight="1">
      <c r="A4306" t="inlineStr">
        <is>
          <t>A 13703-2025</t>
        </is>
      </c>
      <c r="B4306" s="1" t="n">
        <v>45737.33689814815</v>
      </c>
      <c r="C4306" s="1" t="n">
        <v>45952</v>
      </c>
      <c r="D4306" t="inlineStr">
        <is>
          <t>VÄSTRA GÖTALANDS LÄN</t>
        </is>
      </c>
      <c r="E4306" t="inlineStr">
        <is>
          <t>DALS-ED</t>
        </is>
      </c>
      <c r="F4306" t="inlineStr">
        <is>
          <t>Övriga Aktiebolag</t>
        </is>
      </c>
      <c r="G4306" t="n">
        <v>2.2</v>
      </c>
      <c r="H4306" t="n">
        <v>0</v>
      </c>
      <c r="I4306" t="n">
        <v>0</v>
      </c>
      <c r="J4306" t="n">
        <v>0</v>
      </c>
      <c r="K4306" t="n">
        <v>0</v>
      </c>
      <c r="L4306" t="n">
        <v>0</v>
      </c>
      <c r="M4306" t="n">
        <v>0</v>
      </c>
      <c r="N4306" t="n">
        <v>0</v>
      </c>
      <c r="O4306" t="n">
        <v>0</v>
      </c>
      <c r="P4306" t="n">
        <v>0</v>
      </c>
      <c r="Q4306" t="n">
        <v>0</v>
      </c>
      <c r="R4306" s="2" t="inlineStr"/>
    </row>
    <row r="4307" ht="15" customHeight="1">
      <c r="A4307" t="inlineStr">
        <is>
          <t>A 4262-2024</t>
        </is>
      </c>
      <c r="B4307" s="1" t="n">
        <v>45324.50902777778</v>
      </c>
      <c r="C4307" s="1" t="n">
        <v>45952</v>
      </c>
      <c r="D4307" t="inlineStr">
        <is>
          <t>VÄSTRA GÖTALANDS LÄN</t>
        </is>
      </c>
      <c r="E4307" t="inlineStr">
        <is>
          <t>KUNGÄLV</t>
        </is>
      </c>
      <c r="G4307" t="n">
        <v>14</v>
      </c>
      <c r="H4307" t="n">
        <v>0</v>
      </c>
      <c r="I4307" t="n">
        <v>0</v>
      </c>
      <c r="J4307" t="n">
        <v>0</v>
      </c>
      <c r="K4307" t="n">
        <v>0</v>
      </c>
      <c r="L4307" t="n">
        <v>0</v>
      </c>
      <c r="M4307" t="n">
        <v>0</v>
      </c>
      <c r="N4307" t="n">
        <v>0</v>
      </c>
      <c r="O4307" t="n">
        <v>0</v>
      </c>
      <c r="P4307" t="n">
        <v>0</v>
      </c>
      <c r="Q4307" t="n">
        <v>0</v>
      </c>
      <c r="R4307" s="2" t="inlineStr"/>
    </row>
    <row r="4308" ht="15" customHeight="1">
      <c r="A4308" t="inlineStr">
        <is>
          <t>A 11437-2022</t>
        </is>
      </c>
      <c r="B4308" s="1" t="n">
        <v>44630.62163194444</v>
      </c>
      <c r="C4308" s="1" t="n">
        <v>45952</v>
      </c>
      <c r="D4308" t="inlineStr">
        <is>
          <t>VÄSTRA GÖTALANDS LÄN</t>
        </is>
      </c>
      <c r="E4308" t="inlineStr">
        <is>
          <t>TIDAHOLM</t>
        </is>
      </c>
      <c r="G4308" t="n">
        <v>1.6</v>
      </c>
      <c r="H4308" t="n">
        <v>0</v>
      </c>
      <c r="I4308" t="n">
        <v>0</v>
      </c>
      <c r="J4308" t="n">
        <v>0</v>
      </c>
      <c r="K4308" t="n">
        <v>0</v>
      </c>
      <c r="L4308" t="n">
        <v>0</v>
      </c>
      <c r="M4308" t="n">
        <v>0</v>
      </c>
      <c r="N4308" t="n">
        <v>0</v>
      </c>
      <c r="O4308" t="n">
        <v>0</v>
      </c>
      <c r="P4308" t="n">
        <v>0</v>
      </c>
      <c r="Q4308" t="n">
        <v>0</v>
      </c>
      <c r="R4308" s="2" t="inlineStr"/>
    </row>
    <row r="4309" ht="15" customHeight="1">
      <c r="A4309" t="inlineStr">
        <is>
          <t>A 1678-2025</t>
        </is>
      </c>
      <c r="B4309" s="1" t="n">
        <v>45670.69351851852</v>
      </c>
      <c r="C4309" s="1" t="n">
        <v>45952</v>
      </c>
      <c r="D4309" t="inlineStr">
        <is>
          <t>VÄSTRA GÖTALANDS LÄN</t>
        </is>
      </c>
      <c r="E4309" t="inlineStr">
        <is>
          <t>FÄRGELANDA</t>
        </is>
      </c>
      <c r="G4309" t="n">
        <v>1.7</v>
      </c>
      <c r="H4309" t="n">
        <v>0</v>
      </c>
      <c r="I4309" t="n">
        <v>0</v>
      </c>
      <c r="J4309" t="n">
        <v>0</v>
      </c>
      <c r="K4309" t="n">
        <v>0</v>
      </c>
      <c r="L4309" t="n">
        <v>0</v>
      </c>
      <c r="M4309" t="n">
        <v>0</v>
      </c>
      <c r="N4309" t="n">
        <v>0</v>
      </c>
      <c r="O4309" t="n">
        <v>0</v>
      </c>
      <c r="P4309" t="n">
        <v>0</v>
      </c>
      <c r="Q4309" t="n">
        <v>0</v>
      </c>
      <c r="R4309" s="2" t="inlineStr"/>
    </row>
    <row r="4310" ht="15" customHeight="1">
      <c r="A4310" t="inlineStr">
        <is>
          <t>A 28002-2023</t>
        </is>
      </c>
      <c r="B4310" s="1" t="n">
        <v>45098</v>
      </c>
      <c r="C4310" s="1" t="n">
        <v>45952</v>
      </c>
      <c r="D4310" t="inlineStr">
        <is>
          <t>VÄSTRA GÖTALANDS LÄN</t>
        </is>
      </c>
      <c r="E4310" t="inlineStr">
        <is>
          <t>BORÅS</t>
        </is>
      </c>
      <c r="G4310" t="n">
        <v>1.1</v>
      </c>
      <c r="H4310" t="n">
        <v>0</v>
      </c>
      <c r="I4310" t="n">
        <v>0</v>
      </c>
      <c r="J4310" t="n">
        <v>0</v>
      </c>
      <c r="K4310" t="n">
        <v>0</v>
      </c>
      <c r="L4310" t="n">
        <v>0</v>
      </c>
      <c r="M4310" t="n">
        <v>0</v>
      </c>
      <c r="N4310" t="n">
        <v>0</v>
      </c>
      <c r="O4310" t="n">
        <v>0</v>
      </c>
      <c r="P4310" t="n">
        <v>0</v>
      </c>
      <c r="Q4310" t="n">
        <v>0</v>
      </c>
      <c r="R4310" s="2" t="inlineStr"/>
    </row>
    <row r="4311" ht="15" customHeight="1">
      <c r="A4311" t="inlineStr">
        <is>
          <t>A 8792-2023</t>
        </is>
      </c>
      <c r="B4311" s="1" t="n">
        <v>44978.59072916667</v>
      </c>
      <c r="C4311" s="1" t="n">
        <v>45952</v>
      </c>
      <c r="D4311" t="inlineStr">
        <is>
          <t>VÄSTRA GÖTALANDS LÄN</t>
        </is>
      </c>
      <c r="E4311" t="inlineStr">
        <is>
          <t>GULLSPÅNG</t>
        </is>
      </c>
      <c r="G4311" t="n">
        <v>2.1</v>
      </c>
      <c r="H4311" t="n">
        <v>0</v>
      </c>
      <c r="I4311" t="n">
        <v>0</v>
      </c>
      <c r="J4311" t="n">
        <v>0</v>
      </c>
      <c r="K4311" t="n">
        <v>0</v>
      </c>
      <c r="L4311" t="n">
        <v>0</v>
      </c>
      <c r="M4311" t="n">
        <v>0</v>
      </c>
      <c r="N4311" t="n">
        <v>0</v>
      </c>
      <c r="O4311" t="n">
        <v>0</v>
      </c>
      <c r="P4311" t="n">
        <v>0</v>
      </c>
      <c r="Q4311" t="n">
        <v>0</v>
      </c>
      <c r="R4311" s="2" t="inlineStr"/>
    </row>
    <row r="4312" ht="15" customHeight="1">
      <c r="A4312" t="inlineStr">
        <is>
          <t>A 60562-2022</t>
        </is>
      </c>
      <c r="B4312" s="1" t="n">
        <v>44911.55048611111</v>
      </c>
      <c r="C4312" s="1" t="n">
        <v>45952</v>
      </c>
      <c r="D4312" t="inlineStr">
        <is>
          <t>VÄSTRA GÖTALANDS LÄN</t>
        </is>
      </c>
      <c r="E4312" t="inlineStr">
        <is>
          <t>ULRICEHAMN</t>
        </is>
      </c>
      <c r="G4312" t="n">
        <v>1.4</v>
      </c>
      <c r="H4312" t="n">
        <v>0</v>
      </c>
      <c r="I4312" t="n">
        <v>0</v>
      </c>
      <c r="J4312" t="n">
        <v>0</v>
      </c>
      <c r="K4312" t="n">
        <v>0</v>
      </c>
      <c r="L4312" t="n">
        <v>0</v>
      </c>
      <c r="M4312" t="n">
        <v>0</v>
      </c>
      <c r="N4312" t="n">
        <v>0</v>
      </c>
      <c r="O4312" t="n">
        <v>0</v>
      </c>
      <c r="P4312" t="n">
        <v>0</v>
      </c>
      <c r="Q4312" t="n">
        <v>0</v>
      </c>
      <c r="R4312" s="2" t="inlineStr"/>
    </row>
    <row r="4313" ht="15" customHeight="1">
      <c r="A4313" t="inlineStr">
        <is>
          <t>A 3655-2022</t>
        </is>
      </c>
      <c r="B4313" s="1" t="n">
        <v>44586.47695601852</v>
      </c>
      <c r="C4313" s="1" t="n">
        <v>45952</v>
      </c>
      <c r="D4313" t="inlineStr">
        <is>
          <t>VÄSTRA GÖTALANDS LÄN</t>
        </is>
      </c>
      <c r="E4313" t="inlineStr">
        <is>
          <t>TRANEMO</t>
        </is>
      </c>
      <c r="G4313" t="n">
        <v>1</v>
      </c>
      <c r="H4313" t="n">
        <v>0</v>
      </c>
      <c r="I4313" t="n">
        <v>0</v>
      </c>
      <c r="J4313" t="n">
        <v>0</v>
      </c>
      <c r="K4313" t="n">
        <v>0</v>
      </c>
      <c r="L4313" t="n">
        <v>0</v>
      </c>
      <c r="M4313" t="n">
        <v>0</v>
      </c>
      <c r="N4313" t="n">
        <v>0</v>
      </c>
      <c r="O4313" t="n">
        <v>0</v>
      </c>
      <c r="P4313" t="n">
        <v>0</v>
      </c>
      <c r="Q4313" t="n">
        <v>0</v>
      </c>
      <c r="R4313" s="2" t="inlineStr"/>
    </row>
    <row r="4314" ht="15" customHeight="1">
      <c r="A4314" t="inlineStr">
        <is>
          <t>A 5005-2024</t>
        </is>
      </c>
      <c r="B4314" s="1" t="n">
        <v>45329.66890046297</v>
      </c>
      <c r="C4314" s="1" t="n">
        <v>45952</v>
      </c>
      <c r="D4314" t="inlineStr">
        <is>
          <t>VÄSTRA GÖTALANDS LÄN</t>
        </is>
      </c>
      <c r="E4314" t="inlineStr">
        <is>
          <t>TIDAHOLM</t>
        </is>
      </c>
      <c r="G4314" t="n">
        <v>1.3</v>
      </c>
      <c r="H4314" t="n">
        <v>0</v>
      </c>
      <c r="I4314" t="n">
        <v>0</v>
      </c>
      <c r="J4314" t="n">
        <v>0</v>
      </c>
      <c r="K4314" t="n">
        <v>0</v>
      </c>
      <c r="L4314" t="n">
        <v>0</v>
      </c>
      <c r="M4314" t="n">
        <v>0</v>
      </c>
      <c r="N4314" t="n">
        <v>0</v>
      </c>
      <c r="O4314" t="n">
        <v>0</v>
      </c>
      <c r="P4314" t="n">
        <v>0</v>
      </c>
      <c r="Q4314" t="n">
        <v>0</v>
      </c>
      <c r="R4314" s="2" t="inlineStr"/>
    </row>
    <row r="4315" ht="15" customHeight="1">
      <c r="A4315" t="inlineStr">
        <is>
          <t>A 5008-2024</t>
        </is>
      </c>
      <c r="B4315" s="1" t="n">
        <v>45329</v>
      </c>
      <c r="C4315" s="1" t="n">
        <v>45952</v>
      </c>
      <c r="D4315" t="inlineStr">
        <is>
          <t>VÄSTRA GÖTALANDS LÄN</t>
        </is>
      </c>
      <c r="E4315" t="inlineStr">
        <is>
          <t>TIDAHOLM</t>
        </is>
      </c>
      <c r="G4315" t="n">
        <v>0.8</v>
      </c>
      <c r="H4315" t="n">
        <v>0</v>
      </c>
      <c r="I4315" t="n">
        <v>0</v>
      </c>
      <c r="J4315" t="n">
        <v>0</v>
      </c>
      <c r="K4315" t="n">
        <v>0</v>
      </c>
      <c r="L4315" t="n">
        <v>0</v>
      </c>
      <c r="M4315" t="n">
        <v>0</v>
      </c>
      <c r="N4315" t="n">
        <v>0</v>
      </c>
      <c r="O4315" t="n">
        <v>0</v>
      </c>
      <c r="P4315" t="n">
        <v>0</v>
      </c>
      <c r="Q4315" t="n">
        <v>0</v>
      </c>
      <c r="R4315" s="2" t="inlineStr"/>
    </row>
    <row r="4316" ht="15" customHeight="1">
      <c r="A4316" t="inlineStr">
        <is>
          <t>A 46762-2023</t>
        </is>
      </c>
      <c r="B4316" s="1" t="n">
        <v>45198</v>
      </c>
      <c r="C4316" s="1" t="n">
        <v>45952</v>
      </c>
      <c r="D4316" t="inlineStr">
        <is>
          <t>VÄSTRA GÖTALANDS LÄN</t>
        </is>
      </c>
      <c r="E4316" t="inlineStr">
        <is>
          <t>HJO</t>
        </is>
      </c>
      <c r="G4316" t="n">
        <v>0.9</v>
      </c>
      <c r="H4316" t="n">
        <v>0</v>
      </c>
      <c r="I4316" t="n">
        <v>0</v>
      </c>
      <c r="J4316" t="n">
        <v>0</v>
      </c>
      <c r="K4316" t="n">
        <v>0</v>
      </c>
      <c r="L4316" t="n">
        <v>0</v>
      </c>
      <c r="M4316" t="n">
        <v>0</v>
      </c>
      <c r="N4316" t="n">
        <v>0</v>
      </c>
      <c r="O4316" t="n">
        <v>0</v>
      </c>
      <c r="P4316" t="n">
        <v>0</v>
      </c>
      <c r="Q4316" t="n">
        <v>0</v>
      </c>
      <c r="R4316" s="2" t="inlineStr"/>
    </row>
    <row r="4317" ht="15" customHeight="1">
      <c r="A4317" t="inlineStr">
        <is>
          <t>A 46790-2023</t>
        </is>
      </c>
      <c r="B4317" s="1" t="n">
        <v>45198.69354166667</v>
      </c>
      <c r="C4317" s="1" t="n">
        <v>45952</v>
      </c>
      <c r="D4317" t="inlineStr">
        <is>
          <t>VÄSTRA GÖTALANDS LÄN</t>
        </is>
      </c>
      <c r="E4317" t="inlineStr">
        <is>
          <t>HJO</t>
        </is>
      </c>
      <c r="G4317" t="n">
        <v>1</v>
      </c>
      <c r="H4317" t="n">
        <v>0</v>
      </c>
      <c r="I4317" t="n">
        <v>0</v>
      </c>
      <c r="J4317" t="n">
        <v>0</v>
      </c>
      <c r="K4317" t="n">
        <v>0</v>
      </c>
      <c r="L4317" t="n">
        <v>0</v>
      </c>
      <c r="M4317" t="n">
        <v>0</v>
      </c>
      <c r="N4317" t="n">
        <v>0</v>
      </c>
      <c r="O4317" t="n">
        <v>0</v>
      </c>
      <c r="P4317" t="n">
        <v>0</v>
      </c>
      <c r="Q4317" t="n">
        <v>0</v>
      </c>
      <c r="R4317" s="2" t="inlineStr"/>
    </row>
    <row r="4318" ht="15" customHeight="1">
      <c r="A4318" t="inlineStr">
        <is>
          <t>A 9008-2023</t>
        </is>
      </c>
      <c r="B4318" s="1" t="n">
        <v>44979</v>
      </c>
      <c r="C4318" s="1" t="n">
        <v>45952</v>
      </c>
      <c r="D4318" t="inlineStr">
        <is>
          <t>VÄSTRA GÖTALANDS LÄN</t>
        </is>
      </c>
      <c r="E4318" t="inlineStr">
        <is>
          <t>FALKÖPING</t>
        </is>
      </c>
      <c r="F4318" t="inlineStr">
        <is>
          <t>Övriga Aktiebolag</t>
        </is>
      </c>
      <c r="G4318" t="n">
        <v>3.5</v>
      </c>
      <c r="H4318" t="n">
        <v>0</v>
      </c>
      <c r="I4318" t="n">
        <v>0</v>
      </c>
      <c r="J4318" t="n">
        <v>0</v>
      </c>
      <c r="K4318" t="n">
        <v>0</v>
      </c>
      <c r="L4318" t="n">
        <v>0</v>
      </c>
      <c r="M4318" t="n">
        <v>0</v>
      </c>
      <c r="N4318" t="n">
        <v>0</v>
      </c>
      <c r="O4318" t="n">
        <v>0</v>
      </c>
      <c r="P4318" t="n">
        <v>0</v>
      </c>
      <c r="Q4318" t="n">
        <v>0</v>
      </c>
      <c r="R4318" s="2" t="inlineStr"/>
    </row>
    <row r="4319" ht="15" customHeight="1">
      <c r="A4319" t="inlineStr">
        <is>
          <t>A 9013-2023</t>
        </is>
      </c>
      <c r="B4319" s="1" t="n">
        <v>44979.60032407408</v>
      </c>
      <c r="C4319" s="1" t="n">
        <v>45952</v>
      </c>
      <c r="D4319" t="inlineStr">
        <is>
          <t>VÄSTRA GÖTALANDS LÄN</t>
        </is>
      </c>
      <c r="E4319" t="inlineStr">
        <is>
          <t>VARA</t>
        </is>
      </c>
      <c r="G4319" t="n">
        <v>0</v>
      </c>
      <c r="H4319" t="n">
        <v>0</v>
      </c>
      <c r="I4319" t="n">
        <v>0</v>
      </c>
      <c r="J4319" t="n">
        <v>0</v>
      </c>
      <c r="K4319" t="n">
        <v>0</v>
      </c>
      <c r="L4319" t="n">
        <v>0</v>
      </c>
      <c r="M4319" t="n">
        <v>0</v>
      </c>
      <c r="N4319" t="n">
        <v>0</v>
      </c>
      <c r="O4319" t="n">
        <v>0</v>
      </c>
      <c r="P4319" t="n">
        <v>0</v>
      </c>
      <c r="Q4319" t="n">
        <v>0</v>
      </c>
      <c r="R4319" s="2" t="inlineStr"/>
    </row>
    <row r="4320" ht="15" customHeight="1">
      <c r="A4320" t="inlineStr">
        <is>
          <t>A 10762-2024</t>
        </is>
      </c>
      <c r="B4320" s="1" t="n">
        <v>45369</v>
      </c>
      <c r="C4320" s="1" t="n">
        <v>45952</v>
      </c>
      <c r="D4320" t="inlineStr">
        <is>
          <t>VÄSTRA GÖTALANDS LÄN</t>
        </is>
      </c>
      <c r="E4320" t="inlineStr">
        <is>
          <t>BENGTSFORS</t>
        </is>
      </c>
      <c r="G4320" t="n">
        <v>1.5</v>
      </c>
      <c r="H4320" t="n">
        <v>0</v>
      </c>
      <c r="I4320" t="n">
        <v>0</v>
      </c>
      <c r="J4320" t="n">
        <v>0</v>
      </c>
      <c r="K4320" t="n">
        <v>0</v>
      </c>
      <c r="L4320" t="n">
        <v>0</v>
      </c>
      <c r="M4320" t="n">
        <v>0</v>
      </c>
      <c r="N4320" t="n">
        <v>0</v>
      </c>
      <c r="O4320" t="n">
        <v>0</v>
      </c>
      <c r="P4320" t="n">
        <v>0</v>
      </c>
      <c r="Q4320" t="n">
        <v>0</v>
      </c>
      <c r="R4320" s="2" t="inlineStr"/>
    </row>
    <row r="4321" ht="15" customHeight="1">
      <c r="A4321" t="inlineStr">
        <is>
          <t>A 10767-2024</t>
        </is>
      </c>
      <c r="B4321" s="1" t="n">
        <v>45369.57115740741</v>
      </c>
      <c r="C4321" s="1" t="n">
        <v>45952</v>
      </c>
      <c r="D4321" t="inlineStr">
        <is>
          <t>VÄSTRA GÖTALANDS LÄN</t>
        </is>
      </c>
      <c r="E4321" t="inlineStr">
        <is>
          <t>TROLLHÄTTAN</t>
        </is>
      </c>
      <c r="G4321" t="n">
        <v>1.5</v>
      </c>
      <c r="H4321" t="n">
        <v>0</v>
      </c>
      <c r="I4321" t="n">
        <v>0</v>
      </c>
      <c r="J4321" t="n">
        <v>0</v>
      </c>
      <c r="K4321" t="n">
        <v>0</v>
      </c>
      <c r="L4321" t="n">
        <v>0</v>
      </c>
      <c r="M4321" t="n">
        <v>0</v>
      </c>
      <c r="N4321" t="n">
        <v>0</v>
      </c>
      <c r="O4321" t="n">
        <v>0</v>
      </c>
      <c r="P4321" t="n">
        <v>0</v>
      </c>
      <c r="Q4321" t="n">
        <v>0</v>
      </c>
      <c r="R4321" s="2" t="inlineStr"/>
    </row>
    <row r="4322" ht="15" customHeight="1">
      <c r="A4322" t="inlineStr">
        <is>
          <t>A 18013-2025</t>
        </is>
      </c>
      <c r="B4322" s="1" t="n">
        <v>45761.43445601852</v>
      </c>
      <c r="C4322" s="1" t="n">
        <v>45952</v>
      </c>
      <c r="D4322" t="inlineStr">
        <is>
          <t>VÄSTRA GÖTALANDS LÄN</t>
        </is>
      </c>
      <c r="E4322" t="inlineStr">
        <is>
          <t>TRANEMO</t>
        </is>
      </c>
      <c r="G4322" t="n">
        <v>1.1</v>
      </c>
      <c r="H4322" t="n">
        <v>0</v>
      </c>
      <c r="I4322" t="n">
        <v>0</v>
      </c>
      <c r="J4322" t="n">
        <v>0</v>
      </c>
      <c r="K4322" t="n">
        <v>0</v>
      </c>
      <c r="L4322" t="n">
        <v>0</v>
      </c>
      <c r="M4322" t="n">
        <v>0</v>
      </c>
      <c r="N4322" t="n">
        <v>0</v>
      </c>
      <c r="O4322" t="n">
        <v>0</v>
      </c>
      <c r="P4322" t="n">
        <v>0</v>
      </c>
      <c r="Q4322" t="n">
        <v>0</v>
      </c>
      <c r="R4322" s="2" t="inlineStr"/>
    </row>
    <row r="4323" ht="15" customHeight="1">
      <c r="A4323" t="inlineStr">
        <is>
          <t>A 18016-2025</t>
        </is>
      </c>
      <c r="B4323" s="1" t="n">
        <v>45761.44023148148</v>
      </c>
      <c r="C4323" s="1" t="n">
        <v>45952</v>
      </c>
      <c r="D4323" t="inlineStr">
        <is>
          <t>VÄSTRA GÖTALANDS LÄN</t>
        </is>
      </c>
      <c r="E4323" t="inlineStr">
        <is>
          <t>TRANEMO</t>
        </is>
      </c>
      <c r="G4323" t="n">
        <v>1.1</v>
      </c>
      <c r="H4323" t="n">
        <v>0</v>
      </c>
      <c r="I4323" t="n">
        <v>0</v>
      </c>
      <c r="J4323" t="n">
        <v>0</v>
      </c>
      <c r="K4323" t="n">
        <v>0</v>
      </c>
      <c r="L4323" t="n">
        <v>0</v>
      </c>
      <c r="M4323" t="n">
        <v>0</v>
      </c>
      <c r="N4323" t="n">
        <v>0</v>
      </c>
      <c r="O4323" t="n">
        <v>0</v>
      </c>
      <c r="P4323" t="n">
        <v>0</v>
      </c>
      <c r="Q4323" t="n">
        <v>0</v>
      </c>
      <c r="R4323" s="2" t="inlineStr"/>
    </row>
    <row r="4324" ht="15" customHeight="1">
      <c r="A4324" t="inlineStr">
        <is>
          <t>A 7394-2025</t>
        </is>
      </c>
      <c r="B4324" s="1" t="n">
        <v>45705.33614583333</v>
      </c>
      <c r="C4324" s="1" t="n">
        <v>45952</v>
      </c>
      <c r="D4324" t="inlineStr">
        <is>
          <t>VÄSTRA GÖTALANDS LÄN</t>
        </is>
      </c>
      <c r="E4324" t="inlineStr">
        <is>
          <t>DALS-ED</t>
        </is>
      </c>
      <c r="G4324" t="n">
        <v>2.8</v>
      </c>
      <c r="H4324" t="n">
        <v>0</v>
      </c>
      <c r="I4324" t="n">
        <v>0</v>
      </c>
      <c r="J4324" t="n">
        <v>0</v>
      </c>
      <c r="K4324" t="n">
        <v>0</v>
      </c>
      <c r="L4324" t="n">
        <v>0</v>
      </c>
      <c r="M4324" t="n">
        <v>0</v>
      </c>
      <c r="N4324" t="n">
        <v>0</v>
      </c>
      <c r="O4324" t="n">
        <v>0</v>
      </c>
      <c r="P4324" t="n">
        <v>0</v>
      </c>
      <c r="Q4324" t="n">
        <v>0</v>
      </c>
      <c r="R4324" s="2" t="inlineStr"/>
    </row>
    <row r="4325" ht="15" customHeight="1">
      <c r="A4325" t="inlineStr">
        <is>
          <t>A 70945-2021</t>
        </is>
      </c>
      <c r="B4325" s="1" t="n">
        <v>44538.50564814815</v>
      </c>
      <c r="C4325" s="1" t="n">
        <v>45952</v>
      </c>
      <c r="D4325" t="inlineStr">
        <is>
          <t>VÄSTRA GÖTALANDS LÄN</t>
        </is>
      </c>
      <c r="E4325" t="inlineStr">
        <is>
          <t>KARLSBORG</t>
        </is>
      </c>
      <c r="F4325" t="inlineStr">
        <is>
          <t>Övriga Aktiebolag</t>
        </is>
      </c>
      <c r="G4325" t="n">
        <v>1.7</v>
      </c>
      <c r="H4325" t="n">
        <v>0</v>
      </c>
      <c r="I4325" t="n">
        <v>0</v>
      </c>
      <c r="J4325" t="n">
        <v>0</v>
      </c>
      <c r="K4325" t="n">
        <v>0</v>
      </c>
      <c r="L4325" t="n">
        <v>0</v>
      </c>
      <c r="M4325" t="n">
        <v>0</v>
      </c>
      <c r="N4325" t="n">
        <v>0</v>
      </c>
      <c r="O4325" t="n">
        <v>0</v>
      </c>
      <c r="P4325" t="n">
        <v>0</v>
      </c>
      <c r="Q4325" t="n">
        <v>0</v>
      </c>
      <c r="R4325" s="2" t="inlineStr"/>
    </row>
    <row r="4326" ht="15" customHeight="1">
      <c r="A4326" t="inlineStr">
        <is>
          <t>A 32175-2024</t>
        </is>
      </c>
      <c r="B4326" s="1" t="n">
        <v>45511.61238425926</v>
      </c>
      <c r="C4326" s="1" t="n">
        <v>45952</v>
      </c>
      <c r="D4326" t="inlineStr">
        <is>
          <t>VÄSTRA GÖTALANDS LÄN</t>
        </is>
      </c>
      <c r="E4326" t="inlineStr">
        <is>
          <t>ORUST</t>
        </is>
      </c>
      <c r="G4326" t="n">
        <v>0.3</v>
      </c>
      <c r="H4326" t="n">
        <v>0</v>
      </c>
      <c r="I4326" t="n">
        <v>0</v>
      </c>
      <c r="J4326" t="n">
        <v>0</v>
      </c>
      <c r="K4326" t="n">
        <v>0</v>
      </c>
      <c r="L4326" t="n">
        <v>0</v>
      </c>
      <c r="M4326" t="n">
        <v>0</v>
      </c>
      <c r="N4326" t="n">
        <v>0</v>
      </c>
      <c r="O4326" t="n">
        <v>0</v>
      </c>
      <c r="P4326" t="n">
        <v>0</v>
      </c>
      <c r="Q4326" t="n">
        <v>0</v>
      </c>
      <c r="R4326" s="2" t="inlineStr"/>
    </row>
    <row r="4327" ht="15" customHeight="1">
      <c r="A4327" t="inlineStr">
        <is>
          <t>A 18068-2025</t>
        </is>
      </c>
      <c r="B4327" s="1" t="n">
        <v>45761.49069444444</v>
      </c>
      <c r="C4327" s="1" t="n">
        <v>45952</v>
      </c>
      <c r="D4327" t="inlineStr">
        <is>
          <t>VÄSTRA GÖTALANDS LÄN</t>
        </is>
      </c>
      <c r="E4327" t="inlineStr">
        <is>
          <t>VÅRGÅRDA</t>
        </is>
      </c>
      <c r="G4327" t="n">
        <v>1.7</v>
      </c>
      <c r="H4327" t="n">
        <v>0</v>
      </c>
      <c r="I4327" t="n">
        <v>0</v>
      </c>
      <c r="J4327" t="n">
        <v>0</v>
      </c>
      <c r="K4327" t="n">
        <v>0</v>
      </c>
      <c r="L4327" t="n">
        <v>0</v>
      </c>
      <c r="M4327" t="n">
        <v>0</v>
      </c>
      <c r="N4327" t="n">
        <v>0</v>
      </c>
      <c r="O4327" t="n">
        <v>0</v>
      </c>
      <c r="P4327" t="n">
        <v>0</v>
      </c>
      <c r="Q4327" t="n">
        <v>0</v>
      </c>
      <c r="R4327" s="2" t="inlineStr"/>
    </row>
    <row r="4328" ht="15" customHeight="1">
      <c r="A4328" t="inlineStr">
        <is>
          <t>A 45605-2024</t>
        </is>
      </c>
      <c r="B4328" s="1" t="n">
        <v>45579.44217592593</v>
      </c>
      <c r="C4328" s="1" t="n">
        <v>45952</v>
      </c>
      <c r="D4328" t="inlineStr">
        <is>
          <t>VÄSTRA GÖTALANDS LÄN</t>
        </is>
      </c>
      <c r="E4328" t="inlineStr">
        <is>
          <t>BENGTSFORS</t>
        </is>
      </c>
      <c r="G4328" t="n">
        <v>0.5</v>
      </c>
      <c r="H4328" t="n">
        <v>0</v>
      </c>
      <c r="I4328" t="n">
        <v>0</v>
      </c>
      <c r="J4328" t="n">
        <v>0</v>
      </c>
      <c r="K4328" t="n">
        <v>0</v>
      </c>
      <c r="L4328" t="n">
        <v>0</v>
      </c>
      <c r="M4328" t="n">
        <v>0</v>
      </c>
      <c r="N4328" t="n">
        <v>0</v>
      </c>
      <c r="O4328" t="n">
        <v>0</v>
      </c>
      <c r="P4328" t="n">
        <v>0</v>
      </c>
      <c r="Q4328" t="n">
        <v>0</v>
      </c>
      <c r="R4328" s="2" t="inlineStr"/>
    </row>
    <row r="4329" ht="15" customHeight="1">
      <c r="A4329" t="inlineStr">
        <is>
          <t>A 19005-2023</t>
        </is>
      </c>
      <c r="B4329" s="1" t="n">
        <v>45045.60177083333</v>
      </c>
      <c r="C4329" s="1" t="n">
        <v>45952</v>
      </c>
      <c r="D4329" t="inlineStr">
        <is>
          <t>VÄSTRA GÖTALANDS LÄN</t>
        </is>
      </c>
      <c r="E4329" t="inlineStr">
        <is>
          <t>ORUST</t>
        </is>
      </c>
      <c r="G4329" t="n">
        <v>0.7</v>
      </c>
      <c r="H4329" t="n">
        <v>0</v>
      </c>
      <c r="I4329" t="n">
        <v>0</v>
      </c>
      <c r="J4329" t="n">
        <v>0</v>
      </c>
      <c r="K4329" t="n">
        <v>0</v>
      </c>
      <c r="L4329" t="n">
        <v>0</v>
      </c>
      <c r="M4329" t="n">
        <v>0</v>
      </c>
      <c r="N4329" t="n">
        <v>0</v>
      </c>
      <c r="O4329" t="n">
        <v>0</v>
      </c>
      <c r="P4329" t="n">
        <v>0</v>
      </c>
      <c r="Q4329" t="n">
        <v>0</v>
      </c>
      <c r="R4329" s="2" t="inlineStr"/>
    </row>
    <row r="4330" ht="15" customHeight="1">
      <c r="A4330" t="inlineStr">
        <is>
          <t>A 48273-2024</t>
        </is>
      </c>
      <c r="B4330" s="1" t="n">
        <v>45590.43452546297</v>
      </c>
      <c r="C4330" s="1" t="n">
        <v>45952</v>
      </c>
      <c r="D4330" t="inlineStr">
        <is>
          <t>VÄSTRA GÖTALANDS LÄN</t>
        </is>
      </c>
      <c r="E4330" t="inlineStr">
        <is>
          <t>MARIESTAD</t>
        </is>
      </c>
      <c r="F4330" t="inlineStr">
        <is>
          <t>Kyrkan</t>
        </is>
      </c>
      <c r="G4330" t="n">
        <v>3.9</v>
      </c>
      <c r="H4330" t="n">
        <v>0</v>
      </c>
      <c r="I4330" t="n">
        <v>0</v>
      </c>
      <c r="J4330" t="n">
        <v>0</v>
      </c>
      <c r="K4330" t="n">
        <v>0</v>
      </c>
      <c r="L4330" t="n">
        <v>0</v>
      </c>
      <c r="M4330" t="n">
        <v>0</v>
      </c>
      <c r="N4330" t="n">
        <v>0</v>
      </c>
      <c r="O4330" t="n">
        <v>0</v>
      </c>
      <c r="P4330" t="n">
        <v>0</v>
      </c>
      <c r="Q4330" t="n">
        <v>0</v>
      </c>
      <c r="R4330" s="2" t="inlineStr"/>
    </row>
    <row r="4331" ht="15" customHeight="1">
      <c r="A4331" t="inlineStr">
        <is>
          <t>A 43767-2023</t>
        </is>
      </c>
      <c r="B4331" s="1" t="n">
        <v>45187.50667824074</v>
      </c>
      <c r="C4331" s="1" t="n">
        <v>45952</v>
      </c>
      <c r="D4331" t="inlineStr">
        <is>
          <t>VÄSTRA GÖTALANDS LÄN</t>
        </is>
      </c>
      <c r="E4331" t="inlineStr">
        <is>
          <t>LILLA EDET</t>
        </is>
      </c>
      <c r="G4331" t="n">
        <v>2.3</v>
      </c>
      <c r="H4331" t="n">
        <v>0</v>
      </c>
      <c r="I4331" t="n">
        <v>0</v>
      </c>
      <c r="J4331" t="n">
        <v>0</v>
      </c>
      <c r="K4331" t="n">
        <v>0</v>
      </c>
      <c r="L4331" t="n">
        <v>0</v>
      </c>
      <c r="M4331" t="n">
        <v>0</v>
      </c>
      <c r="N4331" t="n">
        <v>0</v>
      </c>
      <c r="O4331" t="n">
        <v>0</v>
      </c>
      <c r="P4331" t="n">
        <v>0</v>
      </c>
      <c r="Q4331" t="n">
        <v>0</v>
      </c>
      <c r="R4331" s="2" t="inlineStr"/>
    </row>
    <row r="4332" ht="15" customHeight="1">
      <c r="A4332" t="inlineStr">
        <is>
          <t>A 34219-2023</t>
        </is>
      </c>
      <c r="B4332" s="1" t="n">
        <v>45138</v>
      </c>
      <c r="C4332" s="1" t="n">
        <v>45952</v>
      </c>
      <c r="D4332" t="inlineStr">
        <is>
          <t>VÄSTRA GÖTALANDS LÄN</t>
        </is>
      </c>
      <c r="E4332" t="inlineStr">
        <is>
          <t>MUNKEDAL</t>
        </is>
      </c>
      <c r="G4332" t="n">
        <v>4.3</v>
      </c>
      <c r="H4332" t="n">
        <v>0</v>
      </c>
      <c r="I4332" t="n">
        <v>0</v>
      </c>
      <c r="J4332" t="n">
        <v>0</v>
      </c>
      <c r="K4332" t="n">
        <v>0</v>
      </c>
      <c r="L4332" t="n">
        <v>0</v>
      </c>
      <c r="M4332" t="n">
        <v>0</v>
      </c>
      <c r="N4332" t="n">
        <v>0</v>
      </c>
      <c r="O4332" t="n">
        <v>0</v>
      </c>
      <c r="P4332" t="n">
        <v>0</v>
      </c>
      <c r="Q4332" t="n">
        <v>0</v>
      </c>
      <c r="R4332" s="2" t="inlineStr"/>
    </row>
    <row r="4333" ht="15" customHeight="1">
      <c r="A4333" t="inlineStr">
        <is>
          <t>A 34222-2023</t>
        </is>
      </c>
      <c r="B4333" s="1" t="n">
        <v>45138.49607638889</v>
      </c>
      <c r="C4333" s="1" t="n">
        <v>45952</v>
      </c>
      <c r="D4333" t="inlineStr">
        <is>
          <t>VÄSTRA GÖTALANDS LÄN</t>
        </is>
      </c>
      <c r="E4333" t="inlineStr">
        <is>
          <t>MUNKEDAL</t>
        </is>
      </c>
      <c r="G4333" t="n">
        <v>6</v>
      </c>
      <c r="H4333" t="n">
        <v>0</v>
      </c>
      <c r="I4333" t="n">
        <v>0</v>
      </c>
      <c r="J4333" t="n">
        <v>0</v>
      </c>
      <c r="K4333" t="n">
        <v>0</v>
      </c>
      <c r="L4333" t="n">
        <v>0</v>
      </c>
      <c r="M4333" t="n">
        <v>0</v>
      </c>
      <c r="N4333" t="n">
        <v>0</v>
      </c>
      <c r="O4333" t="n">
        <v>0</v>
      </c>
      <c r="P4333" t="n">
        <v>0</v>
      </c>
      <c r="Q4333" t="n">
        <v>0</v>
      </c>
      <c r="R4333" s="2" t="inlineStr"/>
    </row>
    <row r="4334" ht="15" customHeight="1">
      <c r="A4334" t="inlineStr">
        <is>
          <t>A 43837-2023</t>
        </is>
      </c>
      <c r="B4334" s="1" t="n">
        <v>45187</v>
      </c>
      <c r="C4334" s="1" t="n">
        <v>45952</v>
      </c>
      <c r="D4334" t="inlineStr">
        <is>
          <t>VÄSTRA GÖTALANDS LÄN</t>
        </is>
      </c>
      <c r="E4334" t="inlineStr">
        <is>
          <t>BORÅS</t>
        </is>
      </c>
      <c r="G4334" t="n">
        <v>0.5</v>
      </c>
      <c r="H4334" t="n">
        <v>0</v>
      </c>
      <c r="I4334" t="n">
        <v>0</v>
      </c>
      <c r="J4334" t="n">
        <v>0</v>
      </c>
      <c r="K4334" t="n">
        <v>0</v>
      </c>
      <c r="L4334" t="n">
        <v>0</v>
      </c>
      <c r="M4334" t="n">
        <v>0</v>
      </c>
      <c r="N4334" t="n">
        <v>0</v>
      </c>
      <c r="O4334" t="n">
        <v>0</v>
      </c>
      <c r="P4334" t="n">
        <v>0</v>
      </c>
      <c r="Q4334" t="n">
        <v>0</v>
      </c>
      <c r="R4334" s="2" t="inlineStr"/>
    </row>
    <row r="4335" ht="15" customHeight="1">
      <c r="A4335" t="inlineStr">
        <is>
          <t>A 31943-2024</t>
        </is>
      </c>
      <c r="B4335" s="1" t="n">
        <v>45510</v>
      </c>
      <c r="C4335" s="1" t="n">
        <v>45952</v>
      </c>
      <c r="D4335" t="inlineStr">
        <is>
          <t>VÄSTRA GÖTALANDS LÄN</t>
        </is>
      </c>
      <c r="E4335" t="inlineStr">
        <is>
          <t>BORÅS</t>
        </is>
      </c>
      <c r="G4335" t="n">
        <v>4.4</v>
      </c>
      <c r="H4335" t="n">
        <v>0</v>
      </c>
      <c r="I4335" t="n">
        <v>0</v>
      </c>
      <c r="J4335" t="n">
        <v>0</v>
      </c>
      <c r="K4335" t="n">
        <v>0</v>
      </c>
      <c r="L4335" t="n">
        <v>0</v>
      </c>
      <c r="M4335" t="n">
        <v>0</v>
      </c>
      <c r="N4335" t="n">
        <v>0</v>
      </c>
      <c r="O4335" t="n">
        <v>0</v>
      </c>
      <c r="P4335" t="n">
        <v>0</v>
      </c>
      <c r="Q4335" t="n">
        <v>0</v>
      </c>
      <c r="R4335" s="2" t="inlineStr"/>
    </row>
    <row r="4336" ht="15" customHeight="1">
      <c r="A4336" t="inlineStr">
        <is>
          <t>A 42416-2023</t>
        </is>
      </c>
      <c r="B4336" s="1" t="n">
        <v>45180</v>
      </c>
      <c r="C4336" s="1" t="n">
        <v>45952</v>
      </c>
      <c r="D4336" t="inlineStr">
        <is>
          <t>VÄSTRA GÖTALANDS LÄN</t>
        </is>
      </c>
      <c r="E4336" t="inlineStr">
        <is>
          <t>FALKÖPING</t>
        </is>
      </c>
      <c r="G4336" t="n">
        <v>5.1</v>
      </c>
      <c r="H4336" t="n">
        <v>0</v>
      </c>
      <c r="I4336" t="n">
        <v>0</v>
      </c>
      <c r="J4336" t="n">
        <v>0</v>
      </c>
      <c r="K4336" t="n">
        <v>0</v>
      </c>
      <c r="L4336" t="n">
        <v>0</v>
      </c>
      <c r="M4336" t="n">
        <v>0</v>
      </c>
      <c r="N4336" t="n">
        <v>0</v>
      </c>
      <c r="O4336" t="n">
        <v>0</v>
      </c>
      <c r="P4336" t="n">
        <v>0</v>
      </c>
      <c r="Q4336" t="n">
        <v>0</v>
      </c>
      <c r="R4336" s="2" t="inlineStr"/>
    </row>
    <row r="4337" ht="15" customHeight="1">
      <c r="A4337" t="inlineStr">
        <is>
          <t>A 48297-2024</t>
        </is>
      </c>
      <c r="B4337" s="1" t="n">
        <v>45590.4659837963</v>
      </c>
      <c r="C4337" s="1" t="n">
        <v>45952</v>
      </c>
      <c r="D4337" t="inlineStr">
        <is>
          <t>VÄSTRA GÖTALANDS LÄN</t>
        </is>
      </c>
      <c r="E4337" t="inlineStr">
        <is>
          <t>MARIESTAD</t>
        </is>
      </c>
      <c r="G4337" t="n">
        <v>2.6</v>
      </c>
      <c r="H4337" t="n">
        <v>0</v>
      </c>
      <c r="I4337" t="n">
        <v>0</v>
      </c>
      <c r="J4337" t="n">
        <v>0</v>
      </c>
      <c r="K4337" t="n">
        <v>0</v>
      </c>
      <c r="L4337" t="n">
        <v>0</v>
      </c>
      <c r="M4337" t="n">
        <v>0</v>
      </c>
      <c r="N4337" t="n">
        <v>0</v>
      </c>
      <c r="O4337" t="n">
        <v>0</v>
      </c>
      <c r="P4337" t="n">
        <v>0</v>
      </c>
      <c r="Q4337" t="n">
        <v>0</v>
      </c>
      <c r="R4337" s="2" t="inlineStr"/>
    </row>
    <row r="4338" ht="15" customHeight="1">
      <c r="A4338" t="inlineStr">
        <is>
          <t>A 48301-2024</t>
        </is>
      </c>
      <c r="B4338" s="1" t="n">
        <v>45590.47016203704</v>
      </c>
      <c r="C4338" s="1" t="n">
        <v>45952</v>
      </c>
      <c r="D4338" t="inlineStr">
        <is>
          <t>VÄSTRA GÖTALANDS LÄN</t>
        </is>
      </c>
      <c r="E4338" t="inlineStr">
        <is>
          <t>LIDKÖPING</t>
        </is>
      </c>
      <c r="G4338" t="n">
        <v>1.8</v>
      </c>
      <c r="H4338" t="n">
        <v>0</v>
      </c>
      <c r="I4338" t="n">
        <v>0</v>
      </c>
      <c r="J4338" t="n">
        <v>0</v>
      </c>
      <c r="K4338" t="n">
        <v>0</v>
      </c>
      <c r="L4338" t="n">
        <v>0</v>
      </c>
      <c r="M4338" t="n">
        <v>0</v>
      </c>
      <c r="N4338" t="n">
        <v>0</v>
      </c>
      <c r="O4338" t="n">
        <v>0</v>
      </c>
      <c r="P4338" t="n">
        <v>0</v>
      </c>
      <c r="Q4338" t="n">
        <v>0</v>
      </c>
      <c r="R4338" s="2" t="inlineStr"/>
    </row>
    <row r="4339" ht="15" customHeight="1">
      <c r="A4339" t="inlineStr">
        <is>
          <t>A 48973-2023</t>
        </is>
      </c>
      <c r="B4339" s="1" t="n">
        <v>45209</v>
      </c>
      <c r="C4339" s="1" t="n">
        <v>45952</v>
      </c>
      <c r="D4339" t="inlineStr">
        <is>
          <t>VÄSTRA GÖTALANDS LÄN</t>
        </is>
      </c>
      <c r="E4339" t="inlineStr">
        <is>
          <t>TÖREBODA</t>
        </is>
      </c>
      <c r="G4339" t="n">
        <v>4.5</v>
      </c>
      <c r="H4339" t="n">
        <v>0</v>
      </c>
      <c r="I4339" t="n">
        <v>0</v>
      </c>
      <c r="J4339" t="n">
        <v>0</v>
      </c>
      <c r="K4339" t="n">
        <v>0</v>
      </c>
      <c r="L4339" t="n">
        <v>0</v>
      </c>
      <c r="M4339" t="n">
        <v>0</v>
      </c>
      <c r="N4339" t="n">
        <v>0</v>
      </c>
      <c r="O4339" t="n">
        <v>0</v>
      </c>
      <c r="P4339" t="n">
        <v>0</v>
      </c>
      <c r="Q4339" t="n">
        <v>0</v>
      </c>
      <c r="R4339" s="2" t="inlineStr"/>
    </row>
    <row r="4340" ht="15" customHeight="1">
      <c r="A4340" t="inlineStr">
        <is>
          <t>A 49025-2023</t>
        </is>
      </c>
      <c r="B4340" s="1" t="n">
        <v>45209.82892361111</v>
      </c>
      <c r="C4340" s="1" t="n">
        <v>45952</v>
      </c>
      <c r="D4340" t="inlineStr">
        <is>
          <t>VÄSTRA GÖTALANDS LÄN</t>
        </is>
      </c>
      <c r="E4340" t="inlineStr">
        <is>
          <t>HJO</t>
        </is>
      </c>
      <c r="G4340" t="n">
        <v>5.4</v>
      </c>
      <c r="H4340" t="n">
        <v>0</v>
      </c>
      <c r="I4340" t="n">
        <v>0</v>
      </c>
      <c r="J4340" t="n">
        <v>0</v>
      </c>
      <c r="K4340" t="n">
        <v>0</v>
      </c>
      <c r="L4340" t="n">
        <v>0</v>
      </c>
      <c r="M4340" t="n">
        <v>0</v>
      </c>
      <c r="N4340" t="n">
        <v>0</v>
      </c>
      <c r="O4340" t="n">
        <v>0</v>
      </c>
      <c r="P4340" t="n">
        <v>0</v>
      </c>
      <c r="Q4340" t="n">
        <v>0</v>
      </c>
      <c r="R4340" s="2" t="inlineStr"/>
    </row>
    <row r="4341" ht="15" customHeight="1">
      <c r="A4341" t="inlineStr">
        <is>
          <t>A 6940-2024</t>
        </is>
      </c>
      <c r="B4341" s="1" t="n">
        <v>45343</v>
      </c>
      <c r="C4341" s="1" t="n">
        <v>45952</v>
      </c>
      <c r="D4341" t="inlineStr">
        <is>
          <t>VÄSTRA GÖTALANDS LÄN</t>
        </is>
      </c>
      <c r="E4341" t="inlineStr">
        <is>
          <t>LIDKÖPING</t>
        </is>
      </c>
      <c r="G4341" t="n">
        <v>0.6</v>
      </c>
      <c r="H4341" t="n">
        <v>0</v>
      </c>
      <c r="I4341" t="n">
        <v>0</v>
      </c>
      <c r="J4341" t="n">
        <v>0</v>
      </c>
      <c r="K4341" t="n">
        <v>0</v>
      </c>
      <c r="L4341" t="n">
        <v>0</v>
      </c>
      <c r="M4341" t="n">
        <v>0</v>
      </c>
      <c r="N4341" t="n">
        <v>0</v>
      </c>
      <c r="O4341" t="n">
        <v>0</v>
      </c>
      <c r="P4341" t="n">
        <v>0</v>
      </c>
      <c r="Q4341" t="n">
        <v>0</v>
      </c>
      <c r="R4341" s="2" t="inlineStr"/>
    </row>
    <row r="4342" ht="15" customHeight="1">
      <c r="A4342" t="inlineStr">
        <is>
          <t>A 6945-2024</t>
        </is>
      </c>
      <c r="B4342" s="1" t="n">
        <v>45343</v>
      </c>
      <c r="C4342" s="1" t="n">
        <v>45952</v>
      </c>
      <c r="D4342" t="inlineStr">
        <is>
          <t>VÄSTRA GÖTALANDS LÄN</t>
        </is>
      </c>
      <c r="E4342" t="inlineStr">
        <is>
          <t>FALKÖPING</t>
        </is>
      </c>
      <c r="G4342" t="n">
        <v>9.300000000000001</v>
      </c>
      <c r="H4342" t="n">
        <v>0</v>
      </c>
      <c r="I4342" t="n">
        <v>0</v>
      </c>
      <c r="J4342" t="n">
        <v>0</v>
      </c>
      <c r="K4342" t="n">
        <v>0</v>
      </c>
      <c r="L4342" t="n">
        <v>0</v>
      </c>
      <c r="M4342" t="n">
        <v>0</v>
      </c>
      <c r="N4342" t="n">
        <v>0</v>
      </c>
      <c r="O4342" t="n">
        <v>0</v>
      </c>
      <c r="P4342" t="n">
        <v>0</v>
      </c>
      <c r="Q4342" t="n">
        <v>0</v>
      </c>
      <c r="R4342" s="2" t="inlineStr"/>
    </row>
    <row r="4343" ht="15" customHeight="1">
      <c r="A4343" t="inlineStr">
        <is>
          <t>A 3224-2025</t>
        </is>
      </c>
      <c r="B4343" s="1" t="n">
        <v>45679</v>
      </c>
      <c r="C4343" s="1" t="n">
        <v>45952</v>
      </c>
      <c r="D4343" t="inlineStr">
        <is>
          <t>VÄSTRA GÖTALANDS LÄN</t>
        </is>
      </c>
      <c r="E4343" t="inlineStr">
        <is>
          <t>HERRLJUNGA</t>
        </is>
      </c>
      <c r="G4343" t="n">
        <v>6.4</v>
      </c>
      <c r="H4343" t="n">
        <v>0</v>
      </c>
      <c r="I4343" t="n">
        <v>0</v>
      </c>
      <c r="J4343" t="n">
        <v>0</v>
      </c>
      <c r="K4343" t="n">
        <v>0</v>
      </c>
      <c r="L4343" t="n">
        <v>0</v>
      </c>
      <c r="M4343" t="n">
        <v>0</v>
      </c>
      <c r="N4343" t="n">
        <v>0</v>
      </c>
      <c r="O4343" t="n">
        <v>0</v>
      </c>
      <c r="P4343" t="n">
        <v>0</v>
      </c>
      <c r="Q4343" t="n">
        <v>0</v>
      </c>
      <c r="R4343" s="2" t="inlineStr"/>
    </row>
    <row r="4344" ht="15" customHeight="1">
      <c r="A4344" t="inlineStr">
        <is>
          <t>A 23592-2022</t>
        </is>
      </c>
      <c r="B4344" s="1" t="n">
        <v>44721</v>
      </c>
      <c r="C4344" s="1" t="n">
        <v>45952</v>
      </c>
      <c r="D4344" t="inlineStr">
        <is>
          <t>VÄSTRA GÖTALANDS LÄN</t>
        </is>
      </c>
      <c r="E4344" t="inlineStr">
        <is>
          <t>LERUM</t>
        </is>
      </c>
      <c r="G4344" t="n">
        <v>0.6</v>
      </c>
      <c r="H4344" t="n">
        <v>0</v>
      </c>
      <c r="I4344" t="n">
        <v>0</v>
      </c>
      <c r="J4344" t="n">
        <v>0</v>
      </c>
      <c r="K4344" t="n">
        <v>0</v>
      </c>
      <c r="L4344" t="n">
        <v>0</v>
      </c>
      <c r="M4344" t="n">
        <v>0</v>
      </c>
      <c r="N4344" t="n">
        <v>0</v>
      </c>
      <c r="O4344" t="n">
        <v>0</v>
      </c>
      <c r="P4344" t="n">
        <v>0</v>
      </c>
      <c r="Q4344" t="n">
        <v>0</v>
      </c>
      <c r="R4344" s="2" t="inlineStr"/>
    </row>
    <row r="4345" ht="15" customHeight="1">
      <c r="A4345" t="inlineStr">
        <is>
          <t>A 59259-2023</t>
        </is>
      </c>
      <c r="B4345" s="1" t="n">
        <v>45253.54922453704</v>
      </c>
      <c r="C4345" s="1" t="n">
        <v>45952</v>
      </c>
      <c r="D4345" t="inlineStr">
        <is>
          <t>VÄSTRA GÖTALANDS LÄN</t>
        </is>
      </c>
      <c r="E4345" t="inlineStr">
        <is>
          <t>VARA</t>
        </is>
      </c>
      <c r="G4345" t="n">
        <v>2.5</v>
      </c>
      <c r="H4345" t="n">
        <v>0</v>
      </c>
      <c r="I4345" t="n">
        <v>0</v>
      </c>
      <c r="J4345" t="n">
        <v>0</v>
      </c>
      <c r="K4345" t="n">
        <v>0</v>
      </c>
      <c r="L4345" t="n">
        <v>0</v>
      </c>
      <c r="M4345" t="n">
        <v>0</v>
      </c>
      <c r="N4345" t="n">
        <v>0</v>
      </c>
      <c r="O4345" t="n">
        <v>0</v>
      </c>
      <c r="P4345" t="n">
        <v>0</v>
      </c>
      <c r="Q4345" t="n">
        <v>0</v>
      </c>
      <c r="R4345" s="2" t="inlineStr"/>
    </row>
    <row r="4346" ht="15" customHeight="1">
      <c r="A4346" t="inlineStr">
        <is>
          <t>A 59309-2023</t>
        </is>
      </c>
      <c r="B4346" s="1" t="n">
        <v>45253.606875</v>
      </c>
      <c r="C4346" s="1" t="n">
        <v>45952</v>
      </c>
      <c r="D4346" t="inlineStr">
        <is>
          <t>VÄSTRA GÖTALANDS LÄN</t>
        </is>
      </c>
      <c r="E4346" t="inlineStr">
        <is>
          <t>ORUST</t>
        </is>
      </c>
      <c r="G4346" t="n">
        <v>2.7</v>
      </c>
      <c r="H4346" t="n">
        <v>0</v>
      </c>
      <c r="I4346" t="n">
        <v>0</v>
      </c>
      <c r="J4346" t="n">
        <v>0</v>
      </c>
      <c r="K4346" t="n">
        <v>0</v>
      </c>
      <c r="L4346" t="n">
        <v>0</v>
      </c>
      <c r="M4346" t="n">
        <v>0</v>
      </c>
      <c r="N4346" t="n">
        <v>0</v>
      </c>
      <c r="O4346" t="n">
        <v>0</v>
      </c>
      <c r="P4346" t="n">
        <v>0</v>
      </c>
      <c r="Q4346" t="n">
        <v>0</v>
      </c>
      <c r="R4346" s="2" t="inlineStr"/>
    </row>
    <row r="4347" ht="15" customHeight="1">
      <c r="A4347" t="inlineStr">
        <is>
          <t>A 59335-2023</t>
        </is>
      </c>
      <c r="B4347" s="1" t="n">
        <v>45253.64171296296</v>
      </c>
      <c r="C4347" s="1" t="n">
        <v>45952</v>
      </c>
      <c r="D4347" t="inlineStr">
        <is>
          <t>VÄSTRA GÖTALANDS LÄN</t>
        </is>
      </c>
      <c r="E4347" t="inlineStr">
        <is>
          <t>VARA</t>
        </is>
      </c>
      <c r="G4347" t="n">
        <v>6</v>
      </c>
      <c r="H4347" t="n">
        <v>0</v>
      </c>
      <c r="I4347" t="n">
        <v>0</v>
      </c>
      <c r="J4347" t="n">
        <v>0</v>
      </c>
      <c r="K4347" t="n">
        <v>0</v>
      </c>
      <c r="L4347" t="n">
        <v>0</v>
      </c>
      <c r="M4347" t="n">
        <v>0</v>
      </c>
      <c r="N4347" t="n">
        <v>0</v>
      </c>
      <c r="O4347" t="n">
        <v>0</v>
      </c>
      <c r="P4347" t="n">
        <v>0</v>
      </c>
      <c r="Q4347" t="n">
        <v>0</v>
      </c>
      <c r="R4347" s="2" t="inlineStr"/>
    </row>
    <row r="4348" ht="15" customHeight="1">
      <c r="A4348" t="inlineStr">
        <is>
          <t>A 54875-2021</t>
        </is>
      </c>
      <c r="B4348" s="1" t="n">
        <v>44474.35072916667</v>
      </c>
      <c r="C4348" s="1" t="n">
        <v>45952</v>
      </c>
      <c r="D4348" t="inlineStr">
        <is>
          <t>VÄSTRA GÖTALANDS LÄN</t>
        </is>
      </c>
      <c r="E4348" t="inlineStr">
        <is>
          <t>HERRLJUNGA</t>
        </is>
      </c>
      <c r="G4348" t="n">
        <v>8.1</v>
      </c>
      <c r="H4348" t="n">
        <v>0</v>
      </c>
      <c r="I4348" t="n">
        <v>0</v>
      </c>
      <c r="J4348" t="n">
        <v>0</v>
      </c>
      <c r="K4348" t="n">
        <v>0</v>
      </c>
      <c r="L4348" t="n">
        <v>0</v>
      </c>
      <c r="M4348" t="n">
        <v>0</v>
      </c>
      <c r="N4348" t="n">
        <v>0</v>
      </c>
      <c r="O4348" t="n">
        <v>0</v>
      </c>
      <c r="P4348" t="n">
        <v>0</v>
      </c>
      <c r="Q4348" t="n">
        <v>0</v>
      </c>
      <c r="R4348" s="2" t="inlineStr"/>
    </row>
    <row r="4349" ht="15" customHeight="1">
      <c r="A4349" t="inlineStr">
        <is>
          <t>A 56017-2024</t>
        </is>
      </c>
      <c r="B4349" s="1" t="n">
        <v>45623.88096064814</v>
      </c>
      <c r="C4349" s="1" t="n">
        <v>45952</v>
      </c>
      <c r="D4349" t="inlineStr">
        <is>
          <t>VÄSTRA GÖTALANDS LÄN</t>
        </is>
      </c>
      <c r="E4349" t="inlineStr">
        <is>
          <t>SVENLJUNGA</t>
        </is>
      </c>
      <c r="G4349" t="n">
        <v>2.4</v>
      </c>
      <c r="H4349" t="n">
        <v>0</v>
      </c>
      <c r="I4349" t="n">
        <v>0</v>
      </c>
      <c r="J4349" t="n">
        <v>0</v>
      </c>
      <c r="K4349" t="n">
        <v>0</v>
      </c>
      <c r="L4349" t="n">
        <v>0</v>
      </c>
      <c r="M4349" t="n">
        <v>0</v>
      </c>
      <c r="N4349" t="n">
        <v>0</v>
      </c>
      <c r="O4349" t="n">
        <v>0</v>
      </c>
      <c r="P4349" t="n">
        <v>0</v>
      </c>
      <c r="Q4349" t="n">
        <v>0</v>
      </c>
      <c r="R4349" s="2" t="inlineStr"/>
    </row>
    <row r="4350" ht="15" customHeight="1">
      <c r="A4350" t="inlineStr">
        <is>
          <t>A 56025-2024</t>
        </is>
      </c>
      <c r="B4350" s="1" t="n">
        <v>45624.28996527778</v>
      </c>
      <c r="C4350" s="1" t="n">
        <v>45952</v>
      </c>
      <c r="D4350" t="inlineStr">
        <is>
          <t>VÄSTRA GÖTALANDS LÄN</t>
        </is>
      </c>
      <c r="E4350" t="inlineStr">
        <is>
          <t>MELLERUD</t>
        </is>
      </c>
      <c r="G4350" t="n">
        <v>2.1</v>
      </c>
      <c r="H4350" t="n">
        <v>0</v>
      </c>
      <c r="I4350" t="n">
        <v>0</v>
      </c>
      <c r="J4350" t="n">
        <v>0</v>
      </c>
      <c r="K4350" t="n">
        <v>0</v>
      </c>
      <c r="L4350" t="n">
        <v>0</v>
      </c>
      <c r="M4350" t="n">
        <v>0</v>
      </c>
      <c r="N4350" t="n">
        <v>0</v>
      </c>
      <c r="O4350" t="n">
        <v>0</v>
      </c>
      <c r="P4350" t="n">
        <v>0</v>
      </c>
      <c r="Q4350" t="n">
        <v>0</v>
      </c>
      <c r="R4350" s="2" t="inlineStr"/>
    </row>
    <row r="4351" ht="15" customHeight="1">
      <c r="A4351" t="inlineStr">
        <is>
          <t>A 18937-2025</t>
        </is>
      </c>
      <c r="B4351" s="1" t="n">
        <v>45764.48995370371</v>
      </c>
      <c r="C4351" s="1" t="n">
        <v>45952</v>
      </c>
      <c r="D4351" t="inlineStr">
        <is>
          <t>VÄSTRA GÖTALANDS LÄN</t>
        </is>
      </c>
      <c r="E4351" t="inlineStr">
        <is>
          <t>SVENLJUNGA</t>
        </is>
      </c>
      <c r="G4351" t="n">
        <v>1.8</v>
      </c>
      <c r="H4351" t="n">
        <v>0</v>
      </c>
      <c r="I4351" t="n">
        <v>0</v>
      </c>
      <c r="J4351" t="n">
        <v>0</v>
      </c>
      <c r="K4351" t="n">
        <v>0</v>
      </c>
      <c r="L4351" t="n">
        <v>0</v>
      </c>
      <c r="M4351" t="n">
        <v>0</v>
      </c>
      <c r="N4351" t="n">
        <v>0</v>
      </c>
      <c r="O4351" t="n">
        <v>0</v>
      </c>
      <c r="P4351" t="n">
        <v>0</v>
      </c>
      <c r="Q4351" t="n">
        <v>0</v>
      </c>
      <c r="R4351" s="2" t="inlineStr"/>
    </row>
    <row r="4352" ht="15" customHeight="1">
      <c r="A4352" t="inlineStr">
        <is>
          <t>A 13975-2023</t>
        </is>
      </c>
      <c r="B4352" s="1" t="n">
        <v>45008</v>
      </c>
      <c r="C4352" s="1" t="n">
        <v>45952</v>
      </c>
      <c r="D4352" t="inlineStr">
        <is>
          <t>VÄSTRA GÖTALANDS LÄN</t>
        </is>
      </c>
      <c r="E4352" t="inlineStr">
        <is>
          <t>LILLA EDET</t>
        </is>
      </c>
      <c r="G4352" t="n">
        <v>2.2</v>
      </c>
      <c r="H4352" t="n">
        <v>0</v>
      </c>
      <c r="I4352" t="n">
        <v>0</v>
      </c>
      <c r="J4352" t="n">
        <v>0</v>
      </c>
      <c r="K4352" t="n">
        <v>0</v>
      </c>
      <c r="L4352" t="n">
        <v>0</v>
      </c>
      <c r="M4352" t="n">
        <v>0</v>
      </c>
      <c r="N4352" t="n">
        <v>0</v>
      </c>
      <c r="O4352" t="n">
        <v>0</v>
      </c>
      <c r="P4352" t="n">
        <v>0</v>
      </c>
      <c r="Q4352" t="n">
        <v>0</v>
      </c>
      <c r="R4352" s="2" t="inlineStr"/>
    </row>
    <row r="4353" ht="15" customHeight="1">
      <c r="A4353" t="inlineStr">
        <is>
          <t>A 9711-2023</t>
        </is>
      </c>
      <c r="B4353" s="1" t="n">
        <v>44984</v>
      </c>
      <c r="C4353" s="1" t="n">
        <v>45952</v>
      </c>
      <c r="D4353" t="inlineStr">
        <is>
          <t>VÄSTRA GÖTALANDS LÄN</t>
        </is>
      </c>
      <c r="E4353" t="inlineStr">
        <is>
          <t>ALINGSÅS</t>
        </is>
      </c>
      <c r="G4353" t="n">
        <v>2.3</v>
      </c>
      <c r="H4353" t="n">
        <v>0</v>
      </c>
      <c r="I4353" t="n">
        <v>0</v>
      </c>
      <c r="J4353" t="n">
        <v>0</v>
      </c>
      <c r="K4353" t="n">
        <v>0</v>
      </c>
      <c r="L4353" t="n">
        <v>0</v>
      </c>
      <c r="M4353" t="n">
        <v>0</v>
      </c>
      <c r="N4353" t="n">
        <v>0</v>
      </c>
      <c r="O4353" t="n">
        <v>0</v>
      </c>
      <c r="P4353" t="n">
        <v>0</v>
      </c>
      <c r="Q4353" t="n">
        <v>0</v>
      </c>
      <c r="R4353" s="2" t="inlineStr"/>
    </row>
    <row r="4354" ht="15" customHeight="1">
      <c r="A4354" t="inlineStr">
        <is>
          <t>A 47085-2025</t>
        </is>
      </c>
      <c r="B4354" s="1" t="n">
        <v>45929.6434375</v>
      </c>
      <c r="C4354" s="1" t="n">
        <v>45952</v>
      </c>
      <c r="D4354" t="inlineStr">
        <is>
          <t>VÄSTRA GÖTALANDS LÄN</t>
        </is>
      </c>
      <c r="E4354" t="inlineStr">
        <is>
          <t>TANUM</t>
        </is>
      </c>
      <c r="F4354" t="inlineStr">
        <is>
          <t>Kyrkan</t>
        </is>
      </c>
      <c r="G4354" t="n">
        <v>0.5</v>
      </c>
      <c r="H4354" t="n">
        <v>0</v>
      </c>
      <c r="I4354" t="n">
        <v>0</v>
      </c>
      <c r="J4354" t="n">
        <v>0</v>
      </c>
      <c r="K4354" t="n">
        <v>0</v>
      </c>
      <c r="L4354" t="n">
        <v>0</v>
      </c>
      <c r="M4354" t="n">
        <v>0</v>
      </c>
      <c r="N4354" t="n">
        <v>0</v>
      </c>
      <c r="O4354" t="n">
        <v>0</v>
      </c>
      <c r="P4354" t="n">
        <v>0</v>
      </c>
      <c r="Q4354" t="n">
        <v>0</v>
      </c>
      <c r="R4354" s="2" t="inlineStr"/>
    </row>
    <row r="4355" ht="15" customHeight="1">
      <c r="A4355" t="inlineStr">
        <is>
          <t>A 43097-2024</t>
        </is>
      </c>
      <c r="B4355" s="1" t="n">
        <v>45567.54149305556</v>
      </c>
      <c r="C4355" s="1" t="n">
        <v>45952</v>
      </c>
      <c r="D4355" t="inlineStr">
        <is>
          <t>VÄSTRA GÖTALANDS LÄN</t>
        </is>
      </c>
      <c r="E4355" t="inlineStr">
        <is>
          <t>GULLSPÅNG</t>
        </is>
      </c>
      <c r="G4355" t="n">
        <v>0.9</v>
      </c>
      <c r="H4355" t="n">
        <v>0</v>
      </c>
      <c r="I4355" t="n">
        <v>0</v>
      </c>
      <c r="J4355" t="n">
        <v>0</v>
      </c>
      <c r="K4355" t="n">
        <v>0</v>
      </c>
      <c r="L4355" t="n">
        <v>0</v>
      </c>
      <c r="M4355" t="n">
        <v>0</v>
      </c>
      <c r="N4355" t="n">
        <v>0</v>
      </c>
      <c r="O4355" t="n">
        <v>0</v>
      </c>
      <c r="P4355" t="n">
        <v>0</v>
      </c>
      <c r="Q4355" t="n">
        <v>0</v>
      </c>
      <c r="R4355" s="2" t="inlineStr"/>
    </row>
    <row r="4356" ht="15" customHeight="1">
      <c r="A4356" t="inlineStr">
        <is>
          <t>A 49912-2023</t>
        </is>
      </c>
      <c r="B4356" s="1" t="n">
        <v>45214</v>
      </c>
      <c r="C4356" s="1" t="n">
        <v>45952</v>
      </c>
      <c r="D4356" t="inlineStr">
        <is>
          <t>VÄSTRA GÖTALANDS LÄN</t>
        </is>
      </c>
      <c r="E4356" t="inlineStr">
        <is>
          <t>MUNKEDAL</t>
        </is>
      </c>
      <c r="G4356" t="n">
        <v>2.4</v>
      </c>
      <c r="H4356" t="n">
        <v>0</v>
      </c>
      <c r="I4356" t="n">
        <v>0</v>
      </c>
      <c r="J4356" t="n">
        <v>0</v>
      </c>
      <c r="K4356" t="n">
        <v>0</v>
      </c>
      <c r="L4356" t="n">
        <v>0</v>
      </c>
      <c r="M4356" t="n">
        <v>0</v>
      </c>
      <c r="N4356" t="n">
        <v>0</v>
      </c>
      <c r="O4356" t="n">
        <v>0</v>
      </c>
      <c r="P4356" t="n">
        <v>0</v>
      </c>
      <c r="Q4356" t="n">
        <v>0</v>
      </c>
      <c r="R4356" s="2" t="inlineStr"/>
    </row>
    <row r="4357" ht="15" customHeight="1">
      <c r="A4357" t="inlineStr">
        <is>
          <t>A 8080-2023</t>
        </is>
      </c>
      <c r="B4357" s="1" t="n">
        <v>44974</v>
      </c>
      <c r="C4357" s="1" t="n">
        <v>45952</v>
      </c>
      <c r="D4357" t="inlineStr">
        <is>
          <t>VÄSTRA GÖTALANDS LÄN</t>
        </is>
      </c>
      <c r="E4357" t="inlineStr">
        <is>
          <t>ALINGSÅS</t>
        </is>
      </c>
      <c r="G4357" t="n">
        <v>5.5</v>
      </c>
      <c r="H4357" t="n">
        <v>0</v>
      </c>
      <c r="I4357" t="n">
        <v>0</v>
      </c>
      <c r="J4357" t="n">
        <v>0</v>
      </c>
      <c r="K4357" t="n">
        <v>0</v>
      </c>
      <c r="L4357" t="n">
        <v>0</v>
      </c>
      <c r="M4357" t="n">
        <v>0</v>
      </c>
      <c r="N4357" t="n">
        <v>0</v>
      </c>
      <c r="O4357" t="n">
        <v>0</v>
      </c>
      <c r="P4357" t="n">
        <v>0</v>
      </c>
      <c r="Q4357" t="n">
        <v>0</v>
      </c>
      <c r="R4357" s="2" t="inlineStr"/>
    </row>
    <row r="4358" ht="15" customHeight="1">
      <c r="A4358" t="inlineStr">
        <is>
          <t>A 9721-2023</t>
        </is>
      </c>
      <c r="B4358" s="1" t="n">
        <v>44984</v>
      </c>
      <c r="C4358" s="1" t="n">
        <v>45952</v>
      </c>
      <c r="D4358" t="inlineStr">
        <is>
          <t>VÄSTRA GÖTALANDS LÄN</t>
        </is>
      </c>
      <c r="E4358" t="inlineStr">
        <is>
          <t>VÅRGÅRDA</t>
        </is>
      </c>
      <c r="G4358" t="n">
        <v>1.7</v>
      </c>
      <c r="H4358" t="n">
        <v>0</v>
      </c>
      <c r="I4358" t="n">
        <v>0</v>
      </c>
      <c r="J4358" t="n">
        <v>0</v>
      </c>
      <c r="K4358" t="n">
        <v>0</v>
      </c>
      <c r="L4358" t="n">
        <v>0</v>
      </c>
      <c r="M4358" t="n">
        <v>0</v>
      </c>
      <c r="N4358" t="n">
        <v>0</v>
      </c>
      <c r="O4358" t="n">
        <v>0</v>
      </c>
      <c r="P4358" t="n">
        <v>0</v>
      </c>
      <c r="Q4358" t="n">
        <v>0</v>
      </c>
      <c r="R4358" s="2" t="inlineStr"/>
    </row>
    <row r="4359" ht="15" customHeight="1">
      <c r="A4359" t="inlineStr">
        <is>
          <t>A 5714-2024</t>
        </is>
      </c>
      <c r="B4359" s="1" t="n">
        <v>45334.87804398148</v>
      </c>
      <c r="C4359" s="1" t="n">
        <v>45952</v>
      </c>
      <c r="D4359" t="inlineStr">
        <is>
          <t>VÄSTRA GÖTALANDS LÄN</t>
        </is>
      </c>
      <c r="E4359" t="inlineStr">
        <is>
          <t>ORUST</t>
        </is>
      </c>
      <c r="G4359" t="n">
        <v>1.1</v>
      </c>
      <c r="H4359" t="n">
        <v>0</v>
      </c>
      <c r="I4359" t="n">
        <v>0</v>
      </c>
      <c r="J4359" t="n">
        <v>0</v>
      </c>
      <c r="K4359" t="n">
        <v>0</v>
      </c>
      <c r="L4359" t="n">
        <v>0</v>
      </c>
      <c r="M4359" t="n">
        <v>0</v>
      </c>
      <c r="N4359" t="n">
        <v>0</v>
      </c>
      <c r="O4359" t="n">
        <v>0</v>
      </c>
      <c r="P4359" t="n">
        <v>0</v>
      </c>
      <c r="Q4359" t="n">
        <v>0</v>
      </c>
      <c r="R4359" s="2" t="inlineStr"/>
    </row>
    <row r="4360" ht="15" customHeight="1">
      <c r="A4360" t="inlineStr">
        <is>
          <t>A 48941-2024</t>
        </is>
      </c>
      <c r="B4360" s="1" t="n">
        <v>45594.41935185185</v>
      </c>
      <c r="C4360" s="1" t="n">
        <v>45952</v>
      </c>
      <c r="D4360" t="inlineStr">
        <is>
          <t>VÄSTRA GÖTALANDS LÄN</t>
        </is>
      </c>
      <c r="E4360" t="inlineStr">
        <is>
          <t>LERUM</t>
        </is>
      </c>
      <c r="G4360" t="n">
        <v>10.3</v>
      </c>
      <c r="H4360" t="n">
        <v>0</v>
      </c>
      <c r="I4360" t="n">
        <v>0</v>
      </c>
      <c r="J4360" t="n">
        <v>0</v>
      </c>
      <c r="K4360" t="n">
        <v>0</v>
      </c>
      <c r="L4360" t="n">
        <v>0</v>
      </c>
      <c r="M4360" t="n">
        <v>0</v>
      </c>
      <c r="N4360" t="n">
        <v>0</v>
      </c>
      <c r="O4360" t="n">
        <v>0</v>
      </c>
      <c r="P4360" t="n">
        <v>0</v>
      </c>
      <c r="Q4360" t="n">
        <v>0</v>
      </c>
      <c r="R4360" s="2" t="inlineStr"/>
    </row>
    <row r="4361" ht="15" customHeight="1">
      <c r="A4361" t="inlineStr">
        <is>
          <t>A 49522-2024</t>
        </is>
      </c>
      <c r="B4361" s="1" t="n">
        <v>45596.39893518519</v>
      </c>
      <c r="C4361" s="1" t="n">
        <v>45952</v>
      </c>
      <c r="D4361" t="inlineStr">
        <is>
          <t>VÄSTRA GÖTALANDS LÄN</t>
        </is>
      </c>
      <c r="E4361" t="inlineStr">
        <is>
          <t>ALINGSÅS</t>
        </is>
      </c>
      <c r="G4361" t="n">
        <v>8.300000000000001</v>
      </c>
      <c r="H4361" t="n">
        <v>0</v>
      </c>
      <c r="I4361" t="n">
        <v>0</v>
      </c>
      <c r="J4361" t="n">
        <v>0</v>
      </c>
      <c r="K4361" t="n">
        <v>0</v>
      </c>
      <c r="L4361" t="n">
        <v>0</v>
      </c>
      <c r="M4361" t="n">
        <v>0</v>
      </c>
      <c r="N4361" t="n">
        <v>0</v>
      </c>
      <c r="O4361" t="n">
        <v>0</v>
      </c>
      <c r="P4361" t="n">
        <v>0</v>
      </c>
      <c r="Q4361" t="n">
        <v>0</v>
      </c>
      <c r="R4361" s="2" t="inlineStr"/>
    </row>
    <row r="4362" ht="15" customHeight="1">
      <c r="A4362" t="inlineStr">
        <is>
          <t>A 57896-2024</t>
        </is>
      </c>
      <c r="B4362" s="1" t="n">
        <v>45631.47197916666</v>
      </c>
      <c r="C4362" s="1" t="n">
        <v>45952</v>
      </c>
      <c r="D4362" t="inlineStr">
        <is>
          <t>VÄSTRA GÖTALANDS LÄN</t>
        </is>
      </c>
      <c r="E4362" t="inlineStr">
        <is>
          <t>MARK</t>
        </is>
      </c>
      <c r="G4362" t="n">
        <v>0.6</v>
      </c>
      <c r="H4362" t="n">
        <v>0</v>
      </c>
      <c r="I4362" t="n">
        <v>0</v>
      </c>
      <c r="J4362" t="n">
        <v>0</v>
      </c>
      <c r="K4362" t="n">
        <v>0</v>
      </c>
      <c r="L4362" t="n">
        <v>0</v>
      </c>
      <c r="M4362" t="n">
        <v>0</v>
      </c>
      <c r="N4362" t="n">
        <v>0</v>
      </c>
      <c r="O4362" t="n">
        <v>0</v>
      </c>
      <c r="P4362" t="n">
        <v>0</v>
      </c>
      <c r="Q4362" t="n">
        <v>0</v>
      </c>
      <c r="R4362" s="2" t="inlineStr"/>
    </row>
    <row r="4363" ht="15" customHeight="1">
      <c r="A4363" t="inlineStr">
        <is>
          <t>A 64338-2021</t>
        </is>
      </c>
      <c r="B4363" s="1" t="n">
        <v>44511</v>
      </c>
      <c r="C4363" s="1" t="n">
        <v>45952</v>
      </c>
      <c r="D4363" t="inlineStr">
        <is>
          <t>VÄSTRA GÖTALANDS LÄN</t>
        </is>
      </c>
      <c r="E4363" t="inlineStr">
        <is>
          <t>DALS-ED</t>
        </is>
      </c>
      <c r="G4363" t="n">
        <v>5.6</v>
      </c>
      <c r="H4363" t="n">
        <v>0</v>
      </c>
      <c r="I4363" t="n">
        <v>0</v>
      </c>
      <c r="J4363" t="n">
        <v>0</v>
      </c>
      <c r="K4363" t="n">
        <v>0</v>
      </c>
      <c r="L4363" t="n">
        <v>0</v>
      </c>
      <c r="M4363" t="n">
        <v>0</v>
      </c>
      <c r="N4363" t="n">
        <v>0</v>
      </c>
      <c r="O4363" t="n">
        <v>0</v>
      </c>
      <c r="P4363" t="n">
        <v>0</v>
      </c>
      <c r="Q4363" t="n">
        <v>0</v>
      </c>
      <c r="R4363" s="2" t="inlineStr"/>
    </row>
    <row r="4364" ht="15" customHeight="1">
      <c r="A4364" t="inlineStr">
        <is>
          <t>A 6162-2023</t>
        </is>
      </c>
      <c r="B4364" s="1" t="n">
        <v>44964.66091435185</v>
      </c>
      <c r="C4364" s="1" t="n">
        <v>45952</v>
      </c>
      <c r="D4364" t="inlineStr">
        <is>
          <t>VÄSTRA GÖTALANDS LÄN</t>
        </is>
      </c>
      <c r="E4364" t="inlineStr">
        <is>
          <t>TÖREBODA</t>
        </is>
      </c>
      <c r="G4364" t="n">
        <v>0.5</v>
      </c>
      <c r="H4364" t="n">
        <v>0</v>
      </c>
      <c r="I4364" t="n">
        <v>0</v>
      </c>
      <c r="J4364" t="n">
        <v>0</v>
      </c>
      <c r="K4364" t="n">
        <v>0</v>
      </c>
      <c r="L4364" t="n">
        <v>0</v>
      </c>
      <c r="M4364" t="n">
        <v>0</v>
      </c>
      <c r="N4364" t="n">
        <v>0</v>
      </c>
      <c r="O4364" t="n">
        <v>0</v>
      </c>
      <c r="P4364" t="n">
        <v>0</v>
      </c>
      <c r="Q4364" t="n">
        <v>0</v>
      </c>
      <c r="R4364" s="2" t="inlineStr"/>
    </row>
    <row r="4365" ht="15" customHeight="1">
      <c r="A4365" t="inlineStr">
        <is>
          <t>A 22729-2021</t>
        </is>
      </c>
      <c r="B4365" s="1" t="n">
        <v>44323</v>
      </c>
      <c r="C4365" s="1" t="n">
        <v>45952</v>
      </c>
      <c r="D4365" t="inlineStr">
        <is>
          <t>VÄSTRA GÖTALANDS LÄN</t>
        </is>
      </c>
      <c r="E4365" t="inlineStr">
        <is>
          <t>TRANEMO</t>
        </is>
      </c>
      <c r="G4365" t="n">
        <v>8.5</v>
      </c>
      <c r="H4365" t="n">
        <v>0</v>
      </c>
      <c r="I4365" t="n">
        <v>0</v>
      </c>
      <c r="J4365" t="n">
        <v>0</v>
      </c>
      <c r="K4365" t="n">
        <v>0</v>
      </c>
      <c r="L4365" t="n">
        <v>0</v>
      </c>
      <c r="M4365" t="n">
        <v>0</v>
      </c>
      <c r="N4365" t="n">
        <v>0</v>
      </c>
      <c r="O4365" t="n">
        <v>0</v>
      </c>
      <c r="P4365" t="n">
        <v>0</v>
      </c>
      <c r="Q4365" t="n">
        <v>0</v>
      </c>
      <c r="R4365" s="2" t="inlineStr"/>
    </row>
    <row r="4366" ht="15" customHeight="1">
      <c r="A4366" t="inlineStr">
        <is>
          <t>A 18257-2023</t>
        </is>
      </c>
      <c r="B4366" s="1" t="n">
        <v>45041</v>
      </c>
      <c r="C4366" s="1" t="n">
        <v>45952</v>
      </c>
      <c r="D4366" t="inlineStr">
        <is>
          <t>VÄSTRA GÖTALANDS LÄN</t>
        </is>
      </c>
      <c r="E4366" t="inlineStr">
        <is>
          <t>TIDAHOLM</t>
        </is>
      </c>
      <c r="G4366" t="n">
        <v>4.5</v>
      </c>
      <c r="H4366" t="n">
        <v>0</v>
      </c>
      <c r="I4366" t="n">
        <v>0</v>
      </c>
      <c r="J4366" t="n">
        <v>0</v>
      </c>
      <c r="K4366" t="n">
        <v>0</v>
      </c>
      <c r="L4366" t="n">
        <v>0</v>
      </c>
      <c r="M4366" t="n">
        <v>0</v>
      </c>
      <c r="N4366" t="n">
        <v>0</v>
      </c>
      <c r="O4366" t="n">
        <v>0</v>
      </c>
      <c r="P4366" t="n">
        <v>0</v>
      </c>
      <c r="Q4366" t="n">
        <v>0</v>
      </c>
      <c r="R4366" s="2" t="inlineStr"/>
    </row>
    <row r="4367" ht="15" customHeight="1">
      <c r="A4367" t="inlineStr">
        <is>
          <t>A 23407-2023</t>
        </is>
      </c>
      <c r="B4367" s="1" t="n">
        <v>45076</v>
      </c>
      <c r="C4367" s="1" t="n">
        <v>45952</v>
      </c>
      <c r="D4367" t="inlineStr">
        <is>
          <t>VÄSTRA GÖTALANDS LÄN</t>
        </is>
      </c>
      <c r="E4367" t="inlineStr">
        <is>
          <t>BENGTSFORS</t>
        </is>
      </c>
      <c r="G4367" t="n">
        <v>0.1</v>
      </c>
      <c r="H4367" t="n">
        <v>0</v>
      </c>
      <c r="I4367" t="n">
        <v>0</v>
      </c>
      <c r="J4367" t="n">
        <v>0</v>
      </c>
      <c r="K4367" t="n">
        <v>0</v>
      </c>
      <c r="L4367" t="n">
        <v>0</v>
      </c>
      <c r="M4367" t="n">
        <v>0</v>
      </c>
      <c r="N4367" t="n">
        <v>0</v>
      </c>
      <c r="O4367" t="n">
        <v>0</v>
      </c>
      <c r="P4367" t="n">
        <v>0</v>
      </c>
      <c r="Q4367" t="n">
        <v>0</v>
      </c>
      <c r="R4367" s="2" t="inlineStr"/>
    </row>
    <row r="4368" ht="15" customHeight="1">
      <c r="A4368" t="inlineStr">
        <is>
          <t>A 30513-2024</t>
        </is>
      </c>
      <c r="B4368" s="1" t="n">
        <v>45492</v>
      </c>
      <c r="C4368" s="1" t="n">
        <v>45952</v>
      </c>
      <c r="D4368" t="inlineStr">
        <is>
          <t>VÄSTRA GÖTALANDS LÄN</t>
        </is>
      </c>
      <c r="E4368" t="inlineStr">
        <is>
          <t>SKARA</t>
        </is>
      </c>
      <c r="G4368" t="n">
        <v>2.9</v>
      </c>
      <c r="H4368" t="n">
        <v>0</v>
      </c>
      <c r="I4368" t="n">
        <v>0</v>
      </c>
      <c r="J4368" t="n">
        <v>0</v>
      </c>
      <c r="K4368" t="n">
        <v>0</v>
      </c>
      <c r="L4368" t="n">
        <v>0</v>
      </c>
      <c r="M4368" t="n">
        <v>0</v>
      </c>
      <c r="N4368" t="n">
        <v>0</v>
      </c>
      <c r="O4368" t="n">
        <v>0</v>
      </c>
      <c r="P4368" t="n">
        <v>0</v>
      </c>
      <c r="Q4368" t="n">
        <v>0</v>
      </c>
      <c r="R4368" s="2" t="inlineStr"/>
    </row>
    <row r="4369" ht="15" customHeight="1">
      <c r="A4369" t="inlineStr">
        <is>
          <t>A 58597-2022</t>
        </is>
      </c>
      <c r="B4369" s="1" t="n">
        <v>44894</v>
      </c>
      <c r="C4369" s="1" t="n">
        <v>45952</v>
      </c>
      <c r="D4369" t="inlineStr">
        <is>
          <t>VÄSTRA GÖTALANDS LÄN</t>
        </is>
      </c>
      <c r="E4369" t="inlineStr">
        <is>
          <t>HJO</t>
        </is>
      </c>
      <c r="G4369" t="n">
        <v>0.8</v>
      </c>
      <c r="H4369" t="n">
        <v>0</v>
      </c>
      <c r="I4369" t="n">
        <v>0</v>
      </c>
      <c r="J4369" t="n">
        <v>0</v>
      </c>
      <c r="K4369" t="n">
        <v>0</v>
      </c>
      <c r="L4369" t="n">
        <v>0</v>
      </c>
      <c r="M4369" t="n">
        <v>0</v>
      </c>
      <c r="N4369" t="n">
        <v>0</v>
      </c>
      <c r="O4369" t="n">
        <v>0</v>
      </c>
      <c r="P4369" t="n">
        <v>0</v>
      </c>
      <c r="Q4369" t="n">
        <v>0</v>
      </c>
      <c r="R4369" s="2" t="inlineStr"/>
    </row>
    <row r="4370" ht="15" customHeight="1">
      <c r="A4370" t="inlineStr">
        <is>
          <t>A 59885-2022</t>
        </is>
      </c>
      <c r="B4370" s="1" t="n">
        <v>44908.70862268518</v>
      </c>
      <c r="C4370" s="1" t="n">
        <v>45952</v>
      </c>
      <c r="D4370" t="inlineStr">
        <is>
          <t>VÄSTRA GÖTALANDS LÄN</t>
        </is>
      </c>
      <c r="E4370" t="inlineStr">
        <is>
          <t>ULRICEHAMN</t>
        </is>
      </c>
      <c r="G4370" t="n">
        <v>1.5</v>
      </c>
      <c r="H4370" t="n">
        <v>0</v>
      </c>
      <c r="I4370" t="n">
        <v>0</v>
      </c>
      <c r="J4370" t="n">
        <v>0</v>
      </c>
      <c r="K4370" t="n">
        <v>0</v>
      </c>
      <c r="L4370" t="n">
        <v>0</v>
      </c>
      <c r="M4370" t="n">
        <v>0</v>
      </c>
      <c r="N4370" t="n">
        <v>0</v>
      </c>
      <c r="O4370" t="n">
        <v>0</v>
      </c>
      <c r="P4370" t="n">
        <v>0</v>
      </c>
      <c r="Q4370" t="n">
        <v>0</v>
      </c>
      <c r="R4370" s="2" t="inlineStr"/>
    </row>
    <row r="4371" ht="15" customHeight="1">
      <c r="A4371" t="inlineStr">
        <is>
          <t>A 52616-2024</t>
        </is>
      </c>
      <c r="B4371" s="1" t="n">
        <v>45609.85064814815</v>
      </c>
      <c r="C4371" s="1" t="n">
        <v>45952</v>
      </c>
      <c r="D4371" t="inlineStr">
        <is>
          <t>VÄSTRA GÖTALANDS LÄN</t>
        </is>
      </c>
      <c r="E4371" t="inlineStr">
        <is>
          <t>SVENLJUNGA</t>
        </is>
      </c>
      <c r="F4371" t="inlineStr">
        <is>
          <t>Sveaskog</t>
        </is>
      </c>
      <c r="G4371" t="n">
        <v>1.3</v>
      </c>
      <c r="H4371" t="n">
        <v>0</v>
      </c>
      <c r="I4371" t="n">
        <v>0</v>
      </c>
      <c r="J4371" t="n">
        <v>0</v>
      </c>
      <c r="K4371" t="n">
        <v>0</v>
      </c>
      <c r="L4371" t="n">
        <v>0</v>
      </c>
      <c r="M4371" t="n">
        <v>0</v>
      </c>
      <c r="N4371" t="n">
        <v>0</v>
      </c>
      <c r="O4371" t="n">
        <v>0</v>
      </c>
      <c r="P4371" t="n">
        <v>0</v>
      </c>
      <c r="Q4371" t="n">
        <v>0</v>
      </c>
      <c r="R4371" s="2" t="inlineStr"/>
    </row>
    <row r="4372" ht="15" customHeight="1">
      <c r="A4372" t="inlineStr">
        <is>
          <t>A 6118-2023</t>
        </is>
      </c>
      <c r="B4372" s="1" t="n">
        <v>44964.60105324074</v>
      </c>
      <c r="C4372" s="1" t="n">
        <v>45952</v>
      </c>
      <c r="D4372" t="inlineStr">
        <is>
          <t>VÄSTRA GÖTALANDS LÄN</t>
        </is>
      </c>
      <c r="E4372" t="inlineStr">
        <is>
          <t>BORÅS</t>
        </is>
      </c>
      <c r="G4372" t="n">
        <v>2.1</v>
      </c>
      <c r="H4372" t="n">
        <v>0</v>
      </c>
      <c r="I4372" t="n">
        <v>0</v>
      </c>
      <c r="J4372" t="n">
        <v>0</v>
      </c>
      <c r="K4372" t="n">
        <v>0</v>
      </c>
      <c r="L4372" t="n">
        <v>0</v>
      </c>
      <c r="M4372" t="n">
        <v>0</v>
      </c>
      <c r="N4372" t="n">
        <v>0</v>
      </c>
      <c r="O4372" t="n">
        <v>0</v>
      </c>
      <c r="P4372" t="n">
        <v>0</v>
      </c>
      <c r="Q4372" t="n">
        <v>0</v>
      </c>
      <c r="R4372" s="2" t="inlineStr"/>
    </row>
    <row r="4373" ht="15" customHeight="1">
      <c r="A4373" t="inlineStr">
        <is>
          <t>A 34380-2022</t>
        </is>
      </c>
      <c r="B4373" s="1" t="n">
        <v>44792</v>
      </c>
      <c r="C4373" s="1" t="n">
        <v>45952</v>
      </c>
      <c r="D4373" t="inlineStr">
        <is>
          <t>VÄSTRA GÖTALANDS LÄN</t>
        </is>
      </c>
      <c r="E4373" t="inlineStr">
        <is>
          <t>ORUST</t>
        </is>
      </c>
      <c r="G4373" t="n">
        <v>1.4</v>
      </c>
      <c r="H4373" t="n">
        <v>0</v>
      </c>
      <c r="I4373" t="n">
        <v>0</v>
      </c>
      <c r="J4373" t="n">
        <v>0</v>
      </c>
      <c r="K4373" t="n">
        <v>0</v>
      </c>
      <c r="L4373" t="n">
        <v>0</v>
      </c>
      <c r="M4373" t="n">
        <v>0</v>
      </c>
      <c r="N4373" t="n">
        <v>0</v>
      </c>
      <c r="O4373" t="n">
        <v>0</v>
      </c>
      <c r="P4373" t="n">
        <v>0</v>
      </c>
      <c r="Q4373" t="n">
        <v>0</v>
      </c>
      <c r="R4373" s="2" t="inlineStr"/>
    </row>
    <row r="4374" ht="15" customHeight="1">
      <c r="A4374" t="inlineStr">
        <is>
          <t>A 57289-2024</t>
        </is>
      </c>
      <c r="B4374" s="1" t="n">
        <v>45629.58579861111</v>
      </c>
      <c r="C4374" s="1" t="n">
        <v>45952</v>
      </c>
      <c r="D4374" t="inlineStr">
        <is>
          <t>VÄSTRA GÖTALANDS LÄN</t>
        </is>
      </c>
      <c r="E4374" t="inlineStr">
        <is>
          <t>GULLSPÅNG</t>
        </is>
      </c>
      <c r="G4374" t="n">
        <v>0.8</v>
      </c>
      <c r="H4374" t="n">
        <v>0</v>
      </c>
      <c r="I4374" t="n">
        <v>0</v>
      </c>
      <c r="J4374" t="n">
        <v>0</v>
      </c>
      <c r="K4374" t="n">
        <v>0</v>
      </c>
      <c r="L4374" t="n">
        <v>0</v>
      </c>
      <c r="M4374" t="n">
        <v>0</v>
      </c>
      <c r="N4374" t="n">
        <v>0</v>
      </c>
      <c r="O4374" t="n">
        <v>0</v>
      </c>
      <c r="P4374" t="n">
        <v>0</v>
      </c>
      <c r="Q4374" t="n">
        <v>0</v>
      </c>
      <c r="R4374" s="2" t="inlineStr"/>
    </row>
    <row r="4375" ht="15" customHeight="1">
      <c r="A4375" t="inlineStr">
        <is>
          <t>A 38522-2024</t>
        </is>
      </c>
      <c r="B4375" s="1" t="n">
        <v>45546.56513888889</v>
      </c>
      <c r="C4375" s="1" t="n">
        <v>45952</v>
      </c>
      <c r="D4375" t="inlineStr">
        <is>
          <t>VÄSTRA GÖTALANDS LÄN</t>
        </is>
      </c>
      <c r="E4375" t="inlineStr">
        <is>
          <t>LILLA EDET</t>
        </is>
      </c>
      <c r="F4375" t="inlineStr">
        <is>
          <t>Kyrkan</t>
        </is>
      </c>
      <c r="G4375" t="n">
        <v>5.3</v>
      </c>
      <c r="H4375" t="n">
        <v>0</v>
      </c>
      <c r="I4375" t="n">
        <v>0</v>
      </c>
      <c r="J4375" t="n">
        <v>0</v>
      </c>
      <c r="K4375" t="n">
        <v>0</v>
      </c>
      <c r="L4375" t="n">
        <v>0</v>
      </c>
      <c r="M4375" t="n">
        <v>0</v>
      </c>
      <c r="N4375" t="n">
        <v>0</v>
      </c>
      <c r="O4375" t="n">
        <v>0</v>
      </c>
      <c r="P4375" t="n">
        <v>0</v>
      </c>
      <c r="Q4375" t="n">
        <v>0</v>
      </c>
      <c r="R4375" s="2" t="inlineStr"/>
    </row>
    <row r="4376" ht="15" customHeight="1">
      <c r="A4376" t="inlineStr">
        <is>
          <t>A 21363-2023</t>
        </is>
      </c>
      <c r="B4376" s="1" t="n">
        <v>45063.25231481482</v>
      </c>
      <c r="C4376" s="1" t="n">
        <v>45952</v>
      </c>
      <c r="D4376" t="inlineStr">
        <is>
          <t>VÄSTRA GÖTALANDS LÄN</t>
        </is>
      </c>
      <c r="E4376" t="inlineStr">
        <is>
          <t>TROLLHÄTTAN</t>
        </is>
      </c>
      <c r="G4376" t="n">
        <v>4.2</v>
      </c>
      <c r="H4376" t="n">
        <v>0</v>
      </c>
      <c r="I4376" t="n">
        <v>0</v>
      </c>
      <c r="J4376" t="n">
        <v>0</v>
      </c>
      <c r="K4376" t="n">
        <v>0</v>
      </c>
      <c r="L4376" t="n">
        <v>0</v>
      </c>
      <c r="M4376" t="n">
        <v>0</v>
      </c>
      <c r="N4376" t="n">
        <v>0</v>
      </c>
      <c r="O4376" t="n">
        <v>0</v>
      </c>
      <c r="P4376" t="n">
        <v>0</v>
      </c>
      <c r="Q4376" t="n">
        <v>0</v>
      </c>
      <c r="R4376" s="2" t="inlineStr"/>
    </row>
    <row r="4377" ht="15" customHeight="1">
      <c r="A4377" t="inlineStr">
        <is>
          <t>A 18842-2021</t>
        </is>
      </c>
      <c r="B4377" s="1" t="n">
        <v>44307</v>
      </c>
      <c r="C4377" s="1" t="n">
        <v>45952</v>
      </c>
      <c r="D4377" t="inlineStr">
        <is>
          <t>VÄSTRA GÖTALANDS LÄN</t>
        </is>
      </c>
      <c r="E4377" t="inlineStr">
        <is>
          <t>VARA</t>
        </is>
      </c>
      <c r="G4377" t="n">
        <v>0.3</v>
      </c>
      <c r="H4377" t="n">
        <v>0</v>
      </c>
      <c r="I4377" t="n">
        <v>0</v>
      </c>
      <c r="J4377" t="n">
        <v>0</v>
      </c>
      <c r="K4377" t="n">
        <v>0</v>
      </c>
      <c r="L4377" t="n">
        <v>0</v>
      </c>
      <c r="M4377" t="n">
        <v>0</v>
      </c>
      <c r="N4377" t="n">
        <v>0</v>
      </c>
      <c r="O4377" t="n">
        <v>0</v>
      </c>
      <c r="P4377" t="n">
        <v>0</v>
      </c>
      <c r="Q4377" t="n">
        <v>0</v>
      </c>
      <c r="R4377" s="2" t="inlineStr"/>
    </row>
    <row r="4378" ht="15" customHeight="1">
      <c r="A4378" t="inlineStr">
        <is>
          <t>A 40880-2023</t>
        </is>
      </c>
      <c r="B4378" s="1" t="n">
        <v>45173.36982638889</v>
      </c>
      <c r="C4378" s="1" t="n">
        <v>45952</v>
      </c>
      <c r="D4378" t="inlineStr">
        <is>
          <t>VÄSTRA GÖTALANDS LÄN</t>
        </is>
      </c>
      <c r="E4378" t="inlineStr">
        <is>
          <t>ALINGSÅS</t>
        </is>
      </c>
      <c r="G4378" t="n">
        <v>2.3</v>
      </c>
      <c r="H4378" t="n">
        <v>0</v>
      </c>
      <c r="I4378" t="n">
        <v>0</v>
      </c>
      <c r="J4378" t="n">
        <v>0</v>
      </c>
      <c r="K4378" t="n">
        <v>0</v>
      </c>
      <c r="L4378" t="n">
        <v>0</v>
      </c>
      <c r="M4378" t="n">
        <v>0</v>
      </c>
      <c r="N4378" t="n">
        <v>0</v>
      </c>
      <c r="O4378" t="n">
        <v>0</v>
      </c>
      <c r="P4378" t="n">
        <v>0</v>
      </c>
      <c r="Q4378" t="n">
        <v>0</v>
      </c>
      <c r="R4378" s="2" t="inlineStr"/>
    </row>
    <row r="4379" ht="15" customHeight="1">
      <c r="A4379" t="inlineStr">
        <is>
          <t>A 59020-2023</t>
        </is>
      </c>
      <c r="B4379" s="1" t="n">
        <v>45252</v>
      </c>
      <c r="C4379" s="1" t="n">
        <v>45952</v>
      </c>
      <c r="D4379" t="inlineStr">
        <is>
          <t>VÄSTRA GÖTALANDS LÄN</t>
        </is>
      </c>
      <c r="E4379" t="inlineStr">
        <is>
          <t>FÄRGELANDA</t>
        </is>
      </c>
      <c r="G4379" t="n">
        <v>3.7</v>
      </c>
      <c r="H4379" t="n">
        <v>0</v>
      </c>
      <c r="I4379" t="n">
        <v>0</v>
      </c>
      <c r="J4379" t="n">
        <v>0</v>
      </c>
      <c r="K4379" t="n">
        <v>0</v>
      </c>
      <c r="L4379" t="n">
        <v>0</v>
      </c>
      <c r="M4379" t="n">
        <v>0</v>
      </c>
      <c r="N4379" t="n">
        <v>0</v>
      </c>
      <c r="O4379" t="n">
        <v>0</v>
      </c>
      <c r="P4379" t="n">
        <v>0</v>
      </c>
      <c r="Q4379" t="n">
        <v>0</v>
      </c>
      <c r="R4379" s="2" t="inlineStr"/>
    </row>
    <row r="4380" ht="15" customHeight="1">
      <c r="A4380" t="inlineStr">
        <is>
          <t>A 57571-2023</t>
        </is>
      </c>
      <c r="B4380" s="1" t="n">
        <v>45246.52076388889</v>
      </c>
      <c r="C4380" s="1" t="n">
        <v>45952</v>
      </c>
      <c r="D4380" t="inlineStr">
        <is>
          <t>VÄSTRA GÖTALANDS LÄN</t>
        </is>
      </c>
      <c r="E4380" t="inlineStr">
        <is>
          <t>ULRICEHAMN</t>
        </is>
      </c>
      <c r="G4380" t="n">
        <v>1.5</v>
      </c>
      <c r="H4380" t="n">
        <v>0</v>
      </c>
      <c r="I4380" t="n">
        <v>0</v>
      </c>
      <c r="J4380" t="n">
        <v>0</v>
      </c>
      <c r="K4380" t="n">
        <v>0</v>
      </c>
      <c r="L4380" t="n">
        <v>0</v>
      </c>
      <c r="M4380" t="n">
        <v>0</v>
      </c>
      <c r="N4380" t="n">
        <v>0</v>
      </c>
      <c r="O4380" t="n">
        <v>0</v>
      </c>
      <c r="P4380" t="n">
        <v>0</v>
      </c>
      <c r="Q4380" t="n">
        <v>0</v>
      </c>
      <c r="R4380" s="2" t="inlineStr"/>
    </row>
    <row r="4381" ht="15" customHeight="1">
      <c r="A4381" t="inlineStr">
        <is>
          <t>A 59156-2023</t>
        </is>
      </c>
      <c r="B4381" s="1" t="n">
        <v>45251</v>
      </c>
      <c r="C4381" s="1" t="n">
        <v>45952</v>
      </c>
      <c r="D4381" t="inlineStr">
        <is>
          <t>VÄSTRA GÖTALANDS LÄN</t>
        </is>
      </c>
      <c r="E4381" t="inlineStr">
        <is>
          <t>MARK</t>
        </is>
      </c>
      <c r="G4381" t="n">
        <v>0.7</v>
      </c>
      <c r="H4381" t="n">
        <v>0</v>
      </c>
      <c r="I4381" t="n">
        <v>0</v>
      </c>
      <c r="J4381" t="n">
        <v>0</v>
      </c>
      <c r="K4381" t="n">
        <v>0</v>
      </c>
      <c r="L4381" t="n">
        <v>0</v>
      </c>
      <c r="M4381" t="n">
        <v>0</v>
      </c>
      <c r="N4381" t="n">
        <v>0</v>
      </c>
      <c r="O4381" t="n">
        <v>0</v>
      </c>
      <c r="P4381" t="n">
        <v>0</v>
      </c>
      <c r="Q4381" t="n">
        <v>0</v>
      </c>
      <c r="R4381" s="2" t="inlineStr"/>
    </row>
    <row r="4382" ht="15" customHeight="1">
      <c r="A4382" t="inlineStr">
        <is>
          <t>A 58895-2024</t>
        </is>
      </c>
      <c r="B4382" s="1" t="n">
        <v>45636.46734953704</v>
      </c>
      <c r="C4382" s="1" t="n">
        <v>45952</v>
      </c>
      <c r="D4382" t="inlineStr">
        <is>
          <t>VÄSTRA GÖTALANDS LÄN</t>
        </is>
      </c>
      <c r="E4382" t="inlineStr">
        <is>
          <t>BORÅS</t>
        </is>
      </c>
      <c r="G4382" t="n">
        <v>1.3</v>
      </c>
      <c r="H4382" t="n">
        <v>0</v>
      </c>
      <c r="I4382" t="n">
        <v>0</v>
      </c>
      <c r="J4382" t="n">
        <v>0</v>
      </c>
      <c r="K4382" t="n">
        <v>0</v>
      </c>
      <c r="L4382" t="n">
        <v>0</v>
      </c>
      <c r="M4382" t="n">
        <v>0</v>
      </c>
      <c r="N4382" t="n">
        <v>0</v>
      </c>
      <c r="O4382" t="n">
        <v>0</v>
      </c>
      <c r="P4382" t="n">
        <v>0</v>
      </c>
      <c r="Q4382" t="n">
        <v>0</v>
      </c>
      <c r="R4382" s="2" t="inlineStr"/>
    </row>
    <row r="4383" ht="15" customHeight="1">
      <c r="A4383" t="inlineStr">
        <is>
          <t>A 50057-2023</t>
        </is>
      </c>
      <c r="B4383" s="1" t="n">
        <v>45215</v>
      </c>
      <c r="C4383" s="1" t="n">
        <v>45952</v>
      </c>
      <c r="D4383" t="inlineStr">
        <is>
          <t>VÄSTRA GÖTALANDS LÄN</t>
        </is>
      </c>
      <c r="E4383" t="inlineStr">
        <is>
          <t>BOLLEBYGD</t>
        </is>
      </c>
      <c r="G4383" t="n">
        <v>2.7</v>
      </c>
      <c r="H4383" t="n">
        <v>0</v>
      </c>
      <c r="I4383" t="n">
        <v>0</v>
      </c>
      <c r="J4383" t="n">
        <v>0</v>
      </c>
      <c r="K4383" t="n">
        <v>0</v>
      </c>
      <c r="L4383" t="n">
        <v>0</v>
      </c>
      <c r="M4383" t="n">
        <v>0</v>
      </c>
      <c r="N4383" t="n">
        <v>0</v>
      </c>
      <c r="O4383" t="n">
        <v>0</v>
      </c>
      <c r="P4383" t="n">
        <v>0</v>
      </c>
      <c r="Q4383" t="n">
        <v>0</v>
      </c>
      <c r="R4383" s="2" t="inlineStr"/>
    </row>
    <row r="4384" ht="15" customHeight="1">
      <c r="A4384" t="inlineStr">
        <is>
          <t>A 3882-2025</t>
        </is>
      </c>
      <c r="B4384" s="1" t="n">
        <v>45684.35550925926</v>
      </c>
      <c r="C4384" s="1" t="n">
        <v>45952</v>
      </c>
      <c r="D4384" t="inlineStr">
        <is>
          <t>VÄSTRA GÖTALANDS LÄN</t>
        </is>
      </c>
      <c r="E4384" t="inlineStr">
        <is>
          <t>FÄRGELANDA</t>
        </is>
      </c>
      <c r="F4384" t="inlineStr">
        <is>
          <t>Kommuner</t>
        </is>
      </c>
      <c r="G4384" t="n">
        <v>1.1</v>
      </c>
      <c r="H4384" t="n">
        <v>0</v>
      </c>
      <c r="I4384" t="n">
        <v>0</v>
      </c>
      <c r="J4384" t="n">
        <v>0</v>
      </c>
      <c r="K4384" t="n">
        <v>0</v>
      </c>
      <c r="L4384" t="n">
        <v>0</v>
      </c>
      <c r="M4384" t="n">
        <v>0</v>
      </c>
      <c r="N4384" t="n">
        <v>0</v>
      </c>
      <c r="O4384" t="n">
        <v>0</v>
      </c>
      <c r="P4384" t="n">
        <v>0</v>
      </c>
      <c r="Q4384" t="n">
        <v>0</v>
      </c>
      <c r="R4384" s="2" t="inlineStr"/>
    </row>
    <row r="4385" ht="15" customHeight="1">
      <c r="A4385" t="inlineStr">
        <is>
          <t>A 3884-2025</t>
        </is>
      </c>
      <c r="B4385" s="1" t="n">
        <v>45684.36178240741</v>
      </c>
      <c r="C4385" s="1" t="n">
        <v>45952</v>
      </c>
      <c r="D4385" t="inlineStr">
        <is>
          <t>VÄSTRA GÖTALANDS LÄN</t>
        </is>
      </c>
      <c r="E4385" t="inlineStr">
        <is>
          <t>FALKÖPING</t>
        </is>
      </c>
      <c r="G4385" t="n">
        <v>2.5</v>
      </c>
      <c r="H4385" t="n">
        <v>0</v>
      </c>
      <c r="I4385" t="n">
        <v>0</v>
      </c>
      <c r="J4385" t="n">
        <v>0</v>
      </c>
      <c r="K4385" t="n">
        <v>0</v>
      </c>
      <c r="L4385" t="n">
        <v>0</v>
      </c>
      <c r="M4385" t="n">
        <v>0</v>
      </c>
      <c r="N4385" t="n">
        <v>0</v>
      </c>
      <c r="O4385" t="n">
        <v>0</v>
      </c>
      <c r="P4385" t="n">
        <v>0</v>
      </c>
      <c r="Q4385" t="n">
        <v>0</v>
      </c>
      <c r="R4385" s="2" t="inlineStr"/>
    </row>
    <row r="4386" ht="15" customHeight="1">
      <c r="A4386" t="inlineStr">
        <is>
          <t>A 53759-2021</t>
        </is>
      </c>
      <c r="B4386" s="1" t="n">
        <v>44469</v>
      </c>
      <c r="C4386" s="1" t="n">
        <v>45952</v>
      </c>
      <c r="D4386" t="inlineStr">
        <is>
          <t>VÄSTRA GÖTALANDS LÄN</t>
        </is>
      </c>
      <c r="E4386" t="inlineStr">
        <is>
          <t>TANUM</t>
        </is>
      </c>
      <c r="G4386" t="n">
        <v>5</v>
      </c>
      <c r="H4386" t="n">
        <v>0</v>
      </c>
      <c r="I4386" t="n">
        <v>0</v>
      </c>
      <c r="J4386" t="n">
        <v>0</v>
      </c>
      <c r="K4386" t="n">
        <v>0</v>
      </c>
      <c r="L4386" t="n">
        <v>0</v>
      </c>
      <c r="M4386" t="n">
        <v>0</v>
      </c>
      <c r="N4386" t="n">
        <v>0</v>
      </c>
      <c r="O4386" t="n">
        <v>0</v>
      </c>
      <c r="P4386" t="n">
        <v>0</v>
      </c>
      <c r="Q4386" t="n">
        <v>0</v>
      </c>
      <c r="R4386" s="2" t="inlineStr"/>
    </row>
    <row r="4387" ht="15" customHeight="1">
      <c r="A4387" t="inlineStr">
        <is>
          <t>A 20888-2022</t>
        </is>
      </c>
      <c r="B4387" s="1" t="n">
        <v>44701</v>
      </c>
      <c r="C4387" s="1" t="n">
        <v>45952</v>
      </c>
      <c r="D4387" t="inlineStr">
        <is>
          <t>VÄSTRA GÖTALANDS LÄN</t>
        </is>
      </c>
      <c r="E4387" t="inlineStr">
        <is>
          <t>STRÖMSTAD</t>
        </is>
      </c>
      <c r="G4387" t="n">
        <v>1</v>
      </c>
      <c r="H4387" t="n">
        <v>0</v>
      </c>
      <c r="I4387" t="n">
        <v>0</v>
      </c>
      <c r="J4387" t="n">
        <v>0</v>
      </c>
      <c r="K4387" t="n">
        <v>0</v>
      </c>
      <c r="L4387" t="n">
        <v>0</v>
      </c>
      <c r="M4387" t="n">
        <v>0</v>
      </c>
      <c r="N4387" t="n">
        <v>0</v>
      </c>
      <c r="O4387" t="n">
        <v>0</v>
      </c>
      <c r="P4387" t="n">
        <v>0</v>
      </c>
      <c r="Q4387" t="n">
        <v>0</v>
      </c>
      <c r="R4387" s="2" t="inlineStr"/>
    </row>
    <row r="4388" ht="15" customHeight="1">
      <c r="A4388" t="inlineStr">
        <is>
          <t>A 32158-2023</t>
        </is>
      </c>
      <c r="B4388" s="1" t="n">
        <v>45119.72554398148</v>
      </c>
      <c r="C4388" s="1" t="n">
        <v>45952</v>
      </c>
      <c r="D4388" t="inlineStr">
        <is>
          <t>VÄSTRA GÖTALANDS LÄN</t>
        </is>
      </c>
      <c r="E4388" t="inlineStr">
        <is>
          <t>BORÅS</t>
        </is>
      </c>
      <c r="G4388" t="n">
        <v>1.7</v>
      </c>
      <c r="H4388" t="n">
        <v>0</v>
      </c>
      <c r="I4388" t="n">
        <v>0</v>
      </c>
      <c r="J4388" t="n">
        <v>0</v>
      </c>
      <c r="K4388" t="n">
        <v>0</v>
      </c>
      <c r="L4388" t="n">
        <v>0</v>
      </c>
      <c r="M4388" t="n">
        <v>0</v>
      </c>
      <c r="N4388" t="n">
        <v>0</v>
      </c>
      <c r="O4388" t="n">
        <v>0</v>
      </c>
      <c r="P4388" t="n">
        <v>0</v>
      </c>
      <c r="Q4388" t="n">
        <v>0</v>
      </c>
      <c r="R4388" s="2" t="inlineStr"/>
    </row>
    <row r="4389" ht="15" customHeight="1">
      <c r="A4389" t="inlineStr">
        <is>
          <t>A 32160-2023</t>
        </is>
      </c>
      <c r="B4389" s="1" t="n">
        <v>45119</v>
      </c>
      <c r="C4389" s="1" t="n">
        <v>45952</v>
      </c>
      <c r="D4389" t="inlineStr">
        <is>
          <t>VÄSTRA GÖTALANDS LÄN</t>
        </is>
      </c>
      <c r="E4389" t="inlineStr">
        <is>
          <t>BORÅS</t>
        </is>
      </c>
      <c r="G4389" t="n">
        <v>4.4</v>
      </c>
      <c r="H4389" t="n">
        <v>0</v>
      </c>
      <c r="I4389" t="n">
        <v>0</v>
      </c>
      <c r="J4389" t="n">
        <v>0</v>
      </c>
      <c r="K4389" t="n">
        <v>0</v>
      </c>
      <c r="L4389" t="n">
        <v>0</v>
      </c>
      <c r="M4389" t="n">
        <v>0</v>
      </c>
      <c r="N4389" t="n">
        <v>0</v>
      </c>
      <c r="O4389" t="n">
        <v>0</v>
      </c>
      <c r="P4389" t="n">
        <v>0</v>
      </c>
      <c r="Q4389" t="n">
        <v>0</v>
      </c>
      <c r="R4389" s="2" t="inlineStr"/>
    </row>
    <row r="4390" ht="15" customHeight="1">
      <c r="A4390" t="inlineStr">
        <is>
          <t>A 42386-2023</t>
        </is>
      </c>
      <c r="B4390" s="1" t="n">
        <v>45180</v>
      </c>
      <c r="C4390" s="1" t="n">
        <v>45952</v>
      </c>
      <c r="D4390" t="inlineStr">
        <is>
          <t>VÄSTRA GÖTALANDS LÄN</t>
        </is>
      </c>
      <c r="E4390" t="inlineStr">
        <is>
          <t>BENGTSFORS</t>
        </is>
      </c>
      <c r="G4390" t="n">
        <v>1.1</v>
      </c>
      <c r="H4390" t="n">
        <v>0</v>
      </c>
      <c r="I4390" t="n">
        <v>0</v>
      </c>
      <c r="J4390" t="n">
        <v>0</v>
      </c>
      <c r="K4390" t="n">
        <v>0</v>
      </c>
      <c r="L4390" t="n">
        <v>0</v>
      </c>
      <c r="M4390" t="n">
        <v>0</v>
      </c>
      <c r="N4390" t="n">
        <v>0</v>
      </c>
      <c r="O4390" t="n">
        <v>0</v>
      </c>
      <c r="P4390" t="n">
        <v>0</v>
      </c>
      <c r="Q4390" t="n">
        <v>0</v>
      </c>
      <c r="R4390" s="2" t="inlineStr"/>
    </row>
    <row r="4391" ht="15" customHeight="1">
      <c r="A4391" t="inlineStr">
        <is>
          <t>A 32182-2023</t>
        </is>
      </c>
      <c r="B4391" s="1" t="n">
        <v>45119</v>
      </c>
      <c r="C4391" s="1" t="n">
        <v>45952</v>
      </c>
      <c r="D4391" t="inlineStr">
        <is>
          <t>VÄSTRA GÖTALANDS LÄN</t>
        </is>
      </c>
      <c r="E4391" t="inlineStr">
        <is>
          <t>MARK</t>
        </is>
      </c>
      <c r="G4391" t="n">
        <v>0.7</v>
      </c>
      <c r="H4391" t="n">
        <v>0</v>
      </c>
      <c r="I4391" t="n">
        <v>0</v>
      </c>
      <c r="J4391" t="n">
        <v>0</v>
      </c>
      <c r="K4391" t="n">
        <v>0</v>
      </c>
      <c r="L4391" t="n">
        <v>0</v>
      </c>
      <c r="M4391" t="n">
        <v>0</v>
      </c>
      <c r="N4391" t="n">
        <v>0</v>
      </c>
      <c r="O4391" t="n">
        <v>0</v>
      </c>
      <c r="P4391" t="n">
        <v>0</v>
      </c>
      <c r="Q4391" t="n">
        <v>0</v>
      </c>
      <c r="R4391" s="2" t="inlineStr"/>
    </row>
    <row r="4392" ht="15" customHeight="1">
      <c r="A4392" t="inlineStr">
        <is>
          <t>A 32186-2023</t>
        </is>
      </c>
      <c r="B4392" s="1" t="n">
        <v>45119.8443287037</v>
      </c>
      <c r="C4392" s="1" t="n">
        <v>45952</v>
      </c>
      <c r="D4392" t="inlineStr">
        <is>
          <t>VÄSTRA GÖTALANDS LÄN</t>
        </is>
      </c>
      <c r="E4392" t="inlineStr">
        <is>
          <t>BORÅS</t>
        </is>
      </c>
      <c r="G4392" t="n">
        <v>1.3</v>
      </c>
      <c r="H4392" t="n">
        <v>0</v>
      </c>
      <c r="I4392" t="n">
        <v>0</v>
      </c>
      <c r="J4392" t="n">
        <v>0</v>
      </c>
      <c r="K4392" t="n">
        <v>0</v>
      </c>
      <c r="L4392" t="n">
        <v>0</v>
      </c>
      <c r="M4392" t="n">
        <v>0</v>
      </c>
      <c r="N4392" t="n">
        <v>0</v>
      </c>
      <c r="O4392" t="n">
        <v>0</v>
      </c>
      <c r="P4392" t="n">
        <v>0</v>
      </c>
      <c r="Q4392" t="n">
        <v>0</v>
      </c>
      <c r="R4392" s="2" t="inlineStr"/>
    </row>
    <row r="4393" ht="15" customHeight="1">
      <c r="A4393" t="inlineStr">
        <is>
          <t>A 42427-2023</t>
        </is>
      </c>
      <c r="B4393" s="1" t="n">
        <v>45180</v>
      </c>
      <c r="C4393" s="1" t="n">
        <v>45952</v>
      </c>
      <c r="D4393" t="inlineStr">
        <is>
          <t>VÄSTRA GÖTALANDS LÄN</t>
        </is>
      </c>
      <c r="E4393" t="inlineStr">
        <is>
          <t>VARA</t>
        </is>
      </c>
      <c r="G4393" t="n">
        <v>1.2</v>
      </c>
      <c r="H4393" t="n">
        <v>0</v>
      </c>
      <c r="I4393" t="n">
        <v>0</v>
      </c>
      <c r="J4393" t="n">
        <v>0</v>
      </c>
      <c r="K4393" t="n">
        <v>0</v>
      </c>
      <c r="L4393" t="n">
        <v>0</v>
      </c>
      <c r="M4393" t="n">
        <v>0</v>
      </c>
      <c r="N4393" t="n">
        <v>0</v>
      </c>
      <c r="O4393" t="n">
        <v>0</v>
      </c>
      <c r="P4393" t="n">
        <v>0</v>
      </c>
      <c r="Q4393" t="n">
        <v>0</v>
      </c>
      <c r="R4393" s="2" t="inlineStr"/>
    </row>
    <row r="4394" ht="15" customHeight="1">
      <c r="A4394" t="inlineStr">
        <is>
          <t>A 19937-2025</t>
        </is>
      </c>
      <c r="B4394" s="1" t="n">
        <v>45771.64229166666</v>
      </c>
      <c r="C4394" s="1" t="n">
        <v>45952</v>
      </c>
      <c r="D4394" t="inlineStr">
        <is>
          <t>VÄSTRA GÖTALANDS LÄN</t>
        </is>
      </c>
      <c r="E4394" t="inlineStr">
        <is>
          <t>BENGTSFORS</t>
        </is>
      </c>
      <c r="G4394" t="n">
        <v>9.199999999999999</v>
      </c>
      <c r="H4394" t="n">
        <v>0</v>
      </c>
      <c r="I4394" t="n">
        <v>0</v>
      </c>
      <c r="J4394" t="n">
        <v>0</v>
      </c>
      <c r="K4394" t="n">
        <v>0</v>
      </c>
      <c r="L4394" t="n">
        <v>0</v>
      </c>
      <c r="M4394" t="n">
        <v>0</v>
      </c>
      <c r="N4394" t="n">
        <v>0</v>
      </c>
      <c r="O4394" t="n">
        <v>0</v>
      </c>
      <c r="P4394" t="n">
        <v>0</v>
      </c>
      <c r="Q4394" t="n">
        <v>0</v>
      </c>
      <c r="R4394" s="2" t="inlineStr"/>
    </row>
    <row r="4395" ht="15" customHeight="1">
      <c r="A4395" t="inlineStr">
        <is>
          <t>A 10586-2024</t>
        </is>
      </c>
      <c r="B4395" s="1" t="n">
        <v>45366.69975694444</v>
      </c>
      <c r="C4395" s="1" t="n">
        <v>45952</v>
      </c>
      <c r="D4395" t="inlineStr">
        <is>
          <t>VÄSTRA GÖTALANDS LÄN</t>
        </is>
      </c>
      <c r="E4395" t="inlineStr">
        <is>
          <t>VÅRGÅRDA</t>
        </is>
      </c>
      <c r="G4395" t="n">
        <v>1.4</v>
      </c>
      <c r="H4395" t="n">
        <v>0</v>
      </c>
      <c r="I4395" t="n">
        <v>0</v>
      </c>
      <c r="J4395" t="n">
        <v>0</v>
      </c>
      <c r="K4395" t="n">
        <v>0</v>
      </c>
      <c r="L4395" t="n">
        <v>0</v>
      </c>
      <c r="M4395" t="n">
        <v>0</v>
      </c>
      <c r="N4395" t="n">
        <v>0</v>
      </c>
      <c r="O4395" t="n">
        <v>0</v>
      </c>
      <c r="P4395" t="n">
        <v>0</v>
      </c>
      <c r="Q4395" t="n">
        <v>0</v>
      </c>
      <c r="R4395" s="2" t="inlineStr"/>
    </row>
    <row r="4396" ht="15" customHeight="1">
      <c r="A4396" t="inlineStr">
        <is>
          <t>A 8855-2023</t>
        </is>
      </c>
      <c r="B4396" s="1" t="n">
        <v>44978.88230324074</v>
      </c>
      <c r="C4396" s="1" t="n">
        <v>45952</v>
      </c>
      <c r="D4396" t="inlineStr">
        <is>
          <t>VÄSTRA GÖTALANDS LÄN</t>
        </is>
      </c>
      <c r="E4396" t="inlineStr">
        <is>
          <t>MARK</t>
        </is>
      </c>
      <c r="G4396" t="n">
        <v>6</v>
      </c>
      <c r="H4396" t="n">
        <v>0</v>
      </c>
      <c r="I4396" t="n">
        <v>0</v>
      </c>
      <c r="J4396" t="n">
        <v>0</v>
      </c>
      <c r="K4396" t="n">
        <v>0</v>
      </c>
      <c r="L4396" t="n">
        <v>0</v>
      </c>
      <c r="M4396" t="n">
        <v>0</v>
      </c>
      <c r="N4396" t="n">
        <v>0</v>
      </c>
      <c r="O4396" t="n">
        <v>0</v>
      </c>
      <c r="P4396" t="n">
        <v>0</v>
      </c>
      <c r="Q4396" t="n">
        <v>0</v>
      </c>
      <c r="R4396" s="2" t="inlineStr"/>
    </row>
    <row r="4397" ht="15" customHeight="1">
      <c r="A4397" t="inlineStr">
        <is>
          <t>A 10596-2024</t>
        </is>
      </c>
      <c r="B4397" s="1" t="n">
        <v>45366.78552083333</v>
      </c>
      <c r="C4397" s="1" t="n">
        <v>45952</v>
      </c>
      <c r="D4397" t="inlineStr">
        <is>
          <t>VÄSTRA GÖTALANDS LÄN</t>
        </is>
      </c>
      <c r="E4397" t="inlineStr">
        <is>
          <t>GÖTENE</t>
        </is>
      </c>
      <c r="G4397" t="n">
        <v>0.4</v>
      </c>
      <c r="H4397" t="n">
        <v>0</v>
      </c>
      <c r="I4397" t="n">
        <v>0</v>
      </c>
      <c r="J4397" t="n">
        <v>0</v>
      </c>
      <c r="K4397" t="n">
        <v>0</v>
      </c>
      <c r="L4397" t="n">
        <v>0</v>
      </c>
      <c r="M4397" t="n">
        <v>0</v>
      </c>
      <c r="N4397" t="n">
        <v>0</v>
      </c>
      <c r="O4397" t="n">
        <v>0</v>
      </c>
      <c r="P4397" t="n">
        <v>0</v>
      </c>
      <c r="Q4397" t="n">
        <v>0</v>
      </c>
      <c r="R4397" s="2" t="inlineStr"/>
    </row>
    <row r="4398" ht="15" customHeight="1">
      <c r="A4398" t="inlineStr">
        <is>
          <t>A 22360-2023</t>
        </is>
      </c>
      <c r="B4398" s="1" t="n">
        <v>45070.58734953704</v>
      </c>
      <c r="C4398" s="1" t="n">
        <v>45952</v>
      </c>
      <c r="D4398" t="inlineStr">
        <is>
          <t>VÄSTRA GÖTALANDS LÄN</t>
        </is>
      </c>
      <c r="E4398" t="inlineStr">
        <is>
          <t>MARIESTAD</t>
        </is>
      </c>
      <c r="G4398" t="n">
        <v>10.3</v>
      </c>
      <c r="H4398" t="n">
        <v>0</v>
      </c>
      <c r="I4398" t="n">
        <v>0</v>
      </c>
      <c r="J4398" t="n">
        <v>0</v>
      </c>
      <c r="K4398" t="n">
        <v>0</v>
      </c>
      <c r="L4398" t="n">
        <v>0</v>
      </c>
      <c r="M4398" t="n">
        <v>0</v>
      </c>
      <c r="N4398" t="n">
        <v>0</v>
      </c>
      <c r="O4398" t="n">
        <v>0</v>
      </c>
      <c r="P4398" t="n">
        <v>0</v>
      </c>
      <c r="Q4398" t="n">
        <v>0</v>
      </c>
      <c r="R4398" s="2" t="inlineStr"/>
    </row>
    <row r="4399" ht="15" customHeight="1">
      <c r="A4399" t="inlineStr">
        <is>
          <t>A 40291-2024</t>
        </is>
      </c>
      <c r="B4399" s="1" t="n">
        <v>45554.68796296296</v>
      </c>
      <c r="C4399" s="1" t="n">
        <v>45952</v>
      </c>
      <c r="D4399" t="inlineStr">
        <is>
          <t>VÄSTRA GÖTALANDS LÄN</t>
        </is>
      </c>
      <c r="E4399" t="inlineStr">
        <is>
          <t>LIDKÖPING</t>
        </is>
      </c>
      <c r="G4399" t="n">
        <v>1.3</v>
      </c>
      <c r="H4399" t="n">
        <v>0</v>
      </c>
      <c r="I4399" t="n">
        <v>0</v>
      </c>
      <c r="J4399" t="n">
        <v>0</v>
      </c>
      <c r="K4399" t="n">
        <v>0</v>
      </c>
      <c r="L4399" t="n">
        <v>0</v>
      </c>
      <c r="M4399" t="n">
        <v>0</v>
      </c>
      <c r="N4399" t="n">
        <v>0</v>
      </c>
      <c r="O4399" t="n">
        <v>0</v>
      </c>
      <c r="P4399" t="n">
        <v>0</v>
      </c>
      <c r="Q4399" t="n">
        <v>0</v>
      </c>
      <c r="R4399" s="2" t="inlineStr"/>
    </row>
    <row r="4400" ht="15" customHeight="1">
      <c r="A4400" t="inlineStr">
        <is>
          <t>A 64712-2023</t>
        </is>
      </c>
      <c r="B4400" s="1" t="n">
        <v>45281.68771990741</v>
      </c>
      <c r="C4400" s="1" t="n">
        <v>45952</v>
      </c>
      <c r="D4400" t="inlineStr">
        <is>
          <t>VÄSTRA GÖTALANDS LÄN</t>
        </is>
      </c>
      <c r="E4400" t="inlineStr">
        <is>
          <t>GÖTENE</t>
        </is>
      </c>
      <c r="G4400" t="n">
        <v>3.5</v>
      </c>
      <c r="H4400" t="n">
        <v>0</v>
      </c>
      <c r="I4400" t="n">
        <v>0</v>
      </c>
      <c r="J4400" t="n">
        <v>0</v>
      </c>
      <c r="K4400" t="n">
        <v>0</v>
      </c>
      <c r="L4400" t="n">
        <v>0</v>
      </c>
      <c r="M4400" t="n">
        <v>0</v>
      </c>
      <c r="N4400" t="n">
        <v>0</v>
      </c>
      <c r="O4400" t="n">
        <v>0</v>
      </c>
      <c r="P4400" t="n">
        <v>0</v>
      </c>
      <c r="Q4400" t="n">
        <v>0</v>
      </c>
      <c r="R4400" s="2" t="inlineStr"/>
    </row>
    <row r="4401" ht="15" customHeight="1">
      <c r="A4401" t="inlineStr">
        <is>
          <t>A 34909-2023</t>
        </is>
      </c>
      <c r="B4401" s="1" t="n">
        <v>45141</v>
      </c>
      <c r="C4401" s="1" t="n">
        <v>45952</v>
      </c>
      <c r="D4401" t="inlineStr">
        <is>
          <t>VÄSTRA GÖTALANDS LÄN</t>
        </is>
      </c>
      <c r="E4401" t="inlineStr">
        <is>
          <t>TROLLHÄTTAN</t>
        </is>
      </c>
      <c r="G4401" t="n">
        <v>2</v>
      </c>
      <c r="H4401" t="n">
        <v>0</v>
      </c>
      <c r="I4401" t="n">
        <v>0</v>
      </c>
      <c r="J4401" t="n">
        <v>0</v>
      </c>
      <c r="K4401" t="n">
        <v>0</v>
      </c>
      <c r="L4401" t="n">
        <v>0</v>
      </c>
      <c r="M4401" t="n">
        <v>0</v>
      </c>
      <c r="N4401" t="n">
        <v>0</v>
      </c>
      <c r="O4401" t="n">
        <v>0</v>
      </c>
      <c r="P4401" t="n">
        <v>0</v>
      </c>
      <c r="Q4401" t="n">
        <v>0</v>
      </c>
      <c r="R4401" s="2" t="inlineStr"/>
    </row>
    <row r="4402" ht="15" customHeight="1">
      <c r="A4402" t="inlineStr">
        <is>
          <t>A 57324-2023</t>
        </is>
      </c>
      <c r="B4402" s="1" t="n">
        <v>45245</v>
      </c>
      <c r="C4402" s="1" t="n">
        <v>45952</v>
      </c>
      <c r="D4402" t="inlineStr">
        <is>
          <t>VÄSTRA GÖTALANDS LÄN</t>
        </is>
      </c>
      <c r="E4402" t="inlineStr">
        <is>
          <t>SVENLJUNGA</t>
        </is>
      </c>
      <c r="G4402" t="n">
        <v>2</v>
      </c>
      <c r="H4402" t="n">
        <v>0</v>
      </c>
      <c r="I4402" t="n">
        <v>0</v>
      </c>
      <c r="J4402" t="n">
        <v>0</v>
      </c>
      <c r="K4402" t="n">
        <v>0</v>
      </c>
      <c r="L4402" t="n">
        <v>0</v>
      </c>
      <c r="M4402" t="n">
        <v>0</v>
      </c>
      <c r="N4402" t="n">
        <v>0</v>
      </c>
      <c r="O4402" t="n">
        <v>0</v>
      </c>
      <c r="P4402" t="n">
        <v>0</v>
      </c>
      <c r="Q4402" t="n">
        <v>0</v>
      </c>
      <c r="R4402" s="2" t="inlineStr"/>
    </row>
    <row r="4403" ht="15" customHeight="1">
      <c r="A4403" t="inlineStr">
        <is>
          <t>A 9152-2024</t>
        </is>
      </c>
      <c r="B4403" s="1" t="n">
        <v>45357</v>
      </c>
      <c r="C4403" s="1" t="n">
        <v>45952</v>
      </c>
      <c r="D4403" t="inlineStr">
        <is>
          <t>VÄSTRA GÖTALANDS LÄN</t>
        </is>
      </c>
      <c r="E4403" t="inlineStr">
        <is>
          <t>MELLERUD</t>
        </is>
      </c>
      <c r="G4403" t="n">
        <v>0.7</v>
      </c>
      <c r="H4403" t="n">
        <v>0</v>
      </c>
      <c r="I4403" t="n">
        <v>0</v>
      </c>
      <c r="J4403" t="n">
        <v>0</v>
      </c>
      <c r="K4403" t="n">
        <v>0</v>
      </c>
      <c r="L4403" t="n">
        <v>0</v>
      </c>
      <c r="M4403" t="n">
        <v>0</v>
      </c>
      <c r="N4403" t="n">
        <v>0</v>
      </c>
      <c r="O4403" t="n">
        <v>0</v>
      </c>
      <c r="P4403" t="n">
        <v>0</v>
      </c>
      <c r="Q4403" t="n">
        <v>0</v>
      </c>
      <c r="R4403" s="2" t="inlineStr"/>
    </row>
    <row r="4404" ht="15" customHeight="1">
      <c r="A4404" t="inlineStr">
        <is>
          <t>A 9154-2024</t>
        </is>
      </c>
      <c r="B4404" s="1" t="n">
        <v>45358.38795138889</v>
      </c>
      <c r="C4404" s="1" t="n">
        <v>45952</v>
      </c>
      <c r="D4404" t="inlineStr">
        <is>
          <t>VÄSTRA GÖTALANDS LÄN</t>
        </is>
      </c>
      <c r="E4404" t="inlineStr">
        <is>
          <t>BENGTSFORS</t>
        </is>
      </c>
      <c r="G4404" t="n">
        <v>5.7</v>
      </c>
      <c r="H4404" t="n">
        <v>0</v>
      </c>
      <c r="I4404" t="n">
        <v>0</v>
      </c>
      <c r="J4404" t="n">
        <v>0</v>
      </c>
      <c r="K4404" t="n">
        <v>0</v>
      </c>
      <c r="L4404" t="n">
        <v>0</v>
      </c>
      <c r="M4404" t="n">
        <v>0</v>
      </c>
      <c r="N4404" t="n">
        <v>0</v>
      </c>
      <c r="O4404" t="n">
        <v>0</v>
      </c>
      <c r="P4404" t="n">
        <v>0</v>
      </c>
      <c r="Q4404" t="n">
        <v>0</v>
      </c>
      <c r="R4404" s="2" t="inlineStr"/>
    </row>
    <row r="4405" ht="15" customHeight="1">
      <c r="A4405" t="inlineStr">
        <is>
          <t>A 9168-2024</t>
        </is>
      </c>
      <c r="B4405" s="1" t="n">
        <v>45358.41972222222</v>
      </c>
      <c r="C4405" s="1" t="n">
        <v>45952</v>
      </c>
      <c r="D4405" t="inlineStr">
        <is>
          <t>VÄSTRA GÖTALANDS LÄN</t>
        </is>
      </c>
      <c r="E4405" t="inlineStr">
        <is>
          <t>TRANEMO</t>
        </is>
      </c>
      <c r="G4405" t="n">
        <v>1.1</v>
      </c>
      <c r="H4405" t="n">
        <v>0</v>
      </c>
      <c r="I4405" t="n">
        <v>0</v>
      </c>
      <c r="J4405" t="n">
        <v>0</v>
      </c>
      <c r="K4405" t="n">
        <v>0</v>
      </c>
      <c r="L4405" t="n">
        <v>0</v>
      </c>
      <c r="M4405" t="n">
        <v>0</v>
      </c>
      <c r="N4405" t="n">
        <v>0</v>
      </c>
      <c r="O4405" t="n">
        <v>0</v>
      </c>
      <c r="P4405" t="n">
        <v>0</v>
      </c>
      <c r="Q4405" t="n">
        <v>0</v>
      </c>
      <c r="R4405" s="2" t="inlineStr"/>
    </row>
    <row r="4406" ht="15" customHeight="1">
      <c r="A4406" t="inlineStr">
        <is>
          <t>A 48341-2024</t>
        </is>
      </c>
      <c r="B4406" s="1" t="n">
        <v>45590.54883101852</v>
      </c>
      <c r="C4406" s="1" t="n">
        <v>45952</v>
      </c>
      <c r="D4406" t="inlineStr">
        <is>
          <t>VÄSTRA GÖTALANDS LÄN</t>
        </is>
      </c>
      <c r="E4406" t="inlineStr">
        <is>
          <t>DALS-ED</t>
        </is>
      </c>
      <c r="G4406" t="n">
        <v>0.6</v>
      </c>
      <c r="H4406" t="n">
        <v>0</v>
      </c>
      <c r="I4406" t="n">
        <v>0</v>
      </c>
      <c r="J4406" t="n">
        <v>0</v>
      </c>
      <c r="K4406" t="n">
        <v>0</v>
      </c>
      <c r="L4406" t="n">
        <v>0</v>
      </c>
      <c r="M4406" t="n">
        <v>0</v>
      </c>
      <c r="N4406" t="n">
        <v>0</v>
      </c>
      <c r="O4406" t="n">
        <v>0</v>
      </c>
      <c r="P4406" t="n">
        <v>0</v>
      </c>
      <c r="Q4406" t="n">
        <v>0</v>
      </c>
      <c r="R4406" s="2" t="inlineStr"/>
    </row>
    <row r="4407" ht="15" customHeight="1">
      <c r="A4407" t="inlineStr">
        <is>
          <t>A 26534-2023</t>
        </is>
      </c>
      <c r="B4407" s="1" t="n">
        <v>45092.58068287037</v>
      </c>
      <c r="C4407" s="1" t="n">
        <v>45952</v>
      </c>
      <c r="D4407" t="inlineStr">
        <is>
          <t>VÄSTRA GÖTALANDS LÄN</t>
        </is>
      </c>
      <c r="E4407" t="inlineStr">
        <is>
          <t>DALS-ED</t>
        </is>
      </c>
      <c r="G4407" t="n">
        <v>1.1</v>
      </c>
      <c r="H4407" t="n">
        <v>0</v>
      </c>
      <c r="I4407" t="n">
        <v>0</v>
      </c>
      <c r="J4407" t="n">
        <v>0</v>
      </c>
      <c r="K4407" t="n">
        <v>0</v>
      </c>
      <c r="L4407" t="n">
        <v>0</v>
      </c>
      <c r="M4407" t="n">
        <v>0</v>
      </c>
      <c r="N4407" t="n">
        <v>0</v>
      </c>
      <c r="O4407" t="n">
        <v>0</v>
      </c>
      <c r="P4407" t="n">
        <v>0</v>
      </c>
      <c r="Q4407" t="n">
        <v>0</v>
      </c>
      <c r="R4407" s="2" t="inlineStr"/>
    </row>
    <row r="4408" ht="15" customHeight="1">
      <c r="A4408" t="inlineStr">
        <is>
          <t>A 59674-2023</t>
        </is>
      </c>
      <c r="B4408" s="1" t="n">
        <v>45255</v>
      </c>
      <c r="C4408" s="1" t="n">
        <v>45952</v>
      </c>
      <c r="D4408" t="inlineStr">
        <is>
          <t>VÄSTRA GÖTALANDS LÄN</t>
        </is>
      </c>
      <c r="E4408" t="inlineStr">
        <is>
          <t>UDDEVALLA</t>
        </is>
      </c>
      <c r="G4408" t="n">
        <v>1</v>
      </c>
      <c r="H4408" t="n">
        <v>0</v>
      </c>
      <c r="I4408" t="n">
        <v>0</v>
      </c>
      <c r="J4408" t="n">
        <v>0</v>
      </c>
      <c r="K4408" t="n">
        <v>0</v>
      </c>
      <c r="L4408" t="n">
        <v>0</v>
      </c>
      <c r="M4408" t="n">
        <v>0</v>
      </c>
      <c r="N4408" t="n">
        <v>0</v>
      </c>
      <c r="O4408" t="n">
        <v>0</v>
      </c>
      <c r="P4408" t="n">
        <v>0</v>
      </c>
      <c r="Q4408" t="n">
        <v>0</v>
      </c>
      <c r="R4408" s="2" t="inlineStr"/>
    </row>
    <row r="4409" ht="15" customHeight="1">
      <c r="A4409" t="inlineStr">
        <is>
          <t>A 62502-2023</t>
        </is>
      </c>
      <c r="B4409" s="1" t="n">
        <v>45267</v>
      </c>
      <c r="C4409" s="1" t="n">
        <v>45952</v>
      </c>
      <c r="D4409" t="inlineStr">
        <is>
          <t>VÄSTRA GÖTALANDS LÄN</t>
        </is>
      </c>
      <c r="E4409" t="inlineStr">
        <is>
          <t>MUNKEDAL</t>
        </is>
      </c>
      <c r="F4409" t="inlineStr">
        <is>
          <t>Kyrkan</t>
        </is>
      </c>
      <c r="G4409" t="n">
        <v>0.7</v>
      </c>
      <c r="H4409" t="n">
        <v>0</v>
      </c>
      <c r="I4409" t="n">
        <v>0</v>
      </c>
      <c r="J4409" t="n">
        <v>0</v>
      </c>
      <c r="K4409" t="n">
        <v>0</v>
      </c>
      <c r="L4409" t="n">
        <v>0</v>
      </c>
      <c r="M4409" t="n">
        <v>0</v>
      </c>
      <c r="N4409" t="n">
        <v>0</v>
      </c>
      <c r="O4409" t="n">
        <v>0</v>
      </c>
      <c r="P4409" t="n">
        <v>0</v>
      </c>
      <c r="Q4409" t="n">
        <v>0</v>
      </c>
      <c r="R4409" s="2" t="inlineStr"/>
    </row>
    <row r="4410" ht="15" customHeight="1">
      <c r="A4410" t="inlineStr">
        <is>
          <t>A 7267-2024</t>
        </is>
      </c>
      <c r="B4410" s="1" t="n">
        <v>45344.83107638889</v>
      </c>
      <c r="C4410" s="1" t="n">
        <v>45952</v>
      </c>
      <c r="D4410" t="inlineStr">
        <is>
          <t>VÄSTRA GÖTALANDS LÄN</t>
        </is>
      </c>
      <c r="E4410" t="inlineStr">
        <is>
          <t>ULRICEHAMN</t>
        </is>
      </c>
      <c r="G4410" t="n">
        <v>0.8</v>
      </c>
      <c r="H4410" t="n">
        <v>0</v>
      </c>
      <c r="I4410" t="n">
        <v>0</v>
      </c>
      <c r="J4410" t="n">
        <v>0</v>
      </c>
      <c r="K4410" t="n">
        <v>0</v>
      </c>
      <c r="L4410" t="n">
        <v>0</v>
      </c>
      <c r="M4410" t="n">
        <v>0</v>
      </c>
      <c r="N4410" t="n">
        <v>0</v>
      </c>
      <c r="O4410" t="n">
        <v>0</v>
      </c>
      <c r="P4410" t="n">
        <v>0</v>
      </c>
      <c r="Q4410" t="n">
        <v>0</v>
      </c>
      <c r="R4410" s="2" t="inlineStr"/>
    </row>
    <row r="4411" ht="15" customHeight="1">
      <c r="A4411" t="inlineStr">
        <is>
          <t>A 45933-2024</t>
        </is>
      </c>
      <c r="B4411" s="1" t="n">
        <v>45580.50152777778</v>
      </c>
      <c r="C4411" s="1" t="n">
        <v>45952</v>
      </c>
      <c r="D4411" t="inlineStr">
        <is>
          <t>VÄSTRA GÖTALANDS LÄN</t>
        </is>
      </c>
      <c r="E4411" t="inlineStr">
        <is>
          <t>UDDEVALLA</t>
        </is>
      </c>
      <c r="G4411" t="n">
        <v>1.4</v>
      </c>
      <c r="H4411" t="n">
        <v>0</v>
      </c>
      <c r="I4411" t="n">
        <v>0</v>
      </c>
      <c r="J4411" t="n">
        <v>0</v>
      </c>
      <c r="K4411" t="n">
        <v>0</v>
      </c>
      <c r="L4411" t="n">
        <v>0</v>
      </c>
      <c r="M4411" t="n">
        <v>0</v>
      </c>
      <c r="N4411" t="n">
        <v>0</v>
      </c>
      <c r="O4411" t="n">
        <v>0</v>
      </c>
      <c r="P4411" t="n">
        <v>0</v>
      </c>
      <c r="Q4411" t="n">
        <v>0</v>
      </c>
      <c r="R4411" s="2" t="inlineStr"/>
    </row>
    <row r="4412" ht="15" customHeight="1">
      <c r="A4412" t="inlineStr">
        <is>
          <t>A 24008-2023</t>
        </is>
      </c>
      <c r="B4412" s="1" t="n">
        <v>45078.67081018518</v>
      </c>
      <c r="C4412" s="1" t="n">
        <v>45952</v>
      </c>
      <c r="D4412" t="inlineStr">
        <is>
          <t>VÄSTRA GÖTALANDS LÄN</t>
        </is>
      </c>
      <c r="E4412" t="inlineStr">
        <is>
          <t>KARLSBORG</t>
        </is>
      </c>
      <c r="G4412" t="n">
        <v>2</v>
      </c>
      <c r="H4412" t="n">
        <v>0</v>
      </c>
      <c r="I4412" t="n">
        <v>0</v>
      </c>
      <c r="J4412" t="n">
        <v>0</v>
      </c>
      <c r="K4412" t="n">
        <v>0</v>
      </c>
      <c r="L4412" t="n">
        <v>0</v>
      </c>
      <c r="M4412" t="n">
        <v>0</v>
      </c>
      <c r="N4412" t="n">
        <v>0</v>
      </c>
      <c r="O4412" t="n">
        <v>0</v>
      </c>
      <c r="P4412" t="n">
        <v>0</v>
      </c>
      <c r="Q4412" t="n">
        <v>0</v>
      </c>
      <c r="R4412" s="2" t="inlineStr"/>
    </row>
    <row r="4413" ht="15" customHeight="1">
      <c r="A4413" t="inlineStr">
        <is>
          <t>A 6446-2025</t>
        </is>
      </c>
      <c r="B4413" s="1" t="n">
        <v>45699</v>
      </c>
      <c r="C4413" s="1" t="n">
        <v>45952</v>
      </c>
      <c r="D4413" t="inlineStr">
        <is>
          <t>VÄSTRA GÖTALANDS LÄN</t>
        </is>
      </c>
      <c r="E4413" t="inlineStr">
        <is>
          <t>TÖREBODA</t>
        </is>
      </c>
      <c r="G4413" t="n">
        <v>1.1</v>
      </c>
      <c r="H4413" t="n">
        <v>0</v>
      </c>
      <c r="I4413" t="n">
        <v>0</v>
      </c>
      <c r="J4413" t="n">
        <v>0</v>
      </c>
      <c r="K4413" t="n">
        <v>0</v>
      </c>
      <c r="L4413" t="n">
        <v>0</v>
      </c>
      <c r="M4413" t="n">
        <v>0</v>
      </c>
      <c r="N4413" t="n">
        <v>0</v>
      </c>
      <c r="O4413" t="n">
        <v>0</v>
      </c>
      <c r="P4413" t="n">
        <v>0</v>
      </c>
      <c r="Q4413" t="n">
        <v>0</v>
      </c>
      <c r="R4413" s="2" t="inlineStr"/>
    </row>
    <row r="4414" ht="15" customHeight="1">
      <c r="A4414" t="inlineStr">
        <is>
          <t>A 5557-2023</t>
        </is>
      </c>
      <c r="B4414" s="1" t="n">
        <v>44960</v>
      </c>
      <c r="C4414" s="1" t="n">
        <v>45952</v>
      </c>
      <c r="D4414" t="inlineStr">
        <is>
          <t>VÄSTRA GÖTALANDS LÄN</t>
        </is>
      </c>
      <c r="E4414" t="inlineStr">
        <is>
          <t>UDDEVALLA</t>
        </is>
      </c>
      <c r="G4414" t="n">
        <v>5.2</v>
      </c>
      <c r="H4414" t="n">
        <v>0</v>
      </c>
      <c r="I4414" t="n">
        <v>0</v>
      </c>
      <c r="J4414" t="n">
        <v>0</v>
      </c>
      <c r="K4414" t="n">
        <v>0</v>
      </c>
      <c r="L4414" t="n">
        <v>0</v>
      </c>
      <c r="M4414" t="n">
        <v>0</v>
      </c>
      <c r="N4414" t="n">
        <v>0</v>
      </c>
      <c r="O4414" t="n">
        <v>0</v>
      </c>
      <c r="P4414" t="n">
        <v>0</v>
      </c>
      <c r="Q4414" t="n">
        <v>0</v>
      </c>
      <c r="R4414" s="2" t="inlineStr"/>
    </row>
    <row r="4415" ht="15" customHeight="1">
      <c r="A4415" t="inlineStr">
        <is>
          <t>A 6666-2025</t>
        </is>
      </c>
      <c r="B4415" s="1" t="n">
        <v>45700.46284722222</v>
      </c>
      <c r="C4415" s="1" t="n">
        <v>45952</v>
      </c>
      <c r="D4415" t="inlineStr">
        <is>
          <t>VÄSTRA GÖTALANDS LÄN</t>
        </is>
      </c>
      <c r="E4415" t="inlineStr">
        <is>
          <t>FÄRGELANDA</t>
        </is>
      </c>
      <c r="G4415" t="n">
        <v>1.3</v>
      </c>
      <c r="H4415" t="n">
        <v>0</v>
      </c>
      <c r="I4415" t="n">
        <v>0</v>
      </c>
      <c r="J4415" t="n">
        <v>0</v>
      </c>
      <c r="K4415" t="n">
        <v>0</v>
      </c>
      <c r="L4415" t="n">
        <v>0</v>
      </c>
      <c r="M4415" t="n">
        <v>0</v>
      </c>
      <c r="N4415" t="n">
        <v>0</v>
      </c>
      <c r="O4415" t="n">
        <v>0</v>
      </c>
      <c r="P4415" t="n">
        <v>0</v>
      </c>
      <c r="Q4415" t="n">
        <v>0</v>
      </c>
      <c r="R4415" s="2" t="inlineStr"/>
    </row>
    <row r="4416" ht="15" customHeight="1">
      <c r="A4416" t="inlineStr">
        <is>
          <t>A 6114-2022</t>
        </is>
      </c>
      <c r="B4416" s="1" t="n">
        <v>44599</v>
      </c>
      <c r="C4416" s="1" t="n">
        <v>45952</v>
      </c>
      <c r="D4416" t="inlineStr">
        <is>
          <t>VÄSTRA GÖTALANDS LÄN</t>
        </is>
      </c>
      <c r="E4416" t="inlineStr">
        <is>
          <t>BENGTSFORS</t>
        </is>
      </c>
      <c r="G4416" t="n">
        <v>0</v>
      </c>
      <c r="H4416" t="n">
        <v>0</v>
      </c>
      <c r="I4416" t="n">
        <v>0</v>
      </c>
      <c r="J4416" t="n">
        <v>0</v>
      </c>
      <c r="K4416" t="n">
        <v>0</v>
      </c>
      <c r="L4416" t="n">
        <v>0</v>
      </c>
      <c r="M4416" t="n">
        <v>0</v>
      </c>
      <c r="N4416" t="n">
        <v>0</v>
      </c>
      <c r="O4416" t="n">
        <v>0</v>
      </c>
      <c r="P4416" t="n">
        <v>0</v>
      </c>
      <c r="Q4416" t="n">
        <v>0</v>
      </c>
      <c r="R4416" s="2" t="inlineStr"/>
    </row>
    <row r="4417" ht="15" customHeight="1">
      <c r="A4417" t="inlineStr">
        <is>
          <t>A 6156-2022</t>
        </is>
      </c>
      <c r="B4417" s="1" t="n">
        <v>44599</v>
      </c>
      <c r="C4417" s="1" t="n">
        <v>45952</v>
      </c>
      <c r="D4417" t="inlineStr">
        <is>
          <t>VÄSTRA GÖTALANDS LÄN</t>
        </is>
      </c>
      <c r="E4417" t="inlineStr">
        <is>
          <t>MARK</t>
        </is>
      </c>
      <c r="G4417" t="n">
        <v>3.7</v>
      </c>
      <c r="H4417" t="n">
        <v>0</v>
      </c>
      <c r="I4417" t="n">
        <v>0</v>
      </c>
      <c r="J4417" t="n">
        <v>0</v>
      </c>
      <c r="K4417" t="n">
        <v>0</v>
      </c>
      <c r="L4417" t="n">
        <v>0</v>
      </c>
      <c r="M4417" t="n">
        <v>0</v>
      </c>
      <c r="N4417" t="n">
        <v>0</v>
      </c>
      <c r="O4417" t="n">
        <v>0</v>
      </c>
      <c r="P4417" t="n">
        <v>0</v>
      </c>
      <c r="Q4417" t="n">
        <v>0</v>
      </c>
      <c r="R4417" s="2" t="inlineStr"/>
    </row>
    <row r="4418" ht="15" customHeight="1">
      <c r="A4418" t="inlineStr">
        <is>
          <t>A 32025-2023</t>
        </is>
      </c>
      <c r="B4418" s="1" t="n">
        <v>45119.50736111111</v>
      </c>
      <c r="C4418" s="1" t="n">
        <v>45952</v>
      </c>
      <c r="D4418" t="inlineStr">
        <is>
          <t>VÄSTRA GÖTALANDS LÄN</t>
        </is>
      </c>
      <c r="E4418" t="inlineStr">
        <is>
          <t>BORÅS</t>
        </is>
      </c>
      <c r="G4418" t="n">
        <v>1.9</v>
      </c>
      <c r="H4418" t="n">
        <v>0</v>
      </c>
      <c r="I4418" t="n">
        <v>0</v>
      </c>
      <c r="J4418" t="n">
        <v>0</v>
      </c>
      <c r="K4418" t="n">
        <v>0</v>
      </c>
      <c r="L4418" t="n">
        <v>0</v>
      </c>
      <c r="M4418" t="n">
        <v>0</v>
      </c>
      <c r="N4418" t="n">
        <v>0</v>
      </c>
      <c r="O4418" t="n">
        <v>0</v>
      </c>
      <c r="P4418" t="n">
        <v>0</v>
      </c>
      <c r="Q4418" t="n">
        <v>0</v>
      </c>
      <c r="R4418" s="2" t="inlineStr"/>
    </row>
    <row r="4419" ht="15" customHeight="1">
      <c r="A4419" t="inlineStr">
        <is>
          <t>A 32027-2023</t>
        </is>
      </c>
      <c r="B4419" s="1" t="n">
        <v>45119.51900462963</v>
      </c>
      <c r="C4419" s="1" t="n">
        <v>45952</v>
      </c>
      <c r="D4419" t="inlineStr">
        <is>
          <t>VÄSTRA GÖTALANDS LÄN</t>
        </is>
      </c>
      <c r="E4419" t="inlineStr">
        <is>
          <t>BORÅS</t>
        </is>
      </c>
      <c r="G4419" t="n">
        <v>3.1</v>
      </c>
      <c r="H4419" t="n">
        <v>0</v>
      </c>
      <c r="I4419" t="n">
        <v>0</v>
      </c>
      <c r="J4419" t="n">
        <v>0</v>
      </c>
      <c r="K4419" t="n">
        <v>0</v>
      </c>
      <c r="L4419" t="n">
        <v>0</v>
      </c>
      <c r="M4419" t="n">
        <v>0</v>
      </c>
      <c r="N4419" t="n">
        <v>0</v>
      </c>
      <c r="O4419" t="n">
        <v>0</v>
      </c>
      <c r="P4419" t="n">
        <v>0</v>
      </c>
      <c r="Q4419" t="n">
        <v>0</v>
      </c>
      <c r="R4419" s="2" t="inlineStr"/>
    </row>
    <row r="4420" ht="15" customHeight="1">
      <c r="A4420" t="inlineStr">
        <is>
          <t>A 60016-2023</t>
        </is>
      </c>
      <c r="B4420" s="1" t="n">
        <v>45258.26849537037</v>
      </c>
      <c r="C4420" s="1" t="n">
        <v>45952</v>
      </c>
      <c r="D4420" t="inlineStr">
        <is>
          <t>VÄSTRA GÖTALANDS LÄN</t>
        </is>
      </c>
      <c r="E4420" t="inlineStr">
        <is>
          <t>ULRICEHAMN</t>
        </is>
      </c>
      <c r="G4420" t="n">
        <v>0.8</v>
      </c>
      <c r="H4420" t="n">
        <v>0</v>
      </c>
      <c r="I4420" t="n">
        <v>0</v>
      </c>
      <c r="J4420" t="n">
        <v>0</v>
      </c>
      <c r="K4420" t="n">
        <v>0</v>
      </c>
      <c r="L4420" t="n">
        <v>0</v>
      </c>
      <c r="M4420" t="n">
        <v>0</v>
      </c>
      <c r="N4420" t="n">
        <v>0</v>
      </c>
      <c r="O4420" t="n">
        <v>0</v>
      </c>
      <c r="P4420" t="n">
        <v>0</v>
      </c>
      <c r="Q4420" t="n">
        <v>0</v>
      </c>
      <c r="R4420" s="2" t="inlineStr"/>
    </row>
    <row r="4421" ht="15" customHeight="1">
      <c r="A4421" t="inlineStr">
        <is>
          <t>A 32037-2023</t>
        </is>
      </c>
      <c r="B4421" s="1" t="n">
        <v>45119.54206018519</v>
      </c>
      <c r="C4421" s="1" t="n">
        <v>45952</v>
      </c>
      <c r="D4421" t="inlineStr">
        <is>
          <t>VÄSTRA GÖTALANDS LÄN</t>
        </is>
      </c>
      <c r="E4421" t="inlineStr">
        <is>
          <t>ÅMÅL</t>
        </is>
      </c>
      <c r="G4421" t="n">
        <v>1.6</v>
      </c>
      <c r="H4421" t="n">
        <v>0</v>
      </c>
      <c r="I4421" t="n">
        <v>0</v>
      </c>
      <c r="J4421" t="n">
        <v>0</v>
      </c>
      <c r="K4421" t="n">
        <v>0</v>
      </c>
      <c r="L4421" t="n">
        <v>0</v>
      </c>
      <c r="M4421" t="n">
        <v>0</v>
      </c>
      <c r="N4421" t="n">
        <v>0</v>
      </c>
      <c r="O4421" t="n">
        <v>0</v>
      </c>
      <c r="P4421" t="n">
        <v>0</v>
      </c>
      <c r="Q4421" t="n">
        <v>0</v>
      </c>
      <c r="R4421" s="2" t="inlineStr"/>
    </row>
    <row r="4422" ht="15" customHeight="1">
      <c r="A4422" t="inlineStr">
        <is>
          <t>A 1567-2023</t>
        </is>
      </c>
      <c r="B4422" s="1" t="n">
        <v>44937.60682870371</v>
      </c>
      <c r="C4422" s="1" t="n">
        <v>45952</v>
      </c>
      <c r="D4422" t="inlineStr">
        <is>
          <t>VÄSTRA GÖTALANDS LÄN</t>
        </is>
      </c>
      <c r="E4422" t="inlineStr">
        <is>
          <t>SKARA</t>
        </is>
      </c>
      <c r="G4422" t="n">
        <v>2</v>
      </c>
      <c r="H4422" t="n">
        <v>0</v>
      </c>
      <c r="I4422" t="n">
        <v>0</v>
      </c>
      <c r="J4422" t="n">
        <v>0</v>
      </c>
      <c r="K4422" t="n">
        <v>0</v>
      </c>
      <c r="L4422" t="n">
        <v>0</v>
      </c>
      <c r="M4422" t="n">
        <v>0</v>
      </c>
      <c r="N4422" t="n">
        <v>0</v>
      </c>
      <c r="O4422" t="n">
        <v>0</v>
      </c>
      <c r="P4422" t="n">
        <v>0</v>
      </c>
      <c r="Q4422" t="n">
        <v>0</v>
      </c>
      <c r="R4422" s="2" t="inlineStr"/>
    </row>
    <row r="4423" ht="15" customHeight="1">
      <c r="A4423" t="inlineStr">
        <is>
          <t>A 47617-2023</t>
        </is>
      </c>
      <c r="B4423" s="1" t="n">
        <v>45198</v>
      </c>
      <c r="C4423" s="1" t="n">
        <v>45952</v>
      </c>
      <c r="D4423" t="inlineStr">
        <is>
          <t>VÄSTRA GÖTALANDS LÄN</t>
        </is>
      </c>
      <c r="E4423" t="inlineStr">
        <is>
          <t>DALS-ED</t>
        </is>
      </c>
      <c r="G4423" t="n">
        <v>6</v>
      </c>
      <c r="H4423" t="n">
        <v>0</v>
      </c>
      <c r="I4423" t="n">
        <v>0</v>
      </c>
      <c r="J4423" t="n">
        <v>0</v>
      </c>
      <c r="K4423" t="n">
        <v>0</v>
      </c>
      <c r="L4423" t="n">
        <v>0</v>
      </c>
      <c r="M4423" t="n">
        <v>0</v>
      </c>
      <c r="N4423" t="n">
        <v>0</v>
      </c>
      <c r="O4423" t="n">
        <v>0</v>
      </c>
      <c r="P4423" t="n">
        <v>0</v>
      </c>
      <c r="Q4423" t="n">
        <v>0</v>
      </c>
      <c r="R4423" s="2" t="inlineStr"/>
    </row>
    <row r="4424" ht="15" customHeight="1">
      <c r="A4424" t="inlineStr">
        <is>
          <t>A 64429-2020</t>
        </is>
      </c>
      <c r="B4424" s="1" t="n">
        <v>44168</v>
      </c>
      <c r="C4424" s="1" t="n">
        <v>45952</v>
      </c>
      <c r="D4424" t="inlineStr">
        <is>
          <t>VÄSTRA GÖTALANDS LÄN</t>
        </is>
      </c>
      <c r="E4424" t="inlineStr">
        <is>
          <t>BORÅS</t>
        </is>
      </c>
      <c r="G4424" t="n">
        <v>0.9</v>
      </c>
      <c r="H4424" t="n">
        <v>0</v>
      </c>
      <c r="I4424" t="n">
        <v>0</v>
      </c>
      <c r="J4424" t="n">
        <v>0</v>
      </c>
      <c r="K4424" t="n">
        <v>0</v>
      </c>
      <c r="L4424" t="n">
        <v>0</v>
      </c>
      <c r="M4424" t="n">
        <v>0</v>
      </c>
      <c r="N4424" t="n">
        <v>0</v>
      </c>
      <c r="O4424" t="n">
        <v>0</v>
      </c>
      <c r="P4424" t="n">
        <v>0</v>
      </c>
      <c r="Q4424" t="n">
        <v>0</v>
      </c>
      <c r="R4424" s="2" t="inlineStr"/>
    </row>
    <row r="4425" ht="15" customHeight="1">
      <c r="A4425" t="inlineStr">
        <is>
          <t>A 64432-2020</t>
        </is>
      </c>
      <c r="B4425" s="1" t="n">
        <v>44168</v>
      </c>
      <c r="C4425" s="1" t="n">
        <v>45952</v>
      </c>
      <c r="D4425" t="inlineStr">
        <is>
          <t>VÄSTRA GÖTALANDS LÄN</t>
        </is>
      </c>
      <c r="E4425" t="inlineStr">
        <is>
          <t>BORÅS</t>
        </is>
      </c>
      <c r="G4425" t="n">
        <v>3.5</v>
      </c>
      <c r="H4425" t="n">
        <v>0</v>
      </c>
      <c r="I4425" t="n">
        <v>0</v>
      </c>
      <c r="J4425" t="n">
        <v>0</v>
      </c>
      <c r="K4425" t="n">
        <v>0</v>
      </c>
      <c r="L4425" t="n">
        <v>0</v>
      </c>
      <c r="M4425" t="n">
        <v>0</v>
      </c>
      <c r="N4425" t="n">
        <v>0</v>
      </c>
      <c r="O4425" t="n">
        <v>0</v>
      </c>
      <c r="P4425" t="n">
        <v>0</v>
      </c>
      <c r="Q4425" t="n">
        <v>0</v>
      </c>
      <c r="R4425" s="2" t="inlineStr"/>
    </row>
    <row r="4426" ht="15" customHeight="1">
      <c r="A4426" t="inlineStr">
        <is>
          <t>A 38539-2023</t>
        </is>
      </c>
      <c r="B4426" s="1" t="n">
        <v>45162.58184027778</v>
      </c>
      <c r="C4426" s="1" t="n">
        <v>45952</v>
      </c>
      <c r="D4426" t="inlineStr">
        <is>
          <t>VÄSTRA GÖTALANDS LÄN</t>
        </is>
      </c>
      <c r="E4426" t="inlineStr">
        <is>
          <t>ULRICEHAMN</t>
        </is>
      </c>
      <c r="G4426" t="n">
        <v>0.7</v>
      </c>
      <c r="H4426" t="n">
        <v>0</v>
      </c>
      <c r="I4426" t="n">
        <v>0</v>
      </c>
      <c r="J4426" t="n">
        <v>0</v>
      </c>
      <c r="K4426" t="n">
        <v>0</v>
      </c>
      <c r="L4426" t="n">
        <v>0</v>
      </c>
      <c r="M4426" t="n">
        <v>0</v>
      </c>
      <c r="N4426" t="n">
        <v>0</v>
      </c>
      <c r="O4426" t="n">
        <v>0</v>
      </c>
      <c r="P4426" t="n">
        <v>0</v>
      </c>
      <c r="Q4426" t="n">
        <v>0</v>
      </c>
      <c r="R4426" s="2" t="inlineStr"/>
    </row>
    <row r="4427" ht="15" customHeight="1">
      <c r="A4427" t="inlineStr">
        <is>
          <t>A 46511-2023</t>
        </is>
      </c>
      <c r="B4427" s="1" t="n">
        <v>45197</v>
      </c>
      <c r="C4427" s="1" t="n">
        <v>45952</v>
      </c>
      <c r="D4427" t="inlineStr">
        <is>
          <t>VÄSTRA GÖTALANDS LÄN</t>
        </is>
      </c>
      <c r="E4427" t="inlineStr">
        <is>
          <t>BOLLEBYGD</t>
        </is>
      </c>
      <c r="G4427" t="n">
        <v>3.8</v>
      </c>
      <c r="H4427" t="n">
        <v>0</v>
      </c>
      <c r="I4427" t="n">
        <v>0</v>
      </c>
      <c r="J4427" t="n">
        <v>0</v>
      </c>
      <c r="K4427" t="n">
        <v>0</v>
      </c>
      <c r="L4427" t="n">
        <v>0</v>
      </c>
      <c r="M4427" t="n">
        <v>0</v>
      </c>
      <c r="N4427" t="n">
        <v>0</v>
      </c>
      <c r="O4427" t="n">
        <v>0</v>
      </c>
      <c r="P4427" t="n">
        <v>0</v>
      </c>
      <c r="Q4427" t="n">
        <v>0</v>
      </c>
      <c r="R4427" s="2" t="inlineStr"/>
    </row>
    <row r="4428" ht="15" customHeight="1">
      <c r="A4428" t="inlineStr">
        <is>
          <t>A 923-2025</t>
        </is>
      </c>
      <c r="B4428" s="1" t="n">
        <v>45665.81203703704</v>
      </c>
      <c r="C4428" s="1" t="n">
        <v>45952</v>
      </c>
      <c r="D4428" t="inlineStr">
        <is>
          <t>VÄSTRA GÖTALANDS LÄN</t>
        </is>
      </c>
      <c r="E4428" t="inlineStr">
        <is>
          <t>TIDAHOLM</t>
        </is>
      </c>
      <c r="G4428" t="n">
        <v>1.5</v>
      </c>
      <c r="H4428" t="n">
        <v>0</v>
      </c>
      <c r="I4428" t="n">
        <v>0</v>
      </c>
      <c r="J4428" t="n">
        <v>0</v>
      </c>
      <c r="K4428" t="n">
        <v>0</v>
      </c>
      <c r="L4428" t="n">
        <v>0</v>
      </c>
      <c r="M4428" t="n">
        <v>0</v>
      </c>
      <c r="N4428" t="n">
        <v>0</v>
      </c>
      <c r="O4428" t="n">
        <v>0</v>
      </c>
      <c r="P4428" t="n">
        <v>0</v>
      </c>
      <c r="Q4428" t="n">
        <v>0</v>
      </c>
      <c r="R4428" s="2" t="inlineStr"/>
    </row>
    <row r="4429" ht="15" customHeight="1">
      <c r="A4429" t="inlineStr">
        <is>
          <t>A 10333-2024</t>
        </is>
      </c>
      <c r="B4429" s="1" t="n">
        <v>45365.57087962963</v>
      </c>
      <c r="C4429" s="1" t="n">
        <v>45952</v>
      </c>
      <c r="D4429" t="inlineStr">
        <is>
          <t>VÄSTRA GÖTALANDS LÄN</t>
        </is>
      </c>
      <c r="E4429" t="inlineStr">
        <is>
          <t>UDDEVALLA</t>
        </is>
      </c>
      <c r="G4429" t="n">
        <v>3.4</v>
      </c>
      <c r="H4429" t="n">
        <v>0</v>
      </c>
      <c r="I4429" t="n">
        <v>0</v>
      </c>
      <c r="J4429" t="n">
        <v>0</v>
      </c>
      <c r="K4429" t="n">
        <v>0</v>
      </c>
      <c r="L4429" t="n">
        <v>0</v>
      </c>
      <c r="M4429" t="n">
        <v>0</v>
      </c>
      <c r="N4429" t="n">
        <v>0</v>
      </c>
      <c r="O4429" t="n">
        <v>0</v>
      </c>
      <c r="P4429" t="n">
        <v>0</v>
      </c>
      <c r="Q4429" t="n">
        <v>0</v>
      </c>
      <c r="R4429" s="2" t="inlineStr"/>
    </row>
    <row r="4430" ht="15" customHeight="1">
      <c r="A4430" t="inlineStr">
        <is>
          <t>A 12693-2024</t>
        </is>
      </c>
      <c r="B4430" s="1" t="n">
        <v>45384.43790509259</v>
      </c>
      <c r="C4430" s="1" t="n">
        <v>45952</v>
      </c>
      <c r="D4430" t="inlineStr">
        <is>
          <t>VÄSTRA GÖTALANDS LÄN</t>
        </is>
      </c>
      <c r="E4430" t="inlineStr">
        <is>
          <t>DALS-ED</t>
        </is>
      </c>
      <c r="G4430" t="n">
        <v>2</v>
      </c>
      <c r="H4430" t="n">
        <v>0</v>
      </c>
      <c r="I4430" t="n">
        <v>0</v>
      </c>
      <c r="J4430" t="n">
        <v>0</v>
      </c>
      <c r="K4430" t="n">
        <v>0</v>
      </c>
      <c r="L4430" t="n">
        <v>0</v>
      </c>
      <c r="M4430" t="n">
        <v>0</v>
      </c>
      <c r="N4430" t="n">
        <v>0</v>
      </c>
      <c r="O4430" t="n">
        <v>0</v>
      </c>
      <c r="P4430" t="n">
        <v>0</v>
      </c>
      <c r="Q4430" t="n">
        <v>0</v>
      </c>
      <c r="R4430" s="2" t="inlineStr"/>
    </row>
    <row r="4431" ht="15" customHeight="1">
      <c r="A4431" t="inlineStr">
        <is>
          <t>A 33925-2023</t>
        </is>
      </c>
      <c r="B4431" s="1" t="n">
        <v>45134.48231481481</v>
      </c>
      <c r="C4431" s="1" t="n">
        <v>45952</v>
      </c>
      <c r="D4431" t="inlineStr">
        <is>
          <t>VÄSTRA GÖTALANDS LÄN</t>
        </is>
      </c>
      <c r="E4431" t="inlineStr">
        <is>
          <t>VÄNERSBORG</t>
        </is>
      </c>
      <c r="G4431" t="n">
        <v>0.4</v>
      </c>
      <c r="H4431" t="n">
        <v>0</v>
      </c>
      <c r="I4431" t="n">
        <v>0</v>
      </c>
      <c r="J4431" t="n">
        <v>0</v>
      </c>
      <c r="K4431" t="n">
        <v>0</v>
      </c>
      <c r="L4431" t="n">
        <v>0</v>
      </c>
      <c r="M4431" t="n">
        <v>0</v>
      </c>
      <c r="N4431" t="n">
        <v>0</v>
      </c>
      <c r="O4431" t="n">
        <v>0</v>
      </c>
      <c r="P4431" t="n">
        <v>0</v>
      </c>
      <c r="Q4431" t="n">
        <v>0</v>
      </c>
      <c r="R4431" s="2" t="inlineStr"/>
    </row>
    <row r="4432" ht="15" customHeight="1">
      <c r="A4432" t="inlineStr">
        <is>
          <t>A 12710-2024</t>
        </is>
      </c>
      <c r="B4432" s="1" t="n">
        <v>45384.46582175926</v>
      </c>
      <c r="C4432" s="1" t="n">
        <v>45952</v>
      </c>
      <c r="D4432" t="inlineStr">
        <is>
          <t>VÄSTRA GÖTALANDS LÄN</t>
        </is>
      </c>
      <c r="E4432" t="inlineStr">
        <is>
          <t>FÄRGELANDA</t>
        </is>
      </c>
      <c r="G4432" t="n">
        <v>0.9</v>
      </c>
      <c r="H4432" t="n">
        <v>0</v>
      </c>
      <c r="I4432" t="n">
        <v>0</v>
      </c>
      <c r="J4432" t="n">
        <v>0</v>
      </c>
      <c r="K4432" t="n">
        <v>0</v>
      </c>
      <c r="L4432" t="n">
        <v>0</v>
      </c>
      <c r="M4432" t="n">
        <v>0</v>
      </c>
      <c r="N4432" t="n">
        <v>0</v>
      </c>
      <c r="O4432" t="n">
        <v>0</v>
      </c>
      <c r="P4432" t="n">
        <v>0</v>
      </c>
      <c r="Q4432" t="n">
        <v>0</v>
      </c>
      <c r="R4432" s="2" t="inlineStr"/>
    </row>
    <row r="4433" ht="15" customHeight="1">
      <c r="A4433" t="inlineStr">
        <is>
          <t>A 28893-2023</t>
        </is>
      </c>
      <c r="B4433" s="1" t="n">
        <v>45104</v>
      </c>
      <c r="C4433" s="1" t="n">
        <v>45952</v>
      </c>
      <c r="D4433" t="inlineStr">
        <is>
          <t>VÄSTRA GÖTALANDS LÄN</t>
        </is>
      </c>
      <c r="E4433" t="inlineStr">
        <is>
          <t>ULRICEHAMN</t>
        </is>
      </c>
      <c r="G4433" t="n">
        <v>1.8</v>
      </c>
      <c r="H4433" t="n">
        <v>0</v>
      </c>
      <c r="I4433" t="n">
        <v>0</v>
      </c>
      <c r="J4433" t="n">
        <v>0</v>
      </c>
      <c r="K4433" t="n">
        <v>0</v>
      </c>
      <c r="L4433" t="n">
        <v>0</v>
      </c>
      <c r="M4433" t="n">
        <v>0</v>
      </c>
      <c r="N4433" t="n">
        <v>0</v>
      </c>
      <c r="O4433" t="n">
        <v>0</v>
      </c>
      <c r="P4433" t="n">
        <v>0</v>
      </c>
      <c r="Q4433" t="n">
        <v>0</v>
      </c>
      <c r="R4433" s="2" t="inlineStr"/>
    </row>
    <row r="4434" ht="15" customHeight="1">
      <c r="A4434" t="inlineStr">
        <is>
          <t>A 5786-2024</t>
        </is>
      </c>
      <c r="B4434" s="1" t="n">
        <v>45335</v>
      </c>
      <c r="C4434" s="1" t="n">
        <v>45952</v>
      </c>
      <c r="D4434" t="inlineStr">
        <is>
          <t>VÄSTRA GÖTALANDS LÄN</t>
        </is>
      </c>
      <c r="E4434" t="inlineStr">
        <is>
          <t>MARK</t>
        </is>
      </c>
      <c r="G4434" t="n">
        <v>0.7</v>
      </c>
      <c r="H4434" t="n">
        <v>0</v>
      </c>
      <c r="I4434" t="n">
        <v>0</v>
      </c>
      <c r="J4434" t="n">
        <v>0</v>
      </c>
      <c r="K4434" t="n">
        <v>0</v>
      </c>
      <c r="L4434" t="n">
        <v>0</v>
      </c>
      <c r="M4434" t="n">
        <v>0</v>
      </c>
      <c r="N4434" t="n">
        <v>0</v>
      </c>
      <c r="O4434" t="n">
        <v>0</v>
      </c>
      <c r="P4434" t="n">
        <v>0</v>
      </c>
      <c r="Q4434" t="n">
        <v>0</v>
      </c>
      <c r="R4434" s="2" t="inlineStr"/>
    </row>
    <row r="4435" ht="15" customHeight="1">
      <c r="A4435" t="inlineStr">
        <is>
          <t>A 5971-2022</t>
        </is>
      </c>
      <c r="B4435" s="1" t="n">
        <v>44599</v>
      </c>
      <c r="C4435" s="1" t="n">
        <v>45952</v>
      </c>
      <c r="D4435" t="inlineStr">
        <is>
          <t>VÄSTRA GÖTALANDS LÄN</t>
        </is>
      </c>
      <c r="E4435" t="inlineStr">
        <is>
          <t>TÖREBODA</t>
        </is>
      </c>
      <c r="G4435" t="n">
        <v>0.8</v>
      </c>
      <c r="H4435" t="n">
        <v>0</v>
      </c>
      <c r="I4435" t="n">
        <v>0</v>
      </c>
      <c r="J4435" t="n">
        <v>0</v>
      </c>
      <c r="K4435" t="n">
        <v>0</v>
      </c>
      <c r="L4435" t="n">
        <v>0</v>
      </c>
      <c r="M4435" t="n">
        <v>0</v>
      </c>
      <c r="N4435" t="n">
        <v>0</v>
      </c>
      <c r="O4435" t="n">
        <v>0</v>
      </c>
      <c r="P4435" t="n">
        <v>0</v>
      </c>
      <c r="Q4435" t="n">
        <v>0</v>
      </c>
      <c r="R4435" s="2" t="inlineStr"/>
    </row>
    <row r="4436" ht="15" customHeight="1">
      <c r="A4436" t="inlineStr">
        <is>
          <t>A 29696-2023</t>
        </is>
      </c>
      <c r="B4436" s="1" t="n">
        <v>45107</v>
      </c>
      <c r="C4436" s="1" t="n">
        <v>45952</v>
      </c>
      <c r="D4436" t="inlineStr">
        <is>
          <t>VÄSTRA GÖTALANDS LÄN</t>
        </is>
      </c>
      <c r="E4436" t="inlineStr">
        <is>
          <t>HÄRRYDA</t>
        </is>
      </c>
      <c r="G4436" t="n">
        <v>5.3</v>
      </c>
      <c r="H4436" t="n">
        <v>0</v>
      </c>
      <c r="I4436" t="n">
        <v>0</v>
      </c>
      <c r="J4436" t="n">
        <v>0</v>
      </c>
      <c r="K4436" t="n">
        <v>0</v>
      </c>
      <c r="L4436" t="n">
        <v>0</v>
      </c>
      <c r="M4436" t="n">
        <v>0</v>
      </c>
      <c r="N4436" t="n">
        <v>0</v>
      </c>
      <c r="O4436" t="n">
        <v>0</v>
      </c>
      <c r="P4436" t="n">
        <v>0</v>
      </c>
      <c r="Q4436" t="n">
        <v>0</v>
      </c>
      <c r="R4436" s="2" t="inlineStr"/>
    </row>
    <row r="4437" ht="15" customHeight="1">
      <c r="A4437" t="inlineStr">
        <is>
          <t>A 60274-2024</t>
        </is>
      </c>
      <c r="B4437" s="1" t="n">
        <v>45642.89546296297</v>
      </c>
      <c r="C4437" s="1" t="n">
        <v>45952</v>
      </c>
      <c r="D4437" t="inlineStr">
        <is>
          <t>VÄSTRA GÖTALANDS LÄN</t>
        </is>
      </c>
      <c r="E4437" t="inlineStr">
        <is>
          <t>LIDKÖPING</t>
        </is>
      </c>
      <c r="G4437" t="n">
        <v>1.8</v>
      </c>
      <c r="H4437" t="n">
        <v>0</v>
      </c>
      <c r="I4437" t="n">
        <v>0</v>
      </c>
      <c r="J4437" t="n">
        <v>0</v>
      </c>
      <c r="K4437" t="n">
        <v>0</v>
      </c>
      <c r="L4437" t="n">
        <v>0</v>
      </c>
      <c r="M4437" t="n">
        <v>0</v>
      </c>
      <c r="N4437" t="n">
        <v>0</v>
      </c>
      <c r="O4437" t="n">
        <v>0</v>
      </c>
      <c r="P4437" t="n">
        <v>0</v>
      </c>
      <c r="Q4437" t="n">
        <v>0</v>
      </c>
      <c r="R4437" s="2" t="inlineStr"/>
    </row>
    <row r="4438" ht="15" customHeight="1">
      <c r="A4438" t="inlineStr">
        <is>
          <t>A 6180-2022</t>
        </is>
      </c>
      <c r="B4438" s="1" t="n">
        <v>44600</v>
      </c>
      <c r="C4438" s="1" t="n">
        <v>45952</v>
      </c>
      <c r="D4438" t="inlineStr">
        <is>
          <t>VÄSTRA GÖTALANDS LÄN</t>
        </is>
      </c>
      <c r="E4438" t="inlineStr">
        <is>
          <t>FÄRGELANDA</t>
        </is>
      </c>
      <c r="G4438" t="n">
        <v>1.9</v>
      </c>
      <c r="H4438" t="n">
        <v>0</v>
      </c>
      <c r="I4438" t="n">
        <v>0</v>
      </c>
      <c r="J4438" t="n">
        <v>0</v>
      </c>
      <c r="K4438" t="n">
        <v>0</v>
      </c>
      <c r="L4438" t="n">
        <v>0</v>
      </c>
      <c r="M4438" t="n">
        <v>0</v>
      </c>
      <c r="N4438" t="n">
        <v>0</v>
      </c>
      <c r="O4438" t="n">
        <v>0</v>
      </c>
      <c r="P4438" t="n">
        <v>0</v>
      </c>
      <c r="Q4438" t="n">
        <v>0</v>
      </c>
      <c r="R4438" s="2" t="inlineStr"/>
    </row>
    <row r="4439" ht="15" customHeight="1">
      <c r="A4439" t="inlineStr">
        <is>
          <t>A 33027-2024</t>
        </is>
      </c>
      <c r="B4439" s="1" t="n">
        <v>45517.57243055556</v>
      </c>
      <c r="C4439" s="1" t="n">
        <v>45952</v>
      </c>
      <c r="D4439" t="inlineStr">
        <is>
          <t>VÄSTRA GÖTALANDS LÄN</t>
        </is>
      </c>
      <c r="E4439" t="inlineStr">
        <is>
          <t>HERRLJUNGA</t>
        </is>
      </c>
      <c r="F4439" t="inlineStr">
        <is>
          <t>Kyrkan</t>
        </is>
      </c>
      <c r="G4439" t="n">
        <v>3.7</v>
      </c>
      <c r="H4439" t="n">
        <v>0</v>
      </c>
      <c r="I4439" t="n">
        <v>0</v>
      </c>
      <c r="J4439" t="n">
        <v>0</v>
      </c>
      <c r="K4439" t="n">
        <v>0</v>
      </c>
      <c r="L4439" t="n">
        <v>0</v>
      </c>
      <c r="M4439" t="n">
        <v>0</v>
      </c>
      <c r="N4439" t="n">
        <v>0</v>
      </c>
      <c r="O4439" t="n">
        <v>0</v>
      </c>
      <c r="P4439" t="n">
        <v>0</v>
      </c>
      <c r="Q4439" t="n">
        <v>0</v>
      </c>
      <c r="R4439" s="2" t="inlineStr"/>
    </row>
    <row r="4440" ht="15" customHeight="1">
      <c r="A4440" t="inlineStr">
        <is>
          <t>A 33030-2024</t>
        </is>
      </c>
      <c r="B4440" s="1" t="n">
        <v>45517.57771990741</v>
      </c>
      <c r="C4440" s="1" t="n">
        <v>45952</v>
      </c>
      <c r="D4440" t="inlineStr">
        <is>
          <t>VÄSTRA GÖTALANDS LÄN</t>
        </is>
      </c>
      <c r="E4440" t="inlineStr">
        <is>
          <t>MUNKEDAL</t>
        </is>
      </c>
      <c r="G4440" t="n">
        <v>2.5</v>
      </c>
      <c r="H4440" t="n">
        <v>0</v>
      </c>
      <c r="I4440" t="n">
        <v>0</v>
      </c>
      <c r="J4440" t="n">
        <v>0</v>
      </c>
      <c r="K4440" t="n">
        <v>0</v>
      </c>
      <c r="L4440" t="n">
        <v>0</v>
      </c>
      <c r="M4440" t="n">
        <v>0</v>
      </c>
      <c r="N4440" t="n">
        <v>0</v>
      </c>
      <c r="O4440" t="n">
        <v>0</v>
      </c>
      <c r="P4440" t="n">
        <v>0</v>
      </c>
      <c r="Q4440" t="n">
        <v>0</v>
      </c>
      <c r="R4440" s="2" t="inlineStr"/>
    </row>
    <row r="4441" ht="15" customHeight="1">
      <c r="A4441" t="inlineStr">
        <is>
          <t>A 61453-2024</t>
        </is>
      </c>
      <c r="B4441" s="1" t="n">
        <v>45646.49038194444</v>
      </c>
      <c r="C4441" s="1" t="n">
        <v>45952</v>
      </c>
      <c r="D4441" t="inlineStr">
        <is>
          <t>VÄSTRA GÖTALANDS LÄN</t>
        </is>
      </c>
      <c r="E4441" t="inlineStr">
        <is>
          <t>BORÅS</t>
        </is>
      </c>
      <c r="G4441" t="n">
        <v>0.7</v>
      </c>
      <c r="H4441" t="n">
        <v>0</v>
      </c>
      <c r="I4441" t="n">
        <v>0</v>
      </c>
      <c r="J4441" t="n">
        <v>0</v>
      </c>
      <c r="K4441" t="n">
        <v>0</v>
      </c>
      <c r="L4441" t="n">
        <v>0</v>
      </c>
      <c r="M4441" t="n">
        <v>0</v>
      </c>
      <c r="N4441" t="n">
        <v>0</v>
      </c>
      <c r="O4441" t="n">
        <v>0</v>
      </c>
      <c r="P4441" t="n">
        <v>0</v>
      </c>
      <c r="Q4441" t="n">
        <v>0</v>
      </c>
      <c r="R4441" s="2" t="inlineStr"/>
    </row>
    <row r="4442" ht="15" customHeight="1">
      <c r="A4442" t="inlineStr">
        <is>
          <t>A 23664-2023</t>
        </is>
      </c>
      <c r="B4442" s="1" t="n">
        <v>45077</v>
      </c>
      <c r="C4442" s="1" t="n">
        <v>45952</v>
      </c>
      <c r="D4442" t="inlineStr">
        <is>
          <t>VÄSTRA GÖTALANDS LÄN</t>
        </is>
      </c>
      <c r="E4442" t="inlineStr">
        <is>
          <t>TÖREBODA</t>
        </is>
      </c>
      <c r="F4442" t="inlineStr">
        <is>
          <t>Övriga Aktiebolag</t>
        </is>
      </c>
      <c r="G4442" t="n">
        <v>3</v>
      </c>
      <c r="H4442" t="n">
        <v>0</v>
      </c>
      <c r="I4442" t="n">
        <v>0</v>
      </c>
      <c r="J4442" t="n">
        <v>0</v>
      </c>
      <c r="K4442" t="n">
        <v>0</v>
      </c>
      <c r="L4442" t="n">
        <v>0</v>
      </c>
      <c r="M4442" t="n">
        <v>0</v>
      </c>
      <c r="N4442" t="n">
        <v>0</v>
      </c>
      <c r="O4442" t="n">
        <v>0</v>
      </c>
      <c r="P4442" t="n">
        <v>0</v>
      </c>
      <c r="Q4442" t="n">
        <v>0</v>
      </c>
      <c r="R4442" s="2" t="inlineStr"/>
    </row>
    <row r="4443" ht="15" customHeight="1">
      <c r="A4443" t="inlineStr">
        <is>
          <t>A 928-2022</t>
        </is>
      </c>
      <c r="B4443" s="1" t="n">
        <v>44571</v>
      </c>
      <c r="C4443" s="1" t="n">
        <v>45952</v>
      </c>
      <c r="D4443" t="inlineStr">
        <is>
          <t>VÄSTRA GÖTALANDS LÄN</t>
        </is>
      </c>
      <c r="E4443" t="inlineStr">
        <is>
          <t>BENGTSFORS</t>
        </is>
      </c>
      <c r="G4443" t="n">
        <v>7.4</v>
      </c>
      <c r="H4443" t="n">
        <v>0</v>
      </c>
      <c r="I4443" t="n">
        <v>0</v>
      </c>
      <c r="J4443" t="n">
        <v>0</v>
      </c>
      <c r="K4443" t="n">
        <v>0</v>
      </c>
      <c r="L4443" t="n">
        <v>0</v>
      </c>
      <c r="M4443" t="n">
        <v>0</v>
      </c>
      <c r="N4443" t="n">
        <v>0</v>
      </c>
      <c r="O4443" t="n">
        <v>0</v>
      </c>
      <c r="P4443" t="n">
        <v>0</v>
      </c>
      <c r="Q4443" t="n">
        <v>0</v>
      </c>
      <c r="R4443" s="2" t="inlineStr"/>
    </row>
    <row r="4444" ht="15" customHeight="1">
      <c r="A4444" t="inlineStr">
        <is>
          <t>A 9375-2024</t>
        </is>
      </c>
      <c r="B4444" s="1" t="n">
        <v>45359</v>
      </c>
      <c r="C4444" s="1" t="n">
        <v>45952</v>
      </c>
      <c r="D4444" t="inlineStr">
        <is>
          <t>VÄSTRA GÖTALANDS LÄN</t>
        </is>
      </c>
      <c r="E4444" t="inlineStr">
        <is>
          <t>TRANEMO</t>
        </is>
      </c>
      <c r="G4444" t="n">
        <v>0.9</v>
      </c>
      <c r="H4444" t="n">
        <v>0</v>
      </c>
      <c r="I4444" t="n">
        <v>0</v>
      </c>
      <c r="J4444" t="n">
        <v>0</v>
      </c>
      <c r="K4444" t="n">
        <v>0</v>
      </c>
      <c r="L4444" t="n">
        <v>0</v>
      </c>
      <c r="M4444" t="n">
        <v>0</v>
      </c>
      <c r="N4444" t="n">
        <v>0</v>
      </c>
      <c r="O4444" t="n">
        <v>0</v>
      </c>
      <c r="P4444" t="n">
        <v>0</v>
      </c>
      <c r="Q4444" t="n">
        <v>0</v>
      </c>
      <c r="R4444" s="2" t="inlineStr"/>
    </row>
    <row r="4445" ht="15" customHeight="1">
      <c r="A4445" t="inlineStr">
        <is>
          <t>A 9410-2024</t>
        </is>
      </c>
      <c r="B4445" s="1" t="n">
        <v>45359.4405787037</v>
      </c>
      <c r="C4445" s="1" t="n">
        <v>45952</v>
      </c>
      <c r="D4445" t="inlineStr">
        <is>
          <t>VÄSTRA GÖTALANDS LÄN</t>
        </is>
      </c>
      <c r="E4445" t="inlineStr">
        <is>
          <t>VARA</t>
        </is>
      </c>
      <c r="G4445" t="n">
        <v>1.1</v>
      </c>
      <c r="H4445" t="n">
        <v>0</v>
      </c>
      <c r="I4445" t="n">
        <v>0</v>
      </c>
      <c r="J4445" t="n">
        <v>0</v>
      </c>
      <c r="K4445" t="n">
        <v>0</v>
      </c>
      <c r="L4445" t="n">
        <v>0</v>
      </c>
      <c r="M4445" t="n">
        <v>0</v>
      </c>
      <c r="N4445" t="n">
        <v>0</v>
      </c>
      <c r="O4445" t="n">
        <v>0</v>
      </c>
      <c r="P4445" t="n">
        <v>0</v>
      </c>
      <c r="Q4445" t="n">
        <v>0</v>
      </c>
      <c r="R4445" s="2" t="inlineStr"/>
    </row>
    <row r="4446" ht="15" customHeight="1">
      <c r="A4446" t="inlineStr">
        <is>
          <t>A 26443-2023</t>
        </is>
      </c>
      <c r="B4446" s="1" t="n">
        <v>45092</v>
      </c>
      <c r="C4446" s="1" t="n">
        <v>45952</v>
      </c>
      <c r="D4446" t="inlineStr">
        <is>
          <t>VÄSTRA GÖTALANDS LÄN</t>
        </is>
      </c>
      <c r="E4446" t="inlineStr">
        <is>
          <t>LILLA EDET</t>
        </is>
      </c>
      <c r="G4446" t="n">
        <v>1.1</v>
      </c>
      <c r="H4446" t="n">
        <v>0</v>
      </c>
      <c r="I4446" t="n">
        <v>0</v>
      </c>
      <c r="J4446" t="n">
        <v>0</v>
      </c>
      <c r="K4446" t="n">
        <v>0</v>
      </c>
      <c r="L4446" t="n">
        <v>0</v>
      </c>
      <c r="M4446" t="n">
        <v>0</v>
      </c>
      <c r="N4446" t="n">
        <v>0</v>
      </c>
      <c r="O4446" t="n">
        <v>0</v>
      </c>
      <c r="P4446" t="n">
        <v>0</v>
      </c>
      <c r="Q4446" t="n">
        <v>0</v>
      </c>
      <c r="R4446" s="2" t="inlineStr"/>
    </row>
    <row r="4447" ht="15" customHeight="1">
      <c r="A4447" t="inlineStr">
        <is>
          <t>A 1765-2024</t>
        </is>
      </c>
      <c r="B4447" s="1" t="n">
        <v>45307.49578703703</v>
      </c>
      <c r="C4447" s="1" t="n">
        <v>45952</v>
      </c>
      <c r="D4447" t="inlineStr">
        <is>
          <t>VÄSTRA GÖTALANDS LÄN</t>
        </is>
      </c>
      <c r="E4447" t="inlineStr">
        <is>
          <t>BENGTSFORS</t>
        </is>
      </c>
      <c r="G4447" t="n">
        <v>4.2</v>
      </c>
      <c r="H4447" t="n">
        <v>0</v>
      </c>
      <c r="I4447" t="n">
        <v>0</v>
      </c>
      <c r="J4447" t="n">
        <v>0</v>
      </c>
      <c r="K4447" t="n">
        <v>0</v>
      </c>
      <c r="L4447" t="n">
        <v>0</v>
      </c>
      <c r="M4447" t="n">
        <v>0</v>
      </c>
      <c r="N4447" t="n">
        <v>0</v>
      </c>
      <c r="O4447" t="n">
        <v>0</v>
      </c>
      <c r="P4447" t="n">
        <v>0</v>
      </c>
      <c r="Q4447" t="n">
        <v>0</v>
      </c>
      <c r="R4447" s="2" t="inlineStr"/>
    </row>
    <row r="4448" ht="15" customHeight="1">
      <c r="A4448" t="inlineStr">
        <is>
          <t>A 1822-2024</t>
        </is>
      </c>
      <c r="B4448" s="1" t="n">
        <v>45307.6205787037</v>
      </c>
      <c r="C4448" s="1" t="n">
        <v>45952</v>
      </c>
      <c r="D4448" t="inlineStr">
        <is>
          <t>VÄSTRA GÖTALANDS LÄN</t>
        </is>
      </c>
      <c r="E4448" t="inlineStr">
        <is>
          <t>ALE</t>
        </is>
      </c>
      <c r="G4448" t="n">
        <v>2</v>
      </c>
      <c r="H4448" t="n">
        <v>0</v>
      </c>
      <c r="I4448" t="n">
        <v>0</v>
      </c>
      <c r="J4448" t="n">
        <v>0</v>
      </c>
      <c r="K4448" t="n">
        <v>0</v>
      </c>
      <c r="L4448" t="n">
        <v>0</v>
      </c>
      <c r="M4448" t="n">
        <v>0</v>
      </c>
      <c r="N4448" t="n">
        <v>0</v>
      </c>
      <c r="O4448" t="n">
        <v>0</v>
      </c>
      <c r="P4448" t="n">
        <v>0</v>
      </c>
      <c r="Q4448" t="n">
        <v>0</v>
      </c>
      <c r="R4448" s="2" t="inlineStr"/>
    </row>
    <row r="4449" ht="15" customHeight="1">
      <c r="A4449" t="inlineStr">
        <is>
          <t>A 2669-2024</t>
        </is>
      </c>
      <c r="B4449" s="1" t="n">
        <v>45314.40929398148</v>
      </c>
      <c r="C4449" s="1" t="n">
        <v>45952</v>
      </c>
      <c r="D4449" t="inlineStr">
        <is>
          <t>VÄSTRA GÖTALANDS LÄN</t>
        </is>
      </c>
      <c r="E4449" t="inlineStr">
        <is>
          <t>ULRICEHAMN</t>
        </is>
      </c>
      <c r="G4449" t="n">
        <v>5.2</v>
      </c>
      <c r="H4449" t="n">
        <v>0</v>
      </c>
      <c r="I4449" t="n">
        <v>0</v>
      </c>
      <c r="J4449" t="n">
        <v>0</v>
      </c>
      <c r="K4449" t="n">
        <v>0</v>
      </c>
      <c r="L4449" t="n">
        <v>0</v>
      </c>
      <c r="M4449" t="n">
        <v>0</v>
      </c>
      <c r="N4449" t="n">
        <v>0</v>
      </c>
      <c r="O4449" t="n">
        <v>0</v>
      </c>
      <c r="P4449" t="n">
        <v>0</v>
      </c>
      <c r="Q4449" t="n">
        <v>0</v>
      </c>
      <c r="R4449" s="2" t="inlineStr"/>
    </row>
    <row r="4450" ht="15" customHeight="1">
      <c r="A4450" t="inlineStr">
        <is>
          <t>A 8953-2023</t>
        </is>
      </c>
      <c r="B4450" s="1" t="n">
        <v>44979.47184027778</v>
      </c>
      <c r="C4450" s="1" t="n">
        <v>45952</v>
      </c>
      <c r="D4450" t="inlineStr">
        <is>
          <t>VÄSTRA GÖTALANDS LÄN</t>
        </is>
      </c>
      <c r="E4450" t="inlineStr">
        <is>
          <t>LIDKÖPING</t>
        </is>
      </c>
      <c r="G4450" t="n">
        <v>1.1</v>
      </c>
      <c r="H4450" t="n">
        <v>0</v>
      </c>
      <c r="I4450" t="n">
        <v>0</v>
      </c>
      <c r="J4450" t="n">
        <v>0</v>
      </c>
      <c r="K4450" t="n">
        <v>0</v>
      </c>
      <c r="L4450" t="n">
        <v>0</v>
      </c>
      <c r="M4450" t="n">
        <v>0</v>
      </c>
      <c r="N4450" t="n">
        <v>0</v>
      </c>
      <c r="O4450" t="n">
        <v>0</v>
      </c>
      <c r="P4450" t="n">
        <v>0</v>
      </c>
      <c r="Q4450" t="n">
        <v>0</v>
      </c>
      <c r="R4450" s="2" t="inlineStr"/>
    </row>
    <row r="4451" ht="15" customHeight="1">
      <c r="A4451" t="inlineStr">
        <is>
          <t>A 8956-2023</t>
        </is>
      </c>
      <c r="B4451" s="1" t="n">
        <v>44979</v>
      </c>
      <c r="C4451" s="1" t="n">
        <v>45952</v>
      </c>
      <c r="D4451" t="inlineStr">
        <is>
          <t>VÄSTRA GÖTALANDS LÄN</t>
        </is>
      </c>
      <c r="E4451" t="inlineStr">
        <is>
          <t>SVENLJUNGA</t>
        </is>
      </c>
      <c r="G4451" t="n">
        <v>1.2</v>
      </c>
      <c r="H4451" t="n">
        <v>0</v>
      </c>
      <c r="I4451" t="n">
        <v>0</v>
      </c>
      <c r="J4451" t="n">
        <v>0</v>
      </c>
      <c r="K4451" t="n">
        <v>0</v>
      </c>
      <c r="L4451" t="n">
        <v>0</v>
      </c>
      <c r="M4451" t="n">
        <v>0</v>
      </c>
      <c r="N4451" t="n">
        <v>0</v>
      </c>
      <c r="O4451" t="n">
        <v>0</v>
      </c>
      <c r="P4451" t="n">
        <v>0</v>
      </c>
      <c r="Q4451" t="n">
        <v>0</v>
      </c>
      <c r="R4451" s="2" t="inlineStr"/>
    </row>
    <row r="4452" ht="15" customHeight="1">
      <c r="A4452" t="inlineStr">
        <is>
          <t>A 16473-2022</t>
        </is>
      </c>
      <c r="B4452" s="1" t="n">
        <v>44671</v>
      </c>
      <c r="C4452" s="1" t="n">
        <v>45952</v>
      </c>
      <c r="D4452" t="inlineStr">
        <is>
          <t>VÄSTRA GÖTALANDS LÄN</t>
        </is>
      </c>
      <c r="E4452" t="inlineStr">
        <is>
          <t>LILLA EDET</t>
        </is>
      </c>
      <c r="G4452" t="n">
        <v>1.7</v>
      </c>
      <c r="H4452" t="n">
        <v>0</v>
      </c>
      <c r="I4452" t="n">
        <v>0</v>
      </c>
      <c r="J4452" t="n">
        <v>0</v>
      </c>
      <c r="K4452" t="n">
        <v>0</v>
      </c>
      <c r="L4452" t="n">
        <v>0</v>
      </c>
      <c r="M4452" t="n">
        <v>0</v>
      </c>
      <c r="N4452" t="n">
        <v>0</v>
      </c>
      <c r="O4452" t="n">
        <v>0</v>
      </c>
      <c r="P4452" t="n">
        <v>0</v>
      </c>
      <c r="Q4452" t="n">
        <v>0</v>
      </c>
      <c r="R4452" s="2" t="inlineStr"/>
    </row>
    <row r="4453" ht="15" customHeight="1">
      <c r="A4453" t="inlineStr">
        <is>
          <t>A 15320-2025</t>
        </is>
      </c>
      <c r="B4453" s="1" t="n">
        <v>45747.31962962963</v>
      </c>
      <c r="C4453" s="1" t="n">
        <v>45952</v>
      </c>
      <c r="D4453" t="inlineStr">
        <is>
          <t>VÄSTRA GÖTALANDS LÄN</t>
        </is>
      </c>
      <c r="E4453" t="inlineStr">
        <is>
          <t>SVENLJUNGA</t>
        </is>
      </c>
      <c r="G4453" t="n">
        <v>4.1</v>
      </c>
      <c r="H4453" t="n">
        <v>0</v>
      </c>
      <c r="I4453" t="n">
        <v>0</v>
      </c>
      <c r="J4453" t="n">
        <v>0</v>
      </c>
      <c r="K4453" t="n">
        <v>0</v>
      </c>
      <c r="L4453" t="n">
        <v>0</v>
      </c>
      <c r="M4453" t="n">
        <v>0</v>
      </c>
      <c r="N4453" t="n">
        <v>0</v>
      </c>
      <c r="O4453" t="n">
        <v>0</v>
      </c>
      <c r="P4453" t="n">
        <v>0</v>
      </c>
      <c r="Q4453" t="n">
        <v>0</v>
      </c>
      <c r="R4453" s="2" t="inlineStr"/>
    </row>
    <row r="4454" ht="15" customHeight="1">
      <c r="A4454" t="inlineStr">
        <is>
          <t>A 17012-2025</t>
        </is>
      </c>
      <c r="B4454" s="1" t="n">
        <v>45755.54912037037</v>
      </c>
      <c r="C4454" s="1" t="n">
        <v>45952</v>
      </c>
      <c r="D4454" t="inlineStr">
        <is>
          <t>VÄSTRA GÖTALANDS LÄN</t>
        </is>
      </c>
      <c r="E4454" t="inlineStr">
        <is>
          <t>MARK</t>
        </is>
      </c>
      <c r="G4454" t="n">
        <v>3.3</v>
      </c>
      <c r="H4454" t="n">
        <v>0</v>
      </c>
      <c r="I4454" t="n">
        <v>0</v>
      </c>
      <c r="J4454" t="n">
        <v>0</v>
      </c>
      <c r="K4454" t="n">
        <v>0</v>
      </c>
      <c r="L4454" t="n">
        <v>0</v>
      </c>
      <c r="M4454" t="n">
        <v>0</v>
      </c>
      <c r="N4454" t="n">
        <v>0</v>
      </c>
      <c r="O4454" t="n">
        <v>0</v>
      </c>
      <c r="P4454" t="n">
        <v>0</v>
      </c>
      <c r="Q4454" t="n">
        <v>0</v>
      </c>
      <c r="R4454" s="2" t="inlineStr"/>
    </row>
    <row r="4455" ht="15" customHeight="1">
      <c r="A4455" t="inlineStr">
        <is>
          <t>A 6699-2022</t>
        </is>
      </c>
      <c r="B4455" s="1" t="n">
        <v>44602</v>
      </c>
      <c r="C4455" s="1" t="n">
        <v>45952</v>
      </c>
      <c r="D4455" t="inlineStr">
        <is>
          <t>VÄSTRA GÖTALANDS LÄN</t>
        </is>
      </c>
      <c r="E4455" t="inlineStr">
        <is>
          <t>STENUNGSUND</t>
        </is>
      </c>
      <c r="G4455" t="n">
        <v>10</v>
      </c>
      <c r="H4455" t="n">
        <v>0</v>
      </c>
      <c r="I4455" t="n">
        <v>0</v>
      </c>
      <c r="J4455" t="n">
        <v>0</v>
      </c>
      <c r="K4455" t="n">
        <v>0</v>
      </c>
      <c r="L4455" t="n">
        <v>0</v>
      </c>
      <c r="M4455" t="n">
        <v>0</v>
      </c>
      <c r="N4455" t="n">
        <v>0</v>
      </c>
      <c r="O4455" t="n">
        <v>0</v>
      </c>
      <c r="P4455" t="n">
        <v>0</v>
      </c>
      <c r="Q4455" t="n">
        <v>0</v>
      </c>
      <c r="R4455" s="2" t="inlineStr"/>
    </row>
    <row r="4456" ht="15" customHeight="1">
      <c r="A4456" t="inlineStr">
        <is>
          <t>A 40939-2024</t>
        </is>
      </c>
      <c r="B4456" s="1" t="n">
        <v>45558.64363425926</v>
      </c>
      <c r="C4456" s="1" t="n">
        <v>45952</v>
      </c>
      <c r="D4456" t="inlineStr">
        <is>
          <t>VÄSTRA GÖTALANDS LÄN</t>
        </is>
      </c>
      <c r="E4456" t="inlineStr">
        <is>
          <t>VÄNERSBORG</t>
        </is>
      </c>
      <c r="G4456" t="n">
        <v>0.2</v>
      </c>
      <c r="H4456" t="n">
        <v>0</v>
      </c>
      <c r="I4456" t="n">
        <v>0</v>
      </c>
      <c r="J4456" t="n">
        <v>0</v>
      </c>
      <c r="K4456" t="n">
        <v>0</v>
      </c>
      <c r="L4456" t="n">
        <v>0</v>
      </c>
      <c r="M4456" t="n">
        <v>0</v>
      </c>
      <c r="N4456" t="n">
        <v>0</v>
      </c>
      <c r="O4456" t="n">
        <v>0</v>
      </c>
      <c r="P4456" t="n">
        <v>0</v>
      </c>
      <c r="Q4456" t="n">
        <v>0</v>
      </c>
      <c r="R4456" s="2" t="inlineStr"/>
    </row>
    <row r="4457" ht="15" customHeight="1">
      <c r="A4457" t="inlineStr">
        <is>
          <t>A 50364-2024</t>
        </is>
      </c>
      <c r="B4457" s="1" t="n">
        <v>45600.86899305556</v>
      </c>
      <c r="C4457" s="1" t="n">
        <v>45952</v>
      </c>
      <c r="D4457" t="inlineStr">
        <is>
          <t>VÄSTRA GÖTALANDS LÄN</t>
        </is>
      </c>
      <c r="E4457" t="inlineStr">
        <is>
          <t>ESSUNGA</t>
        </is>
      </c>
      <c r="G4457" t="n">
        <v>1.2</v>
      </c>
      <c r="H4457" t="n">
        <v>0</v>
      </c>
      <c r="I4457" t="n">
        <v>0</v>
      </c>
      <c r="J4457" t="n">
        <v>0</v>
      </c>
      <c r="K4457" t="n">
        <v>0</v>
      </c>
      <c r="L4457" t="n">
        <v>0</v>
      </c>
      <c r="M4457" t="n">
        <v>0</v>
      </c>
      <c r="N4457" t="n">
        <v>0</v>
      </c>
      <c r="O4457" t="n">
        <v>0</v>
      </c>
      <c r="P4457" t="n">
        <v>0</v>
      </c>
      <c r="Q4457" t="n">
        <v>0</v>
      </c>
      <c r="R4457" s="2" t="inlineStr"/>
    </row>
    <row r="4458" ht="15" customHeight="1">
      <c r="A4458" t="inlineStr">
        <is>
          <t>A 14625-2025</t>
        </is>
      </c>
      <c r="B4458" s="1" t="n">
        <v>45742.42097222222</v>
      </c>
      <c r="C4458" s="1" t="n">
        <v>45952</v>
      </c>
      <c r="D4458" t="inlineStr">
        <is>
          <t>VÄSTRA GÖTALANDS LÄN</t>
        </is>
      </c>
      <c r="E4458" t="inlineStr">
        <is>
          <t>MARK</t>
        </is>
      </c>
      <c r="G4458" t="n">
        <v>0.8</v>
      </c>
      <c r="H4458" t="n">
        <v>0</v>
      </c>
      <c r="I4458" t="n">
        <v>0</v>
      </c>
      <c r="J4458" t="n">
        <v>0</v>
      </c>
      <c r="K4458" t="n">
        <v>0</v>
      </c>
      <c r="L4458" t="n">
        <v>0</v>
      </c>
      <c r="M4458" t="n">
        <v>0</v>
      </c>
      <c r="N4458" t="n">
        <v>0</v>
      </c>
      <c r="O4458" t="n">
        <v>0</v>
      </c>
      <c r="P4458" t="n">
        <v>0</v>
      </c>
      <c r="Q4458" t="n">
        <v>0</v>
      </c>
      <c r="R4458" s="2" t="inlineStr"/>
    </row>
    <row r="4459" ht="15" customHeight="1">
      <c r="A4459" t="inlineStr">
        <is>
          <t>A 23331-2021</t>
        </is>
      </c>
      <c r="B4459" s="1" t="n">
        <v>44333.51732638889</v>
      </c>
      <c r="C4459" s="1" t="n">
        <v>45952</v>
      </c>
      <c r="D4459" t="inlineStr">
        <is>
          <t>VÄSTRA GÖTALANDS LÄN</t>
        </is>
      </c>
      <c r="E4459" t="inlineStr">
        <is>
          <t>ULRICEHAMN</t>
        </is>
      </c>
      <c r="G4459" t="n">
        <v>2.8</v>
      </c>
      <c r="H4459" t="n">
        <v>0</v>
      </c>
      <c r="I4459" t="n">
        <v>0</v>
      </c>
      <c r="J4459" t="n">
        <v>0</v>
      </c>
      <c r="K4459" t="n">
        <v>0</v>
      </c>
      <c r="L4459" t="n">
        <v>0</v>
      </c>
      <c r="M4459" t="n">
        <v>0</v>
      </c>
      <c r="N4459" t="n">
        <v>0</v>
      </c>
      <c r="O4459" t="n">
        <v>0</v>
      </c>
      <c r="P4459" t="n">
        <v>0</v>
      </c>
      <c r="Q4459" t="n">
        <v>0</v>
      </c>
      <c r="R4459" s="2" t="inlineStr"/>
    </row>
    <row r="4460" ht="15" customHeight="1">
      <c r="A4460" t="inlineStr">
        <is>
          <t>A 18543-2025</t>
        </is>
      </c>
      <c r="B4460" s="1" t="n">
        <v>45762</v>
      </c>
      <c r="C4460" s="1" t="n">
        <v>45952</v>
      </c>
      <c r="D4460" t="inlineStr">
        <is>
          <t>VÄSTRA GÖTALANDS LÄN</t>
        </is>
      </c>
      <c r="E4460" t="inlineStr">
        <is>
          <t>BORÅS</t>
        </is>
      </c>
      <c r="F4460" t="inlineStr">
        <is>
          <t>Kommuner</t>
        </is>
      </c>
      <c r="G4460" t="n">
        <v>2.4</v>
      </c>
      <c r="H4460" t="n">
        <v>0</v>
      </c>
      <c r="I4460" t="n">
        <v>0</v>
      </c>
      <c r="J4460" t="n">
        <v>0</v>
      </c>
      <c r="K4460" t="n">
        <v>0</v>
      </c>
      <c r="L4460" t="n">
        <v>0</v>
      </c>
      <c r="M4460" t="n">
        <v>0</v>
      </c>
      <c r="N4460" t="n">
        <v>0</v>
      </c>
      <c r="O4460" t="n">
        <v>0</v>
      </c>
      <c r="P4460" t="n">
        <v>0</v>
      </c>
      <c r="Q4460" t="n">
        <v>0</v>
      </c>
      <c r="R4460" s="2" t="inlineStr"/>
    </row>
    <row r="4461" ht="15" customHeight="1">
      <c r="A4461" t="inlineStr">
        <is>
          <t>A 43770-2023</t>
        </is>
      </c>
      <c r="B4461" s="1" t="n">
        <v>45187.50803240741</v>
      </c>
      <c r="C4461" s="1" t="n">
        <v>45952</v>
      </c>
      <c r="D4461" t="inlineStr">
        <is>
          <t>VÄSTRA GÖTALANDS LÄN</t>
        </is>
      </c>
      <c r="E4461" t="inlineStr">
        <is>
          <t>LILLA EDET</t>
        </is>
      </c>
      <c r="G4461" t="n">
        <v>0.9</v>
      </c>
      <c r="H4461" t="n">
        <v>0</v>
      </c>
      <c r="I4461" t="n">
        <v>0</v>
      </c>
      <c r="J4461" t="n">
        <v>0</v>
      </c>
      <c r="K4461" t="n">
        <v>0</v>
      </c>
      <c r="L4461" t="n">
        <v>0</v>
      </c>
      <c r="M4461" t="n">
        <v>0</v>
      </c>
      <c r="N4461" t="n">
        <v>0</v>
      </c>
      <c r="O4461" t="n">
        <v>0</v>
      </c>
      <c r="P4461" t="n">
        <v>0</v>
      </c>
      <c r="Q4461" t="n">
        <v>0</v>
      </c>
      <c r="R4461" s="2" t="inlineStr"/>
    </row>
    <row r="4462" ht="15" customHeight="1">
      <c r="A4462" t="inlineStr">
        <is>
          <t>A 43783-2023</t>
        </is>
      </c>
      <c r="B4462" s="1" t="n">
        <v>45187.52722222222</v>
      </c>
      <c r="C4462" s="1" t="n">
        <v>45952</v>
      </c>
      <c r="D4462" t="inlineStr">
        <is>
          <t>VÄSTRA GÖTALANDS LÄN</t>
        </is>
      </c>
      <c r="E4462" t="inlineStr">
        <is>
          <t>FALKÖPING</t>
        </is>
      </c>
      <c r="G4462" t="n">
        <v>0.6</v>
      </c>
      <c r="H4462" t="n">
        <v>0</v>
      </c>
      <c r="I4462" t="n">
        <v>0</v>
      </c>
      <c r="J4462" t="n">
        <v>0</v>
      </c>
      <c r="K4462" t="n">
        <v>0</v>
      </c>
      <c r="L4462" t="n">
        <v>0</v>
      </c>
      <c r="M4462" t="n">
        <v>0</v>
      </c>
      <c r="N4462" t="n">
        <v>0</v>
      </c>
      <c r="O4462" t="n">
        <v>0</v>
      </c>
      <c r="P4462" t="n">
        <v>0</v>
      </c>
      <c r="Q4462" t="n">
        <v>0</v>
      </c>
      <c r="R4462" s="2" t="inlineStr"/>
    </row>
    <row r="4463" ht="15" customHeight="1">
      <c r="A4463" t="inlineStr">
        <is>
          <t>A 4214-2024</t>
        </is>
      </c>
      <c r="B4463" s="1" t="n">
        <v>45324</v>
      </c>
      <c r="C4463" s="1" t="n">
        <v>45952</v>
      </c>
      <c r="D4463" t="inlineStr">
        <is>
          <t>VÄSTRA GÖTALANDS LÄN</t>
        </is>
      </c>
      <c r="E4463" t="inlineStr">
        <is>
          <t>FALKÖPING</t>
        </is>
      </c>
      <c r="G4463" t="n">
        <v>6.2</v>
      </c>
      <c r="H4463" t="n">
        <v>0</v>
      </c>
      <c r="I4463" t="n">
        <v>0</v>
      </c>
      <c r="J4463" t="n">
        <v>0</v>
      </c>
      <c r="K4463" t="n">
        <v>0</v>
      </c>
      <c r="L4463" t="n">
        <v>0</v>
      </c>
      <c r="M4463" t="n">
        <v>0</v>
      </c>
      <c r="N4463" t="n">
        <v>0</v>
      </c>
      <c r="O4463" t="n">
        <v>0</v>
      </c>
      <c r="P4463" t="n">
        <v>0</v>
      </c>
      <c r="Q4463" t="n">
        <v>0</v>
      </c>
      <c r="R4463" s="2" t="inlineStr"/>
    </row>
    <row r="4464" ht="15" customHeight="1">
      <c r="A4464" t="inlineStr">
        <is>
          <t>A 15552-2024</t>
        </is>
      </c>
      <c r="B4464" s="1" t="n">
        <v>45401.63732638889</v>
      </c>
      <c r="C4464" s="1" t="n">
        <v>45952</v>
      </c>
      <c r="D4464" t="inlineStr">
        <is>
          <t>VÄSTRA GÖTALANDS LÄN</t>
        </is>
      </c>
      <c r="E4464" t="inlineStr">
        <is>
          <t>ESSUNGA</t>
        </is>
      </c>
      <c r="G4464" t="n">
        <v>1.2</v>
      </c>
      <c r="H4464" t="n">
        <v>0</v>
      </c>
      <c r="I4464" t="n">
        <v>0</v>
      </c>
      <c r="J4464" t="n">
        <v>0</v>
      </c>
      <c r="K4464" t="n">
        <v>0</v>
      </c>
      <c r="L4464" t="n">
        <v>0</v>
      </c>
      <c r="M4464" t="n">
        <v>0</v>
      </c>
      <c r="N4464" t="n">
        <v>0</v>
      </c>
      <c r="O4464" t="n">
        <v>0</v>
      </c>
      <c r="P4464" t="n">
        <v>0</v>
      </c>
      <c r="Q4464" t="n">
        <v>0</v>
      </c>
      <c r="R4464" s="2" t="inlineStr"/>
    </row>
    <row r="4465" ht="15" customHeight="1">
      <c r="A4465" t="inlineStr">
        <is>
          <t>A 669-2023</t>
        </is>
      </c>
      <c r="B4465" s="1" t="n">
        <v>44930</v>
      </c>
      <c r="C4465" s="1" t="n">
        <v>45952</v>
      </c>
      <c r="D4465" t="inlineStr">
        <is>
          <t>VÄSTRA GÖTALANDS LÄN</t>
        </is>
      </c>
      <c r="E4465" t="inlineStr">
        <is>
          <t>BENGTSFORS</t>
        </is>
      </c>
      <c r="G4465" t="n">
        <v>2.3</v>
      </c>
      <c r="H4465" t="n">
        <v>0</v>
      </c>
      <c r="I4465" t="n">
        <v>0</v>
      </c>
      <c r="J4465" t="n">
        <v>0</v>
      </c>
      <c r="K4465" t="n">
        <v>0</v>
      </c>
      <c r="L4465" t="n">
        <v>0</v>
      </c>
      <c r="M4465" t="n">
        <v>0</v>
      </c>
      <c r="N4465" t="n">
        <v>0</v>
      </c>
      <c r="O4465" t="n">
        <v>0</v>
      </c>
      <c r="P4465" t="n">
        <v>0</v>
      </c>
      <c r="Q4465" t="n">
        <v>0</v>
      </c>
      <c r="R4465" s="2" t="inlineStr"/>
    </row>
    <row r="4466" ht="15" customHeight="1">
      <c r="A4466" t="inlineStr">
        <is>
          <t>A 43817-2023</t>
        </is>
      </c>
      <c r="B4466" s="1" t="n">
        <v>45187</v>
      </c>
      <c r="C4466" s="1" t="n">
        <v>45952</v>
      </c>
      <c r="D4466" t="inlineStr">
        <is>
          <t>VÄSTRA GÖTALANDS LÄN</t>
        </is>
      </c>
      <c r="E4466" t="inlineStr">
        <is>
          <t>VÄNERSBORG</t>
        </is>
      </c>
      <c r="G4466" t="n">
        <v>2.2</v>
      </c>
      <c r="H4466" t="n">
        <v>0</v>
      </c>
      <c r="I4466" t="n">
        <v>0</v>
      </c>
      <c r="J4466" t="n">
        <v>0</v>
      </c>
      <c r="K4466" t="n">
        <v>0</v>
      </c>
      <c r="L4466" t="n">
        <v>0</v>
      </c>
      <c r="M4466" t="n">
        <v>0</v>
      </c>
      <c r="N4466" t="n">
        <v>0</v>
      </c>
      <c r="O4466" t="n">
        <v>0</v>
      </c>
      <c r="P4466" t="n">
        <v>0</v>
      </c>
      <c r="Q4466" t="n">
        <v>0</v>
      </c>
      <c r="R4466" s="2" t="inlineStr"/>
    </row>
    <row r="4467" ht="15" customHeight="1">
      <c r="A4467" t="inlineStr">
        <is>
          <t>A 3946-2024</t>
        </is>
      </c>
      <c r="B4467" s="1" t="n">
        <v>45322.65063657407</v>
      </c>
      <c r="C4467" s="1" t="n">
        <v>45952</v>
      </c>
      <c r="D4467" t="inlineStr">
        <is>
          <t>VÄSTRA GÖTALANDS LÄN</t>
        </is>
      </c>
      <c r="E4467" t="inlineStr">
        <is>
          <t>SKÖVDE</t>
        </is>
      </c>
      <c r="G4467" t="n">
        <v>4.7</v>
      </c>
      <c r="H4467" t="n">
        <v>0</v>
      </c>
      <c r="I4467" t="n">
        <v>0</v>
      </c>
      <c r="J4467" t="n">
        <v>0</v>
      </c>
      <c r="K4467" t="n">
        <v>0</v>
      </c>
      <c r="L4467" t="n">
        <v>0</v>
      </c>
      <c r="M4467" t="n">
        <v>0</v>
      </c>
      <c r="N4467" t="n">
        <v>0</v>
      </c>
      <c r="O4467" t="n">
        <v>0</v>
      </c>
      <c r="P4467" t="n">
        <v>0</v>
      </c>
      <c r="Q4467" t="n">
        <v>0</v>
      </c>
      <c r="R4467" s="2" t="inlineStr"/>
    </row>
    <row r="4468" ht="15" customHeight="1">
      <c r="A4468" t="inlineStr">
        <is>
          <t>A 46380-2023</t>
        </is>
      </c>
      <c r="B4468" s="1" t="n">
        <v>45197.46625</v>
      </c>
      <c r="C4468" s="1" t="n">
        <v>45952</v>
      </c>
      <c r="D4468" t="inlineStr">
        <is>
          <t>VÄSTRA GÖTALANDS LÄN</t>
        </is>
      </c>
      <c r="E4468" t="inlineStr">
        <is>
          <t>BORÅS</t>
        </is>
      </c>
      <c r="G4468" t="n">
        <v>1.9</v>
      </c>
      <c r="H4468" t="n">
        <v>0</v>
      </c>
      <c r="I4468" t="n">
        <v>0</v>
      </c>
      <c r="J4468" t="n">
        <v>0</v>
      </c>
      <c r="K4468" t="n">
        <v>0</v>
      </c>
      <c r="L4468" t="n">
        <v>0</v>
      </c>
      <c r="M4468" t="n">
        <v>0</v>
      </c>
      <c r="N4468" t="n">
        <v>0</v>
      </c>
      <c r="O4468" t="n">
        <v>0</v>
      </c>
      <c r="P4468" t="n">
        <v>0</v>
      </c>
      <c r="Q4468" t="n">
        <v>0</v>
      </c>
      <c r="R4468" s="2" t="inlineStr"/>
    </row>
    <row r="4469" ht="15" customHeight="1">
      <c r="A4469" t="inlineStr">
        <is>
          <t>A 7498-2023</t>
        </is>
      </c>
      <c r="B4469" s="1" t="n">
        <v>44971.7277662037</v>
      </c>
      <c r="C4469" s="1" t="n">
        <v>45952</v>
      </c>
      <c r="D4469" t="inlineStr">
        <is>
          <t>VÄSTRA GÖTALANDS LÄN</t>
        </is>
      </c>
      <c r="E4469" t="inlineStr">
        <is>
          <t>MARK</t>
        </is>
      </c>
      <c r="G4469" t="n">
        <v>1.1</v>
      </c>
      <c r="H4469" t="n">
        <v>0</v>
      </c>
      <c r="I4469" t="n">
        <v>0</v>
      </c>
      <c r="J4469" t="n">
        <v>0</v>
      </c>
      <c r="K4469" t="n">
        <v>0</v>
      </c>
      <c r="L4469" t="n">
        <v>0</v>
      </c>
      <c r="M4469" t="n">
        <v>0</v>
      </c>
      <c r="N4469" t="n">
        <v>0</v>
      </c>
      <c r="O4469" t="n">
        <v>0</v>
      </c>
      <c r="P4469" t="n">
        <v>0</v>
      </c>
      <c r="Q4469" t="n">
        <v>0</v>
      </c>
      <c r="R4469" s="2" t="inlineStr"/>
    </row>
    <row r="4470" ht="15" customHeight="1">
      <c r="A4470" t="inlineStr">
        <is>
          <t>A 62532-2022</t>
        </is>
      </c>
      <c r="B4470" s="1" t="n">
        <v>44916</v>
      </c>
      <c r="C4470" s="1" t="n">
        <v>45952</v>
      </c>
      <c r="D4470" t="inlineStr">
        <is>
          <t>VÄSTRA GÖTALANDS LÄN</t>
        </is>
      </c>
      <c r="E4470" t="inlineStr">
        <is>
          <t>BORÅS</t>
        </is>
      </c>
      <c r="G4470" t="n">
        <v>9.800000000000001</v>
      </c>
      <c r="H4470" t="n">
        <v>0</v>
      </c>
      <c r="I4470" t="n">
        <v>0</v>
      </c>
      <c r="J4470" t="n">
        <v>0</v>
      </c>
      <c r="K4470" t="n">
        <v>0</v>
      </c>
      <c r="L4470" t="n">
        <v>0</v>
      </c>
      <c r="M4470" t="n">
        <v>0</v>
      </c>
      <c r="N4470" t="n">
        <v>0</v>
      </c>
      <c r="O4470" t="n">
        <v>0</v>
      </c>
      <c r="P4470" t="n">
        <v>0</v>
      </c>
      <c r="Q4470" t="n">
        <v>0</v>
      </c>
      <c r="R4470" s="2" t="inlineStr"/>
    </row>
    <row r="4471" ht="15" customHeight="1">
      <c r="A4471" t="inlineStr">
        <is>
          <t>A 52027-2023</t>
        </is>
      </c>
      <c r="B4471" s="1" t="n">
        <v>45223.62131944444</v>
      </c>
      <c r="C4471" s="1" t="n">
        <v>45952</v>
      </c>
      <c r="D4471" t="inlineStr">
        <is>
          <t>VÄSTRA GÖTALANDS LÄN</t>
        </is>
      </c>
      <c r="E4471" t="inlineStr">
        <is>
          <t>SVENLJUNGA</t>
        </is>
      </c>
      <c r="G4471" t="n">
        <v>3.1</v>
      </c>
      <c r="H4471" t="n">
        <v>0</v>
      </c>
      <c r="I4471" t="n">
        <v>0</v>
      </c>
      <c r="J4471" t="n">
        <v>0</v>
      </c>
      <c r="K4471" t="n">
        <v>0</v>
      </c>
      <c r="L4471" t="n">
        <v>0</v>
      </c>
      <c r="M4471" t="n">
        <v>0</v>
      </c>
      <c r="N4471" t="n">
        <v>0</v>
      </c>
      <c r="O4471" t="n">
        <v>0</v>
      </c>
      <c r="P4471" t="n">
        <v>0</v>
      </c>
      <c r="Q4471" t="n">
        <v>0</v>
      </c>
      <c r="R4471" s="2" t="inlineStr"/>
    </row>
    <row r="4472" ht="15" customHeight="1">
      <c r="A4472" t="inlineStr">
        <is>
          <t>A 42542-2024</t>
        </is>
      </c>
      <c r="B4472" s="1" t="n">
        <v>45565.58900462963</v>
      </c>
      <c r="C4472" s="1" t="n">
        <v>45952</v>
      </c>
      <c r="D4472" t="inlineStr">
        <is>
          <t>VÄSTRA GÖTALANDS LÄN</t>
        </is>
      </c>
      <c r="E4472" t="inlineStr">
        <is>
          <t>MARK</t>
        </is>
      </c>
      <c r="G4472" t="n">
        <v>0.6</v>
      </c>
      <c r="H4472" t="n">
        <v>0</v>
      </c>
      <c r="I4472" t="n">
        <v>0</v>
      </c>
      <c r="J4472" t="n">
        <v>0</v>
      </c>
      <c r="K4472" t="n">
        <v>0</v>
      </c>
      <c r="L4472" t="n">
        <v>0</v>
      </c>
      <c r="M4472" t="n">
        <v>0</v>
      </c>
      <c r="N4472" t="n">
        <v>0</v>
      </c>
      <c r="O4472" t="n">
        <v>0</v>
      </c>
      <c r="P4472" t="n">
        <v>0</v>
      </c>
      <c r="Q4472" t="n">
        <v>0</v>
      </c>
      <c r="R4472" s="2" t="inlineStr"/>
    </row>
    <row r="4473" ht="15" customHeight="1">
      <c r="A4473" t="inlineStr">
        <is>
          <t>A 61884-2024</t>
        </is>
      </c>
      <c r="B4473" s="1" t="n">
        <v>45652.65233796297</v>
      </c>
      <c r="C4473" s="1" t="n">
        <v>45952</v>
      </c>
      <c r="D4473" t="inlineStr">
        <is>
          <t>VÄSTRA GÖTALANDS LÄN</t>
        </is>
      </c>
      <c r="E4473" t="inlineStr">
        <is>
          <t>TROLLHÄTTAN</t>
        </is>
      </c>
      <c r="G4473" t="n">
        <v>2</v>
      </c>
      <c r="H4473" t="n">
        <v>0</v>
      </c>
      <c r="I4473" t="n">
        <v>0</v>
      </c>
      <c r="J4473" t="n">
        <v>0</v>
      </c>
      <c r="K4473" t="n">
        <v>0</v>
      </c>
      <c r="L4473" t="n">
        <v>0</v>
      </c>
      <c r="M4473" t="n">
        <v>0</v>
      </c>
      <c r="N4473" t="n">
        <v>0</v>
      </c>
      <c r="O4473" t="n">
        <v>0</v>
      </c>
      <c r="P4473" t="n">
        <v>0</v>
      </c>
      <c r="Q4473" t="n">
        <v>0</v>
      </c>
      <c r="R4473" s="2" t="inlineStr"/>
    </row>
    <row r="4474" ht="15" customHeight="1">
      <c r="A4474" t="inlineStr">
        <is>
          <t>A 16352-2025</t>
        </is>
      </c>
      <c r="B4474" s="1" t="n">
        <v>45750</v>
      </c>
      <c r="C4474" s="1" t="n">
        <v>45952</v>
      </c>
      <c r="D4474" t="inlineStr">
        <is>
          <t>VÄSTRA GÖTALANDS LÄN</t>
        </is>
      </c>
      <c r="E4474" t="inlineStr">
        <is>
          <t>MELLERUD</t>
        </is>
      </c>
      <c r="G4474" t="n">
        <v>1.2</v>
      </c>
      <c r="H4474" t="n">
        <v>0</v>
      </c>
      <c r="I4474" t="n">
        <v>0</v>
      </c>
      <c r="J4474" t="n">
        <v>0</v>
      </c>
      <c r="K4474" t="n">
        <v>0</v>
      </c>
      <c r="L4474" t="n">
        <v>0</v>
      </c>
      <c r="M4474" t="n">
        <v>0</v>
      </c>
      <c r="N4474" t="n">
        <v>0</v>
      </c>
      <c r="O4474" t="n">
        <v>0</v>
      </c>
      <c r="P4474" t="n">
        <v>0</v>
      </c>
      <c r="Q4474" t="n">
        <v>0</v>
      </c>
      <c r="R4474" s="2" t="inlineStr"/>
    </row>
    <row r="4475" ht="15" customHeight="1">
      <c r="A4475" t="inlineStr">
        <is>
          <t>A 16466-2025</t>
        </is>
      </c>
      <c r="B4475" s="1" t="n">
        <v>45751.53894675926</v>
      </c>
      <c r="C4475" s="1" t="n">
        <v>45952</v>
      </c>
      <c r="D4475" t="inlineStr">
        <is>
          <t>VÄSTRA GÖTALANDS LÄN</t>
        </is>
      </c>
      <c r="E4475" t="inlineStr">
        <is>
          <t>MARIESTAD</t>
        </is>
      </c>
      <c r="G4475" t="n">
        <v>2</v>
      </c>
      <c r="H4475" t="n">
        <v>0</v>
      </c>
      <c r="I4475" t="n">
        <v>0</v>
      </c>
      <c r="J4475" t="n">
        <v>0</v>
      </c>
      <c r="K4475" t="n">
        <v>0</v>
      </c>
      <c r="L4475" t="n">
        <v>0</v>
      </c>
      <c r="M4475" t="n">
        <v>0</v>
      </c>
      <c r="N4475" t="n">
        <v>0</v>
      </c>
      <c r="O4475" t="n">
        <v>0</v>
      </c>
      <c r="P4475" t="n">
        <v>0</v>
      </c>
      <c r="Q4475" t="n">
        <v>0</v>
      </c>
      <c r="R4475" s="2" t="inlineStr"/>
    </row>
    <row r="4476" ht="15" customHeight="1">
      <c r="A4476" t="inlineStr">
        <is>
          <t>A 11021-2022</t>
        </is>
      </c>
      <c r="B4476" s="1" t="n">
        <v>44628.55136574074</v>
      </c>
      <c r="C4476" s="1" t="n">
        <v>45952</v>
      </c>
      <c r="D4476" t="inlineStr">
        <is>
          <t>VÄSTRA GÖTALANDS LÄN</t>
        </is>
      </c>
      <c r="E4476" t="inlineStr">
        <is>
          <t>BOLLEBYGD</t>
        </is>
      </c>
      <c r="G4476" t="n">
        <v>3</v>
      </c>
      <c r="H4476" t="n">
        <v>0</v>
      </c>
      <c r="I4476" t="n">
        <v>0</v>
      </c>
      <c r="J4476" t="n">
        <v>0</v>
      </c>
      <c r="K4476" t="n">
        <v>0</v>
      </c>
      <c r="L4476" t="n">
        <v>0</v>
      </c>
      <c r="M4476" t="n">
        <v>0</v>
      </c>
      <c r="N4476" t="n">
        <v>0</v>
      </c>
      <c r="O4476" t="n">
        <v>0</v>
      </c>
      <c r="P4476" t="n">
        <v>0</v>
      </c>
      <c r="Q4476" t="n">
        <v>0</v>
      </c>
      <c r="R4476" s="2" t="inlineStr"/>
    </row>
    <row r="4477" ht="15" customHeight="1">
      <c r="A4477" t="inlineStr">
        <is>
          <t>A 68149-2020</t>
        </is>
      </c>
      <c r="B4477" s="1" t="n">
        <v>44183</v>
      </c>
      <c r="C4477" s="1" t="n">
        <v>45952</v>
      </c>
      <c r="D4477" t="inlineStr">
        <is>
          <t>VÄSTRA GÖTALANDS LÄN</t>
        </is>
      </c>
      <c r="E4477" t="inlineStr">
        <is>
          <t>BORÅS</t>
        </is>
      </c>
      <c r="G4477" t="n">
        <v>3.7</v>
      </c>
      <c r="H4477" t="n">
        <v>0</v>
      </c>
      <c r="I4477" t="n">
        <v>0</v>
      </c>
      <c r="J4477" t="n">
        <v>0</v>
      </c>
      <c r="K4477" t="n">
        <v>0</v>
      </c>
      <c r="L4477" t="n">
        <v>0</v>
      </c>
      <c r="M4477" t="n">
        <v>0</v>
      </c>
      <c r="N4477" t="n">
        <v>0</v>
      </c>
      <c r="O4477" t="n">
        <v>0</v>
      </c>
      <c r="P4477" t="n">
        <v>0</v>
      </c>
      <c r="Q4477" t="n">
        <v>0</v>
      </c>
      <c r="R4477" s="2" t="inlineStr"/>
    </row>
    <row r="4478" ht="15" customHeight="1">
      <c r="A4478" t="inlineStr">
        <is>
          <t>A 58199-2022</t>
        </is>
      </c>
      <c r="B4478" s="1" t="n">
        <v>44901.30459490741</v>
      </c>
      <c r="C4478" s="1" t="n">
        <v>45952</v>
      </c>
      <c r="D4478" t="inlineStr">
        <is>
          <t>VÄSTRA GÖTALANDS LÄN</t>
        </is>
      </c>
      <c r="E4478" t="inlineStr">
        <is>
          <t>DALS-ED</t>
        </is>
      </c>
      <c r="G4478" t="n">
        <v>5.6</v>
      </c>
      <c r="H4478" t="n">
        <v>0</v>
      </c>
      <c r="I4478" t="n">
        <v>0</v>
      </c>
      <c r="J4478" t="n">
        <v>0</v>
      </c>
      <c r="K4478" t="n">
        <v>0</v>
      </c>
      <c r="L4478" t="n">
        <v>0</v>
      </c>
      <c r="M4478" t="n">
        <v>0</v>
      </c>
      <c r="N4478" t="n">
        <v>0</v>
      </c>
      <c r="O4478" t="n">
        <v>0</v>
      </c>
      <c r="P4478" t="n">
        <v>0</v>
      </c>
      <c r="Q4478" t="n">
        <v>0</v>
      </c>
      <c r="R4478" s="2" t="inlineStr"/>
    </row>
    <row r="4479" ht="15" customHeight="1">
      <c r="A4479" t="inlineStr">
        <is>
          <t>A 15099-2024</t>
        </is>
      </c>
      <c r="B4479" s="1" t="n">
        <v>45399.66082175926</v>
      </c>
      <c r="C4479" s="1" t="n">
        <v>45952</v>
      </c>
      <c r="D4479" t="inlineStr">
        <is>
          <t>VÄSTRA GÖTALANDS LÄN</t>
        </is>
      </c>
      <c r="E4479" t="inlineStr">
        <is>
          <t>VÄNERSBORG</t>
        </is>
      </c>
      <c r="G4479" t="n">
        <v>1.2</v>
      </c>
      <c r="H4479" t="n">
        <v>0</v>
      </c>
      <c r="I4479" t="n">
        <v>0</v>
      </c>
      <c r="J4479" t="n">
        <v>0</v>
      </c>
      <c r="K4479" t="n">
        <v>0</v>
      </c>
      <c r="L4479" t="n">
        <v>0</v>
      </c>
      <c r="M4479" t="n">
        <v>0</v>
      </c>
      <c r="N4479" t="n">
        <v>0</v>
      </c>
      <c r="O4479" t="n">
        <v>0</v>
      </c>
      <c r="P4479" t="n">
        <v>0</v>
      </c>
      <c r="Q4479" t="n">
        <v>0</v>
      </c>
      <c r="R4479" s="2" t="inlineStr"/>
    </row>
    <row r="4480" ht="15" customHeight="1">
      <c r="A4480" t="inlineStr">
        <is>
          <t>A 15104-2024</t>
        </is>
      </c>
      <c r="B4480" s="1" t="n">
        <v>45399.66480324074</v>
      </c>
      <c r="C4480" s="1" t="n">
        <v>45952</v>
      </c>
      <c r="D4480" t="inlineStr">
        <is>
          <t>VÄSTRA GÖTALANDS LÄN</t>
        </is>
      </c>
      <c r="E4480" t="inlineStr">
        <is>
          <t>BENGTSFORS</t>
        </is>
      </c>
      <c r="G4480" t="n">
        <v>1.6</v>
      </c>
      <c r="H4480" t="n">
        <v>0</v>
      </c>
      <c r="I4480" t="n">
        <v>0</v>
      </c>
      <c r="J4480" t="n">
        <v>0</v>
      </c>
      <c r="K4480" t="n">
        <v>0</v>
      </c>
      <c r="L4480" t="n">
        <v>0</v>
      </c>
      <c r="M4480" t="n">
        <v>0</v>
      </c>
      <c r="N4480" t="n">
        <v>0</v>
      </c>
      <c r="O4480" t="n">
        <v>0</v>
      </c>
      <c r="P4480" t="n">
        <v>0</v>
      </c>
      <c r="Q4480" t="n">
        <v>0</v>
      </c>
      <c r="R4480" s="2" t="inlineStr"/>
    </row>
    <row r="4481" ht="15" customHeight="1">
      <c r="A4481" t="inlineStr">
        <is>
          <t>A 15107-2024</t>
        </is>
      </c>
      <c r="B4481" s="1" t="n">
        <v>45399</v>
      </c>
      <c r="C4481" s="1" t="n">
        <v>45952</v>
      </c>
      <c r="D4481" t="inlineStr">
        <is>
          <t>VÄSTRA GÖTALANDS LÄN</t>
        </is>
      </c>
      <c r="E4481" t="inlineStr">
        <is>
          <t>VÄNERSBORG</t>
        </is>
      </c>
      <c r="G4481" t="n">
        <v>1.3</v>
      </c>
      <c r="H4481" t="n">
        <v>0</v>
      </c>
      <c r="I4481" t="n">
        <v>0</v>
      </c>
      <c r="J4481" t="n">
        <v>0</v>
      </c>
      <c r="K4481" t="n">
        <v>0</v>
      </c>
      <c r="L4481" t="n">
        <v>0</v>
      </c>
      <c r="M4481" t="n">
        <v>0</v>
      </c>
      <c r="N4481" t="n">
        <v>0</v>
      </c>
      <c r="O4481" t="n">
        <v>0</v>
      </c>
      <c r="P4481" t="n">
        <v>0</v>
      </c>
      <c r="Q4481" t="n">
        <v>0</v>
      </c>
      <c r="R4481" s="2" t="inlineStr"/>
    </row>
    <row r="4482" ht="15" customHeight="1">
      <c r="A4482" t="inlineStr">
        <is>
          <t>A 72227-2021</t>
        </is>
      </c>
      <c r="B4482" s="1" t="n">
        <v>44544.86215277778</v>
      </c>
      <c r="C4482" s="1" t="n">
        <v>45952</v>
      </c>
      <c r="D4482" t="inlineStr">
        <is>
          <t>VÄSTRA GÖTALANDS LÄN</t>
        </is>
      </c>
      <c r="E4482" t="inlineStr">
        <is>
          <t>TANUM</t>
        </is>
      </c>
      <c r="G4482" t="n">
        <v>2.7</v>
      </c>
      <c r="H4482" t="n">
        <v>0</v>
      </c>
      <c r="I4482" t="n">
        <v>0</v>
      </c>
      <c r="J4482" t="n">
        <v>0</v>
      </c>
      <c r="K4482" t="n">
        <v>0</v>
      </c>
      <c r="L4482" t="n">
        <v>0</v>
      </c>
      <c r="M4482" t="n">
        <v>0</v>
      </c>
      <c r="N4482" t="n">
        <v>0</v>
      </c>
      <c r="O4482" t="n">
        <v>0</v>
      </c>
      <c r="P4482" t="n">
        <v>0</v>
      </c>
      <c r="Q4482" t="n">
        <v>0</v>
      </c>
      <c r="R4482" s="2" t="inlineStr"/>
    </row>
    <row r="4483" ht="15" customHeight="1">
      <c r="A4483" t="inlineStr">
        <is>
          <t>A 40841-2023</t>
        </is>
      </c>
      <c r="B4483" s="1" t="n">
        <v>45172</v>
      </c>
      <c r="C4483" s="1" t="n">
        <v>45952</v>
      </c>
      <c r="D4483" t="inlineStr">
        <is>
          <t>VÄSTRA GÖTALANDS LÄN</t>
        </is>
      </c>
      <c r="E4483" t="inlineStr">
        <is>
          <t>HERRLJUNGA</t>
        </is>
      </c>
      <c r="G4483" t="n">
        <v>1.5</v>
      </c>
      <c r="H4483" t="n">
        <v>0</v>
      </c>
      <c r="I4483" t="n">
        <v>0</v>
      </c>
      <c r="J4483" t="n">
        <v>0</v>
      </c>
      <c r="K4483" t="n">
        <v>0</v>
      </c>
      <c r="L4483" t="n">
        <v>0</v>
      </c>
      <c r="M4483" t="n">
        <v>0</v>
      </c>
      <c r="N4483" t="n">
        <v>0</v>
      </c>
      <c r="O4483" t="n">
        <v>0</v>
      </c>
      <c r="P4483" t="n">
        <v>0</v>
      </c>
      <c r="Q4483" t="n">
        <v>0</v>
      </c>
      <c r="R4483" s="2" t="inlineStr"/>
    </row>
    <row r="4484" ht="15" customHeight="1">
      <c r="A4484" t="inlineStr">
        <is>
          <t>A 27853-2023</t>
        </is>
      </c>
      <c r="B4484" s="1" t="n">
        <v>45098.5687962963</v>
      </c>
      <c r="C4484" s="1" t="n">
        <v>45952</v>
      </c>
      <c r="D4484" t="inlineStr">
        <is>
          <t>VÄSTRA GÖTALANDS LÄN</t>
        </is>
      </c>
      <c r="E4484" t="inlineStr">
        <is>
          <t>ÅMÅL</t>
        </is>
      </c>
      <c r="G4484" t="n">
        <v>0.6</v>
      </c>
      <c r="H4484" t="n">
        <v>0</v>
      </c>
      <c r="I4484" t="n">
        <v>0</v>
      </c>
      <c r="J4484" t="n">
        <v>0</v>
      </c>
      <c r="K4484" t="n">
        <v>0</v>
      </c>
      <c r="L4484" t="n">
        <v>0</v>
      </c>
      <c r="M4484" t="n">
        <v>0</v>
      </c>
      <c r="N4484" t="n">
        <v>0</v>
      </c>
      <c r="O4484" t="n">
        <v>0</v>
      </c>
      <c r="P4484" t="n">
        <v>0</v>
      </c>
      <c r="Q4484" t="n">
        <v>0</v>
      </c>
      <c r="R4484" s="2" t="inlineStr"/>
    </row>
    <row r="4485" ht="15" customHeight="1">
      <c r="A4485" t="inlineStr">
        <is>
          <t>A 32447-2023</t>
        </is>
      </c>
      <c r="B4485" s="1" t="n">
        <v>45120</v>
      </c>
      <c r="C4485" s="1" t="n">
        <v>45952</v>
      </c>
      <c r="D4485" t="inlineStr">
        <is>
          <t>VÄSTRA GÖTALANDS LÄN</t>
        </is>
      </c>
      <c r="E4485" t="inlineStr">
        <is>
          <t>TIDAHOLM</t>
        </is>
      </c>
      <c r="G4485" t="n">
        <v>1.5</v>
      </c>
      <c r="H4485" t="n">
        <v>0</v>
      </c>
      <c r="I4485" t="n">
        <v>0</v>
      </c>
      <c r="J4485" t="n">
        <v>0</v>
      </c>
      <c r="K4485" t="n">
        <v>0</v>
      </c>
      <c r="L4485" t="n">
        <v>0</v>
      </c>
      <c r="M4485" t="n">
        <v>0</v>
      </c>
      <c r="N4485" t="n">
        <v>0</v>
      </c>
      <c r="O4485" t="n">
        <v>0</v>
      </c>
      <c r="P4485" t="n">
        <v>0</v>
      </c>
      <c r="Q4485" t="n">
        <v>0</v>
      </c>
      <c r="R4485" s="2" t="inlineStr"/>
    </row>
    <row r="4486" ht="15" customHeight="1">
      <c r="A4486" t="inlineStr">
        <is>
          <t>A 32452-2023</t>
        </is>
      </c>
      <c r="B4486" s="1" t="n">
        <v>45120</v>
      </c>
      <c r="C4486" s="1" t="n">
        <v>45952</v>
      </c>
      <c r="D4486" t="inlineStr">
        <is>
          <t>VÄSTRA GÖTALANDS LÄN</t>
        </is>
      </c>
      <c r="E4486" t="inlineStr">
        <is>
          <t>BORÅS</t>
        </is>
      </c>
      <c r="G4486" t="n">
        <v>1.5</v>
      </c>
      <c r="H4486" t="n">
        <v>0</v>
      </c>
      <c r="I4486" t="n">
        <v>0</v>
      </c>
      <c r="J4486" t="n">
        <v>0</v>
      </c>
      <c r="K4486" t="n">
        <v>0</v>
      </c>
      <c r="L4486" t="n">
        <v>0</v>
      </c>
      <c r="M4486" t="n">
        <v>0</v>
      </c>
      <c r="N4486" t="n">
        <v>0</v>
      </c>
      <c r="O4486" t="n">
        <v>0</v>
      </c>
      <c r="P4486" t="n">
        <v>0</v>
      </c>
      <c r="Q4486" t="n">
        <v>0</v>
      </c>
      <c r="R4486" s="2" t="inlineStr"/>
    </row>
    <row r="4487" ht="15" customHeight="1">
      <c r="A4487" t="inlineStr">
        <is>
          <t>A 32453-2023</t>
        </is>
      </c>
      <c r="B4487" s="1" t="n">
        <v>45120</v>
      </c>
      <c r="C4487" s="1" t="n">
        <v>45952</v>
      </c>
      <c r="D4487" t="inlineStr">
        <is>
          <t>VÄSTRA GÖTALANDS LÄN</t>
        </is>
      </c>
      <c r="E4487" t="inlineStr">
        <is>
          <t>BORÅS</t>
        </is>
      </c>
      <c r="G4487" t="n">
        <v>3.9</v>
      </c>
      <c r="H4487" t="n">
        <v>0</v>
      </c>
      <c r="I4487" t="n">
        <v>0</v>
      </c>
      <c r="J4487" t="n">
        <v>0</v>
      </c>
      <c r="K4487" t="n">
        <v>0</v>
      </c>
      <c r="L4487" t="n">
        <v>0</v>
      </c>
      <c r="M4487" t="n">
        <v>0</v>
      </c>
      <c r="N4487" t="n">
        <v>0</v>
      </c>
      <c r="O4487" t="n">
        <v>0</v>
      </c>
      <c r="P4487" t="n">
        <v>0</v>
      </c>
      <c r="Q4487" t="n">
        <v>0</v>
      </c>
      <c r="R4487" s="2" t="inlineStr"/>
    </row>
    <row r="4488" ht="15" customHeight="1">
      <c r="A4488" t="inlineStr">
        <is>
          <t>A 32531-2023</t>
        </is>
      </c>
      <c r="B4488" s="1" t="n">
        <v>45121</v>
      </c>
      <c r="C4488" s="1" t="n">
        <v>45952</v>
      </c>
      <c r="D4488" t="inlineStr">
        <is>
          <t>VÄSTRA GÖTALANDS LÄN</t>
        </is>
      </c>
      <c r="E4488" t="inlineStr">
        <is>
          <t>UDDEVALLA</t>
        </is>
      </c>
      <c r="G4488" t="n">
        <v>1.9</v>
      </c>
      <c r="H4488" t="n">
        <v>0</v>
      </c>
      <c r="I4488" t="n">
        <v>0</v>
      </c>
      <c r="J4488" t="n">
        <v>0</v>
      </c>
      <c r="K4488" t="n">
        <v>0</v>
      </c>
      <c r="L4488" t="n">
        <v>0</v>
      </c>
      <c r="M4488" t="n">
        <v>0</v>
      </c>
      <c r="N4488" t="n">
        <v>0</v>
      </c>
      <c r="O4488" t="n">
        <v>0</v>
      </c>
      <c r="P4488" t="n">
        <v>0</v>
      </c>
      <c r="Q4488" t="n">
        <v>0</v>
      </c>
      <c r="R4488" s="2" t="inlineStr"/>
    </row>
    <row r="4489" ht="15" customHeight="1">
      <c r="A4489" t="inlineStr">
        <is>
          <t>A 59023-2023</t>
        </is>
      </c>
      <c r="B4489" s="1" t="n">
        <v>45252</v>
      </c>
      <c r="C4489" s="1" t="n">
        <v>45952</v>
      </c>
      <c r="D4489" t="inlineStr">
        <is>
          <t>VÄSTRA GÖTALANDS LÄN</t>
        </is>
      </c>
      <c r="E4489" t="inlineStr">
        <is>
          <t>FÄRGELANDA</t>
        </is>
      </c>
      <c r="G4489" t="n">
        <v>1.8</v>
      </c>
      <c r="H4489" t="n">
        <v>0</v>
      </c>
      <c r="I4489" t="n">
        <v>0</v>
      </c>
      <c r="J4489" t="n">
        <v>0</v>
      </c>
      <c r="K4489" t="n">
        <v>0</v>
      </c>
      <c r="L4489" t="n">
        <v>0</v>
      </c>
      <c r="M4489" t="n">
        <v>0</v>
      </c>
      <c r="N4489" t="n">
        <v>0</v>
      </c>
      <c r="O4489" t="n">
        <v>0</v>
      </c>
      <c r="P4489" t="n">
        <v>0</v>
      </c>
      <c r="Q4489" t="n">
        <v>0</v>
      </c>
      <c r="R4489" s="2" t="inlineStr"/>
    </row>
    <row r="4490" ht="15" customHeight="1">
      <c r="A4490" t="inlineStr">
        <is>
          <t>A 14657-2024</t>
        </is>
      </c>
      <c r="B4490" s="1" t="n">
        <v>45397</v>
      </c>
      <c r="C4490" s="1" t="n">
        <v>45952</v>
      </c>
      <c r="D4490" t="inlineStr">
        <is>
          <t>VÄSTRA GÖTALANDS LÄN</t>
        </is>
      </c>
      <c r="E4490" t="inlineStr">
        <is>
          <t>MARIESTAD</t>
        </is>
      </c>
      <c r="G4490" t="n">
        <v>0.9</v>
      </c>
      <c r="H4490" t="n">
        <v>0</v>
      </c>
      <c r="I4490" t="n">
        <v>0</v>
      </c>
      <c r="J4490" t="n">
        <v>0</v>
      </c>
      <c r="K4490" t="n">
        <v>0</v>
      </c>
      <c r="L4490" t="n">
        <v>0</v>
      </c>
      <c r="M4490" t="n">
        <v>0</v>
      </c>
      <c r="N4490" t="n">
        <v>0</v>
      </c>
      <c r="O4490" t="n">
        <v>0</v>
      </c>
      <c r="P4490" t="n">
        <v>0</v>
      </c>
      <c r="Q4490" t="n">
        <v>0</v>
      </c>
      <c r="R4490" s="2" t="inlineStr"/>
    </row>
    <row r="4491" ht="15" customHeight="1">
      <c r="A4491" t="inlineStr">
        <is>
          <t>A 47850-2024</t>
        </is>
      </c>
      <c r="B4491" s="1" t="n">
        <v>45588.65774305556</v>
      </c>
      <c r="C4491" s="1" t="n">
        <v>45952</v>
      </c>
      <c r="D4491" t="inlineStr">
        <is>
          <t>VÄSTRA GÖTALANDS LÄN</t>
        </is>
      </c>
      <c r="E4491" t="inlineStr">
        <is>
          <t>BORÅS</t>
        </is>
      </c>
      <c r="G4491" t="n">
        <v>3.2</v>
      </c>
      <c r="H4491" t="n">
        <v>0</v>
      </c>
      <c r="I4491" t="n">
        <v>0</v>
      </c>
      <c r="J4491" t="n">
        <v>0</v>
      </c>
      <c r="K4491" t="n">
        <v>0</v>
      </c>
      <c r="L4491" t="n">
        <v>0</v>
      </c>
      <c r="M4491" t="n">
        <v>0</v>
      </c>
      <c r="N4491" t="n">
        <v>0</v>
      </c>
      <c r="O4491" t="n">
        <v>0</v>
      </c>
      <c r="P4491" t="n">
        <v>0</v>
      </c>
      <c r="Q4491" t="n">
        <v>0</v>
      </c>
      <c r="R4491" s="2" t="inlineStr"/>
    </row>
    <row r="4492" ht="15" customHeight="1">
      <c r="A4492" t="inlineStr">
        <is>
          <t>A 38347-2023</t>
        </is>
      </c>
      <c r="B4492" s="1" t="n">
        <v>45161.90960648148</v>
      </c>
      <c r="C4492" s="1" t="n">
        <v>45952</v>
      </c>
      <c r="D4492" t="inlineStr">
        <is>
          <t>VÄSTRA GÖTALANDS LÄN</t>
        </is>
      </c>
      <c r="E4492" t="inlineStr">
        <is>
          <t>DALS-ED</t>
        </is>
      </c>
      <c r="F4492" t="inlineStr">
        <is>
          <t>Kommuner</t>
        </is>
      </c>
      <c r="G4492" t="n">
        <v>2.3</v>
      </c>
      <c r="H4492" t="n">
        <v>0</v>
      </c>
      <c r="I4492" t="n">
        <v>0</v>
      </c>
      <c r="J4492" t="n">
        <v>0</v>
      </c>
      <c r="K4492" t="n">
        <v>0</v>
      </c>
      <c r="L4492" t="n">
        <v>0</v>
      </c>
      <c r="M4492" t="n">
        <v>0</v>
      </c>
      <c r="N4492" t="n">
        <v>0</v>
      </c>
      <c r="O4492" t="n">
        <v>0</v>
      </c>
      <c r="P4492" t="n">
        <v>0</v>
      </c>
      <c r="Q4492" t="n">
        <v>0</v>
      </c>
      <c r="R4492" s="2" t="inlineStr"/>
    </row>
    <row r="4493" ht="15" customHeight="1">
      <c r="A4493" t="inlineStr">
        <is>
          <t>A 9216-2024</t>
        </is>
      </c>
      <c r="B4493" s="1" t="n">
        <v>45358.50931712963</v>
      </c>
      <c r="C4493" s="1" t="n">
        <v>45952</v>
      </c>
      <c r="D4493" t="inlineStr">
        <is>
          <t>VÄSTRA GÖTALANDS LÄN</t>
        </is>
      </c>
      <c r="E4493" t="inlineStr">
        <is>
          <t>VARA</t>
        </is>
      </c>
      <c r="G4493" t="n">
        <v>4.5</v>
      </c>
      <c r="H4493" t="n">
        <v>0</v>
      </c>
      <c r="I4493" t="n">
        <v>0</v>
      </c>
      <c r="J4493" t="n">
        <v>0</v>
      </c>
      <c r="K4493" t="n">
        <v>0</v>
      </c>
      <c r="L4493" t="n">
        <v>0</v>
      </c>
      <c r="M4493" t="n">
        <v>0</v>
      </c>
      <c r="N4493" t="n">
        <v>0</v>
      </c>
      <c r="O4493" t="n">
        <v>0</v>
      </c>
      <c r="P4493" t="n">
        <v>0</v>
      </c>
      <c r="Q4493" t="n">
        <v>0</v>
      </c>
      <c r="R4493" s="2" t="inlineStr"/>
    </row>
    <row r="4494" ht="15" customHeight="1">
      <c r="A4494" t="inlineStr">
        <is>
          <t>A 9259-2024</t>
        </is>
      </c>
      <c r="B4494" s="1" t="n">
        <v>45358.6052662037</v>
      </c>
      <c r="C4494" s="1" t="n">
        <v>45952</v>
      </c>
      <c r="D4494" t="inlineStr">
        <is>
          <t>VÄSTRA GÖTALANDS LÄN</t>
        </is>
      </c>
      <c r="E4494" t="inlineStr">
        <is>
          <t>ÅMÅL</t>
        </is>
      </c>
      <c r="G4494" t="n">
        <v>6.1</v>
      </c>
      <c r="H4494" t="n">
        <v>0</v>
      </c>
      <c r="I4494" t="n">
        <v>0</v>
      </c>
      <c r="J4494" t="n">
        <v>0</v>
      </c>
      <c r="K4494" t="n">
        <v>0</v>
      </c>
      <c r="L4494" t="n">
        <v>0</v>
      </c>
      <c r="M4494" t="n">
        <v>0</v>
      </c>
      <c r="N4494" t="n">
        <v>0</v>
      </c>
      <c r="O4494" t="n">
        <v>0</v>
      </c>
      <c r="P4494" t="n">
        <v>0</v>
      </c>
      <c r="Q4494" t="n">
        <v>0</v>
      </c>
      <c r="R4494" s="2" t="inlineStr"/>
    </row>
    <row r="4495" ht="15" customHeight="1">
      <c r="A4495" t="inlineStr">
        <is>
          <t>A 27463-2024</t>
        </is>
      </c>
      <c r="B4495" s="1" t="n">
        <v>45474.45266203704</v>
      </c>
      <c r="C4495" s="1" t="n">
        <v>45952</v>
      </c>
      <c r="D4495" t="inlineStr">
        <is>
          <t>VÄSTRA GÖTALANDS LÄN</t>
        </is>
      </c>
      <c r="E4495" t="inlineStr">
        <is>
          <t>KUNGÄLV</t>
        </is>
      </c>
      <c r="G4495" t="n">
        <v>1.1</v>
      </c>
      <c r="H4495" t="n">
        <v>0</v>
      </c>
      <c r="I4495" t="n">
        <v>0</v>
      </c>
      <c r="J4495" t="n">
        <v>0</v>
      </c>
      <c r="K4495" t="n">
        <v>0</v>
      </c>
      <c r="L4495" t="n">
        <v>0</v>
      </c>
      <c r="M4495" t="n">
        <v>0</v>
      </c>
      <c r="N4495" t="n">
        <v>0</v>
      </c>
      <c r="O4495" t="n">
        <v>0</v>
      </c>
      <c r="P4495" t="n">
        <v>0</v>
      </c>
      <c r="Q4495" t="n">
        <v>0</v>
      </c>
      <c r="R4495" s="2" t="inlineStr"/>
    </row>
    <row r="4496" ht="15" customHeight="1">
      <c r="A4496" t="inlineStr">
        <is>
          <t>A 48358-2023</t>
        </is>
      </c>
      <c r="B4496" s="1" t="n">
        <v>45205</v>
      </c>
      <c r="C4496" s="1" t="n">
        <v>45952</v>
      </c>
      <c r="D4496" t="inlineStr">
        <is>
          <t>VÄSTRA GÖTALANDS LÄN</t>
        </is>
      </c>
      <c r="E4496" t="inlineStr">
        <is>
          <t>BORÅS</t>
        </is>
      </c>
      <c r="G4496" t="n">
        <v>0.3</v>
      </c>
      <c r="H4496" t="n">
        <v>0</v>
      </c>
      <c r="I4496" t="n">
        <v>0</v>
      </c>
      <c r="J4496" t="n">
        <v>0</v>
      </c>
      <c r="K4496" t="n">
        <v>0</v>
      </c>
      <c r="L4496" t="n">
        <v>0</v>
      </c>
      <c r="M4496" t="n">
        <v>0</v>
      </c>
      <c r="N4496" t="n">
        <v>0</v>
      </c>
      <c r="O4496" t="n">
        <v>0</v>
      </c>
      <c r="P4496" t="n">
        <v>0</v>
      </c>
      <c r="Q4496" t="n">
        <v>0</v>
      </c>
      <c r="R4496" s="2" t="inlineStr"/>
    </row>
    <row r="4497" ht="15" customHeight="1">
      <c r="A4497" t="inlineStr">
        <is>
          <t>A 31989-2022</t>
        </is>
      </c>
      <c r="B4497" s="1" t="n">
        <v>44778.30577546296</v>
      </c>
      <c r="C4497" s="1" t="n">
        <v>45952</v>
      </c>
      <c r="D4497" t="inlineStr">
        <is>
          <t>VÄSTRA GÖTALANDS LÄN</t>
        </is>
      </c>
      <c r="E4497" t="inlineStr">
        <is>
          <t>GULLSPÅNG</t>
        </is>
      </c>
      <c r="G4497" t="n">
        <v>0.8</v>
      </c>
      <c r="H4497" t="n">
        <v>0</v>
      </c>
      <c r="I4497" t="n">
        <v>0</v>
      </c>
      <c r="J4497" t="n">
        <v>0</v>
      </c>
      <c r="K4497" t="n">
        <v>0</v>
      </c>
      <c r="L4497" t="n">
        <v>0</v>
      </c>
      <c r="M4497" t="n">
        <v>0</v>
      </c>
      <c r="N4497" t="n">
        <v>0</v>
      </c>
      <c r="O4497" t="n">
        <v>0</v>
      </c>
      <c r="P4497" t="n">
        <v>0</v>
      </c>
      <c r="Q4497" t="n">
        <v>0</v>
      </c>
      <c r="R4497" s="2" t="inlineStr"/>
    </row>
    <row r="4498" ht="15" customHeight="1">
      <c r="A4498" t="inlineStr">
        <is>
          <t>A 5465-2024</t>
        </is>
      </c>
      <c r="B4498" s="1" t="n">
        <v>45332.54150462963</v>
      </c>
      <c r="C4498" s="1" t="n">
        <v>45952</v>
      </c>
      <c r="D4498" t="inlineStr">
        <is>
          <t>VÄSTRA GÖTALANDS LÄN</t>
        </is>
      </c>
      <c r="E4498" t="inlineStr">
        <is>
          <t>MARK</t>
        </is>
      </c>
      <c r="G4498" t="n">
        <v>1.2</v>
      </c>
      <c r="H4498" t="n">
        <v>0</v>
      </c>
      <c r="I4498" t="n">
        <v>0</v>
      </c>
      <c r="J4498" t="n">
        <v>0</v>
      </c>
      <c r="K4498" t="n">
        <v>0</v>
      </c>
      <c r="L4498" t="n">
        <v>0</v>
      </c>
      <c r="M4498" t="n">
        <v>0</v>
      </c>
      <c r="N4498" t="n">
        <v>0</v>
      </c>
      <c r="O4498" t="n">
        <v>0</v>
      </c>
      <c r="P4498" t="n">
        <v>0</v>
      </c>
      <c r="Q4498" t="n">
        <v>0</v>
      </c>
      <c r="R4498" s="2" t="inlineStr"/>
    </row>
    <row r="4499" ht="15" customHeight="1">
      <c r="A4499" t="inlineStr">
        <is>
          <t>A 54943-2023</t>
        </is>
      </c>
      <c r="B4499" s="1" t="n">
        <v>45236</v>
      </c>
      <c r="C4499" s="1" t="n">
        <v>45952</v>
      </c>
      <c r="D4499" t="inlineStr">
        <is>
          <t>VÄSTRA GÖTALANDS LÄN</t>
        </is>
      </c>
      <c r="E4499" t="inlineStr">
        <is>
          <t>ÅMÅL</t>
        </is>
      </c>
      <c r="G4499" t="n">
        <v>3.4</v>
      </c>
      <c r="H4499" t="n">
        <v>0</v>
      </c>
      <c r="I4499" t="n">
        <v>0</v>
      </c>
      <c r="J4499" t="n">
        <v>0</v>
      </c>
      <c r="K4499" t="n">
        <v>0</v>
      </c>
      <c r="L4499" t="n">
        <v>0</v>
      </c>
      <c r="M4499" t="n">
        <v>0</v>
      </c>
      <c r="N4499" t="n">
        <v>0</v>
      </c>
      <c r="O4499" t="n">
        <v>0</v>
      </c>
      <c r="P4499" t="n">
        <v>0</v>
      </c>
      <c r="Q4499" t="n">
        <v>0</v>
      </c>
      <c r="R4499" s="2" t="inlineStr"/>
    </row>
    <row r="4500" ht="15" customHeight="1">
      <c r="A4500" t="inlineStr">
        <is>
          <t>A 23101-2022</t>
        </is>
      </c>
      <c r="B4500" s="1" t="n">
        <v>44719</v>
      </c>
      <c r="C4500" s="1" t="n">
        <v>45952</v>
      </c>
      <c r="D4500" t="inlineStr">
        <is>
          <t>VÄSTRA GÖTALANDS LÄN</t>
        </is>
      </c>
      <c r="E4500" t="inlineStr">
        <is>
          <t>HERRLJUNGA</t>
        </is>
      </c>
      <c r="G4500" t="n">
        <v>0.9</v>
      </c>
      <c r="H4500" t="n">
        <v>0</v>
      </c>
      <c r="I4500" t="n">
        <v>0</v>
      </c>
      <c r="J4500" t="n">
        <v>0</v>
      </c>
      <c r="K4500" t="n">
        <v>0</v>
      </c>
      <c r="L4500" t="n">
        <v>0</v>
      </c>
      <c r="M4500" t="n">
        <v>0</v>
      </c>
      <c r="N4500" t="n">
        <v>0</v>
      </c>
      <c r="O4500" t="n">
        <v>0</v>
      </c>
      <c r="P4500" t="n">
        <v>0</v>
      </c>
      <c r="Q4500" t="n">
        <v>0</v>
      </c>
      <c r="R4500" s="2" t="inlineStr"/>
    </row>
    <row r="4501" ht="15" customHeight="1">
      <c r="A4501" t="inlineStr">
        <is>
          <t>A 60103-2022</t>
        </is>
      </c>
      <c r="B4501" s="1" t="n">
        <v>44909.63206018518</v>
      </c>
      <c r="C4501" s="1" t="n">
        <v>45952</v>
      </c>
      <c r="D4501" t="inlineStr">
        <is>
          <t>VÄSTRA GÖTALANDS LÄN</t>
        </is>
      </c>
      <c r="E4501" t="inlineStr">
        <is>
          <t>TROLLHÄTTAN</t>
        </is>
      </c>
      <c r="G4501" t="n">
        <v>1.1</v>
      </c>
      <c r="H4501" t="n">
        <v>0</v>
      </c>
      <c r="I4501" t="n">
        <v>0</v>
      </c>
      <c r="J4501" t="n">
        <v>0</v>
      </c>
      <c r="K4501" t="n">
        <v>0</v>
      </c>
      <c r="L4501" t="n">
        <v>0</v>
      </c>
      <c r="M4501" t="n">
        <v>0</v>
      </c>
      <c r="N4501" t="n">
        <v>0</v>
      </c>
      <c r="O4501" t="n">
        <v>0</v>
      </c>
      <c r="P4501" t="n">
        <v>0</v>
      </c>
      <c r="Q4501" t="n">
        <v>0</v>
      </c>
      <c r="R4501" s="2" t="inlineStr"/>
    </row>
    <row r="4502" ht="15" customHeight="1">
      <c r="A4502" t="inlineStr">
        <is>
          <t>A 34155-2024</t>
        </is>
      </c>
      <c r="B4502" s="1" t="n">
        <v>45524.3860300926</v>
      </c>
      <c r="C4502" s="1" t="n">
        <v>45952</v>
      </c>
      <c r="D4502" t="inlineStr">
        <is>
          <t>VÄSTRA GÖTALANDS LÄN</t>
        </is>
      </c>
      <c r="E4502" t="inlineStr">
        <is>
          <t>ORUST</t>
        </is>
      </c>
      <c r="G4502" t="n">
        <v>1.9</v>
      </c>
      <c r="H4502" t="n">
        <v>0</v>
      </c>
      <c r="I4502" t="n">
        <v>0</v>
      </c>
      <c r="J4502" t="n">
        <v>0</v>
      </c>
      <c r="K4502" t="n">
        <v>0</v>
      </c>
      <c r="L4502" t="n">
        <v>0</v>
      </c>
      <c r="M4502" t="n">
        <v>0</v>
      </c>
      <c r="N4502" t="n">
        <v>0</v>
      </c>
      <c r="O4502" t="n">
        <v>0</v>
      </c>
      <c r="P4502" t="n">
        <v>0</v>
      </c>
      <c r="Q4502" t="n">
        <v>0</v>
      </c>
      <c r="R4502" s="2" t="inlineStr"/>
    </row>
    <row r="4503" ht="15" customHeight="1">
      <c r="A4503" t="inlineStr">
        <is>
          <t>A 58483-2024</t>
        </is>
      </c>
      <c r="B4503" s="1" t="n">
        <v>45632</v>
      </c>
      <c r="C4503" s="1" t="n">
        <v>45952</v>
      </c>
      <c r="D4503" t="inlineStr">
        <is>
          <t>VÄSTRA GÖTALANDS LÄN</t>
        </is>
      </c>
      <c r="E4503" t="inlineStr">
        <is>
          <t>BORÅS</t>
        </is>
      </c>
      <c r="G4503" t="n">
        <v>3.9</v>
      </c>
      <c r="H4503" t="n">
        <v>0</v>
      </c>
      <c r="I4503" t="n">
        <v>0</v>
      </c>
      <c r="J4503" t="n">
        <v>0</v>
      </c>
      <c r="K4503" t="n">
        <v>0</v>
      </c>
      <c r="L4503" t="n">
        <v>0</v>
      </c>
      <c r="M4503" t="n">
        <v>0</v>
      </c>
      <c r="N4503" t="n">
        <v>0</v>
      </c>
      <c r="O4503" t="n">
        <v>0</v>
      </c>
      <c r="P4503" t="n">
        <v>0</v>
      </c>
      <c r="Q4503" t="n">
        <v>0</v>
      </c>
      <c r="R4503" s="2" t="inlineStr"/>
    </row>
    <row r="4504" ht="15" customHeight="1">
      <c r="A4504" t="inlineStr">
        <is>
          <t>A 12361-2023</t>
        </is>
      </c>
      <c r="B4504" s="1" t="n">
        <v>44999</v>
      </c>
      <c r="C4504" s="1" t="n">
        <v>45952</v>
      </c>
      <c r="D4504" t="inlineStr">
        <is>
          <t>VÄSTRA GÖTALANDS LÄN</t>
        </is>
      </c>
      <c r="E4504" t="inlineStr">
        <is>
          <t>MARIESTAD</t>
        </is>
      </c>
      <c r="G4504" t="n">
        <v>4.5</v>
      </c>
      <c r="H4504" t="n">
        <v>0</v>
      </c>
      <c r="I4504" t="n">
        <v>0</v>
      </c>
      <c r="J4504" t="n">
        <v>0</v>
      </c>
      <c r="K4504" t="n">
        <v>0</v>
      </c>
      <c r="L4504" t="n">
        <v>0</v>
      </c>
      <c r="M4504" t="n">
        <v>0</v>
      </c>
      <c r="N4504" t="n">
        <v>0</v>
      </c>
      <c r="O4504" t="n">
        <v>0</v>
      </c>
      <c r="P4504" t="n">
        <v>0</v>
      </c>
      <c r="Q4504" t="n">
        <v>0</v>
      </c>
      <c r="R4504" s="2" t="inlineStr"/>
    </row>
    <row r="4505" ht="15" customHeight="1">
      <c r="A4505" t="inlineStr">
        <is>
          <t>A 8146-2023</t>
        </is>
      </c>
      <c r="B4505" s="1" t="n">
        <v>44974</v>
      </c>
      <c r="C4505" s="1" t="n">
        <v>45952</v>
      </c>
      <c r="D4505" t="inlineStr">
        <is>
          <t>VÄSTRA GÖTALANDS LÄN</t>
        </is>
      </c>
      <c r="E4505" t="inlineStr">
        <is>
          <t>MARIESTAD</t>
        </is>
      </c>
      <c r="G4505" t="n">
        <v>2.2</v>
      </c>
      <c r="H4505" t="n">
        <v>0</v>
      </c>
      <c r="I4505" t="n">
        <v>0</v>
      </c>
      <c r="J4505" t="n">
        <v>0</v>
      </c>
      <c r="K4505" t="n">
        <v>0</v>
      </c>
      <c r="L4505" t="n">
        <v>0</v>
      </c>
      <c r="M4505" t="n">
        <v>0</v>
      </c>
      <c r="N4505" t="n">
        <v>0</v>
      </c>
      <c r="O4505" t="n">
        <v>0</v>
      </c>
      <c r="P4505" t="n">
        <v>0</v>
      </c>
      <c r="Q4505" t="n">
        <v>0</v>
      </c>
      <c r="R4505" s="2" t="inlineStr"/>
    </row>
    <row r="4506" ht="15" customHeight="1">
      <c r="A4506" t="inlineStr">
        <is>
          <t>A 46875-2023</t>
        </is>
      </c>
      <c r="B4506" s="1" t="n">
        <v>45200.85653935185</v>
      </c>
      <c r="C4506" s="1" t="n">
        <v>45952</v>
      </c>
      <c r="D4506" t="inlineStr">
        <is>
          <t>VÄSTRA GÖTALANDS LÄN</t>
        </is>
      </c>
      <c r="E4506" t="inlineStr">
        <is>
          <t>MARIESTAD</t>
        </is>
      </c>
      <c r="G4506" t="n">
        <v>3.7</v>
      </c>
      <c r="H4506" t="n">
        <v>0</v>
      </c>
      <c r="I4506" t="n">
        <v>0</v>
      </c>
      <c r="J4506" t="n">
        <v>0</v>
      </c>
      <c r="K4506" t="n">
        <v>0</v>
      </c>
      <c r="L4506" t="n">
        <v>0</v>
      </c>
      <c r="M4506" t="n">
        <v>0</v>
      </c>
      <c r="N4506" t="n">
        <v>0</v>
      </c>
      <c r="O4506" t="n">
        <v>0</v>
      </c>
      <c r="P4506" t="n">
        <v>0</v>
      </c>
      <c r="Q4506" t="n">
        <v>0</v>
      </c>
      <c r="R4506" s="2" t="inlineStr"/>
    </row>
    <row r="4507" ht="15" customHeight="1">
      <c r="A4507" t="inlineStr">
        <is>
          <t>A 57701-2023</t>
        </is>
      </c>
      <c r="B4507" s="1" t="n">
        <v>45246.67354166666</v>
      </c>
      <c r="C4507" s="1" t="n">
        <v>45952</v>
      </c>
      <c r="D4507" t="inlineStr">
        <is>
          <t>VÄSTRA GÖTALANDS LÄN</t>
        </is>
      </c>
      <c r="E4507" t="inlineStr">
        <is>
          <t>DALS-ED</t>
        </is>
      </c>
      <c r="G4507" t="n">
        <v>1.1</v>
      </c>
      <c r="H4507" t="n">
        <v>0</v>
      </c>
      <c r="I4507" t="n">
        <v>0</v>
      </c>
      <c r="J4507" t="n">
        <v>0</v>
      </c>
      <c r="K4507" t="n">
        <v>0</v>
      </c>
      <c r="L4507" t="n">
        <v>0</v>
      </c>
      <c r="M4507" t="n">
        <v>0</v>
      </c>
      <c r="N4507" t="n">
        <v>0</v>
      </c>
      <c r="O4507" t="n">
        <v>0</v>
      </c>
      <c r="P4507" t="n">
        <v>0</v>
      </c>
      <c r="Q4507" t="n">
        <v>0</v>
      </c>
      <c r="R4507" s="2" t="inlineStr"/>
    </row>
    <row r="4508" ht="15" customHeight="1">
      <c r="A4508" t="inlineStr">
        <is>
          <t>A 18043-2021</t>
        </is>
      </c>
      <c r="B4508" s="1" t="n">
        <v>44301</v>
      </c>
      <c r="C4508" s="1" t="n">
        <v>45952</v>
      </c>
      <c r="D4508" t="inlineStr">
        <is>
          <t>VÄSTRA GÖTALANDS LÄN</t>
        </is>
      </c>
      <c r="E4508" t="inlineStr">
        <is>
          <t>STRÖMSTAD</t>
        </is>
      </c>
      <c r="G4508" t="n">
        <v>6.1</v>
      </c>
      <c r="H4508" t="n">
        <v>0</v>
      </c>
      <c r="I4508" t="n">
        <v>0</v>
      </c>
      <c r="J4508" t="n">
        <v>0</v>
      </c>
      <c r="K4508" t="n">
        <v>0</v>
      </c>
      <c r="L4508" t="n">
        <v>0</v>
      </c>
      <c r="M4508" t="n">
        <v>0</v>
      </c>
      <c r="N4508" t="n">
        <v>0</v>
      </c>
      <c r="O4508" t="n">
        <v>0</v>
      </c>
      <c r="P4508" t="n">
        <v>0</v>
      </c>
      <c r="Q4508" t="n">
        <v>0</v>
      </c>
      <c r="R4508" s="2" t="inlineStr"/>
    </row>
    <row r="4509" ht="15" customHeight="1">
      <c r="A4509" t="inlineStr">
        <is>
          <t>A 19709-2022</t>
        </is>
      </c>
      <c r="B4509" s="1" t="n">
        <v>44694.54123842593</v>
      </c>
      <c r="C4509" s="1" t="n">
        <v>45952</v>
      </c>
      <c r="D4509" t="inlineStr">
        <is>
          <t>VÄSTRA GÖTALANDS LÄN</t>
        </is>
      </c>
      <c r="E4509" t="inlineStr">
        <is>
          <t>MARK</t>
        </is>
      </c>
      <c r="G4509" t="n">
        <v>1.9</v>
      </c>
      <c r="H4509" t="n">
        <v>0</v>
      </c>
      <c r="I4509" t="n">
        <v>0</v>
      </c>
      <c r="J4509" t="n">
        <v>0</v>
      </c>
      <c r="K4509" t="n">
        <v>0</v>
      </c>
      <c r="L4509" t="n">
        <v>0</v>
      </c>
      <c r="M4509" t="n">
        <v>0</v>
      </c>
      <c r="N4509" t="n">
        <v>0</v>
      </c>
      <c r="O4509" t="n">
        <v>0</v>
      </c>
      <c r="P4509" t="n">
        <v>0</v>
      </c>
      <c r="Q4509" t="n">
        <v>0</v>
      </c>
      <c r="R4509" s="2" t="inlineStr"/>
    </row>
    <row r="4510" ht="15" customHeight="1">
      <c r="A4510" t="inlineStr">
        <is>
          <t>A 25399-2023</t>
        </is>
      </c>
      <c r="B4510" s="1" t="n">
        <v>45089</v>
      </c>
      <c r="C4510" s="1" t="n">
        <v>45952</v>
      </c>
      <c r="D4510" t="inlineStr">
        <is>
          <t>VÄSTRA GÖTALANDS LÄN</t>
        </is>
      </c>
      <c r="E4510" t="inlineStr">
        <is>
          <t>MELLERUD</t>
        </is>
      </c>
      <c r="G4510" t="n">
        <v>1.9</v>
      </c>
      <c r="H4510" t="n">
        <v>0</v>
      </c>
      <c r="I4510" t="n">
        <v>0</v>
      </c>
      <c r="J4510" t="n">
        <v>0</v>
      </c>
      <c r="K4510" t="n">
        <v>0</v>
      </c>
      <c r="L4510" t="n">
        <v>0</v>
      </c>
      <c r="M4510" t="n">
        <v>0</v>
      </c>
      <c r="N4510" t="n">
        <v>0</v>
      </c>
      <c r="O4510" t="n">
        <v>0</v>
      </c>
      <c r="P4510" t="n">
        <v>0</v>
      </c>
      <c r="Q4510" t="n">
        <v>0</v>
      </c>
      <c r="R4510" s="2" t="inlineStr"/>
    </row>
    <row r="4511" ht="15" customHeight="1">
      <c r="A4511" t="inlineStr">
        <is>
          <t>A 25402-2023</t>
        </is>
      </c>
      <c r="B4511" s="1" t="n">
        <v>45089</v>
      </c>
      <c r="C4511" s="1" t="n">
        <v>45952</v>
      </c>
      <c r="D4511" t="inlineStr">
        <is>
          <t>VÄSTRA GÖTALANDS LÄN</t>
        </is>
      </c>
      <c r="E4511" t="inlineStr">
        <is>
          <t>TRANEMO</t>
        </is>
      </c>
      <c r="G4511" t="n">
        <v>2</v>
      </c>
      <c r="H4511" t="n">
        <v>0</v>
      </c>
      <c r="I4511" t="n">
        <v>0</v>
      </c>
      <c r="J4511" t="n">
        <v>0</v>
      </c>
      <c r="K4511" t="n">
        <v>0</v>
      </c>
      <c r="L4511" t="n">
        <v>0</v>
      </c>
      <c r="M4511" t="n">
        <v>0</v>
      </c>
      <c r="N4511" t="n">
        <v>0</v>
      </c>
      <c r="O4511" t="n">
        <v>0</v>
      </c>
      <c r="P4511" t="n">
        <v>0</v>
      </c>
      <c r="Q4511" t="n">
        <v>0</v>
      </c>
      <c r="R4511" s="2" t="inlineStr"/>
    </row>
    <row r="4512" ht="15" customHeight="1">
      <c r="A4512" t="inlineStr">
        <is>
          <t>A 58717-2021</t>
        </is>
      </c>
      <c r="B4512" s="1" t="n">
        <v>44489</v>
      </c>
      <c r="C4512" s="1" t="n">
        <v>45952</v>
      </c>
      <c r="D4512" t="inlineStr">
        <is>
          <t>VÄSTRA GÖTALANDS LÄN</t>
        </is>
      </c>
      <c r="E4512" t="inlineStr">
        <is>
          <t>FALKÖPING</t>
        </is>
      </c>
      <c r="G4512" t="n">
        <v>2.3</v>
      </c>
      <c r="H4512" t="n">
        <v>0</v>
      </c>
      <c r="I4512" t="n">
        <v>0</v>
      </c>
      <c r="J4512" t="n">
        <v>0</v>
      </c>
      <c r="K4512" t="n">
        <v>0</v>
      </c>
      <c r="L4512" t="n">
        <v>0</v>
      </c>
      <c r="M4512" t="n">
        <v>0</v>
      </c>
      <c r="N4512" t="n">
        <v>0</v>
      </c>
      <c r="O4512" t="n">
        <v>0</v>
      </c>
      <c r="P4512" t="n">
        <v>0</v>
      </c>
      <c r="Q4512" t="n">
        <v>0</v>
      </c>
      <c r="R4512" s="2" t="inlineStr"/>
    </row>
    <row r="4513" ht="15" customHeight="1">
      <c r="A4513" t="inlineStr">
        <is>
          <t>A 38389-2023</t>
        </is>
      </c>
      <c r="B4513" s="1" t="n">
        <v>45162</v>
      </c>
      <c r="C4513" s="1" t="n">
        <v>45952</v>
      </c>
      <c r="D4513" t="inlineStr">
        <is>
          <t>VÄSTRA GÖTALANDS LÄN</t>
        </is>
      </c>
      <c r="E4513" t="inlineStr">
        <is>
          <t>UDDEVALLA</t>
        </is>
      </c>
      <c r="G4513" t="n">
        <v>1</v>
      </c>
      <c r="H4513" t="n">
        <v>0</v>
      </c>
      <c r="I4513" t="n">
        <v>0</v>
      </c>
      <c r="J4513" t="n">
        <v>0</v>
      </c>
      <c r="K4513" t="n">
        <v>0</v>
      </c>
      <c r="L4513" t="n">
        <v>0</v>
      </c>
      <c r="M4513" t="n">
        <v>0</v>
      </c>
      <c r="N4513" t="n">
        <v>0</v>
      </c>
      <c r="O4513" t="n">
        <v>0</v>
      </c>
      <c r="P4513" t="n">
        <v>0</v>
      </c>
      <c r="Q4513" t="n">
        <v>0</v>
      </c>
      <c r="R4513" s="2" t="inlineStr"/>
    </row>
    <row r="4514" ht="15" customHeight="1">
      <c r="A4514" t="inlineStr">
        <is>
          <t>A 38394-2023</t>
        </is>
      </c>
      <c r="B4514" s="1" t="n">
        <v>45162.31151620371</v>
      </c>
      <c r="C4514" s="1" t="n">
        <v>45952</v>
      </c>
      <c r="D4514" t="inlineStr">
        <is>
          <t>VÄSTRA GÖTALANDS LÄN</t>
        </is>
      </c>
      <c r="E4514" t="inlineStr">
        <is>
          <t>FALKÖPING</t>
        </is>
      </c>
      <c r="G4514" t="n">
        <v>1.5</v>
      </c>
      <c r="H4514" t="n">
        <v>0</v>
      </c>
      <c r="I4514" t="n">
        <v>0</v>
      </c>
      <c r="J4514" t="n">
        <v>0</v>
      </c>
      <c r="K4514" t="n">
        <v>0</v>
      </c>
      <c r="L4514" t="n">
        <v>0</v>
      </c>
      <c r="M4514" t="n">
        <v>0</v>
      </c>
      <c r="N4514" t="n">
        <v>0</v>
      </c>
      <c r="O4514" t="n">
        <v>0</v>
      </c>
      <c r="P4514" t="n">
        <v>0</v>
      </c>
      <c r="Q4514" t="n">
        <v>0</v>
      </c>
      <c r="R4514" s="2" t="inlineStr"/>
    </row>
    <row r="4515" ht="15" customHeight="1">
      <c r="A4515" t="inlineStr">
        <is>
          <t>A 9005-2025</t>
        </is>
      </c>
      <c r="B4515" s="1" t="n">
        <v>45713.57063657408</v>
      </c>
      <c r="C4515" s="1" t="n">
        <v>45952</v>
      </c>
      <c r="D4515" t="inlineStr">
        <is>
          <t>VÄSTRA GÖTALANDS LÄN</t>
        </is>
      </c>
      <c r="E4515" t="inlineStr">
        <is>
          <t>TRANEMO</t>
        </is>
      </c>
      <c r="G4515" t="n">
        <v>4.2</v>
      </c>
      <c r="H4515" t="n">
        <v>0</v>
      </c>
      <c r="I4515" t="n">
        <v>0</v>
      </c>
      <c r="J4515" t="n">
        <v>0</v>
      </c>
      <c r="K4515" t="n">
        <v>0</v>
      </c>
      <c r="L4515" t="n">
        <v>0</v>
      </c>
      <c r="M4515" t="n">
        <v>0</v>
      </c>
      <c r="N4515" t="n">
        <v>0</v>
      </c>
      <c r="O4515" t="n">
        <v>0</v>
      </c>
      <c r="P4515" t="n">
        <v>0</v>
      </c>
      <c r="Q4515" t="n">
        <v>0</v>
      </c>
      <c r="R4515" s="2" t="inlineStr"/>
    </row>
    <row r="4516" ht="15" customHeight="1">
      <c r="A4516" t="inlineStr">
        <is>
          <t>A 5757-2022</t>
        </is>
      </c>
      <c r="B4516" s="1" t="n">
        <v>44596.48284722222</v>
      </c>
      <c r="C4516" s="1" t="n">
        <v>45952</v>
      </c>
      <c r="D4516" t="inlineStr">
        <is>
          <t>VÄSTRA GÖTALANDS LÄN</t>
        </is>
      </c>
      <c r="E4516" t="inlineStr">
        <is>
          <t>ALINGSÅS</t>
        </is>
      </c>
      <c r="G4516" t="n">
        <v>1.3</v>
      </c>
      <c r="H4516" t="n">
        <v>0</v>
      </c>
      <c r="I4516" t="n">
        <v>0</v>
      </c>
      <c r="J4516" t="n">
        <v>0</v>
      </c>
      <c r="K4516" t="n">
        <v>0</v>
      </c>
      <c r="L4516" t="n">
        <v>0</v>
      </c>
      <c r="M4516" t="n">
        <v>0</v>
      </c>
      <c r="N4516" t="n">
        <v>0</v>
      </c>
      <c r="O4516" t="n">
        <v>0</v>
      </c>
      <c r="P4516" t="n">
        <v>0</v>
      </c>
      <c r="Q4516" t="n">
        <v>0</v>
      </c>
      <c r="R4516" s="2" t="inlineStr"/>
    </row>
    <row r="4517" ht="15" customHeight="1">
      <c r="A4517" t="inlineStr">
        <is>
          <t>A 7490-2025</t>
        </is>
      </c>
      <c r="B4517" s="1" t="n">
        <v>45705.47967592593</v>
      </c>
      <c r="C4517" s="1" t="n">
        <v>45952</v>
      </c>
      <c r="D4517" t="inlineStr">
        <is>
          <t>VÄSTRA GÖTALANDS LÄN</t>
        </is>
      </c>
      <c r="E4517" t="inlineStr">
        <is>
          <t>MARIESTAD</t>
        </is>
      </c>
      <c r="G4517" t="n">
        <v>0.4</v>
      </c>
      <c r="H4517" t="n">
        <v>0</v>
      </c>
      <c r="I4517" t="n">
        <v>0</v>
      </c>
      <c r="J4517" t="n">
        <v>0</v>
      </c>
      <c r="K4517" t="n">
        <v>0</v>
      </c>
      <c r="L4517" t="n">
        <v>0</v>
      </c>
      <c r="M4517" t="n">
        <v>0</v>
      </c>
      <c r="N4517" t="n">
        <v>0</v>
      </c>
      <c r="O4517" t="n">
        <v>0</v>
      </c>
      <c r="P4517" t="n">
        <v>0</v>
      </c>
      <c r="Q4517" t="n">
        <v>0</v>
      </c>
      <c r="R4517" s="2" t="inlineStr"/>
    </row>
    <row r="4518" ht="15" customHeight="1">
      <c r="A4518" t="inlineStr">
        <is>
          <t>A 369-2023</t>
        </is>
      </c>
      <c r="B4518" s="1" t="n">
        <v>44929</v>
      </c>
      <c r="C4518" s="1" t="n">
        <v>45952</v>
      </c>
      <c r="D4518" t="inlineStr">
        <is>
          <t>VÄSTRA GÖTALANDS LÄN</t>
        </is>
      </c>
      <c r="E4518" t="inlineStr">
        <is>
          <t>VÄNERSBORG</t>
        </is>
      </c>
      <c r="G4518" t="n">
        <v>0.5</v>
      </c>
      <c r="H4518" t="n">
        <v>0</v>
      </c>
      <c r="I4518" t="n">
        <v>0</v>
      </c>
      <c r="J4518" t="n">
        <v>0</v>
      </c>
      <c r="K4518" t="n">
        <v>0</v>
      </c>
      <c r="L4518" t="n">
        <v>0</v>
      </c>
      <c r="M4518" t="n">
        <v>0</v>
      </c>
      <c r="N4518" t="n">
        <v>0</v>
      </c>
      <c r="O4518" t="n">
        <v>0</v>
      </c>
      <c r="P4518" t="n">
        <v>0</v>
      </c>
      <c r="Q4518" t="n">
        <v>0</v>
      </c>
      <c r="R4518" s="2" t="inlineStr"/>
    </row>
    <row r="4519" ht="15" customHeight="1">
      <c r="A4519" t="inlineStr">
        <is>
          <t>A 4783-2024</t>
        </is>
      </c>
      <c r="B4519" s="1" t="n">
        <v>45328</v>
      </c>
      <c r="C4519" s="1" t="n">
        <v>45952</v>
      </c>
      <c r="D4519" t="inlineStr">
        <is>
          <t>VÄSTRA GÖTALANDS LÄN</t>
        </is>
      </c>
      <c r="E4519" t="inlineStr">
        <is>
          <t>BOLLEBYGD</t>
        </is>
      </c>
      <c r="G4519" t="n">
        <v>1.1</v>
      </c>
      <c r="H4519" t="n">
        <v>0</v>
      </c>
      <c r="I4519" t="n">
        <v>0</v>
      </c>
      <c r="J4519" t="n">
        <v>0</v>
      </c>
      <c r="K4519" t="n">
        <v>0</v>
      </c>
      <c r="L4519" t="n">
        <v>0</v>
      </c>
      <c r="M4519" t="n">
        <v>0</v>
      </c>
      <c r="N4519" t="n">
        <v>0</v>
      </c>
      <c r="O4519" t="n">
        <v>0</v>
      </c>
      <c r="P4519" t="n">
        <v>0</v>
      </c>
      <c r="Q4519" t="n">
        <v>0</v>
      </c>
      <c r="R4519" s="2" t="inlineStr"/>
    </row>
    <row r="4520" ht="15" customHeight="1">
      <c r="A4520" t="inlineStr">
        <is>
          <t>A 44992-2023</t>
        </is>
      </c>
      <c r="B4520" s="1" t="n">
        <v>45190.95885416667</v>
      </c>
      <c r="C4520" s="1" t="n">
        <v>45952</v>
      </c>
      <c r="D4520" t="inlineStr">
        <is>
          <t>VÄSTRA GÖTALANDS LÄN</t>
        </is>
      </c>
      <c r="E4520" t="inlineStr">
        <is>
          <t>ESSUNGA</t>
        </is>
      </c>
      <c r="G4520" t="n">
        <v>0.7</v>
      </c>
      <c r="H4520" t="n">
        <v>0</v>
      </c>
      <c r="I4520" t="n">
        <v>0</v>
      </c>
      <c r="J4520" t="n">
        <v>0</v>
      </c>
      <c r="K4520" t="n">
        <v>0</v>
      </c>
      <c r="L4520" t="n">
        <v>0</v>
      </c>
      <c r="M4520" t="n">
        <v>0</v>
      </c>
      <c r="N4520" t="n">
        <v>0</v>
      </c>
      <c r="O4520" t="n">
        <v>0</v>
      </c>
      <c r="P4520" t="n">
        <v>0</v>
      </c>
      <c r="Q4520" t="n">
        <v>0</v>
      </c>
      <c r="R4520" s="2" t="inlineStr"/>
    </row>
    <row r="4521" ht="15" customHeight="1">
      <c r="A4521" t="inlineStr">
        <is>
          <t>A 37906-2024</t>
        </is>
      </c>
      <c r="B4521" s="1" t="n">
        <v>45544</v>
      </c>
      <c r="C4521" s="1" t="n">
        <v>45952</v>
      </c>
      <c r="D4521" t="inlineStr">
        <is>
          <t>VÄSTRA GÖTALANDS LÄN</t>
        </is>
      </c>
      <c r="E4521" t="inlineStr">
        <is>
          <t>SVENLJUNGA</t>
        </is>
      </c>
      <c r="G4521" t="n">
        <v>1.8</v>
      </c>
      <c r="H4521" t="n">
        <v>0</v>
      </c>
      <c r="I4521" t="n">
        <v>0</v>
      </c>
      <c r="J4521" t="n">
        <v>0</v>
      </c>
      <c r="K4521" t="n">
        <v>0</v>
      </c>
      <c r="L4521" t="n">
        <v>0</v>
      </c>
      <c r="M4521" t="n">
        <v>0</v>
      </c>
      <c r="N4521" t="n">
        <v>0</v>
      </c>
      <c r="O4521" t="n">
        <v>0</v>
      </c>
      <c r="P4521" t="n">
        <v>0</v>
      </c>
      <c r="Q4521" t="n">
        <v>0</v>
      </c>
      <c r="R4521" s="2" t="inlineStr"/>
    </row>
    <row r="4522" ht="15" customHeight="1">
      <c r="A4522" t="inlineStr">
        <is>
          <t>A 37908-2024</t>
        </is>
      </c>
      <c r="B4522" s="1" t="n">
        <v>45544</v>
      </c>
      <c r="C4522" s="1" t="n">
        <v>45952</v>
      </c>
      <c r="D4522" t="inlineStr">
        <is>
          <t>VÄSTRA GÖTALANDS LÄN</t>
        </is>
      </c>
      <c r="E4522" t="inlineStr">
        <is>
          <t>SVENLJUNGA</t>
        </is>
      </c>
      <c r="G4522" t="n">
        <v>1.2</v>
      </c>
      <c r="H4522" t="n">
        <v>0</v>
      </c>
      <c r="I4522" t="n">
        <v>0</v>
      </c>
      <c r="J4522" t="n">
        <v>0</v>
      </c>
      <c r="K4522" t="n">
        <v>0</v>
      </c>
      <c r="L4522" t="n">
        <v>0</v>
      </c>
      <c r="M4522" t="n">
        <v>0</v>
      </c>
      <c r="N4522" t="n">
        <v>0</v>
      </c>
      <c r="O4522" t="n">
        <v>0</v>
      </c>
      <c r="P4522" t="n">
        <v>0</v>
      </c>
      <c r="Q4522" t="n">
        <v>0</v>
      </c>
      <c r="R4522" s="2" t="inlineStr"/>
    </row>
    <row r="4523" ht="15" customHeight="1">
      <c r="A4523" t="inlineStr">
        <is>
          <t>A 37909-2024</t>
        </is>
      </c>
      <c r="B4523" s="1" t="n">
        <v>45544</v>
      </c>
      <c r="C4523" s="1" t="n">
        <v>45952</v>
      </c>
      <c r="D4523" t="inlineStr">
        <is>
          <t>VÄSTRA GÖTALANDS LÄN</t>
        </is>
      </c>
      <c r="E4523" t="inlineStr">
        <is>
          <t>SVENLJUNGA</t>
        </is>
      </c>
      <c r="G4523" t="n">
        <v>1</v>
      </c>
      <c r="H4523" t="n">
        <v>0</v>
      </c>
      <c r="I4523" t="n">
        <v>0</v>
      </c>
      <c r="J4523" t="n">
        <v>0</v>
      </c>
      <c r="K4523" t="n">
        <v>0</v>
      </c>
      <c r="L4523" t="n">
        <v>0</v>
      </c>
      <c r="M4523" t="n">
        <v>0</v>
      </c>
      <c r="N4523" t="n">
        <v>0</v>
      </c>
      <c r="O4523" t="n">
        <v>0</v>
      </c>
      <c r="P4523" t="n">
        <v>0</v>
      </c>
      <c r="Q4523" t="n">
        <v>0</v>
      </c>
      <c r="R4523" s="2" t="inlineStr"/>
    </row>
    <row r="4524" ht="15" customHeight="1">
      <c r="A4524" t="inlineStr">
        <is>
          <t>A 35232-2024</t>
        </is>
      </c>
      <c r="B4524" s="1" t="n">
        <v>45530.53361111111</v>
      </c>
      <c r="C4524" s="1" t="n">
        <v>45952</v>
      </c>
      <c r="D4524" t="inlineStr">
        <is>
          <t>VÄSTRA GÖTALANDS LÄN</t>
        </is>
      </c>
      <c r="E4524" t="inlineStr">
        <is>
          <t>TÖREBODA</t>
        </is>
      </c>
      <c r="G4524" t="n">
        <v>0.7</v>
      </c>
      <c r="H4524" t="n">
        <v>0</v>
      </c>
      <c r="I4524" t="n">
        <v>0</v>
      </c>
      <c r="J4524" t="n">
        <v>0</v>
      </c>
      <c r="K4524" t="n">
        <v>0</v>
      </c>
      <c r="L4524" t="n">
        <v>0</v>
      </c>
      <c r="M4524" t="n">
        <v>0</v>
      </c>
      <c r="N4524" t="n">
        <v>0</v>
      </c>
      <c r="O4524" t="n">
        <v>0</v>
      </c>
      <c r="P4524" t="n">
        <v>0</v>
      </c>
      <c r="Q4524" t="n">
        <v>0</v>
      </c>
      <c r="R4524" s="2" t="inlineStr"/>
    </row>
    <row r="4525" ht="15" customHeight="1">
      <c r="A4525" t="inlineStr">
        <is>
          <t>A 29092-2023</t>
        </is>
      </c>
      <c r="B4525" s="1" t="n">
        <v>45105.34570601852</v>
      </c>
      <c r="C4525" s="1" t="n">
        <v>45952</v>
      </c>
      <c r="D4525" t="inlineStr">
        <is>
          <t>VÄSTRA GÖTALANDS LÄN</t>
        </is>
      </c>
      <c r="E4525" t="inlineStr">
        <is>
          <t>VÅRGÅRDA</t>
        </is>
      </c>
      <c r="F4525" t="inlineStr">
        <is>
          <t>Kommuner</t>
        </is>
      </c>
      <c r="G4525" t="n">
        <v>2</v>
      </c>
      <c r="H4525" t="n">
        <v>0</v>
      </c>
      <c r="I4525" t="n">
        <v>0</v>
      </c>
      <c r="J4525" t="n">
        <v>0</v>
      </c>
      <c r="K4525" t="n">
        <v>0</v>
      </c>
      <c r="L4525" t="n">
        <v>0</v>
      </c>
      <c r="M4525" t="n">
        <v>0</v>
      </c>
      <c r="N4525" t="n">
        <v>0</v>
      </c>
      <c r="O4525" t="n">
        <v>0</v>
      </c>
      <c r="P4525" t="n">
        <v>0</v>
      </c>
      <c r="Q4525" t="n">
        <v>0</v>
      </c>
      <c r="R4525" s="2" t="inlineStr"/>
    </row>
    <row r="4526" ht="15" customHeight="1">
      <c r="A4526" t="inlineStr">
        <is>
          <t>A 11239-2023</t>
        </is>
      </c>
      <c r="B4526" s="1" t="n">
        <v>44992</v>
      </c>
      <c r="C4526" s="1" t="n">
        <v>45952</v>
      </c>
      <c r="D4526" t="inlineStr">
        <is>
          <t>VÄSTRA GÖTALANDS LÄN</t>
        </is>
      </c>
      <c r="E4526" t="inlineStr">
        <is>
          <t>BOLLEBYGD</t>
        </is>
      </c>
      <c r="G4526" t="n">
        <v>0.9</v>
      </c>
      <c r="H4526" t="n">
        <v>0</v>
      </c>
      <c r="I4526" t="n">
        <v>0</v>
      </c>
      <c r="J4526" t="n">
        <v>0</v>
      </c>
      <c r="K4526" t="n">
        <v>0</v>
      </c>
      <c r="L4526" t="n">
        <v>0</v>
      </c>
      <c r="M4526" t="n">
        <v>0</v>
      </c>
      <c r="N4526" t="n">
        <v>0</v>
      </c>
      <c r="O4526" t="n">
        <v>0</v>
      </c>
      <c r="P4526" t="n">
        <v>0</v>
      </c>
      <c r="Q4526" t="n">
        <v>0</v>
      </c>
      <c r="R4526" s="2" t="inlineStr"/>
    </row>
    <row r="4527" ht="15" customHeight="1">
      <c r="A4527" t="inlineStr">
        <is>
          <t>A 35280-2024</t>
        </is>
      </c>
      <c r="B4527" s="1" t="n">
        <v>45530.63609953703</v>
      </c>
      <c r="C4527" s="1" t="n">
        <v>45952</v>
      </c>
      <c r="D4527" t="inlineStr">
        <is>
          <t>VÄSTRA GÖTALANDS LÄN</t>
        </is>
      </c>
      <c r="E4527" t="inlineStr">
        <is>
          <t>SKÖVDE</t>
        </is>
      </c>
      <c r="G4527" t="n">
        <v>2.1</v>
      </c>
      <c r="H4527" t="n">
        <v>0</v>
      </c>
      <c r="I4527" t="n">
        <v>0</v>
      </c>
      <c r="J4527" t="n">
        <v>0</v>
      </c>
      <c r="K4527" t="n">
        <v>0</v>
      </c>
      <c r="L4527" t="n">
        <v>0</v>
      </c>
      <c r="M4527" t="n">
        <v>0</v>
      </c>
      <c r="N4527" t="n">
        <v>0</v>
      </c>
      <c r="O4527" t="n">
        <v>0</v>
      </c>
      <c r="P4527" t="n">
        <v>0</v>
      </c>
      <c r="Q4527" t="n">
        <v>0</v>
      </c>
      <c r="R4527" s="2" t="inlineStr"/>
    </row>
    <row r="4528" ht="15" customHeight="1">
      <c r="A4528" t="inlineStr">
        <is>
          <t>A 10579-2024</t>
        </is>
      </c>
      <c r="B4528" s="1" t="n">
        <v>45366.66769675926</v>
      </c>
      <c r="C4528" s="1" t="n">
        <v>45952</v>
      </c>
      <c r="D4528" t="inlineStr">
        <is>
          <t>VÄSTRA GÖTALANDS LÄN</t>
        </is>
      </c>
      <c r="E4528" t="inlineStr">
        <is>
          <t>LYSEKIL</t>
        </is>
      </c>
      <c r="G4528" t="n">
        <v>1.3</v>
      </c>
      <c r="H4528" t="n">
        <v>0</v>
      </c>
      <c r="I4528" t="n">
        <v>0</v>
      </c>
      <c r="J4528" t="n">
        <v>0</v>
      </c>
      <c r="K4528" t="n">
        <v>0</v>
      </c>
      <c r="L4528" t="n">
        <v>0</v>
      </c>
      <c r="M4528" t="n">
        <v>0</v>
      </c>
      <c r="N4528" t="n">
        <v>0</v>
      </c>
      <c r="O4528" t="n">
        <v>0</v>
      </c>
      <c r="P4528" t="n">
        <v>0</v>
      </c>
      <c r="Q4528" t="n">
        <v>0</v>
      </c>
      <c r="R4528" s="2" t="inlineStr"/>
    </row>
    <row r="4529" ht="15" customHeight="1">
      <c r="A4529" t="inlineStr">
        <is>
          <t>A 10585-2024</t>
        </is>
      </c>
      <c r="B4529" s="1" t="n">
        <v>45366.69503472222</v>
      </c>
      <c r="C4529" s="1" t="n">
        <v>45952</v>
      </c>
      <c r="D4529" t="inlineStr">
        <is>
          <t>VÄSTRA GÖTALANDS LÄN</t>
        </is>
      </c>
      <c r="E4529" t="inlineStr">
        <is>
          <t>UDDEVALLA</t>
        </is>
      </c>
      <c r="G4529" t="n">
        <v>3.9</v>
      </c>
      <c r="H4529" t="n">
        <v>0</v>
      </c>
      <c r="I4529" t="n">
        <v>0</v>
      </c>
      <c r="J4529" t="n">
        <v>0</v>
      </c>
      <c r="K4529" t="n">
        <v>0</v>
      </c>
      <c r="L4529" t="n">
        <v>0</v>
      </c>
      <c r="M4529" t="n">
        <v>0</v>
      </c>
      <c r="N4529" t="n">
        <v>0</v>
      </c>
      <c r="O4529" t="n">
        <v>0</v>
      </c>
      <c r="P4529" t="n">
        <v>0</v>
      </c>
      <c r="Q4529" t="n">
        <v>0</v>
      </c>
      <c r="R4529" s="2" t="inlineStr"/>
    </row>
    <row r="4530" ht="15" customHeight="1">
      <c r="A4530" t="inlineStr">
        <is>
          <t>A 27980-2023</t>
        </is>
      </c>
      <c r="B4530" s="1" t="n">
        <v>45098</v>
      </c>
      <c r="C4530" s="1" t="n">
        <v>45952</v>
      </c>
      <c r="D4530" t="inlineStr">
        <is>
          <t>VÄSTRA GÖTALANDS LÄN</t>
        </is>
      </c>
      <c r="E4530" t="inlineStr">
        <is>
          <t>SKARA</t>
        </is>
      </c>
      <c r="F4530" t="inlineStr">
        <is>
          <t>Sveaskog</t>
        </is>
      </c>
      <c r="G4530" t="n">
        <v>1.9</v>
      </c>
      <c r="H4530" t="n">
        <v>0</v>
      </c>
      <c r="I4530" t="n">
        <v>0</v>
      </c>
      <c r="J4530" t="n">
        <v>0</v>
      </c>
      <c r="K4530" t="n">
        <v>0</v>
      </c>
      <c r="L4530" t="n">
        <v>0</v>
      </c>
      <c r="M4530" t="n">
        <v>0</v>
      </c>
      <c r="N4530" t="n">
        <v>0</v>
      </c>
      <c r="O4530" t="n">
        <v>0</v>
      </c>
      <c r="P4530" t="n">
        <v>0</v>
      </c>
      <c r="Q4530" t="n">
        <v>0</v>
      </c>
      <c r="R4530" s="2" t="inlineStr"/>
    </row>
    <row r="4531" ht="15" customHeight="1">
      <c r="A4531" t="inlineStr">
        <is>
          <t>A 6743-2021</t>
        </is>
      </c>
      <c r="B4531" s="1" t="n">
        <v>44236</v>
      </c>
      <c r="C4531" s="1" t="n">
        <v>45952</v>
      </c>
      <c r="D4531" t="inlineStr">
        <is>
          <t>VÄSTRA GÖTALANDS LÄN</t>
        </is>
      </c>
      <c r="E4531" t="inlineStr">
        <is>
          <t>BORÅS</t>
        </is>
      </c>
      <c r="G4531" t="n">
        <v>6.2</v>
      </c>
      <c r="H4531" t="n">
        <v>0</v>
      </c>
      <c r="I4531" t="n">
        <v>0</v>
      </c>
      <c r="J4531" t="n">
        <v>0</v>
      </c>
      <c r="K4531" t="n">
        <v>0</v>
      </c>
      <c r="L4531" t="n">
        <v>0</v>
      </c>
      <c r="M4531" t="n">
        <v>0</v>
      </c>
      <c r="N4531" t="n">
        <v>0</v>
      </c>
      <c r="O4531" t="n">
        <v>0</v>
      </c>
      <c r="P4531" t="n">
        <v>0</v>
      </c>
      <c r="Q4531" t="n">
        <v>0</v>
      </c>
      <c r="R4531" s="2" t="inlineStr"/>
    </row>
    <row r="4532" ht="15" customHeight="1">
      <c r="A4532" t="inlineStr">
        <is>
          <t>A 35097-2024</t>
        </is>
      </c>
      <c r="B4532" s="1" t="n">
        <v>45528.60868055555</v>
      </c>
      <c r="C4532" s="1" t="n">
        <v>45952</v>
      </c>
      <c r="D4532" t="inlineStr">
        <is>
          <t>VÄSTRA GÖTALANDS LÄN</t>
        </is>
      </c>
      <c r="E4532" t="inlineStr">
        <is>
          <t>MARIESTAD</t>
        </is>
      </c>
      <c r="G4532" t="n">
        <v>1.6</v>
      </c>
      <c r="H4532" t="n">
        <v>0</v>
      </c>
      <c r="I4532" t="n">
        <v>0</v>
      </c>
      <c r="J4532" t="n">
        <v>0</v>
      </c>
      <c r="K4532" t="n">
        <v>0</v>
      </c>
      <c r="L4532" t="n">
        <v>0</v>
      </c>
      <c r="M4532" t="n">
        <v>0</v>
      </c>
      <c r="N4532" t="n">
        <v>0</v>
      </c>
      <c r="O4532" t="n">
        <v>0</v>
      </c>
      <c r="P4532" t="n">
        <v>0</v>
      </c>
      <c r="Q4532" t="n">
        <v>0</v>
      </c>
      <c r="R4532" s="2" t="inlineStr"/>
    </row>
    <row r="4533" ht="15" customHeight="1">
      <c r="A4533" t="inlineStr">
        <is>
          <t>A 25733-2021</t>
        </is>
      </c>
      <c r="B4533" s="1" t="n">
        <v>44343</v>
      </c>
      <c r="C4533" s="1" t="n">
        <v>45952</v>
      </c>
      <c r="D4533" t="inlineStr">
        <is>
          <t>VÄSTRA GÖTALANDS LÄN</t>
        </is>
      </c>
      <c r="E4533" t="inlineStr">
        <is>
          <t>TÖREBODA</t>
        </is>
      </c>
      <c r="G4533" t="n">
        <v>0.9</v>
      </c>
      <c r="H4533" t="n">
        <v>0</v>
      </c>
      <c r="I4533" t="n">
        <v>0</v>
      </c>
      <c r="J4533" t="n">
        <v>0</v>
      </c>
      <c r="K4533" t="n">
        <v>0</v>
      </c>
      <c r="L4533" t="n">
        <v>0</v>
      </c>
      <c r="M4533" t="n">
        <v>0</v>
      </c>
      <c r="N4533" t="n">
        <v>0</v>
      </c>
      <c r="O4533" t="n">
        <v>0</v>
      </c>
      <c r="P4533" t="n">
        <v>0</v>
      </c>
      <c r="Q4533" t="n">
        <v>0</v>
      </c>
      <c r="R4533" s="2" t="inlineStr"/>
    </row>
    <row r="4534" ht="15" customHeight="1">
      <c r="A4534" t="inlineStr">
        <is>
          <t>A 370-2025</t>
        </is>
      </c>
      <c r="B4534" s="1" t="n">
        <v>45661.54579861111</v>
      </c>
      <c r="C4534" s="1" t="n">
        <v>45952</v>
      </c>
      <c r="D4534" t="inlineStr">
        <is>
          <t>VÄSTRA GÖTALANDS LÄN</t>
        </is>
      </c>
      <c r="E4534" t="inlineStr">
        <is>
          <t>TROLLHÄTTAN</t>
        </is>
      </c>
      <c r="G4534" t="n">
        <v>1.3</v>
      </c>
      <c r="H4534" t="n">
        <v>0</v>
      </c>
      <c r="I4534" t="n">
        <v>0</v>
      </c>
      <c r="J4534" t="n">
        <v>0</v>
      </c>
      <c r="K4534" t="n">
        <v>0</v>
      </c>
      <c r="L4534" t="n">
        <v>0</v>
      </c>
      <c r="M4534" t="n">
        <v>0</v>
      </c>
      <c r="N4534" t="n">
        <v>0</v>
      </c>
      <c r="O4534" t="n">
        <v>0</v>
      </c>
      <c r="P4534" t="n">
        <v>0</v>
      </c>
      <c r="Q4534" t="n">
        <v>0</v>
      </c>
      <c r="R4534" s="2" t="inlineStr"/>
    </row>
    <row r="4535" ht="15" customHeight="1">
      <c r="A4535" t="inlineStr">
        <is>
          <t>A 26311-2023</t>
        </is>
      </c>
      <c r="B4535" s="1" t="n">
        <v>45091.6591087963</v>
      </c>
      <c r="C4535" s="1" t="n">
        <v>45952</v>
      </c>
      <c r="D4535" t="inlineStr">
        <is>
          <t>VÄSTRA GÖTALANDS LÄN</t>
        </is>
      </c>
      <c r="E4535" t="inlineStr">
        <is>
          <t>SVENLJUNGA</t>
        </is>
      </c>
      <c r="G4535" t="n">
        <v>1.1</v>
      </c>
      <c r="H4535" t="n">
        <v>0</v>
      </c>
      <c r="I4535" t="n">
        <v>0</v>
      </c>
      <c r="J4535" t="n">
        <v>0</v>
      </c>
      <c r="K4535" t="n">
        <v>0</v>
      </c>
      <c r="L4535" t="n">
        <v>0</v>
      </c>
      <c r="M4535" t="n">
        <v>0</v>
      </c>
      <c r="N4535" t="n">
        <v>0</v>
      </c>
      <c r="O4535" t="n">
        <v>0</v>
      </c>
      <c r="P4535" t="n">
        <v>0</v>
      </c>
      <c r="Q4535" t="n">
        <v>0</v>
      </c>
      <c r="R4535" s="2" t="inlineStr"/>
    </row>
    <row r="4536" ht="15" customHeight="1">
      <c r="A4536" t="inlineStr">
        <is>
          <t>A 20975-2023</t>
        </is>
      </c>
      <c r="B4536" s="1" t="n">
        <v>45056</v>
      </c>
      <c r="C4536" s="1" t="n">
        <v>45952</v>
      </c>
      <c r="D4536" t="inlineStr">
        <is>
          <t>VÄSTRA GÖTALANDS LÄN</t>
        </is>
      </c>
      <c r="E4536" t="inlineStr">
        <is>
          <t>SVENLJUNGA</t>
        </is>
      </c>
      <c r="G4536" t="n">
        <v>3.3</v>
      </c>
      <c r="H4536" t="n">
        <v>0</v>
      </c>
      <c r="I4536" t="n">
        <v>0</v>
      </c>
      <c r="J4536" t="n">
        <v>0</v>
      </c>
      <c r="K4536" t="n">
        <v>0</v>
      </c>
      <c r="L4536" t="n">
        <v>0</v>
      </c>
      <c r="M4536" t="n">
        <v>0</v>
      </c>
      <c r="N4536" t="n">
        <v>0</v>
      </c>
      <c r="O4536" t="n">
        <v>0</v>
      </c>
      <c r="P4536" t="n">
        <v>0</v>
      </c>
      <c r="Q4536" t="n">
        <v>0</v>
      </c>
      <c r="R4536" s="2" t="inlineStr"/>
    </row>
    <row r="4537" ht="15" customHeight="1">
      <c r="A4537" t="inlineStr">
        <is>
          <t>A 67233-2021</t>
        </is>
      </c>
      <c r="B4537" s="1" t="n">
        <v>44523</v>
      </c>
      <c r="C4537" s="1" t="n">
        <v>45952</v>
      </c>
      <c r="D4537" t="inlineStr">
        <is>
          <t>VÄSTRA GÖTALANDS LÄN</t>
        </is>
      </c>
      <c r="E4537" t="inlineStr">
        <is>
          <t>MUNKEDAL</t>
        </is>
      </c>
      <c r="G4537" t="n">
        <v>1</v>
      </c>
      <c r="H4537" t="n">
        <v>0</v>
      </c>
      <c r="I4537" t="n">
        <v>0</v>
      </c>
      <c r="J4537" t="n">
        <v>0</v>
      </c>
      <c r="K4537" t="n">
        <v>0</v>
      </c>
      <c r="L4537" t="n">
        <v>0</v>
      </c>
      <c r="M4537" t="n">
        <v>0</v>
      </c>
      <c r="N4537" t="n">
        <v>0</v>
      </c>
      <c r="O4537" t="n">
        <v>0</v>
      </c>
      <c r="P4537" t="n">
        <v>0</v>
      </c>
      <c r="Q4537" t="n">
        <v>0</v>
      </c>
      <c r="R4537" s="2" t="inlineStr"/>
    </row>
    <row r="4538" ht="15" customHeight="1">
      <c r="A4538" t="inlineStr">
        <is>
          <t>A 44004-2022</t>
        </is>
      </c>
      <c r="B4538" s="1" t="n">
        <v>44838.70366898148</v>
      </c>
      <c r="C4538" s="1" t="n">
        <v>45952</v>
      </c>
      <c r="D4538" t="inlineStr">
        <is>
          <t>VÄSTRA GÖTALANDS LÄN</t>
        </is>
      </c>
      <c r="E4538" t="inlineStr">
        <is>
          <t>FALKÖPING</t>
        </is>
      </c>
      <c r="G4538" t="n">
        <v>1.4</v>
      </c>
      <c r="H4538" t="n">
        <v>0</v>
      </c>
      <c r="I4538" t="n">
        <v>0</v>
      </c>
      <c r="J4538" t="n">
        <v>0</v>
      </c>
      <c r="K4538" t="n">
        <v>0</v>
      </c>
      <c r="L4538" t="n">
        <v>0</v>
      </c>
      <c r="M4538" t="n">
        <v>0</v>
      </c>
      <c r="N4538" t="n">
        <v>0</v>
      </c>
      <c r="O4538" t="n">
        <v>0</v>
      </c>
      <c r="P4538" t="n">
        <v>0</v>
      </c>
      <c r="Q4538" t="n">
        <v>0</v>
      </c>
      <c r="R4538" s="2" t="inlineStr"/>
    </row>
    <row r="4539" ht="15" customHeight="1">
      <c r="A4539" t="inlineStr">
        <is>
          <t>A 30170-2022</t>
        </is>
      </c>
      <c r="B4539" s="1" t="n">
        <v>44757</v>
      </c>
      <c r="C4539" s="1" t="n">
        <v>45952</v>
      </c>
      <c r="D4539" t="inlineStr">
        <is>
          <t>VÄSTRA GÖTALANDS LÄN</t>
        </is>
      </c>
      <c r="E4539" t="inlineStr">
        <is>
          <t>KUNGÄLV</t>
        </is>
      </c>
      <c r="G4539" t="n">
        <v>3.1</v>
      </c>
      <c r="H4539" t="n">
        <v>0</v>
      </c>
      <c r="I4539" t="n">
        <v>0</v>
      </c>
      <c r="J4539" t="n">
        <v>0</v>
      </c>
      <c r="K4539" t="n">
        <v>0</v>
      </c>
      <c r="L4539" t="n">
        <v>0</v>
      </c>
      <c r="M4539" t="n">
        <v>0</v>
      </c>
      <c r="N4539" t="n">
        <v>0</v>
      </c>
      <c r="O4539" t="n">
        <v>0</v>
      </c>
      <c r="P4539" t="n">
        <v>0</v>
      </c>
      <c r="Q4539" t="n">
        <v>0</v>
      </c>
      <c r="R4539" s="2" t="inlineStr"/>
    </row>
    <row r="4540" ht="15" customHeight="1">
      <c r="A4540" t="inlineStr">
        <is>
          <t>A 11147-2022</t>
        </is>
      </c>
      <c r="B4540" s="1" t="n">
        <v>44629</v>
      </c>
      <c r="C4540" s="1" t="n">
        <v>45952</v>
      </c>
      <c r="D4540" t="inlineStr">
        <is>
          <t>VÄSTRA GÖTALANDS LÄN</t>
        </is>
      </c>
      <c r="E4540" t="inlineStr">
        <is>
          <t>MARIESTAD</t>
        </is>
      </c>
      <c r="F4540" t="inlineStr">
        <is>
          <t>Kommuner</t>
        </is>
      </c>
      <c r="G4540" t="n">
        <v>1.6</v>
      </c>
      <c r="H4540" t="n">
        <v>0</v>
      </c>
      <c r="I4540" t="n">
        <v>0</v>
      </c>
      <c r="J4540" t="n">
        <v>0</v>
      </c>
      <c r="K4540" t="n">
        <v>0</v>
      </c>
      <c r="L4540" t="n">
        <v>0</v>
      </c>
      <c r="M4540" t="n">
        <v>0</v>
      </c>
      <c r="N4540" t="n">
        <v>0</v>
      </c>
      <c r="O4540" t="n">
        <v>0</v>
      </c>
      <c r="P4540" t="n">
        <v>0</v>
      </c>
      <c r="Q4540" t="n">
        <v>0</v>
      </c>
      <c r="R4540" s="2" t="inlineStr"/>
    </row>
    <row r="4541" ht="15" customHeight="1">
      <c r="A4541" t="inlineStr">
        <is>
          <t>A 48510-2024</t>
        </is>
      </c>
      <c r="B4541" s="1" t="n">
        <v>45591</v>
      </c>
      <c r="C4541" s="1" t="n">
        <v>45952</v>
      </c>
      <c r="D4541" t="inlineStr">
        <is>
          <t>VÄSTRA GÖTALANDS LÄN</t>
        </is>
      </c>
      <c r="E4541" t="inlineStr">
        <is>
          <t>TIBRO</t>
        </is>
      </c>
      <c r="G4541" t="n">
        <v>0.5</v>
      </c>
      <c r="H4541" t="n">
        <v>0</v>
      </c>
      <c r="I4541" t="n">
        <v>0</v>
      </c>
      <c r="J4541" t="n">
        <v>0</v>
      </c>
      <c r="K4541" t="n">
        <v>0</v>
      </c>
      <c r="L4541" t="n">
        <v>0</v>
      </c>
      <c r="M4541" t="n">
        <v>0</v>
      </c>
      <c r="N4541" t="n">
        <v>0</v>
      </c>
      <c r="O4541" t="n">
        <v>0</v>
      </c>
      <c r="P4541" t="n">
        <v>0</v>
      </c>
      <c r="Q4541" t="n">
        <v>0</v>
      </c>
      <c r="R4541" s="2" t="inlineStr"/>
    </row>
    <row r="4542" ht="15" customHeight="1">
      <c r="A4542" t="inlineStr">
        <is>
          <t>A 8304-2023</t>
        </is>
      </c>
      <c r="B4542" s="1" t="n">
        <v>44974.68053240741</v>
      </c>
      <c r="C4542" s="1" t="n">
        <v>45952</v>
      </c>
      <c r="D4542" t="inlineStr">
        <is>
          <t>VÄSTRA GÖTALANDS LÄN</t>
        </is>
      </c>
      <c r="E4542" t="inlineStr">
        <is>
          <t>SVENLJUNGA</t>
        </is>
      </c>
      <c r="G4542" t="n">
        <v>2.4</v>
      </c>
      <c r="H4542" t="n">
        <v>0</v>
      </c>
      <c r="I4542" t="n">
        <v>0</v>
      </c>
      <c r="J4542" t="n">
        <v>0</v>
      </c>
      <c r="K4542" t="n">
        <v>0</v>
      </c>
      <c r="L4542" t="n">
        <v>0</v>
      </c>
      <c r="M4542" t="n">
        <v>0</v>
      </c>
      <c r="N4542" t="n">
        <v>0</v>
      </c>
      <c r="O4542" t="n">
        <v>0</v>
      </c>
      <c r="P4542" t="n">
        <v>0</v>
      </c>
      <c r="Q4542" t="n">
        <v>0</v>
      </c>
      <c r="R4542" s="2" t="inlineStr"/>
    </row>
    <row r="4543" ht="15" customHeight="1">
      <c r="A4543" t="inlineStr">
        <is>
          <t>A 2614-2025</t>
        </is>
      </c>
      <c r="B4543" s="1" t="n">
        <v>45675.38304398148</v>
      </c>
      <c r="C4543" s="1" t="n">
        <v>45952</v>
      </c>
      <c r="D4543" t="inlineStr">
        <is>
          <t>VÄSTRA GÖTALANDS LÄN</t>
        </is>
      </c>
      <c r="E4543" t="inlineStr">
        <is>
          <t>BORÅS</t>
        </is>
      </c>
      <c r="G4543" t="n">
        <v>4.2</v>
      </c>
      <c r="H4543" t="n">
        <v>0</v>
      </c>
      <c r="I4543" t="n">
        <v>0</v>
      </c>
      <c r="J4543" t="n">
        <v>0</v>
      </c>
      <c r="K4543" t="n">
        <v>0</v>
      </c>
      <c r="L4543" t="n">
        <v>0</v>
      </c>
      <c r="M4543" t="n">
        <v>0</v>
      </c>
      <c r="N4543" t="n">
        <v>0</v>
      </c>
      <c r="O4543" t="n">
        <v>0</v>
      </c>
      <c r="P4543" t="n">
        <v>0</v>
      </c>
      <c r="Q4543" t="n">
        <v>0</v>
      </c>
      <c r="R4543" s="2" t="inlineStr"/>
    </row>
    <row r="4544" ht="15" customHeight="1">
      <c r="A4544" t="inlineStr">
        <is>
          <t>A 43426-2024</t>
        </is>
      </c>
      <c r="B4544" s="1" t="n">
        <v>45568.63729166667</v>
      </c>
      <c r="C4544" s="1" t="n">
        <v>45952</v>
      </c>
      <c r="D4544" t="inlineStr">
        <is>
          <t>VÄSTRA GÖTALANDS LÄN</t>
        </is>
      </c>
      <c r="E4544" t="inlineStr">
        <is>
          <t>UDDEVALLA</t>
        </is>
      </c>
      <c r="G4544" t="n">
        <v>5.2</v>
      </c>
      <c r="H4544" t="n">
        <v>0</v>
      </c>
      <c r="I4544" t="n">
        <v>0</v>
      </c>
      <c r="J4544" t="n">
        <v>0</v>
      </c>
      <c r="K4544" t="n">
        <v>0</v>
      </c>
      <c r="L4544" t="n">
        <v>0</v>
      </c>
      <c r="M4544" t="n">
        <v>0</v>
      </c>
      <c r="N4544" t="n">
        <v>0</v>
      </c>
      <c r="O4544" t="n">
        <v>0</v>
      </c>
      <c r="P4544" t="n">
        <v>0</v>
      </c>
      <c r="Q4544" t="n">
        <v>0</v>
      </c>
      <c r="R4544" s="2" t="inlineStr"/>
    </row>
    <row r="4545" ht="15" customHeight="1">
      <c r="A4545" t="inlineStr">
        <is>
          <t>A 29223-2024</t>
        </is>
      </c>
      <c r="B4545" s="1" t="n">
        <v>45482.81978009259</v>
      </c>
      <c r="C4545" s="1" t="n">
        <v>45952</v>
      </c>
      <c r="D4545" t="inlineStr">
        <is>
          <t>VÄSTRA GÖTALANDS LÄN</t>
        </is>
      </c>
      <c r="E4545" t="inlineStr">
        <is>
          <t>KUNGÄLV</t>
        </is>
      </c>
      <c r="G4545" t="n">
        <v>5.6</v>
      </c>
      <c r="H4545" t="n">
        <v>0</v>
      </c>
      <c r="I4545" t="n">
        <v>0</v>
      </c>
      <c r="J4545" t="n">
        <v>0</v>
      </c>
      <c r="K4545" t="n">
        <v>0</v>
      </c>
      <c r="L4545" t="n">
        <v>0</v>
      </c>
      <c r="M4545" t="n">
        <v>0</v>
      </c>
      <c r="N4545" t="n">
        <v>0</v>
      </c>
      <c r="O4545" t="n">
        <v>0</v>
      </c>
      <c r="P4545" t="n">
        <v>0</v>
      </c>
      <c r="Q4545" t="n">
        <v>0</v>
      </c>
      <c r="R4545" s="2" t="inlineStr"/>
    </row>
    <row r="4546" ht="15" customHeight="1">
      <c r="A4546" t="inlineStr">
        <is>
          <t>A 4025-2023</t>
        </is>
      </c>
      <c r="B4546" s="1" t="n">
        <v>44952</v>
      </c>
      <c r="C4546" s="1" t="n">
        <v>45952</v>
      </c>
      <c r="D4546" t="inlineStr">
        <is>
          <t>VÄSTRA GÖTALANDS LÄN</t>
        </is>
      </c>
      <c r="E4546" t="inlineStr">
        <is>
          <t>DALS-ED</t>
        </is>
      </c>
      <c r="G4546" t="n">
        <v>4.1</v>
      </c>
      <c r="H4546" t="n">
        <v>0</v>
      </c>
      <c r="I4546" t="n">
        <v>0</v>
      </c>
      <c r="J4546" t="n">
        <v>0</v>
      </c>
      <c r="K4546" t="n">
        <v>0</v>
      </c>
      <c r="L4546" t="n">
        <v>0</v>
      </c>
      <c r="M4546" t="n">
        <v>0</v>
      </c>
      <c r="N4546" t="n">
        <v>0</v>
      </c>
      <c r="O4546" t="n">
        <v>0</v>
      </c>
      <c r="P4546" t="n">
        <v>0</v>
      </c>
      <c r="Q4546" t="n">
        <v>0</v>
      </c>
      <c r="R4546" s="2" t="inlineStr"/>
    </row>
    <row r="4547" ht="15" customHeight="1">
      <c r="A4547" t="inlineStr">
        <is>
          <t>A 29995-2021</t>
        </is>
      </c>
      <c r="B4547" s="1" t="n">
        <v>44363</v>
      </c>
      <c r="C4547" s="1" t="n">
        <v>45952</v>
      </c>
      <c r="D4547" t="inlineStr">
        <is>
          <t>VÄSTRA GÖTALANDS LÄN</t>
        </is>
      </c>
      <c r="E4547" t="inlineStr">
        <is>
          <t>BENGTSFORS</t>
        </is>
      </c>
      <c r="G4547" t="n">
        <v>4.7</v>
      </c>
      <c r="H4547" t="n">
        <v>0</v>
      </c>
      <c r="I4547" t="n">
        <v>0</v>
      </c>
      <c r="J4547" t="n">
        <v>0</v>
      </c>
      <c r="K4547" t="n">
        <v>0</v>
      </c>
      <c r="L4547" t="n">
        <v>0</v>
      </c>
      <c r="M4547" t="n">
        <v>0</v>
      </c>
      <c r="N4547" t="n">
        <v>0</v>
      </c>
      <c r="O4547" t="n">
        <v>0</v>
      </c>
      <c r="P4547" t="n">
        <v>0</v>
      </c>
      <c r="Q4547" t="n">
        <v>0</v>
      </c>
      <c r="R4547" s="2" t="inlineStr"/>
    </row>
    <row r="4548" ht="15" customHeight="1">
      <c r="A4548" t="inlineStr">
        <is>
          <t>A 30038-2021</t>
        </is>
      </c>
      <c r="B4548" s="1" t="n">
        <v>44363.45402777778</v>
      </c>
      <c r="C4548" s="1" t="n">
        <v>45952</v>
      </c>
      <c r="D4548" t="inlineStr">
        <is>
          <t>VÄSTRA GÖTALANDS LÄN</t>
        </is>
      </c>
      <c r="E4548" t="inlineStr">
        <is>
          <t>VÅRGÅRDA</t>
        </is>
      </c>
      <c r="G4548" t="n">
        <v>0.6</v>
      </c>
      <c r="H4548" t="n">
        <v>0</v>
      </c>
      <c r="I4548" t="n">
        <v>0</v>
      </c>
      <c r="J4548" t="n">
        <v>0</v>
      </c>
      <c r="K4548" t="n">
        <v>0</v>
      </c>
      <c r="L4548" t="n">
        <v>0</v>
      </c>
      <c r="M4548" t="n">
        <v>0</v>
      </c>
      <c r="N4548" t="n">
        <v>0</v>
      </c>
      <c r="O4548" t="n">
        <v>0</v>
      </c>
      <c r="P4548" t="n">
        <v>0</v>
      </c>
      <c r="Q4548" t="n">
        <v>0</v>
      </c>
      <c r="R4548" s="2" t="inlineStr"/>
    </row>
    <row r="4549" ht="15" customHeight="1">
      <c r="A4549" t="inlineStr">
        <is>
          <t>A 22843-2021</t>
        </is>
      </c>
      <c r="B4549" s="1" t="n">
        <v>44328.4104050926</v>
      </c>
      <c r="C4549" s="1" t="n">
        <v>45952</v>
      </c>
      <c r="D4549" t="inlineStr">
        <is>
          <t>VÄSTRA GÖTALANDS LÄN</t>
        </is>
      </c>
      <c r="E4549" t="inlineStr">
        <is>
          <t>FALKÖPING</t>
        </is>
      </c>
      <c r="G4549" t="n">
        <v>0.9</v>
      </c>
      <c r="H4549" t="n">
        <v>0</v>
      </c>
      <c r="I4549" t="n">
        <v>0</v>
      </c>
      <c r="J4549" t="n">
        <v>0</v>
      </c>
      <c r="K4549" t="n">
        <v>0</v>
      </c>
      <c r="L4549" t="n">
        <v>0</v>
      </c>
      <c r="M4549" t="n">
        <v>0</v>
      </c>
      <c r="N4549" t="n">
        <v>0</v>
      </c>
      <c r="O4549" t="n">
        <v>0</v>
      </c>
      <c r="P4549" t="n">
        <v>0</v>
      </c>
      <c r="Q4549" t="n">
        <v>0</v>
      </c>
      <c r="R4549" s="2" t="inlineStr"/>
    </row>
    <row r="4550" ht="15" customHeight="1">
      <c r="A4550" t="inlineStr">
        <is>
          <t>A 8349-2023</t>
        </is>
      </c>
      <c r="B4550" s="1" t="n">
        <v>44977.31903935185</v>
      </c>
      <c r="C4550" s="1" t="n">
        <v>45952</v>
      </c>
      <c r="D4550" t="inlineStr">
        <is>
          <t>VÄSTRA GÖTALANDS LÄN</t>
        </is>
      </c>
      <c r="E4550" t="inlineStr">
        <is>
          <t>HERRLJUNGA</t>
        </is>
      </c>
      <c r="G4550" t="n">
        <v>2.5</v>
      </c>
      <c r="H4550" t="n">
        <v>0</v>
      </c>
      <c r="I4550" t="n">
        <v>0</v>
      </c>
      <c r="J4550" t="n">
        <v>0</v>
      </c>
      <c r="K4550" t="n">
        <v>0</v>
      </c>
      <c r="L4550" t="n">
        <v>0</v>
      </c>
      <c r="M4550" t="n">
        <v>0</v>
      </c>
      <c r="N4550" t="n">
        <v>0</v>
      </c>
      <c r="O4550" t="n">
        <v>0</v>
      </c>
      <c r="P4550" t="n">
        <v>0</v>
      </c>
      <c r="Q4550" t="n">
        <v>0</v>
      </c>
      <c r="R4550" s="2" t="inlineStr"/>
    </row>
    <row r="4551" ht="15" customHeight="1">
      <c r="A4551" t="inlineStr">
        <is>
          <t>A 13513-2023</t>
        </is>
      </c>
      <c r="B4551" s="1" t="n">
        <v>45006.30979166667</v>
      </c>
      <c r="C4551" s="1" t="n">
        <v>45952</v>
      </c>
      <c r="D4551" t="inlineStr">
        <is>
          <t>VÄSTRA GÖTALANDS LÄN</t>
        </is>
      </c>
      <c r="E4551" t="inlineStr">
        <is>
          <t>ULRICEHAMN</t>
        </is>
      </c>
      <c r="F4551" t="inlineStr">
        <is>
          <t>Kommuner</t>
        </is>
      </c>
      <c r="G4551" t="n">
        <v>0.9</v>
      </c>
      <c r="H4551" t="n">
        <v>0</v>
      </c>
      <c r="I4551" t="n">
        <v>0</v>
      </c>
      <c r="J4551" t="n">
        <v>0</v>
      </c>
      <c r="K4551" t="n">
        <v>0</v>
      </c>
      <c r="L4551" t="n">
        <v>0</v>
      </c>
      <c r="M4551" t="n">
        <v>0</v>
      </c>
      <c r="N4551" t="n">
        <v>0</v>
      </c>
      <c r="O4551" t="n">
        <v>0</v>
      </c>
      <c r="P4551" t="n">
        <v>0</v>
      </c>
      <c r="Q4551" t="n">
        <v>0</v>
      </c>
      <c r="R4551" s="2" t="inlineStr"/>
    </row>
    <row r="4552" ht="15" customHeight="1">
      <c r="A4552" t="inlineStr">
        <is>
          <t>A 10827-2023</t>
        </is>
      </c>
      <c r="B4552" s="1" t="n">
        <v>44990.82427083333</v>
      </c>
      <c r="C4552" s="1" t="n">
        <v>45952</v>
      </c>
      <c r="D4552" t="inlineStr">
        <is>
          <t>VÄSTRA GÖTALANDS LÄN</t>
        </is>
      </c>
      <c r="E4552" t="inlineStr">
        <is>
          <t>SKARA</t>
        </is>
      </c>
      <c r="G4552" t="n">
        <v>0.2</v>
      </c>
      <c r="H4552" t="n">
        <v>0</v>
      </c>
      <c r="I4552" t="n">
        <v>0</v>
      </c>
      <c r="J4552" t="n">
        <v>0</v>
      </c>
      <c r="K4552" t="n">
        <v>0</v>
      </c>
      <c r="L4552" t="n">
        <v>0</v>
      </c>
      <c r="M4552" t="n">
        <v>0</v>
      </c>
      <c r="N4552" t="n">
        <v>0</v>
      </c>
      <c r="O4552" t="n">
        <v>0</v>
      </c>
      <c r="P4552" t="n">
        <v>0</v>
      </c>
      <c r="Q4552" t="n">
        <v>0</v>
      </c>
      <c r="R4552" s="2" t="inlineStr"/>
    </row>
    <row r="4553" ht="15" customHeight="1">
      <c r="A4553" t="inlineStr">
        <is>
          <t>A 56016-2023</t>
        </is>
      </c>
      <c r="B4553" s="1" t="n">
        <v>45240</v>
      </c>
      <c r="C4553" s="1" t="n">
        <v>45952</v>
      </c>
      <c r="D4553" t="inlineStr">
        <is>
          <t>VÄSTRA GÖTALANDS LÄN</t>
        </is>
      </c>
      <c r="E4553" t="inlineStr">
        <is>
          <t>TIDAHOLM</t>
        </is>
      </c>
      <c r="F4553" t="inlineStr">
        <is>
          <t>Kyrkan</t>
        </is>
      </c>
      <c r="G4553" t="n">
        <v>3.7</v>
      </c>
      <c r="H4553" t="n">
        <v>0</v>
      </c>
      <c r="I4553" t="n">
        <v>0</v>
      </c>
      <c r="J4553" t="n">
        <v>0</v>
      </c>
      <c r="K4553" t="n">
        <v>0</v>
      </c>
      <c r="L4553" t="n">
        <v>0</v>
      </c>
      <c r="M4553" t="n">
        <v>0</v>
      </c>
      <c r="N4553" t="n">
        <v>0</v>
      </c>
      <c r="O4553" t="n">
        <v>0</v>
      </c>
      <c r="P4553" t="n">
        <v>0</v>
      </c>
      <c r="Q4553" t="n">
        <v>0</v>
      </c>
      <c r="R4553" s="2" t="inlineStr"/>
    </row>
    <row r="4554" ht="15" customHeight="1">
      <c r="A4554" t="inlineStr">
        <is>
          <t>A 10836-2023</t>
        </is>
      </c>
      <c r="B4554" s="1" t="n">
        <v>44991</v>
      </c>
      <c r="C4554" s="1" t="n">
        <v>45952</v>
      </c>
      <c r="D4554" t="inlineStr">
        <is>
          <t>VÄSTRA GÖTALANDS LÄN</t>
        </is>
      </c>
      <c r="E4554" t="inlineStr">
        <is>
          <t>TIBRO</t>
        </is>
      </c>
      <c r="G4554" t="n">
        <v>2.6</v>
      </c>
      <c r="H4554" t="n">
        <v>0</v>
      </c>
      <c r="I4554" t="n">
        <v>0</v>
      </c>
      <c r="J4554" t="n">
        <v>0</v>
      </c>
      <c r="K4554" t="n">
        <v>0</v>
      </c>
      <c r="L4554" t="n">
        <v>0</v>
      </c>
      <c r="M4554" t="n">
        <v>0</v>
      </c>
      <c r="N4554" t="n">
        <v>0</v>
      </c>
      <c r="O4554" t="n">
        <v>0</v>
      </c>
      <c r="P4554" t="n">
        <v>0</v>
      </c>
      <c r="Q4554" t="n">
        <v>0</v>
      </c>
      <c r="R4554" s="2" t="inlineStr"/>
    </row>
    <row r="4555" ht="15" customHeight="1">
      <c r="A4555" t="inlineStr">
        <is>
          <t>A 10889-2023</t>
        </is>
      </c>
      <c r="B4555" s="1" t="n">
        <v>44991.44820601852</v>
      </c>
      <c r="C4555" s="1" t="n">
        <v>45952</v>
      </c>
      <c r="D4555" t="inlineStr">
        <is>
          <t>VÄSTRA GÖTALANDS LÄN</t>
        </is>
      </c>
      <c r="E4555" t="inlineStr">
        <is>
          <t>ESSUNGA</t>
        </is>
      </c>
      <c r="G4555" t="n">
        <v>4</v>
      </c>
      <c r="H4555" t="n">
        <v>0</v>
      </c>
      <c r="I4555" t="n">
        <v>0</v>
      </c>
      <c r="J4555" t="n">
        <v>0</v>
      </c>
      <c r="K4555" t="n">
        <v>0</v>
      </c>
      <c r="L4555" t="n">
        <v>0</v>
      </c>
      <c r="M4555" t="n">
        <v>0</v>
      </c>
      <c r="N4555" t="n">
        <v>0</v>
      </c>
      <c r="O4555" t="n">
        <v>0</v>
      </c>
      <c r="P4555" t="n">
        <v>0</v>
      </c>
      <c r="Q4555" t="n">
        <v>0</v>
      </c>
      <c r="R4555" s="2" t="inlineStr"/>
    </row>
    <row r="4556" ht="15" customHeight="1">
      <c r="A4556" t="inlineStr">
        <is>
          <t>A 16433-2025</t>
        </is>
      </c>
      <c r="B4556" s="1" t="n">
        <v>45751.48168981481</v>
      </c>
      <c r="C4556" s="1" t="n">
        <v>45952</v>
      </c>
      <c r="D4556" t="inlineStr">
        <is>
          <t>VÄSTRA GÖTALANDS LÄN</t>
        </is>
      </c>
      <c r="E4556" t="inlineStr">
        <is>
          <t>ULRICEHAMN</t>
        </is>
      </c>
      <c r="G4556" t="n">
        <v>1.7</v>
      </c>
      <c r="H4556" t="n">
        <v>0</v>
      </c>
      <c r="I4556" t="n">
        <v>0</v>
      </c>
      <c r="J4556" t="n">
        <v>0</v>
      </c>
      <c r="K4556" t="n">
        <v>0</v>
      </c>
      <c r="L4556" t="n">
        <v>0</v>
      </c>
      <c r="M4556" t="n">
        <v>0</v>
      </c>
      <c r="N4556" t="n">
        <v>0</v>
      </c>
      <c r="O4556" t="n">
        <v>0</v>
      </c>
      <c r="P4556" t="n">
        <v>0</v>
      </c>
      <c r="Q4556" t="n">
        <v>0</v>
      </c>
      <c r="R4556" s="2" t="inlineStr"/>
    </row>
    <row r="4557" ht="15" customHeight="1">
      <c r="A4557" t="inlineStr">
        <is>
          <t>A 14991-2025</t>
        </is>
      </c>
      <c r="B4557" s="1" t="n">
        <v>45743.60820601852</v>
      </c>
      <c r="C4557" s="1" t="n">
        <v>45952</v>
      </c>
      <c r="D4557" t="inlineStr">
        <is>
          <t>VÄSTRA GÖTALANDS LÄN</t>
        </is>
      </c>
      <c r="E4557" t="inlineStr">
        <is>
          <t>MARK</t>
        </is>
      </c>
      <c r="G4557" t="n">
        <v>0.6</v>
      </c>
      <c r="H4557" t="n">
        <v>0</v>
      </c>
      <c r="I4557" t="n">
        <v>0</v>
      </c>
      <c r="J4557" t="n">
        <v>0</v>
      </c>
      <c r="K4557" t="n">
        <v>0</v>
      </c>
      <c r="L4557" t="n">
        <v>0</v>
      </c>
      <c r="M4557" t="n">
        <v>0</v>
      </c>
      <c r="N4557" t="n">
        <v>0</v>
      </c>
      <c r="O4557" t="n">
        <v>0</v>
      </c>
      <c r="P4557" t="n">
        <v>0</v>
      </c>
      <c r="Q4557" t="n">
        <v>0</v>
      </c>
      <c r="R4557" s="2" t="inlineStr"/>
    </row>
    <row r="4558" ht="15" customHeight="1">
      <c r="A4558" t="inlineStr">
        <is>
          <t>A 20299-2025</t>
        </is>
      </c>
      <c r="B4558" s="1" t="n">
        <v>45774.76767361111</v>
      </c>
      <c r="C4558" s="1" t="n">
        <v>45952</v>
      </c>
      <c r="D4558" t="inlineStr">
        <is>
          <t>VÄSTRA GÖTALANDS LÄN</t>
        </is>
      </c>
      <c r="E4558" t="inlineStr">
        <is>
          <t>TRANEMO</t>
        </is>
      </c>
      <c r="F4558" t="inlineStr">
        <is>
          <t>Kyrkan</t>
        </is>
      </c>
      <c r="G4558" t="n">
        <v>1.9</v>
      </c>
      <c r="H4558" t="n">
        <v>0</v>
      </c>
      <c r="I4558" t="n">
        <v>0</v>
      </c>
      <c r="J4558" t="n">
        <v>0</v>
      </c>
      <c r="K4558" t="n">
        <v>0</v>
      </c>
      <c r="L4558" t="n">
        <v>0</v>
      </c>
      <c r="M4558" t="n">
        <v>0</v>
      </c>
      <c r="N4558" t="n">
        <v>0</v>
      </c>
      <c r="O4558" t="n">
        <v>0</v>
      </c>
      <c r="P4558" t="n">
        <v>0</v>
      </c>
      <c r="Q4558" t="n">
        <v>0</v>
      </c>
      <c r="R4558" s="2" t="inlineStr"/>
    </row>
    <row r="4559" ht="15" customHeight="1">
      <c r="A4559" t="inlineStr">
        <is>
          <t>A 56761-2023</t>
        </is>
      </c>
      <c r="B4559" s="1" t="n">
        <v>45238</v>
      </c>
      <c r="C4559" s="1" t="n">
        <v>45952</v>
      </c>
      <c r="D4559" t="inlineStr">
        <is>
          <t>VÄSTRA GÖTALANDS LÄN</t>
        </is>
      </c>
      <c r="E4559" t="inlineStr">
        <is>
          <t>FALKÖPING</t>
        </is>
      </c>
      <c r="G4559" t="n">
        <v>2.2</v>
      </c>
      <c r="H4559" t="n">
        <v>0</v>
      </c>
      <c r="I4559" t="n">
        <v>0</v>
      </c>
      <c r="J4559" t="n">
        <v>0</v>
      </c>
      <c r="K4559" t="n">
        <v>0</v>
      </c>
      <c r="L4559" t="n">
        <v>0</v>
      </c>
      <c r="M4559" t="n">
        <v>0</v>
      </c>
      <c r="N4559" t="n">
        <v>0</v>
      </c>
      <c r="O4559" t="n">
        <v>0</v>
      </c>
      <c r="P4559" t="n">
        <v>0</v>
      </c>
      <c r="Q4559" t="n">
        <v>0</v>
      </c>
      <c r="R4559" s="2" t="inlineStr"/>
    </row>
    <row r="4560" ht="15" customHeight="1">
      <c r="A4560" t="inlineStr">
        <is>
          <t>A 24185-2023</t>
        </is>
      </c>
      <c r="B4560" s="1" t="n">
        <v>45076</v>
      </c>
      <c r="C4560" s="1" t="n">
        <v>45952</v>
      </c>
      <c r="D4560" t="inlineStr">
        <is>
          <t>VÄSTRA GÖTALANDS LÄN</t>
        </is>
      </c>
      <c r="E4560" t="inlineStr">
        <is>
          <t>MUNKEDAL</t>
        </is>
      </c>
      <c r="G4560" t="n">
        <v>2.7</v>
      </c>
      <c r="H4560" t="n">
        <v>0</v>
      </c>
      <c r="I4560" t="n">
        <v>0</v>
      </c>
      <c r="J4560" t="n">
        <v>0</v>
      </c>
      <c r="K4560" t="n">
        <v>0</v>
      </c>
      <c r="L4560" t="n">
        <v>0</v>
      </c>
      <c r="M4560" t="n">
        <v>0</v>
      </c>
      <c r="N4560" t="n">
        <v>0</v>
      </c>
      <c r="O4560" t="n">
        <v>0</v>
      </c>
      <c r="P4560" t="n">
        <v>0</v>
      </c>
      <c r="Q4560" t="n">
        <v>0</v>
      </c>
      <c r="R4560" s="2" t="inlineStr"/>
    </row>
    <row r="4561" ht="15" customHeight="1">
      <c r="A4561" t="inlineStr">
        <is>
          <t>A 49672-2023</t>
        </is>
      </c>
      <c r="B4561" s="1" t="n">
        <v>45212.28642361111</v>
      </c>
      <c r="C4561" s="1" t="n">
        <v>45952</v>
      </c>
      <c r="D4561" t="inlineStr">
        <is>
          <t>VÄSTRA GÖTALANDS LÄN</t>
        </is>
      </c>
      <c r="E4561" t="inlineStr">
        <is>
          <t>BORÅS</t>
        </is>
      </c>
      <c r="G4561" t="n">
        <v>4</v>
      </c>
      <c r="H4561" t="n">
        <v>0</v>
      </c>
      <c r="I4561" t="n">
        <v>0</v>
      </c>
      <c r="J4561" t="n">
        <v>0</v>
      </c>
      <c r="K4561" t="n">
        <v>0</v>
      </c>
      <c r="L4561" t="n">
        <v>0</v>
      </c>
      <c r="M4561" t="n">
        <v>0</v>
      </c>
      <c r="N4561" t="n">
        <v>0</v>
      </c>
      <c r="O4561" t="n">
        <v>0</v>
      </c>
      <c r="P4561" t="n">
        <v>0</v>
      </c>
      <c r="Q4561" t="n">
        <v>0</v>
      </c>
      <c r="R4561" s="2" t="inlineStr"/>
    </row>
    <row r="4562" ht="15" customHeight="1">
      <c r="A4562" t="inlineStr">
        <is>
          <t>A 49166-2023</t>
        </is>
      </c>
      <c r="B4562" s="1" t="n">
        <v>45210.5391087963</v>
      </c>
      <c r="C4562" s="1" t="n">
        <v>45952</v>
      </c>
      <c r="D4562" t="inlineStr">
        <is>
          <t>VÄSTRA GÖTALANDS LÄN</t>
        </is>
      </c>
      <c r="E4562" t="inlineStr">
        <is>
          <t>MARIESTAD</t>
        </is>
      </c>
      <c r="G4562" t="n">
        <v>3.2</v>
      </c>
      <c r="H4562" t="n">
        <v>0</v>
      </c>
      <c r="I4562" t="n">
        <v>0</v>
      </c>
      <c r="J4562" t="n">
        <v>0</v>
      </c>
      <c r="K4562" t="n">
        <v>0</v>
      </c>
      <c r="L4562" t="n">
        <v>0</v>
      </c>
      <c r="M4562" t="n">
        <v>0</v>
      </c>
      <c r="N4562" t="n">
        <v>0</v>
      </c>
      <c r="O4562" t="n">
        <v>0</v>
      </c>
      <c r="P4562" t="n">
        <v>0</v>
      </c>
      <c r="Q4562" t="n">
        <v>0</v>
      </c>
      <c r="R4562" s="2" t="inlineStr"/>
    </row>
    <row r="4563" ht="15" customHeight="1">
      <c r="A4563" t="inlineStr">
        <is>
          <t>A 63618-2023</t>
        </is>
      </c>
      <c r="B4563" s="1" t="n">
        <v>45275</v>
      </c>
      <c r="C4563" s="1" t="n">
        <v>45952</v>
      </c>
      <c r="D4563" t="inlineStr">
        <is>
          <t>VÄSTRA GÖTALANDS LÄN</t>
        </is>
      </c>
      <c r="E4563" t="inlineStr">
        <is>
          <t>BORÅS</t>
        </is>
      </c>
      <c r="G4563" t="n">
        <v>5.3</v>
      </c>
      <c r="H4563" t="n">
        <v>0</v>
      </c>
      <c r="I4563" t="n">
        <v>0</v>
      </c>
      <c r="J4563" t="n">
        <v>0</v>
      </c>
      <c r="K4563" t="n">
        <v>0</v>
      </c>
      <c r="L4563" t="n">
        <v>0</v>
      </c>
      <c r="M4563" t="n">
        <v>0</v>
      </c>
      <c r="N4563" t="n">
        <v>0</v>
      </c>
      <c r="O4563" t="n">
        <v>0</v>
      </c>
      <c r="P4563" t="n">
        <v>0</v>
      </c>
      <c r="Q4563" t="n">
        <v>0</v>
      </c>
      <c r="R4563" s="2" t="inlineStr"/>
    </row>
    <row r="4564" ht="15" customHeight="1">
      <c r="A4564" t="inlineStr">
        <is>
          <t>A 49090-2023</t>
        </is>
      </c>
      <c r="B4564" s="1" t="n">
        <v>45204</v>
      </c>
      <c r="C4564" s="1" t="n">
        <v>45952</v>
      </c>
      <c r="D4564" t="inlineStr">
        <is>
          <t>VÄSTRA GÖTALANDS LÄN</t>
        </is>
      </c>
      <c r="E4564" t="inlineStr">
        <is>
          <t>ÅMÅL</t>
        </is>
      </c>
      <c r="F4564" t="inlineStr">
        <is>
          <t>Bergvik skog väst AB</t>
        </is>
      </c>
      <c r="G4564" t="n">
        <v>4.3</v>
      </c>
      <c r="H4564" t="n">
        <v>0</v>
      </c>
      <c r="I4564" t="n">
        <v>0</v>
      </c>
      <c r="J4564" t="n">
        <v>0</v>
      </c>
      <c r="K4564" t="n">
        <v>0</v>
      </c>
      <c r="L4564" t="n">
        <v>0</v>
      </c>
      <c r="M4564" t="n">
        <v>0</v>
      </c>
      <c r="N4564" t="n">
        <v>0</v>
      </c>
      <c r="O4564" t="n">
        <v>0</v>
      </c>
      <c r="P4564" t="n">
        <v>0</v>
      </c>
      <c r="Q4564" t="n">
        <v>0</v>
      </c>
      <c r="R4564" s="2" t="inlineStr"/>
    </row>
    <row r="4565" ht="15" customHeight="1">
      <c r="A4565" t="inlineStr">
        <is>
          <t>A 2803-2023</t>
        </is>
      </c>
      <c r="B4565" s="1" t="n">
        <v>44944</v>
      </c>
      <c r="C4565" s="1" t="n">
        <v>45952</v>
      </c>
      <c r="D4565" t="inlineStr">
        <is>
          <t>VÄSTRA GÖTALANDS LÄN</t>
        </is>
      </c>
      <c r="E4565" t="inlineStr">
        <is>
          <t>BENGTSFORS</t>
        </is>
      </c>
      <c r="G4565" t="n">
        <v>0.8</v>
      </c>
      <c r="H4565" t="n">
        <v>0</v>
      </c>
      <c r="I4565" t="n">
        <v>0</v>
      </c>
      <c r="J4565" t="n">
        <v>0</v>
      </c>
      <c r="K4565" t="n">
        <v>0</v>
      </c>
      <c r="L4565" t="n">
        <v>0</v>
      </c>
      <c r="M4565" t="n">
        <v>0</v>
      </c>
      <c r="N4565" t="n">
        <v>0</v>
      </c>
      <c r="O4565" t="n">
        <v>0</v>
      </c>
      <c r="P4565" t="n">
        <v>0</v>
      </c>
      <c r="Q4565" t="n">
        <v>0</v>
      </c>
      <c r="R4565" s="2" t="inlineStr"/>
    </row>
    <row r="4566" ht="15" customHeight="1">
      <c r="A4566" t="inlineStr">
        <is>
          <t>A 6283-2023</t>
        </is>
      </c>
      <c r="B4566" s="1" t="n">
        <v>44965</v>
      </c>
      <c r="C4566" s="1" t="n">
        <v>45952</v>
      </c>
      <c r="D4566" t="inlineStr">
        <is>
          <t>VÄSTRA GÖTALANDS LÄN</t>
        </is>
      </c>
      <c r="E4566" t="inlineStr">
        <is>
          <t>MELLERUD</t>
        </is>
      </c>
      <c r="G4566" t="n">
        <v>1</v>
      </c>
      <c r="H4566" t="n">
        <v>0</v>
      </c>
      <c r="I4566" t="n">
        <v>0</v>
      </c>
      <c r="J4566" t="n">
        <v>0</v>
      </c>
      <c r="K4566" t="n">
        <v>0</v>
      </c>
      <c r="L4566" t="n">
        <v>0</v>
      </c>
      <c r="M4566" t="n">
        <v>0</v>
      </c>
      <c r="N4566" t="n">
        <v>0</v>
      </c>
      <c r="O4566" t="n">
        <v>0</v>
      </c>
      <c r="P4566" t="n">
        <v>0</v>
      </c>
      <c r="Q4566" t="n">
        <v>0</v>
      </c>
      <c r="R4566" s="2" t="inlineStr"/>
    </row>
    <row r="4567" ht="15" customHeight="1">
      <c r="A4567" t="inlineStr">
        <is>
          <t>A 6323-2023</t>
        </is>
      </c>
      <c r="B4567" s="1" t="n">
        <v>44960</v>
      </c>
      <c r="C4567" s="1" t="n">
        <v>45952</v>
      </c>
      <c r="D4567" t="inlineStr">
        <is>
          <t>VÄSTRA GÖTALANDS LÄN</t>
        </is>
      </c>
      <c r="E4567" t="inlineStr">
        <is>
          <t>LILLA EDET</t>
        </is>
      </c>
      <c r="F4567" t="inlineStr">
        <is>
          <t>Kyrkan</t>
        </is>
      </c>
      <c r="G4567" t="n">
        <v>0.5</v>
      </c>
      <c r="H4567" t="n">
        <v>0</v>
      </c>
      <c r="I4567" t="n">
        <v>0</v>
      </c>
      <c r="J4567" t="n">
        <v>0</v>
      </c>
      <c r="K4567" t="n">
        <v>0</v>
      </c>
      <c r="L4567" t="n">
        <v>0</v>
      </c>
      <c r="M4567" t="n">
        <v>0</v>
      </c>
      <c r="N4567" t="n">
        <v>0</v>
      </c>
      <c r="O4567" t="n">
        <v>0</v>
      </c>
      <c r="P4567" t="n">
        <v>0</v>
      </c>
      <c r="Q4567" t="n">
        <v>0</v>
      </c>
      <c r="R4567" s="2" t="inlineStr"/>
    </row>
    <row r="4568" ht="15" customHeight="1">
      <c r="A4568" t="inlineStr">
        <is>
          <t>A 49282-2023</t>
        </is>
      </c>
      <c r="B4568" s="1" t="n">
        <v>45210.70979166667</v>
      </c>
      <c r="C4568" s="1" t="n">
        <v>45952</v>
      </c>
      <c r="D4568" t="inlineStr">
        <is>
          <t>VÄSTRA GÖTALANDS LÄN</t>
        </is>
      </c>
      <c r="E4568" t="inlineStr">
        <is>
          <t>MARK</t>
        </is>
      </c>
      <c r="G4568" t="n">
        <v>0.6</v>
      </c>
      <c r="H4568" t="n">
        <v>0</v>
      </c>
      <c r="I4568" t="n">
        <v>0</v>
      </c>
      <c r="J4568" t="n">
        <v>0</v>
      </c>
      <c r="K4568" t="n">
        <v>0</v>
      </c>
      <c r="L4568" t="n">
        <v>0</v>
      </c>
      <c r="M4568" t="n">
        <v>0</v>
      </c>
      <c r="N4568" t="n">
        <v>0</v>
      </c>
      <c r="O4568" t="n">
        <v>0</v>
      </c>
      <c r="P4568" t="n">
        <v>0</v>
      </c>
      <c r="Q4568" t="n">
        <v>0</v>
      </c>
      <c r="R4568" s="2" t="inlineStr"/>
    </row>
    <row r="4569" ht="15" customHeight="1">
      <c r="A4569" t="inlineStr">
        <is>
          <t>A 34161-2023</t>
        </is>
      </c>
      <c r="B4569" s="1" t="n">
        <v>45137</v>
      </c>
      <c r="C4569" s="1" t="n">
        <v>45952</v>
      </c>
      <c r="D4569" t="inlineStr">
        <is>
          <t>VÄSTRA GÖTALANDS LÄN</t>
        </is>
      </c>
      <c r="E4569" t="inlineStr">
        <is>
          <t>MARK</t>
        </is>
      </c>
      <c r="G4569" t="n">
        <v>6.2</v>
      </c>
      <c r="H4569" t="n">
        <v>0</v>
      </c>
      <c r="I4569" t="n">
        <v>0</v>
      </c>
      <c r="J4569" t="n">
        <v>0</v>
      </c>
      <c r="K4569" t="n">
        <v>0</v>
      </c>
      <c r="L4569" t="n">
        <v>0</v>
      </c>
      <c r="M4569" t="n">
        <v>0</v>
      </c>
      <c r="N4569" t="n">
        <v>0</v>
      </c>
      <c r="O4569" t="n">
        <v>0</v>
      </c>
      <c r="P4569" t="n">
        <v>0</v>
      </c>
      <c r="Q4569" t="n">
        <v>0</v>
      </c>
      <c r="R4569" s="2" t="inlineStr"/>
    </row>
    <row r="4570" ht="15" customHeight="1">
      <c r="A4570" t="inlineStr">
        <is>
          <t>A 12002-2024</t>
        </is>
      </c>
      <c r="B4570" s="1" t="n">
        <v>45377.31006944444</v>
      </c>
      <c r="C4570" s="1" t="n">
        <v>45952</v>
      </c>
      <c r="D4570" t="inlineStr">
        <is>
          <t>VÄSTRA GÖTALANDS LÄN</t>
        </is>
      </c>
      <c r="E4570" t="inlineStr">
        <is>
          <t>TRANEMO</t>
        </is>
      </c>
      <c r="G4570" t="n">
        <v>1.3</v>
      </c>
      <c r="H4570" t="n">
        <v>0</v>
      </c>
      <c r="I4570" t="n">
        <v>0</v>
      </c>
      <c r="J4570" t="n">
        <v>0</v>
      </c>
      <c r="K4570" t="n">
        <v>0</v>
      </c>
      <c r="L4570" t="n">
        <v>0</v>
      </c>
      <c r="M4570" t="n">
        <v>0</v>
      </c>
      <c r="N4570" t="n">
        <v>0</v>
      </c>
      <c r="O4570" t="n">
        <v>0</v>
      </c>
      <c r="P4570" t="n">
        <v>0</v>
      </c>
      <c r="Q4570" t="n">
        <v>0</v>
      </c>
      <c r="R4570" s="2" t="inlineStr"/>
    </row>
    <row r="4571" ht="15" customHeight="1">
      <c r="A4571" t="inlineStr">
        <is>
          <t>A 12019-2024</t>
        </is>
      </c>
      <c r="B4571" s="1" t="n">
        <v>45377.36488425926</v>
      </c>
      <c r="C4571" s="1" t="n">
        <v>45952</v>
      </c>
      <c r="D4571" t="inlineStr">
        <is>
          <t>VÄSTRA GÖTALANDS LÄN</t>
        </is>
      </c>
      <c r="E4571" t="inlineStr">
        <is>
          <t>HERRLJUNGA</t>
        </is>
      </c>
      <c r="G4571" t="n">
        <v>3.4</v>
      </c>
      <c r="H4571" t="n">
        <v>0</v>
      </c>
      <c r="I4571" t="n">
        <v>0</v>
      </c>
      <c r="J4571" t="n">
        <v>0</v>
      </c>
      <c r="K4571" t="n">
        <v>0</v>
      </c>
      <c r="L4571" t="n">
        <v>0</v>
      </c>
      <c r="M4571" t="n">
        <v>0</v>
      </c>
      <c r="N4571" t="n">
        <v>0</v>
      </c>
      <c r="O4571" t="n">
        <v>0</v>
      </c>
      <c r="P4571" t="n">
        <v>0</v>
      </c>
      <c r="Q4571" t="n">
        <v>0</v>
      </c>
      <c r="R4571" s="2" t="inlineStr"/>
    </row>
    <row r="4572" ht="15" customHeight="1">
      <c r="A4572" t="inlineStr">
        <is>
          <t>A 12021-2024</t>
        </is>
      </c>
      <c r="B4572" s="1" t="n">
        <v>45377.3702662037</v>
      </c>
      <c r="C4572" s="1" t="n">
        <v>45952</v>
      </c>
      <c r="D4572" t="inlineStr">
        <is>
          <t>VÄSTRA GÖTALANDS LÄN</t>
        </is>
      </c>
      <c r="E4572" t="inlineStr">
        <is>
          <t>VARA</t>
        </is>
      </c>
      <c r="G4572" t="n">
        <v>8</v>
      </c>
      <c r="H4572" t="n">
        <v>0</v>
      </c>
      <c r="I4572" t="n">
        <v>0</v>
      </c>
      <c r="J4572" t="n">
        <v>0</v>
      </c>
      <c r="K4572" t="n">
        <v>0</v>
      </c>
      <c r="L4572" t="n">
        <v>0</v>
      </c>
      <c r="M4572" t="n">
        <v>0</v>
      </c>
      <c r="N4572" t="n">
        <v>0</v>
      </c>
      <c r="O4572" t="n">
        <v>0</v>
      </c>
      <c r="P4572" t="n">
        <v>0</v>
      </c>
      <c r="Q4572" t="n">
        <v>0</v>
      </c>
      <c r="R4572" s="2" t="inlineStr"/>
    </row>
    <row r="4573" ht="15" customHeight="1">
      <c r="A4573" t="inlineStr">
        <is>
          <t>A 63073-2023</t>
        </is>
      </c>
      <c r="B4573" s="1" t="n">
        <v>45273.00841435185</v>
      </c>
      <c r="C4573" s="1" t="n">
        <v>45952</v>
      </c>
      <c r="D4573" t="inlineStr">
        <is>
          <t>VÄSTRA GÖTALANDS LÄN</t>
        </is>
      </c>
      <c r="E4573" t="inlineStr">
        <is>
          <t>VÅRGÅRDA</t>
        </is>
      </c>
      <c r="G4573" t="n">
        <v>0.8</v>
      </c>
      <c r="H4573" t="n">
        <v>0</v>
      </c>
      <c r="I4573" t="n">
        <v>0</v>
      </c>
      <c r="J4573" t="n">
        <v>0</v>
      </c>
      <c r="K4573" t="n">
        <v>0</v>
      </c>
      <c r="L4573" t="n">
        <v>0</v>
      </c>
      <c r="M4573" t="n">
        <v>0</v>
      </c>
      <c r="N4573" t="n">
        <v>0</v>
      </c>
      <c r="O4573" t="n">
        <v>0</v>
      </c>
      <c r="P4573" t="n">
        <v>0</v>
      </c>
      <c r="Q4573" t="n">
        <v>0</v>
      </c>
      <c r="R4573" s="2" t="inlineStr"/>
    </row>
    <row r="4574" ht="15" customHeight="1">
      <c r="A4574" t="inlineStr">
        <is>
          <t>A 18557-2021</t>
        </is>
      </c>
      <c r="B4574" s="1" t="n">
        <v>44306</v>
      </c>
      <c r="C4574" s="1" t="n">
        <v>45952</v>
      </c>
      <c r="D4574" t="inlineStr">
        <is>
          <t>VÄSTRA GÖTALANDS LÄN</t>
        </is>
      </c>
      <c r="E4574" t="inlineStr">
        <is>
          <t>TANUM</t>
        </is>
      </c>
      <c r="G4574" t="n">
        <v>0.7</v>
      </c>
      <c r="H4574" t="n">
        <v>0</v>
      </c>
      <c r="I4574" t="n">
        <v>0</v>
      </c>
      <c r="J4574" t="n">
        <v>0</v>
      </c>
      <c r="K4574" t="n">
        <v>0</v>
      </c>
      <c r="L4574" t="n">
        <v>0</v>
      </c>
      <c r="M4574" t="n">
        <v>0</v>
      </c>
      <c r="N4574" t="n">
        <v>0</v>
      </c>
      <c r="O4574" t="n">
        <v>0</v>
      </c>
      <c r="P4574" t="n">
        <v>0</v>
      </c>
      <c r="Q4574" t="n">
        <v>0</v>
      </c>
      <c r="R4574" s="2" t="inlineStr"/>
    </row>
    <row r="4575" ht="15" customHeight="1">
      <c r="A4575" t="inlineStr">
        <is>
          <t>A 34104-2024</t>
        </is>
      </c>
      <c r="B4575" s="1" t="n">
        <v>45523.79202546296</v>
      </c>
      <c r="C4575" s="1" t="n">
        <v>45952</v>
      </c>
      <c r="D4575" t="inlineStr">
        <is>
          <t>VÄSTRA GÖTALANDS LÄN</t>
        </is>
      </c>
      <c r="E4575" t="inlineStr">
        <is>
          <t>ALE</t>
        </is>
      </c>
      <c r="G4575" t="n">
        <v>2.2</v>
      </c>
      <c r="H4575" t="n">
        <v>0</v>
      </c>
      <c r="I4575" t="n">
        <v>0</v>
      </c>
      <c r="J4575" t="n">
        <v>0</v>
      </c>
      <c r="K4575" t="n">
        <v>0</v>
      </c>
      <c r="L4575" t="n">
        <v>0</v>
      </c>
      <c r="M4575" t="n">
        <v>0</v>
      </c>
      <c r="N4575" t="n">
        <v>0</v>
      </c>
      <c r="O4575" t="n">
        <v>0</v>
      </c>
      <c r="P4575" t="n">
        <v>0</v>
      </c>
      <c r="Q4575" t="n">
        <v>0</v>
      </c>
      <c r="R4575" s="2" t="inlineStr"/>
    </row>
    <row r="4576" ht="15" customHeight="1">
      <c r="A4576" t="inlineStr">
        <is>
          <t>A 49300-2023</t>
        </is>
      </c>
      <c r="B4576" s="1" t="n">
        <v>45210.88792824074</v>
      </c>
      <c r="C4576" s="1" t="n">
        <v>45952</v>
      </c>
      <c r="D4576" t="inlineStr">
        <is>
          <t>VÄSTRA GÖTALANDS LÄN</t>
        </is>
      </c>
      <c r="E4576" t="inlineStr">
        <is>
          <t>SKÖVDE</t>
        </is>
      </c>
      <c r="G4576" t="n">
        <v>5.2</v>
      </c>
      <c r="H4576" t="n">
        <v>0</v>
      </c>
      <c r="I4576" t="n">
        <v>0</v>
      </c>
      <c r="J4576" t="n">
        <v>0</v>
      </c>
      <c r="K4576" t="n">
        <v>0</v>
      </c>
      <c r="L4576" t="n">
        <v>0</v>
      </c>
      <c r="M4576" t="n">
        <v>0</v>
      </c>
      <c r="N4576" t="n">
        <v>0</v>
      </c>
      <c r="O4576" t="n">
        <v>0</v>
      </c>
      <c r="P4576" t="n">
        <v>0</v>
      </c>
      <c r="Q4576" t="n">
        <v>0</v>
      </c>
      <c r="R4576" s="2" t="inlineStr"/>
    </row>
    <row r="4577" ht="15" customHeight="1">
      <c r="A4577" t="inlineStr">
        <is>
          <t>A 16526-2025</t>
        </is>
      </c>
      <c r="B4577" s="1" t="n">
        <v>45751.64315972223</v>
      </c>
      <c r="C4577" s="1" t="n">
        <v>45952</v>
      </c>
      <c r="D4577" t="inlineStr">
        <is>
          <t>VÄSTRA GÖTALANDS LÄN</t>
        </is>
      </c>
      <c r="E4577" t="inlineStr">
        <is>
          <t>TRANEMO</t>
        </is>
      </c>
      <c r="F4577" t="inlineStr">
        <is>
          <t>Sveaskog</t>
        </is>
      </c>
      <c r="G4577" t="n">
        <v>3</v>
      </c>
      <c r="H4577" t="n">
        <v>0</v>
      </c>
      <c r="I4577" t="n">
        <v>0</v>
      </c>
      <c r="J4577" t="n">
        <v>0</v>
      </c>
      <c r="K4577" t="n">
        <v>0</v>
      </c>
      <c r="L4577" t="n">
        <v>0</v>
      </c>
      <c r="M4577" t="n">
        <v>0</v>
      </c>
      <c r="N4577" t="n">
        <v>0</v>
      </c>
      <c r="O4577" t="n">
        <v>0</v>
      </c>
      <c r="P4577" t="n">
        <v>0</v>
      </c>
      <c r="Q4577" t="n">
        <v>0</v>
      </c>
      <c r="R4577" s="2" t="inlineStr"/>
    </row>
    <row r="4578" ht="15" customHeight="1">
      <c r="A4578" t="inlineStr">
        <is>
          <t>A 16528-2025</t>
        </is>
      </c>
      <c r="B4578" s="1" t="n">
        <v>45751.64424768519</v>
      </c>
      <c r="C4578" s="1" t="n">
        <v>45952</v>
      </c>
      <c r="D4578" t="inlineStr">
        <is>
          <t>VÄSTRA GÖTALANDS LÄN</t>
        </is>
      </c>
      <c r="E4578" t="inlineStr">
        <is>
          <t>TRANEMO</t>
        </is>
      </c>
      <c r="F4578" t="inlineStr">
        <is>
          <t>Sveaskog</t>
        </is>
      </c>
      <c r="G4578" t="n">
        <v>2.4</v>
      </c>
      <c r="H4578" t="n">
        <v>0</v>
      </c>
      <c r="I4578" t="n">
        <v>0</v>
      </c>
      <c r="J4578" t="n">
        <v>0</v>
      </c>
      <c r="K4578" t="n">
        <v>0</v>
      </c>
      <c r="L4578" t="n">
        <v>0</v>
      </c>
      <c r="M4578" t="n">
        <v>0</v>
      </c>
      <c r="N4578" t="n">
        <v>0</v>
      </c>
      <c r="O4578" t="n">
        <v>0</v>
      </c>
      <c r="P4578" t="n">
        <v>0</v>
      </c>
      <c r="Q4578" t="n">
        <v>0</v>
      </c>
      <c r="R4578" s="2" t="inlineStr"/>
    </row>
    <row r="4579" ht="15" customHeight="1">
      <c r="A4579" t="inlineStr">
        <is>
          <t>A 42000-2022</t>
        </is>
      </c>
      <c r="B4579" s="1" t="n">
        <v>44830</v>
      </c>
      <c r="C4579" s="1" t="n">
        <v>45952</v>
      </c>
      <c r="D4579" t="inlineStr">
        <is>
          <t>VÄSTRA GÖTALANDS LÄN</t>
        </is>
      </c>
      <c r="E4579" t="inlineStr">
        <is>
          <t>MARIESTAD</t>
        </is>
      </c>
      <c r="G4579" t="n">
        <v>2</v>
      </c>
      <c r="H4579" t="n">
        <v>0</v>
      </c>
      <c r="I4579" t="n">
        <v>0</v>
      </c>
      <c r="J4579" t="n">
        <v>0</v>
      </c>
      <c r="K4579" t="n">
        <v>0</v>
      </c>
      <c r="L4579" t="n">
        <v>0</v>
      </c>
      <c r="M4579" t="n">
        <v>0</v>
      </c>
      <c r="N4579" t="n">
        <v>0</v>
      </c>
      <c r="O4579" t="n">
        <v>0</v>
      </c>
      <c r="P4579" t="n">
        <v>0</v>
      </c>
      <c r="Q4579" t="n">
        <v>0</v>
      </c>
      <c r="R4579" s="2" t="inlineStr"/>
    </row>
    <row r="4580" ht="15" customHeight="1">
      <c r="A4580" t="inlineStr">
        <is>
          <t>A 56029-2024</t>
        </is>
      </c>
      <c r="B4580" s="1" t="n">
        <v>45624.31143518518</v>
      </c>
      <c r="C4580" s="1" t="n">
        <v>45952</v>
      </c>
      <c r="D4580" t="inlineStr">
        <is>
          <t>VÄSTRA GÖTALANDS LÄN</t>
        </is>
      </c>
      <c r="E4580" t="inlineStr">
        <is>
          <t>VÄNERSBORG</t>
        </is>
      </c>
      <c r="G4580" t="n">
        <v>1.7</v>
      </c>
      <c r="H4580" t="n">
        <v>0</v>
      </c>
      <c r="I4580" t="n">
        <v>0</v>
      </c>
      <c r="J4580" t="n">
        <v>0</v>
      </c>
      <c r="K4580" t="n">
        <v>0</v>
      </c>
      <c r="L4580" t="n">
        <v>0</v>
      </c>
      <c r="M4580" t="n">
        <v>0</v>
      </c>
      <c r="N4580" t="n">
        <v>0</v>
      </c>
      <c r="O4580" t="n">
        <v>0</v>
      </c>
      <c r="P4580" t="n">
        <v>0</v>
      </c>
      <c r="Q4580" t="n">
        <v>0</v>
      </c>
      <c r="R4580" s="2" t="inlineStr"/>
    </row>
    <row r="4581" ht="15" customHeight="1">
      <c r="A4581" t="inlineStr">
        <is>
          <t>A 56031-2024</t>
        </is>
      </c>
      <c r="B4581" s="1" t="n">
        <v>45624.31189814815</v>
      </c>
      <c r="C4581" s="1" t="n">
        <v>45952</v>
      </c>
      <c r="D4581" t="inlineStr">
        <is>
          <t>VÄSTRA GÖTALANDS LÄN</t>
        </is>
      </c>
      <c r="E4581" t="inlineStr">
        <is>
          <t>TRANEMO</t>
        </is>
      </c>
      <c r="G4581" t="n">
        <v>5.1</v>
      </c>
      <c r="H4581" t="n">
        <v>0</v>
      </c>
      <c r="I4581" t="n">
        <v>0</v>
      </c>
      <c r="J4581" t="n">
        <v>0</v>
      </c>
      <c r="K4581" t="n">
        <v>0</v>
      </c>
      <c r="L4581" t="n">
        <v>0</v>
      </c>
      <c r="M4581" t="n">
        <v>0</v>
      </c>
      <c r="N4581" t="n">
        <v>0</v>
      </c>
      <c r="O4581" t="n">
        <v>0</v>
      </c>
      <c r="P4581" t="n">
        <v>0</v>
      </c>
      <c r="Q4581" t="n">
        <v>0</v>
      </c>
      <c r="R4581" s="2" t="inlineStr"/>
    </row>
    <row r="4582" ht="15" customHeight="1">
      <c r="A4582" t="inlineStr">
        <is>
          <t>A 32035-2024</t>
        </is>
      </c>
      <c r="B4582" s="1" t="n">
        <v>45510.67900462963</v>
      </c>
      <c r="C4582" s="1" t="n">
        <v>45952</v>
      </c>
      <c r="D4582" t="inlineStr">
        <is>
          <t>VÄSTRA GÖTALANDS LÄN</t>
        </is>
      </c>
      <c r="E4582" t="inlineStr">
        <is>
          <t>MARK</t>
        </is>
      </c>
      <c r="G4582" t="n">
        <v>8</v>
      </c>
      <c r="H4582" t="n">
        <v>0</v>
      </c>
      <c r="I4582" t="n">
        <v>0</v>
      </c>
      <c r="J4582" t="n">
        <v>0</v>
      </c>
      <c r="K4582" t="n">
        <v>0</v>
      </c>
      <c r="L4582" t="n">
        <v>0</v>
      </c>
      <c r="M4582" t="n">
        <v>0</v>
      </c>
      <c r="N4582" t="n">
        <v>0</v>
      </c>
      <c r="O4582" t="n">
        <v>0</v>
      </c>
      <c r="P4582" t="n">
        <v>0</v>
      </c>
      <c r="Q4582" t="n">
        <v>0</v>
      </c>
      <c r="R4582" s="2" t="inlineStr"/>
    </row>
    <row r="4583" ht="15" customHeight="1">
      <c r="A4583" t="inlineStr">
        <is>
          <t>A 64997-2023</t>
        </is>
      </c>
      <c r="B4583" s="1" t="n">
        <v>45286</v>
      </c>
      <c r="C4583" s="1" t="n">
        <v>45952</v>
      </c>
      <c r="D4583" t="inlineStr">
        <is>
          <t>VÄSTRA GÖTALANDS LÄN</t>
        </is>
      </c>
      <c r="E4583" t="inlineStr">
        <is>
          <t>TANUM</t>
        </is>
      </c>
      <c r="G4583" t="n">
        <v>2.7</v>
      </c>
      <c r="H4583" t="n">
        <v>0</v>
      </c>
      <c r="I4583" t="n">
        <v>0</v>
      </c>
      <c r="J4583" t="n">
        <v>0</v>
      </c>
      <c r="K4583" t="n">
        <v>0</v>
      </c>
      <c r="L4583" t="n">
        <v>0</v>
      </c>
      <c r="M4583" t="n">
        <v>0</v>
      </c>
      <c r="N4583" t="n">
        <v>0</v>
      </c>
      <c r="O4583" t="n">
        <v>0</v>
      </c>
      <c r="P4583" t="n">
        <v>0</v>
      </c>
      <c r="Q4583" t="n">
        <v>0</v>
      </c>
      <c r="R4583" s="2" t="inlineStr"/>
    </row>
    <row r="4584" ht="15" customHeight="1">
      <c r="A4584" t="inlineStr">
        <is>
          <t>A 4072-2021</t>
        </is>
      </c>
      <c r="B4584" s="1" t="n">
        <v>44222.66707175926</v>
      </c>
      <c r="C4584" s="1" t="n">
        <v>45952</v>
      </c>
      <c r="D4584" t="inlineStr">
        <is>
          <t>VÄSTRA GÖTALANDS LÄN</t>
        </is>
      </c>
      <c r="E4584" t="inlineStr">
        <is>
          <t>ÅMÅL</t>
        </is>
      </c>
      <c r="G4584" t="n">
        <v>9.6</v>
      </c>
      <c r="H4584" t="n">
        <v>0</v>
      </c>
      <c r="I4584" t="n">
        <v>0</v>
      </c>
      <c r="J4584" t="n">
        <v>0</v>
      </c>
      <c r="K4584" t="n">
        <v>0</v>
      </c>
      <c r="L4584" t="n">
        <v>0</v>
      </c>
      <c r="M4584" t="n">
        <v>0</v>
      </c>
      <c r="N4584" t="n">
        <v>0</v>
      </c>
      <c r="O4584" t="n">
        <v>0</v>
      </c>
      <c r="P4584" t="n">
        <v>0</v>
      </c>
      <c r="Q4584" t="n">
        <v>0</v>
      </c>
      <c r="R4584" s="2" t="inlineStr"/>
    </row>
    <row r="4585" ht="15" customHeight="1">
      <c r="A4585" t="inlineStr">
        <is>
          <t>A 27865-2023</t>
        </is>
      </c>
      <c r="B4585" s="1" t="n">
        <v>45098</v>
      </c>
      <c r="C4585" s="1" t="n">
        <v>45952</v>
      </c>
      <c r="D4585" t="inlineStr">
        <is>
          <t>VÄSTRA GÖTALANDS LÄN</t>
        </is>
      </c>
      <c r="E4585" t="inlineStr">
        <is>
          <t>ULRICEHAMN</t>
        </is>
      </c>
      <c r="G4585" t="n">
        <v>2</v>
      </c>
      <c r="H4585" t="n">
        <v>0</v>
      </c>
      <c r="I4585" t="n">
        <v>0</v>
      </c>
      <c r="J4585" t="n">
        <v>0</v>
      </c>
      <c r="K4585" t="n">
        <v>0</v>
      </c>
      <c r="L4585" t="n">
        <v>0</v>
      </c>
      <c r="M4585" t="n">
        <v>0</v>
      </c>
      <c r="N4585" t="n">
        <v>0</v>
      </c>
      <c r="O4585" t="n">
        <v>0</v>
      </c>
      <c r="P4585" t="n">
        <v>0</v>
      </c>
      <c r="Q4585" t="n">
        <v>0</v>
      </c>
      <c r="R4585" s="2" t="inlineStr"/>
    </row>
    <row r="4586" ht="15" customHeight="1">
      <c r="A4586" t="inlineStr">
        <is>
          <t>A 22236-2023</t>
        </is>
      </c>
      <c r="B4586" s="1" t="n">
        <v>45070</v>
      </c>
      <c r="C4586" s="1" t="n">
        <v>45952</v>
      </c>
      <c r="D4586" t="inlineStr">
        <is>
          <t>VÄSTRA GÖTALANDS LÄN</t>
        </is>
      </c>
      <c r="E4586" t="inlineStr">
        <is>
          <t>MARIESTAD</t>
        </is>
      </c>
      <c r="F4586" t="inlineStr">
        <is>
          <t>Sveaskog</t>
        </is>
      </c>
      <c r="G4586" t="n">
        <v>0.9</v>
      </c>
      <c r="H4586" t="n">
        <v>0</v>
      </c>
      <c r="I4586" t="n">
        <v>0</v>
      </c>
      <c r="J4586" t="n">
        <v>0</v>
      </c>
      <c r="K4586" t="n">
        <v>0</v>
      </c>
      <c r="L4586" t="n">
        <v>0</v>
      </c>
      <c r="M4586" t="n">
        <v>0</v>
      </c>
      <c r="N4586" t="n">
        <v>0</v>
      </c>
      <c r="O4586" t="n">
        <v>0</v>
      </c>
      <c r="P4586" t="n">
        <v>0</v>
      </c>
      <c r="Q4586" t="n">
        <v>0</v>
      </c>
      <c r="R4586" s="2" t="inlineStr"/>
    </row>
    <row r="4587" ht="15" customHeight="1">
      <c r="A4587" t="inlineStr">
        <is>
          <t>A 45149-2024</t>
        </is>
      </c>
      <c r="B4587" s="1" t="n">
        <v>45575.64230324074</v>
      </c>
      <c r="C4587" s="1" t="n">
        <v>45952</v>
      </c>
      <c r="D4587" t="inlineStr">
        <is>
          <t>VÄSTRA GÖTALANDS LÄN</t>
        </is>
      </c>
      <c r="E4587" t="inlineStr">
        <is>
          <t>UDDEVALLA</t>
        </is>
      </c>
      <c r="G4587" t="n">
        <v>1.9</v>
      </c>
      <c r="H4587" t="n">
        <v>0</v>
      </c>
      <c r="I4587" t="n">
        <v>0</v>
      </c>
      <c r="J4587" t="n">
        <v>0</v>
      </c>
      <c r="K4587" t="n">
        <v>0</v>
      </c>
      <c r="L4587" t="n">
        <v>0</v>
      </c>
      <c r="M4587" t="n">
        <v>0</v>
      </c>
      <c r="N4587" t="n">
        <v>0</v>
      </c>
      <c r="O4587" t="n">
        <v>0</v>
      </c>
      <c r="P4587" t="n">
        <v>0</v>
      </c>
      <c r="Q4587" t="n">
        <v>0</v>
      </c>
      <c r="R4587" s="2" t="inlineStr"/>
    </row>
    <row r="4588" ht="15" customHeight="1">
      <c r="A4588" t="inlineStr">
        <is>
          <t>A 45165-2024</t>
        </is>
      </c>
      <c r="B4588" s="1" t="n">
        <v>45575.65310185185</v>
      </c>
      <c r="C4588" s="1" t="n">
        <v>45952</v>
      </c>
      <c r="D4588" t="inlineStr">
        <is>
          <t>VÄSTRA GÖTALANDS LÄN</t>
        </is>
      </c>
      <c r="E4588" t="inlineStr">
        <is>
          <t>MUNKEDAL</t>
        </is>
      </c>
      <c r="F4588" t="inlineStr">
        <is>
          <t>Naturvårdsverket</t>
        </is>
      </c>
      <c r="G4588" t="n">
        <v>1.5</v>
      </c>
      <c r="H4588" t="n">
        <v>0</v>
      </c>
      <c r="I4588" t="n">
        <v>0</v>
      </c>
      <c r="J4588" t="n">
        <v>0</v>
      </c>
      <c r="K4588" t="n">
        <v>0</v>
      </c>
      <c r="L4588" t="n">
        <v>0</v>
      </c>
      <c r="M4588" t="n">
        <v>0</v>
      </c>
      <c r="N4588" t="n">
        <v>0</v>
      </c>
      <c r="O4588" t="n">
        <v>0</v>
      </c>
      <c r="P4588" t="n">
        <v>0</v>
      </c>
      <c r="Q4588" t="n">
        <v>0</v>
      </c>
      <c r="R4588" s="2" t="inlineStr"/>
    </row>
    <row r="4589" ht="15" customHeight="1">
      <c r="A4589" t="inlineStr">
        <is>
          <t>A 63012-2023</t>
        </is>
      </c>
      <c r="B4589" s="1" t="n">
        <v>45272.67701388889</v>
      </c>
      <c r="C4589" s="1" t="n">
        <v>45952</v>
      </c>
      <c r="D4589" t="inlineStr">
        <is>
          <t>VÄSTRA GÖTALANDS LÄN</t>
        </is>
      </c>
      <c r="E4589" t="inlineStr">
        <is>
          <t>ULRICEHAMN</t>
        </is>
      </c>
      <c r="G4589" t="n">
        <v>2.4</v>
      </c>
      <c r="H4589" t="n">
        <v>0</v>
      </c>
      <c r="I4589" t="n">
        <v>0</v>
      </c>
      <c r="J4589" t="n">
        <v>0</v>
      </c>
      <c r="K4589" t="n">
        <v>0</v>
      </c>
      <c r="L4589" t="n">
        <v>0</v>
      </c>
      <c r="M4589" t="n">
        <v>0</v>
      </c>
      <c r="N4589" t="n">
        <v>0</v>
      </c>
      <c r="O4589" t="n">
        <v>0</v>
      </c>
      <c r="P4589" t="n">
        <v>0</v>
      </c>
      <c r="Q4589" t="n">
        <v>0</v>
      </c>
      <c r="R4589" s="2" t="inlineStr"/>
    </row>
    <row r="4590" ht="15" customHeight="1">
      <c r="A4590" t="inlineStr">
        <is>
          <t>A 5016-2023</t>
        </is>
      </c>
      <c r="B4590" s="1" t="n">
        <v>44958.5433912037</v>
      </c>
      <c r="C4590" s="1" t="n">
        <v>45952</v>
      </c>
      <c r="D4590" t="inlineStr">
        <is>
          <t>VÄSTRA GÖTALANDS LÄN</t>
        </is>
      </c>
      <c r="E4590" t="inlineStr">
        <is>
          <t>SVENLJUNGA</t>
        </is>
      </c>
      <c r="G4590" t="n">
        <v>2.1</v>
      </c>
      <c r="H4590" t="n">
        <v>0</v>
      </c>
      <c r="I4590" t="n">
        <v>0</v>
      </c>
      <c r="J4590" t="n">
        <v>0</v>
      </c>
      <c r="K4590" t="n">
        <v>0</v>
      </c>
      <c r="L4590" t="n">
        <v>0</v>
      </c>
      <c r="M4590" t="n">
        <v>0</v>
      </c>
      <c r="N4590" t="n">
        <v>0</v>
      </c>
      <c r="O4590" t="n">
        <v>0</v>
      </c>
      <c r="P4590" t="n">
        <v>0</v>
      </c>
      <c r="Q4590" t="n">
        <v>0</v>
      </c>
      <c r="R4590" s="2" t="inlineStr"/>
    </row>
    <row r="4591" ht="15" customHeight="1">
      <c r="A4591" t="inlineStr">
        <is>
          <t>A 29969-2024</t>
        </is>
      </c>
      <c r="B4591" s="1" t="n">
        <v>45488.47434027777</v>
      </c>
      <c r="C4591" s="1" t="n">
        <v>45952</v>
      </c>
      <c r="D4591" t="inlineStr">
        <is>
          <t>VÄSTRA GÖTALANDS LÄN</t>
        </is>
      </c>
      <c r="E4591" t="inlineStr">
        <is>
          <t>MUNKEDAL</t>
        </is>
      </c>
      <c r="G4591" t="n">
        <v>1</v>
      </c>
      <c r="H4591" t="n">
        <v>0</v>
      </c>
      <c r="I4591" t="n">
        <v>0</v>
      </c>
      <c r="J4591" t="n">
        <v>0</v>
      </c>
      <c r="K4591" t="n">
        <v>0</v>
      </c>
      <c r="L4591" t="n">
        <v>0</v>
      </c>
      <c r="M4591" t="n">
        <v>0</v>
      </c>
      <c r="N4591" t="n">
        <v>0</v>
      </c>
      <c r="O4591" t="n">
        <v>0</v>
      </c>
      <c r="P4591" t="n">
        <v>0</v>
      </c>
      <c r="Q4591" t="n">
        <v>0</v>
      </c>
      <c r="R4591" s="2" t="inlineStr"/>
    </row>
    <row r="4592" ht="15" customHeight="1">
      <c r="A4592" t="inlineStr">
        <is>
          <t>A 10737-2023</t>
        </is>
      </c>
      <c r="B4592" s="1" t="n">
        <v>44984</v>
      </c>
      <c r="C4592" s="1" t="n">
        <v>45952</v>
      </c>
      <c r="D4592" t="inlineStr">
        <is>
          <t>VÄSTRA GÖTALANDS LÄN</t>
        </is>
      </c>
      <c r="E4592" t="inlineStr">
        <is>
          <t>TIBRO</t>
        </is>
      </c>
      <c r="G4592" t="n">
        <v>3.4</v>
      </c>
      <c r="H4592" t="n">
        <v>0</v>
      </c>
      <c r="I4592" t="n">
        <v>0</v>
      </c>
      <c r="J4592" t="n">
        <v>0</v>
      </c>
      <c r="K4592" t="n">
        <v>0</v>
      </c>
      <c r="L4592" t="n">
        <v>0</v>
      </c>
      <c r="M4592" t="n">
        <v>0</v>
      </c>
      <c r="N4592" t="n">
        <v>0</v>
      </c>
      <c r="O4592" t="n">
        <v>0</v>
      </c>
      <c r="P4592" t="n">
        <v>0</v>
      </c>
      <c r="Q4592" t="n">
        <v>0</v>
      </c>
      <c r="R4592" s="2" t="inlineStr"/>
    </row>
    <row r="4593" ht="15" customHeight="1">
      <c r="A4593" t="inlineStr">
        <is>
          <t>A 33571-2023</t>
        </is>
      </c>
      <c r="B4593" s="1" t="n">
        <v>45131</v>
      </c>
      <c r="C4593" s="1" t="n">
        <v>45952</v>
      </c>
      <c r="D4593" t="inlineStr">
        <is>
          <t>VÄSTRA GÖTALANDS LÄN</t>
        </is>
      </c>
      <c r="E4593" t="inlineStr">
        <is>
          <t>MARIESTAD</t>
        </is>
      </c>
      <c r="G4593" t="n">
        <v>16.1</v>
      </c>
      <c r="H4593" t="n">
        <v>0</v>
      </c>
      <c r="I4593" t="n">
        <v>0</v>
      </c>
      <c r="J4593" t="n">
        <v>0</v>
      </c>
      <c r="K4593" t="n">
        <v>0</v>
      </c>
      <c r="L4593" t="n">
        <v>0</v>
      </c>
      <c r="M4593" t="n">
        <v>0</v>
      </c>
      <c r="N4593" t="n">
        <v>0</v>
      </c>
      <c r="O4593" t="n">
        <v>0</v>
      </c>
      <c r="P4593" t="n">
        <v>0</v>
      </c>
      <c r="Q4593" t="n">
        <v>0</v>
      </c>
      <c r="R4593" s="2" t="inlineStr"/>
    </row>
    <row r="4594" ht="15" customHeight="1">
      <c r="A4594" t="inlineStr">
        <is>
          <t>A 10810-2023</t>
        </is>
      </c>
      <c r="B4594" s="1" t="n">
        <v>44989.75795138889</v>
      </c>
      <c r="C4594" s="1" t="n">
        <v>45952</v>
      </c>
      <c r="D4594" t="inlineStr">
        <is>
          <t>VÄSTRA GÖTALANDS LÄN</t>
        </is>
      </c>
      <c r="E4594" t="inlineStr">
        <is>
          <t>KUNGÄLV</t>
        </is>
      </c>
      <c r="G4594" t="n">
        <v>0.4</v>
      </c>
      <c r="H4594" t="n">
        <v>0</v>
      </c>
      <c r="I4594" t="n">
        <v>0</v>
      </c>
      <c r="J4594" t="n">
        <v>0</v>
      </c>
      <c r="K4594" t="n">
        <v>0</v>
      </c>
      <c r="L4594" t="n">
        <v>0</v>
      </c>
      <c r="M4594" t="n">
        <v>0</v>
      </c>
      <c r="N4594" t="n">
        <v>0</v>
      </c>
      <c r="O4594" t="n">
        <v>0</v>
      </c>
      <c r="P4594" t="n">
        <v>0</v>
      </c>
      <c r="Q4594" t="n">
        <v>0</v>
      </c>
      <c r="R4594" s="2" t="inlineStr"/>
    </row>
    <row r="4595" ht="15" customHeight="1">
      <c r="A4595" t="inlineStr">
        <is>
          <t>A 54001-2023</t>
        </is>
      </c>
      <c r="B4595" s="1" t="n">
        <v>45231.67237268519</v>
      </c>
      <c r="C4595" s="1" t="n">
        <v>45952</v>
      </c>
      <c r="D4595" t="inlineStr">
        <is>
          <t>VÄSTRA GÖTALANDS LÄN</t>
        </is>
      </c>
      <c r="E4595" t="inlineStr">
        <is>
          <t>MUNKEDAL</t>
        </is>
      </c>
      <c r="G4595" t="n">
        <v>8.699999999999999</v>
      </c>
      <c r="H4595" t="n">
        <v>0</v>
      </c>
      <c r="I4595" t="n">
        <v>0</v>
      </c>
      <c r="J4595" t="n">
        <v>0</v>
      </c>
      <c r="K4595" t="n">
        <v>0</v>
      </c>
      <c r="L4595" t="n">
        <v>0</v>
      </c>
      <c r="M4595" t="n">
        <v>0</v>
      </c>
      <c r="N4595" t="n">
        <v>0</v>
      </c>
      <c r="O4595" t="n">
        <v>0</v>
      </c>
      <c r="P4595" t="n">
        <v>0</v>
      </c>
      <c r="Q4595" t="n">
        <v>0</v>
      </c>
      <c r="R4595" s="2" t="inlineStr"/>
    </row>
    <row r="4596" ht="15" customHeight="1">
      <c r="A4596" t="inlineStr">
        <is>
          <t>A 46118-2023</t>
        </is>
      </c>
      <c r="B4596" s="1" t="n">
        <v>45196.55233796296</v>
      </c>
      <c r="C4596" s="1" t="n">
        <v>45952</v>
      </c>
      <c r="D4596" t="inlineStr">
        <is>
          <t>VÄSTRA GÖTALANDS LÄN</t>
        </is>
      </c>
      <c r="E4596" t="inlineStr">
        <is>
          <t>TANUM</t>
        </is>
      </c>
      <c r="G4596" t="n">
        <v>3</v>
      </c>
      <c r="H4596" t="n">
        <v>0</v>
      </c>
      <c r="I4596" t="n">
        <v>0</v>
      </c>
      <c r="J4596" t="n">
        <v>0</v>
      </c>
      <c r="K4596" t="n">
        <v>0</v>
      </c>
      <c r="L4596" t="n">
        <v>0</v>
      </c>
      <c r="M4596" t="n">
        <v>0</v>
      </c>
      <c r="N4596" t="n">
        <v>0</v>
      </c>
      <c r="O4596" t="n">
        <v>0</v>
      </c>
      <c r="P4596" t="n">
        <v>0</v>
      </c>
      <c r="Q4596" t="n">
        <v>0</v>
      </c>
      <c r="R4596" s="2" t="inlineStr"/>
    </row>
    <row r="4597" ht="15" customHeight="1">
      <c r="A4597" t="inlineStr">
        <is>
          <t>A 35390-2025</t>
        </is>
      </c>
      <c r="B4597" s="1" t="n">
        <v>45855</v>
      </c>
      <c r="C4597" s="1" t="n">
        <v>45952</v>
      </c>
      <c r="D4597" t="inlineStr">
        <is>
          <t>VÄSTRA GÖTALANDS LÄN</t>
        </is>
      </c>
      <c r="E4597" t="inlineStr">
        <is>
          <t>MARK</t>
        </is>
      </c>
      <c r="G4597" t="n">
        <v>13.2</v>
      </c>
      <c r="H4597" t="n">
        <v>0</v>
      </c>
      <c r="I4597" t="n">
        <v>0</v>
      </c>
      <c r="J4597" t="n">
        <v>0</v>
      </c>
      <c r="K4597" t="n">
        <v>0</v>
      </c>
      <c r="L4597" t="n">
        <v>0</v>
      </c>
      <c r="M4597" t="n">
        <v>0</v>
      </c>
      <c r="N4597" t="n">
        <v>0</v>
      </c>
      <c r="O4597" t="n">
        <v>0</v>
      </c>
      <c r="P4597" t="n">
        <v>0</v>
      </c>
      <c r="Q4597" t="n">
        <v>0</v>
      </c>
      <c r="R4597" s="2" t="inlineStr"/>
    </row>
    <row r="4598" ht="15" customHeight="1">
      <c r="A4598" t="inlineStr">
        <is>
          <t>A 47164-2025</t>
        </is>
      </c>
      <c r="B4598" s="1" t="n">
        <v>45929.75582175926</v>
      </c>
      <c r="C4598" s="1" t="n">
        <v>45952</v>
      </c>
      <c r="D4598" t="inlineStr">
        <is>
          <t>VÄSTRA GÖTALANDS LÄN</t>
        </is>
      </c>
      <c r="E4598" t="inlineStr">
        <is>
          <t>DALS-ED</t>
        </is>
      </c>
      <c r="G4598" t="n">
        <v>0.9</v>
      </c>
      <c r="H4598" t="n">
        <v>0</v>
      </c>
      <c r="I4598" t="n">
        <v>0</v>
      </c>
      <c r="J4598" t="n">
        <v>0</v>
      </c>
      <c r="K4598" t="n">
        <v>0</v>
      </c>
      <c r="L4598" t="n">
        <v>0</v>
      </c>
      <c r="M4598" t="n">
        <v>0</v>
      </c>
      <c r="N4598" t="n">
        <v>0</v>
      </c>
      <c r="O4598" t="n">
        <v>0</v>
      </c>
      <c r="P4598" t="n">
        <v>0</v>
      </c>
      <c r="Q4598" t="n">
        <v>0</v>
      </c>
      <c r="R4598" s="2" t="inlineStr"/>
    </row>
    <row r="4599" ht="15" customHeight="1">
      <c r="A4599" t="inlineStr">
        <is>
          <t>A 47169-2025</t>
        </is>
      </c>
      <c r="B4599" s="1" t="n">
        <v>45929.91121527777</v>
      </c>
      <c r="C4599" s="1" t="n">
        <v>45952</v>
      </c>
      <c r="D4599" t="inlineStr">
        <is>
          <t>VÄSTRA GÖTALANDS LÄN</t>
        </is>
      </c>
      <c r="E4599" t="inlineStr">
        <is>
          <t>VÅRGÅRDA</t>
        </is>
      </c>
      <c r="G4599" t="n">
        <v>0.8</v>
      </c>
      <c r="H4599" t="n">
        <v>0</v>
      </c>
      <c r="I4599" t="n">
        <v>0</v>
      </c>
      <c r="J4599" t="n">
        <v>0</v>
      </c>
      <c r="K4599" t="n">
        <v>0</v>
      </c>
      <c r="L4599" t="n">
        <v>0</v>
      </c>
      <c r="M4599" t="n">
        <v>0</v>
      </c>
      <c r="N4599" t="n">
        <v>0</v>
      </c>
      <c r="O4599" t="n">
        <v>0</v>
      </c>
      <c r="P4599" t="n">
        <v>0</v>
      </c>
      <c r="Q4599" t="n">
        <v>0</v>
      </c>
      <c r="R4599" s="2" t="inlineStr"/>
    </row>
    <row r="4600" ht="15" customHeight="1">
      <c r="A4600" t="inlineStr">
        <is>
          <t>A 46134-2023</t>
        </is>
      </c>
      <c r="B4600" s="1" t="n">
        <v>45196</v>
      </c>
      <c r="C4600" s="1" t="n">
        <v>45952</v>
      </c>
      <c r="D4600" t="inlineStr">
        <is>
          <t>VÄSTRA GÖTALANDS LÄN</t>
        </is>
      </c>
      <c r="E4600" t="inlineStr">
        <is>
          <t>BORÅS</t>
        </is>
      </c>
      <c r="G4600" t="n">
        <v>5.4</v>
      </c>
      <c r="H4600" t="n">
        <v>0</v>
      </c>
      <c r="I4600" t="n">
        <v>0</v>
      </c>
      <c r="J4600" t="n">
        <v>0</v>
      </c>
      <c r="K4600" t="n">
        <v>0</v>
      </c>
      <c r="L4600" t="n">
        <v>0</v>
      </c>
      <c r="M4600" t="n">
        <v>0</v>
      </c>
      <c r="N4600" t="n">
        <v>0</v>
      </c>
      <c r="O4600" t="n">
        <v>0</v>
      </c>
      <c r="P4600" t="n">
        <v>0</v>
      </c>
      <c r="Q4600" t="n">
        <v>0</v>
      </c>
      <c r="R4600" s="2" t="inlineStr"/>
    </row>
    <row r="4601" ht="15" customHeight="1">
      <c r="A4601" t="inlineStr">
        <is>
          <t>A 23089-2023</t>
        </is>
      </c>
      <c r="B4601" s="1" t="n">
        <v>45075</v>
      </c>
      <c r="C4601" s="1" t="n">
        <v>45952</v>
      </c>
      <c r="D4601" t="inlineStr">
        <is>
          <t>VÄSTRA GÖTALANDS LÄN</t>
        </is>
      </c>
      <c r="E4601" t="inlineStr">
        <is>
          <t>MARK</t>
        </is>
      </c>
      <c r="G4601" t="n">
        <v>1</v>
      </c>
      <c r="H4601" t="n">
        <v>0</v>
      </c>
      <c r="I4601" t="n">
        <v>0</v>
      </c>
      <c r="J4601" t="n">
        <v>0</v>
      </c>
      <c r="K4601" t="n">
        <v>0</v>
      </c>
      <c r="L4601" t="n">
        <v>0</v>
      </c>
      <c r="M4601" t="n">
        <v>0</v>
      </c>
      <c r="N4601" t="n">
        <v>0</v>
      </c>
      <c r="O4601" t="n">
        <v>0</v>
      </c>
      <c r="P4601" t="n">
        <v>0</v>
      </c>
      <c r="Q4601" t="n">
        <v>0</v>
      </c>
      <c r="R4601" s="2" t="inlineStr"/>
    </row>
    <row r="4602" ht="15" customHeight="1">
      <c r="A4602" t="inlineStr">
        <is>
          <t>A 25071-2024</t>
        </is>
      </c>
      <c r="B4602" s="1" t="n">
        <v>45462</v>
      </c>
      <c r="C4602" s="1" t="n">
        <v>45952</v>
      </c>
      <c r="D4602" t="inlineStr">
        <is>
          <t>VÄSTRA GÖTALANDS LÄN</t>
        </is>
      </c>
      <c r="E4602" t="inlineStr">
        <is>
          <t>FALKÖPING</t>
        </is>
      </c>
      <c r="G4602" t="n">
        <v>2.7</v>
      </c>
      <c r="H4602" t="n">
        <v>0</v>
      </c>
      <c r="I4602" t="n">
        <v>0</v>
      </c>
      <c r="J4602" t="n">
        <v>0</v>
      </c>
      <c r="K4602" t="n">
        <v>0</v>
      </c>
      <c r="L4602" t="n">
        <v>0</v>
      </c>
      <c r="M4602" t="n">
        <v>0</v>
      </c>
      <c r="N4602" t="n">
        <v>0</v>
      </c>
      <c r="O4602" t="n">
        <v>0</v>
      </c>
      <c r="P4602" t="n">
        <v>0</v>
      </c>
      <c r="Q4602" t="n">
        <v>0</v>
      </c>
      <c r="R4602" s="2" t="inlineStr"/>
    </row>
    <row r="4603" ht="15" customHeight="1">
      <c r="A4603" t="inlineStr">
        <is>
          <t>A 25075-2024</t>
        </is>
      </c>
      <c r="B4603" s="1" t="n">
        <v>45462</v>
      </c>
      <c r="C4603" s="1" t="n">
        <v>45952</v>
      </c>
      <c r="D4603" t="inlineStr">
        <is>
          <t>VÄSTRA GÖTALANDS LÄN</t>
        </is>
      </c>
      <c r="E4603" t="inlineStr">
        <is>
          <t>FALKÖPING</t>
        </is>
      </c>
      <c r="G4603" t="n">
        <v>0.6</v>
      </c>
      <c r="H4603" t="n">
        <v>0</v>
      </c>
      <c r="I4603" t="n">
        <v>0</v>
      </c>
      <c r="J4603" t="n">
        <v>0</v>
      </c>
      <c r="K4603" t="n">
        <v>0</v>
      </c>
      <c r="L4603" t="n">
        <v>0</v>
      </c>
      <c r="M4603" t="n">
        <v>0</v>
      </c>
      <c r="N4603" t="n">
        <v>0</v>
      </c>
      <c r="O4603" t="n">
        <v>0</v>
      </c>
      <c r="P4603" t="n">
        <v>0</v>
      </c>
      <c r="Q4603" t="n">
        <v>0</v>
      </c>
      <c r="R4603" s="2" t="inlineStr"/>
    </row>
    <row r="4604" ht="15" customHeight="1">
      <c r="A4604" t="inlineStr">
        <is>
          <t>A 65116-2023</t>
        </is>
      </c>
      <c r="B4604" s="1" t="n">
        <v>45287</v>
      </c>
      <c r="C4604" s="1" t="n">
        <v>45952</v>
      </c>
      <c r="D4604" t="inlineStr">
        <is>
          <t>VÄSTRA GÖTALANDS LÄN</t>
        </is>
      </c>
      <c r="E4604" t="inlineStr">
        <is>
          <t>TROLLHÄTTAN</t>
        </is>
      </c>
      <c r="G4604" t="n">
        <v>0.1</v>
      </c>
      <c r="H4604" t="n">
        <v>0</v>
      </c>
      <c r="I4604" t="n">
        <v>0</v>
      </c>
      <c r="J4604" t="n">
        <v>0</v>
      </c>
      <c r="K4604" t="n">
        <v>0</v>
      </c>
      <c r="L4604" t="n">
        <v>0</v>
      </c>
      <c r="M4604" t="n">
        <v>0</v>
      </c>
      <c r="N4604" t="n">
        <v>0</v>
      </c>
      <c r="O4604" t="n">
        <v>0</v>
      </c>
      <c r="P4604" t="n">
        <v>0</v>
      </c>
      <c r="Q4604" t="n">
        <v>0</v>
      </c>
      <c r="R4604" s="2" t="inlineStr"/>
    </row>
    <row r="4605" ht="15" customHeight="1">
      <c r="A4605" t="inlineStr">
        <is>
          <t>A 55264-2023</t>
        </is>
      </c>
      <c r="B4605" s="1" t="n">
        <v>45237.66819444444</v>
      </c>
      <c r="C4605" s="1" t="n">
        <v>45952</v>
      </c>
      <c r="D4605" t="inlineStr">
        <is>
          <t>VÄSTRA GÖTALANDS LÄN</t>
        </is>
      </c>
      <c r="E4605" t="inlineStr">
        <is>
          <t>ULRICEHAMN</t>
        </is>
      </c>
      <c r="G4605" t="n">
        <v>0.8</v>
      </c>
      <c r="H4605" t="n">
        <v>0</v>
      </c>
      <c r="I4605" t="n">
        <v>0</v>
      </c>
      <c r="J4605" t="n">
        <v>0</v>
      </c>
      <c r="K4605" t="n">
        <v>0</v>
      </c>
      <c r="L4605" t="n">
        <v>0</v>
      </c>
      <c r="M4605" t="n">
        <v>0</v>
      </c>
      <c r="N4605" t="n">
        <v>0</v>
      </c>
      <c r="O4605" t="n">
        <v>0</v>
      </c>
      <c r="P4605" t="n">
        <v>0</v>
      </c>
      <c r="Q4605" t="n">
        <v>0</v>
      </c>
      <c r="R4605" s="2" t="inlineStr"/>
    </row>
    <row r="4606" ht="15" customHeight="1">
      <c r="A4606" t="inlineStr">
        <is>
          <t>A 63470-2023</t>
        </is>
      </c>
      <c r="B4606" s="1" t="n">
        <v>45274</v>
      </c>
      <c r="C4606" s="1" t="n">
        <v>45952</v>
      </c>
      <c r="D4606" t="inlineStr">
        <is>
          <t>VÄSTRA GÖTALANDS LÄN</t>
        </is>
      </c>
      <c r="E4606" t="inlineStr">
        <is>
          <t>FALKÖPING</t>
        </is>
      </c>
      <c r="G4606" t="n">
        <v>4.5</v>
      </c>
      <c r="H4606" t="n">
        <v>0</v>
      </c>
      <c r="I4606" t="n">
        <v>0</v>
      </c>
      <c r="J4606" t="n">
        <v>0</v>
      </c>
      <c r="K4606" t="n">
        <v>0</v>
      </c>
      <c r="L4606" t="n">
        <v>0</v>
      </c>
      <c r="M4606" t="n">
        <v>0</v>
      </c>
      <c r="N4606" t="n">
        <v>0</v>
      </c>
      <c r="O4606" t="n">
        <v>0</v>
      </c>
      <c r="P4606" t="n">
        <v>0</v>
      </c>
      <c r="Q4606" t="n">
        <v>0</v>
      </c>
      <c r="R4606" s="2" t="inlineStr"/>
    </row>
    <row r="4607" ht="15" customHeight="1">
      <c r="A4607" t="inlineStr">
        <is>
          <t>A 43135-2024</t>
        </is>
      </c>
      <c r="B4607" s="1" t="n">
        <v>45567.60662037037</v>
      </c>
      <c r="C4607" s="1" t="n">
        <v>45952</v>
      </c>
      <c r="D4607" t="inlineStr">
        <is>
          <t>VÄSTRA GÖTALANDS LÄN</t>
        </is>
      </c>
      <c r="E4607" t="inlineStr">
        <is>
          <t>HERRLJUNGA</t>
        </is>
      </c>
      <c r="G4607" t="n">
        <v>2</v>
      </c>
      <c r="H4607" t="n">
        <v>0</v>
      </c>
      <c r="I4607" t="n">
        <v>0</v>
      </c>
      <c r="J4607" t="n">
        <v>0</v>
      </c>
      <c r="K4607" t="n">
        <v>0</v>
      </c>
      <c r="L4607" t="n">
        <v>0</v>
      </c>
      <c r="M4607" t="n">
        <v>0</v>
      </c>
      <c r="N4607" t="n">
        <v>0</v>
      </c>
      <c r="O4607" t="n">
        <v>0</v>
      </c>
      <c r="P4607" t="n">
        <v>0</v>
      </c>
      <c r="Q4607" t="n">
        <v>0</v>
      </c>
      <c r="R4607" s="2" t="inlineStr"/>
    </row>
    <row r="4608" ht="15" customHeight="1">
      <c r="A4608" t="inlineStr">
        <is>
          <t>A 32737-2021</t>
        </is>
      </c>
      <c r="B4608" s="1" t="n">
        <v>44375</v>
      </c>
      <c r="C4608" s="1" t="n">
        <v>45952</v>
      </c>
      <c r="D4608" t="inlineStr">
        <is>
          <t>VÄSTRA GÖTALANDS LÄN</t>
        </is>
      </c>
      <c r="E4608" t="inlineStr">
        <is>
          <t>KARLSBORG</t>
        </is>
      </c>
      <c r="G4608" t="n">
        <v>7.4</v>
      </c>
      <c r="H4608" t="n">
        <v>0</v>
      </c>
      <c r="I4608" t="n">
        <v>0</v>
      </c>
      <c r="J4608" t="n">
        <v>0</v>
      </c>
      <c r="K4608" t="n">
        <v>0</v>
      </c>
      <c r="L4608" t="n">
        <v>0</v>
      </c>
      <c r="M4608" t="n">
        <v>0</v>
      </c>
      <c r="N4608" t="n">
        <v>0</v>
      </c>
      <c r="O4608" t="n">
        <v>0</v>
      </c>
      <c r="P4608" t="n">
        <v>0</v>
      </c>
      <c r="Q4608" t="n">
        <v>0</v>
      </c>
      <c r="R4608" s="2" t="inlineStr"/>
    </row>
    <row r="4609" ht="15" customHeight="1">
      <c r="A4609" t="inlineStr">
        <is>
          <t>A 55208-2024</t>
        </is>
      </c>
      <c r="B4609" s="1" t="n">
        <v>45621.56410879629</v>
      </c>
      <c r="C4609" s="1" t="n">
        <v>45952</v>
      </c>
      <c r="D4609" t="inlineStr">
        <is>
          <t>VÄSTRA GÖTALANDS LÄN</t>
        </is>
      </c>
      <c r="E4609" t="inlineStr">
        <is>
          <t>BENGTSFORS</t>
        </is>
      </c>
      <c r="G4609" t="n">
        <v>0.9</v>
      </c>
      <c r="H4609" t="n">
        <v>0</v>
      </c>
      <c r="I4609" t="n">
        <v>0</v>
      </c>
      <c r="J4609" t="n">
        <v>0</v>
      </c>
      <c r="K4609" t="n">
        <v>0</v>
      </c>
      <c r="L4609" t="n">
        <v>0</v>
      </c>
      <c r="M4609" t="n">
        <v>0</v>
      </c>
      <c r="N4609" t="n">
        <v>0</v>
      </c>
      <c r="O4609" t="n">
        <v>0</v>
      </c>
      <c r="P4609" t="n">
        <v>0</v>
      </c>
      <c r="Q4609" t="n">
        <v>0</v>
      </c>
      <c r="R4609" s="2" t="inlineStr"/>
    </row>
    <row r="4610" ht="15" customHeight="1">
      <c r="A4610" t="inlineStr">
        <is>
          <t>A 55211-2024</t>
        </is>
      </c>
      <c r="B4610" s="1" t="n">
        <v>45621.56515046296</v>
      </c>
      <c r="C4610" s="1" t="n">
        <v>45952</v>
      </c>
      <c r="D4610" t="inlineStr">
        <is>
          <t>VÄSTRA GÖTALANDS LÄN</t>
        </is>
      </c>
      <c r="E4610" t="inlineStr">
        <is>
          <t>SKARA</t>
        </is>
      </c>
      <c r="G4610" t="n">
        <v>4.7</v>
      </c>
      <c r="H4610" t="n">
        <v>0</v>
      </c>
      <c r="I4610" t="n">
        <v>0</v>
      </c>
      <c r="J4610" t="n">
        <v>0</v>
      </c>
      <c r="K4610" t="n">
        <v>0</v>
      </c>
      <c r="L4610" t="n">
        <v>0</v>
      </c>
      <c r="M4610" t="n">
        <v>0</v>
      </c>
      <c r="N4610" t="n">
        <v>0</v>
      </c>
      <c r="O4610" t="n">
        <v>0</v>
      </c>
      <c r="P4610" t="n">
        <v>0</v>
      </c>
      <c r="Q4610" t="n">
        <v>0</v>
      </c>
      <c r="R4610" s="2" t="inlineStr"/>
    </row>
    <row r="4611" ht="15" customHeight="1">
      <c r="A4611" t="inlineStr">
        <is>
          <t>A 57168-2024</t>
        </is>
      </c>
      <c r="B4611" s="1" t="n">
        <v>45629.4267824074</v>
      </c>
      <c r="C4611" s="1" t="n">
        <v>45952</v>
      </c>
      <c r="D4611" t="inlineStr">
        <is>
          <t>VÄSTRA GÖTALANDS LÄN</t>
        </is>
      </c>
      <c r="E4611" t="inlineStr">
        <is>
          <t>MARK</t>
        </is>
      </c>
      <c r="G4611" t="n">
        <v>0.7</v>
      </c>
      <c r="H4611" t="n">
        <v>0</v>
      </c>
      <c r="I4611" t="n">
        <v>0</v>
      </c>
      <c r="J4611" t="n">
        <v>0</v>
      </c>
      <c r="K4611" t="n">
        <v>0</v>
      </c>
      <c r="L4611" t="n">
        <v>0</v>
      </c>
      <c r="M4611" t="n">
        <v>0</v>
      </c>
      <c r="N4611" t="n">
        <v>0</v>
      </c>
      <c r="O4611" t="n">
        <v>0</v>
      </c>
      <c r="P4611" t="n">
        <v>0</v>
      </c>
      <c r="Q4611" t="n">
        <v>0</v>
      </c>
      <c r="R4611" s="2" t="inlineStr"/>
    </row>
    <row r="4612" ht="15" customHeight="1">
      <c r="A4612" t="inlineStr">
        <is>
          <t>A 57175-2024</t>
        </is>
      </c>
      <c r="B4612" s="1" t="n">
        <v>45629.43756944445</v>
      </c>
      <c r="C4612" s="1" t="n">
        <v>45952</v>
      </c>
      <c r="D4612" t="inlineStr">
        <is>
          <t>VÄSTRA GÖTALANDS LÄN</t>
        </is>
      </c>
      <c r="E4612" t="inlineStr">
        <is>
          <t>ULRICEHAMN</t>
        </is>
      </c>
      <c r="G4612" t="n">
        <v>0.8</v>
      </c>
      <c r="H4612" t="n">
        <v>0</v>
      </c>
      <c r="I4612" t="n">
        <v>0</v>
      </c>
      <c r="J4612" t="n">
        <v>0</v>
      </c>
      <c r="K4612" t="n">
        <v>0</v>
      </c>
      <c r="L4612" t="n">
        <v>0</v>
      </c>
      <c r="M4612" t="n">
        <v>0</v>
      </c>
      <c r="N4612" t="n">
        <v>0</v>
      </c>
      <c r="O4612" t="n">
        <v>0</v>
      </c>
      <c r="P4612" t="n">
        <v>0</v>
      </c>
      <c r="Q4612" t="n">
        <v>0</v>
      </c>
      <c r="R4612" s="2" t="inlineStr"/>
    </row>
    <row r="4613" ht="15" customHeight="1">
      <c r="A4613" t="inlineStr">
        <is>
          <t>A 52631-2024</t>
        </is>
      </c>
      <c r="B4613" s="1" t="n">
        <v>45610.30113425926</v>
      </c>
      <c r="C4613" s="1" t="n">
        <v>45952</v>
      </c>
      <c r="D4613" t="inlineStr">
        <is>
          <t>VÄSTRA GÖTALANDS LÄN</t>
        </is>
      </c>
      <c r="E4613" t="inlineStr">
        <is>
          <t>TIBRO</t>
        </is>
      </c>
      <c r="G4613" t="n">
        <v>1.7</v>
      </c>
      <c r="H4613" t="n">
        <v>0</v>
      </c>
      <c r="I4613" t="n">
        <v>0</v>
      </c>
      <c r="J4613" t="n">
        <v>0</v>
      </c>
      <c r="K4613" t="n">
        <v>0</v>
      </c>
      <c r="L4613" t="n">
        <v>0</v>
      </c>
      <c r="M4613" t="n">
        <v>0</v>
      </c>
      <c r="N4613" t="n">
        <v>0</v>
      </c>
      <c r="O4613" t="n">
        <v>0</v>
      </c>
      <c r="P4613" t="n">
        <v>0</v>
      </c>
      <c r="Q4613" t="n">
        <v>0</v>
      </c>
      <c r="R4613" s="2" t="inlineStr"/>
    </row>
    <row r="4614" ht="15" customHeight="1">
      <c r="A4614" t="inlineStr">
        <is>
          <t>A 51534-2023</t>
        </is>
      </c>
      <c r="B4614" s="1" t="n">
        <v>45222.40712962963</v>
      </c>
      <c r="C4614" s="1" t="n">
        <v>45952</v>
      </c>
      <c r="D4614" t="inlineStr">
        <is>
          <t>VÄSTRA GÖTALANDS LÄN</t>
        </is>
      </c>
      <c r="E4614" t="inlineStr">
        <is>
          <t>GRÄSTORP</t>
        </is>
      </c>
      <c r="G4614" t="n">
        <v>3.3</v>
      </c>
      <c r="H4614" t="n">
        <v>0</v>
      </c>
      <c r="I4614" t="n">
        <v>0</v>
      </c>
      <c r="J4614" t="n">
        <v>0</v>
      </c>
      <c r="K4614" t="n">
        <v>0</v>
      </c>
      <c r="L4614" t="n">
        <v>0</v>
      </c>
      <c r="M4614" t="n">
        <v>0</v>
      </c>
      <c r="N4614" t="n">
        <v>0</v>
      </c>
      <c r="O4614" t="n">
        <v>0</v>
      </c>
      <c r="P4614" t="n">
        <v>0</v>
      </c>
      <c r="Q4614" t="n">
        <v>0</v>
      </c>
      <c r="R4614" s="2" t="inlineStr"/>
    </row>
    <row r="4615" ht="15" customHeight="1">
      <c r="A4615" t="inlineStr">
        <is>
          <t>A 2022-2023</t>
        </is>
      </c>
      <c r="B4615" s="1" t="n">
        <v>44937</v>
      </c>
      <c r="C4615" s="1" t="n">
        <v>45952</v>
      </c>
      <c r="D4615" t="inlineStr">
        <is>
          <t>VÄSTRA GÖTALANDS LÄN</t>
        </is>
      </c>
      <c r="E4615" t="inlineStr">
        <is>
          <t>SVENLJUNGA</t>
        </is>
      </c>
      <c r="G4615" t="n">
        <v>3.2</v>
      </c>
      <c r="H4615" t="n">
        <v>0</v>
      </c>
      <c r="I4615" t="n">
        <v>0</v>
      </c>
      <c r="J4615" t="n">
        <v>0</v>
      </c>
      <c r="K4615" t="n">
        <v>0</v>
      </c>
      <c r="L4615" t="n">
        <v>0</v>
      </c>
      <c r="M4615" t="n">
        <v>0</v>
      </c>
      <c r="N4615" t="n">
        <v>0</v>
      </c>
      <c r="O4615" t="n">
        <v>0</v>
      </c>
      <c r="P4615" t="n">
        <v>0</v>
      </c>
      <c r="Q4615" t="n">
        <v>0</v>
      </c>
      <c r="R4615" s="2" t="inlineStr"/>
    </row>
    <row r="4616" ht="15" customHeight="1">
      <c r="A4616" t="inlineStr">
        <is>
          <t>A 15019-2023</t>
        </is>
      </c>
      <c r="B4616" s="1" t="n">
        <v>45015</v>
      </c>
      <c r="C4616" s="1" t="n">
        <v>45952</v>
      </c>
      <c r="D4616" t="inlineStr">
        <is>
          <t>VÄSTRA GÖTALANDS LÄN</t>
        </is>
      </c>
      <c r="E4616" t="inlineStr">
        <is>
          <t>ALINGSÅS</t>
        </is>
      </c>
      <c r="G4616" t="n">
        <v>1.9</v>
      </c>
      <c r="H4616" t="n">
        <v>0</v>
      </c>
      <c r="I4616" t="n">
        <v>0</v>
      </c>
      <c r="J4616" t="n">
        <v>0</v>
      </c>
      <c r="K4616" t="n">
        <v>0</v>
      </c>
      <c r="L4616" t="n">
        <v>0</v>
      </c>
      <c r="M4616" t="n">
        <v>0</v>
      </c>
      <c r="N4616" t="n">
        <v>0</v>
      </c>
      <c r="O4616" t="n">
        <v>0</v>
      </c>
      <c r="P4616" t="n">
        <v>0</v>
      </c>
      <c r="Q4616" t="n">
        <v>0</v>
      </c>
      <c r="R4616" s="2" t="inlineStr"/>
    </row>
    <row r="4617" ht="15" customHeight="1">
      <c r="A4617" t="inlineStr">
        <is>
          <t>A 40064-2023</t>
        </is>
      </c>
      <c r="B4617" s="1" t="n">
        <v>45168.8190625</v>
      </c>
      <c r="C4617" s="1" t="n">
        <v>45952</v>
      </c>
      <c r="D4617" t="inlineStr">
        <is>
          <t>VÄSTRA GÖTALANDS LÄN</t>
        </is>
      </c>
      <c r="E4617" t="inlineStr">
        <is>
          <t>MELLERUD</t>
        </is>
      </c>
      <c r="G4617" t="n">
        <v>1.3</v>
      </c>
      <c r="H4617" t="n">
        <v>0</v>
      </c>
      <c r="I4617" t="n">
        <v>0</v>
      </c>
      <c r="J4617" t="n">
        <v>0</v>
      </c>
      <c r="K4617" t="n">
        <v>0</v>
      </c>
      <c r="L4617" t="n">
        <v>0</v>
      </c>
      <c r="M4617" t="n">
        <v>0</v>
      </c>
      <c r="N4617" t="n">
        <v>0</v>
      </c>
      <c r="O4617" t="n">
        <v>0</v>
      </c>
      <c r="P4617" t="n">
        <v>0</v>
      </c>
      <c r="Q4617" t="n">
        <v>0</v>
      </c>
      <c r="R4617" s="2" t="inlineStr"/>
    </row>
    <row r="4618" ht="15" customHeight="1">
      <c r="A4618" t="inlineStr">
        <is>
          <t>A 43350-2021</t>
        </is>
      </c>
      <c r="B4618" s="1" t="n">
        <v>44432</v>
      </c>
      <c r="C4618" s="1" t="n">
        <v>45952</v>
      </c>
      <c r="D4618" t="inlineStr">
        <is>
          <t>VÄSTRA GÖTALANDS LÄN</t>
        </is>
      </c>
      <c r="E4618" t="inlineStr">
        <is>
          <t>MARK</t>
        </is>
      </c>
      <c r="G4618" t="n">
        <v>4.9</v>
      </c>
      <c r="H4618" t="n">
        <v>0</v>
      </c>
      <c r="I4618" t="n">
        <v>0</v>
      </c>
      <c r="J4618" t="n">
        <v>0</v>
      </c>
      <c r="K4618" t="n">
        <v>0</v>
      </c>
      <c r="L4618" t="n">
        <v>0</v>
      </c>
      <c r="M4618" t="n">
        <v>0</v>
      </c>
      <c r="N4618" t="n">
        <v>0</v>
      </c>
      <c r="O4618" t="n">
        <v>0</v>
      </c>
      <c r="P4618" t="n">
        <v>0</v>
      </c>
      <c r="Q4618" t="n">
        <v>0</v>
      </c>
      <c r="R4618" s="2" t="inlineStr"/>
    </row>
    <row r="4619" ht="15" customHeight="1">
      <c r="A4619" t="inlineStr">
        <is>
          <t>A 51199-2024</t>
        </is>
      </c>
      <c r="B4619" s="1" t="n">
        <v>45603.61920138889</v>
      </c>
      <c r="C4619" s="1" t="n">
        <v>45952</v>
      </c>
      <c r="D4619" t="inlineStr">
        <is>
          <t>VÄSTRA GÖTALANDS LÄN</t>
        </is>
      </c>
      <c r="E4619" t="inlineStr">
        <is>
          <t>HERRLJUNGA</t>
        </is>
      </c>
      <c r="G4619" t="n">
        <v>4.1</v>
      </c>
      <c r="H4619" t="n">
        <v>0</v>
      </c>
      <c r="I4619" t="n">
        <v>0</v>
      </c>
      <c r="J4619" t="n">
        <v>0</v>
      </c>
      <c r="K4619" t="n">
        <v>0</v>
      </c>
      <c r="L4619" t="n">
        <v>0</v>
      </c>
      <c r="M4619" t="n">
        <v>0</v>
      </c>
      <c r="N4619" t="n">
        <v>0</v>
      </c>
      <c r="O4619" t="n">
        <v>0</v>
      </c>
      <c r="P4619" t="n">
        <v>0</v>
      </c>
      <c r="Q4619" t="n">
        <v>0</v>
      </c>
      <c r="R4619" s="2" t="inlineStr"/>
    </row>
    <row r="4620" ht="15" customHeight="1">
      <c r="A4620" t="inlineStr">
        <is>
          <t>A 69106-2020</t>
        </is>
      </c>
      <c r="B4620" s="1" t="n">
        <v>44187</v>
      </c>
      <c r="C4620" s="1" t="n">
        <v>45952</v>
      </c>
      <c r="D4620" t="inlineStr">
        <is>
          <t>VÄSTRA GÖTALANDS LÄN</t>
        </is>
      </c>
      <c r="E4620" t="inlineStr">
        <is>
          <t>SKÖVDE</t>
        </is>
      </c>
      <c r="F4620" t="inlineStr">
        <is>
          <t>Kommuner</t>
        </is>
      </c>
      <c r="G4620" t="n">
        <v>1.6</v>
      </c>
      <c r="H4620" t="n">
        <v>0</v>
      </c>
      <c r="I4620" t="n">
        <v>0</v>
      </c>
      <c r="J4620" t="n">
        <v>0</v>
      </c>
      <c r="K4620" t="n">
        <v>0</v>
      </c>
      <c r="L4620" t="n">
        <v>0</v>
      </c>
      <c r="M4620" t="n">
        <v>0</v>
      </c>
      <c r="N4620" t="n">
        <v>0</v>
      </c>
      <c r="O4620" t="n">
        <v>0</v>
      </c>
      <c r="P4620" t="n">
        <v>0</v>
      </c>
      <c r="Q4620" t="n">
        <v>0</v>
      </c>
      <c r="R4620" s="2" t="inlineStr"/>
    </row>
    <row r="4621" ht="15" customHeight="1">
      <c r="A4621" t="inlineStr">
        <is>
          <t>A 34547-2023</t>
        </is>
      </c>
      <c r="B4621" s="1" t="n">
        <v>45140.48737268519</v>
      </c>
      <c r="C4621" s="1" t="n">
        <v>45952</v>
      </c>
      <c r="D4621" t="inlineStr">
        <is>
          <t>VÄSTRA GÖTALANDS LÄN</t>
        </is>
      </c>
      <c r="E4621" t="inlineStr">
        <is>
          <t>TRANEMO</t>
        </is>
      </c>
      <c r="G4621" t="n">
        <v>2.8</v>
      </c>
      <c r="H4621" t="n">
        <v>0</v>
      </c>
      <c r="I4621" t="n">
        <v>0</v>
      </c>
      <c r="J4621" t="n">
        <v>0</v>
      </c>
      <c r="K4621" t="n">
        <v>0</v>
      </c>
      <c r="L4621" t="n">
        <v>0</v>
      </c>
      <c r="M4621" t="n">
        <v>0</v>
      </c>
      <c r="N4621" t="n">
        <v>0</v>
      </c>
      <c r="O4621" t="n">
        <v>0</v>
      </c>
      <c r="P4621" t="n">
        <v>0</v>
      </c>
      <c r="Q4621" t="n">
        <v>0</v>
      </c>
      <c r="R4621" s="2" t="inlineStr"/>
    </row>
    <row r="4622" ht="15" customHeight="1">
      <c r="A4622" t="inlineStr">
        <is>
          <t>A 2145-2025</t>
        </is>
      </c>
      <c r="B4622" s="1" t="n">
        <v>45672</v>
      </c>
      <c r="C4622" s="1" t="n">
        <v>45952</v>
      </c>
      <c r="D4622" t="inlineStr">
        <is>
          <t>VÄSTRA GÖTALANDS LÄN</t>
        </is>
      </c>
      <c r="E4622" t="inlineStr">
        <is>
          <t>TIDAHOLM</t>
        </is>
      </c>
      <c r="G4622" t="n">
        <v>1.8</v>
      </c>
      <c r="H4622" t="n">
        <v>0</v>
      </c>
      <c r="I4622" t="n">
        <v>0</v>
      </c>
      <c r="J4622" t="n">
        <v>0</v>
      </c>
      <c r="K4622" t="n">
        <v>0</v>
      </c>
      <c r="L4622" t="n">
        <v>0</v>
      </c>
      <c r="M4622" t="n">
        <v>0</v>
      </c>
      <c r="N4622" t="n">
        <v>0</v>
      </c>
      <c r="O4622" t="n">
        <v>0</v>
      </c>
      <c r="P4622" t="n">
        <v>0</v>
      </c>
      <c r="Q4622" t="n">
        <v>0</v>
      </c>
      <c r="R4622" s="2" t="inlineStr"/>
    </row>
    <row r="4623" ht="15" customHeight="1">
      <c r="A4623" t="inlineStr">
        <is>
          <t>A 30399-2023</t>
        </is>
      </c>
      <c r="B4623" s="1" t="n">
        <v>45111.474375</v>
      </c>
      <c r="C4623" s="1" t="n">
        <v>45952</v>
      </c>
      <c r="D4623" t="inlineStr">
        <is>
          <t>VÄSTRA GÖTALANDS LÄN</t>
        </is>
      </c>
      <c r="E4623" t="inlineStr">
        <is>
          <t>LIDKÖPING</t>
        </is>
      </c>
      <c r="G4623" t="n">
        <v>1.4</v>
      </c>
      <c r="H4623" t="n">
        <v>0</v>
      </c>
      <c r="I4623" t="n">
        <v>0</v>
      </c>
      <c r="J4623" t="n">
        <v>0</v>
      </c>
      <c r="K4623" t="n">
        <v>0</v>
      </c>
      <c r="L4623" t="n">
        <v>0</v>
      </c>
      <c r="M4623" t="n">
        <v>0</v>
      </c>
      <c r="N4623" t="n">
        <v>0</v>
      </c>
      <c r="O4623" t="n">
        <v>0</v>
      </c>
      <c r="P4623" t="n">
        <v>0</v>
      </c>
      <c r="Q4623" t="n">
        <v>0</v>
      </c>
      <c r="R4623" s="2" t="inlineStr"/>
    </row>
    <row r="4624" ht="15" customHeight="1">
      <c r="A4624" t="inlineStr">
        <is>
          <t>A 21883-2021</t>
        </is>
      </c>
      <c r="B4624" s="1" t="n">
        <v>44322</v>
      </c>
      <c r="C4624" s="1" t="n">
        <v>45952</v>
      </c>
      <c r="D4624" t="inlineStr">
        <is>
          <t>VÄSTRA GÖTALANDS LÄN</t>
        </is>
      </c>
      <c r="E4624" t="inlineStr">
        <is>
          <t>KUNGÄLV</t>
        </is>
      </c>
      <c r="G4624" t="n">
        <v>0.7</v>
      </c>
      <c r="H4624" t="n">
        <v>0</v>
      </c>
      <c r="I4624" t="n">
        <v>0</v>
      </c>
      <c r="J4624" t="n">
        <v>0</v>
      </c>
      <c r="K4624" t="n">
        <v>0</v>
      </c>
      <c r="L4624" t="n">
        <v>0</v>
      </c>
      <c r="M4624" t="n">
        <v>0</v>
      </c>
      <c r="N4624" t="n">
        <v>0</v>
      </c>
      <c r="O4624" t="n">
        <v>0</v>
      </c>
      <c r="P4624" t="n">
        <v>0</v>
      </c>
      <c r="Q4624" t="n">
        <v>0</v>
      </c>
      <c r="R4624" s="2" t="inlineStr"/>
    </row>
    <row r="4625" ht="15" customHeight="1">
      <c r="A4625" t="inlineStr">
        <is>
          <t>A 21899-2021</t>
        </is>
      </c>
      <c r="B4625" s="1" t="n">
        <v>44322</v>
      </c>
      <c r="C4625" s="1" t="n">
        <v>45952</v>
      </c>
      <c r="D4625" t="inlineStr">
        <is>
          <t>VÄSTRA GÖTALANDS LÄN</t>
        </is>
      </c>
      <c r="E4625" t="inlineStr">
        <is>
          <t>KUNGÄLV</t>
        </is>
      </c>
      <c r="G4625" t="n">
        <v>1</v>
      </c>
      <c r="H4625" t="n">
        <v>0</v>
      </c>
      <c r="I4625" t="n">
        <v>0</v>
      </c>
      <c r="J4625" t="n">
        <v>0</v>
      </c>
      <c r="K4625" t="n">
        <v>0</v>
      </c>
      <c r="L4625" t="n">
        <v>0</v>
      </c>
      <c r="M4625" t="n">
        <v>0</v>
      </c>
      <c r="N4625" t="n">
        <v>0</v>
      </c>
      <c r="O4625" t="n">
        <v>0</v>
      </c>
      <c r="P4625" t="n">
        <v>0</v>
      </c>
      <c r="Q4625" t="n">
        <v>0</v>
      </c>
      <c r="R4625" s="2" t="inlineStr"/>
    </row>
    <row r="4626" ht="15" customHeight="1">
      <c r="A4626" t="inlineStr">
        <is>
          <t>A 57766-2022</t>
        </is>
      </c>
      <c r="B4626" s="1" t="n">
        <v>44897</v>
      </c>
      <c r="C4626" s="1" t="n">
        <v>45952</v>
      </c>
      <c r="D4626" t="inlineStr">
        <is>
          <t>VÄSTRA GÖTALANDS LÄN</t>
        </is>
      </c>
      <c r="E4626" t="inlineStr">
        <is>
          <t>MARK</t>
        </is>
      </c>
      <c r="G4626" t="n">
        <v>0.6</v>
      </c>
      <c r="H4626" t="n">
        <v>0</v>
      </c>
      <c r="I4626" t="n">
        <v>0</v>
      </c>
      <c r="J4626" t="n">
        <v>0</v>
      </c>
      <c r="K4626" t="n">
        <v>0</v>
      </c>
      <c r="L4626" t="n">
        <v>0</v>
      </c>
      <c r="M4626" t="n">
        <v>0</v>
      </c>
      <c r="N4626" t="n">
        <v>0</v>
      </c>
      <c r="O4626" t="n">
        <v>0</v>
      </c>
      <c r="P4626" t="n">
        <v>0</v>
      </c>
      <c r="Q4626" t="n">
        <v>0</v>
      </c>
      <c r="R4626" s="2" t="inlineStr"/>
    </row>
    <row r="4627" ht="15" customHeight="1">
      <c r="A4627" t="inlineStr">
        <is>
          <t>A 21379-2023</t>
        </is>
      </c>
      <c r="B4627" s="1" t="n">
        <v>45063.34819444444</v>
      </c>
      <c r="C4627" s="1" t="n">
        <v>45952</v>
      </c>
      <c r="D4627" t="inlineStr">
        <is>
          <t>VÄSTRA GÖTALANDS LÄN</t>
        </is>
      </c>
      <c r="E4627" t="inlineStr">
        <is>
          <t>TJÖRN</t>
        </is>
      </c>
      <c r="G4627" t="n">
        <v>5.8</v>
      </c>
      <c r="H4627" t="n">
        <v>0</v>
      </c>
      <c r="I4627" t="n">
        <v>0</v>
      </c>
      <c r="J4627" t="n">
        <v>0</v>
      </c>
      <c r="K4627" t="n">
        <v>0</v>
      </c>
      <c r="L4627" t="n">
        <v>0</v>
      </c>
      <c r="M4627" t="n">
        <v>0</v>
      </c>
      <c r="N4627" t="n">
        <v>0</v>
      </c>
      <c r="O4627" t="n">
        <v>0</v>
      </c>
      <c r="P4627" t="n">
        <v>0</v>
      </c>
      <c r="Q4627" t="n">
        <v>0</v>
      </c>
      <c r="R4627" s="2" t="inlineStr"/>
    </row>
    <row r="4628" ht="15" customHeight="1">
      <c r="A4628" t="inlineStr">
        <is>
          <t>A 43573-2022</t>
        </is>
      </c>
      <c r="B4628" s="1" t="n">
        <v>44837.45231481481</v>
      </c>
      <c r="C4628" s="1" t="n">
        <v>45952</v>
      </c>
      <c r="D4628" t="inlineStr">
        <is>
          <t>VÄSTRA GÖTALANDS LÄN</t>
        </is>
      </c>
      <c r="E4628" t="inlineStr">
        <is>
          <t>BORÅS</t>
        </is>
      </c>
      <c r="G4628" t="n">
        <v>1.4</v>
      </c>
      <c r="H4628" t="n">
        <v>0</v>
      </c>
      <c r="I4628" t="n">
        <v>0</v>
      </c>
      <c r="J4628" t="n">
        <v>0</v>
      </c>
      <c r="K4628" t="n">
        <v>0</v>
      </c>
      <c r="L4628" t="n">
        <v>0</v>
      </c>
      <c r="M4628" t="n">
        <v>0</v>
      </c>
      <c r="N4628" t="n">
        <v>0</v>
      </c>
      <c r="O4628" t="n">
        <v>0</v>
      </c>
      <c r="P4628" t="n">
        <v>0</v>
      </c>
      <c r="Q4628" t="n">
        <v>0</v>
      </c>
      <c r="R4628" s="2" t="inlineStr"/>
    </row>
    <row r="4629" ht="15" customHeight="1">
      <c r="A4629" t="inlineStr">
        <is>
          <t>A 58982-2024</t>
        </is>
      </c>
      <c r="B4629" s="1" t="n">
        <v>45636.61945601852</v>
      </c>
      <c r="C4629" s="1" t="n">
        <v>45952</v>
      </c>
      <c r="D4629" t="inlineStr">
        <is>
          <t>VÄSTRA GÖTALANDS LÄN</t>
        </is>
      </c>
      <c r="E4629" t="inlineStr">
        <is>
          <t>BENGTSFORS</t>
        </is>
      </c>
      <c r="G4629" t="n">
        <v>0.9</v>
      </c>
      <c r="H4629" t="n">
        <v>0</v>
      </c>
      <c r="I4629" t="n">
        <v>0</v>
      </c>
      <c r="J4629" t="n">
        <v>0</v>
      </c>
      <c r="K4629" t="n">
        <v>0</v>
      </c>
      <c r="L4629" t="n">
        <v>0</v>
      </c>
      <c r="M4629" t="n">
        <v>0</v>
      </c>
      <c r="N4629" t="n">
        <v>0</v>
      </c>
      <c r="O4629" t="n">
        <v>0</v>
      </c>
      <c r="P4629" t="n">
        <v>0</v>
      </c>
      <c r="Q4629" t="n">
        <v>0</v>
      </c>
      <c r="R4629" s="2" t="inlineStr"/>
    </row>
    <row r="4630" ht="15" customHeight="1">
      <c r="A4630" t="inlineStr">
        <is>
          <t>A 33209-2023</t>
        </is>
      </c>
      <c r="B4630" s="1" t="n">
        <v>45127</v>
      </c>
      <c r="C4630" s="1" t="n">
        <v>45952</v>
      </c>
      <c r="D4630" t="inlineStr">
        <is>
          <t>VÄSTRA GÖTALANDS LÄN</t>
        </is>
      </c>
      <c r="E4630" t="inlineStr">
        <is>
          <t>LIDKÖPING</t>
        </is>
      </c>
      <c r="G4630" t="n">
        <v>0.9</v>
      </c>
      <c r="H4630" t="n">
        <v>0</v>
      </c>
      <c r="I4630" t="n">
        <v>0</v>
      </c>
      <c r="J4630" t="n">
        <v>0</v>
      </c>
      <c r="K4630" t="n">
        <v>0</v>
      </c>
      <c r="L4630" t="n">
        <v>0</v>
      </c>
      <c r="M4630" t="n">
        <v>0</v>
      </c>
      <c r="N4630" t="n">
        <v>0</v>
      </c>
      <c r="O4630" t="n">
        <v>0</v>
      </c>
      <c r="P4630" t="n">
        <v>0</v>
      </c>
      <c r="Q4630" t="n">
        <v>0</v>
      </c>
      <c r="R4630" s="2" t="inlineStr"/>
    </row>
    <row r="4631" ht="15" customHeight="1">
      <c r="A4631" t="inlineStr">
        <is>
          <t>A 3520-2022</t>
        </is>
      </c>
      <c r="B4631" s="1" t="n">
        <v>44585.72818287037</v>
      </c>
      <c r="C4631" s="1" t="n">
        <v>45952</v>
      </c>
      <c r="D4631" t="inlineStr">
        <is>
          <t>VÄSTRA GÖTALANDS LÄN</t>
        </is>
      </c>
      <c r="E4631" t="inlineStr">
        <is>
          <t>ALE</t>
        </is>
      </c>
      <c r="G4631" t="n">
        <v>2.3</v>
      </c>
      <c r="H4631" t="n">
        <v>0</v>
      </c>
      <c r="I4631" t="n">
        <v>0</v>
      </c>
      <c r="J4631" t="n">
        <v>0</v>
      </c>
      <c r="K4631" t="n">
        <v>0</v>
      </c>
      <c r="L4631" t="n">
        <v>0</v>
      </c>
      <c r="M4631" t="n">
        <v>0</v>
      </c>
      <c r="N4631" t="n">
        <v>0</v>
      </c>
      <c r="O4631" t="n">
        <v>0</v>
      </c>
      <c r="P4631" t="n">
        <v>0</v>
      </c>
      <c r="Q4631" t="n">
        <v>0</v>
      </c>
      <c r="R4631" s="2" t="inlineStr"/>
    </row>
    <row r="4632" ht="15" customHeight="1">
      <c r="A4632" t="inlineStr">
        <is>
          <t>A 29811-2024</t>
        </is>
      </c>
      <c r="B4632" s="1" t="n">
        <v>45485.53962962963</v>
      </c>
      <c r="C4632" s="1" t="n">
        <v>45952</v>
      </c>
      <c r="D4632" t="inlineStr">
        <is>
          <t>VÄSTRA GÖTALANDS LÄN</t>
        </is>
      </c>
      <c r="E4632" t="inlineStr">
        <is>
          <t>SVENLJUNGA</t>
        </is>
      </c>
      <c r="G4632" t="n">
        <v>5.7</v>
      </c>
      <c r="H4632" t="n">
        <v>0</v>
      </c>
      <c r="I4632" t="n">
        <v>0</v>
      </c>
      <c r="J4632" t="n">
        <v>0</v>
      </c>
      <c r="K4632" t="n">
        <v>0</v>
      </c>
      <c r="L4632" t="n">
        <v>0</v>
      </c>
      <c r="M4632" t="n">
        <v>0</v>
      </c>
      <c r="N4632" t="n">
        <v>0</v>
      </c>
      <c r="O4632" t="n">
        <v>0</v>
      </c>
      <c r="P4632" t="n">
        <v>0</v>
      </c>
      <c r="Q4632" t="n">
        <v>0</v>
      </c>
      <c r="R4632" s="2" t="inlineStr"/>
    </row>
    <row r="4633" ht="15" customHeight="1">
      <c r="A4633" t="inlineStr">
        <is>
          <t>A 29813-2024</t>
        </is>
      </c>
      <c r="B4633" s="1" t="n">
        <v>45485.54233796296</v>
      </c>
      <c r="C4633" s="1" t="n">
        <v>45952</v>
      </c>
      <c r="D4633" t="inlineStr">
        <is>
          <t>VÄSTRA GÖTALANDS LÄN</t>
        </is>
      </c>
      <c r="E4633" t="inlineStr">
        <is>
          <t>SVENLJUNGA</t>
        </is>
      </c>
      <c r="G4633" t="n">
        <v>7.3</v>
      </c>
      <c r="H4633" t="n">
        <v>0</v>
      </c>
      <c r="I4633" t="n">
        <v>0</v>
      </c>
      <c r="J4633" t="n">
        <v>0</v>
      </c>
      <c r="K4633" t="n">
        <v>0</v>
      </c>
      <c r="L4633" t="n">
        <v>0</v>
      </c>
      <c r="M4633" t="n">
        <v>0</v>
      </c>
      <c r="N4633" t="n">
        <v>0</v>
      </c>
      <c r="O4633" t="n">
        <v>0</v>
      </c>
      <c r="P4633" t="n">
        <v>0</v>
      </c>
      <c r="Q4633" t="n">
        <v>0</v>
      </c>
      <c r="R4633" s="2" t="inlineStr"/>
    </row>
    <row r="4634" ht="15" customHeight="1">
      <c r="A4634" t="inlineStr">
        <is>
          <t>A 37106-2023</t>
        </is>
      </c>
      <c r="B4634" s="1" t="n">
        <v>45155</v>
      </c>
      <c r="C4634" s="1" t="n">
        <v>45952</v>
      </c>
      <c r="D4634" t="inlineStr">
        <is>
          <t>VÄSTRA GÖTALANDS LÄN</t>
        </is>
      </c>
      <c r="E4634" t="inlineStr">
        <is>
          <t>TANUM</t>
        </is>
      </c>
      <c r="G4634" t="n">
        <v>1</v>
      </c>
      <c r="H4634" t="n">
        <v>0</v>
      </c>
      <c r="I4634" t="n">
        <v>0</v>
      </c>
      <c r="J4634" t="n">
        <v>0</v>
      </c>
      <c r="K4634" t="n">
        <v>0</v>
      </c>
      <c r="L4634" t="n">
        <v>0</v>
      </c>
      <c r="M4634" t="n">
        <v>0</v>
      </c>
      <c r="N4634" t="n">
        <v>0</v>
      </c>
      <c r="O4634" t="n">
        <v>0</v>
      </c>
      <c r="P4634" t="n">
        <v>0</v>
      </c>
      <c r="Q4634" t="n">
        <v>0</v>
      </c>
      <c r="R4634" s="2" t="inlineStr"/>
    </row>
    <row r="4635" ht="15" customHeight="1">
      <c r="A4635" t="inlineStr">
        <is>
          <t>A 37197-2023</t>
        </is>
      </c>
      <c r="B4635" s="1" t="n">
        <v>45155.66857638889</v>
      </c>
      <c r="C4635" s="1" t="n">
        <v>45952</v>
      </c>
      <c r="D4635" t="inlineStr">
        <is>
          <t>VÄSTRA GÖTALANDS LÄN</t>
        </is>
      </c>
      <c r="E4635" t="inlineStr">
        <is>
          <t>GULLSPÅNG</t>
        </is>
      </c>
      <c r="G4635" t="n">
        <v>1.2</v>
      </c>
      <c r="H4635" t="n">
        <v>0</v>
      </c>
      <c r="I4635" t="n">
        <v>0</v>
      </c>
      <c r="J4635" t="n">
        <v>0</v>
      </c>
      <c r="K4635" t="n">
        <v>0</v>
      </c>
      <c r="L4635" t="n">
        <v>0</v>
      </c>
      <c r="M4635" t="n">
        <v>0</v>
      </c>
      <c r="N4635" t="n">
        <v>0</v>
      </c>
      <c r="O4635" t="n">
        <v>0</v>
      </c>
      <c r="P4635" t="n">
        <v>0</v>
      </c>
      <c r="Q4635" t="n">
        <v>0</v>
      </c>
      <c r="R4635" s="2" t="inlineStr"/>
    </row>
    <row r="4636" ht="15" customHeight="1">
      <c r="A4636" t="inlineStr">
        <is>
          <t>A 52673-2023</t>
        </is>
      </c>
      <c r="B4636" s="1" t="n">
        <v>45219</v>
      </c>
      <c r="C4636" s="1" t="n">
        <v>45952</v>
      </c>
      <c r="D4636" t="inlineStr">
        <is>
          <t>VÄSTRA GÖTALANDS LÄN</t>
        </is>
      </c>
      <c r="E4636" t="inlineStr">
        <is>
          <t>MARK</t>
        </is>
      </c>
      <c r="G4636" t="n">
        <v>0.5</v>
      </c>
      <c r="H4636" t="n">
        <v>0</v>
      </c>
      <c r="I4636" t="n">
        <v>0</v>
      </c>
      <c r="J4636" t="n">
        <v>0</v>
      </c>
      <c r="K4636" t="n">
        <v>0</v>
      </c>
      <c r="L4636" t="n">
        <v>0</v>
      </c>
      <c r="M4636" t="n">
        <v>0</v>
      </c>
      <c r="N4636" t="n">
        <v>0</v>
      </c>
      <c r="O4636" t="n">
        <v>0</v>
      </c>
      <c r="P4636" t="n">
        <v>0</v>
      </c>
      <c r="Q4636" t="n">
        <v>0</v>
      </c>
      <c r="R4636" s="2" t="inlineStr"/>
    </row>
    <row r="4637" ht="15" customHeight="1">
      <c r="A4637" t="inlineStr">
        <is>
          <t>A 58905-2024</t>
        </is>
      </c>
      <c r="B4637" s="1" t="n">
        <v>45636.47851851852</v>
      </c>
      <c r="C4637" s="1" t="n">
        <v>45952</v>
      </c>
      <c r="D4637" t="inlineStr">
        <is>
          <t>VÄSTRA GÖTALANDS LÄN</t>
        </is>
      </c>
      <c r="E4637" t="inlineStr">
        <is>
          <t>SVENLJUNGA</t>
        </is>
      </c>
      <c r="G4637" t="n">
        <v>1</v>
      </c>
      <c r="H4637" t="n">
        <v>0</v>
      </c>
      <c r="I4637" t="n">
        <v>0</v>
      </c>
      <c r="J4637" t="n">
        <v>0</v>
      </c>
      <c r="K4637" t="n">
        <v>0</v>
      </c>
      <c r="L4637" t="n">
        <v>0</v>
      </c>
      <c r="M4637" t="n">
        <v>0</v>
      </c>
      <c r="N4637" t="n">
        <v>0</v>
      </c>
      <c r="O4637" t="n">
        <v>0</v>
      </c>
      <c r="P4637" t="n">
        <v>0</v>
      </c>
      <c r="Q4637" t="n">
        <v>0</v>
      </c>
      <c r="R4637" s="2" t="inlineStr"/>
    </row>
    <row r="4638" ht="15" customHeight="1">
      <c r="A4638" t="inlineStr">
        <is>
          <t>A 60310-2020</t>
        </is>
      </c>
      <c r="B4638" s="1" t="n">
        <v>44152</v>
      </c>
      <c r="C4638" s="1" t="n">
        <v>45952</v>
      </c>
      <c r="D4638" t="inlineStr">
        <is>
          <t>VÄSTRA GÖTALANDS LÄN</t>
        </is>
      </c>
      <c r="E4638" t="inlineStr">
        <is>
          <t>TROLLHÄTTAN</t>
        </is>
      </c>
      <c r="G4638" t="n">
        <v>1.5</v>
      </c>
      <c r="H4638" t="n">
        <v>0</v>
      </c>
      <c r="I4638" t="n">
        <v>0</v>
      </c>
      <c r="J4638" t="n">
        <v>0</v>
      </c>
      <c r="K4638" t="n">
        <v>0</v>
      </c>
      <c r="L4638" t="n">
        <v>0</v>
      </c>
      <c r="M4638" t="n">
        <v>0</v>
      </c>
      <c r="N4638" t="n">
        <v>0</v>
      </c>
      <c r="O4638" t="n">
        <v>0</v>
      </c>
      <c r="P4638" t="n">
        <v>0</v>
      </c>
      <c r="Q4638" t="n">
        <v>0</v>
      </c>
      <c r="R4638" s="2" t="inlineStr"/>
    </row>
    <row r="4639" ht="15" customHeight="1">
      <c r="A4639" t="inlineStr">
        <is>
          <t>A 47360-2024</t>
        </is>
      </c>
      <c r="B4639" s="1" t="n">
        <v>45587.43553240741</v>
      </c>
      <c r="C4639" s="1" t="n">
        <v>45952</v>
      </c>
      <c r="D4639" t="inlineStr">
        <is>
          <t>VÄSTRA GÖTALANDS LÄN</t>
        </is>
      </c>
      <c r="E4639" t="inlineStr">
        <is>
          <t>HERRLJUNGA</t>
        </is>
      </c>
      <c r="G4639" t="n">
        <v>9.800000000000001</v>
      </c>
      <c r="H4639" t="n">
        <v>0</v>
      </c>
      <c r="I4639" t="n">
        <v>0</v>
      </c>
      <c r="J4639" t="n">
        <v>0</v>
      </c>
      <c r="K4639" t="n">
        <v>0</v>
      </c>
      <c r="L4639" t="n">
        <v>0</v>
      </c>
      <c r="M4639" t="n">
        <v>0</v>
      </c>
      <c r="N4639" t="n">
        <v>0</v>
      </c>
      <c r="O4639" t="n">
        <v>0</v>
      </c>
      <c r="P4639" t="n">
        <v>0</v>
      </c>
      <c r="Q4639" t="n">
        <v>0</v>
      </c>
      <c r="R4639" s="2" t="inlineStr"/>
    </row>
    <row r="4640" ht="15" customHeight="1">
      <c r="A4640" t="inlineStr">
        <is>
          <t>A 23238-2024</t>
        </is>
      </c>
      <c r="B4640" s="1" t="n">
        <v>45453.33143518519</v>
      </c>
      <c r="C4640" s="1" t="n">
        <v>45952</v>
      </c>
      <c r="D4640" t="inlineStr">
        <is>
          <t>VÄSTRA GÖTALANDS LÄN</t>
        </is>
      </c>
      <c r="E4640" t="inlineStr">
        <is>
          <t>MELLERUD</t>
        </is>
      </c>
      <c r="G4640" t="n">
        <v>1.7</v>
      </c>
      <c r="H4640" t="n">
        <v>0</v>
      </c>
      <c r="I4640" t="n">
        <v>0</v>
      </c>
      <c r="J4640" t="n">
        <v>0</v>
      </c>
      <c r="K4640" t="n">
        <v>0</v>
      </c>
      <c r="L4640" t="n">
        <v>0</v>
      </c>
      <c r="M4640" t="n">
        <v>0</v>
      </c>
      <c r="N4640" t="n">
        <v>0</v>
      </c>
      <c r="O4640" t="n">
        <v>0</v>
      </c>
      <c r="P4640" t="n">
        <v>0</v>
      </c>
      <c r="Q4640" t="n">
        <v>0</v>
      </c>
      <c r="R4640" s="2" t="inlineStr"/>
    </row>
    <row r="4641" ht="15" customHeight="1">
      <c r="A4641" t="inlineStr">
        <is>
          <t>A 13372-2025</t>
        </is>
      </c>
      <c r="B4641" s="1" t="n">
        <v>45735.66385416667</v>
      </c>
      <c r="C4641" s="1" t="n">
        <v>45952</v>
      </c>
      <c r="D4641" t="inlineStr">
        <is>
          <t>VÄSTRA GÖTALANDS LÄN</t>
        </is>
      </c>
      <c r="E4641" t="inlineStr">
        <is>
          <t>SVENLJUNGA</t>
        </is>
      </c>
      <c r="G4641" t="n">
        <v>1.6</v>
      </c>
      <c r="H4641" t="n">
        <v>0</v>
      </c>
      <c r="I4641" t="n">
        <v>0</v>
      </c>
      <c r="J4641" t="n">
        <v>0</v>
      </c>
      <c r="K4641" t="n">
        <v>0</v>
      </c>
      <c r="L4641" t="n">
        <v>0</v>
      </c>
      <c r="M4641" t="n">
        <v>0</v>
      </c>
      <c r="N4641" t="n">
        <v>0</v>
      </c>
      <c r="O4641" t="n">
        <v>0</v>
      </c>
      <c r="P4641" t="n">
        <v>0</v>
      </c>
      <c r="Q4641" t="n">
        <v>0</v>
      </c>
      <c r="R4641" s="2" t="inlineStr"/>
    </row>
    <row r="4642" ht="15" customHeight="1">
      <c r="A4642" t="inlineStr">
        <is>
          <t>A 633-2025</t>
        </is>
      </c>
      <c r="B4642" s="1" t="n">
        <v>45664.63055555556</v>
      </c>
      <c r="C4642" s="1" t="n">
        <v>45952</v>
      </c>
      <c r="D4642" t="inlineStr">
        <is>
          <t>VÄSTRA GÖTALANDS LÄN</t>
        </is>
      </c>
      <c r="E4642" t="inlineStr">
        <is>
          <t>MARIESTAD</t>
        </is>
      </c>
      <c r="G4642" t="n">
        <v>8.9</v>
      </c>
      <c r="H4642" t="n">
        <v>0</v>
      </c>
      <c r="I4642" t="n">
        <v>0</v>
      </c>
      <c r="J4642" t="n">
        <v>0</v>
      </c>
      <c r="K4642" t="n">
        <v>0</v>
      </c>
      <c r="L4642" t="n">
        <v>0</v>
      </c>
      <c r="M4642" t="n">
        <v>0</v>
      </c>
      <c r="N4642" t="n">
        <v>0</v>
      </c>
      <c r="O4642" t="n">
        <v>0</v>
      </c>
      <c r="P4642" t="n">
        <v>0</v>
      </c>
      <c r="Q4642" t="n">
        <v>0</v>
      </c>
      <c r="R4642" s="2" t="inlineStr"/>
    </row>
    <row r="4643" ht="15" customHeight="1">
      <c r="A4643" t="inlineStr">
        <is>
          <t>A 790-2024</t>
        </is>
      </c>
      <c r="B4643" s="1" t="n">
        <v>45300</v>
      </c>
      <c r="C4643" s="1" t="n">
        <v>45952</v>
      </c>
      <c r="D4643" t="inlineStr">
        <is>
          <t>VÄSTRA GÖTALANDS LÄN</t>
        </is>
      </c>
      <c r="E4643" t="inlineStr">
        <is>
          <t>LERUM</t>
        </is>
      </c>
      <c r="G4643" t="n">
        <v>0.4</v>
      </c>
      <c r="H4643" t="n">
        <v>0</v>
      </c>
      <c r="I4643" t="n">
        <v>0</v>
      </c>
      <c r="J4643" t="n">
        <v>0</v>
      </c>
      <c r="K4643" t="n">
        <v>0</v>
      </c>
      <c r="L4643" t="n">
        <v>0</v>
      </c>
      <c r="M4643" t="n">
        <v>0</v>
      </c>
      <c r="N4643" t="n">
        <v>0</v>
      </c>
      <c r="O4643" t="n">
        <v>0</v>
      </c>
      <c r="P4643" t="n">
        <v>0</v>
      </c>
      <c r="Q4643" t="n">
        <v>0</v>
      </c>
      <c r="R4643" s="2" t="inlineStr"/>
    </row>
    <row r="4644" ht="15" customHeight="1">
      <c r="A4644" t="inlineStr">
        <is>
          <t>A 33587-2021</t>
        </is>
      </c>
      <c r="B4644" s="1" t="n">
        <v>44378</v>
      </c>
      <c r="C4644" s="1" t="n">
        <v>45952</v>
      </c>
      <c r="D4644" t="inlineStr">
        <is>
          <t>VÄSTRA GÖTALANDS LÄN</t>
        </is>
      </c>
      <c r="E4644" t="inlineStr">
        <is>
          <t>TROLLHÄTTAN</t>
        </is>
      </c>
      <c r="G4644" t="n">
        <v>2</v>
      </c>
      <c r="H4644" t="n">
        <v>0</v>
      </c>
      <c r="I4644" t="n">
        <v>0</v>
      </c>
      <c r="J4644" t="n">
        <v>0</v>
      </c>
      <c r="K4644" t="n">
        <v>0</v>
      </c>
      <c r="L4644" t="n">
        <v>0</v>
      </c>
      <c r="M4644" t="n">
        <v>0</v>
      </c>
      <c r="N4644" t="n">
        <v>0</v>
      </c>
      <c r="O4644" t="n">
        <v>0</v>
      </c>
      <c r="P4644" t="n">
        <v>0</v>
      </c>
      <c r="Q4644" t="n">
        <v>0</v>
      </c>
      <c r="R4644" s="2" t="inlineStr"/>
    </row>
    <row r="4645" ht="15" customHeight="1">
      <c r="A4645" t="inlineStr">
        <is>
          <t>A 604-2024</t>
        </is>
      </c>
      <c r="B4645" s="1" t="n">
        <v>45299</v>
      </c>
      <c r="C4645" s="1" t="n">
        <v>45952</v>
      </c>
      <c r="D4645" t="inlineStr">
        <is>
          <t>VÄSTRA GÖTALANDS LÄN</t>
        </is>
      </c>
      <c r="E4645" t="inlineStr">
        <is>
          <t>MARK</t>
        </is>
      </c>
      <c r="G4645" t="n">
        <v>0.5</v>
      </c>
      <c r="H4645" t="n">
        <v>0</v>
      </c>
      <c r="I4645" t="n">
        <v>0</v>
      </c>
      <c r="J4645" t="n">
        <v>0</v>
      </c>
      <c r="K4645" t="n">
        <v>0</v>
      </c>
      <c r="L4645" t="n">
        <v>0</v>
      </c>
      <c r="M4645" t="n">
        <v>0</v>
      </c>
      <c r="N4645" t="n">
        <v>0</v>
      </c>
      <c r="O4645" t="n">
        <v>0</v>
      </c>
      <c r="P4645" t="n">
        <v>0</v>
      </c>
      <c r="Q4645" t="n">
        <v>0</v>
      </c>
      <c r="R4645" s="2" t="inlineStr"/>
    </row>
    <row r="4646" ht="15" customHeight="1">
      <c r="A4646" t="inlineStr">
        <is>
          <t>A 8099-2024</t>
        </is>
      </c>
      <c r="B4646" s="1" t="n">
        <v>45351.46194444445</v>
      </c>
      <c r="C4646" s="1" t="n">
        <v>45952</v>
      </c>
      <c r="D4646" t="inlineStr">
        <is>
          <t>VÄSTRA GÖTALANDS LÄN</t>
        </is>
      </c>
      <c r="E4646" t="inlineStr">
        <is>
          <t>TROLLHÄTTAN</t>
        </is>
      </c>
      <c r="G4646" t="n">
        <v>1.3</v>
      </c>
      <c r="H4646" t="n">
        <v>0</v>
      </c>
      <c r="I4646" t="n">
        <v>0</v>
      </c>
      <c r="J4646" t="n">
        <v>0</v>
      </c>
      <c r="K4646" t="n">
        <v>0</v>
      </c>
      <c r="L4646" t="n">
        <v>0</v>
      </c>
      <c r="M4646" t="n">
        <v>0</v>
      </c>
      <c r="N4646" t="n">
        <v>0</v>
      </c>
      <c r="O4646" t="n">
        <v>0</v>
      </c>
      <c r="P4646" t="n">
        <v>0</v>
      </c>
      <c r="Q4646" t="n">
        <v>0</v>
      </c>
      <c r="R4646" s="2" t="inlineStr"/>
    </row>
    <row r="4647" ht="15" customHeight="1">
      <c r="A4647" t="inlineStr">
        <is>
          <t>A 40988-2023</t>
        </is>
      </c>
      <c r="B4647" s="1" t="n">
        <v>45173.51109953703</v>
      </c>
      <c r="C4647" s="1" t="n">
        <v>45952</v>
      </c>
      <c r="D4647" t="inlineStr">
        <is>
          <t>VÄSTRA GÖTALANDS LÄN</t>
        </is>
      </c>
      <c r="E4647" t="inlineStr">
        <is>
          <t>ULRICEHAMN</t>
        </is>
      </c>
      <c r="G4647" t="n">
        <v>1.4</v>
      </c>
      <c r="H4647" t="n">
        <v>0</v>
      </c>
      <c r="I4647" t="n">
        <v>0</v>
      </c>
      <c r="J4647" t="n">
        <v>0</v>
      </c>
      <c r="K4647" t="n">
        <v>0</v>
      </c>
      <c r="L4647" t="n">
        <v>0</v>
      </c>
      <c r="M4647" t="n">
        <v>0</v>
      </c>
      <c r="N4647" t="n">
        <v>0</v>
      </c>
      <c r="O4647" t="n">
        <v>0</v>
      </c>
      <c r="P4647" t="n">
        <v>0</v>
      </c>
      <c r="Q4647" t="n">
        <v>0</v>
      </c>
      <c r="R4647" s="2" t="inlineStr"/>
    </row>
    <row r="4648" ht="15" customHeight="1">
      <c r="A4648" t="inlineStr">
        <is>
          <t>A 40026-2024</t>
        </is>
      </c>
      <c r="B4648" s="1" t="n">
        <v>45553.68366898148</v>
      </c>
      <c r="C4648" s="1" t="n">
        <v>45952</v>
      </c>
      <c r="D4648" t="inlineStr">
        <is>
          <t>VÄSTRA GÖTALANDS LÄN</t>
        </is>
      </c>
      <c r="E4648" t="inlineStr">
        <is>
          <t>UDDEVALLA</t>
        </is>
      </c>
      <c r="G4648" t="n">
        <v>1.3</v>
      </c>
      <c r="H4648" t="n">
        <v>0</v>
      </c>
      <c r="I4648" t="n">
        <v>0</v>
      </c>
      <c r="J4648" t="n">
        <v>0</v>
      </c>
      <c r="K4648" t="n">
        <v>0</v>
      </c>
      <c r="L4648" t="n">
        <v>0</v>
      </c>
      <c r="M4648" t="n">
        <v>0</v>
      </c>
      <c r="N4648" t="n">
        <v>0</v>
      </c>
      <c r="O4648" t="n">
        <v>0</v>
      </c>
      <c r="P4648" t="n">
        <v>0</v>
      </c>
      <c r="Q4648" t="n">
        <v>0</v>
      </c>
      <c r="R4648" s="2" t="inlineStr"/>
    </row>
    <row r="4649" ht="15" customHeight="1">
      <c r="A4649" t="inlineStr">
        <is>
          <t>A 40092-2024</t>
        </is>
      </c>
      <c r="B4649" s="1" t="n">
        <v>45554.3884375</v>
      </c>
      <c r="C4649" s="1" t="n">
        <v>45952</v>
      </c>
      <c r="D4649" t="inlineStr">
        <is>
          <t>VÄSTRA GÖTALANDS LÄN</t>
        </is>
      </c>
      <c r="E4649" t="inlineStr">
        <is>
          <t>LILLA EDET</t>
        </is>
      </c>
      <c r="G4649" t="n">
        <v>1.7</v>
      </c>
      <c r="H4649" t="n">
        <v>0</v>
      </c>
      <c r="I4649" t="n">
        <v>0</v>
      </c>
      <c r="J4649" t="n">
        <v>0</v>
      </c>
      <c r="K4649" t="n">
        <v>0</v>
      </c>
      <c r="L4649" t="n">
        <v>0</v>
      </c>
      <c r="M4649" t="n">
        <v>0</v>
      </c>
      <c r="N4649" t="n">
        <v>0</v>
      </c>
      <c r="O4649" t="n">
        <v>0</v>
      </c>
      <c r="P4649" t="n">
        <v>0</v>
      </c>
      <c r="Q4649" t="n">
        <v>0</v>
      </c>
      <c r="R4649" s="2" t="inlineStr"/>
    </row>
    <row r="4650" ht="15" customHeight="1">
      <c r="A4650" t="inlineStr">
        <is>
          <t>A 21751-2023</t>
        </is>
      </c>
      <c r="B4650" s="1" t="n">
        <v>45063</v>
      </c>
      <c r="C4650" s="1" t="n">
        <v>45952</v>
      </c>
      <c r="D4650" t="inlineStr">
        <is>
          <t>VÄSTRA GÖTALANDS LÄN</t>
        </is>
      </c>
      <c r="E4650" t="inlineStr">
        <is>
          <t>TANUM</t>
        </is>
      </c>
      <c r="F4650" t="inlineStr">
        <is>
          <t>Kyrkan</t>
        </is>
      </c>
      <c r="G4650" t="n">
        <v>3.5</v>
      </c>
      <c r="H4650" t="n">
        <v>0</v>
      </c>
      <c r="I4650" t="n">
        <v>0</v>
      </c>
      <c r="J4650" t="n">
        <v>0</v>
      </c>
      <c r="K4650" t="n">
        <v>0</v>
      </c>
      <c r="L4650" t="n">
        <v>0</v>
      </c>
      <c r="M4650" t="n">
        <v>0</v>
      </c>
      <c r="N4650" t="n">
        <v>0</v>
      </c>
      <c r="O4650" t="n">
        <v>0</v>
      </c>
      <c r="P4650" t="n">
        <v>0</v>
      </c>
      <c r="Q4650" t="n">
        <v>0</v>
      </c>
      <c r="R4650" s="2" t="inlineStr"/>
    </row>
    <row r="4651" ht="15" customHeight="1">
      <c r="A4651" t="inlineStr">
        <is>
          <t>A 14225-2022</t>
        </is>
      </c>
      <c r="B4651" s="1" t="n">
        <v>44651.6403587963</v>
      </c>
      <c r="C4651" s="1" t="n">
        <v>45952</v>
      </c>
      <c r="D4651" t="inlineStr">
        <is>
          <t>VÄSTRA GÖTALANDS LÄN</t>
        </is>
      </c>
      <c r="E4651" t="inlineStr">
        <is>
          <t>ÅMÅL</t>
        </is>
      </c>
      <c r="G4651" t="n">
        <v>1.3</v>
      </c>
      <c r="H4651" t="n">
        <v>0</v>
      </c>
      <c r="I4651" t="n">
        <v>0</v>
      </c>
      <c r="J4651" t="n">
        <v>0</v>
      </c>
      <c r="K4651" t="n">
        <v>0</v>
      </c>
      <c r="L4651" t="n">
        <v>0</v>
      </c>
      <c r="M4651" t="n">
        <v>0</v>
      </c>
      <c r="N4651" t="n">
        <v>0</v>
      </c>
      <c r="O4651" t="n">
        <v>0</v>
      </c>
      <c r="P4651" t="n">
        <v>0</v>
      </c>
      <c r="Q4651" t="n">
        <v>0</v>
      </c>
      <c r="R4651" s="2" t="inlineStr"/>
    </row>
    <row r="4652" ht="15" customHeight="1">
      <c r="A4652" t="inlineStr">
        <is>
          <t>A 13178-2023</t>
        </is>
      </c>
      <c r="B4652" s="1" t="n">
        <v>45002</v>
      </c>
      <c r="C4652" s="1" t="n">
        <v>45952</v>
      </c>
      <c r="D4652" t="inlineStr">
        <is>
          <t>VÄSTRA GÖTALANDS LÄN</t>
        </is>
      </c>
      <c r="E4652" t="inlineStr">
        <is>
          <t>SKÖVDE</t>
        </is>
      </c>
      <c r="G4652" t="n">
        <v>1.9</v>
      </c>
      <c r="H4652" t="n">
        <v>0</v>
      </c>
      <c r="I4652" t="n">
        <v>0</v>
      </c>
      <c r="J4652" t="n">
        <v>0</v>
      </c>
      <c r="K4652" t="n">
        <v>0</v>
      </c>
      <c r="L4652" t="n">
        <v>0</v>
      </c>
      <c r="M4652" t="n">
        <v>0</v>
      </c>
      <c r="N4652" t="n">
        <v>0</v>
      </c>
      <c r="O4652" t="n">
        <v>0</v>
      </c>
      <c r="P4652" t="n">
        <v>0</v>
      </c>
      <c r="Q4652" t="n">
        <v>0</v>
      </c>
      <c r="R4652" s="2" t="inlineStr"/>
    </row>
    <row r="4653" ht="15" customHeight="1">
      <c r="A4653" t="inlineStr">
        <is>
          <t>A 13553-2022</t>
        </is>
      </c>
      <c r="B4653" s="1" t="n">
        <v>44648</v>
      </c>
      <c r="C4653" s="1" t="n">
        <v>45952</v>
      </c>
      <c r="D4653" t="inlineStr">
        <is>
          <t>VÄSTRA GÖTALANDS LÄN</t>
        </is>
      </c>
      <c r="E4653" t="inlineStr">
        <is>
          <t>MARK</t>
        </is>
      </c>
      <c r="G4653" t="n">
        <v>2.4</v>
      </c>
      <c r="H4653" t="n">
        <v>0</v>
      </c>
      <c r="I4653" t="n">
        <v>0</v>
      </c>
      <c r="J4653" t="n">
        <v>0</v>
      </c>
      <c r="K4653" t="n">
        <v>0</v>
      </c>
      <c r="L4653" t="n">
        <v>0</v>
      </c>
      <c r="M4653" t="n">
        <v>0</v>
      </c>
      <c r="N4653" t="n">
        <v>0</v>
      </c>
      <c r="O4653" t="n">
        <v>0</v>
      </c>
      <c r="P4653" t="n">
        <v>0</v>
      </c>
      <c r="Q4653" t="n">
        <v>0</v>
      </c>
      <c r="R4653" s="2" t="inlineStr"/>
    </row>
    <row r="4654" ht="15" customHeight="1">
      <c r="A4654" t="inlineStr">
        <is>
          <t>A 16976-2025</t>
        </is>
      </c>
      <c r="B4654" s="1" t="n">
        <v>45755.47385416667</v>
      </c>
      <c r="C4654" s="1" t="n">
        <v>45952</v>
      </c>
      <c r="D4654" t="inlineStr">
        <is>
          <t>VÄSTRA GÖTALANDS LÄN</t>
        </is>
      </c>
      <c r="E4654" t="inlineStr">
        <is>
          <t>LIDKÖPING</t>
        </is>
      </c>
      <c r="G4654" t="n">
        <v>1</v>
      </c>
      <c r="H4654" t="n">
        <v>0</v>
      </c>
      <c r="I4654" t="n">
        <v>0</v>
      </c>
      <c r="J4654" t="n">
        <v>0</v>
      </c>
      <c r="K4654" t="n">
        <v>0</v>
      </c>
      <c r="L4654" t="n">
        <v>0</v>
      </c>
      <c r="M4654" t="n">
        <v>0</v>
      </c>
      <c r="N4654" t="n">
        <v>0</v>
      </c>
      <c r="O4654" t="n">
        <v>0</v>
      </c>
      <c r="P4654" t="n">
        <v>0</v>
      </c>
      <c r="Q4654" t="n">
        <v>0</v>
      </c>
      <c r="R4654" s="2" t="inlineStr"/>
    </row>
    <row r="4655" ht="15" customHeight="1">
      <c r="A4655" t="inlineStr">
        <is>
          <t>A 1944-2024</t>
        </is>
      </c>
      <c r="B4655" s="1" t="n">
        <v>45308</v>
      </c>
      <c r="C4655" s="1" t="n">
        <v>45952</v>
      </c>
      <c r="D4655" t="inlineStr">
        <is>
          <t>VÄSTRA GÖTALANDS LÄN</t>
        </is>
      </c>
      <c r="E4655" t="inlineStr">
        <is>
          <t>FÄRGELANDA</t>
        </is>
      </c>
      <c r="G4655" t="n">
        <v>0.6</v>
      </c>
      <c r="H4655" t="n">
        <v>0</v>
      </c>
      <c r="I4655" t="n">
        <v>0</v>
      </c>
      <c r="J4655" t="n">
        <v>0</v>
      </c>
      <c r="K4655" t="n">
        <v>0</v>
      </c>
      <c r="L4655" t="n">
        <v>0</v>
      </c>
      <c r="M4655" t="n">
        <v>0</v>
      </c>
      <c r="N4655" t="n">
        <v>0</v>
      </c>
      <c r="O4655" t="n">
        <v>0</v>
      </c>
      <c r="P4655" t="n">
        <v>0</v>
      </c>
      <c r="Q4655" t="n">
        <v>0</v>
      </c>
      <c r="R4655" s="2" t="inlineStr"/>
    </row>
    <row r="4656" ht="15" customHeight="1">
      <c r="A4656" t="inlineStr">
        <is>
          <t>A 4708-2024</t>
        </is>
      </c>
      <c r="B4656" s="1" t="n">
        <v>45328</v>
      </c>
      <c r="C4656" s="1" t="n">
        <v>45952</v>
      </c>
      <c r="D4656" t="inlineStr">
        <is>
          <t>VÄSTRA GÖTALANDS LÄN</t>
        </is>
      </c>
      <c r="E4656" t="inlineStr">
        <is>
          <t>TÖREBODA</t>
        </is>
      </c>
      <c r="G4656" t="n">
        <v>2.9</v>
      </c>
      <c r="H4656" t="n">
        <v>0</v>
      </c>
      <c r="I4656" t="n">
        <v>0</v>
      </c>
      <c r="J4656" t="n">
        <v>0</v>
      </c>
      <c r="K4656" t="n">
        <v>0</v>
      </c>
      <c r="L4656" t="n">
        <v>0</v>
      </c>
      <c r="M4656" t="n">
        <v>0</v>
      </c>
      <c r="N4656" t="n">
        <v>0</v>
      </c>
      <c r="O4656" t="n">
        <v>0</v>
      </c>
      <c r="P4656" t="n">
        <v>0</v>
      </c>
      <c r="Q4656" t="n">
        <v>0</v>
      </c>
      <c r="R4656" s="2" t="inlineStr"/>
    </row>
    <row r="4657" ht="15" customHeight="1">
      <c r="A4657" t="inlineStr">
        <is>
          <t>A 38822-2024</t>
        </is>
      </c>
      <c r="B4657" s="1" t="n">
        <v>45547.56211805555</v>
      </c>
      <c r="C4657" s="1" t="n">
        <v>45952</v>
      </c>
      <c r="D4657" t="inlineStr">
        <is>
          <t>VÄSTRA GÖTALANDS LÄN</t>
        </is>
      </c>
      <c r="E4657" t="inlineStr">
        <is>
          <t>TRANEMO</t>
        </is>
      </c>
      <c r="F4657" t="inlineStr">
        <is>
          <t>Sveaskog</t>
        </is>
      </c>
      <c r="G4657" t="n">
        <v>2.5</v>
      </c>
      <c r="H4657" t="n">
        <v>0</v>
      </c>
      <c r="I4657" t="n">
        <v>0</v>
      </c>
      <c r="J4657" t="n">
        <v>0</v>
      </c>
      <c r="K4657" t="n">
        <v>0</v>
      </c>
      <c r="L4657" t="n">
        <v>0</v>
      </c>
      <c r="M4657" t="n">
        <v>0</v>
      </c>
      <c r="N4657" t="n">
        <v>0</v>
      </c>
      <c r="O4657" t="n">
        <v>0</v>
      </c>
      <c r="P4657" t="n">
        <v>0</v>
      </c>
      <c r="Q4657" t="n">
        <v>0</v>
      </c>
      <c r="R4657" s="2" t="inlineStr"/>
    </row>
    <row r="4658" ht="15" customHeight="1">
      <c r="A4658" t="inlineStr">
        <is>
          <t>A 2626-2025</t>
        </is>
      </c>
      <c r="B4658" s="1" t="n">
        <v>45675.66943287037</v>
      </c>
      <c r="C4658" s="1" t="n">
        <v>45952</v>
      </c>
      <c r="D4658" t="inlineStr">
        <is>
          <t>VÄSTRA GÖTALANDS LÄN</t>
        </is>
      </c>
      <c r="E4658" t="inlineStr">
        <is>
          <t>ULRICEHAMN</t>
        </is>
      </c>
      <c r="G4658" t="n">
        <v>2.7</v>
      </c>
      <c r="H4658" t="n">
        <v>0</v>
      </c>
      <c r="I4658" t="n">
        <v>0</v>
      </c>
      <c r="J4658" t="n">
        <v>0</v>
      </c>
      <c r="K4658" t="n">
        <v>0</v>
      </c>
      <c r="L4658" t="n">
        <v>0</v>
      </c>
      <c r="M4658" t="n">
        <v>0</v>
      </c>
      <c r="N4658" t="n">
        <v>0</v>
      </c>
      <c r="O4658" t="n">
        <v>0</v>
      </c>
      <c r="P4658" t="n">
        <v>0</v>
      </c>
      <c r="Q4658" t="n">
        <v>0</v>
      </c>
      <c r="R4658" s="2" t="inlineStr"/>
    </row>
    <row r="4659" ht="15" customHeight="1">
      <c r="A4659" t="inlineStr">
        <is>
          <t>A 61997-2023</t>
        </is>
      </c>
      <c r="B4659" s="1" t="n">
        <v>45266</v>
      </c>
      <c r="C4659" s="1" t="n">
        <v>45952</v>
      </c>
      <c r="D4659" t="inlineStr">
        <is>
          <t>VÄSTRA GÖTALANDS LÄN</t>
        </is>
      </c>
      <c r="E4659" t="inlineStr">
        <is>
          <t>SVENLJUNGA</t>
        </is>
      </c>
      <c r="G4659" t="n">
        <v>1</v>
      </c>
      <c r="H4659" t="n">
        <v>0</v>
      </c>
      <c r="I4659" t="n">
        <v>0</v>
      </c>
      <c r="J4659" t="n">
        <v>0</v>
      </c>
      <c r="K4659" t="n">
        <v>0</v>
      </c>
      <c r="L4659" t="n">
        <v>0</v>
      </c>
      <c r="M4659" t="n">
        <v>0</v>
      </c>
      <c r="N4659" t="n">
        <v>0</v>
      </c>
      <c r="O4659" t="n">
        <v>0</v>
      </c>
      <c r="P4659" t="n">
        <v>0</v>
      </c>
      <c r="Q4659" t="n">
        <v>0</v>
      </c>
      <c r="R4659" s="2" t="inlineStr"/>
    </row>
    <row r="4660" ht="15" customHeight="1">
      <c r="A4660" t="inlineStr">
        <is>
          <t>A 46041-2021</t>
        </is>
      </c>
      <c r="B4660" s="1" t="n">
        <v>44441.93865740741</v>
      </c>
      <c r="C4660" s="1" t="n">
        <v>45952</v>
      </c>
      <c r="D4660" t="inlineStr">
        <is>
          <t>VÄSTRA GÖTALANDS LÄN</t>
        </is>
      </c>
      <c r="E4660" t="inlineStr">
        <is>
          <t>FÄRGELANDA</t>
        </is>
      </c>
      <c r="G4660" t="n">
        <v>3.7</v>
      </c>
      <c r="H4660" t="n">
        <v>0</v>
      </c>
      <c r="I4660" t="n">
        <v>0</v>
      </c>
      <c r="J4660" t="n">
        <v>0</v>
      </c>
      <c r="K4660" t="n">
        <v>0</v>
      </c>
      <c r="L4660" t="n">
        <v>0</v>
      </c>
      <c r="M4660" t="n">
        <v>0</v>
      </c>
      <c r="N4660" t="n">
        <v>0</v>
      </c>
      <c r="O4660" t="n">
        <v>0</v>
      </c>
      <c r="P4660" t="n">
        <v>0</v>
      </c>
      <c r="Q4660" t="n">
        <v>0</v>
      </c>
      <c r="R4660" s="2" t="inlineStr"/>
    </row>
    <row r="4661" ht="15" customHeight="1">
      <c r="A4661" t="inlineStr">
        <is>
          <t>A 65226-2021</t>
        </is>
      </c>
      <c r="B4661" s="1" t="n">
        <v>44515</v>
      </c>
      <c r="C4661" s="1" t="n">
        <v>45952</v>
      </c>
      <c r="D4661" t="inlineStr">
        <is>
          <t>VÄSTRA GÖTALANDS LÄN</t>
        </is>
      </c>
      <c r="E4661" t="inlineStr">
        <is>
          <t>ALE</t>
        </is>
      </c>
      <c r="G4661" t="n">
        <v>0.7</v>
      </c>
      <c r="H4661" t="n">
        <v>0</v>
      </c>
      <c r="I4661" t="n">
        <v>0</v>
      </c>
      <c r="J4661" t="n">
        <v>0</v>
      </c>
      <c r="K4661" t="n">
        <v>0</v>
      </c>
      <c r="L4661" t="n">
        <v>0</v>
      </c>
      <c r="M4661" t="n">
        <v>0</v>
      </c>
      <c r="N4661" t="n">
        <v>0</v>
      </c>
      <c r="O4661" t="n">
        <v>0</v>
      </c>
      <c r="P4661" t="n">
        <v>0</v>
      </c>
      <c r="Q4661" t="n">
        <v>0</v>
      </c>
      <c r="R4661" s="2" t="inlineStr"/>
    </row>
    <row r="4662" ht="15" customHeight="1">
      <c r="A4662" t="inlineStr">
        <is>
          <t>A 42769-2024</t>
        </is>
      </c>
      <c r="B4662" s="1" t="n">
        <v>45566.51096064815</v>
      </c>
      <c r="C4662" s="1" t="n">
        <v>45952</v>
      </c>
      <c r="D4662" t="inlineStr">
        <is>
          <t>VÄSTRA GÖTALANDS LÄN</t>
        </is>
      </c>
      <c r="E4662" t="inlineStr">
        <is>
          <t>ULRICEHAMN</t>
        </is>
      </c>
      <c r="F4662" t="inlineStr">
        <is>
          <t>Sveaskog</t>
        </is>
      </c>
      <c r="G4662" t="n">
        <v>6</v>
      </c>
      <c r="H4662" t="n">
        <v>0</v>
      </c>
      <c r="I4662" t="n">
        <v>0</v>
      </c>
      <c r="J4662" t="n">
        <v>0</v>
      </c>
      <c r="K4662" t="n">
        <v>0</v>
      </c>
      <c r="L4662" t="n">
        <v>0</v>
      </c>
      <c r="M4662" t="n">
        <v>0</v>
      </c>
      <c r="N4662" t="n">
        <v>0</v>
      </c>
      <c r="O4662" t="n">
        <v>0</v>
      </c>
      <c r="P4662" t="n">
        <v>0</v>
      </c>
      <c r="Q4662" t="n">
        <v>0</v>
      </c>
      <c r="R4662" s="2" t="inlineStr"/>
    </row>
    <row r="4663" ht="15" customHeight="1">
      <c r="A4663" t="inlineStr">
        <is>
          <t>A 42778-2024</t>
        </is>
      </c>
      <c r="B4663" s="1" t="n">
        <v>45566.52706018519</v>
      </c>
      <c r="C4663" s="1" t="n">
        <v>45952</v>
      </c>
      <c r="D4663" t="inlineStr">
        <is>
          <t>VÄSTRA GÖTALANDS LÄN</t>
        </is>
      </c>
      <c r="E4663" t="inlineStr">
        <is>
          <t>KARLSBORG</t>
        </is>
      </c>
      <c r="G4663" t="n">
        <v>1.6</v>
      </c>
      <c r="H4663" t="n">
        <v>0</v>
      </c>
      <c r="I4663" t="n">
        <v>0</v>
      </c>
      <c r="J4663" t="n">
        <v>0</v>
      </c>
      <c r="K4663" t="n">
        <v>0</v>
      </c>
      <c r="L4663" t="n">
        <v>0</v>
      </c>
      <c r="M4663" t="n">
        <v>0</v>
      </c>
      <c r="N4663" t="n">
        <v>0</v>
      </c>
      <c r="O4663" t="n">
        <v>0</v>
      </c>
      <c r="P4663" t="n">
        <v>0</v>
      </c>
      <c r="Q4663" t="n">
        <v>0</v>
      </c>
      <c r="R4663" s="2" t="inlineStr"/>
    </row>
    <row r="4664" ht="15" customHeight="1">
      <c r="A4664" t="inlineStr">
        <is>
          <t>A 19294-2022</t>
        </is>
      </c>
      <c r="B4664" s="1" t="n">
        <v>44692</v>
      </c>
      <c r="C4664" s="1" t="n">
        <v>45952</v>
      </c>
      <c r="D4664" t="inlineStr">
        <is>
          <t>VÄSTRA GÖTALANDS LÄN</t>
        </is>
      </c>
      <c r="E4664" t="inlineStr">
        <is>
          <t>BENGTSFORS</t>
        </is>
      </c>
      <c r="G4664" t="n">
        <v>4.8</v>
      </c>
      <c r="H4664" t="n">
        <v>0</v>
      </c>
      <c r="I4664" t="n">
        <v>0</v>
      </c>
      <c r="J4664" t="n">
        <v>0</v>
      </c>
      <c r="K4664" t="n">
        <v>0</v>
      </c>
      <c r="L4664" t="n">
        <v>0</v>
      </c>
      <c r="M4664" t="n">
        <v>0</v>
      </c>
      <c r="N4664" t="n">
        <v>0</v>
      </c>
      <c r="O4664" t="n">
        <v>0</v>
      </c>
      <c r="P4664" t="n">
        <v>0</v>
      </c>
      <c r="Q4664" t="n">
        <v>0</v>
      </c>
      <c r="R4664" s="2" t="inlineStr"/>
    </row>
    <row r="4665" ht="15" customHeight="1">
      <c r="A4665" t="inlineStr">
        <is>
          <t>A 4515-2025</t>
        </is>
      </c>
      <c r="B4665" s="1" t="n">
        <v>45686.8584375</v>
      </c>
      <c r="C4665" s="1" t="n">
        <v>45952</v>
      </c>
      <c r="D4665" t="inlineStr">
        <is>
          <t>VÄSTRA GÖTALANDS LÄN</t>
        </is>
      </c>
      <c r="E4665" t="inlineStr">
        <is>
          <t>TANUM</t>
        </is>
      </c>
      <c r="G4665" t="n">
        <v>1.3</v>
      </c>
      <c r="H4665" t="n">
        <v>0</v>
      </c>
      <c r="I4665" t="n">
        <v>0</v>
      </c>
      <c r="J4665" t="n">
        <v>0</v>
      </c>
      <c r="K4665" t="n">
        <v>0</v>
      </c>
      <c r="L4665" t="n">
        <v>0</v>
      </c>
      <c r="M4665" t="n">
        <v>0</v>
      </c>
      <c r="N4665" t="n">
        <v>0</v>
      </c>
      <c r="O4665" t="n">
        <v>0</v>
      </c>
      <c r="P4665" t="n">
        <v>0</v>
      </c>
      <c r="Q4665" t="n">
        <v>0</v>
      </c>
      <c r="R4665" s="2" t="inlineStr"/>
    </row>
    <row r="4666" ht="15" customHeight="1">
      <c r="A4666" t="inlineStr">
        <is>
          <t>A 4525-2025</t>
        </is>
      </c>
      <c r="B4666" s="1" t="n">
        <v>45687.22067129629</v>
      </c>
      <c r="C4666" s="1" t="n">
        <v>45952</v>
      </c>
      <c r="D4666" t="inlineStr">
        <is>
          <t>VÄSTRA GÖTALANDS LÄN</t>
        </is>
      </c>
      <c r="E4666" t="inlineStr">
        <is>
          <t>FÄRGELANDA</t>
        </is>
      </c>
      <c r="G4666" t="n">
        <v>0.6</v>
      </c>
      <c r="H4666" t="n">
        <v>0</v>
      </c>
      <c r="I4666" t="n">
        <v>0</v>
      </c>
      <c r="J4666" t="n">
        <v>0</v>
      </c>
      <c r="K4666" t="n">
        <v>0</v>
      </c>
      <c r="L4666" t="n">
        <v>0</v>
      </c>
      <c r="M4666" t="n">
        <v>0</v>
      </c>
      <c r="N4666" t="n">
        <v>0</v>
      </c>
      <c r="O4666" t="n">
        <v>0</v>
      </c>
      <c r="P4666" t="n">
        <v>0</v>
      </c>
      <c r="Q4666" t="n">
        <v>0</v>
      </c>
      <c r="R4666" s="2" t="inlineStr"/>
    </row>
    <row r="4667" ht="15" customHeight="1">
      <c r="A4667" t="inlineStr">
        <is>
          <t>A 4585-2025</t>
        </is>
      </c>
      <c r="B4667" s="1" t="n">
        <v>45687</v>
      </c>
      <c r="C4667" s="1" t="n">
        <v>45952</v>
      </c>
      <c r="D4667" t="inlineStr">
        <is>
          <t>VÄSTRA GÖTALANDS LÄN</t>
        </is>
      </c>
      <c r="E4667" t="inlineStr">
        <is>
          <t>FALKÖPING</t>
        </is>
      </c>
      <c r="G4667" t="n">
        <v>1</v>
      </c>
      <c r="H4667" t="n">
        <v>0</v>
      </c>
      <c r="I4667" t="n">
        <v>0</v>
      </c>
      <c r="J4667" t="n">
        <v>0</v>
      </c>
      <c r="K4667" t="n">
        <v>0</v>
      </c>
      <c r="L4667" t="n">
        <v>0</v>
      </c>
      <c r="M4667" t="n">
        <v>0</v>
      </c>
      <c r="N4667" t="n">
        <v>0</v>
      </c>
      <c r="O4667" t="n">
        <v>0</v>
      </c>
      <c r="P4667" t="n">
        <v>0</v>
      </c>
      <c r="Q4667" t="n">
        <v>0</v>
      </c>
      <c r="R4667" s="2" t="inlineStr"/>
    </row>
    <row r="4668" ht="15" customHeight="1">
      <c r="A4668" t="inlineStr">
        <is>
          <t>A 12077-2023</t>
        </is>
      </c>
      <c r="B4668" s="1" t="n">
        <v>44997.45451388889</v>
      </c>
      <c r="C4668" s="1" t="n">
        <v>45952</v>
      </c>
      <c r="D4668" t="inlineStr">
        <is>
          <t>VÄSTRA GÖTALANDS LÄN</t>
        </is>
      </c>
      <c r="E4668" t="inlineStr">
        <is>
          <t>TANUM</t>
        </is>
      </c>
      <c r="G4668" t="n">
        <v>3.1</v>
      </c>
      <c r="H4668" t="n">
        <v>0</v>
      </c>
      <c r="I4668" t="n">
        <v>0</v>
      </c>
      <c r="J4668" t="n">
        <v>0</v>
      </c>
      <c r="K4668" t="n">
        <v>0</v>
      </c>
      <c r="L4668" t="n">
        <v>0</v>
      </c>
      <c r="M4668" t="n">
        <v>0</v>
      </c>
      <c r="N4668" t="n">
        <v>0</v>
      </c>
      <c r="O4668" t="n">
        <v>0</v>
      </c>
      <c r="P4668" t="n">
        <v>0</v>
      </c>
      <c r="Q4668" t="n">
        <v>0</v>
      </c>
      <c r="R4668" s="2" t="inlineStr"/>
    </row>
    <row r="4669" ht="15" customHeight="1">
      <c r="A4669" t="inlineStr">
        <is>
          <t>A 47134-2025</t>
        </is>
      </c>
      <c r="B4669" s="1" t="n">
        <v>45929.69758101852</v>
      </c>
      <c r="C4669" s="1" t="n">
        <v>45952</v>
      </c>
      <c r="D4669" t="inlineStr">
        <is>
          <t>VÄSTRA GÖTALANDS LÄN</t>
        </is>
      </c>
      <c r="E4669" t="inlineStr">
        <is>
          <t>LERUM</t>
        </is>
      </c>
      <c r="G4669" t="n">
        <v>6.9</v>
      </c>
      <c r="H4669" t="n">
        <v>0</v>
      </c>
      <c r="I4669" t="n">
        <v>0</v>
      </c>
      <c r="J4669" t="n">
        <v>0</v>
      </c>
      <c r="K4669" t="n">
        <v>0</v>
      </c>
      <c r="L4669" t="n">
        <v>0</v>
      </c>
      <c r="M4669" t="n">
        <v>0</v>
      </c>
      <c r="N4669" t="n">
        <v>0</v>
      </c>
      <c r="O4669" t="n">
        <v>0</v>
      </c>
      <c r="P4669" t="n">
        <v>0</v>
      </c>
      <c r="Q4669" t="n">
        <v>0</v>
      </c>
      <c r="R4669" s="2" t="inlineStr"/>
    </row>
    <row r="4670" ht="15" customHeight="1">
      <c r="A4670" t="inlineStr">
        <is>
          <t>A 34415-2024</t>
        </is>
      </c>
      <c r="B4670" s="1" t="n">
        <v>45525.48469907408</v>
      </c>
      <c r="C4670" s="1" t="n">
        <v>45952</v>
      </c>
      <c r="D4670" t="inlineStr">
        <is>
          <t>VÄSTRA GÖTALANDS LÄN</t>
        </is>
      </c>
      <c r="E4670" t="inlineStr">
        <is>
          <t>MELLERUD</t>
        </is>
      </c>
      <c r="G4670" t="n">
        <v>4.3</v>
      </c>
      <c r="H4670" t="n">
        <v>0</v>
      </c>
      <c r="I4670" t="n">
        <v>0</v>
      </c>
      <c r="J4670" t="n">
        <v>0</v>
      </c>
      <c r="K4670" t="n">
        <v>0</v>
      </c>
      <c r="L4670" t="n">
        <v>0</v>
      </c>
      <c r="M4670" t="n">
        <v>0</v>
      </c>
      <c r="N4670" t="n">
        <v>0</v>
      </c>
      <c r="O4670" t="n">
        <v>0</v>
      </c>
      <c r="P4670" t="n">
        <v>0</v>
      </c>
      <c r="Q4670" t="n">
        <v>0</v>
      </c>
      <c r="R4670" s="2" t="inlineStr"/>
    </row>
    <row r="4671" ht="15" customHeight="1">
      <c r="A4671" t="inlineStr">
        <is>
          <t>A 48595-2021</t>
        </is>
      </c>
      <c r="B4671" s="1" t="n">
        <v>44452.48140046297</v>
      </c>
      <c r="C4671" s="1" t="n">
        <v>45952</v>
      </c>
      <c r="D4671" t="inlineStr">
        <is>
          <t>VÄSTRA GÖTALANDS LÄN</t>
        </is>
      </c>
      <c r="E4671" t="inlineStr">
        <is>
          <t>VÅRGÅRDA</t>
        </is>
      </c>
      <c r="G4671" t="n">
        <v>1.7</v>
      </c>
      <c r="H4671" t="n">
        <v>0</v>
      </c>
      <c r="I4671" t="n">
        <v>0</v>
      </c>
      <c r="J4671" t="n">
        <v>0</v>
      </c>
      <c r="K4671" t="n">
        <v>0</v>
      </c>
      <c r="L4671" t="n">
        <v>0</v>
      </c>
      <c r="M4671" t="n">
        <v>0</v>
      </c>
      <c r="N4671" t="n">
        <v>0</v>
      </c>
      <c r="O4671" t="n">
        <v>0</v>
      </c>
      <c r="P4671" t="n">
        <v>0</v>
      </c>
      <c r="Q4671" t="n">
        <v>0</v>
      </c>
      <c r="R4671" s="2" t="inlineStr"/>
    </row>
    <row r="4672" ht="15" customHeight="1">
      <c r="A4672" t="inlineStr">
        <is>
          <t>A 29014-2024</t>
        </is>
      </c>
      <c r="B4672" s="1" t="n">
        <v>45481.563125</v>
      </c>
      <c r="C4672" s="1" t="n">
        <v>45952</v>
      </c>
      <c r="D4672" t="inlineStr">
        <is>
          <t>VÄSTRA GÖTALANDS LÄN</t>
        </is>
      </c>
      <c r="E4672" t="inlineStr">
        <is>
          <t>FÄRGELANDA</t>
        </is>
      </c>
      <c r="G4672" t="n">
        <v>2.7</v>
      </c>
      <c r="H4672" t="n">
        <v>0</v>
      </c>
      <c r="I4672" t="n">
        <v>0</v>
      </c>
      <c r="J4672" t="n">
        <v>0</v>
      </c>
      <c r="K4672" t="n">
        <v>0</v>
      </c>
      <c r="L4672" t="n">
        <v>0</v>
      </c>
      <c r="M4672" t="n">
        <v>0</v>
      </c>
      <c r="N4672" t="n">
        <v>0</v>
      </c>
      <c r="O4672" t="n">
        <v>0</v>
      </c>
      <c r="P4672" t="n">
        <v>0</v>
      </c>
      <c r="Q4672" t="n">
        <v>0</v>
      </c>
      <c r="R4672" s="2" t="inlineStr"/>
    </row>
    <row r="4673" ht="15" customHeight="1">
      <c r="A4673" t="inlineStr">
        <is>
          <t>A 31001-2024</t>
        </is>
      </c>
      <c r="B4673" s="1" t="n">
        <v>45499</v>
      </c>
      <c r="C4673" s="1" t="n">
        <v>45952</v>
      </c>
      <c r="D4673" t="inlineStr">
        <is>
          <t>VÄSTRA GÖTALANDS LÄN</t>
        </is>
      </c>
      <c r="E4673" t="inlineStr">
        <is>
          <t>ÅMÅL</t>
        </is>
      </c>
      <c r="F4673" t="inlineStr">
        <is>
          <t>Kyrkan</t>
        </is>
      </c>
      <c r="G4673" t="n">
        <v>6</v>
      </c>
      <c r="H4673" t="n">
        <v>0</v>
      </c>
      <c r="I4673" t="n">
        <v>0</v>
      </c>
      <c r="J4673" t="n">
        <v>0</v>
      </c>
      <c r="K4673" t="n">
        <v>0</v>
      </c>
      <c r="L4673" t="n">
        <v>0</v>
      </c>
      <c r="M4673" t="n">
        <v>0</v>
      </c>
      <c r="N4673" t="n">
        <v>0</v>
      </c>
      <c r="O4673" t="n">
        <v>0</v>
      </c>
      <c r="P4673" t="n">
        <v>0</v>
      </c>
      <c r="Q4673" t="n">
        <v>0</v>
      </c>
      <c r="R4673" s="2" t="inlineStr"/>
    </row>
    <row r="4674" ht="15" customHeight="1">
      <c r="A4674" t="inlineStr">
        <is>
          <t>A 29808-2024</t>
        </is>
      </c>
      <c r="B4674" s="1" t="n">
        <v>45485.53696759259</v>
      </c>
      <c r="C4674" s="1" t="n">
        <v>45952</v>
      </c>
      <c r="D4674" t="inlineStr">
        <is>
          <t>VÄSTRA GÖTALANDS LÄN</t>
        </is>
      </c>
      <c r="E4674" t="inlineStr">
        <is>
          <t>SVENLJUNGA</t>
        </is>
      </c>
      <c r="G4674" t="n">
        <v>2.7</v>
      </c>
      <c r="H4674" t="n">
        <v>0</v>
      </c>
      <c r="I4674" t="n">
        <v>0</v>
      </c>
      <c r="J4674" t="n">
        <v>0</v>
      </c>
      <c r="K4674" t="n">
        <v>0</v>
      </c>
      <c r="L4674" t="n">
        <v>0</v>
      </c>
      <c r="M4674" t="n">
        <v>0</v>
      </c>
      <c r="N4674" t="n">
        <v>0</v>
      </c>
      <c r="O4674" t="n">
        <v>0</v>
      </c>
      <c r="P4674" t="n">
        <v>0</v>
      </c>
      <c r="Q4674" t="n">
        <v>0</v>
      </c>
      <c r="R4674" s="2" t="inlineStr"/>
    </row>
    <row r="4675" ht="15" customHeight="1">
      <c r="A4675" t="inlineStr">
        <is>
          <t>A 42825-2024</t>
        </is>
      </c>
      <c r="B4675" s="1" t="n">
        <v>45566.60034722222</v>
      </c>
      <c r="C4675" s="1" t="n">
        <v>45952</v>
      </c>
      <c r="D4675" t="inlineStr">
        <is>
          <t>VÄSTRA GÖTALANDS LÄN</t>
        </is>
      </c>
      <c r="E4675" t="inlineStr">
        <is>
          <t>KARLSBORG</t>
        </is>
      </c>
      <c r="G4675" t="n">
        <v>4.8</v>
      </c>
      <c r="H4675" t="n">
        <v>0</v>
      </c>
      <c r="I4675" t="n">
        <v>0</v>
      </c>
      <c r="J4675" t="n">
        <v>0</v>
      </c>
      <c r="K4675" t="n">
        <v>0</v>
      </c>
      <c r="L4675" t="n">
        <v>0</v>
      </c>
      <c r="M4675" t="n">
        <v>0</v>
      </c>
      <c r="N4675" t="n">
        <v>0</v>
      </c>
      <c r="O4675" t="n">
        <v>0</v>
      </c>
      <c r="P4675" t="n">
        <v>0</v>
      </c>
      <c r="Q4675" t="n">
        <v>0</v>
      </c>
      <c r="R4675" s="2" t="inlineStr"/>
    </row>
    <row r="4676" ht="15" customHeight="1">
      <c r="A4676" t="inlineStr">
        <is>
          <t>A 45632-2024</t>
        </is>
      </c>
      <c r="B4676" s="1" t="n">
        <v>45579.47123842593</v>
      </c>
      <c r="C4676" s="1" t="n">
        <v>45952</v>
      </c>
      <c r="D4676" t="inlineStr">
        <is>
          <t>VÄSTRA GÖTALANDS LÄN</t>
        </is>
      </c>
      <c r="E4676" t="inlineStr">
        <is>
          <t>STRÖMSTAD</t>
        </is>
      </c>
      <c r="F4676" t="inlineStr">
        <is>
          <t>Kyrkan</t>
        </is>
      </c>
      <c r="G4676" t="n">
        <v>9.5</v>
      </c>
      <c r="H4676" t="n">
        <v>0</v>
      </c>
      <c r="I4676" t="n">
        <v>0</v>
      </c>
      <c r="J4676" t="n">
        <v>0</v>
      </c>
      <c r="K4676" t="n">
        <v>0</v>
      </c>
      <c r="L4676" t="n">
        <v>0</v>
      </c>
      <c r="M4676" t="n">
        <v>0</v>
      </c>
      <c r="N4676" t="n">
        <v>0</v>
      </c>
      <c r="O4676" t="n">
        <v>0</v>
      </c>
      <c r="P4676" t="n">
        <v>0</v>
      </c>
      <c r="Q4676" t="n">
        <v>0</v>
      </c>
      <c r="R4676" s="2" t="inlineStr"/>
    </row>
    <row r="4677" ht="15" customHeight="1">
      <c r="A4677" t="inlineStr">
        <is>
          <t>A 11939-2024</t>
        </is>
      </c>
      <c r="B4677" s="1" t="n">
        <v>45376.67043981481</v>
      </c>
      <c r="C4677" s="1" t="n">
        <v>45952</v>
      </c>
      <c r="D4677" t="inlineStr">
        <is>
          <t>VÄSTRA GÖTALANDS LÄN</t>
        </is>
      </c>
      <c r="E4677" t="inlineStr">
        <is>
          <t>HÄRRYDA</t>
        </is>
      </c>
      <c r="G4677" t="n">
        <v>7.1</v>
      </c>
      <c r="H4677" t="n">
        <v>0</v>
      </c>
      <c r="I4677" t="n">
        <v>0</v>
      </c>
      <c r="J4677" t="n">
        <v>0</v>
      </c>
      <c r="K4677" t="n">
        <v>0</v>
      </c>
      <c r="L4677" t="n">
        <v>0</v>
      </c>
      <c r="M4677" t="n">
        <v>0</v>
      </c>
      <c r="N4677" t="n">
        <v>0</v>
      </c>
      <c r="O4677" t="n">
        <v>0</v>
      </c>
      <c r="P4677" t="n">
        <v>0</v>
      </c>
      <c r="Q4677" t="n">
        <v>0</v>
      </c>
      <c r="R4677" s="2" t="inlineStr"/>
    </row>
    <row r="4678" ht="15" customHeight="1">
      <c r="A4678" t="inlineStr">
        <is>
          <t>A 12198-2023</t>
        </is>
      </c>
      <c r="B4678" s="1" t="n">
        <v>44998.57171296296</v>
      </c>
      <c r="C4678" s="1" t="n">
        <v>45952</v>
      </c>
      <c r="D4678" t="inlineStr">
        <is>
          <t>VÄSTRA GÖTALANDS LÄN</t>
        </is>
      </c>
      <c r="E4678" t="inlineStr">
        <is>
          <t>FÄRGELANDA</t>
        </is>
      </c>
      <c r="G4678" t="n">
        <v>1.3</v>
      </c>
      <c r="H4678" t="n">
        <v>0</v>
      </c>
      <c r="I4678" t="n">
        <v>0</v>
      </c>
      <c r="J4678" t="n">
        <v>0</v>
      </c>
      <c r="K4678" t="n">
        <v>0</v>
      </c>
      <c r="L4678" t="n">
        <v>0</v>
      </c>
      <c r="M4678" t="n">
        <v>0</v>
      </c>
      <c r="N4678" t="n">
        <v>0</v>
      </c>
      <c r="O4678" t="n">
        <v>0</v>
      </c>
      <c r="P4678" t="n">
        <v>0</v>
      </c>
      <c r="Q4678" t="n">
        <v>0</v>
      </c>
      <c r="R4678" s="2" t="inlineStr"/>
    </row>
    <row r="4679" ht="15" customHeight="1">
      <c r="A4679" t="inlineStr">
        <is>
          <t>A 32780-2021</t>
        </is>
      </c>
      <c r="B4679" s="1" t="n">
        <v>44375</v>
      </c>
      <c r="C4679" s="1" t="n">
        <v>45952</v>
      </c>
      <c r="D4679" t="inlineStr">
        <is>
          <t>VÄSTRA GÖTALANDS LÄN</t>
        </is>
      </c>
      <c r="E4679" t="inlineStr">
        <is>
          <t>MARK</t>
        </is>
      </c>
      <c r="F4679" t="inlineStr">
        <is>
          <t>Kyrkan</t>
        </is>
      </c>
      <c r="G4679" t="n">
        <v>5.3</v>
      </c>
      <c r="H4679" t="n">
        <v>0</v>
      </c>
      <c r="I4679" t="n">
        <v>0</v>
      </c>
      <c r="J4679" t="n">
        <v>0</v>
      </c>
      <c r="K4679" t="n">
        <v>0</v>
      </c>
      <c r="L4679" t="n">
        <v>0</v>
      </c>
      <c r="M4679" t="n">
        <v>0</v>
      </c>
      <c r="N4679" t="n">
        <v>0</v>
      </c>
      <c r="O4679" t="n">
        <v>0</v>
      </c>
      <c r="P4679" t="n">
        <v>0</v>
      </c>
      <c r="Q4679" t="n">
        <v>0</v>
      </c>
      <c r="R4679" s="2" t="inlineStr"/>
    </row>
    <row r="4680" ht="15" customHeight="1">
      <c r="A4680" t="inlineStr">
        <is>
          <t>A 12840-2023</t>
        </is>
      </c>
      <c r="B4680" s="1" t="n">
        <v>45000</v>
      </c>
      <c r="C4680" s="1" t="n">
        <v>45952</v>
      </c>
      <c r="D4680" t="inlineStr">
        <is>
          <t>VÄSTRA GÖTALANDS LÄN</t>
        </is>
      </c>
      <c r="E4680" t="inlineStr">
        <is>
          <t>BORÅS</t>
        </is>
      </c>
      <c r="G4680" t="n">
        <v>2.2</v>
      </c>
      <c r="H4680" t="n">
        <v>0</v>
      </c>
      <c r="I4680" t="n">
        <v>0</v>
      </c>
      <c r="J4680" t="n">
        <v>0</v>
      </c>
      <c r="K4680" t="n">
        <v>0</v>
      </c>
      <c r="L4680" t="n">
        <v>0</v>
      </c>
      <c r="M4680" t="n">
        <v>0</v>
      </c>
      <c r="N4680" t="n">
        <v>0</v>
      </c>
      <c r="O4680" t="n">
        <v>0</v>
      </c>
      <c r="P4680" t="n">
        <v>0</v>
      </c>
      <c r="Q4680" t="n">
        <v>0</v>
      </c>
      <c r="R4680" s="2" t="inlineStr"/>
    </row>
    <row r="4681" ht="15" customHeight="1">
      <c r="A4681" t="inlineStr">
        <is>
          <t>A 1282-2024</t>
        </is>
      </c>
      <c r="B4681" s="1" t="n">
        <v>45303.02372685185</v>
      </c>
      <c r="C4681" s="1" t="n">
        <v>45952</v>
      </c>
      <c r="D4681" t="inlineStr">
        <is>
          <t>VÄSTRA GÖTALANDS LÄN</t>
        </is>
      </c>
      <c r="E4681" t="inlineStr">
        <is>
          <t>ÅMÅL</t>
        </is>
      </c>
      <c r="G4681" t="n">
        <v>1.4</v>
      </c>
      <c r="H4681" t="n">
        <v>0</v>
      </c>
      <c r="I4681" t="n">
        <v>0</v>
      </c>
      <c r="J4681" t="n">
        <v>0</v>
      </c>
      <c r="K4681" t="n">
        <v>0</v>
      </c>
      <c r="L4681" t="n">
        <v>0</v>
      </c>
      <c r="M4681" t="n">
        <v>0</v>
      </c>
      <c r="N4681" t="n">
        <v>0</v>
      </c>
      <c r="O4681" t="n">
        <v>0</v>
      </c>
      <c r="P4681" t="n">
        <v>0</v>
      </c>
      <c r="Q4681" t="n">
        <v>0</v>
      </c>
      <c r="R4681" s="2" t="inlineStr"/>
    </row>
    <row r="4682" ht="15" customHeight="1">
      <c r="A4682" t="inlineStr">
        <is>
          <t>A 7352-2022</t>
        </is>
      </c>
      <c r="B4682" s="1" t="n">
        <v>44606</v>
      </c>
      <c r="C4682" s="1" t="n">
        <v>45952</v>
      </c>
      <c r="D4682" t="inlineStr">
        <is>
          <t>VÄSTRA GÖTALANDS LÄN</t>
        </is>
      </c>
      <c r="E4682" t="inlineStr">
        <is>
          <t>TANUM</t>
        </is>
      </c>
      <c r="G4682" t="n">
        <v>5.9</v>
      </c>
      <c r="H4682" t="n">
        <v>0</v>
      </c>
      <c r="I4682" t="n">
        <v>0</v>
      </c>
      <c r="J4682" t="n">
        <v>0</v>
      </c>
      <c r="K4682" t="n">
        <v>0</v>
      </c>
      <c r="L4682" t="n">
        <v>0</v>
      </c>
      <c r="M4682" t="n">
        <v>0</v>
      </c>
      <c r="N4682" t="n">
        <v>0</v>
      </c>
      <c r="O4682" t="n">
        <v>0</v>
      </c>
      <c r="P4682" t="n">
        <v>0</v>
      </c>
      <c r="Q4682" t="n">
        <v>0</v>
      </c>
      <c r="R4682" s="2" t="inlineStr"/>
    </row>
    <row r="4683" ht="15" customHeight="1">
      <c r="A4683" t="inlineStr">
        <is>
          <t>A 60986-2023</t>
        </is>
      </c>
      <c r="B4683" s="1" t="n">
        <v>45261.48627314815</v>
      </c>
      <c r="C4683" s="1" t="n">
        <v>45952</v>
      </c>
      <c r="D4683" t="inlineStr">
        <is>
          <t>VÄSTRA GÖTALANDS LÄN</t>
        </is>
      </c>
      <c r="E4683" t="inlineStr">
        <is>
          <t>ULRICEHAMN</t>
        </is>
      </c>
      <c r="G4683" t="n">
        <v>2.1</v>
      </c>
      <c r="H4683" t="n">
        <v>0</v>
      </c>
      <c r="I4683" t="n">
        <v>0</v>
      </c>
      <c r="J4683" t="n">
        <v>0</v>
      </c>
      <c r="K4683" t="n">
        <v>0</v>
      </c>
      <c r="L4683" t="n">
        <v>0</v>
      </c>
      <c r="M4683" t="n">
        <v>0</v>
      </c>
      <c r="N4683" t="n">
        <v>0</v>
      </c>
      <c r="O4683" t="n">
        <v>0</v>
      </c>
      <c r="P4683" t="n">
        <v>0</v>
      </c>
      <c r="Q4683" t="n">
        <v>0</v>
      </c>
      <c r="R4683" s="2" t="inlineStr"/>
    </row>
    <row r="4684" ht="15" customHeight="1">
      <c r="A4684" t="inlineStr">
        <is>
          <t>A 28667-2022</t>
        </is>
      </c>
      <c r="B4684" s="1" t="n">
        <v>44748</v>
      </c>
      <c r="C4684" s="1" t="n">
        <v>45952</v>
      </c>
      <c r="D4684" t="inlineStr">
        <is>
          <t>VÄSTRA GÖTALANDS LÄN</t>
        </is>
      </c>
      <c r="E4684" t="inlineStr">
        <is>
          <t>MUNKEDAL</t>
        </is>
      </c>
      <c r="G4684" t="n">
        <v>5.4</v>
      </c>
      <c r="H4684" t="n">
        <v>0</v>
      </c>
      <c r="I4684" t="n">
        <v>0</v>
      </c>
      <c r="J4684" t="n">
        <v>0</v>
      </c>
      <c r="K4684" t="n">
        <v>0</v>
      </c>
      <c r="L4684" t="n">
        <v>0</v>
      </c>
      <c r="M4684" t="n">
        <v>0</v>
      </c>
      <c r="N4684" t="n">
        <v>0</v>
      </c>
      <c r="O4684" t="n">
        <v>0</v>
      </c>
      <c r="P4684" t="n">
        <v>0</v>
      </c>
      <c r="Q4684" t="n">
        <v>0</v>
      </c>
      <c r="R4684" s="2" t="inlineStr"/>
    </row>
    <row r="4685" ht="15" customHeight="1">
      <c r="A4685" t="inlineStr">
        <is>
          <t>A 30954-2022</t>
        </is>
      </c>
      <c r="B4685" s="1" t="n">
        <v>44768</v>
      </c>
      <c r="C4685" s="1" t="n">
        <v>45952</v>
      </c>
      <c r="D4685" t="inlineStr">
        <is>
          <t>VÄSTRA GÖTALANDS LÄN</t>
        </is>
      </c>
      <c r="E4685" t="inlineStr">
        <is>
          <t>ULRICEHAMN</t>
        </is>
      </c>
      <c r="G4685" t="n">
        <v>1.7</v>
      </c>
      <c r="H4685" t="n">
        <v>0</v>
      </c>
      <c r="I4685" t="n">
        <v>0</v>
      </c>
      <c r="J4685" t="n">
        <v>0</v>
      </c>
      <c r="K4685" t="n">
        <v>0</v>
      </c>
      <c r="L4685" t="n">
        <v>0</v>
      </c>
      <c r="M4685" t="n">
        <v>0</v>
      </c>
      <c r="N4685" t="n">
        <v>0</v>
      </c>
      <c r="O4685" t="n">
        <v>0</v>
      </c>
      <c r="P4685" t="n">
        <v>0</v>
      </c>
      <c r="Q4685" t="n">
        <v>0</v>
      </c>
      <c r="R4685" s="2" t="inlineStr"/>
    </row>
    <row r="4686" ht="15" customHeight="1">
      <c r="A4686" t="inlineStr">
        <is>
          <t>A 3770-2024</t>
        </is>
      </c>
      <c r="B4686" s="1" t="n">
        <v>45321.57853009259</v>
      </c>
      <c r="C4686" s="1" t="n">
        <v>45952</v>
      </c>
      <c r="D4686" t="inlineStr">
        <is>
          <t>VÄSTRA GÖTALANDS LÄN</t>
        </is>
      </c>
      <c r="E4686" t="inlineStr">
        <is>
          <t>TRANEMO</t>
        </is>
      </c>
      <c r="G4686" t="n">
        <v>0.7</v>
      </c>
      <c r="H4686" t="n">
        <v>0</v>
      </c>
      <c r="I4686" t="n">
        <v>0</v>
      </c>
      <c r="J4686" t="n">
        <v>0</v>
      </c>
      <c r="K4686" t="n">
        <v>0</v>
      </c>
      <c r="L4686" t="n">
        <v>0</v>
      </c>
      <c r="M4686" t="n">
        <v>0</v>
      </c>
      <c r="N4686" t="n">
        <v>0</v>
      </c>
      <c r="O4686" t="n">
        <v>0</v>
      </c>
      <c r="P4686" t="n">
        <v>0</v>
      </c>
      <c r="Q4686" t="n">
        <v>0</v>
      </c>
      <c r="R4686" s="2" t="inlineStr"/>
    </row>
    <row r="4687" ht="15" customHeight="1">
      <c r="A4687" t="inlineStr">
        <is>
          <t>A 3773-2024</t>
        </is>
      </c>
      <c r="B4687" s="1" t="n">
        <v>45321.57921296296</v>
      </c>
      <c r="C4687" s="1" t="n">
        <v>45952</v>
      </c>
      <c r="D4687" t="inlineStr">
        <is>
          <t>VÄSTRA GÖTALANDS LÄN</t>
        </is>
      </c>
      <c r="E4687" t="inlineStr">
        <is>
          <t>HERRLJUNGA</t>
        </is>
      </c>
      <c r="G4687" t="n">
        <v>3.6</v>
      </c>
      <c r="H4687" t="n">
        <v>0</v>
      </c>
      <c r="I4687" t="n">
        <v>0</v>
      </c>
      <c r="J4687" t="n">
        <v>0</v>
      </c>
      <c r="K4687" t="n">
        <v>0</v>
      </c>
      <c r="L4687" t="n">
        <v>0</v>
      </c>
      <c r="M4687" t="n">
        <v>0</v>
      </c>
      <c r="N4687" t="n">
        <v>0</v>
      </c>
      <c r="O4687" t="n">
        <v>0</v>
      </c>
      <c r="P4687" t="n">
        <v>0</v>
      </c>
      <c r="Q4687" t="n">
        <v>0</v>
      </c>
      <c r="R4687" s="2" t="inlineStr"/>
    </row>
    <row r="4688" ht="15" customHeight="1">
      <c r="A4688" t="inlineStr">
        <is>
          <t>A 43798-2024</t>
        </is>
      </c>
      <c r="B4688" s="1" t="n">
        <v>45571.59386574074</v>
      </c>
      <c r="C4688" s="1" t="n">
        <v>45952</v>
      </c>
      <c r="D4688" t="inlineStr">
        <is>
          <t>VÄSTRA GÖTALANDS LÄN</t>
        </is>
      </c>
      <c r="E4688" t="inlineStr">
        <is>
          <t>VÄNERSBORG</t>
        </is>
      </c>
      <c r="G4688" t="n">
        <v>2.1</v>
      </c>
      <c r="H4688" t="n">
        <v>0</v>
      </c>
      <c r="I4688" t="n">
        <v>0</v>
      </c>
      <c r="J4688" t="n">
        <v>0</v>
      </c>
      <c r="K4688" t="n">
        <v>0</v>
      </c>
      <c r="L4688" t="n">
        <v>0</v>
      </c>
      <c r="M4688" t="n">
        <v>0</v>
      </c>
      <c r="N4688" t="n">
        <v>0</v>
      </c>
      <c r="O4688" t="n">
        <v>0</v>
      </c>
      <c r="P4688" t="n">
        <v>0</v>
      </c>
      <c r="Q4688" t="n">
        <v>0</v>
      </c>
      <c r="R4688" s="2" t="inlineStr"/>
    </row>
    <row r="4689" ht="15" customHeight="1">
      <c r="A4689" t="inlineStr">
        <is>
          <t>A 30103-2024</t>
        </is>
      </c>
      <c r="B4689" s="1" t="n">
        <v>45489.43810185185</v>
      </c>
      <c r="C4689" s="1" t="n">
        <v>45952</v>
      </c>
      <c r="D4689" t="inlineStr">
        <is>
          <t>VÄSTRA GÖTALANDS LÄN</t>
        </is>
      </c>
      <c r="E4689" t="inlineStr">
        <is>
          <t>SVENLJUNGA</t>
        </is>
      </c>
      <c r="G4689" t="n">
        <v>1.3</v>
      </c>
      <c r="H4689" t="n">
        <v>0</v>
      </c>
      <c r="I4689" t="n">
        <v>0</v>
      </c>
      <c r="J4689" t="n">
        <v>0</v>
      </c>
      <c r="K4689" t="n">
        <v>0</v>
      </c>
      <c r="L4689" t="n">
        <v>0</v>
      </c>
      <c r="M4689" t="n">
        <v>0</v>
      </c>
      <c r="N4689" t="n">
        <v>0</v>
      </c>
      <c r="O4689" t="n">
        <v>0</v>
      </c>
      <c r="P4689" t="n">
        <v>0</v>
      </c>
      <c r="Q4689" t="n">
        <v>0</v>
      </c>
      <c r="R4689" s="2" t="inlineStr"/>
    </row>
    <row r="4690" ht="15" customHeight="1">
      <c r="A4690" t="inlineStr">
        <is>
          <t>A 30136-2024</t>
        </is>
      </c>
      <c r="B4690" s="1" t="n">
        <v>45489.56859953704</v>
      </c>
      <c r="C4690" s="1" t="n">
        <v>45952</v>
      </c>
      <c r="D4690" t="inlineStr">
        <is>
          <t>VÄSTRA GÖTALANDS LÄN</t>
        </is>
      </c>
      <c r="E4690" t="inlineStr">
        <is>
          <t>KARLSBORG</t>
        </is>
      </c>
      <c r="G4690" t="n">
        <v>2.5</v>
      </c>
      <c r="H4690" t="n">
        <v>0</v>
      </c>
      <c r="I4690" t="n">
        <v>0</v>
      </c>
      <c r="J4690" t="n">
        <v>0</v>
      </c>
      <c r="K4690" t="n">
        <v>0</v>
      </c>
      <c r="L4690" t="n">
        <v>0</v>
      </c>
      <c r="M4690" t="n">
        <v>0</v>
      </c>
      <c r="N4690" t="n">
        <v>0</v>
      </c>
      <c r="O4690" t="n">
        <v>0</v>
      </c>
      <c r="P4690" t="n">
        <v>0</v>
      </c>
      <c r="Q4690" t="n">
        <v>0</v>
      </c>
      <c r="R4690" s="2" t="inlineStr"/>
    </row>
    <row r="4691" ht="15" customHeight="1">
      <c r="A4691" t="inlineStr">
        <is>
          <t>A 28201-2021</t>
        </is>
      </c>
      <c r="B4691" s="1" t="n">
        <v>44355.6369675926</v>
      </c>
      <c r="C4691" s="1" t="n">
        <v>45952</v>
      </c>
      <c r="D4691" t="inlineStr">
        <is>
          <t>VÄSTRA GÖTALANDS LÄN</t>
        </is>
      </c>
      <c r="E4691" t="inlineStr">
        <is>
          <t>BOLLEBYGD</t>
        </is>
      </c>
      <c r="G4691" t="n">
        <v>10.5</v>
      </c>
      <c r="H4691" t="n">
        <v>0</v>
      </c>
      <c r="I4691" t="n">
        <v>0</v>
      </c>
      <c r="J4691" t="n">
        <v>0</v>
      </c>
      <c r="K4691" t="n">
        <v>0</v>
      </c>
      <c r="L4691" t="n">
        <v>0</v>
      </c>
      <c r="M4691" t="n">
        <v>0</v>
      </c>
      <c r="N4691" t="n">
        <v>0</v>
      </c>
      <c r="O4691" t="n">
        <v>0</v>
      </c>
      <c r="P4691" t="n">
        <v>0</v>
      </c>
      <c r="Q4691" t="n">
        <v>0</v>
      </c>
      <c r="R4691" s="2" t="inlineStr"/>
    </row>
    <row r="4692" ht="15" customHeight="1">
      <c r="A4692" t="inlineStr">
        <is>
          <t>A 14222-2024</t>
        </is>
      </c>
      <c r="B4692" s="1" t="n">
        <v>45393.46065972222</v>
      </c>
      <c r="C4692" s="1" t="n">
        <v>45952</v>
      </c>
      <c r="D4692" t="inlineStr">
        <is>
          <t>VÄSTRA GÖTALANDS LÄN</t>
        </is>
      </c>
      <c r="E4692" t="inlineStr">
        <is>
          <t>BORÅS</t>
        </is>
      </c>
      <c r="F4692" t="inlineStr">
        <is>
          <t>Sveaskog</t>
        </is>
      </c>
      <c r="G4692" t="n">
        <v>20.3</v>
      </c>
      <c r="H4692" t="n">
        <v>0</v>
      </c>
      <c r="I4692" t="n">
        <v>0</v>
      </c>
      <c r="J4692" t="n">
        <v>0</v>
      </c>
      <c r="K4692" t="n">
        <v>0</v>
      </c>
      <c r="L4692" t="n">
        <v>0</v>
      </c>
      <c r="M4692" t="n">
        <v>0</v>
      </c>
      <c r="N4692" t="n">
        <v>0</v>
      </c>
      <c r="O4692" t="n">
        <v>0</v>
      </c>
      <c r="P4692" t="n">
        <v>0</v>
      </c>
      <c r="Q4692" t="n">
        <v>0</v>
      </c>
      <c r="R4692" s="2" t="inlineStr"/>
    </row>
    <row r="4693" ht="15" customHeight="1">
      <c r="A4693" t="inlineStr">
        <is>
          <t>A 59931-2021</t>
        </is>
      </c>
      <c r="B4693" s="1" t="n">
        <v>44494</v>
      </c>
      <c r="C4693" s="1" t="n">
        <v>45952</v>
      </c>
      <c r="D4693" t="inlineStr">
        <is>
          <t>VÄSTRA GÖTALANDS LÄN</t>
        </is>
      </c>
      <c r="E4693" t="inlineStr">
        <is>
          <t>DALS-ED</t>
        </is>
      </c>
      <c r="G4693" t="n">
        <v>1</v>
      </c>
      <c r="H4693" t="n">
        <v>0</v>
      </c>
      <c r="I4693" t="n">
        <v>0</v>
      </c>
      <c r="J4693" t="n">
        <v>0</v>
      </c>
      <c r="K4693" t="n">
        <v>0</v>
      </c>
      <c r="L4693" t="n">
        <v>0</v>
      </c>
      <c r="M4693" t="n">
        <v>0</v>
      </c>
      <c r="N4693" t="n">
        <v>0</v>
      </c>
      <c r="O4693" t="n">
        <v>0</v>
      </c>
      <c r="P4693" t="n">
        <v>0</v>
      </c>
      <c r="Q4693" t="n">
        <v>0</v>
      </c>
      <c r="R4693" s="2" t="inlineStr"/>
    </row>
    <row r="4694" ht="15" customHeight="1">
      <c r="A4694" t="inlineStr">
        <is>
          <t>A 272-2024</t>
        </is>
      </c>
      <c r="B4694" s="1" t="n">
        <v>45294</v>
      </c>
      <c r="C4694" s="1" t="n">
        <v>45952</v>
      </c>
      <c r="D4694" t="inlineStr">
        <is>
          <t>VÄSTRA GÖTALANDS LÄN</t>
        </is>
      </c>
      <c r="E4694" t="inlineStr">
        <is>
          <t>MARK</t>
        </is>
      </c>
      <c r="G4694" t="n">
        <v>0.7</v>
      </c>
      <c r="H4694" t="n">
        <v>0</v>
      </c>
      <c r="I4694" t="n">
        <v>0</v>
      </c>
      <c r="J4694" t="n">
        <v>0</v>
      </c>
      <c r="K4694" t="n">
        <v>0</v>
      </c>
      <c r="L4694" t="n">
        <v>0</v>
      </c>
      <c r="M4694" t="n">
        <v>0</v>
      </c>
      <c r="N4694" t="n">
        <v>0</v>
      </c>
      <c r="O4694" t="n">
        <v>0</v>
      </c>
      <c r="P4694" t="n">
        <v>0</v>
      </c>
      <c r="Q4694" t="n">
        <v>0</v>
      </c>
      <c r="R4694" s="2" t="inlineStr"/>
    </row>
    <row r="4695" ht="15" customHeight="1">
      <c r="A4695" t="inlineStr">
        <is>
          <t>A 30272-2024</t>
        </is>
      </c>
      <c r="B4695" s="1" t="n">
        <v>45490</v>
      </c>
      <c r="C4695" s="1" t="n">
        <v>45952</v>
      </c>
      <c r="D4695" t="inlineStr">
        <is>
          <t>VÄSTRA GÖTALANDS LÄN</t>
        </is>
      </c>
      <c r="E4695" t="inlineStr">
        <is>
          <t>MARK</t>
        </is>
      </c>
      <c r="G4695" t="n">
        <v>2.8</v>
      </c>
      <c r="H4695" t="n">
        <v>0</v>
      </c>
      <c r="I4695" t="n">
        <v>0</v>
      </c>
      <c r="J4695" t="n">
        <v>0</v>
      </c>
      <c r="K4695" t="n">
        <v>0</v>
      </c>
      <c r="L4695" t="n">
        <v>0</v>
      </c>
      <c r="M4695" t="n">
        <v>0</v>
      </c>
      <c r="N4695" t="n">
        <v>0</v>
      </c>
      <c r="O4695" t="n">
        <v>0</v>
      </c>
      <c r="P4695" t="n">
        <v>0</v>
      </c>
      <c r="Q4695" t="n">
        <v>0</v>
      </c>
      <c r="R4695" s="2" t="inlineStr"/>
    </row>
    <row r="4696" ht="15" customHeight="1">
      <c r="A4696" t="inlineStr">
        <is>
          <t>A 5312-2023</t>
        </is>
      </c>
      <c r="B4696" s="1" t="n">
        <v>44959.56513888889</v>
      </c>
      <c r="C4696" s="1" t="n">
        <v>45952</v>
      </c>
      <c r="D4696" t="inlineStr">
        <is>
          <t>VÄSTRA GÖTALANDS LÄN</t>
        </is>
      </c>
      <c r="E4696" t="inlineStr">
        <is>
          <t>DALS-ED</t>
        </is>
      </c>
      <c r="G4696" t="n">
        <v>1.1</v>
      </c>
      <c r="H4696" t="n">
        <v>0</v>
      </c>
      <c r="I4696" t="n">
        <v>0</v>
      </c>
      <c r="J4696" t="n">
        <v>0</v>
      </c>
      <c r="K4696" t="n">
        <v>0</v>
      </c>
      <c r="L4696" t="n">
        <v>0</v>
      </c>
      <c r="M4696" t="n">
        <v>0</v>
      </c>
      <c r="N4696" t="n">
        <v>0</v>
      </c>
      <c r="O4696" t="n">
        <v>0</v>
      </c>
      <c r="P4696" t="n">
        <v>0</v>
      </c>
      <c r="Q4696" t="n">
        <v>0</v>
      </c>
      <c r="R4696" s="2" t="inlineStr"/>
    </row>
    <row r="4697" ht="15" customHeight="1">
      <c r="A4697" t="inlineStr">
        <is>
          <t>A 4765-2022</t>
        </is>
      </c>
      <c r="B4697" s="1" t="n">
        <v>44592.60259259259</v>
      </c>
      <c r="C4697" s="1" t="n">
        <v>45952</v>
      </c>
      <c r="D4697" t="inlineStr">
        <is>
          <t>VÄSTRA GÖTALANDS LÄN</t>
        </is>
      </c>
      <c r="E4697" t="inlineStr">
        <is>
          <t>FALKÖPING</t>
        </is>
      </c>
      <c r="G4697" t="n">
        <v>5.5</v>
      </c>
      <c r="H4697" t="n">
        <v>0</v>
      </c>
      <c r="I4697" t="n">
        <v>0</v>
      </c>
      <c r="J4697" t="n">
        <v>0</v>
      </c>
      <c r="K4697" t="n">
        <v>0</v>
      </c>
      <c r="L4697" t="n">
        <v>0</v>
      </c>
      <c r="M4697" t="n">
        <v>0</v>
      </c>
      <c r="N4697" t="n">
        <v>0</v>
      </c>
      <c r="O4697" t="n">
        <v>0</v>
      </c>
      <c r="P4697" t="n">
        <v>0</v>
      </c>
      <c r="Q4697" t="n">
        <v>0</v>
      </c>
      <c r="R4697" s="2" t="inlineStr"/>
    </row>
    <row r="4698" ht="15" customHeight="1">
      <c r="A4698" t="inlineStr">
        <is>
          <t>A 15388-2024</t>
        </is>
      </c>
      <c r="B4698" s="1" t="n">
        <v>45401.23033564815</v>
      </c>
      <c r="C4698" s="1" t="n">
        <v>45952</v>
      </c>
      <c r="D4698" t="inlineStr">
        <is>
          <t>VÄSTRA GÖTALANDS LÄN</t>
        </is>
      </c>
      <c r="E4698" t="inlineStr">
        <is>
          <t>SKÖVDE</t>
        </is>
      </c>
      <c r="G4698" t="n">
        <v>2.2</v>
      </c>
      <c r="H4698" t="n">
        <v>0</v>
      </c>
      <c r="I4698" t="n">
        <v>0</v>
      </c>
      <c r="J4698" t="n">
        <v>0</v>
      </c>
      <c r="K4698" t="n">
        <v>0</v>
      </c>
      <c r="L4698" t="n">
        <v>0</v>
      </c>
      <c r="M4698" t="n">
        <v>0</v>
      </c>
      <c r="N4698" t="n">
        <v>0</v>
      </c>
      <c r="O4698" t="n">
        <v>0</v>
      </c>
      <c r="P4698" t="n">
        <v>0</v>
      </c>
      <c r="Q4698" t="n">
        <v>0</v>
      </c>
      <c r="R4698" s="2" t="inlineStr"/>
    </row>
    <row r="4699" ht="15" customHeight="1">
      <c r="A4699" t="inlineStr">
        <is>
          <t>A 14738-2025</t>
        </is>
      </c>
      <c r="B4699" s="1" t="n">
        <v>45742.64620370371</v>
      </c>
      <c r="C4699" s="1" t="n">
        <v>45952</v>
      </c>
      <c r="D4699" t="inlineStr">
        <is>
          <t>VÄSTRA GÖTALANDS LÄN</t>
        </is>
      </c>
      <c r="E4699" t="inlineStr">
        <is>
          <t>KARLSBORG</t>
        </is>
      </c>
      <c r="G4699" t="n">
        <v>1.4</v>
      </c>
      <c r="H4699" t="n">
        <v>0</v>
      </c>
      <c r="I4699" t="n">
        <v>0</v>
      </c>
      <c r="J4699" t="n">
        <v>0</v>
      </c>
      <c r="K4699" t="n">
        <v>0</v>
      </c>
      <c r="L4699" t="n">
        <v>0</v>
      </c>
      <c r="M4699" t="n">
        <v>0</v>
      </c>
      <c r="N4699" t="n">
        <v>0</v>
      </c>
      <c r="O4699" t="n">
        <v>0</v>
      </c>
      <c r="P4699" t="n">
        <v>0</v>
      </c>
      <c r="Q4699" t="n">
        <v>0</v>
      </c>
      <c r="R4699" s="2" t="inlineStr"/>
    </row>
    <row r="4700" ht="15" customHeight="1">
      <c r="A4700" t="inlineStr">
        <is>
          <t>A 28495-2024</t>
        </is>
      </c>
      <c r="B4700" s="1" t="n">
        <v>45477</v>
      </c>
      <c r="C4700" s="1" t="n">
        <v>45952</v>
      </c>
      <c r="D4700" t="inlineStr">
        <is>
          <t>VÄSTRA GÖTALANDS LÄN</t>
        </is>
      </c>
      <c r="E4700" t="inlineStr">
        <is>
          <t>TIDAHOLM</t>
        </is>
      </c>
      <c r="G4700" t="n">
        <v>0.8</v>
      </c>
      <c r="H4700" t="n">
        <v>0</v>
      </c>
      <c r="I4700" t="n">
        <v>0</v>
      </c>
      <c r="J4700" t="n">
        <v>0</v>
      </c>
      <c r="K4700" t="n">
        <v>0</v>
      </c>
      <c r="L4700" t="n">
        <v>0</v>
      </c>
      <c r="M4700" t="n">
        <v>0</v>
      </c>
      <c r="N4700" t="n">
        <v>0</v>
      </c>
      <c r="O4700" t="n">
        <v>0</v>
      </c>
      <c r="P4700" t="n">
        <v>0</v>
      </c>
      <c r="Q4700" t="n">
        <v>0</v>
      </c>
      <c r="R4700" s="2" t="inlineStr"/>
    </row>
    <row r="4701" ht="15" customHeight="1">
      <c r="A4701" t="inlineStr">
        <is>
          <t>A 35728-2023</t>
        </is>
      </c>
      <c r="B4701" s="1" t="n">
        <v>45147.80034722222</v>
      </c>
      <c r="C4701" s="1" t="n">
        <v>45952</v>
      </c>
      <c r="D4701" t="inlineStr">
        <is>
          <t>VÄSTRA GÖTALANDS LÄN</t>
        </is>
      </c>
      <c r="E4701" t="inlineStr">
        <is>
          <t>MARK</t>
        </is>
      </c>
      <c r="G4701" t="n">
        <v>0.7</v>
      </c>
      <c r="H4701" t="n">
        <v>0</v>
      </c>
      <c r="I4701" t="n">
        <v>0</v>
      </c>
      <c r="J4701" t="n">
        <v>0</v>
      </c>
      <c r="K4701" t="n">
        <v>0</v>
      </c>
      <c r="L4701" t="n">
        <v>0</v>
      </c>
      <c r="M4701" t="n">
        <v>0</v>
      </c>
      <c r="N4701" t="n">
        <v>0</v>
      </c>
      <c r="O4701" t="n">
        <v>0</v>
      </c>
      <c r="P4701" t="n">
        <v>0</v>
      </c>
      <c r="Q4701" t="n">
        <v>0</v>
      </c>
      <c r="R4701" s="2" t="inlineStr"/>
    </row>
    <row r="4702" ht="15" customHeight="1">
      <c r="A4702" t="inlineStr">
        <is>
          <t>A 15463-2023</t>
        </is>
      </c>
      <c r="B4702" s="1" t="n">
        <v>45019</v>
      </c>
      <c r="C4702" s="1" t="n">
        <v>45952</v>
      </c>
      <c r="D4702" t="inlineStr">
        <is>
          <t>VÄSTRA GÖTALANDS LÄN</t>
        </is>
      </c>
      <c r="E4702" t="inlineStr">
        <is>
          <t>ÅMÅL</t>
        </is>
      </c>
      <c r="G4702" t="n">
        <v>1.3</v>
      </c>
      <c r="H4702" t="n">
        <v>0</v>
      </c>
      <c r="I4702" t="n">
        <v>0</v>
      </c>
      <c r="J4702" t="n">
        <v>0</v>
      </c>
      <c r="K4702" t="n">
        <v>0</v>
      </c>
      <c r="L4702" t="n">
        <v>0</v>
      </c>
      <c r="M4702" t="n">
        <v>0</v>
      </c>
      <c r="N4702" t="n">
        <v>0</v>
      </c>
      <c r="O4702" t="n">
        <v>0</v>
      </c>
      <c r="P4702" t="n">
        <v>0</v>
      </c>
      <c r="Q4702" t="n">
        <v>0</v>
      </c>
      <c r="R4702" s="2" t="inlineStr"/>
    </row>
    <row r="4703" ht="15" customHeight="1">
      <c r="A4703" t="inlineStr">
        <is>
          <t>A 29034-2024</t>
        </is>
      </c>
      <c r="B4703" s="1" t="n">
        <v>45481.60545138889</v>
      </c>
      <c r="C4703" s="1" t="n">
        <v>45952</v>
      </c>
      <c r="D4703" t="inlineStr">
        <is>
          <t>VÄSTRA GÖTALANDS LÄN</t>
        </is>
      </c>
      <c r="E4703" t="inlineStr">
        <is>
          <t>ULRICEHAMN</t>
        </is>
      </c>
      <c r="G4703" t="n">
        <v>4.3</v>
      </c>
      <c r="H4703" t="n">
        <v>0</v>
      </c>
      <c r="I4703" t="n">
        <v>0</v>
      </c>
      <c r="J4703" t="n">
        <v>0</v>
      </c>
      <c r="K4703" t="n">
        <v>0</v>
      </c>
      <c r="L4703" t="n">
        <v>0</v>
      </c>
      <c r="M4703" t="n">
        <v>0</v>
      </c>
      <c r="N4703" t="n">
        <v>0</v>
      </c>
      <c r="O4703" t="n">
        <v>0</v>
      </c>
      <c r="P4703" t="n">
        <v>0</v>
      </c>
      <c r="Q4703" t="n">
        <v>0</v>
      </c>
      <c r="R4703" s="2" t="inlineStr"/>
    </row>
    <row r="4704" ht="15" customHeight="1">
      <c r="A4704" t="inlineStr">
        <is>
          <t>A 28219-2023</t>
        </is>
      </c>
      <c r="B4704" s="1" t="n">
        <v>45099</v>
      </c>
      <c r="C4704" s="1" t="n">
        <v>45952</v>
      </c>
      <c r="D4704" t="inlineStr">
        <is>
          <t>VÄSTRA GÖTALANDS LÄN</t>
        </is>
      </c>
      <c r="E4704" t="inlineStr">
        <is>
          <t>BORÅS</t>
        </is>
      </c>
      <c r="G4704" t="n">
        <v>2.8</v>
      </c>
      <c r="H4704" t="n">
        <v>0</v>
      </c>
      <c r="I4704" t="n">
        <v>0</v>
      </c>
      <c r="J4704" t="n">
        <v>0</v>
      </c>
      <c r="K4704" t="n">
        <v>0</v>
      </c>
      <c r="L4704" t="n">
        <v>0</v>
      </c>
      <c r="M4704" t="n">
        <v>0</v>
      </c>
      <c r="N4704" t="n">
        <v>0</v>
      </c>
      <c r="O4704" t="n">
        <v>0</v>
      </c>
      <c r="P4704" t="n">
        <v>0</v>
      </c>
      <c r="Q4704" t="n">
        <v>0</v>
      </c>
      <c r="R4704" s="2" t="inlineStr"/>
    </row>
    <row r="4705" ht="15" customHeight="1">
      <c r="A4705" t="inlineStr">
        <is>
          <t>A 28224-2023</t>
        </is>
      </c>
      <c r="B4705" s="1" t="n">
        <v>45099</v>
      </c>
      <c r="C4705" s="1" t="n">
        <v>45952</v>
      </c>
      <c r="D4705" t="inlineStr">
        <is>
          <t>VÄSTRA GÖTALANDS LÄN</t>
        </is>
      </c>
      <c r="E4705" t="inlineStr">
        <is>
          <t>TROLLHÄTTAN</t>
        </is>
      </c>
      <c r="G4705" t="n">
        <v>4.8</v>
      </c>
      <c r="H4705" t="n">
        <v>0</v>
      </c>
      <c r="I4705" t="n">
        <v>0</v>
      </c>
      <c r="J4705" t="n">
        <v>0</v>
      </c>
      <c r="K4705" t="n">
        <v>0</v>
      </c>
      <c r="L4705" t="n">
        <v>0</v>
      </c>
      <c r="M4705" t="n">
        <v>0</v>
      </c>
      <c r="N4705" t="n">
        <v>0</v>
      </c>
      <c r="O4705" t="n">
        <v>0</v>
      </c>
      <c r="P4705" t="n">
        <v>0</v>
      </c>
      <c r="Q4705" t="n">
        <v>0</v>
      </c>
      <c r="R4705" s="2" t="inlineStr"/>
    </row>
    <row r="4706" ht="15" customHeight="1">
      <c r="A4706" t="inlineStr">
        <is>
          <t>A 56752-2023</t>
        </is>
      </c>
      <c r="B4706" s="1" t="n">
        <v>45244.36944444444</v>
      </c>
      <c r="C4706" s="1" t="n">
        <v>45952</v>
      </c>
      <c r="D4706" t="inlineStr">
        <is>
          <t>VÄSTRA GÖTALANDS LÄN</t>
        </is>
      </c>
      <c r="E4706" t="inlineStr">
        <is>
          <t>ALINGSÅS</t>
        </is>
      </c>
      <c r="G4706" t="n">
        <v>1.4</v>
      </c>
      <c r="H4706" t="n">
        <v>0</v>
      </c>
      <c r="I4706" t="n">
        <v>0</v>
      </c>
      <c r="J4706" t="n">
        <v>0</v>
      </c>
      <c r="K4706" t="n">
        <v>0</v>
      </c>
      <c r="L4706" t="n">
        <v>0</v>
      </c>
      <c r="M4706" t="n">
        <v>0</v>
      </c>
      <c r="N4706" t="n">
        <v>0</v>
      </c>
      <c r="O4706" t="n">
        <v>0</v>
      </c>
      <c r="P4706" t="n">
        <v>0</v>
      </c>
      <c r="Q4706" t="n">
        <v>0</v>
      </c>
      <c r="R4706" s="2" t="inlineStr"/>
    </row>
    <row r="4707" ht="15" customHeight="1">
      <c r="A4707" t="inlineStr">
        <is>
          <t>A 4435-2024</t>
        </is>
      </c>
      <c r="B4707" s="1" t="n">
        <v>45327.47517361111</v>
      </c>
      <c r="C4707" s="1" t="n">
        <v>45952</v>
      </c>
      <c r="D4707" t="inlineStr">
        <is>
          <t>VÄSTRA GÖTALANDS LÄN</t>
        </is>
      </c>
      <c r="E4707" t="inlineStr">
        <is>
          <t>HERRLJUNGA</t>
        </is>
      </c>
      <c r="G4707" t="n">
        <v>5.3</v>
      </c>
      <c r="H4707" t="n">
        <v>0</v>
      </c>
      <c r="I4707" t="n">
        <v>0</v>
      </c>
      <c r="J4707" t="n">
        <v>0</v>
      </c>
      <c r="K4707" t="n">
        <v>0</v>
      </c>
      <c r="L4707" t="n">
        <v>0</v>
      </c>
      <c r="M4707" t="n">
        <v>0</v>
      </c>
      <c r="N4707" t="n">
        <v>0</v>
      </c>
      <c r="O4707" t="n">
        <v>0</v>
      </c>
      <c r="P4707" t="n">
        <v>0</v>
      </c>
      <c r="Q4707" t="n">
        <v>0</v>
      </c>
      <c r="R4707" s="2" t="inlineStr"/>
    </row>
    <row r="4708" ht="15" customHeight="1">
      <c r="A4708" t="inlineStr">
        <is>
          <t>A 16745-2024</t>
        </is>
      </c>
      <c r="B4708" s="1" t="n">
        <v>45411.21890046296</v>
      </c>
      <c r="C4708" s="1" t="n">
        <v>45952</v>
      </c>
      <c r="D4708" t="inlineStr">
        <is>
          <t>VÄSTRA GÖTALANDS LÄN</t>
        </is>
      </c>
      <c r="E4708" t="inlineStr">
        <is>
          <t>ULRICEHAMN</t>
        </is>
      </c>
      <c r="G4708" t="n">
        <v>0.9</v>
      </c>
      <c r="H4708" t="n">
        <v>0</v>
      </c>
      <c r="I4708" t="n">
        <v>0</v>
      </c>
      <c r="J4708" t="n">
        <v>0</v>
      </c>
      <c r="K4708" t="n">
        <v>0</v>
      </c>
      <c r="L4708" t="n">
        <v>0</v>
      </c>
      <c r="M4708" t="n">
        <v>0</v>
      </c>
      <c r="N4708" t="n">
        <v>0</v>
      </c>
      <c r="O4708" t="n">
        <v>0</v>
      </c>
      <c r="P4708" t="n">
        <v>0</v>
      </c>
      <c r="Q4708" t="n">
        <v>0</v>
      </c>
      <c r="R4708" s="2" t="inlineStr"/>
    </row>
    <row r="4709" ht="15" customHeight="1">
      <c r="A4709" t="inlineStr">
        <is>
          <t>A 16746-2024</t>
        </is>
      </c>
      <c r="B4709" s="1" t="n">
        <v>45411.22457175926</v>
      </c>
      <c r="C4709" s="1" t="n">
        <v>45952</v>
      </c>
      <c r="D4709" t="inlineStr">
        <is>
          <t>VÄSTRA GÖTALANDS LÄN</t>
        </is>
      </c>
      <c r="E4709" t="inlineStr">
        <is>
          <t>ULRICEHAMN</t>
        </is>
      </c>
      <c r="G4709" t="n">
        <v>1.6</v>
      </c>
      <c r="H4709" t="n">
        <v>0</v>
      </c>
      <c r="I4709" t="n">
        <v>0</v>
      </c>
      <c r="J4709" t="n">
        <v>0</v>
      </c>
      <c r="K4709" t="n">
        <v>0</v>
      </c>
      <c r="L4709" t="n">
        <v>0</v>
      </c>
      <c r="M4709" t="n">
        <v>0</v>
      </c>
      <c r="N4709" t="n">
        <v>0</v>
      </c>
      <c r="O4709" t="n">
        <v>0</v>
      </c>
      <c r="P4709" t="n">
        <v>0</v>
      </c>
      <c r="Q4709" t="n">
        <v>0</v>
      </c>
      <c r="R4709" s="2" t="inlineStr"/>
    </row>
    <row r="4710" ht="15" customHeight="1">
      <c r="A4710" t="inlineStr">
        <is>
          <t>A 32304-2024</t>
        </is>
      </c>
      <c r="B4710" s="1" t="n">
        <v>45512.45240740741</v>
      </c>
      <c r="C4710" s="1" t="n">
        <v>45952</v>
      </c>
      <c r="D4710" t="inlineStr">
        <is>
          <t>VÄSTRA GÖTALANDS LÄN</t>
        </is>
      </c>
      <c r="E4710" t="inlineStr">
        <is>
          <t>MELLERUD</t>
        </is>
      </c>
      <c r="G4710" t="n">
        <v>2.2</v>
      </c>
      <c r="H4710" t="n">
        <v>0</v>
      </c>
      <c r="I4710" t="n">
        <v>0</v>
      </c>
      <c r="J4710" t="n">
        <v>0</v>
      </c>
      <c r="K4710" t="n">
        <v>0</v>
      </c>
      <c r="L4710" t="n">
        <v>0</v>
      </c>
      <c r="M4710" t="n">
        <v>0</v>
      </c>
      <c r="N4710" t="n">
        <v>0</v>
      </c>
      <c r="O4710" t="n">
        <v>0</v>
      </c>
      <c r="P4710" t="n">
        <v>0</v>
      </c>
      <c r="Q4710" t="n">
        <v>0</v>
      </c>
      <c r="R4710" s="2" t="inlineStr"/>
    </row>
    <row r="4711" ht="15" customHeight="1">
      <c r="A4711" t="inlineStr">
        <is>
          <t>A 4437-2024</t>
        </is>
      </c>
      <c r="B4711" s="1" t="n">
        <v>45324</v>
      </c>
      <c r="C4711" s="1" t="n">
        <v>45952</v>
      </c>
      <c r="D4711" t="inlineStr">
        <is>
          <t>VÄSTRA GÖTALANDS LÄN</t>
        </is>
      </c>
      <c r="E4711" t="inlineStr">
        <is>
          <t>MARIESTAD</t>
        </is>
      </c>
      <c r="G4711" t="n">
        <v>3</v>
      </c>
      <c r="H4711" t="n">
        <v>0</v>
      </c>
      <c r="I4711" t="n">
        <v>0</v>
      </c>
      <c r="J4711" t="n">
        <v>0</v>
      </c>
      <c r="K4711" t="n">
        <v>0</v>
      </c>
      <c r="L4711" t="n">
        <v>0</v>
      </c>
      <c r="M4711" t="n">
        <v>0</v>
      </c>
      <c r="N4711" t="n">
        <v>0</v>
      </c>
      <c r="O4711" t="n">
        <v>0</v>
      </c>
      <c r="P4711" t="n">
        <v>0</v>
      </c>
      <c r="Q4711" t="n">
        <v>0</v>
      </c>
      <c r="R4711" s="2" t="inlineStr"/>
    </row>
    <row r="4712" ht="15" customHeight="1">
      <c r="A4712" t="inlineStr">
        <is>
          <t>A 18468-2024</t>
        </is>
      </c>
      <c r="B4712" s="1" t="n">
        <v>45425.49927083333</v>
      </c>
      <c r="C4712" s="1" t="n">
        <v>45952</v>
      </c>
      <c r="D4712" t="inlineStr">
        <is>
          <t>VÄSTRA GÖTALANDS LÄN</t>
        </is>
      </c>
      <c r="E4712" t="inlineStr">
        <is>
          <t>TRANEMO</t>
        </is>
      </c>
      <c r="G4712" t="n">
        <v>0.9</v>
      </c>
      <c r="H4712" t="n">
        <v>0</v>
      </c>
      <c r="I4712" t="n">
        <v>0</v>
      </c>
      <c r="J4712" t="n">
        <v>0</v>
      </c>
      <c r="K4712" t="n">
        <v>0</v>
      </c>
      <c r="L4712" t="n">
        <v>0</v>
      </c>
      <c r="M4712" t="n">
        <v>0</v>
      </c>
      <c r="N4712" t="n">
        <v>0</v>
      </c>
      <c r="O4712" t="n">
        <v>0</v>
      </c>
      <c r="P4712" t="n">
        <v>0</v>
      </c>
      <c r="Q4712" t="n">
        <v>0</v>
      </c>
      <c r="R4712" s="2" t="inlineStr"/>
    </row>
    <row r="4713" ht="15" customHeight="1">
      <c r="A4713" t="inlineStr">
        <is>
          <t>A 43178-2022</t>
        </is>
      </c>
      <c r="B4713" s="1" t="n">
        <v>44834</v>
      </c>
      <c r="C4713" s="1" t="n">
        <v>45952</v>
      </c>
      <c r="D4713" t="inlineStr">
        <is>
          <t>VÄSTRA GÖTALANDS LÄN</t>
        </is>
      </c>
      <c r="E4713" t="inlineStr">
        <is>
          <t>MARK</t>
        </is>
      </c>
      <c r="G4713" t="n">
        <v>2.3</v>
      </c>
      <c r="H4713" t="n">
        <v>0</v>
      </c>
      <c r="I4713" t="n">
        <v>0</v>
      </c>
      <c r="J4713" t="n">
        <v>0</v>
      </c>
      <c r="K4713" t="n">
        <v>0</v>
      </c>
      <c r="L4713" t="n">
        <v>0</v>
      </c>
      <c r="M4713" t="n">
        <v>0</v>
      </c>
      <c r="N4713" t="n">
        <v>0</v>
      </c>
      <c r="O4713" t="n">
        <v>0</v>
      </c>
      <c r="P4713" t="n">
        <v>0</v>
      </c>
      <c r="Q4713" t="n">
        <v>0</v>
      </c>
      <c r="R4713" s="2" t="inlineStr"/>
    </row>
    <row r="4714" ht="15" customHeight="1">
      <c r="A4714" t="inlineStr">
        <is>
          <t>A 48161-2024</t>
        </is>
      </c>
      <c r="B4714" s="1" t="n">
        <v>45589</v>
      </c>
      <c r="C4714" s="1" t="n">
        <v>45952</v>
      </c>
      <c r="D4714" t="inlineStr">
        <is>
          <t>VÄSTRA GÖTALANDS LÄN</t>
        </is>
      </c>
      <c r="E4714" t="inlineStr">
        <is>
          <t>VÄNERSBORG</t>
        </is>
      </c>
      <c r="G4714" t="n">
        <v>42</v>
      </c>
      <c r="H4714" t="n">
        <v>0</v>
      </c>
      <c r="I4714" t="n">
        <v>0</v>
      </c>
      <c r="J4714" t="n">
        <v>0</v>
      </c>
      <c r="K4714" t="n">
        <v>0</v>
      </c>
      <c r="L4714" t="n">
        <v>0</v>
      </c>
      <c r="M4714" t="n">
        <v>0</v>
      </c>
      <c r="N4714" t="n">
        <v>0</v>
      </c>
      <c r="O4714" t="n">
        <v>0</v>
      </c>
      <c r="P4714" t="n">
        <v>0</v>
      </c>
      <c r="Q4714" t="n">
        <v>0</v>
      </c>
      <c r="R4714" s="2" t="inlineStr"/>
    </row>
    <row r="4715" ht="15" customHeight="1">
      <c r="A4715" t="inlineStr">
        <is>
          <t>A 46761-2023</t>
        </is>
      </c>
      <c r="B4715" s="1" t="n">
        <v>45198</v>
      </c>
      <c r="C4715" s="1" t="n">
        <v>45952</v>
      </c>
      <c r="D4715" t="inlineStr">
        <is>
          <t>VÄSTRA GÖTALANDS LÄN</t>
        </is>
      </c>
      <c r="E4715" t="inlineStr">
        <is>
          <t>MELLERUD</t>
        </is>
      </c>
      <c r="G4715" t="n">
        <v>1.3</v>
      </c>
      <c r="H4715" t="n">
        <v>0</v>
      </c>
      <c r="I4715" t="n">
        <v>0</v>
      </c>
      <c r="J4715" t="n">
        <v>0</v>
      </c>
      <c r="K4715" t="n">
        <v>0</v>
      </c>
      <c r="L4715" t="n">
        <v>0</v>
      </c>
      <c r="M4715" t="n">
        <v>0</v>
      </c>
      <c r="N4715" t="n">
        <v>0</v>
      </c>
      <c r="O4715" t="n">
        <v>0</v>
      </c>
      <c r="P4715" t="n">
        <v>0</v>
      </c>
      <c r="Q4715" t="n">
        <v>0</v>
      </c>
      <c r="R4715" s="2" t="inlineStr"/>
    </row>
    <row r="4716" ht="15" customHeight="1">
      <c r="A4716" t="inlineStr">
        <is>
          <t>A 39702-2023</t>
        </is>
      </c>
      <c r="B4716" s="1" t="n">
        <v>45167.60326388889</v>
      </c>
      <c r="C4716" s="1" t="n">
        <v>45952</v>
      </c>
      <c r="D4716" t="inlineStr">
        <is>
          <t>VÄSTRA GÖTALANDS LÄN</t>
        </is>
      </c>
      <c r="E4716" t="inlineStr">
        <is>
          <t>BENGTSFORS</t>
        </is>
      </c>
      <c r="G4716" t="n">
        <v>0.5</v>
      </c>
      <c r="H4716" t="n">
        <v>0</v>
      </c>
      <c r="I4716" t="n">
        <v>0</v>
      </c>
      <c r="J4716" t="n">
        <v>0</v>
      </c>
      <c r="K4716" t="n">
        <v>0</v>
      </c>
      <c r="L4716" t="n">
        <v>0</v>
      </c>
      <c r="M4716" t="n">
        <v>0</v>
      </c>
      <c r="N4716" t="n">
        <v>0</v>
      </c>
      <c r="O4716" t="n">
        <v>0</v>
      </c>
      <c r="P4716" t="n">
        <v>0</v>
      </c>
      <c r="Q4716" t="n">
        <v>0</v>
      </c>
      <c r="R4716" s="2" t="inlineStr"/>
    </row>
    <row r="4717" ht="15" customHeight="1">
      <c r="A4717" t="inlineStr">
        <is>
          <t>A 14817-2022</t>
        </is>
      </c>
      <c r="B4717" s="1" t="n">
        <v>44656.50299768519</v>
      </c>
      <c r="C4717" s="1" t="n">
        <v>45952</v>
      </c>
      <c r="D4717" t="inlineStr">
        <is>
          <t>VÄSTRA GÖTALANDS LÄN</t>
        </is>
      </c>
      <c r="E4717" t="inlineStr">
        <is>
          <t>ULRICEHAMN</t>
        </is>
      </c>
      <c r="G4717" t="n">
        <v>2.4</v>
      </c>
      <c r="H4717" t="n">
        <v>0</v>
      </c>
      <c r="I4717" t="n">
        <v>0</v>
      </c>
      <c r="J4717" t="n">
        <v>0</v>
      </c>
      <c r="K4717" t="n">
        <v>0</v>
      </c>
      <c r="L4717" t="n">
        <v>0</v>
      </c>
      <c r="M4717" t="n">
        <v>0</v>
      </c>
      <c r="N4717" t="n">
        <v>0</v>
      </c>
      <c r="O4717" t="n">
        <v>0</v>
      </c>
      <c r="P4717" t="n">
        <v>0</v>
      </c>
      <c r="Q4717" t="n">
        <v>0</v>
      </c>
      <c r="R4717" s="2" t="inlineStr"/>
    </row>
    <row r="4718" ht="15" customHeight="1">
      <c r="A4718" t="inlineStr">
        <is>
          <t>A 10655-2022</t>
        </is>
      </c>
      <c r="B4718" s="1" t="n">
        <v>44624</v>
      </c>
      <c r="C4718" s="1" t="n">
        <v>45952</v>
      </c>
      <c r="D4718" t="inlineStr">
        <is>
          <t>VÄSTRA GÖTALANDS LÄN</t>
        </is>
      </c>
      <c r="E4718" t="inlineStr">
        <is>
          <t>KUNGÄLV</t>
        </is>
      </c>
      <c r="G4718" t="n">
        <v>13.3</v>
      </c>
      <c r="H4718" t="n">
        <v>0</v>
      </c>
      <c r="I4718" t="n">
        <v>0</v>
      </c>
      <c r="J4718" t="n">
        <v>0</v>
      </c>
      <c r="K4718" t="n">
        <v>0</v>
      </c>
      <c r="L4718" t="n">
        <v>0</v>
      </c>
      <c r="M4718" t="n">
        <v>0</v>
      </c>
      <c r="N4718" t="n">
        <v>0</v>
      </c>
      <c r="O4718" t="n">
        <v>0</v>
      </c>
      <c r="P4718" t="n">
        <v>0</v>
      </c>
      <c r="Q4718" t="n">
        <v>0</v>
      </c>
      <c r="R4718" s="2" t="inlineStr"/>
    </row>
    <row r="4719" ht="15" customHeight="1">
      <c r="A4719" t="inlineStr">
        <is>
          <t>A 6469-2021</t>
        </is>
      </c>
      <c r="B4719" s="1" t="n">
        <v>44235</v>
      </c>
      <c r="C4719" s="1" t="n">
        <v>45952</v>
      </c>
      <c r="D4719" t="inlineStr">
        <is>
          <t>VÄSTRA GÖTALANDS LÄN</t>
        </is>
      </c>
      <c r="E4719" t="inlineStr">
        <is>
          <t>VÄNERSBORG</t>
        </is>
      </c>
      <c r="G4719" t="n">
        <v>1.8</v>
      </c>
      <c r="H4719" t="n">
        <v>0</v>
      </c>
      <c r="I4719" t="n">
        <v>0</v>
      </c>
      <c r="J4719" t="n">
        <v>0</v>
      </c>
      <c r="K4719" t="n">
        <v>0</v>
      </c>
      <c r="L4719" t="n">
        <v>0</v>
      </c>
      <c r="M4719" t="n">
        <v>0</v>
      </c>
      <c r="N4719" t="n">
        <v>0</v>
      </c>
      <c r="O4719" t="n">
        <v>0</v>
      </c>
      <c r="P4719" t="n">
        <v>0</v>
      </c>
      <c r="Q4719" t="n">
        <v>0</v>
      </c>
      <c r="R4719" s="2" t="inlineStr"/>
    </row>
    <row r="4720" ht="15" customHeight="1">
      <c r="A4720" t="inlineStr">
        <is>
          <t>A 22416-2023</t>
        </is>
      </c>
      <c r="B4720" s="1" t="n">
        <v>45070</v>
      </c>
      <c r="C4720" s="1" t="n">
        <v>45952</v>
      </c>
      <c r="D4720" t="inlineStr">
        <is>
          <t>VÄSTRA GÖTALANDS LÄN</t>
        </is>
      </c>
      <c r="E4720" t="inlineStr">
        <is>
          <t>ULRICEHAMN</t>
        </is>
      </c>
      <c r="G4720" t="n">
        <v>0.5</v>
      </c>
      <c r="H4720" t="n">
        <v>0</v>
      </c>
      <c r="I4720" t="n">
        <v>0</v>
      </c>
      <c r="J4720" t="n">
        <v>0</v>
      </c>
      <c r="K4720" t="n">
        <v>0</v>
      </c>
      <c r="L4720" t="n">
        <v>0</v>
      </c>
      <c r="M4720" t="n">
        <v>0</v>
      </c>
      <c r="N4720" t="n">
        <v>0</v>
      </c>
      <c r="O4720" t="n">
        <v>0</v>
      </c>
      <c r="P4720" t="n">
        <v>0</v>
      </c>
      <c r="Q4720" t="n">
        <v>0</v>
      </c>
      <c r="R4720" s="2" t="inlineStr"/>
    </row>
    <row r="4721" ht="15" customHeight="1">
      <c r="A4721" t="inlineStr">
        <is>
          <t>A 16747-2023</t>
        </is>
      </c>
      <c r="B4721" s="1" t="n">
        <v>45030</v>
      </c>
      <c r="C4721" s="1" t="n">
        <v>45952</v>
      </c>
      <c r="D4721" t="inlineStr">
        <is>
          <t>VÄSTRA GÖTALANDS LÄN</t>
        </is>
      </c>
      <c r="E4721" t="inlineStr">
        <is>
          <t>VÄNERSBORG</t>
        </is>
      </c>
      <c r="G4721" t="n">
        <v>0.2</v>
      </c>
      <c r="H4721" t="n">
        <v>0</v>
      </c>
      <c r="I4721" t="n">
        <v>0</v>
      </c>
      <c r="J4721" t="n">
        <v>0</v>
      </c>
      <c r="K4721" t="n">
        <v>0</v>
      </c>
      <c r="L4721" t="n">
        <v>0</v>
      </c>
      <c r="M4721" t="n">
        <v>0</v>
      </c>
      <c r="N4721" t="n">
        <v>0</v>
      </c>
      <c r="O4721" t="n">
        <v>0</v>
      </c>
      <c r="P4721" t="n">
        <v>0</v>
      </c>
      <c r="Q4721" t="n">
        <v>0</v>
      </c>
      <c r="R4721" s="2" t="inlineStr"/>
    </row>
    <row r="4722" ht="15" customHeight="1">
      <c r="A4722" t="inlineStr">
        <is>
          <t>A 11815-2023</t>
        </is>
      </c>
      <c r="B4722" s="1" t="n">
        <v>44994.81083333334</v>
      </c>
      <c r="C4722" s="1" t="n">
        <v>45952</v>
      </c>
      <c r="D4722" t="inlineStr">
        <is>
          <t>VÄSTRA GÖTALANDS LÄN</t>
        </is>
      </c>
      <c r="E4722" t="inlineStr">
        <is>
          <t>MARIESTAD</t>
        </is>
      </c>
      <c r="G4722" t="n">
        <v>2.5</v>
      </c>
      <c r="H4722" t="n">
        <v>0</v>
      </c>
      <c r="I4722" t="n">
        <v>0</v>
      </c>
      <c r="J4722" t="n">
        <v>0</v>
      </c>
      <c r="K4722" t="n">
        <v>0</v>
      </c>
      <c r="L4722" t="n">
        <v>0</v>
      </c>
      <c r="M4722" t="n">
        <v>0</v>
      </c>
      <c r="N4722" t="n">
        <v>0</v>
      </c>
      <c r="O4722" t="n">
        <v>0</v>
      </c>
      <c r="P4722" t="n">
        <v>0</v>
      </c>
      <c r="Q4722" t="n">
        <v>0</v>
      </c>
      <c r="R4722" s="2" t="inlineStr"/>
    </row>
    <row r="4723" ht="15" customHeight="1">
      <c r="A4723" t="inlineStr">
        <is>
          <t>A 61010-2023</t>
        </is>
      </c>
      <c r="B4723" s="1" t="n">
        <v>45261.53189814815</v>
      </c>
      <c r="C4723" s="1" t="n">
        <v>45952</v>
      </c>
      <c r="D4723" t="inlineStr">
        <is>
          <t>VÄSTRA GÖTALANDS LÄN</t>
        </is>
      </c>
      <c r="E4723" t="inlineStr">
        <is>
          <t>MARK</t>
        </is>
      </c>
      <c r="G4723" t="n">
        <v>10.2</v>
      </c>
      <c r="H4723" t="n">
        <v>0</v>
      </c>
      <c r="I4723" t="n">
        <v>0</v>
      </c>
      <c r="J4723" t="n">
        <v>0</v>
      </c>
      <c r="K4723" t="n">
        <v>0</v>
      </c>
      <c r="L4723" t="n">
        <v>0</v>
      </c>
      <c r="M4723" t="n">
        <v>0</v>
      </c>
      <c r="N4723" t="n">
        <v>0</v>
      </c>
      <c r="O4723" t="n">
        <v>0</v>
      </c>
      <c r="P4723" t="n">
        <v>0</v>
      </c>
      <c r="Q4723" t="n">
        <v>0</v>
      </c>
      <c r="R4723" s="2" t="inlineStr"/>
    </row>
    <row r="4724" ht="15" customHeight="1">
      <c r="A4724" t="inlineStr">
        <is>
          <t>A 15309-2025</t>
        </is>
      </c>
      <c r="B4724" s="1" t="n">
        <v>45746.78952546296</v>
      </c>
      <c r="C4724" s="1" t="n">
        <v>45952</v>
      </c>
      <c r="D4724" t="inlineStr">
        <is>
          <t>VÄSTRA GÖTALANDS LÄN</t>
        </is>
      </c>
      <c r="E4724" t="inlineStr">
        <is>
          <t>TRANEMO</t>
        </is>
      </c>
      <c r="G4724" t="n">
        <v>1.4</v>
      </c>
      <c r="H4724" t="n">
        <v>0</v>
      </c>
      <c r="I4724" t="n">
        <v>0</v>
      </c>
      <c r="J4724" t="n">
        <v>0</v>
      </c>
      <c r="K4724" t="n">
        <v>0</v>
      </c>
      <c r="L4724" t="n">
        <v>0</v>
      </c>
      <c r="M4724" t="n">
        <v>0</v>
      </c>
      <c r="N4724" t="n">
        <v>0</v>
      </c>
      <c r="O4724" t="n">
        <v>0</v>
      </c>
      <c r="P4724" t="n">
        <v>0</v>
      </c>
      <c r="Q4724" t="n">
        <v>0</v>
      </c>
      <c r="R4724" s="2" t="inlineStr"/>
    </row>
    <row r="4725" ht="15" customHeight="1">
      <c r="A4725" t="inlineStr">
        <is>
          <t>A 15313-2025</t>
        </is>
      </c>
      <c r="B4725" s="1" t="n">
        <v>45746</v>
      </c>
      <c r="C4725" s="1" t="n">
        <v>45952</v>
      </c>
      <c r="D4725" t="inlineStr">
        <is>
          <t>VÄSTRA GÖTALANDS LÄN</t>
        </is>
      </c>
      <c r="E4725" t="inlineStr">
        <is>
          <t>FALKÖPING</t>
        </is>
      </c>
      <c r="G4725" t="n">
        <v>10</v>
      </c>
      <c r="H4725" t="n">
        <v>0</v>
      </c>
      <c r="I4725" t="n">
        <v>0</v>
      </c>
      <c r="J4725" t="n">
        <v>0</v>
      </c>
      <c r="K4725" t="n">
        <v>0</v>
      </c>
      <c r="L4725" t="n">
        <v>0</v>
      </c>
      <c r="M4725" t="n">
        <v>0</v>
      </c>
      <c r="N4725" t="n">
        <v>0</v>
      </c>
      <c r="O4725" t="n">
        <v>0</v>
      </c>
      <c r="P4725" t="n">
        <v>0</v>
      </c>
      <c r="Q4725" t="n">
        <v>0</v>
      </c>
      <c r="R4725" s="2" t="inlineStr"/>
    </row>
    <row r="4726" ht="15" customHeight="1">
      <c r="A4726" t="inlineStr">
        <is>
          <t>A 43877-2024</t>
        </is>
      </c>
      <c r="B4726" s="1" t="n">
        <v>45572.38883101852</v>
      </c>
      <c r="C4726" s="1" t="n">
        <v>45952</v>
      </c>
      <c r="D4726" t="inlineStr">
        <is>
          <t>VÄSTRA GÖTALANDS LÄN</t>
        </is>
      </c>
      <c r="E4726" t="inlineStr">
        <is>
          <t>SVENLJUNGA</t>
        </is>
      </c>
      <c r="G4726" t="n">
        <v>0.7</v>
      </c>
      <c r="H4726" t="n">
        <v>0</v>
      </c>
      <c r="I4726" t="n">
        <v>0</v>
      </c>
      <c r="J4726" t="n">
        <v>0</v>
      </c>
      <c r="K4726" t="n">
        <v>0</v>
      </c>
      <c r="L4726" t="n">
        <v>0</v>
      </c>
      <c r="M4726" t="n">
        <v>0</v>
      </c>
      <c r="N4726" t="n">
        <v>0</v>
      </c>
      <c r="O4726" t="n">
        <v>0</v>
      </c>
      <c r="P4726" t="n">
        <v>0</v>
      </c>
      <c r="Q4726" t="n">
        <v>0</v>
      </c>
      <c r="R4726" s="2" t="inlineStr"/>
    </row>
    <row r="4727" ht="15" customHeight="1">
      <c r="A4727" t="inlineStr">
        <is>
          <t>A 8474-2025</t>
        </is>
      </c>
      <c r="B4727" s="1" t="n">
        <v>45709.47657407408</v>
      </c>
      <c r="C4727" s="1" t="n">
        <v>45952</v>
      </c>
      <c r="D4727" t="inlineStr">
        <is>
          <t>VÄSTRA GÖTALANDS LÄN</t>
        </is>
      </c>
      <c r="E4727" t="inlineStr">
        <is>
          <t>MARIESTAD</t>
        </is>
      </c>
      <c r="G4727" t="n">
        <v>3.9</v>
      </c>
      <c r="H4727" t="n">
        <v>0</v>
      </c>
      <c r="I4727" t="n">
        <v>0</v>
      </c>
      <c r="J4727" t="n">
        <v>0</v>
      </c>
      <c r="K4727" t="n">
        <v>0</v>
      </c>
      <c r="L4727" t="n">
        <v>0</v>
      </c>
      <c r="M4727" t="n">
        <v>0</v>
      </c>
      <c r="N4727" t="n">
        <v>0</v>
      </c>
      <c r="O4727" t="n">
        <v>0</v>
      </c>
      <c r="P4727" t="n">
        <v>0</v>
      </c>
      <c r="Q4727" t="n">
        <v>0</v>
      </c>
      <c r="R4727" s="2" t="inlineStr"/>
    </row>
    <row r="4728" ht="15" customHeight="1">
      <c r="A4728" t="inlineStr">
        <is>
          <t>A 16867-2023</t>
        </is>
      </c>
      <c r="B4728" s="1" t="n">
        <v>45033</v>
      </c>
      <c r="C4728" s="1" t="n">
        <v>45952</v>
      </c>
      <c r="D4728" t="inlineStr">
        <is>
          <t>VÄSTRA GÖTALANDS LÄN</t>
        </is>
      </c>
      <c r="E4728" t="inlineStr">
        <is>
          <t>MARIESTAD</t>
        </is>
      </c>
      <c r="G4728" t="n">
        <v>0.6</v>
      </c>
      <c r="H4728" t="n">
        <v>0</v>
      </c>
      <c r="I4728" t="n">
        <v>0</v>
      </c>
      <c r="J4728" t="n">
        <v>0</v>
      </c>
      <c r="K4728" t="n">
        <v>0</v>
      </c>
      <c r="L4728" t="n">
        <v>0</v>
      </c>
      <c r="M4728" t="n">
        <v>0</v>
      </c>
      <c r="N4728" t="n">
        <v>0</v>
      </c>
      <c r="O4728" t="n">
        <v>0</v>
      </c>
      <c r="P4728" t="n">
        <v>0</v>
      </c>
      <c r="Q4728" t="n">
        <v>0</v>
      </c>
      <c r="R4728" s="2" t="inlineStr"/>
    </row>
    <row r="4729" ht="15" customHeight="1">
      <c r="A4729" t="inlineStr">
        <is>
          <t>A 56452-2022</t>
        </is>
      </c>
      <c r="B4729" s="1" t="n">
        <v>44893.2884375</v>
      </c>
      <c r="C4729" s="1" t="n">
        <v>45952</v>
      </c>
      <c r="D4729" t="inlineStr">
        <is>
          <t>VÄSTRA GÖTALANDS LÄN</t>
        </is>
      </c>
      <c r="E4729" t="inlineStr">
        <is>
          <t>BOLLEBYGD</t>
        </is>
      </c>
      <c r="G4729" t="n">
        <v>1</v>
      </c>
      <c r="H4729" t="n">
        <v>0</v>
      </c>
      <c r="I4729" t="n">
        <v>0</v>
      </c>
      <c r="J4729" t="n">
        <v>0</v>
      </c>
      <c r="K4729" t="n">
        <v>0</v>
      </c>
      <c r="L4729" t="n">
        <v>0</v>
      </c>
      <c r="M4729" t="n">
        <v>0</v>
      </c>
      <c r="N4729" t="n">
        <v>0</v>
      </c>
      <c r="O4729" t="n">
        <v>0</v>
      </c>
      <c r="P4729" t="n">
        <v>0</v>
      </c>
      <c r="Q4729" t="n">
        <v>0</v>
      </c>
      <c r="R4729" s="2" t="inlineStr"/>
    </row>
    <row r="4730" ht="15" customHeight="1">
      <c r="A4730" t="inlineStr">
        <is>
          <t>A 39081-2022</t>
        </is>
      </c>
      <c r="B4730" s="1" t="n">
        <v>44817.40581018518</v>
      </c>
      <c r="C4730" s="1" t="n">
        <v>45952</v>
      </c>
      <c r="D4730" t="inlineStr">
        <is>
          <t>VÄSTRA GÖTALANDS LÄN</t>
        </is>
      </c>
      <c r="E4730" t="inlineStr">
        <is>
          <t>GÖTENE</t>
        </is>
      </c>
      <c r="G4730" t="n">
        <v>1.6</v>
      </c>
      <c r="H4730" t="n">
        <v>0</v>
      </c>
      <c r="I4730" t="n">
        <v>0</v>
      </c>
      <c r="J4730" t="n">
        <v>0</v>
      </c>
      <c r="K4730" t="n">
        <v>0</v>
      </c>
      <c r="L4730" t="n">
        <v>0</v>
      </c>
      <c r="M4730" t="n">
        <v>0</v>
      </c>
      <c r="N4730" t="n">
        <v>0</v>
      </c>
      <c r="O4730" t="n">
        <v>0</v>
      </c>
      <c r="P4730" t="n">
        <v>0</v>
      </c>
      <c r="Q4730" t="n">
        <v>0</v>
      </c>
      <c r="R4730" s="2" t="inlineStr"/>
    </row>
    <row r="4731" ht="15" customHeight="1">
      <c r="A4731" t="inlineStr">
        <is>
          <t>A 62190-2023</t>
        </is>
      </c>
      <c r="B4731" s="1" t="n">
        <v>45267.45762731481</v>
      </c>
      <c r="C4731" s="1" t="n">
        <v>45952</v>
      </c>
      <c r="D4731" t="inlineStr">
        <is>
          <t>VÄSTRA GÖTALANDS LÄN</t>
        </is>
      </c>
      <c r="E4731" t="inlineStr">
        <is>
          <t>BENGTSFORS</t>
        </is>
      </c>
      <c r="G4731" t="n">
        <v>5.3</v>
      </c>
      <c r="H4731" t="n">
        <v>0</v>
      </c>
      <c r="I4731" t="n">
        <v>0</v>
      </c>
      <c r="J4731" t="n">
        <v>0</v>
      </c>
      <c r="K4731" t="n">
        <v>0</v>
      </c>
      <c r="L4731" t="n">
        <v>0</v>
      </c>
      <c r="M4731" t="n">
        <v>0</v>
      </c>
      <c r="N4731" t="n">
        <v>0</v>
      </c>
      <c r="O4731" t="n">
        <v>0</v>
      </c>
      <c r="P4731" t="n">
        <v>0</v>
      </c>
      <c r="Q4731" t="n">
        <v>0</v>
      </c>
      <c r="R4731" s="2" t="inlineStr"/>
    </row>
    <row r="4732" ht="15" customHeight="1">
      <c r="A4732" t="inlineStr">
        <is>
          <t>A 40651-2024</t>
        </is>
      </c>
      <c r="B4732" s="1" t="n">
        <v>45558.33138888889</v>
      </c>
      <c r="C4732" s="1" t="n">
        <v>45952</v>
      </c>
      <c r="D4732" t="inlineStr">
        <is>
          <t>VÄSTRA GÖTALANDS LÄN</t>
        </is>
      </c>
      <c r="E4732" t="inlineStr">
        <is>
          <t>MARIESTAD</t>
        </is>
      </c>
      <c r="G4732" t="n">
        <v>3</v>
      </c>
      <c r="H4732" t="n">
        <v>0</v>
      </c>
      <c r="I4732" t="n">
        <v>0</v>
      </c>
      <c r="J4732" t="n">
        <v>0</v>
      </c>
      <c r="K4732" t="n">
        <v>0</v>
      </c>
      <c r="L4732" t="n">
        <v>0</v>
      </c>
      <c r="M4732" t="n">
        <v>0</v>
      </c>
      <c r="N4732" t="n">
        <v>0</v>
      </c>
      <c r="O4732" t="n">
        <v>0</v>
      </c>
      <c r="P4732" t="n">
        <v>0</v>
      </c>
      <c r="Q4732" t="n">
        <v>0</v>
      </c>
      <c r="R4732" s="2" t="inlineStr"/>
    </row>
    <row r="4733" ht="15" customHeight="1">
      <c r="A4733" t="inlineStr">
        <is>
          <t>A 56756-2024</t>
        </is>
      </c>
      <c r="B4733" s="1" t="n">
        <v>45628.39364583333</v>
      </c>
      <c r="C4733" s="1" t="n">
        <v>45952</v>
      </c>
      <c r="D4733" t="inlineStr">
        <is>
          <t>VÄSTRA GÖTALANDS LÄN</t>
        </is>
      </c>
      <c r="E4733" t="inlineStr">
        <is>
          <t>TIDAHOLM</t>
        </is>
      </c>
      <c r="G4733" t="n">
        <v>1.4</v>
      </c>
      <c r="H4733" t="n">
        <v>0</v>
      </c>
      <c r="I4733" t="n">
        <v>0</v>
      </c>
      <c r="J4733" t="n">
        <v>0</v>
      </c>
      <c r="K4733" t="n">
        <v>0</v>
      </c>
      <c r="L4733" t="n">
        <v>0</v>
      </c>
      <c r="M4733" t="n">
        <v>0</v>
      </c>
      <c r="N4733" t="n">
        <v>0</v>
      </c>
      <c r="O4733" t="n">
        <v>0</v>
      </c>
      <c r="P4733" t="n">
        <v>0</v>
      </c>
      <c r="Q4733" t="n">
        <v>0</v>
      </c>
      <c r="R4733" s="2" t="inlineStr"/>
    </row>
    <row r="4734" ht="15" customHeight="1">
      <c r="A4734" t="inlineStr">
        <is>
          <t>A 15697-2023</t>
        </is>
      </c>
      <c r="B4734" s="1" t="n">
        <v>45021.49577546296</v>
      </c>
      <c r="C4734" s="1" t="n">
        <v>45952</v>
      </c>
      <c r="D4734" t="inlineStr">
        <is>
          <t>VÄSTRA GÖTALANDS LÄN</t>
        </is>
      </c>
      <c r="E4734" t="inlineStr">
        <is>
          <t>SVENLJUNGA</t>
        </is>
      </c>
      <c r="G4734" t="n">
        <v>5.2</v>
      </c>
      <c r="H4734" t="n">
        <v>0</v>
      </c>
      <c r="I4734" t="n">
        <v>0</v>
      </c>
      <c r="J4734" t="n">
        <v>0</v>
      </c>
      <c r="K4734" t="n">
        <v>0</v>
      </c>
      <c r="L4734" t="n">
        <v>0</v>
      </c>
      <c r="M4734" t="n">
        <v>0</v>
      </c>
      <c r="N4734" t="n">
        <v>0</v>
      </c>
      <c r="O4734" t="n">
        <v>0</v>
      </c>
      <c r="P4734" t="n">
        <v>0</v>
      </c>
      <c r="Q4734" t="n">
        <v>0</v>
      </c>
      <c r="R4734" s="2" t="inlineStr"/>
    </row>
    <row r="4735" ht="15" customHeight="1">
      <c r="A4735" t="inlineStr">
        <is>
          <t>A 62781-2023</t>
        </is>
      </c>
      <c r="B4735" s="1" t="n">
        <v>45268</v>
      </c>
      <c r="C4735" s="1" t="n">
        <v>45952</v>
      </c>
      <c r="D4735" t="inlineStr">
        <is>
          <t>VÄSTRA GÖTALANDS LÄN</t>
        </is>
      </c>
      <c r="E4735" t="inlineStr">
        <is>
          <t>TÖREBODA</t>
        </is>
      </c>
      <c r="G4735" t="n">
        <v>1.7</v>
      </c>
      <c r="H4735" t="n">
        <v>0</v>
      </c>
      <c r="I4735" t="n">
        <v>0</v>
      </c>
      <c r="J4735" t="n">
        <v>0</v>
      </c>
      <c r="K4735" t="n">
        <v>0</v>
      </c>
      <c r="L4735" t="n">
        <v>0</v>
      </c>
      <c r="M4735" t="n">
        <v>0</v>
      </c>
      <c r="N4735" t="n">
        <v>0</v>
      </c>
      <c r="O4735" t="n">
        <v>0</v>
      </c>
      <c r="P4735" t="n">
        <v>0</v>
      </c>
      <c r="Q4735" t="n">
        <v>0</v>
      </c>
      <c r="R4735" s="2" t="inlineStr"/>
    </row>
    <row r="4736" ht="15" customHeight="1">
      <c r="A4736" t="inlineStr">
        <is>
          <t>A 52321-2023</t>
        </is>
      </c>
      <c r="B4736" s="1" t="n">
        <v>45224.64361111111</v>
      </c>
      <c r="C4736" s="1" t="n">
        <v>45952</v>
      </c>
      <c r="D4736" t="inlineStr">
        <is>
          <t>VÄSTRA GÖTALANDS LÄN</t>
        </is>
      </c>
      <c r="E4736" t="inlineStr">
        <is>
          <t>ÅMÅL</t>
        </is>
      </c>
      <c r="G4736" t="n">
        <v>1.1</v>
      </c>
      <c r="H4736" t="n">
        <v>0</v>
      </c>
      <c r="I4736" t="n">
        <v>0</v>
      </c>
      <c r="J4736" t="n">
        <v>0</v>
      </c>
      <c r="K4736" t="n">
        <v>0</v>
      </c>
      <c r="L4736" t="n">
        <v>0</v>
      </c>
      <c r="M4736" t="n">
        <v>0</v>
      </c>
      <c r="N4736" t="n">
        <v>0</v>
      </c>
      <c r="O4736" t="n">
        <v>0</v>
      </c>
      <c r="P4736" t="n">
        <v>0</v>
      </c>
      <c r="Q4736" t="n">
        <v>0</v>
      </c>
      <c r="R4736" s="2" t="inlineStr"/>
    </row>
    <row r="4737" ht="15" customHeight="1">
      <c r="A4737" t="inlineStr">
        <is>
          <t>A 60177-2023</t>
        </is>
      </c>
      <c r="B4737" s="1" t="n">
        <v>45258.56780092593</v>
      </c>
      <c r="C4737" s="1" t="n">
        <v>45952</v>
      </c>
      <c r="D4737" t="inlineStr">
        <is>
          <t>VÄSTRA GÖTALANDS LÄN</t>
        </is>
      </c>
      <c r="E4737" t="inlineStr">
        <is>
          <t>BENGTSFORS</t>
        </is>
      </c>
      <c r="G4737" t="n">
        <v>5.2</v>
      </c>
      <c r="H4737" t="n">
        <v>0</v>
      </c>
      <c r="I4737" t="n">
        <v>0</v>
      </c>
      <c r="J4737" t="n">
        <v>0</v>
      </c>
      <c r="K4737" t="n">
        <v>0</v>
      </c>
      <c r="L4737" t="n">
        <v>0</v>
      </c>
      <c r="M4737" t="n">
        <v>0</v>
      </c>
      <c r="N4737" t="n">
        <v>0</v>
      </c>
      <c r="O4737" t="n">
        <v>0</v>
      </c>
      <c r="P4737" t="n">
        <v>0</v>
      </c>
      <c r="Q4737" t="n">
        <v>0</v>
      </c>
      <c r="R4737" s="2" t="inlineStr"/>
    </row>
    <row r="4738" ht="15" customHeight="1">
      <c r="A4738" t="inlineStr">
        <is>
          <t>A 6653-2022</t>
        </is>
      </c>
      <c r="B4738" s="1" t="n">
        <v>44602</v>
      </c>
      <c r="C4738" s="1" t="n">
        <v>45952</v>
      </c>
      <c r="D4738" t="inlineStr">
        <is>
          <t>VÄSTRA GÖTALANDS LÄN</t>
        </is>
      </c>
      <c r="E4738" t="inlineStr">
        <is>
          <t>BOLLEBYGD</t>
        </is>
      </c>
      <c r="G4738" t="n">
        <v>0.5</v>
      </c>
      <c r="H4738" t="n">
        <v>0</v>
      </c>
      <c r="I4738" t="n">
        <v>0</v>
      </c>
      <c r="J4738" t="n">
        <v>0</v>
      </c>
      <c r="K4738" t="n">
        <v>0</v>
      </c>
      <c r="L4738" t="n">
        <v>0</v>
      </c>
      <c r="M4738" t="n">
        <v>0</v>
      </c>
      <c r="N4738" t="n">
        <v>0</v>
      </c>
      <c r="O4738" t="n">
        <v>0</v>
      </c>
      <c r="P4738" t="n">
        <v>0</v>
      </c>
      <c r="Q4738" t="n">
        <v>0</v>
      </c>
      <c r="R4738" s="2" t="inlineStr"/>
    </row>
    <row r="4739" ht="15" customHeight="1">
      <c r="A4739" t="inlineStr">
        <is>
          <t>A 15192-2023</t>
        </is>
      </c>
      <c r="B4739" s="1" t="n">
        <v>45016.7299537037</v>
      </c>
      <c r="C4739" s="1" t="n">
        <v>45952</v>
      </c>
      <c r="D4739" t="inlineStr">
        <is>
          <t>VÄSTRA GÖTALANDS LÄN</t>
        </is>
      </c>
      <c r="E4739" t="inlineStr">
        <is>
          <t>HERRLJUNGA</t>
        </is>
      </c>
      <c r="G4739" t="n">
        <v>1.8</v>
      </c>
      <c r="H4739" t="n">
        <v>0</v>
      </c>
      <c r="I4739" t="n">
        <v>0</v>
      </c>
      <c r="J4739" t="n">
        <v>0</v>
      </c>
      <c r="K4739" t="n">
        <v>0</v>
      </c>
      <c r="L4739" t="n">
        <v>0</v>
      </c>
      <c r="M4739" t="n">
        <v>0</v>
      </c>
      <c r="N4739" t="n">
        <v>0</v>
      </c>
      <c r="O4739" t="n">
        <v>0</v>
      </c>
      <c r="P4739" t="n">
        <v>0</v>
      </c>
      <c r="Q4739" t="n">
        <v>0</v>
      </c>
      <c r="R4739" s="2" t="inlineStr"/>
    </row>
    <row r="4740" ht="15" customHeight="1">
      <c r="A4740" t="inlineStr">
        <is>
          <t>A 19095-2023</t>
        </is>
      </c>
      <c r="B4740" s="1" t="n">
        <v>45048.4243287037</v>
      </c>
      <c r="C4740" s="1" t="n">
        <v>45952</v>
      </c>
      <c r="D4740" t="inlineStr">
        <is>
          <t>VÄSTRA GÖTALANDS LÄN</t>
        </is>
      </c>
      <c r="E4740" t="inlineStr">
        <is>
          <t>BORÅS</t>
        </is>
      </c>
      <c r="G4740" t="n">
        <v>0.4</v>
      </c>
      <c r="H4740" t="n">
        <v>0</v>
      </c>
      <c r="I4740" t="n">
        <v>0</v>
      </c>
      <c r="J4740" t="n">
        <v>0</v>
      </c>
      <c r="K4740" t="n">
        <v>0</v>
      </c>
      <c r="L4740" t="n">
        <v>0</v>
      </c>
      <c r="M4740" t="n">
        <v>0</v>
      </c>
      <c r="N4740" t="n">
        <v>0</v>
      </c>
      <c r="O4740" t="n">
        <v>0</v>
      </c>
      <c r="P4740" t="n">
        <v>0</v>
      </c>
      <c r="Q4740" t="n">
        <v>0</v>
      </c>
      <c r="R4740" s="2" t="inlineStr"/>
    </row>
    <row r="4741" ht="15" customHeight="1">
      <c r="A4741" t="inlineStr">
        <is>
          <t>A 7001-2025</t>
        </is>
      </c>
      <c r="B4741" s="1" t="n">
        <v>45701.5966550926</v>
      </c>
      <c r="C4741" s="1" t="n">
        <v>45952</v>
      </c>
      <c r="D4741" t="inlineStr">
        <is>
          <t>VÄSTRA GÖTALANDS LÄN</t>
        </is>
      </c>
      <c r="E4741" t="inlineStr">
        <is>
          <t>TRANEMO</t>
        </is>
      </c>
      <c r="G4741" t="n">
        <v>0.6</v>
      </c>
      <c r="H4741" t="n">
        <v>0</v>
      </c>
      <c r="I4741" t="n">
        <v>0</v>
      </c>
      <c r="J4741" t="n">
        <v>0</v>
      </c>
      <c r="K4741" t="n">
        <v>0</v>
      </c>
      <c r="L4741" t="n">
        <v>0</v>
      </c>
      <c r="M4741" t="n">
        <v>0</v>
      </c>
      <c r="N4741" t="n">
        <v>0</v>
      </c>
      <c r="O4741" t="n">
        <v>0</v>
      </c>
      <c r="P4741" t="n">
        <v>0</v>
      </c>
      <c r="Q4741" t="n">
        <v>0</v>
      </c>
      <c r="R4741" s="2" t="inlineStr"/>
    </row>
    <row r="4742" ht="15" customHeight="1">
      <c r="A4742" t="inlineStr">
        <is>
          <t>A 18769-2025</t>
        </is>
      </c>
      <c r="B4742" s="1" t="n">
        <v>45764.29959490741</v>
      </c>
      <c r="C4742" s="1" t="n">
        <v>45952</v>
      </c>
      <c r="D4742" t="inlineStr">
        <is>
          <t>VÄSTRA GÖTALANDS LÄN</t>
        </is>
      </c>
      <c r="E4742" t="inlineStr">
        <is>
          <t>BENGTSFORS</t>
        </is>
      </c>
      <c r="G4742" t="n">
        <v>2.2</v>
      </c>
      <c r="H4742" t="n">
        <v>0</v>
      </c>
      <c r="I4742" t="n">
        <v>0</v>
      </c>
      <c r="J4742" t="n">
        <v>0</v>
      </c>
      <c r="K4742" t="n">
        <v>0</v>
      </c>
      <c r="L4742" t="n">
        <v>0</v>
      </c>
      <c r="M4742" t="n">
        <v>0</v>
      </c>
      <c r="N4742" t="n">
        <v>0</v>
      </c>
      <c r="O4742" t="n">
        <v>0</v>
      </c>
      <c r="P4742" t="n">
        <v>0</v>
      </c>
      <c r="Q4742" t="n">
        <v>0</v>
      </c>
      <c r="R4742" s="2" t="inlineStr"/>
    </row>
    <row r="4743" ht="15" customHeight="1">
      <c r="A4743" t="inlineStr">
        <is>
          <t>A 4943-2025</t>
        </is>
      </c>
      <c r="B4743" s="1" t="n">
        <v>45688.77064814815</v>
      </c>
      <c r="C4743" s="1" t="n">
        <v>45952</v>
      </c>
      <c r="D4743" t="inlineStr">
        <is>
          <t>VÄSTRA GÖTALANDS LÄN</t>
        </is>
      </c>
      <c r="E4743" t="inlineStr">
        <is>
          <t>BORÅS</t>
        </is>
      </c>
      <c r="G4743" t="n">
        <v>1.2</v>
      </c>
      <c r="H4743" t="n">
        <v>0</v>
      </c>
      <c r="I4743" t="n">
        <v>0</v>
      </c>
      <c r="J4743" t="n">
        <v>0</v>
      </c>
      <c r="K4743" t="n">
        <v>0</v>
      </c>
      <c r="L4743" t="n">
        <v>0</v>
      </c>
      <c r="M4743" t="n">
        <v>0</v>
      </c>
      <c r="N4743" t="n">
        <v>0</v>
      </c>
      <c r="O4743" t="n">
        <v>0</v>
      </c>
      <c r="P4743" t="n">
        <v>0</v>
      </c>
      <c r="Q4743" t="n">
        <v>0</v>
      </c>
      <c r="R4743" s="2" t="inlineStr"/>
    </row>
    <row r="4744" ht="15" customHeight="1">
      <c r="A4744" t="inlineStr">
        <is>
          <t>A 27409-2024</t>
        </is>
      </c>
      <c r="B4744" s="1" t="n">
        <v>45474</v>
      </c>
      <c r="C4744" s="1" t="n">
        <v>45952</v>
      </c>
      <c r="D4744" t="inlineStr">
        <is>
          <t>VÄSTRA GÖTALANDS LÄN</t>
        </is>
      </c>
      <c r="E4744" t="inlineStr">
        <is>
          <t>MARK</t>
        </is>
      </c>
      <c r="G4744" t="n">
        <v>0.4</v>
      </c>
      <c r="H4744" t="n">
        <v>0</v>
      </c>
      <c r="I4744" t="n">
        <v>0</v>
      </c>
      <c r="J4744" t="n">
        <v>0</v>
      </c>
      <c r="K4744" t="n">
        <v>0</v>
      </c>
      <c r="L4744" t="n">
        <v>0</v>
      </c>
      <c r="M4744" t="n">
        <v>0</v>
      </c>
      <c r="N4744" t="n">
        <v>0</v>
      </c>
      <c r="O4744" t="n">
        <v>0</v>
      </c>
      <c r="P4744" t="n">
        <v>0</v>
      </c>
      <c r="Q4744" t="n">
        <v>0</v>
      </c>
      <c r="R4744" s="2" t="inlineStr"/>
    </row>
    <row r="4745" ht="15" customHeight="1">
      <c r="A4745" t="inlineStr">
        <is>
          <t>A 8291-2023</t>
        </is>
      </c>
      <c r="B4745" s="1" t="n">
        <v>44974</v>
      </c>
      <c r="C4745" s="1" t="n">
        <v>45952</v>
      </c>
      <c r="D4745" t="inlineStr">
        <is>
          <t>VÄSTRA GÖTALANDS LÄN</t>
        </is>
      </c>
      <c r="E4745" t="inlineStr">
        <is>
          <t>STRÖMSTAD</t>
        </is>
      </c>
      <c r="G4745" t="n">
        <v>17.3</v>
      </c>
      <c r="H4745" t="n">
        <v>0</v>
      </c>
      <c r="I4745" t="n">
        <v>0</v>
      </c>
      <c r="J4745" t="n">
        <v>0</v>
      </c>
      <c r="K4745" t="n">
        <v>0</v>
      </c>
      <c r="L4745" t="n">
        <v>0</v>
      </c>
      <c r="M4745" t="n">
        <v>0</v>
      </c>
      <c r="N4745" t="n">
        <v>0</v>
      </c>
      <c r="O4745" t="n">
        <v>0</v>
      </c>
      <c r="P4745" t="n">
        <v>0</v>
      </c>
      <c r="Q4745" t="n">
        <v>0</v>
      </c>
      <c r="R4745" s="2" t="inlineStr"/>
    </row>
    <row r="4746" ht="15" customHeight="1">
      <c r="A4746" t="inlineStr">
        <is>
          <t>A 983-2024</t>
        </is>
      </c>
      <c r="B4746" s="1" t="n">
        <v>45301</v>
      </c>
      <c r="C4746" s="1" t="n">
        <v>45952</v>
      </c>
      <c r="D4746" t="inlineStr">
        <is>
          <t>VÄSTRA GÖTALANDS LÄN</t>
        </is>
      </c>
      <c r="E4746" t="inlineStr">
        <is>
          <t>BORÅS</t>
        </is>
      </c>
      <c r="G4746" t="n">
        <v>4.9</v>
      </c>
      <c r="H4746" t="n">
        <v>0</v>
      </c>
      <c r="I4746" t="n">
        <v>0</v>
      </c>
      <c r="J4746" t="n">
        <v>0</v>
      </c>
      <c r="K4746" t="n">
        <v>0</v>
      </c>
      <c r="L4746" t="n">
        <v>0</v>
      </c>
      <c r="M4746" t="n">
        <v>0</v>
      </c>
      <c r="N4746" t="n">
        <v>0</v>
      </c>
      <c r="O4746" t="n">
        <v>0</v>
      </c>
      <c r="P4746" t="n">
        <v>0</v>
      </c>
      <c r="Q4746" t="n">
        <v>0</v>
      </c>
      <c r="R4746" s="2" t="inlineStr"/>
    </row>
    <row r="4747" ht="15" customHeight="1">
      <c r="A4747" t="inlineStr">
        <is>
          <t>A 10263-2021</t>
        </is>
      </c>
      <c r="B4747" s="1" t="n">
        <v>44256</v>
      </c>
      <c r="C4747" s="1" t="n">
        <v>45952</v>
      </c>
      <c r="D4747" t="inlineStr">
        <is>
          <t>VÄSTRA GÖTALANDS LÄN</t>
        </is>
      </c>
      <c r="E4747" t="inlineStr">
        <is>
          <t>FÄRGELANDA</t>
        </is>
      </c>
      <c r="G4747" t="n">
        <v>0.3</v>
      </c>
      <c r="H4747" t="n">
        <v>0</v>
      </c>
      <c r="I4747" t="n">
        <v>0</v>
      </c>
      <c r="J4747" t="n">
        <v>0</v>
      </c>
      <c r="K4747" t="n">
        <v>0</v>
      </c>
      <c r="L4747" t="n">
        <v>0</v>
      </c>
      <c r="M4747" t="n">
        <v>0</v>
      </c>
      <c r="N4747" t="n">
        <v>0</v>
      </c>
      <c r="O4747" t="n">
        <v>0</v>
      </c>
      <c r="P4747" t="n">
        <v>0</v>
      </c>
      <c r="Q4747" t="n">
        <v>0</v>
      </c>
      <c r="R4747" s="2" t="inlineStr"/>
    </row>
    <row r="4748" ht="15" customHeight="1">
      <c r="A4748" t="inlineStr">
        <is>
          <t>A 60923-2024</t>
        </is>
      </c>
      <c r="B4748" s="1" t="n">
        <v>45645.35217592592</v>
      </c>
      <c r="C4748" s="1" t="n">
        <v>45952</v>
      </c>
      <c r="D4748" t="inlineStr">
        <is>
          <t>VÄSTRA GÖTALANDS LÄN</t>
        </is>
      </c>
      <c r="E4748" t="inlineStr">
        <is>
          <t>TIDAHOLM</t>
        </is>
      </c>
      <c r="G4748" t="n">
        <v>3.4</v>
      </c>
      <c r="H4748" t="n">
        <v>0</v>
      </c>
      <c r="I4748" t="n">
        <v>0</v>
      </c>
      <c r="J4748" t="n">
        <v>0</v>
      </c>
      <c r="K4748" t="n">
        <v>0</v>
      </c>
      <c r="L4748" t="n">
        <v>0</v>
      </c>
      <c r="M4748" t="n">
        <v>0</v>
      </c>
      <c r="N4748" t="n">
        <v>0</v>
      </c>
      <c r="O4748" t="n">
        <v>0</v>
      </c>
      <c r="P4748" t="n">
        <v>0</v>
      </c>
      <c r="Q4748" t="n">
        <v>0</v>
      </c>
      <c r="R4748" s="2" t="inlineStr"/>
    </row>
    <row r="4749" ht="15" customHeight="1">
      <c r="A4749" t="inlineStr">
        <is>
          <t>A 61698-2023</t>
        </is>
      </c>
      <c r="B4749" s="1" t="n">
        <v>45265.65109953703</v>
      </c>
      <c r="C4749" s="1" t="n">
        <v>45952</v>
      </c>
      <c r="D4749" t="inlineStr">
        <is>
          <t>VÄSTRA GÖTALANDS LÄN</t>
        </is>
      </c>
      <c r="E4749" t="inlineStr">
        <is>
          <t>HERRLJUNGA</t>
        </is>
      </c>
      <c r="G4749" t="n">
        <v>1.9</v>
      </c>
      <c r="H4749" t="n">
        <v>0</v>
      </c>
      <c r="I4749" t="n">
        <v>0</v>
      </c>
      <c r="J4749" t="n">
        <v>0</v>
      </c>
      <c r="K4749" t="n">
        <v>0</v>
      </c>
      <c r="L4749" t="n">
        <v>0</v>
      </c>
      <c r="M4749" t="n">
        <v>0</v>
      </c>
      <c r="N4749" t="n">
        <v>0</v>
      </c>
      <c r="O4749" t="n">
        <v>0</v>
      </c>
      <c r="P4749" t="n">
        <v>0</v>
      </c>
      <c r="Q4749" t="n">
        <v>0</v>
      </c>
      <c r="R4749" s="2" t="inlineStr"/>
    </row>
    <row r="4750" ht="15" customHeight="1">
      <c r="A4750" t="inlineStr">
        <is>
          <t>A 61431-2022</t>
        </is>
      </c>
      <c r="B4750" s="1" t="n">
        <v>44916.36677083333</v>
      </c>
      <c r="C4750" s="1" t="n">
        <v>45952</v>
      </c>
      <c r="D4750" t="inlineStr">
        <is>
          <t>VÄSTRA GÖTALANDS LÄN</t>
        </is>
      </c>
      <c r="E4750" t="inlineStr">
        <is>
          <t>FÄRGELANDA</t>
        </is>
      </c>
      <c r="G4750" t="n">
        <v>1.5</v>
      </c>
      <c r="H4750" t="n">
        <v>0</v>
      </c>
      <c r="I4750" t="n">
        <v>0</v>
      </c>
      <c r="J4750" t="n">
        <v>0</v>
      </c>
      <c r="K4750" t="n">
        <v>0</v>
      </c>
      <c r="L4750" t="n">
        <v>0</v>
      </c>
      <c r="M4750" t="n">
        <v>0</v>
      </c>
      <c r="N4750" t="n">
        <v>0</v>
      </c>
      <c r="O4750" t="n">
        <v>0</v>
      </c>
      <c r="P4750" t="n">
        <v>0</v>
      </c>
      <c r="Q4750" t="n">
        <v>0</v>
      </c>
      <c r="R4750" s="2" t="inlineStr"/>
    </row>
    <row r="4751" ht="15" customHeight="1">
      <c r="A4751" t="inlineStr">
        <is>
          <t>A 49188-2023</t>
        </is>
      </c>
      <c r="B4751" s="1" t="n">
        <v>45210.57627314814</v>
      </c>
      <c r="C4751" s="1" t="n">
        <v>45952</v>
      </c>
      <c r="D4751" t="inlineStr">
        <is>
          <t>VÄSTRA GÖTALANDS LÄN</t>
        </is>
      </c>
      <c r="E4751" t="inlineStr">
        <is>
          <t>MARIESTAD</t>
        </is>
      </c>
      <c r="G4751" t="n">
        <v>5.4</v>
      </c>
      <c r="H4751" t="n">
        <v>0</v>
      </c>
      <c r="I4751" t="n">
        <v>0</v>
      </c>
      <c r="J4751" t="n">
        <v>0</v>
      </c>
      <c r="K4751" t="n">
        <v>0</v>
      </c>
      <c r="L4751" t="n">
        <v>0</v>
      </c>
      <c r="M4751" t="n">
        <v>0</v>
      </c>
      <c r="N4751" t="n">
        <v>0</v>
      </c>
      <c r="O4751" t="n">
        <v>0</v>
      </c>
      <c r="P4751" t="n">
        <v>0</v>
      </c>
      <c r="Q4751" t="n">
        <v>0</v>
      </c>
      <c r="R4751" s="2" t="inlineStr"/>
    </row>
    <row r="4752" ht="15" customHeight="1">
      <c r="A4752" t="inlineStr">
        <is>
          <t>A 19399-2023</t>
        </is>
      </c>
      <c r="B4752" s="1" t="n">
        <v>45049</v>
      </c>
      <c r="C4752" s="1" t="n">
        <v>45952</v>
      </c>
      <c r="D4752" t="inlineStr">
        <is>
          <t>VÄSTRA GÖTALANDS LÄN</t>
        </is>
      </c>
      <c r="E4752" t="inlineStr">
        <is>
          <t>MUNKEDAL</t>
        </is>
      </c>
      <c r="G4752" t="n">
        <v>3.9</v>
      </c>
      <c r="H4752" t="n">
        <v>0</v>
      </c>
      <c r="I4752" t="n">
        <v>0</v>
      </c>
      <c r="J4752" t="n">
        <v>0</v>
      </c>
      <c r="K4752" t="n">
        <v>0</v>
      </c>
      <c r="L4752" t="n">
        <v>0</v>
      </c>
      <c r="M4752" t="n">
        <v>0</v>
      </c>
      <c r="N4752" t="n">
        <v>0</v>
      </c>
      <c r="O4752" t="n">
        <v>0</v>
      </c>
      <c r="P4752" t="n">
        <v>0</v>
      </c>
      <c r="Q4752" t="n">
        <v>0</v>
      </c>
      <c r="R4752" s="2" t="inlineStr"/>
    </row>
    <row r="4753" ht="15" customHeight="1">
      <c r="A4753" t="inlineStr">
        <is>
          <t>A 1346-2022</t>
        </is>
      </c>
      <c r="B4753" s="1" t="n">
        <v>44572</v>
      </c>
      <c r="C4753" s="1" t="n">
        <v>45952</v>
      </c>
      <c r="D4753" t="inlineStr">
        <is>
          <t>VÄSTRA GÖTALANDS LÄN</t>
        </is>
      </c>
      <c r="E4753" t="inlineStr">
        <is>
          <t>UDDEVALLA</t>
        </is>
      </c>
      <c r="G4753" t="n">
        <v>0.9</v>
      </c>
      <c r="H4753" t="n">
        <v>0</v>
      </c>
      <c r="I4753" t="n">
        <v>0</v>
      </c>
      <c r="J4753" t="n">
        <v>0</v>
      </c>
      <c r="K4753" t="n">
        <v>0</v>
      </c>
      <c r="L4753" t="n">
        <v>0</v>
      </c>
      <c r="M4753" t="n">
        <v>0</v>
      </c>
      <c r="N4753" t="n">
        <v>0</v>
      </c>
      <c r="O4753" t="n">
        <v>0</v>
      </c>
      <c r="P4753" t="n">
        <v>0</v>
      </c>
      <c r="Q4753" t="n">
        <v>0</v>
      </c>
      <c r="R4753" s="2" t="inlineStr"/>
    </row>
    <row r="4754" ht="15" customHeight="1">
      <c r="A4754" t="inlineStr">
        <is>
          <t>A 53270-2024</t>
        </is>
      </c>
      <c r="B4754" s="1" t="n">
        <v>45614.36040509259</v>
      </c>
      <c r="C4754" s="1" t="n">
        <v>45952</v>
      </c>
      <c r="D4754" t="inlineStr">
        <is>
          <t>VÄSTRA GÖTALANDS LÄN</t>
        </is>
      </c>
      <c r="E4754" t="inlineStr">
        <is>
          <t>MELLERUD</t>
        </is>
      </c>
      <c r="G4754" t="n">
        <v>0.9</v>
      </c>
      <c r="H4754" t="n">
        <v>0</v>
      </c>
      <c r="I4754" t="n">
        <v>0</v>
      </c>
      <c r="J4754" t="n">
        <v>0</v>
      </c>
      <c r="K4754" t="n">
        <v>0</v>
      </c>
      <c r="L4754" t="n">
        <v>0</v>
      </c>
      <c r="M4754" t="n">
        <v>0</v>
      </c>
      <c r="N4754" t="n">
        <v>0</v>
      </c>
      <c r="O4754" t="n">
        <v>0</v>
      </c>
      <c r="P4754" t="n">
        <v>0</v>
      </c>
      <c r="Q4754" t="n">
        <v>0</v>
      </c>
      <c r="R4754" s="2" t="inlineStr"/>
    </row>
    <row r="4755" ht="15" customHeight="1">
      <c r="A4755" t="inlineStr">
        <is>
          <t>A 63162-2023</t>
        </is>
      </c>
      <c r="B4755" s="1" t="n">
        <v>45273</v>
      </c>
      <c r="C4755" s="1" t="n">
        <v>45952</v>
      </c>
      <c r="D4755" t="inlineStr">
        <is>
          <t>VÄSTRA GÖTALANDS LÄN</t>
        </is>
      </c>
      <c r="E4755" t="inlineStr">
        <is>
          <t>DALS-ED</t>
        </is>
      </c>
      <c r="G4755" t="n">
        <v>11.8</v>
      </c>
      <c r="H4755" t="n">
        <v>0</v>
      </c>
      <c r="I4755" t="n">
        <v>0</v>
      </c>
      <c r="J4755" t="n">
        <v>0</v>
      </c>
      <c r="K4755" t="n">
        <v>0</v>
      </c>
      <c r="L4755" t="n">
        <v>0</v>
      </c>
      <c r="M4755" t="n">
        <v>0</v>
      </c>
      <c r="N4755" t="n">
        <v>0</v>
      </c>
      <c r="O4755" t="n">
        <v>0</v>
      </c>
      <c r="P4755" t="n">
        <v>0</v>
      </c>
      <c r="Q4755" t="n">
        <v>0</v>
      </c>
      <c r="R4755" s="2" t="inlineStr"/>
    </row>
    <row r="4756" ht="15" customHeight="1">
      <c r="A4756" t="inlineStr">
        <is>
          <t>A 28393-2022</t>
        </is>
      </c>
      <c r="B4756" s="1" t="n">
        <v>44747</v>
      </c>
      <c r="C4756" s="1" t="n">
        <v>45952</v>
      </c>
      <c r="D4756" t="inlineStr">
        <is>
          <t>VÄSTRA GÖTALANDS LÄN</t>
        </is>
      </c>
      <c r="E4756" t="inlineStr">
        <is>
          <t>MUNKEDAL</t>
        </is>
      </c>
      <c r="G4756" t="n">
        <v>9.800000000000001</v>
      </c>
      <c r="H4756" t="n">
        <v>0</v>
      </c>
      <c r="I4756" t="n">
        <v>0</v>
      </c>
      <c r="J4756" t="n">
        <v>0</v>
      </c>
      <c r="K4756" t="n">
        <v>0</v>
      </c>
      <c r="L4756" t="n">
        <v>0</v>
      </c>
      <c r="M4756" t="n">
        <v>0</v>
      </c>
      <c r="N4756" t="n">
        <v>0</v>
      </c>
      <c r="O4756" t="n">
        <v>0</v>
      </c>
      <c r="P4756" t="n">
        <v>0</v>
      </c>
      <c r="Q4756" t="n">
        <v>0</v>
      </c>
      <c r="R4756" s="2" t="inlineStr"/>
    </row>
    <row r="4757" ht="15" customHeight="1">
      <c r="A4757" t="inlineStr">
        <is>
          <t>A 4157-2023</t>
        </is>
      </c>
      <c r="B4757" s="1" t="n">
        <v>44953</v>
      </c>
      <c r="C4757" s="1" t="n">
        <v>45952</v>
      </c>
      <c r="D4757" t="inlineStr">
        <is>
          <t>VÄSTRA GÖTALANDS LÄN</t>
        </is>
      </c>
      <c r="E4757" t="inlineStr">
        <is>
          <t>SVENLJUNGA</t>
        </is>
      </c>
      <c r="G4757" t="n">
        <v>0.9</v>
      </c>
      <c r="H4757" t="n">
        <v>0</v>
      </c>
      <c r="I4757" t="n">
        <v>0</v>
      </c>
      <c r="J4757" t="n">
        <v>0</v>
      </c>
      <c r="K4757" t="n">
        <v>0</v>
      </c>
      <c r="L4757" t="n">
        <v>0</v>
      </c>
      <c r="M4757" t="n">
        <v>0</v>
      </c>
      <c r="N4757" t="n">
        <v>0</v>
      </c>
      <c r="O4757" t="n">
        <v>0</v>
      </c>
      <c r="P4757" t="n">
        <v>0</v>
      </c>
      <c r="Q4757" t="n">
        <v>0</v>
      </c>
      <c r="R4757" s="2" t="inlineStr"/>
    </row>
    <row r="4758" ht="15" customHeight="1">
      <c r="A4758" t="inlineStr">
        <is>
          <t>A 53764-2024</t>
        </is>
      </c>
      <c r="B4758" s="1" t="n">
        <v>45615</v>
      </c>
      <c r="C4758" s="1" t="n">
        <v>45952</v>
      </c>
      <c r="D4758" t="inlineStr">
        <is>
          <t>VÄSTRA GÖTALANDS LÄN</t>
        </is>
      </c>
      <c r="E4758" t="inlineStr">
        <is>
          <t>LIDKÖPING</t>
        </is>
      </c>
      <c r="G4758" t="n">
        <v>1.1</v>
      </c>
      <c r="H4758" t="n">
        <v>0</v>
      </c>
      <c r="I4758" t="n">
        <v>0</v>
      </c>
      <c r="J4758" t="n">
        <v>0</v>
      </c>
      <c r="K4758" t="n">
        <v>0</v>
      </c>
      <c r="L4758" t="n">
        <v>0</v>
      </c>
      <c r="M4758" t="n">
        <v>0</v>
      </c>
      <c r="N4758" t="n">
        <v>0</v>
      </c>
      <c r="O4758" t="n">
        <v>0</v>
      </c>
      <c r="P4758" t="n">
        <v>0</v>
      </c>
      <c r="Q4758" t="n">
        <v>0</v>
      </c>
      <c r="R4758" s="2" t="inlineStr"/>
    </row>
    <row r="4759" ht="15" customHeight="1">
      <c r="A4759" t="inlineStr">
        <is>
          <t>A 41598-2022</t>
        </is>
      </c>
      <c r="B4759" s="1" t="n">
        <v>44827.4609837963</v>
      </c>
      <c r="C4759" s="1" t="n">
        <v>45952</v>
      </c>
      <c r="D4759" t="inlineStr">
        <is>
          <t>VÄSTRA GÖTALANDS LÄN</t>
        </is>
      </c>
      <c r="E4759" t="inlineStr">
        <is>
          <t>ALE</t>
        </is>
      </c>
      <c r="G4759" t="n">
        <v>2</v>
      </c>
      <c r="H4759" t="n">
        <v>0</v>
      </c>
      <c r="I4759" t="n">
        <v>0</v>
      </c>
      <c r="J4759" t="n">
        <v>0</v>
      </c>
      <c r="K4759" t="n">
        <v>0</v>
      </c>
      <c r="L4759" t="n">
        <v>0</v>
      </c>
      <c r="M4759" t="n">
        <v>0</v>
      </c>
      <c r="N4759" t="n">
        <v>0</v>
      </c>
      <c r="O4759" t="n">
        <v>0</v>
      </c>
      <c r="P4759" t="n">
        <v>0</v>
      </c>
      <c r="Q4759" t="n">
        <v>0</v>
      </c>
      <c r="R4759" s="2" t="inlineStr"/>
    </row>
    <row r="4760" ht="15" customHeight="1">
      <c r="A4760" t="inlineStr">
        <is>
          <t>A 3057-2023</t>
        </is>
      </c>
      <c r="B4760" s="1" t="n">
        <v>44946</v>
      </c>
      <c r="C4760" s="1" t="n">
        <v>45952</v>
      </c>
      <c r="D4760" t="inlineStr">
        <is>
          <t>VÄSTRA GÖTALANDS LÄN</t>
        </is>
      </c>
      <c r="E4760" t="inlineStr">
        <is>
          <t>VÅRGÅRDA</t>
        </is>
      </c>
      <c r="G4760" t="n">
        <v>1.3</v>
      </c>
      <c r="H4760" t="n">
        <v>0</v>
      </c>
      <c r="I4760" t="n">
        <v>0</v>
      </c>
      <c r="J4760" t="n">
        <v>0</v>
      </c>
      <c r="K4760" t="n">
        <v>0</v>
      </c>
      <c r="L4760" t="n">
        <v>0</v>
      </c>
      <c r="M4760" t="n">
        <v>0</v>
      </c>
      <c r="N4760" t="n">
        <v>0</v>
      </c>
      <c r="O4760" t="n">
        <v>0</v>
      </c>
      <c r="P4760" t="n">
        <v>0</v>
      </c>
      <c r="Q4760" t="n">
        <v>0</v>
      </c>
      <c r="R4760" s="2" t="inlineStr"/>
    </row>
    <row r="4761" ht="15" customHeight="1">
      <c r="A4761" t="inlineStr">
        <is>
          <t>A 48016-2023</t>
        </is>
      </c>
      <c r="B4761" s="1" t="n">
        <v>45204.66226851852</v>
      </c>
      <c r="C4761" s="1" t="n">
        <v>45952</v>
      </c>
      <c r="D4761" t="inlineStr">
        <is>
          <t>VÄSTRA GÖTALANDS LÄN</t>
        </is>
      </c>
      <c r="E4761" t="inlineStr">
        <is>
          <t>FALKÖPING</t>
        </is>
      </c>
      <c r="G4761" t="n">
        <v>3.3</v>
      </c>
      <c r="H4761" t="n">
        <v>0</v>
      </c>
      <c r="I4761" t="n">
        <v>0</v>
      </c>
      <c r="J4761" t="n">
        <v>0</v>
      </c>
      <c r="K4761" t="n">
        <v>0</v>
      </c>
      <c r="L4761" t="n">
        <v>0</v>
      </c>
      <c r="M4761" t="n">
        <v>0</v>
      </c>
      <c r="N4761" t="n">
        <v>0</v>
      </c>
      <c r="O4761" t="n">
        <v>0</v>
      </c>
      <c r="P4761" t="n">
        <v>0</v>
      </c>
      <c r="Q4761" t="n">
        <v>0</v>
      </c>
      <c r="R4761" s="2" t="inlineStr"/>
    </row>
    <row r="4762" ht="15" customHeight="1">
      <c r="A4762" t="inlineStr">
        <is>
          <t>A 2922-2024</t>
        </is>
      </c>
      <c r="B4762" s="1" t="n">
        <v>45315.58699074074</v>
      </c>
      <c r="C4762" s="1" t="n">
        <v>45952</v>
      </c>
      <c r="D4762" t="inlineStr">
        <is>
          <t>VÄSTRA GÖTALANDS LÄN</t>
        </is>
      </c>
      <c r="E4762" t="inlineStr">
        <is>
          <t>TRANEMO</t>
        </is>
      </c>
      <c r="G4762" t="n">
        <v>0.6</v>
      </c>
      <c r="H4762" t="n">
        <v>0</v>
      </c>
      <c r="I4762" t="n">
        <v>0</v>
      </c>
      <c r="J4762" t="n">
        <v>0</v>
      </c>
      <c r="K4762" t="n">
        <v>0</v>
      </c>
      <c r="L4762" t="n">
        <v>0</v>
      </c>
      <c r="M4762" t="n">
        <v>0</v>
      </c>
      <c r="N4762" t="n">
        <v>0</v>
      </c>
      <c r="O4762" t="n">
        <v>0</v>
      </c>
      <c r="P4762" t="n">
        <v>0</v>
      </c>
      <c r="Q4762" t="n">
        <v>0</v>
      </c>
      <c r="R4762" s="2" t="inlineStr"/>
    </row>
    <row r="4763" ht="15" customHeight="1">
      <c r="A4763" t="inlineStr">
        <is>
          <t>A 13876-2023</t>
        </is>
      </c>
      <c r="B4763" s="1" t="n">
        <v>45007.71679398148</v>
      </c>
      <c r="C4763" s="1" t="n">
        <v>45952</v>
      </c>
      <c r="D4763" t="inlineStr">
        <is>
          <t>VÄSTRA GÖTALANDS LÄN</t>
        </is>
      </c>
      <c r="E4763" t="inlineStr">
        <is>
          <t>ESSUNGA</t>
        </is>
      </c>
      <c r="G4763" t="n">
        <v>0.7</v>
      </c>
      <c r="H4763" t="n">
        <v>0</v>
      </c>
      <c r="I4763" t="n">
        <v>0</v>
      </c>
      <c r="J4763" t="n">
        <v>0</v>
      </c>
      <c r="K4763" t="n">
        <v>0</v>
      </c>
      <c r="L4763" t="n">
        <v>0</v>
      </c>
      <c r="M4763" t="n">
        <v>0</v>
      </c>
      <c r="N4763" t="n">
        <v>0</v>
      </c>
      <c r="O4763" t="n">
        <v>0</v>
      </c>
      <c r="P4763" t="n">
        <v>0</v>
      </c>
      <c r="Q4763" t="n">
        <v>0</v>
      </c>
      <c r="R4763" s="2" t="inlineStr"/>
    </row>
    <row r="4764" ht="15" customHeight="1">
      <c r="A4764" t="inlineStr">
        <is>
          <t>A 13953-2023</t>
        </is>
      </c>
      <c r="B4764" s="1" t="n">
        <v>45008.46489583333</v>
      </c>
      <c r="C4764" s="1" t="n">
        <v>45952</v>
      </c>
      <c r="D4764" t="inlineStr">
        <is>
          <t>VÄSTRA GÖTALANDS LÄN</t>
        </is>
      </c>
      <c r="E4764" t="inlineStr">
        <is>
          <t>BENGTSFORS</t>
        </is>
      </c>
      <c r="G4764" t="n">
        <v>1.2</v>
      </c>
      <c r="H4764" t="n">
        <v>0</v>
      </c>
      <c r="I4764" t="n">
        <v>0</v>
      </c>
      <c r="J4764" t="n">
        <v>0</v>
      </c>
      <c r="K4764" t="n">
        <v>0</v>
      </c>
      <c r="L4764" t="n">
        <v>0</v>
      </c>
      <c r="M4764" t="n">
        <v>0</v>
      </c>
      <c r="N4764" t="n">
        <v>0</v>
      </c>
      <c r="O4764" t="n">
        <v>0</v>
      </c>
      <c r="P4764" t="n">
        <v>0</v>
      </c>
      <c r="Q4764" t="n">
        <v>0</v>
      </c>
      <c r="R4764" s="2" t="inlineStr"/>
    </row>
    <row r="4765" ht="15" customHeight="1">
      <c r="A4765" t="inlineStr">
        <is>
          <t>A 25070-2023</t>
        </is>
      </c>
      <c r="B4765" s="1" t="n">
        <v>45086</v>
      </c>
      <c r="C4765" s="1" t="n">
        <v>45952</v>
      </c>
      <c r="D4765" t="inlineStr">
        <is>
          <t>VÄSTRA GÖTALANDS LÄN</t>
        </is>
      </c>
      <c r="E4765" t="inlineStr">
        <is>
          <t>ULRICEHAMN</t>
        </is>
      </c>
      <c r="G4765" t="n">
        <v>3.9</v>
      </c>
      <c r="H4765" t="n">
        <v>0</v>
      </c>
      <c r="I4765" t="n">
        <v>0</v>
      </c>
      <c r="J4765" t="n">
        <v>0</v>
      </c>
      <c r="K4765" t="n">
        <v>0</v>
      </c>
      <c r="L4765" t="n">
        <v>0</v>
      </c>
      <c r="M4765" t="n">
        <v>0</v>
      </c>
      <c r="N4765" t="n">
        <v>0</v>
      </c>
      <c r="O4765" t="n">
        <v>0</v>
      </c>
      <c r="P4765" t="n">
        <v>0</v>
      </c>
      <c r="Q4765" t="n">
        <v>0</v>
      </c>
      <c r="R4765" s="2" t="inlineStr"/>
    </row>
    <row r="4766" ht="15" customHeight="1">
      <c r="A4766" t="inlineStr">
        <is>
          <t>A 54190-2024</t>
        </is>
      </c>
      <c r="B4766" s="1" t="n">
        <v>45616.64193287037</v>
      </c>
      <c r="C4766" s="1" t="n">
        <v>45952</v>
      </c>
      <c r="D4766" t="inlineStr">
        <is>
          <t>VÄSTRA GÖTALANDS LÄN</t>
        </is>
      </c>
      <c r="E4766" t="inlineStr">
        <is>
          <t>HERRLJUNGA</t>
        </is>
      </c>
      <c r="G4766" t="n">
        <v>0.9</v>
      </c>
      <c r="H4766" t="n">
        <v>0</v>
      </c>
      <c r="I4766" t="n">
        <v>0</v>
      </c>
      <c r="J4766" t="n">
        <v>0</v>
      </c>
      <c r="K4766" t="n">
        <v>0</v>
      </c>
      <c r="L4766" t="n">
        <v>0</v>
      </c>
      <c r="M4766" t="n">
        <v>0</v>
      </c>
      <c r="N4766" t="n">
        <v>0</v>
      </c>
      <c r="O4766" t="n">
        <v>0</v>
      </c>
      <c r="P4766" t="n">
        <v>0</v>
      </c>
      <c r="Q4766" t="n">
        <v>0</v>
      </c>
      <c r="R4766" s="2" t="inlineStr"/>
    </row>
    <row r="4767" ht="15" customHeight="1">
      <c r="A4767" t="inlineStr">
        <is>
          <t>A 54191-2024</t>
        </is>
      </c>
      <c r="B4767" s="1" t="n">
        <v>45616.64283564815</v>
      </c>
      <c r="C4767" s="1" t="n">
        <v>45952</v>
      </c>
      <c r="D4767" t="inlineStr">
        <is>
          <t>VÄSTRA GÖTALANDS LÄN</t>
        </is>
      </c>
      <c r="E4767" t="inlineStr">
        <is>
          <t>HERRLJUNGA</t>
        </is>
      </c>
      <c r="G4767" t="n">
        <v>1</v>
      </c>
      <c r="H4767" t="n">
        <v>0</v>
      </c>
      <c r="I4767" t="n">
        <v>0</v>
      </c>
      <c r="J4767" t="n">
        <v>0</v>
      </c>
      <c r="K4767" t="n">
        <v>0</v>
      </c>
      <c r="L4767" t="n">
        <v>0</v>
      </c>
      <c r="M4767" t="n">
        <v>0</v>
      </c>
      <c r="N4767" t="n">
        <v>0</v>
      </c>
      <c r="O4767" t="n">
        <v>0</v>
      </c>
      <c r="P4767" t="n">
        <v>0</v>
      </c>
      <c r="Q4767" t="n">
        <v>0</v>
      </c>
      <c r="R4767" s="2" t="inlineStr"/>
    </row>
    <row r="4768" ht="15" customHeight="1">
      <c r="A4768" t="inlineStr">
        <is>
          <t>A 16744-2023</t>
        </is>
      </c>
      <c r="B4768" s="1" t="n">
        <v>45030</v>
      </c>
      <c r="C4768" s="1" t="n">
        <v>45952</v>
      </c>
      <c r="D4768" t="inlineStr">
        <is>
          <t>VÄSTRA GÖTALANDS LÄN</t>
        </is>
      </c>
      <c r="E4768" t="inlineStr">
        <is>
          <t>MELLERUD</t>
        </is>
      </c>
      <c r="G4768" t="n">
        <v>2.6</v>
      </c>
      <c r="H4768" t="n">
        <v>0</v>
      </c>
      <c r="I4768" t="n">
        <v>0</v>
      </c>
      <c r="J4768" t="n">
        <v>0</v>
      </c>
      <c r="K4768" t="n">
        <v>0</v>
      </c>
      <c r="L4768" t="n">
        <v>0</v>
      </c>
      <c r="M4768" t="n">
        <v>0</v>
      </c>
      <c r="N4768" t="n">
        <v>0</v>
      </c>
      <c r="O4768" t="n">
        <v>0</v>
      </c>
      <c r="P4768" t="n">
        <v>0</v>
      </c>
      <c r="Q4768" t="n">
        <v>0</v>
      </c>
      <c r="R4768" s="2" t="inlineStr"/>
    </row>
    <row r="4769" ht="15" customHeight="1">
      <c r="A4769" t="inlineStr">
        <is>
          <t>A 57280-2024</t>
        </is>
      </c>
      <c r="B4769" s="1" t="n">
        <v>45629</v>
      </c>
      <c r="C4769" s="1" t="n">
        <v>45952</v>
      </c>
      <c r="D4769" t="inlineStr">
        <is>
          <t>VÄSTRA GÖTALANDS LÄN</t>
        </is>
      </c>
      <c r="E4769" t="inlineStr">
        <is>
          <t>ESSUNGA</t>
        </is>
      </c>
      <c r="G4769" t="n">
        <v>0.7</v>
      </c>
      <c r="H4769" t="n">
        <v>0</v>
      </c>
      <c r="I4769" t="n">
        <v>0</v>
      </c>
      <c r="J4769" t="n">
        <v>0</v>
      </c>
      <c r="K4769" t="n">
        <v>0</v>
      </c>
      <c r="L4769" t="n">
        <v>0</v>
      </c>
      <c r="M4769" t="n">
        <v>0</v>
      </c>
      <c r="N4769" t="n">
        <v>0</v>
      </c>
      <c r="O4769" t="n">
        <v>0</v>
      </c>
      <c r="P4769" t="n">
        <v>0</v>
      </c>
      <c r="Q4769" t="n">
        <v>0</v>
      </c>
      <c r="R4769" s="2" t="inlineStr"/>
    </row>
    <row r="4770" ht="15" customHeight="1">
      <c r="A4770" t="inlineStr">
        <is>
          <t>A 15417-2023</t>
        </is>
      </c>
      <c r="B4770" s="1" t="n">
        <v>45019</v>
      </c>
      <c r="C4770" s="1" t="n">
        <v>45952</v>
      </c>
      <c r="D4770" t="inlineStr">
        <is>
          <t>VÄSTRA GÖTALANDS LÄN</t>
        </is>
      </c>
      <c r="E4770" t="inlineStr">
        <is>
          <t>SKÖVDE</t>
        </is>
      </c>
      <c r="G4770" t="n">
        <v>2.6</v>
      </c>
      <c r="H4770" t="n">
        <v>0</v>
      </c>
      <c r="I4770" t="n">
        <v>0</v>
      </c>
      <c r="J4770" t="n">
        <v>0</v>
      </c>
      <c r="K4770" t="n">
        <v>0</v>
      </c>
      <c r="L4770" t="n">
        <v>0</v>
      </c>
      <c r="M4770" t="n">
        <v>0</v>
      </c>
      <c r="N4770" t="n">
        <v>0</v>
      </c>
      <c r="O4770" t="n">
        <v>0</v>
      </c>
      <c r="P4770" t="n">
        <v>0</v>
      </c>
      <c r="Q4770" t="n">
        <v>0</v>
      </c>
      <c r="R4770" s="2" t="inlineStr"/>
    </row>
    <row r="4771" ht="15" customHeight="1">
      <c r="A4771" t="inlineStr">
        <is>
          <t>A 44310-2024</t>
        </is>
      </c>
      <c r="B4771" s="1" t="n">
        <v>45573.57309027778</v>
      </c>
      <c r="C4771" s="1" t="n">
        <v>45952</v>
      </c>
      <c r="D4771" t="inlineStr">
        <is>
          <t>VÄSTRA GÖTALANDS LÄN</t>
        </is>
      </c>
      <c r="E4771" t="inlineStr">
        <is>
          <t>HJO</t>
        </is>
      </c>
      <c r="G4771" t="n">
        <v>2.6</v>
      </c>
      <c r="H4771" t="n">
        <v>0</v>
      </c>
      <c r="I4771" t="n">
        <v>0</v>
      </c>
      <c r="J4771" t="n">
        <v>0</v>
      </c>
      <c r="K4771" t="n">
        <v>0</v>
      </c>
      <c r="L4771" t="n">
        <v>0</v>
      </c>
      <c r="M4771" t="n">
        <v>0</v>
      </c>
      <c r="N4771" t="n">
        <v>0</v>
      </c>
      <c r="O4771" t="n">
        <v>0</v>
      </c>
      <c r="P4771" t="n">
        <v>0</v>
      </c>
      <c r="Q4771" t="n">
        <v>0</v>
      </c>
      <c r="R4771" s="2" t="inlineStr"/>
    </row>
    <row r="4772" ht="15" customHeight="1">
      <c r="A4772" t="inlineStr">
        <is>
          <t>A 68161-2021</t>
        </is>
      </c>
      <c r="B4772" s="1" t="n">
        <v>44526.45810185185</v>
      </c>
      <c r="C4772" s="1" t="n">
        <v>45952</v>
      </c>
      <c r="D4772" t="inlineStr">
        <is>
          <t>VÄSTRA GÖTALANDS LÄN</t>
        </is>
      </c>
      <c r="E4772" t="inlineStr">
        <is>
          <t>TANUM</t>
        </is>
      </c>
      <c r="G4772" t="n">
        <v>10.3</v>
      </c>
      <c r="H4772" t="n">
        <v>0</v>
      </c>
      <c r="I4772" t="n">
        <v>0</v>
      </c>
      <c r="J4772" t="n">
        <v>0</v>
      </c>
      <c r="K4772" t="n">
        <v>0</v>
      </c>
      <c r="L4772" t="n">
        <v>0</v>
      </c>
      <c r="M4772" t="n">
        <v>0</v>
      </c>
      <c r="N4772" t="n">
        <v>0</v>
      </c>
      <c r="O4772" t="n">
        <v>0</v>
      </c>
      <c r="P4772" t="n">
        <v>0</v>
      </c>
      <c r="Q4772" t="n">
        <v>0</v>
      </c>
      <c r="R4772" s="2" t="inlineStr"/>
    </row>
    <row r="4773" ht="15" customHeight="1">
      <c r="A4773" t="inlineStr">
        <is>
          <t>A 6200-2021</t>
        </is>
      </c>
      <c r="B4773" s="1" t="n">
        <v>44234</v>
      </c>
      <c r="C4773" s="1" t="n">
        <v>45952</v>
      </c>
      <c r="D4773" t="inlineStr">
        <is>
          <t>VÄSTRA GÖTALANDS LÄN</t>
        </is>
      </c>
      <c r="E4773" t="inlineStr">
        <is>
          <t>BORÅS</t>
        </is>
      </c>
      <c r="G4773" t="n">
        <v>4</v>
      </c>
      <c r="H4773" t="n">
        <v>0</v>
      </c>
      <c r="I4773" t="n">
        <v>0</v>
      </c>
      <c r="J4773" t="n">
        <v>0</v>
      </c>
      <c r="K4773" t="n">
        <v>0</v>
      </c>
      <c r="L4773" t="n">
        <v>0</v>
      </c>
      <c r="M4773" t="n">
        <v>0</v>
      </c>
      <c r="N4773" t="n">
        <v>0</v>
      </c>
      <c r="O4773" t="n">
        <v>0</v>
      </c>
      <c r="P4773" t="n">
        <v>0</v>
      </c>
      <c r="Q4773" t="n">
        <v>0</v>
      </c>
      <c r="R4773" s="2" t="inlineStr"/>
    </row>
    <row r="4774" ht="15" customHeight="1">
      <c r="A4774" t="inlineStr">
        <is>
          <t>A 10663-2025</t>
        </is>
      </c>
      <c r="B4774" s="1" t="n">
        <v>45721.73456018518</v>
      </c>
      <c r="C4774" s="1" t="n">
        <v>45952</v>
      </c>
      <c r="D4774" t="inlineStr">
        <is>
          <t>VÄSTRA GÖTALANDS LÄN</t>
        </is>
      </c>
      <c r="E4774" t="inlineStr">
        <is>
          <t>HERRLJUNGA</t>
        </is>
      </c>
      <c r="G4774" t="n">
        <v>0.6</v>
      </c>
      <c r="H4774" t="n">
        <v>0</v>
      </c>
      <c r="I4774" t="n">
        <v>0</v>
      </c>
      <c r="J4774" t="n">
        <v>0</v>
      </c>
      <c r="K4774" t="n">
        <v>0</v>
      </c>
      <c r="L4774" t="n">
        <v>0</v>
      </c>
      <c r="M4774" t="n">
        <v>0</v>
      </c>
      <c r="N4774" t="n">
        <v>0</v>
      </c>
      <c r="O4774" t="n">
        <v>0</v>
      </c>
      <c r="P4774" t="n">
        <v>0</v>
      </c>
      <c r="Q4774" t="n">
        <v>0</v>
      </c>
      <c r="R4774" s="2" t="inlineStr"/>
    </row>
    <row r="4775" ht="15" customHeight="1">
      <c r="A4775" t="inlineStr">
        <is>
          <t>A 13715-2025</t>
        </is>
      </c>
      <c r="B4775" s="1" t="n">
        <v>45737.35607638889</v>
      </c>
      <c r="C4775" s="1" t="n">
        <v>45952</v>
      </c>
      <c r="D4775" t="inlineStr">
        <is>
          <t>VÄSTRA GÖTALANDS LÄN</t>
        </is>
      </c>
      <c r="E4775" t="inlineStr">
        <is>
          <t>UDDEVALLA</t>
        </is>
      </c>
      <c r="G4775" t="n">
        <v>3.2</v>
      </c>
      <c r="H4775" t="n">
        <v>0</v>
      </c>
      <c r="I4775" t="n">
        <v>0</v>
      </c>
      <c r="J4775" t="n">
        <v>0</v>
      </c>
      <c r="K4775" t="n">
        <v>0</v>
      </c>
      <c r="L4775" t="n">
        <v>0</v>
      </c>
      <c r="M4775" t="n">
        <v>0</v>
      </c>
      <c r="N4775" t="n">
        <v>0</v>
      </c>
      <c r="O4775" t="n">
        <v>0</v>
      </c>
      <c r="P4775" t="n">
        <v>0</v>
      </c>
      <c r="Q4775" t="n">
        <v>0</v>
      </c>
      <c r="R4775" s="2" t="inlineStr"/>
    </row>
    <row r="4776" ht="15" customHeight="1">
      <c r="A4776" t="inlineStr">
        <is>
          <t>A 57720-2023</t>
        </is>
      </c>
      <c r="B4776" s="1" t="n">
        <v>45246</v>
      </c>
      <c r="C4776" s="1" t="n">
        <v>45952</v>
      </c>
      <c r="D4776" t="inlineStr">
        <is>
          <t>VÄSTRA GÖTALANDS LÄN</t>
        </is>
      </c>
      <c r="E4776" t="inlineStr">
        <is>
          <t>ÅMÅL</t>
        </is>
      </c>
      <c r="G4776" t="n">
        <v>2.6</v>
      </c>
      <c r="H4776" t="n">
        <v>0</v>
      </c>
      <c r="I4776" t="n">
        <v>0</v>
      </c>
      <c r="J4776" t="n">
        <v>0</v>
      </c>
      <c r="K4776" t="n">
        <v>0</v>
      </c>
      <c r="L4776" t="n">
        <v>0</v>
      </c>
      <c r="M4776" t="n">
        <v>0</v>
      </c>
      <c r="N4776" t="n">
        <v>0</v>
      </c>
      <c r="O4776" t="n">
        <v>0</v>
      </c>
      <c r="P4776" t="n">
        <v>0</v>
      </c>
      <c r="Q4776" t="n">
        <v>0</v>
      </c>
      <c r="R4776" s="2" t="inlineStr"/>
    </row>
    <row r="4777" ht="15" customHeight="1">
      <c r="A4777" t="inlineStr">
        <is>
          <t>A 2633-2022</t>
        </is>
      </c>
      <c r="B4777" s="1" t="n">
        <v>44580</v>
      </c>
      <c r="C4777" s="1" t="n">
        <v>45952</v>
      </c>
      <c r="D4777" t="inlineStr">
        <is>
          <t>VÄSTRA GÖTALANDS LÄN</t>
        </is>
      </c>
      <c r="E4777" t="inlineStr">
        <is>
          <t>GULLSPÅNG</t>
        </is>
      </c>
      <c r="G4777" t="n">
        <v>3.5</v>
      </c>
      <c r="H4777" t="n">
        <v>0</v>
      </c>
      <c r="I4777" t="n">
        <v>0</v>
      </c>
      <c r="J4777" t="n">
        <v>0</v>
      </c>
      <c r="K4777" t="n">
        <v>0</v>
      </c>
      <c r="L4777" t="n">
        <v>0</v>
      </c>
      <c r="M4777" t="n">
        <v>0</v>
      </c>
      <c r="N4777" t="n">
        <v>0</v>
      </c>
      <c r="O4777" t="n">
        <v>0</v>
      </c>
      <c r="P4777" t="n">
        <v>0</v>
      </c>
      <c r="Q4777" t="n">
        <v>0</v>
      </c>
      <c r="R4777" s="2" t="inlineStr"/>
    </row>
    <row r="4778" ht="15" customHeight="1">
      <c r="A4778" t="inlineStr">
        <is>
          <t>A 51173-2023</t>
        </is>
      </c>
      <c r="B4778" s="1" t="n">
        <v>45212</v>
      </c>
      <c r="C4778" s="1" t="n">
        <v>45952</v>
      </c>
      <c r="D4778" t="inlineStr">
        <is>
          <t>VÄSTRA GÖTALANDS LÄN</t>
        </is>
      </c>
      <c r="E4778" t="inlineStr">
        <is>
          <t>MELLERUD</t>
        </is>
      </c>
      <c r="G4778" t="n">
        <v>2</v>
      </c>
      <c r="H4778" t="n">
        <v>0</v>
      </c>
      <c r="I4778" t="n">
        <v>0</v>
      </c>
      <c r="J4778" t="n">
        <v>0</v>
      </c>
      <c r="K4778" t="n">
        <v>0</v>
      </c>
      <c r="L4778" t="n">
        <v>0</v>
      </c>
      <c r="M4778" t="n">
        <v>0</v>
      </c>
      <c r="N4778" t="n">
        <v>0</v>
      </c>
      <c r="O4778" t="n">
        <v>0</v>
      </c>
      <c r="P4778" t="n">
        <v>0</v>
      </c>
      <c r="Q4778" t="n">
        <v>0</v>
      </c>
      <c r="R4778" s="2" t="inlineStr"/>
    </row>
    <row r="4779" ht="15" customHeight="1">
      <c r="A4779" t="inlineStr">
        <is>
          <t>A 38967-2025</t>
        </is>
      </c>
      <c r="B4779" s="1" t="n">
        <v>45886</v>
      </c>
      <c r="C4779" s="1" t="n">
        <v>45952</v>
      </c>
      <c r="D4779" t="inlineStr">
        <is>
          <t>VÄSTRA GÖTALANDS LÄN</t>
        </is>
      </c>
      <c r="E4779" t="inlineStr">
        <is>
          <t>BENGTSFORS</t>
        </is>
      </c>
      <c r="G4779" t="n">
        <v>1.3</v>
      </c>
      <c r="H4779" t="n">
        <v>0</v>
      </c>
      <c r="I4779" t="n">
        <v>0</v>
      </c>
      <c r="J4779" t="n">
        <v>0</v>
      </c>
      <c r="K4779" t="n">
        <v>0</v>
      </c>
      <c r="L4779" t="n">
        <v>0</v>
      </c>
      <c r="M4779" t="n">
        <v>0</v>
      </c>
      <c r="N4779" t="n">
        <v>0</v>
      </c>
      <c r="O4779" t="n">
        <v>0</v>
      </c>
      <c r="P4779" t="n">
        <v>0</v>
      </c>
      <c r="Q4779" t="n">
        <v>0</v>
      </c>
      <c r="R4779" s="2" t="inlineStr"/>
    </row>
    <row r="4780" ht="15" customHeight="1">
      <c r="A4780" t="inlineStr">
        <is>
          <t>A 22655-2025</t>
        </is>
      </c>
      <c r="B4780" s="1" t="n">
        <v>45789</v>
      </c>
      <c r="C4780" s="1" t="n">
        <v>45952</v>
      </c>
      <c r="D4780" t="inlineStr">
        <is>
          <t>VÄSTRA GÖTALANDS LÄN</t>
        </is>
      </c>
      <c r="E4780" t="inlineStr">
        <is>
          <t>TRANEMO</t>
        </is>
      </c>
      <c r="G4780" t="n">
        <v>1.6</v>
      </c>
      <c r="H4780" t="n">
        <v>0</v>
      </c>
      <c r="I4780" t="n">
        <v>0</v>
      </c>
      <c r="J4780" t="n">
        <v>0</v>
      </c>
      <c r="K4780" t="n">
        <v>0</v>
      </c>
      <c r="L4780" t="n">
        <v>0</v>
      </c>
      <c r="M4780" t="n">
        <v>0</v>
      </c>
      <c r="N4780" t="n">
        <v>0</v>
      </c>
      <c r="O4780" t="n">
        <v>0</v>
      </c>
      <c r="P4780" t="n">
        <v>0</v>
      </c>
      <c r="Q4780" t="n">
        <v>0</v>
      </c>
      <c r="R4780" s="2" t="inlineStr"/>
    </row>
    <row r="4781" ht="15" customHeight="1">
      <c r="A4781" t="inlineStr">
        <is>
          <t>A 49193-2023</t>
        </is>
      </c>
      <c r="B4781" s="1" t="n">
        <v>45210.58008101852</v>
      </c>
      <c r="C4781" s="1" t="n">
        <v>45952</v>
      </c>
      <c r="D4781" t="inlineStr">
        <is>
          <t>VÄSTRA GÖTALANDS LÄN</t>
        </is>
      </c>
      <c r="E4781" t="inlineStr">
        <is>
          <t>MARIESTAD</t>
        </is>
      </c>
      <c r="G4781" t="n">
        <v>0.8</v>
      </c>
      <c r="H4781" t="n">
        <v>0</v>
      </c>
      <c r="I4781" t="n">
        <v>0</v>
      </c>
      <c r="J4781" t="n">
        <v>0</v>
      </c>
      <c r="K4781" t="n">
        <v>0</v>
      </c>
      <c r="L4781" t="n">
        <v>0</v>
      </c>
      <c r="M4781" t="n">
        <v>0</v>
      </c>
      <c r="N4781" t="n">
        <v>0</v>
      </c>
      <c r="O4781" t="n">
        <v>0</v>
      </c>
      <c r="P4781" t="n">
        <v>0</v>
      </c>
      <c r="Q4781" t="n">
        <v>0</v>
      </c>
      <c r="R4781" s="2" t="inlineStr"/>
    </row>
    <row r="4782" ht="15" customHeight="1">
      <c r="A4782" t="inlineStr">
        <is>
          <t>A 36911-2022</t>
        </is>
      </c>
      <c r="B4782" s="1" t="n">
        <v>44805</v>
      </c>
      <c r="C4782" s="1" t="n">
        <v>45952</v>
      </c>
      <c r="D4782" t="inlineStr">
        <is>
          <t>VÄSTRA GÖTALANDS LÄN</t>
        </is>
      </c>
      <c r="E4782" t="inlineStr">
        <is>
          <t>FALKÖPING</t>
        </is>
      </c>
      <c r="G4782" t="n">
        <v>6.6</v>
      </c>
      <c r="H4782" t="n">
        <v>0</v>
      </c>
      <c r="I4782" t="n">
        <v>0</v>
      </c>
      <c r="J4782" t="n">
        <v>0</v>
      </c>
      <c r="K4782" t="n">
        <v>0</v>
      </c>
      <c r="L4782" t="n">
        <v>0</v>
      </c>
      <c r="M4782" t="n">
        <v>0</v>
      </c>
      <c r="N4782" t="n">
        <v>0</v>
      </c>
      <c r="O4782" t="n">
        <v>0</v>
      </c>
      <c r="P4782" t="n">
        <v>0</v>
      </c>
      <c r="Q4782" t="n">
        <v>0</v>
      </c>
      <c r="R4782" s="2" t="inlineStr"/>
    </row>
    <row r="4783" ht="15" customHeight="1">
      <c r="A4783" t="inlineStr">
        <is>
          <t>A 5808-2023</t>
        </is>
      </c>
      <c r="B4783" s="1" t="n">
        <v>44963.48101851852</v>
      </c>
      <c r="C4783" s="1" t="n">
        <v>45952</v>
      </c>
      <c r="D4783" t="inlineStr">
        <is>
          <t>VÄSTRA GÖTALANDS LÄN</t>
        </is>
      </c>
      <c r="E4783" t="inlineStr">
        <is>
          <t>SKÖVDE</t>
        </is>
      </c>
      <c r="G4783" t="n">
        <v>1.2</v>
      </c>
      <c r="H4783" t="n">
        <v>0</v>
      </c>
      <c r="I4783" t="n">
        <v>0</v>
      </c>
      <c r="J4783" t="n">
        <v>0</v>
      </c>
      <c r="K4783" t="n">
        <v>0</v>
      </c>
      <c r="L4783" t="n">
        <v>0</v>
      </c>
      <c r="M4783" t="n">
        <v>0</v>
      </c>
      <c r="N4783" t="n">
        <v>0</v>
      </c>
      <c r="O4783" t="n">
        <v>0</v>
      </c>
      <c r="P4783" t="n">
        <v>0</v>
      </c>
      <c r="Q4783" t="n">
        <v>0</v>
      </c>
      <c r="R4783" s="2" t="inlineStr"/>
    </row>
    <row r="4784" ht="15" customHeight="1">
      <c r="A4784" t="inlineStr">
        <is>
          <t>A 64207-2021</t>
        </is>
      </c>
      <c r="B4784" s="1" t="n">
        <v>44510.61469907407</v>
      </c>
      <c r="C4784" s="1" t="n">
        <v>45952</v>
      </c>
      <c r="D4784" t="inlineStr">
        <is>
          <t>VÄSTRA GÖTALANDS LÄN</t>
        </is>
      </c>
      <c r="E4784" t="inlineStr">
        <is>
          <t>BOLLEBYGD</t>
        </is>
      </c>
      <c r="G4784" t="n">
        <v>0.9</v>
      </c>
      <c r="H4784" t="n">
        <v>0</v>
      </c>
      <c r="I4784" t="n">
        <v>0</v>
      </c>
      <c r="J4784" t="n">
        <v>0</v>
      </c>
      <c r="K4784" t="n">
        <v>0</v>
      </c>
      <c r="L4784" t="n">
        <v>0</v>
      </c>
      <c r="M4784" t="n">
        <v>0</v>
      </c>
      <c r="N4784" t="n">
        <v>0</v>
      </c>
      <c r="O4784" t="n">
        <v>0</v>
      </c>
      <c r="P4784" t="n">
        <v>0</v>
      </c>
      <c r="Q4784" t="n">
        <v>0</v>
      </c>
      <c r="R4784" s="2" t="inlineStr"/>
    </row>
    <row r="4785" ht="15" customHeight="1">
      <c r="A4785" t="inlineStr">
        <is>
          <t>A 3249-2023</t>
        </is>
      </c>
      <c r="B4785" s="1" t="n">
        <v>44947</v>
      </c>
      <c r="C4785" s="1" t="n">
        <v>45952</v>
      </c>
      <c r="D4785" t="inlineStr">
        <is>
          <t>VÄSTRA GÖTALANDS LÄN</t>
        </is>
      </c>
      <c r="E4785" t="inlineStr">
        <is>
          <t>TRANEMO</t>
        </is>
      </c>
      <c r="G4785" t="n">
        <v>3.3</v>
      </c>
      <c r="H4785" t="n">
        <v>0</v>
      </c>
      <c r="I4785" t="n">
        <v>0</v>
      </c>
      <c r="J4785" t="n">
        <v>0</v>
      </c>
      <c r="K4785" t="n">
        <v>0</v>
      </c>
      <c r="L4785" t="n">
        <v>0</v>
      </c>
      <c r="M4785" t="n">
        <v>0</v>
      </c>
      <c r="N4785" t="n">
        <v>0</v>
      </c>
      <c r="O4785" t="n">
        <v>0</v>
      </c>
      <c r="P4785" t="n">
        <v>0</v>
      </c>
      <c r="Q4785" t="n">
        <v>0</v>
      </c>
      <c r="R4785" s="2" t="inlineStr"/>
    </row>
    <row r="4786" ht="15" customHeight="1">
      <c r="A4786" t="inlineStr">
        <is>
          <t>A 7247-2025</t>
        </is>
      </c>
      <c r="B4786" s="1" t="n">
        <v>45702.55347222222</v>
      </c>
      <c r="C4786" s="1" t="n">
        <v>45952</v>
      </c>
      <c r="D4786" t="inlineStr">
        <is>
          <t>VÄSTRA GÖTALANDS LÄN</t>
        </is>
      </c>
      <c r="E4786" t="inlineStr">
        <is>
          <t>LIDKÖPING</t>
        </is>
      </c>
      <c r="G4786" t="n">
        <v>1.3</v>
      </c>
      <c r="H4786" t="n">
        <v>0</v>
      </c>
      <c r="I4786" t="n">
        <v>0</v>
      </c>
      <c r="J4786" t="n">
        <v>0</v>
      </c>
      <c r="K4786" t="n">
        <v>0</v>
      </c>
      <c r="L4786" t="n">
        <v>0</v>
      </c>
      <c r="M4786" t="n">
        <v>0</v>
      </c>
      <c r="N4786" t="n">
        <v>0</v>
      </c>
      <c r="O4786" t="n">
        <v>0</v>
      </c>
      <c r="P4786" t="n">
        <v>0</v>
      </c>
      <c r="Q4786" t="n">
        <v>0</v>
      </c>
      <c r="R4786" s="2" t="inlineStr"/>
    </row>
    <row r="4787" ht="15" customHeight="1">
      <c r="A4787" t="inlineStr">
        <is>
          <t>A 52905-2023</t>
        </is>
      </c>
      <c r="B4787" s="1" t="n">
        <v>45226</v>
      </c>
      <c r="C4787" s="1" t="n">
        <v>45952</v>
      </c>
      <c r="D4787" t="inlineStr">
        <is>
          <t>VÄSTRA GÖTALANDS LÄN</t>
        </is>
      </c>
      <c r="E4787" t="inlineStr">
        <is>
          <t>UDDEVALLA</t>
        </is>
      </c>
      <c r="G4787" t="n">
        <v>5.8</v>
      </c>
      <c r="H4787" t="n">
        <v>0</v>
      </c>
      <c r="I4787" t="n">
        <v>0</v>
      </c>
      <c r="J4787" t="n">
        <v>0</v>
      </c>
      <c r="K4787" t="n">
        <v>0</v>
      </c>
      <c r="L4787" t="n">
        <v>0</v>
      </c>
      <c r="M4787" t="n">
        <v>0</v>
      </c>
      <c r="N4787" t="n">
        <v>0</v>
      </c>
      <c r="O4787" t="n">
        <v>0</v>
      </c>
      <c r="P4787" t="n">
        <v>0</v>
      </c>
      <c r="Q4787" t="n">
        <v>0</v>
      </c>
      <c r="R4787" s="2" t="inlineStr"/>
    </row>
    <row r="4788" ht="15" customHeight="1">
      <c r="A4788" t="inlineStr">
        <is>
          <t>A 35173-2024</t>
        </is>
      </c>
      <c r="B4788" s="1" t="n">
        <v>45530.42966435185</v>
      </c>
      <c r="C4788" s="1" t="n">
        <v>45952</v>
      </c>
      <c r="D4788" t="inlineStr">
        <is>
          <t>VÄSTRA GÖTALANDS LÄN</t>
        </is>
      </c>
      <c r="E4788" t="inlineStr">
        <is>
          <t>FÄRGELANDA</t>
        </is>
      </c>
      <c r="G4788" t="n">
        <v>1.7</v>
      </c>
      <c r="H4788" t="n">
        <v>0</v>
      </c>
      <c r="I4788" t="n">
        <v>0</v>
      </c>
      <c r="J4788" t="n">
        <v>0</v>
      </c>
      <c r="K4788" t="n">
        <v>0</v>
      </c>
      <c r="L4788" t="n">
        <v>0</v>
      </c>
      <c r="M4788" t="n">
        <v>0</v>
      </c>
      <c r="N4788" t="n">
        <v>0</v>
      </c>
      <c r="O4788" t="n">
        <v>0</v>
      </c>
      <c r="P4788" t="n">
        <v>0</v>
      </c>
      <c r="Q4788" t="n">
        <v>0</v>
      </c>
      <c r="R4788" s="2" t="inlineStr"/>
    </row>
    <row r="4789" ht="15" customHeight="1">
      <c r="A4789" t="inlineStr">
        <is>
          <t>A 24611-2023</t>
        </is>
      </c>
      <c r="B4789" s="1" t="n">
        <v>45084.33306712963</v>
      </c>
      <c r="C4789" s="1" t="n">
        <v>45952</v>
      </c>
      <c r="D4789" t="inlineStr">
        <is>
          <t>VÄSTRA GÖTALANDS LÄN</t>
        </is>
      </c>
      <c r="E4789" t="inlineStr">
        <is>
          <t>VÅRGÅRDA</t>
        </is>
      </c>
      <c r="G4789" t="n">
        <v>0.9</v>
      </c>
      <c r="H4789" t="n">
        <v>0</v>
      </c>
      <c r="I4789" t="n">
        <v>0</v>
      </c>
      <c r="J4789" t="n">
        <v>0</v>
      </c>
      <c r="K4789" t="n">
        <v>0</v>
      </c>
      <c r="L4789" t="n">
        <v>0</v>
      </c>
      <c r="M4789" t="n">
        <v>0</v>
      </c>
      <c r="N4789" t="n">
        <v>0</v>
      </c>
      <c r="O4789" t="n">
        <v>0</v>
      </c>
      <c r="P4789" t="n">
        <v>0</v>
      </c>
      <c r="Q4789" t="n">
        <v>0</v>
      </c>
      <c r="R4789" s="2" t="inlineStr"/>
    </row>
    <row r="4790" ht="15" customHeight="1">
      <c r="A4790" t="inlineStr">
        <is>
          <t>A 60494-2022</t>
        </is>
      </c>
      <c r="B4790" s="1" t="n">
        <v>44911</v>
      </c>
      <c r="C4790" s="1" t="n">
        <v>45952</v>
      </c>
      <c r="D4790" t="inlineStr">
        <is>
          <t>VÄSTRA GÖTALANDS LÄN</t>
        </is>
      </c>
      <c r="E4790" t="inlineStr">
        <is>
          <t>BENGTSFORS</t>
        </is>
      </c>
      <c r="G4790" t="n">
        <v>0.7</v>
      </c>
      <c r="H4790" t="n">
        <v>0</v>
      </c>
      <c r="I4790" t="n">
        <v>0</v>
      </c>
      <c r="J4790" t="n">
        <v>0</v>
      </c>
      <c r="K4790" t="n">
        <v>0</v>
      </c>
      <c r="L4790" t="n">
        <v>0</v>
      </c>
      <c r="M4790" t="n">
        <v>0</v>
      </c>
      <c r="N4790" t="n">
        <v>0</v>
      </c>
      <c r="O4790" t="n">
        <v>0</v>
      </c>
      <c r="P4790" t="n">
        <v>0</v>
      </c>
      <c r="Q4790" t="n">
        <v>0</v>
      </c>
      <c r="R4790" s="2" t="inlineStr"/>
    </row>
    <row r="4791" ht="15" customHeight="1">
      <c r="A4791" t="inlineStr">
        <is>
          <t>A 72582-2021</t>
        </is>
      </c>
      <c r="B4791" s="1" t="n">
        <v>44546.4675462963</v>
      </c>
      <c r="C4791" s="1" t="n">
        <v>45952</v>
      </c>
      <c r="D4791" t="inlineStr">
        <is>
          <t>VÄSTRA GÖTALANDS LÄN</t>
        </is>
      </c>
      <c r="E4791" t="inlineStr">
        <is>
          <t>BORÅS</t>
        </is>
      </c>
      <c r="G4791" t="n">
        <v>3</v>
      </c>
      <c r="H4791" t="n">
        <v>0</v>
      </c>
      <c r="I4791" t="n">
        <v>0</v>
      </c>
      <c r="J4791" t="n">
        <v>0</v>
      </c>
      <c r="K4791" t="n">
        <v>0</v>
      </c>
      <c r="L4791" t="n">
        <v>0</v>
      </c>
      <c r="M4791" t="n">
        <v>0</v>
      </c>
      <c r="N4791" t="n">
        <v>0</v>
      </c>
      <c r="O4791" t="n">
        <v>0</v>
      </c>
      <c r="P4791" t="n">
        <v>0</v>
      </c>
      <c r="Q4791" t="n">
        <v>0</v>
      </c>
      <c r="R4791" s="2" t="inlineStr"/>
    </row>
    <row r="4792" ht="15" customHeight="1">
      <c r="A4792" t="inlineStr">
        <is>
          <t>A 27157-2023</t>
        </is>
      </c>
      <c r="B4792" s="1" t="n">
        <v>45096.47930555556</v>
      </c>
      <c r="C4792" s="1" t="n">
        <v>45952</v>
      </c>
      <c r="D4792" t="inlineStr">
        <is>
          <t>VÄSTRA GÖTALANDS LÄN</t>
        </is>
      </c>
      <c r="E4792" t="inlineStr">
        <is>
          <t>TRANEMO</t>
        </is>
      </c>
      <c r="G4792" t="n">
        <v>0.7</v>
      </c>
      <c r="H4792" t="n">
        <v>0</v>
      </c>
      <c r="I4792" t="n">
        <v>0</v>
      </c>
      <c r="J4792" t="n">
        <v>0</v>
      </c>
      <c r="K4792" t="n">
        <v>0</v>
      </c>
      <c r="L4792" t="n">
        <v>0</v>
      </c>
      <c r="M4792" t="n">
        <v>0</v>
      </c>
      <c r="N4792" t="n">
        <v>0</v>
      </c>
      <c r="O4792" t="n">
        <v>0</v>
      </c>
      <c r="P4792" t="n">
        <v>0</v>
      </c>
      <c r="Q4792" t="n">
        <v>0</v>
      </c>
      <c r="R4792" s="2" t="inlineStr"/>
    </row>
    <row r="4793" ht="15" customHeight="1">
      <c r="A4793" t="inlineStr">
        <is>
          <t>A 27162-2023</t>
        </is>
      </c>
      <c r="B4793" s="1" t="n">
        <v>45096.48693287037</v>
      </c>
      <c r="C4793" s="1" t="n">
        <v>45952</v>
      </c>
      <c r="D4793" t="inlineStr">
        <is>
          <t>VÄSTRA GÖTALANDS LÄN</t>
        </is>
      </c>
      <c r="E4793" t="inlineStr">
        <is>
          <t>TRANEMO</t>
        </is>
      </c>
      <c r="G4793" t="n">
        <v>0.8</v>
      </c>
      <c r="H4793" t="n">
        <v>0</v>
      </c>
      <c r="I4793" t="n">
        <v>0</v>
      </c>
      <c r="J4793" t="n">
        <v>0</v>
      </c>
      <c r="K4793" t="n">
        <v>0</v>
      </c>
      <c r="L4793" t="n">
        <v>0</v>
      </c>
      <c r="M4793" t="n">
        <v>0</v>
      </c>
      <c r="N4793" t="n">
        <v>0</v>
      </c>
      <c r="O4793" t="n">
        <v>0</v>
      </c>
      <c r="P4793" t="n">
        <v>0</v>
      </c>
      <c r="Q4793" t="n">
        <v>0</v>
      </c>
      <c r="R4793" s="2" t="inlineStr"/>
    </row>
    <row r="4794" ht="15" customHeight="1">
      <c r="A4794" t="inlineStr">
        <is>
          <t>A 42028-2024</t>
        </is>
      </c>
      <c r="B4794" s="1" t="n">
        <v>45561.75966435186</v>
      </c>
      <c r="C4794" s="1" t="n">
        <v>45952</v>
      </c>
      <c r="D4794" t="inlineStr">
        <is>
          <t>VÄSTRA GÖTALANDS LÄN</t>
        </is>
      </c>
      <c r="E4794" t="inlineStr">
        <is>
          <t>SVENLJUNGA</t>
        </is>
      </c>
      <c r="G4794" t="n">
        <v>1.9</v>
      </c>
      <c r="H4794" t="n">
        <v>0</v>
      </c>
      <c r="I4794" t="n">
        <v>0</v>
      </c>
      <c r="J4794" t="n">
        <v>0</v>
      </c>
      <c r="K4794" t="n">
        <v>0</v>
      </c>
      <c r="L4794" t="n">
        <v>0</v>
      </c>
      <c r="M4794" t="n">
        <v>0</v>
      </c>
      <c r="N4794" t="n">
        <v>0</v>
      </c>
      <c r="O4794" t="n">
        <v>0</v>
      </c>
      <c r="P4794" t="n">
        <v>0</v>
      </c>
      <c r="Q4794" t="n">
        <v>0</v>
      </c>
      <c r="R4794" s="2" t="inlineStr"/>
    </row>
    <row r="4795" ht="15" customHeight="1">
      <c r="A4795" t="inlineStr">
        <is>
          <t>A 42038-2024</t>
        </is>
      </c>
      <c r="B4795" s="1" t="n">
        <v>45561.79969907407</v>
      </c>
      <c r="C4795" s="1" t="n">
        <v>45952</v>
      </c>
      <c r="D4795" t="inlineStr">
        <is>
          <t>VÄSTRA GÖTALANDS LÄN</t>
        </is>
      </c>
      <c r="E4795" t="inlineStr">
        <is>
          <t>VARA</t>
        </is>
      </c>
      <c r="G4795" t="n">
        <v>7.2</v>
      </c>
      <c r="H4795" t="n">
        <v>0</v>
      </c>
      <c r="I4795" t="n">
        <v>0</v>
      </c>
      <c r="J4795" t="n">
        <v>0</v>
      </c>
      <c r="K4795" t="n">
        <v>0</v>
      </c>
      <c r="L4795" t="n">
        <v>0</v>
      </c>
      <c r="M4795" t="n">
        <v>0</v>
      </c>
      <c r="N4795" t="n">
        <v>0</v>
      </c>
      <c r="O4795" t="n">
        <v>0</v>
      </c>
      <c r="P4795" t="n">
        <v>0</v>
      </c>
      <c r="Q4795" t="n">
        <v>0</v>
      </c>
      <c r="R4795" s="2" t="inlineStr"/>
    </row>
    <row r="4796" ht="15" customHeight="1">
      <c r="A4796" t="inlineStr">
        <is>
          <t>A 11945-2025</t>
        </is>
      </c>
      <c r="B4796" s="1" t="n">
        <v>45728.5480787037</v>
      </c>
      <c r="C4796" s="1" t="n">
        <v>45952</v>
      </c>
      <c r="D4796" t="inlineStr">
        <is>
          <t>VÄSTRA GÖTALANDS LÄN</t>
        </is>
      </c>
      <c r="E4796" t="inlineStr">
        <is>
          <t>TANUM</t>
        </is>
      </c>
      <c r="G4796" t="n">
        <v>0.8</v>
      </c>
      <c r="H4796" t="n">
        <v>0</v>
      </c>
      <c r="I4796" t="n">
        <v>0</v>
      </c>
      <c r="J4796" t="n">
        <v>0</v>
      </c>
      <c r="K4796" t="n">
        <v>0</v>
      </c>
      <c r="L4796" t="n">
        <v>0</v>
      </c>
      <c r="M4796" t="n">
        <v>0</v>
      </c>
      <c r="N4796" t="n">
        <v>0</v>
      </c>
      <c r="O4796" t="n">
        <v>0</v>
      </c>
      <c r="P4796" t="n">
        <v>0</v>
      </c>
      <c r="Q4796" t="n">
        <v>0</v>
      </c>
      <c r="R4796" s="2" t="inlineStr"/>
    </row>
    <row r="4797" ht="15" customHeight="1">
      <c r="A4797" t="inlineStr">
        <is>
          <t>A 11916-2024</t>
        </is>
      </c>
      <c r="B4797" s="1" t="n">
        <v>45376</v>
      </c>
      <c r="C4797" s="1" t="n">
        <v>45952</v>
      </c>
      <c r="D4797" t="inlineStr">
        <is>
          <t>VÄSTRA GÖTALANDS LÄN</t>
        </is>
      </c>
      <c r="E4797" t="inlineStr">
        <is>
          <t>ÅMÅL</t>
        </is>
      </c>
      <c r="F4797" t="inlineStr">
        <is>
          <t>Bergvik skog väst AB</t>
        </is>
      </c>
      <c r="G4797" t="n">
        <v>5.3</v>
      </c>
      <c r="H4797" t="n">
        <v>0</v>
      </c>
      <c r="I4797" t="n">
        <v>0</v>
      </c>
      <c r="J4797" t="n">
        <v>0</v>
      </c>
      <c r="K4797" t="n">
        <v>0</v>
      </c>
      <c r="L4797" t="n">
        <v>0</v>
      </c>
      <c r="M4797" t="n">
        <v>0</v>
      </c>
      <c r="N4797" t="n">
        <v>0</v>
      </c>
      <c r="O4797" t="n">
        <v>0</v>
      </c>
      <c r="P4797" t="n">
        <v>0</v>
      </c>
      <c r="Q4797" t="n">
        <v>0</v>
      </c>
      <c r="R4797" s="2" t="inlineStr"/>
    </row>
    <row r="4798" ht="15" customHeight="1">
      <c r="A4798" t="inlineStr">
        <is>
          <t>A 2583-2023</t>
        </is>
      </c>
      <c r="B4798" s="1" t="n">
        <v>44943</v>
      </c>
      <c r="C4798" s="1" t="n">
        <v>45952</v>
      </c>
      <c r="D4798" t="inlineStr">
        <is>
          <t>VÄSTRA GÖTALANDS LÄN</t>
        </is>
      </c>
      <c r="E4798" t="inlineStr">
        <is>
          <t>MARIESTAD</t>
        </is>
      </c>
      <c r="G4798" t="n">
        <v>5.9</v>
      </c>
      <c r="H4798" t="n">
        <v>0</v>
      </c>
      <c r="I4798" t="n">
        <v>0</v>
      </c>
      <c r="J4798" t="n">
        <v>0</v>
      </c>
      <c r="K4798" t="n">
        <v>0</v>
      </c>
      <c r="L4798" t="n">
        <v>0</v>
      </c>
      <c r="M4798" t="n">
        <v>0</v>
      </c>
      <c r="N4798" t="n">
        <v>0</v>
      </c>
      <c r="O4798" t="n">
        <v>0</v>
      </c>
      <c r="P4798" t="n">
        <v>0</v>
      </c>
      <c r="Q4798" t="n">
        <v>0</v>
      </c>
      <c r="R4798" s="2" t="inlineStr"/>
    </row>
    <row r="4799" ht="15" customHeight="1">
      <c r="A4799" t="inlineStr">
        <is>
          <t>A 11945-2024</t>
        </is>
      </c>
      <c r="B4799" s="1" t="n">
        <v>45376.6869212963</v>
      </c>
      <c r="C4799" s="1" t="n">
        <v>45952</v>
      </c>
      <c r="D4799" t="inlineStr">
        <is>
          <t>VÄSTRA GÖTALANDS LÄN</t>
        </is>
      </c>
      <c r="E4799" t="inlineStr">
        <is>
          <t>BENGTSFORS</t>
        </is>
      </c>
      <c r="G4799" t="n">
        <v>6.1</v>
      </c>
      <c r="H4799" t="n">
        <v>0</v>
      </c>
      <c r="I4799" t="n">
        <v>0</v>
      </c>
      <c r="J4799" t="n">
        <v>0</v>
      </c>
      <c r="K4799" t="n">
        <v>0</v>
      </c>
      <c r="L4799" t="n">
        <v>0</v>
      </c>
      <c r="M4799" t="n">
        <v>0</v>
      </c>
      <c r="N4799" t="n">
        <v>0</v>
      </c>
      <c r="O4799" t="n">
        <v>0</v>
      </c>
      <c r="P4799" t="n">
        <v>0</v>
      </c>
      <c r="Q4799" t="n">
        <v>0</v>
      </c>
      <c r="R4799" s="2" t="inlineStr"/>
    </row>
    <row r="4800" ht="15" customHeight="1">
      <c r="A4800" t="inlineStr">
        <is>
          <t>A 26084-2023</t>
        </is>
      </c>
      <c r="B4800" s="1" t="n">
        <v>45091</v>
      </c>
      <c r="C4800" s="1" t="n">
        <v>45952</v>
      </c>
      <c r="D4800" t="inlineStr">
        <is>
          <t>VÄSTRA GÖTALANDS LÄN</t>
        </is>
      </c>
      <c r="E4800" t="inlineStr">
        <is>
          <t>SKARA</t>
        </is>
      </c>
      <c r="G4800" t="n">
        <v>0.6</v>
      </c>
      <c r="H4800" t="n">
        <v>0</v>
      </c>
      <c r="I4800" t="n">
        <v>0</v>
      </c>
      <c r="J4800" t="n">
        <v>0</v>
      </c>
      <c r="K4800" t="n">
        <v>0</v>
      </c>
      <c r="L4800" t="n">
        <v>0</v>
      </c>
      <c r="M4800" t="n">
        <v>0</v>
      </c>
      <c r="N4800" t="n">
        <v>0</v>
      </c>
      <c r="O4800" t="n">
        <v>0</v>
      </c>
      <c r="P4800" t="n">
        <v>0</v>
      </c>
      <c r="Q4800" t="n">
        <v>0</v>
      </c>
      <c r="R4800" s="2" t="inlineStr"/>
    </row>
    <row r="4801" ht="15" customHeight="1">
      <c r="A4801" t="inlineStr">
        <is>
          <t>A 11963-2024</t>
        </is>
      </c>
      <c r="B4801" s="1" t="n">
        <v>45376.9174537037</v>
      </c>
      <c r="C4801" s="1" t="n">
        <v>45952</v>
      </c>
      <c r="D4801" t="inlineStr">
        <is>
          <t>VÄSTRA GÖTALANDS LÄN</t>
        </is>
      </c>
      <c r="E4801" t="inlineStr">
        <is>
          <t>SVENLJUNGA</t>
        </is>
      </c>
      <c r="G4801" t="n">
        <v>8.6</v>
      </c>
      <c r="H4801" t="n">
        <v>0</v>
      </c>
      <c r="I4801" t="n">
        <v>0</v>
      </c>
      <c r="J4801" t="n">
        <v>0</v>
      </c>
      <c r="K4801" t="n">
        <v>0</v>
      </c>
      <c r="L4801" t="n">
        <v>0</v>
      </c>
      <c r="M4801" t="n">
        <v>0</v>
      </c>
      <c r="N4801" t="n">
        <v>0</v>
      </c>
      <c r="O4801" t="n">
        <v>0</v>
      </c>
      <c r="P4801" t="n">
        <v>0</v>
      </c>
      <c r="Q4801" t="n">
        <v>0</v>
      </c>
      <c r="R4801" s="2" t="inlineStr"/>
    </row>
    <row r="4802" ht="15" customHeight="1">
      <c r="A4802" t="inlineStr">
        <is>
          <t>A 62067-2024</t>
        </is>
      </c>
      <c r="B4802" s="1" t="n">
        <v>45656.39710648148</v>
      </c>
      <c r="C4802" s="1" t="n">
        <v>45952</v>
      </c>
      <c r="D4802" t="inlineStr">
        <is>
          <t>VÄSTRA GÖTALANDS LÄN</t>
        </is>
      </c>
      <c r="E4802" t="inlineStr">
        <is>
          <t>UDDEVALLA</t>
        </is>
      </c>
      <c r="F4802" t="inlineStr">
        <is>
          <t>Kommuner</t>
        </is>
      </c>
      <c r="G4802" t="n">
        <v>1.9</v>
      </c>
      <c r="H4802" t="n">
        <v>0</v>
      </c>
      <c r="I4802" t="n">
        <v>0</v>
      </c>
      <c r="J4802" t="n">
        <v>0</v>
      </c>
      <c r="K4802" t="n">
        <v>0</v>
      </c>
      <c r="L4802" t="n">
        <v>0</v>
      </c>
      <c r="M4802" t="n">
        <v>0</v>
      </c>
      <c r="N4802" t="n">
        <v>0</v>
      </c>
      <c r="O4802" t="n">
        <v>0</v>
      </c>
      <c r="P4802" t="n">
        <v>0</v>
      </c>
      <c r="Q4802" t="n">
        <v>0</v>
      </c>
      <c r="R4802" s="2" t="inlineStr"/>
    </row>
    <row r="4803" ht="15" customHeight="1">
      <c r="A4803" t="inlineStr">
        <is>
          <t>A 246-2025</t>
        </is>
      </c>
      <c r="B4803" s="1" t="n">
        <v>45660.4183449074</v>
      </c>
      <c r="C4803" s="1" t="n">
        <v>45952</v>
      </c>
      <c r="D4803" t="inlineStr">
        <is>
          <t>VÄSTRA GÖTALANDS LÄN</t>
        </is>
      </c>
      <c r="E4803" t="inlineStr">
        <is>
          <t>LIDKÖPING</t>
        </is>
      </c>
      <c r="G4803" t="n">
        <v>1.7</v>
      </c>
      <c r="H4803" t="n">
        <v>0</v>
      </c>
      <c r="I4803" t="n">
        <v>0</v>
      </c>
      <c r="J4803" t="n">
        <v>0</v>
      </c>
      <c r="K4803" t="n">
        <v>0</v>
      </c>
      <c r="L4803" t="n">
        <v>0</v>
      </c>
      <c r="M4803" t="n">
        <v>0</v>
      </c>
      <c r="N4803" t="n">
        <v>0</v>
      </c>
      <c r="O4803" t="n">
        <v>0</v>
      </c>
      <c r="P4803" t="n">
        <v>0</v>
      </c>
      <c r="Q4803" t="n">
        <v>0</v>
      </c>
      <c r="R4803" s="2" t="inlineStr"/>
    </row>
    <row r="4804" ht="15" customHeight="1">
      <c r="A4804" t="inlineStr">
        <is>
          <t>A 18138-2025</t>
        </is>
      </c>
      <c r="B4804" s="1" t="n">
        <v>45761.60342592592</v>
      </c>
      <c r="C4804" s="1" t="n">
        <v>45952</v>
      </c>
      <c r="D4804" t="inlineStr">
        <is>
          <t>VÄSTRA GÖTALANDS LÄN</t>
        </is>
      </c>
      <c r="E4804" t="inlineStr">
        <is>
          <t>LYSEKIL</t>
        </is>
      </c>
      <c r="G4804" t="n">
        <v>0.8</v>
      </c>
      <c r="H4804" t="n">
        <v>0</v>
      </c>
      <c r="I4804" t="n">
        <v>0</v>
      </c>
      <c r="J4804" t="n">
        <v>0</v>
      </c>
      <c r="K4804" t="n">
        <v>0</v>
      </c>
      <c r="L4804" t="n">
        <v>0</v>
      </c>
      <c r="M4804" t="n">
        <v>0</v>
      </c>
      <c r="N4804" t="n">
        <v>0</v>
      </c>
      <c r="O4804" t="n">
        <v>0</v>
      </c>
      <c r="P4804" t="n">
        <v>0</v>
      </c>
      <c r="Q4804" t="n">
        <v>0</v>
      </c>
      <c r="R4804" s="2" t="inlineStr"/>
    </row>
    <row r="4805" ht="15" customHeight="1">
      <c r="A4805" t="inlineStr">
        <is>
          <t>A 18142-2025</t>
        </is>
      </c>
      <c r="B4805" s="1" t="n">
        <v>45761.60667824074</v>
      </c>
      <c r="C4805" s="1" t="n">
        <v>45952</v>
      </c>
      <c r="D4805" t="inlineStr">
        <is>
          <t>VÄSTRA GÖTALANDS LÄN</t>
        </is>
      </c>
      <c r="E4805" t="inlineStr">
        <is>
          <t>LYSEKIL</t>
        </is>
      </c>
      <c r="G4805" t="n">
        <v>1.6</v>
      </c>
      <c r="H4805" t="n">
        <v>0</v>
      </c>
      <c r="I4805" t="n">
        <v>0</v>
      </c>
      <c r="J4805" t="n">
        <v>0</v>
      </c>
      <c r="K4805" t="n">
        <v>0</v>
      </c>
      <c r="L4805" t="n">
        <v>0</v>
      </c>
      <c r="M4805" t="n">
        <v>0</v>
      </c>
      <c r="N4805" t="n">
        <v>0</v>
      </c>
      <c r="O4805" t="n">
        <v>0</v>
      </c>
      <c r="P4805" t="n">
        <v>0</v>
      </c>
      <c r="Q4805" t="n">
        <v>0</v>
      </c>
      <c r="R4805" s="2" t="inlineStr"/>
    </row>
    <row r="4806" ht="15" customHeight="1">
      <c r="A4806" t="inlineStr">
        <is>
          <t>A 18143-2025</t>
        </is>
      </c>
      <c r="B4806" s="1" t="n">
        <v>45761.60916666667</v>
      </c>
      <c r="C4806" s="1" t="n">
        <v>45952</v>
      </c>
      <c r="D4806" t="inlineStr">
        <is>
          <t>VÄSTRA GÖTALANDS LÄN</t>
        </is>
      </c>
      <c r="E4806" t="inlineStr">
        <is>
          <t>LYSEKIL</t>
        </is>
      </c>
      <c r="G4806" t="n">
        <v>1.3</v>
      </c>
      <c r="H4806" t="n">
        <v>0</v>
      </c>
      <c r="I4806" t="n">
        <v>0</v>
      </c>
      <c r="J4806" t="n">
        <v>0</v>
      </c>
      <c r="K4806" t="n">
        <v>0</v>
      </c>
      <c r="L4806" t="n">
        <v>0</v>
      </c>
      <c r="M4806" t="n">
        <v>0</v>
      </c>
      <c r="N4806" t="n">
        <v>0</v>
      </c>
      <c r="O4806" t="n">
        <v>0</v>
      </c>
      <c r="P4806" t="n">
        <v>0</v>
      </c>
      <c r="Q4806" t="n">
        <v>0</v>
      </c>
      <c r="R4806" s="2" t="inlineStr"/>
    </row>
    <row r="4807" ht="15" customHeight="1">
      <c r="A4807" t="inlineStr">
        <is>
          <t>A 18159-2025</t>
        </is>
      </c>
      <c r="B4807" s="1" t="n">
        <v>45761.62880787037</v>
      </c>
      <c r="C4807" s="1" t="n">
        <v>45952</v>
      </c>
      <c r="D4807" t="inlineStr">
        <is>
          <t>VÄSTRA GÖTALANDS LÄN</t>
        </is>
      </c>
      <c r="E4807" t="inlineStr">
        <is>
          <t>MUNKEDAL</t>
        </is>
      </c>
      <c r="G4807" t="n">
        <v>5.2</v>
      </c>
      <c r="H4807" t="n">
        <v>0</v>
      </c>
      <c r="I4807" t="n">
        <v>0</v>
      </c>
      <c r="J4807" t="n">
        <v>0</v>
      </c>
      <c r="K4807" t="n">
        <v>0</v>
      </c>
      <c r="L4807" t="n">
        <v>0</v>
      </c>
      <c r="M4807" t="n">
        <v>0</v>
      </c>
      <c r="N4807" t="n">
        <v>0</v>
      </c>
      <c r="O4807" t="n">
        <v>0</v>
      </c>
      <c r="P4807" t="n">
        <v>0</v>
      </c>
      <c r="Q4807" t="n">
        <v>0</v>
      </c>
      <c r="R4807" s="2" t="inlineStr"/>
    </row>
    <row r="4808" ht="15" customHeight="1">
      <c r="A4808" t="inlineStr">
        <is>
          <t>A 18178-2025</t>
        </is>
      </c>
      <c r="B4808" s="1" t="n">
        <v>45761.65679398148</v>
      </c>
      <c r="C4808" s="1" t="n">
        <v>45952</v>
      </c>
      <c r="D4808" t="inlineStr">
        <is>
          <t>VÄSTRA GÖTALANDS LÄN</t>
        </is>
      </c>
      <c r="E4808" t="inlineStr">
        <is>
          <t>FÄRGELANDA</t>
        </is>
      </c>
      <c r="G4808" t="n">
        <v>2</v>
      </c>
      <c r="H4808" t="n">
        <v>0</v>
      </c>
      <c r="I4808" t="n">
        <v>0</v>
      </c>
      <c r="J4808" t="n">
        <v>0</v>
      </c>
      <c r="K4808" t="n">
        <v>0</v>
      </c>
      <c r="L4808" t="n">
        <v>0</v>
      </c>
      <c r="M4808" t="n">
        <v>0</v>
      </c>
      <c r="N4808" t="n">
        <v>0</v>
      </c>
      <c r="O4808" t="n">
        <v>0</v>
      </c>
      <c r="P4808" t="n">
        <v>0</v>
      </c>
      <c r="Q4808" t="n">
        <v>0</v>
      </c>
      <c r="R4808" s="2" t="inlineStr"/>
    </row>
    <row r="4809" ht="15" customHeight="1">
      <c r="A4809" t="inlineStr">
        <is>
          <t>A 312-2025</t>
        </is>
      </c>
      <c r="B4809" s="1" t="n">
        <v>45660</v>
      </c>
      <c r="C4809" s="1" t="n">
        <v>45952</v>
      </c>
      <c r="D4809" t="inlineStr">
        <is>
          <t>VÄSTRA GÖTALANDS LÄN</t>
        </is>
      </c>
      <c r="E4809" t="inlineStr">
        <is>
          <t>TANUM</t>
        </is>
      </c>
      <c r="G4809" t="n">
        <v>2.2</v>
      </c>
      <c r="H4809" t="n">
        <v>0</v>
      </c>
      <c r="I4809" t="n">
        <v>0</v>
      </c>
      <c r="J4809" t="n">
        <v>0</v>
      </c>
      <c r="K4809" t="n">
        <v>0</v>
      </c>
      <c r="L4809" t="n">
        <v>0</v>
      </c>
      <c r="M4809" t="n">
        <v>0</v>
      </c>
      <c r="N4809" t="n">
        <v>0</v>
      </c>
      <c r="O4809" t="n">
        <v>0</v>
      </c>
      <c r="P4809" t="n">
        <v>0</v>
      </c>
      <c r="Q4809" t="n">
        <v>0</v>
      </c>
      <c r="R4809" s="2" t="inlineStr"/>
    </row>
    <row r="4810" ht="15" customHeight="1">
      <c r="A4810" t="inlineStr">
        <is>
          <t>A 65174-2020</t>
        </is>
      </c>
      <c r="B4810" s="1" t="n">
        <v>44168</v>
      </c>
      <c r="C4810" s="1" t="n">
        <v>45952</v>
      </c>
      <c r="D4810" t="inlineStr">
        <is>
          <t>VÄSTRA GÖTALANDS LÄN</t>
        </is>
      </c>
      <c r="E4810" t="inlineStr">
        <is>
          <t>DALS-ED</t>
        </is>
      </c>
      <c r="F4810" t="inlineStr">
        <is>
          <t>Kyrkan</t>
        </is>
      </c>
      <c r="G4810" t="n">
        <v>5.3</v>
      </c>
      <c r="H4810" t="n">
        <v>0</v>
      </c>
      <c r="I4810" t="n">
        <v>0</v>
      </c>
      <c r="J4810" t="n">
        <v>0</v>
      </c>
      <c r="K4810" t="n">
        <v>0</v>
      </c>
      <c r="L4810" t="n">
        <v>0</v>
      </c>
      <c r="M4810" t="n">
        <v>0</v>
      </c>
      <c r="N4810" t="n">
        <v>0</v>
      </c>
      <c r="O4810" t="n">
        <v>0</v>
      </c>
      <c r="P4810" t="n">
        <v>0</v>
      </c>
      <c r="Q4810" t="n">
        <v>0</v>
      </c>
      <c r="R4810" s="2" t="inlineStr"/>
    </row>
    <row r="4811" ht="15" customHeight="1">
      <c r="A4811" t="inlineStr">
        <is>
          <t>A 50827-2022</t>
        </is>
      </c>
      <c r="B4811" s="1" t="n">
        <v>44867</v>
      </c>
      <c r="C4811" s="1" t="n">
        <v>45952</v>
      </c>
      <c r="D4811" t="inlineStr">
        <is>
          <t>VÄSTRA GÖTALANDS LÄN</t>
        </is>
      </c>
      <c r="E4811" t="inlineStr">
        <is>
          <t>TRANEMO</t>
        </is>
      </c>
      <c r="G4811" t="n">
        <v>2.2</v>
      </c>
      <c r="H4811" t="n">
        <v>0</v>
      </c>
      <c r="I4811" t="n">
        <v>0</v>
      </c>
      <c r="J4811" t="n">
        <v>0</v>
      </c>
      <c r="K4811" t="n">
        <v>0</v>
      </c>
      <c r="L4811" t="n">
        <v>0</v>
      </c>
      <c r="M4811" t="n">
        <v>0</v>
      </c>
      <c r="N4811" t="n">
        <v>0</v>
      </c>
      <c r="O4811" t="n">
        <v>0</v>
      </c>
      <c r="P4811" t="n">
        <v>0</v>
      </c>
      <c r="Q4811" t="n">
        <v>0</v>
      </c>
      <c r="R4811" s="2" t="inlineStr"/>
    </row>
    <row r="4812" ht="15" customHeight="1">
      <c r="A4812" t="inlineStr">
        <is>
          <t>A 53965-2022</t>
        </is>
      </c>
      <c r="B4812" s="1" t="n">
        <v>44881.31358796296</v>
      </c>
      <c r="C4812" s="1" t="n">
        <v>45952</v>
      </c>
      <c r="D4812" t="inlineStr">
        <is>
          <t>VÄSTRA GÖTALANDS LÄN</t>
        </is>
      </c>
      <c r="E4812" t="inlineStr">
        <is>
          <t>ULRICEHAMN</t>
        </is>
      </c>
      <c r="G4812" t="n">
        <v>1.9</v>
      </c>
      <c r="H4812" t="n">
        <v>0</v>
      </c>
      <c r="I4812" t="n">
        <v>0</v>
      </c>
      <c r="J4812" t="n">
        <v>0</v>
      </c>
      <c r="K4812" t="n">
        <v>0</v>
      </c>
      <c r="L4812" t="n">
        <v>0</v>
      </c>
      <c r="M4812" t="n">
        <v>0</v>
      </c>
      <c r="N4812" t="n">
        <v>0</v>
      </c>
      <c r="O4812" t="n">
        <v>0</v>
      </c>
      <c r="P4812" t="n">
        <v>0</v>
      </c>
      <c r="Q4812" t="n">
        <v>0</v>
      </c>
      <c r="R4812" s="2" t="inlineStr"/>
    </row>
    <row r="4813" ht="15" customHeight="1">
      <c r="A4813" t="inlineStr">
        <is>
          <t>A 5117-2023</t>
        </is>
      </c>
      <c r="B4813" s="1" t="n">
        <v>44958.67679398148</v>
      </c>
      <c r="C4813" s="1" t="n">
        <v>45952</v>
      </c>
      <c r="D4813" t="inlineStr">
        <is>
          <t>VÄSTRA GÖTALANDS LÄN</t>
        </is>
      </c>
      <c r="E4813" t="inlineStr">
        <is>
          <t>DALS-ED</t>
        </is>
      </c>
      <c r="G4813" t="n">
        <v>1.7</v>
      </c>
      <c r="H4813" t="n">
        <v>0</v>
      </c>
      <c r="I4813" t="n">
        <v>0</v>
      </c>
      <c r="J4813" t="n">
        <v>0</v>
      </c>
      <c r="K4813" t="n">
        <v>0</v>
      </c>
      <c r="L4813" t="n">
        <v>0</v>
      </c>
      <c r="M4813" t="n">
        <v>0</v>
      </c>
      <c r="N4813" t="n">
        <v>0</v>
      </c>
      <c r="O4813" t="n">
        <v>0</v>
      </c>
      <c r="P4813" t="n">
        <v>0</v>
      </c>
      <c r="Q4813" t="n">
        <v>0</v>
      </c>
      <c r="R4813" s="2" t="inlineStr"/>
    </row>
    <row r="4814" ht="15" customHeight="1">
      <c r="A4814" t="inlineStr">
        <is>
          <t>A 56793-2023</t>
        </is>
      </c>
      <c r="B4814" s="1" t="n">
        <v>45244.42677083334</v>
      </c>
      <c r="C4814" s="1" t="n">
        <v>45952</v>
      </c>
      <c r="D4814" t="inlineStr">
        <is>
          <t>VÄSTRA GÖTALANDS LÄN</t>
        </is>
      </c>
      <c r="E4814" t="inlineStr">
        <is>
          <t>ULRICEHAMN</t>
        </is>
      </c>
      <c r="G4814" t="n">
        <v>0.7</v>
      </c>
      <c r="H4814" t="n">
        <v>0</v>
      </c>
      <c r="I4814" t="n">
        <v>0</v>
      </c>
      <c r="J4814" t="n">
        <v>0</v>
      </c>
      <c r="K4814" t="n">
        <v>0</v>
      </c>
      <c r="L4814" t="n">
        <v>0</v>
      </c>
      <c r="M4814" t="n">
        <v>0</v>
      </c>
      <c r="N4814" t="n">
        <v>0</v>
      </c>
      <c r="O4814" t="n">
        <v>0</v>
      </c>
      <c r="P4814" t="n">
        <v>0</v>
      </c>
      <c r="Q4814" t="n">
        <v>0</v>
      </c>
      <c r="R4814" s="2" t="inlineStr"/>
    </row>
    <row r="4815" ht="15" customHeight="1">
      <c r="A4815" t="inlineStr">
        <is>
          <t>A 61915-2022</t>
        </is>
      </c>
      <c r="B4815" s="1" t="n">
        <v>44917.7606712963</v>
      </c>
      <c r="C4815" s="1" t="n">
        <v>45952</v>
      </c>
      <c r="D4815" t="inlineStr">
        <is>
          <t>VÄSTRA GÖTALANDS LÄN</t>
        </is>
      </c>
      <c r="E4815" t="inlineStr">
        <is>
          <t>FÄRGELANDA</t>
        </is>
      </c>
      <c r="G4815" t="n">
        <v>1.6</v>
      </c>
      <c r="H4815" t="n">
        <v>0</v>
      </c>
      <c r="I4815" t="n">
        <v>0</v>
      </c>
      <c r="J4815" t="n">
        <v>0</v>
      </c>
      <c r="K4815" t="n">
        <v>0</v>
      </c>
      <c r="L4815" t="n">
        <v>0</v>
      </c>
      <c r="M4815" t="n">
        <v>0</v>
      </c>
      <c r="N4815" t="n">
        <v>0</v>
      </c>
      <c r="O4815" t="n">
        <v>0</v>
      </c>
      <c r="P4815" t="n">
        <v>0</v>
      </c>
      <c r="Q4815" t="n">
        <v>0</v>
      </c>
      <c r="R4815" s="2" t="inlineStr"/>
    </row>
    <row r="4816" ht="15" customHeight="1">
      <c r="A4816" t="inlineStr">
        <is>
          <t>A 9651-2023</t>
        </is>
      </c>
      <c r="B4816" s="1" t="n">
        <v>44978</v>
      </c>
      <c r="C4816" s="1" t="n">
        <v>45952</v>
      </c>
      <c r="D4816" t="inlineStr">
        <is>
          <t>VÄSTRA GÖTALANDS LÄN</t>
        </is>
      </c>
      <c r="E4816" t="inlineStr">
        <is>
          <t>TÖREBODA</t>
        </is>
      </c>
      <c r="G4816" t="n">
        <v>2.8</v>
      </c>
      <c r="H4816" t="n">
        <v>0</v>
      </c>
      <c r="I4816" t="n">
        <v>0</v>
      </c>
      <c r="J4816" t="n">
        <v>0</v>
      </c>
      <c r="K4816" t="n">
        <v>0</v>
      </c>
      <c r="L4816" t="n">
        <v>0</v>
      </c>
      <c r="M4816" t="n">
        <v>0</v>
      </c>
      <c r="N4816" t="n">
        <v>0</v>
      </c>
      <c r="O4816" t="n">
        <v>0</v>
      </c>
      <c r="P4816" t="n">
        <v>0</v>
      </c>
      <c r="Q4816" t="n">
        <v>0</v>
      </c>
      <c r="R4816" s="2" t="inlineStr"/>
    </row>
    <row r="4817" ht="15" customHeight="1">
      <c r="A4817" t="inlineStr">
        <is>
          <t>A 56805-2023</t>
        </is>
      </c>
      <c r="B4817" s="1" t="n">
        <v>45244</v>
      </c>
      <c r="C4817" s="1" t="n">
        <v>45952</v>
      </c>
      <c r="D4817" t="inlineStr">
        <is>
          <t>VÄSTRA GÖTALANDS LÄN</t>
        </is>
      </c>
      <c r="E4817" t="inlineStr">
        <is>
          <t>TÖREBODA</t>
        </is>
      </c>
      <c r="G4817" t="n">
        <v>0.8</v>
      </c>
      <c r="H4817" t="n">
        <v>0</v>
      </c>
      <c r="I4817" t="n">
        <v>0</v>
      </c>
      <c r="J4817" t="n">
        <v>0</v>
      </c>
      <c r="K4817" t="n">
        <v>0</v>
      </c>
      <c r="L4817" t="n">
        <v>0</v>
      </c>
      <c r="M4817" t="n">
        <v>0</v>
      </c>
      <c r="N4817" t="n">
        <v>0</v>
      </c>
      <c r="O4817" t="n">
        <v>0</v>
      </c>
      <c r="P4817" t="n">
        <v>0</v>
      </c>
      <c r="Q4817" t="n">
        <v>0</v>
      </c>
      <c r="R4817" s="2" t="inlineStr"/>
    </row>
    <row r="4818" ht="15" customHeight="1">
      <c r="A4818" t="inlineStr">
        <is>
          <t>A 57754-2023</t>
        </is>
      </c>
      <c r="B4818" s="1" t="n">
        <v>45246.79032407407</v>
      </c>
      <c r="C4818" s="1" t="n">
        <v>45952</v>
      </c>
      <c r="D4818" t="inlineStr">
        <is>
          <t>VÄSTRA GÖTALANDS LÄN</t>
        </is>
      </c>
      <c r="E4818" t="inlineStr">
        <is>
          <t>LILLA EDET</t>
        </is>
      </c>
      <c r="G4818" t="n">
        <v>0.7</v>
      </c>
      <c r="H4818" t="n">
        <v>0</v>
      </c>
      <c r="I4818" t="n">
        <v>0</v>
      </c>
      <c r="J4818" t="n">
        <v>0</v>
      </c>
      <c r="K4818" t="n">
        <v>0</v>
      </c>
      <c r="L4818" t="n">
        <v>0</v>
      </c>
      <c r="M4818" t="n">
        <v>0</v>
      </c>
      <c r="N4818" t="n">
        <v>0</v>
      </c>
      <c r="O4818" t="n">
        <v>0</v>
      </c>
      <c r="P4818" t="n">
        <v>0</v>
      </c>
      <c r="Q4818" t="n">
        <v>0</v>
      </c>
      <c r="R4818" s="2" t="inlineStr"/>
    </row>
    <row r="4819" ht="15" customHeight="1">
      <c r="A4819" t="inlineStr">
        <is>
          <t>A 57759-2023</t>
        </is>
      </c>
      <c r="B4819" s="1" t="n">
        <v>45246.8422337963</v>
      </c>
      <c r="C4819" s="1" t="n">
        <v>45952</v>
      </c>
      <c r="D4819" t="inlineStr">
        <is>
          <t>VÄSTRA GÖTALANDS LÄN</t>
        </is>
      </c>
      <c r="E4819" t="inlineStr">
        <is>
          <t>VARA</t>
        </is>
      </c>
      <c r="G4819" t="n">
        <v>0.8</v>
      </c>
      <c r="H4819" t="n">
        <v>0</v>
      </c>
      <c r="I4819" t="n">
        <v>0</v>
      </c>
      <c r="J4819" t="n">
        <v>0</v>
      </c>
      <c r="K4819" t="n">
        <v>0</v>
      </c>
      <c r="L4819" t="n">
        <v>0</v>
      </c>
      <c r="M4819" t="n">
        <v>0</v>
      </c>
      <c r="N4819" t="n">
        <v>0</v>
      </c>
      <c r="O4819" t="n">
        <v>0</v>
      </c>
      <c r="P4819" t="n">
        <v>0</v>
      </c>
      <c r="Q4819" t="n">
        <v>0</v>
      </c>
      <c r="R4819" s="2" t="inlineStr"/>
    </row>
    <row r="4820" ht="15" customHeight="1">
      <c r="A4820" t="inlineStr">
        <is>
          <t>A 21077-2023</t>
        </is>
      </c>
      <c r="B4820" s="1" t="n">
        <v>45057</v>
      </c>
      <c r="C4820" s="1" t="n">
        <v>45952</v>
      </c>
      <c r="D4820" t="inlineStr">
        <is>
          <t>VÄSTRA GÖTALANDS LÄN</t>
        </is>
      </c>
      <c r="E4820" t="inlineStr">
        <is>
          <t>MELLERUD</t>
        </is>
      </c>
      <c r="G4820" t="n">
        <v>1.3</v>
      </c>
      <c r="H4820" t="n">
        <v>0</v>
      </c>
      <c r="I4820" t="n">
        <v>0</v>
      </c>
      <c r="J4820" t="n">
        <v>0</v>
      </c>
      <c r="K4820" t="n">
        <v>0</v>
      </c>
      <c r="L4820" t="n">
        <v>0</v>
      </c>
      <c r="M4820" t="n">
        <v>0</v>
      </c>
      <c r="N4820" t="n">
        <v>0</v>
      </c>
      <c r="O4820" t="n">
        <v>0</v>
      </c>
      <c r="P4820" t="n">
        <v>0</v>
      </c>
      <c r="Q4820" t="n">
        <v>0</v>
      </c>
      <c r="R4820" s="2" t="inlineStr"/>
    </row>
    <row r="4821" ht="15" customHeight="1">
      <c r="A4821" t="inlineStr">
        <is>
          <t>A 65313-2021</t>
        </is>
      </c>
      <c r="B4821" s="1" t="n">
        <v>44515.62417824074</v>
      </c>
      <c r="C4821" s="1" t="n">
        <v>45952</v>
      </c>
      <c r="D4821" t="inlineStr">
        <is>
          <t>VÄSTRA GÖTALANDS LÄN</t>
        </is>
      </c>
      <c r="E4821" t="inlineStr">
        <is>
          <t>KARLSBORG</t>
        </is>
      </c>
      <c r="G4821" t="n">
        <v>1.8</v>
      </c>
      <c r="H4821" t="n">
        <v>0</v>
      </c>
      <c r="I4821" t="n">
        <v>0</v>
      </c>
      <c r="J4821" t="n">
        <v>0</v>
      </c>
      <c r="K4821" t="n">
        <v>0</v>
      </c>
      <c r="L4821" t="n">
        <v>0</v>
      </c>
      <c r="M4821" t="n">
        <v>0</v>
      </c>
      <c r="N4821" t="n">
        <v>0</v>
      </c>
      <c r="O4821" t="n">
        <v>0</v>
      </c>
      <c r="P4821" t="n">
        <v>0</v>
      </c>
      <c r="Q4821" t="n">
        <v>0</v>
      </c>
      <c r="R4821" s="2" t="inlineStr"/>
    </row>
    <row r="4822" ht="15" customHeight="1">
      <c r="A4822" t="inlineStr">
        <is>
          <t>A 62148-2022</t>
        </is>
      </c>
      <c r="B4822" s="1" t="n">
        <v>44922.40197916667</v>
      </c>
      <c r="C4822" s="1" t="n">
        <v>45952</v>
      </c>
      <c r="D4822" t="inlineStr">
        <is>
          <t>VÄSTRA GÖTALANDS LÄN</t>
        </is>
      </c>
      <c r="E4822" t="inlineStr">
        <is>
          <t>VÅRGÅRDA</t>
        </is>
      </c>
      <c r="G4822" t="n">
        <v>1.2</v>
      </c>
      <c r="H4822" t="n">
        <v>0</v>
      </c>
      <c r="I4822" t="n">
        <v>0</v>
      </c>
      <c r="J4822" t="n">
        <v>0</v>
      </c>
      <c r="K4822" t="n">
        <v>0</v>
      </c>
      <c r="L4822" t="n">
        <v>0</v>
      </c>
      <c r="M4822" t="n">
        <v>0</v>
      </c>
      <c r="N4822" t="n">
        <v>0</v>
      </c>
      <c r="O4822" t="n">
        <v>0</v>
      </c>
      <c r="P4822" t="n">
        <v>0</v>
      </c>
      <c r="Q4822" t="n">
        <v>0</v>
      </c>
      <c r="R4822" s="2" t="inlineStr"/>
    </row>
    <row r="4823" ht="15" customHeight="1">
      <c r="A4823" t="inlineStr">
        <is>
          <t>A 30585-2022</t>
        </is>
      </c>
      <c r="B4823" s="1" t="n">
        <v>44762</v>
      </c>
      <c r="C4823" s="1" t="n">
        <v>45952</v>
      </c>
      <c r="D4823" t="inlineStr">
        <is>
          <t>VÄSTRA GÖTALANDS LÄN</t>
        </is>
      </c>
      <c r="E4823" t="inlineStr">
        <is>
          <t>ULRICEHAMN</t>
        </is>
      </c>
      <c r="G4823" t="n">
        <v>6.8</v>
      </c>
      <c r="H4823" t="n">
        <v>0</v>
      </c>
      <c r="I4823" t="n">
        <v>0</v>
      </c>
      <c r="J4823" t="n">
        <v>0</v>
      </c>
      <c r="K4823" t="n">
        <v>0</v>
      </c>
      <c r="L4823" t="n">
        <v>0</v>
      </c>
      <c r="M4823" t="n">
        <v>0</v>
      </c>
      <c r="N4823" t="n">
        <v>0</v>
      </c>
      <c r="O4823" t="n">
        <v>0</v>
      </c>
      <c r="P4823" t="n">
        <v>0</v>
      </c>
      <c r="Q4823" t="n">
        <v>0</v>
      </c>
      <c r="R4823" s="2" t="inlineStr"/>
    </row>
    <row r="4824" ht="15" customHeight="1">
      <c r="A4824" t="inlineStr">
        <is>
          <t>A 4666-2024</t>
        </is>
      </c>
      <c r="B4824" s="1" t="n">
        <v>45328</v>
      </c>
      <c r="C4824" s="1" t="n">
        <v>45952</v>
      </c>
      <c r="D4824" t="inlineStr">
        <is>
          <t>VÄSTRA GÖTALANDS LÄN</t>
        </is>
      </c>
      <c r="E4824" t="inlineStr">
        <is>
          <t>TÖREBODA</t>
        </is>
      </c>
      <c r="G4824" t="n">
        <v>0.5</v>
      </c>
      <c r="H4824" t="n">
        <v>0</v>
      </c>
      <c r="I4824" t="n">
        <v>0</v>
      </c>
      <c r="J4824" t="n">
        <v>0</v>
      </c>
      <c r="K4824" t="n">
        <v>0</v>
      </c>
      <c r="L4824" t="n">
        <v>0</v>
      </c>
      <c r="M4824" t="n">
        <v>0</v>
      </c>
      <c r="N4824" t="n">
        <v>0</v>
      </c>
      <c r="O4824" t="n">
        <v>0</v>
      </c>
      <c r="P4824" t="n">
        <v>0</v>
      </c>
      <c r="Q4824" t="n">
        <v>0</v>
      </c>
      <c r="R4824" s="2" t="inlineStr"/>
    </row>
    <row r="4825" ht="15" customHeight="1">
      <c r="A4825" t="inlineStr">
        <is>
          <t>A 8704-2022</t>
        </is>
      </c>
      <c r="B4825" s="1" t="n">
        <v>44613.74009259259</v>
      </c>
      <c r="C4825" s="1" t="n">
        <v>45952</v>
      </c>
      <c r="D4825" t="inlineStr">
        <is>
          <t>VÄSTRA GÖTALANDS LÄN</t>
        </is>
      </c>
      <c r="E4825" t="inlineStr">
        <is>
          <t>SVENLJUNGA</t>
        </is>
      </c>
      <c r="G4825" t="n">
        <v>1.5</v>
      </c>
      <c r="H4825" t="n">
        <v>0</v>
      </c>
      <c r="I4825" t="n">
        <v>0</v>
      </c>
      <c r="J4825" t="n">
        <v>0</v>
      </c>
      <c r="K4825" t="n">
        <v>0</v>
      </c>
      <c r="L4825" t="n">
        <v>0</v>
      </c>
      <c r="M4825" t="n">
        <v>0</v>
      </c>
      <c r="N4825" t="n">
        <v>0</v>
      </c>
      <c r="O4825" t="n">
        <v>0</v>
      </c>
      <c r="P4825" t="n">
        <v>0</v>
      </c>
      <c r="Q4825" t="n">
        <v>0</v>
      </c>
      <c r="R4825" s="2" t="inlineStr"/>
    </row>
    <row r="4826" ht="15" customHeight="1">
      <c r="A4826" t="inlineStr">
        <is>
          <t>A 4682-2024</t>
        </is>
      </c>
      <c r="B4826" s="1" t="n">
        <v>45328</v>
      </c>
      <c r="C4826" s="1" t="n">
        <v>45952</v>
      </c>
      <c r="D4826" t="inlineStr">
        <is>
          <t>VÄSTRA GÖTALANDS LÄN</t>
        </is>
      </c>
      <c r="E4826" t="inlineStr">
        <is>
          <t>TRANEMO</t>
        </is>
      </c>
      <c r="G4826" t="n">
        <v>1.2</v>
      </c>
      <c r="H4826" t="n">
        <v>0</v>
      </c>
      <c r="I4826" t="n">
        <v>0</v>
      </c>
      <c r="J4826" t="n">
        <v>0</v>
      </c>
      <c r="K4826" t="n">
        <v>0</v>
      </c>
      <c r="L4826" t="n">
        <v>0</v>
      </c>
      <c r="M4826" t="n">
        <v>0</v>
      </c>
      <c r="N4826" t="n">
        <v>0</v>
      </c>
      <c r="O4826" t="n">
        <v>0</v>
      </c>
      <c r="P4826" t="n">
        <v>0</v>
      </c>
      <c r="Q4826" t="n">
        <v>0</v>
      </c>
      <c r="R4826" s="2" t="inlineStr"/>
    </row>
    <row r="4827" ht="15" customHeight="1">
      <c r="A4827" t="inlineStr">
        <is>
          <t>A 13631-2024</t>
        </is>
      </c>
      <c r="B4827" s="1" t="n">
        <v>45390.41417824074</v>
      </c>
      <c r="C4827" s="1" t="n">
        <v>45952</v>
      </c>
      <c r="D4827" t="inlineStr">
        <is>
          <t>VÄSTRA GÖTALANDS LÄN</t>
        </is>
      </c>
      <c r="E4827" t="inlineStr">
        <is>
          <t>LILLA EDET</t>
        </is>
      </c>
      <c r="G4827" t="n">
        <v>16.4</v>
      </c>
      <c r="H4827" t="n">
        <v>0</v>
      </c>
      <c r="I4827" t="n">
        <v>0</v>
      </c>
      <c r="J4827" t="n">
        <v>0</v>
      </c>
      <c r="K4827" t="n">
        <v>0</v>
      </c>
      <c r="L4827" t="n">
        <v>0</v>
      </c>
      <c r="M4827" t="n">
        <v>0</v>
      </c>
      <c r="N4827" t="n">
        <v>0</v>
      </c>
      <c r="O4827" t="n">
        <v>0</v>
      </c>
      <c r="P4827" t="n">
        <v>0</v>
      </c>
      <c r="Q4827" t="n">
        <v>0</v>
      </c>
      <c r="R4827" s="2" t="inlineStr"/>
    </row>
    <row r="4828" ht="15" customHeight="1">
      <c r="A4828" t="inlineStr">
        <is>
          <t>A 13659-2024</t>
        </is>
      </c>
      <c r="B4828" s="1" t="n">
        <v>45390.48613425926</v>
      </c>
      <c r="C4828" s="1" t="n">
        <v>45952</v>
      </c>
      <c r="D4828" t="inlineStr">
        <is>
          <t>VÄSTRA GÖTALANDS LÄN</t>
        </is>
      </c>
      <c r="E4828" t="inlineStr">
        <is>
          <t>KARLSBORG</t>
        </is>
      </c>
      <c r="F4828" t="inlineStr">
        <is>
          <t>Övriga Aktiebolag</t>
        </is>
      </c>
      <c r="G4828" t="n">
        <v>5.3</v>
      </c>
      <c r="H4828" t="n">
        <v>0</v>
      </c>
      <c r="I4828" t="n">
        <v>0</v>
      </c>
      <c r="J4828" t="n">
        <v>0</v>
      </c>
      <c r="K4828" t="n">
        <v>0</v>
      </c>
      <c r="L4828" t="n">
        <v>0</v>
      </c>
      <c r="M4828" t="n">
        <v>0</v>
      </c>
      <c r="N4828" t="n">
        <v>0</v>
      </c>
      <c r="O4828" t="n">
        <v>0</v>
      </c>
      <c r="P4828" t="n">
        <v>0</v>
      </c>
      <c r="Q4828" t="n">
        <v>0</v>
      </c>
      <c r="R4828" s="2" t="inlineStr"/>
    </row>
    <row r="4829" ht="15" customHeight="1">
      <c r="A4829" t="inlineStr">
        <is>
          <t>A 14424-2024</t>
        </is>
      </c>
      <c r="B4829" s="1" t="n">
        <v>45394</v>
      </c>
      <c r="C4829" s="1" t="n">
        <v>45952</v>
      </c>
      <c r="D4829" t="inlineStr">
        <is>
          <t>VÄSTRA GÖTALANDS LÄN</t>
        </is>
      </c>
      <c r="E4829" t="inlineStr">
        <is>
          <t>TRANEMO</t>
        </is>
      </c>
      <c r="G4829" t="n">
        <v>13.9</v>
      </c>
      <c r="H4829" t="n">
        <v>0</v>
      </c>
      <c r="I4829" t="n">
        <v>0</v>
      </c>
      <c r="J4829" t="n">
        <v>0</v>
      </c>
      <c r="K4829" t="n">
        <v>0</v>
      </c>
      <c r="L4829" t="n">
        <v>0</v>
      </c>
      <c r="M4829" t="n">
        <v>0</v>
      </c>
      <c r="N4829" t="n">
        <v>0</v>
      </c>
      <c r="O4829" t="n">
        <v>0</v>
      </c>
      <c r="P4829" t="n">
        <v>0</v>
      </c>
      <c r="Q4829" t="n">
        <v>0</v>
      </c>
      <c r="R4829" s="2" t="inlineStr"/>
    </row>
    <row r="4830" ht="15" customHeight="1">
      <c r="A4830" t="inlineStr">
        <is>
          <t>A 45323-2024</t>
        </is>
      </c>
      <c r="B4830" s="1" t="n">
        <v>45576.44700231482</v>
      </c>
      <c r="C4830" s="1" t="n">
        <v>45952</v>
      </c>
      <c r="D4830" t="inlineStr">
        <is>
          <t>VÄSTRA GÖTALANDS LÄN</t>
        </is>
      </c>
      <c r="E4830" t="inlineStr">
        <is>
          <t>ALINGSÅS</t>
        </is>
      </c>
      <c r="G4830" t="n">
        <v>0.7</v>
      </c>
      <c r="H4830" t="n">
        <v>0</v>
      </c>
      <c r="I4830" t="n">
        <v>0</v>
      </c>
      <c r="J4830" t="n">
        <v>0</v>
      </c>
      <c r="K4830" t="n">
        <v>0</v>
      </c>
      <c r="L4830" t="n">
        <v>0</v>
      </c>
      <c r="M4830" t="n">
        <v>0</v>
      </c>
      <c r="N4830" t="n">
        <v>0</v>
      </c>
      <c r="O4830" t="n">
        <v>0</v>
      </c>
      <c r="P4830" t="n">
        <v>0</v>
      </c>
      <c r="Q4830" t="n">
        <v>0</v>
      </c>
      <c r="R4830" s="2" t="inlineStr"/>
    </row>
    <row r="4831" ht="15" customHeight="1">
      <c r="A4831" t="inlineStr">
        <is>
          <t>A 20448-2021</t>
        </is>
      </c>
      <c r="B4831" s="1" t="n">
        <v>44315</v>
      </c>
      <c r="C4831" s="1" t="n">
        <v>45952</v>
      </c>
      <c r="D4831" t="inlineStr">
        <is>
          <t>VÄSTRA GÖTALANDS LÄN</t>
        </is>
      </c>
      <c r="E4831" t="inlineStr">
        <is>
          <t>ALINGSÅS</t>
        </is>
      </c>
      <c r="G4831" t="n">
        <v>3.6</v>
      </c>
      <c r="H4831" t="n">
        <v>0</v>
      </c>
      <c r="I4831" t="n">
        <v>0</v>
      </c>
      <c r="J4831" t="n">
        <v>0</v>
      </c>
      <c r="K4831" t="n">
        <v>0</v>
      </c>
      <c r="L4831" t="n">
        <v>0</v>
      </c>
      <c r="M4831" t="n">
        <v>0</v>
      </c>
      <c r="N4831" t="n">
        <v>0</v>
      </c>
      <c r="O4831" t="n">
        <v>0</v>
      </c>
      <c r="P4831" t="n">
        <v>0</v>
      </c>
      <c r="Q4831" t="n">
        <v>0</v>
      </c>
      <c r="R4831" s="2" t="inlineStr"/>
    </row>
    <row r="4832" ht="15" customHeight="1">
      <c r="A4832" t="inlineStr">
        <is>
          <t>A 13377-2023</t>
        </is>
      </c>
      <c r="B4832" s="1" t="n">
        <v>45005.49668981481</v>
      </c>
      <c r="C4832" s="1" t="n">
        <v>45952</v>
      </c>
      <c r="D4832" t="inlineStr">
        <is>
          <t>VÄSTRA GÖTALANDS LÄN</t>
        </is>
      </c>
      <c r="E4832" t="inlineStr">
        <is>
          <t>ORUST</t>
        </is>
      </c>
      <c r="G4832" t="n">
        <v>2.5</v>
      </c>
      <c r="H4832" t="n">
        <v>0</v>
      </c>
      <c r="I4832" t="n">
        <v>0</v>
      </c>
      <c r="J4832" t="n">
        <v>0</v>
      </c>
      <c r="K4832" t="n">
        <v>0</v>
      </c>
      <c r="L4832" t="n">
        <v>0</v>
      </c>
      <c r="M4832" t="n">
        <v>0</v>
      </c>
      <c r="N4832" t="n">
        <v>0</v>
      </c>
      <c r="O4832" t="n">
        <v>0</v>
      </c>
      <c r="P4832" t="n">
        <v>0</v>
      </c>
      <c r="Q4832" t="n">
        <v>0</v>
      </c>
      <c r="R4832" s="2" t="inlineStr"/>
    </row>
    <row r="4833" ht="15" customHeight="1">
      <c r="A4833" t="inlineStr">
        <is>
          <t>A 15704-2023</t>
        </is>
      </c>
      <c r="B4833" s="1" t="n">
        <v>45021</v>
      </c>
      <c r="C4833" s="1" t="n">
        <v>45952</v>
      </c>
      <c r="D4833" t="inlineStr">
        <is>
          <t>VÄSTRA GÖTALANDS LÄN</t>
        </is>
      </c>
      <c r="E4833" t="inlineStr">
        <is>
          <t>TROLLHÄTTAN</t>
        </is>
      </c>
      <c r="G4833" t="n">
        <v>5</v>
      </c>
      <c r="H4833" t="n">
        <v>0</v>
      </c>
      <c r="I4833" t="n">
        <v>0</v>
      </c>
      <c r="J4833" t="n">
        <v>0</v>
      </c>
      <c r="K4833" t="n">
        <v>0</v>
      </c>
      <c r="L4833" t="n">
        <v>0</v>
      </c>
      <c r="M4833" t="n">
        <v>0</v>
      </c>
      <c r="N4833" t="n">
        <v>0</v>
      </c>
      <c r="O4833" t="n">
        <v>0</v>
      </c>
      <c r="P4833" t="n">
        <v>0</v>
      </c>
      <c r="Q4833" t="n">
        <v>0</v>
      </c>
      <c r="R4833" s="2" t="inlineStr"/>
    </row>
    <row r="4834" ht="15" customHeight="1">
      <c r="A4834" t="inlineStr">
        <is>
          <t>A 57560-2020</t>
        </is>
      </c>
      <c r="B4834" s="1" t="n">
        <v>44140</v>
      </c>
      <c r="C4834" s="1" t="n">
        <v>45952</v>
      </c>
      <c r="D4834" t="inlineStr">
        <is>
          <t>VÄSTRA GÖTALANDS LÄN</t>
        </is>
      </c>
      <c r="E4834" t="inlineStr">
        <is>
          <t>LIDKÖPING</t>
        </is>
      </c>
      <c r="G4834" t="n">
        <v>2.9</v>
      </c>
      <c r="H4834" t="n">
        <v>0</v>
      </c>
      <c r="I4834" t="n">
        <v>0</v>
      </c>
      <c r="J4834" t="n">
        <v>0</v>
      </c>
      <c r="K4834" t="n">
        <v>0</v>
      </c>
      <c r="L4834" t="n">
        <v>0</v>
      </c>
      <c r="M4834" t="n">
        <v>0</v>
      </c>
      <c r="N4834" t="n">
        <v>0</v>
      </c>
      <c r="O4834" t="n">
        <v>0</v>
      </c>
      <c r="P4834" t="n">
        <v>0</v>
      </c>
      <c r="Q4834" t="n">
        <v>0</v>
      </c>
      <c r="R4834" s="2" t="inlineStr"/>
    </row>
    <row r="4835" ht="15" customHeight="1">
      <c r="A4835" t="inlineStr">
        <is>
          <t>A 59829-2023</t>
        </is>
      </c>
      <c r="B4835" s="1" t="n">
        <v>45257</v>
      </c>
      <c r="C4835" s="1" t="n">
        <v>45952</v>
      </c>
      <c r="D4835" t="inlineStr">
        <is>
          <t>VÄSTRA GÖTALANDS LÄN</t>
        </is>
      </c>
      <c r="E4835" t="inlineStr">
        <is>
          <t>UDDEVALLA</t>
        </is>
      </c>
      <c r="G4835" t="n">
        <v>1</v>
      </c>
      <c r="H4835" t="n">
        <v>0</v>
      </c>
      <c r="I4835" t="n">
        <v>0</v>
      </c>
      <c r="J4835" t="n">
        <v>0</v>
      </c>
      <c r="K4835" t="n">
        <v>0</v>
      </c>
      <c r="L4835" t="n">
        <v>0</v>
      </c>
      <c r="M4835" t="n">
        <v>0</v>
      </c>
      <c r="N4835" t="n">
        <v>0</v>
      </c>
      <c r="O4835" t="n">
        <v>0</v>
      </c>
      <c r="P4835" t="n">
        <v>0</v>
      </c>
      <c r="Q4835" t="n">
        <v>0</v>
      </c>
      <c r="R4835" s="2" t="inlineStr"/>
    </row>
    <row r="4836" ht="15" customHeight="1">
      <c r="A4836" t="inlineStr">
        <is>
          <t>A 59756-2024</t>
        </is>
      </c>
      <c r="B4836" s="1" t="n">
        <v>45639.5506712963</v>
      </c>
      <c r="C4836" s="1" t="n">
        <v>45952</v>
      </c>
      <c r="D4836" t="inlineStr">
        <is>
          <t>VÄSTRA GÖTALANDS LÄN</t>
        </is>
      </c>
      <c r="E4836" t="inlineStr">
        <is>
          <t>HERRLJUNGA</t>
        </is>
      </c>
      <c r="G4836" t="n">
        <v>0.5</v>
      </c>
      <c r="H4836" t="n">
        <v>0</v>
      </c>
      <c r="I4836" t="n">
        <v>0</v>
      </c>
      <c r="J4836" t="n">
        <v>0</v>
      </c>
      <c r="K4836" t="n">
        <v>0</v>
      </c>
      <c r="L4836" t="n">
        <v>0</v>
      </c>
      <c r="M4836" t="n">
        <v>0</v>
      </c>
      <c r="N4836" t="n">
        <v>0</v>
      </c>
      <c r="O4836" t="n">
        <v>0</v>
      </c>
      <c r="P4836" t="n">
        <v>0</v>
      </c>
      <c r="Q4836" t="n">
        <v>0</v>
      </c>
      <c r="R4836" s="2" t="inlineStr"/>
    </row>
    <row r="4837" ht="15" customHeight="1">
      <c r="A4837" t="inlineStr">
        <is>
          <t>A 6603-2021</t>
        </is>
      </c>
      <c r="B4837" s="1" t="n">
        <v>44236.46976851852</v>
      </c>
      <c r="C4837" s="1" t="n">
        <v>45952</v>
      </c>
      <c r="D4837" t="inlineStr">
        <is>
          <t>VÄSTRA GÖTALANDS LÄN</t>
        </is>
      </c>
      <c r="E4837" t="inlineStr">
        <is>
          <t>VÅRGÅRDA</t>
        </is>
      </c>
      <c r="G4837" t="n">
        <v>0.4</v>
      </c>
      <c r="H4837" t="n">
        <v>0</v>
      </c>
      <c r="I4837" t="n">
        <v>0</v>
      </c>
      <c r="J4837" t="n">
        <v>0</v>
      </c>
      <c r="K4837" t="n">
        <v>0</v>
      </c>
      <c r="L4837" t="n">
        <v>0</v>
      </c>
      <c r="M4837" t="n">
        <v>0</v>
      </c>
      <c r="N4837" t="n">
        <v>0</v>
      </c>
      <c r="O4837" t="n">
        <v>0</v>
      </c>
      <c r="P4837" t="n">
        <v>0</v>
      </c>
      <c r="Q4837" t="n">
        <v>0</v>
      </c>
      <c r="R4837" s="2" t="inlineStr"/>
    </row>
    <row r="4838" ht="15" customHeight="1">
      <c r="A4838" t="inlineStr">
        <is>
          <t>A 6625-2021</t>
        </is>
      </c>
      <c r="B4838" s="1" t="n">
        <v>44236</v>
      </c>
      <c r="C4838" s="1" t="n">
        <v>45952</v>
      </c>
      <c r="D4838" t="inlineStr">
        <is>
          <t>VÄSTRA GÖTALANDS LÄN</t>
        </is>
      </c>
      <c r="E4838" t="inlineStr">
        <is>
          <t>HERRLJUNGA</t>
        </is>
      </c>
      <c r="G4838" t="n">
        <v>0.5</v>
      </c>
      <c r="H4838" t="n">
        <v>0</v>
      </c>
      <c r="I4838" t="n">
        <v>0</v>
      </c>
      <c r="J4838" t="n">
        <v>0</v>
      </c>
      <c r="K4838" t="n">
        <v>0</v>
      </c>
      <c r="L4838" t="n">
        <v>0</v>
      </c>
      <c r="M4838" t="n">
        <v>0</v>
      </c>
      <c r="N4838" t="n">
        <v>0</v>
      </c>
      <c r="O4838" t="n">
        <v>0</v>
      </c>
      <c r="P4838" t="n">
        <v>0</v>
      </c>
      <c r="Q4838" t="n">
        <v>0</v>
      </c>
      <c r="R4838" s="2" t="inlineStr"/>
    </row>
    <row r="4839" ht="15" customHeight="1">
      <c r="A4839" t="inlineStr">
        <is>
          <t>A 50312-2024</t>
        </is>
      </c>
      <c r="B4839" s="1" t="n">
        <v>45600.65659722222</v>
      </c>
      <c r="C4839" s="1" t="n">
        <v>45952</v>
      </c>
      <c r="D4839" t="inlineStr">
        <is>
          <t>VÄSTRA GÖTALANDS LÄN</t>
        </is>
      </c>
      <c r="E4839" t="inlineStr">
        <is>
          <t>ALINGSÅS</t>
        </is>
      </c>
      <c r="G4839" t="n">
        <v>0.6</v>
      </c>
      <c r="H4839" t="n">
        <v>0</v>
      </c>
      <c r="I4839" t="n">
        <v>0</v>
      </c>
      <c r="J4839" t="n">
        <v>0</v>
      </c>
      <c r="K4839" t="n">
        <v>0</v>
      </c>
      <c r="L4839" t="n">
        <v>0</v>
      </c>
      <c r="M4839" t="n">
        <v>0</v>
      </c>
      <c r="N4839" t="n">
        <v>0</v>
      </c>
      <c r="O4839" t="n">
        <v>0</v>
      </c>
      <c r="P4839" t="n">
        <v>0</v>
      </c>
      <c r="Q4839" t="n">
        <v>0</v>
      </c>
      <c r="R4839" s="2" t="inlineStr"/>
    </row>
    <row r="4840" ht="15" customHeight="1">
      <c r="A4840" t="inlineStr">
        <is>
          <t>A 62179-2022</t>
        </is>
      </c>
      <c r="B4840" s="1" t="n">
        <v>44922.53709490741</v>
      </c>
      <c r="C4840" s="1" t="n">
        <v>45952</v>
      </c>
      <c r="D4840" t="inlineStr">
        <is>
          <t>VÄSTRA GÖTALANDS LÄN</t>
        </is>
      </c>
      <c r="E4840" t="inlineStr">
        <is>
          <t>FALKÖPING</t>
        </is>
      </c>
      <c r="G4840" t="n">
        <v>0.8</v>
      </c>
      <c r="H4840" t="n">
        <v>0</v>
      </c>
      <c r="I4840" t="n">
        <v>0</v>
      </c>
      <c r="J4840" t="n">
        <v>0</v>
      </c>
      <c r="K4840" t="n">
        <v>0</v>
      </c>
      <c r="L4840" t="n">
        <v>0</v>
      </c>
      <c r="M4840" t="n">
        <v>0</v>
      </c>
      <c r="N4840" t="n">
        <v>0</v>
      </c>
      <c r="O4840" t="n">
        <v>0</v>
      </c>
      <c r="P4840" t="n">
        <v>0</v>
      </c>
      <c r="Q4840" t="n">
        <v>0</v>
      </c>
      <c r="R4840" s="2" t="inlineStr"/>
    </row>
    <row r="4841" ht="15" customHeight="1">
      <c r="A4841" t="inlineStr">
        <is>
          <t>A 59758-2024</t>
        </is>
      </c>
      <c r="B4841" s="1" t="n">
        <v>45639.55207175926</v>
      </c>
      <c r="C4841" s="1" t="n">
        <v>45952</v>
      </c>
      <c r="D4841" t="inlineStr">
        <is>
          <t>VÄSTRA GÖTALANDS LÄN</t>
        </is>
      </c>
      <c r="E4841" t="inlineStr">
        <is>
          <t>LERUM</t>
        </is>
      </c>
      <c r="G4841" t="n">
        <v>1.7</v>
      </c>
      <c r="H4841" t="n">
        <v>0</v>
      </c>
      <c r="I4841" t="n">
        <v>0</v>
      </c>
      <c r="J4841" t="n">
        <v>0</v>
      </c>
      <c r="K4841" t="n">
        <v>0</v>
      </c>
      <c r="L4841" t="n">
        <v>0</v>
      </c>
      <c r="M4841" t="n">
        <v>0</v>
      </c>
      <c r="N4841" t="n">
        <v>0</v>
      </c>
      <c r="O4841" t="n">
        <v>0</v>
      </c>
      <c r="P4841" t="n">
        <v>0</v>
      </c>
      <c r="Q4841" t="n">
        <v>0</v>
      </c>
      <c r="R4841" s="2" t="inlineStr"/>
    </row>
    <row r="4842" ht="15" customHeight="1">
      <c r="A4842" t="inlineStr">
        <is>
          <t>A 50336-2024</t>
        </is>
      </c>
      <c r="B4842" s="1" t="n">
        <v>45600.71142361111</v>
      </c>
      <c r="C4842" s="1" t="n">
        <v>45952</v>
      </c>
      <c r="D4842" t="inlineStr">
        <is>
          <t>VÄSTRA GÖTALANDS LÄN</t>
        </is>
      </c>
      <c r="E4842" t="inlineStr">
        <is>
          <t>MELLERUD</t>
        </is>
      </c>
      <c r="G4842" t="n">
        <v>1.4</v>
      </c>
      <c r="H4842" t="n">
        <v>0</v>
      </c>
      <c r="I4842" t="n">
        <v>0</v>
      </c>
      <c r="J4842" t="n">
        <v>0</v>
      </c>
      <c r="K4842" t="n">
        <v>0</v>
      </c>
      <c r="L4842" t="n">
        <v>0</v>
      </c>
      <c r="M4842" t="n">
        <v>0</v>
      </c>
      <c r="N4842" t="n">
        <v>0</v>
      </c>
      <c r="O4842" t="n">
        <v>0</v>
      </c>
      <c r="P4842" t="n">
        <v>0</v>
      </c>
      <c r="Q4842" t="n">
        <v>0</v>
      </c>
      <c r="R4842" s="2" t="inlineStr"/>
    </row>
    <row r="4843" ht="15" customHeight="1">
      <c r="A4843" t="inlineStr">
        <is>
          <t>A 1604-2024</t>
        </is>
      </c>
      <c r="B4843" s="1" t="n">
        <v>45306.61583333334</v>
      </c>
      <c r="C4843" s="1" t="n">
        <v>45952</v>
      </c>
      <c r="D4843" t="inlineStr">
        <is>
          <t>VÄSTRA GÖTALANDS LÄN</t>
        </is>
      </c>
      <c r="E4843" t="inlineStr">
        <is>
          <t>HERRLJUNGA</t>
        </is>
      </c>
      <c r="G4843" t="n">
        <v>0.4</v>
      </c>
      <c r="H4843" t="n">
        <v>0</v>
      </c>
      <c r="I4843" t="n">
        <v>0</v>
      </c>
      <c r="J4843" t="n">
        <v>0</v>
      </c>
      <c r="K4843" t="n">
        <v>0</v>
      </c>
      <c r="L4843" t="n">
        <v>0</v>
      </c>
      <c r="M4843" t="n">
        <v>0</v>
      </c>
      <c r="N4843" t="n">
        <v>0</v>
      </c>
      <c r="O4843" t="n">
        <v>0</v>
      </c>
      <c r="P4843" t="n">
        <v>0</v>
      </c>
      <c r="Q4843" t="n">
        <v>0</v>
      </c>
      <c r="R4843" s="2" t="inlineStr"/>
    </row>
    <row r="4844" ht="15" customHeight="1">
      <c r="A4844" t="inlineStr">
        <is>
          <t>A 9720-2024</t>
        </is>
      </c>
      <c r="B4844" s="1" t="n">
        <v>45362</v>
      </c>
      <c r="C4844" s="1" t="n">
        <v>45952</v>
      </c>
      <c r="D4844" t="inlineStr">
        <is>
          <t>VÄSTRA GÖTALANDS LÄN</t>
        </is>
      </c>
      <c r="E4844" t="inlineStr">
        <is>
          <t>MUNKEDAL</t>
        </is>
      </c>
      <c r="G4844" t="n">
        <v>1.7</v>
      </c>
      <c r="H4844" t="n">
        <v>0</v>
      </c>
      <c r="I4844" t="n">
        <v>0</v>
      </c>
      <c r="J4844" t="n">
        <v>0</v>
      </c>
      <c r="K4844" t="n">
        <v>0</v>
      </c>
      <c r="L4844" t="n">
        <v>0</v>
      </c>
      <c r="M4844" t="n">
        <v>0</v>
      </c>
      <c r="N4844" t="n">
        <v>0</v>
      </c>
      <c r="O4844" t="n">
        <v>0</v>
      </c>
      <c r="P4844" t="n">
        <v>0</v>
      </c>
      <c r="Q4844" t="n">
        <v>0</v>
      </c>
      <c r="R4844" s="2" t="inlineStr"/>
    </row>
    <row r="4845" ht="15" customHeight="1">
      <c r="A4845" t="inlineStr">
        <is>
          <t>A 52952-2021</t>
        </is>
      </c>
      <c r="B4845" s="1" t="n">
        <v>44467.5972337963</v>
      </c>
      <c r="C4845" s="1" t="n">
        <v>45952</v>
      </c>
      <c r="D4845" t="inlineStr">
        <is>
          <t>VÄSTRA GÖTALANDS LÄN</t>
        </is>
      </c>
      <c r="E4845" t="inlineStr">
        <is>
          <t>STENUNGSUND</t>
        </is>
      </c>
      <c r="G4845" t="n">
        <v>0.4</v>
      </c>
      <c r="H4845" t="n">
        <v>0</v>
      </c>
      <c r="I4845" t="n">
        <v>0</v>
      </c>
      <c r="J4845" t="n">
        <v>0</v>
      </c>
      <c r="K4845" t="n">
        <v>0</v>
      </c>
      <c r="L4845" t="n">
        <v>0</v>
      </c>
      <c r="M4845" t="n">
        <v>0</v>
      </c>
      <c r="N4845" t="n">
        <v>0</v>
      </c>
      <c r="O4845" t="n">
        <v>0</v>
      </c>
      <c r="P4845" t="n">
        <v>0</v>
      </c>
      <c r="Q4845" t="n">
        <v>0</v>
      </c>
      <c r="R4845" s="2" t="inlineStr"/>
    </row>
    <row r="4846" ht="15" customHeight="1">
      <c r="A4846" t="inlineStr">
        <is>
          <t>A 211-2021</t>
        </is>
      </c>
      <c r="B4846" s="1" t="n">
        <v>44200</v>
      </c>
      <c r="C4846" s="1" t="n">
        <v>45952</v>
      </c>
      <c r="D4846" t="inlineStr">
        <is>
          <t>VÄSTRA GÖTALANDS LÄN</t>
        </is>
      </c>
      <c r="E4846" t="inlineStr">
        <is>
          <t>ALINGSÅS</t>
        </is>
      </c>
      <c r="G4846" t="n">
        <v>1.4</v>
      </c>
      <c r="H4846" t="n">
        <v>0</v>
      </c>
      <c r="I4846" t="n">
        <v>0</v>
      </c>
      <c r="J4846" t="n">
        <v>0</v>
      </c>
      <c r="K4846" t="n">
        <v>0</v>
      </c>
      <c r="L4846" t="n">
        <v>0</v>
      </c>
      <c r="M4846" t="n">
        <v>0</v>
      </c>
      <c r="N4846" t="n">
        <v>0</v>
      </c>
      <c r="O4846" t="n">
        <v>0</v>
      </c>
      <c r="P4846" t="n">
        <v>0</v>
      </c>
      <c r="Q4846" t="n">
        <v>0</v>
      </c>
      <c r="R4846" s="2" t="inlineStr"/>
    </row>
    <row r="4847" ht="15" customHeight="1">
      <c r="A4847" t="inlineStr">
        <is>
          <t>A 51416-2021</t>
        </is>
      </c>
      <c r="B4847" s="1" t="n">
        <v>44461.86927083333</v>
      </c>
      <c r="C4847" s="1" t="n">
        <v>45952</v>
      </c>
      <c r="D4847" t="inlineStr">
        <is>
          <t>VÄSTRA GÖTALANDS LÄN</t>
        </is>
      </c>
      <c r="E4847" t="inlineStr">
        <is>
          <t>FALKÖPING</t>
        </is>
      </c>
      <c r="G4847" t="n">
        <v>1.6</v>
      </c>
      <c r="H4847" t="n">
        <v>0</v>
      </c>
      <c r="I4847" t="n">
        <v>0</v>
      </c>
      <c r="J4847" t="n">
        <v>0</v>
      </c>
      <c r="K4847" t="n">
        <v>0</v>
      </c>
      <c r="L4847" t="n">
        <v>0</v>
      </c>
      <c r="M4847" t="n">
        <v>0</v>
      </c>
      <c r="N4847" t="n">
        <v>0</v>
      </c>
      <c r="O4847" t="n">
        <v>0</v>
      </c>
      <c r="P4847" t="n">
        <v>0</v>
      </c>
      <c r="Q4847" t="n">
        <v>0</v>
      </c>
      <c r="R4847" s="2" t="inlineStr"/>
    </row>
    <row r="4848" ht="15" customHeight="1">
      <c r="A4848" t="inlineStr">
        <is>
          <t>A 24811-2023</t>
        </is>
      </c>
      <c r="B4848" s="1" t="n">
        <v>45084.85409722223</v>
      </c>
      <c r="C4848" s="1" t="n">
        <v>45952</v>
      </c>
      <c r="D4848" t="inlineStr">
        <is>
          <t>VÄSTRA GÖTALANDS LÄN</t>
        </is>
      </c>
      <c r="E4848" t="inlineStr">
        <is>
          <t>HERRLJUNGA</t>
        </is>
      </c>
      <c r="G4848" t="n">
        <v>3.1</v>
      </c>
      <c r="H4848" t="n">
        <v>0</v>
      </c>
      <c r="I4848" t="n">
        <v>0</v>
      </c>
      <c r="J4848" t="n">
        <v>0</v>
      </c>
      <c r="K4848" t="n">
        <v>0</v>
      </c>
      <c r="L4848" t="n">
        <v>0</v>
      </c>
      <c r="M4848" t="n">
        <v>0</v>
      </c>
      <c r="N4848" t="n">
        <v>0</v>
      </c>
      <c r="O4848" t="n">
        <v>0</v>
      </c>
      <c r="P4848" t="n">
        <v>0</v>
      </c>
      <c r="Q4848" t="n">
        <v>0</v>
      </c>
      <c r="R4848" s="2" t="inlineStr"/>
    </row>
    <row r="4849" ht="15" customHeight="1">
      <c r="A4849" t="inlineStr">
        <is>
          <t>A 34979-2024</t>
        </is>
      </c>
      <c r="B4849" s="1" t="n">
        <v>45527</v>
      </c>
      <c r="C4849" s="1" t="n">
        <v>45952</v>
      </c>
      <c r="D4849" t="inlineStr">
        <is>
          <t>VÄSTRA GÖTALANDS LÄN</t>
        </is>
      </c>
      <c r="E4849" t="inlineStr">
        <is>
          <t>ÅMÅL</t>
        </is>
      </c>
      <c r="G4849" t="n">
        <v>5</v>
      </c>
      <c r="H4849" t="n">
        <v>0</v>
      </c>
      <c r="I4849" t="n">
        <v>0</v>
      </c>
      <c r="J4849" t="n">
        <v>0</v>
      </c>
      <c r="K4849" t="n">
        <v>0</v>
      </c>
      <c r="L4849" t="n">
        <v>0</v>
      </c>
      <c r="M4849" t="n">
        <v>0</v>
      </c>
      <c r="N4849" t="n">
        <v>0</v>
      </c>
      <c r="O4849" t="n">
        <v>0</v>
      </c>
      <c r="P4849" t="n">
        <v>0</v>
      </c>
      <c r="Q4849" t="n">
        <v>0</v>
      </c>
      <c r="R4849" s="2" t="inlineStr"/>
    </row>
    <row r="4850" ht="15" customHeight="1">
      <c r="A4850" t="inlineStr">
        <is>
          <t>A 56788-2024</t>
        </is>
      </c>
      <c r="B4850" s="1" t="n">
        <v>45628.45511574074</v>
      </c>
      <c r="C4850" s="1" t="n">
        <v>45952</v>
      </c>
      <c r="D4850" t="inlineStr">
        <is>
          <t>VÄSTRA GÖTALANDS LÄN</t>
        </is>
      </c>
      <c r="E4850" t="inlineStr">
        <is>
          <t>VÅRGÅRDA</t>
        </is>
      </c>
      <c r="G4850" t="n">
        <v>6.3</v>
      </c>
      <c r="H4850" t="n">
        <v>0</v>
      </c>
      <c r="I4850" t="n">
        <v>0</v>
      </c>
      <c r="J4850" t="n">
        <v>0</v>
      </c>
      <c r="K4850" t="n">
        <v>0</v>
      </c>
      <c r="L4850" t="n">
        <v>0</v>
      </c>
      <c r="M4850" t="n">
        <v>0</v>
      </c>
      <c r="N4850" t="n">
        <v>0</v>
      </c>
      <c r="O4850" t="n">
        <v>0</v>
      </c>
      <c r="P4850" t="n">
        <v>0</v>
      </c>
      <c r="Q4850" t="n">
        <v>0</v>
      </c>
      <c r="R4850" s="2" t="inlineStr"/>
    </row>
    <row r="4851" ht="15" customHeight="1">
      <c r="A4851" t="inlineStr">
        <is>
          <t>A 60522-2024</t>
        </is>
      </c>
      <c r="B4851" s="1" t="n">
        <v>45643</v>
      </c>
      <c r="C4851" s="1" t="n">
        <v>45952</v>
      </c>
      <c r="D4851" t="inlineStr">
        <is>
          <t>VÄSTRA GÖTALANDS LÄN</t>
        </is>
      </c>
      <c r="E4851" t="inlineStr">
        <is>
          <t>BENGTSFORS</t>
        </is>
      </c>
      <c r="G4851" t="n">
        <v>0.6</v>
      </c>
      <c r="H4851" t="n">
        <v>0</v>
      </c>
      <c r="I4851" t="n">
        <v>0</v>
      </c>
      <c r="J4851" t="n">
        <v>0</v>
      </c>
      <c r="K4851" t="n">
        <v>0</v>
      </c>
      <c r="L4851" t="n">
        <v>0</v>
      </c>
      <c r="M4851" t="n">
        <v>0</v>
      </c>
      <c r="N4851" t="n">
        <v>0</v>
      </c>
      <c r="O4851" t="n">
        <v>0</v>
      </c>
      <c r="P4851" t="n">
        <v>0</v>
      </c>
      <c r="Q4851" t="n">
        <v>0</v>
      </c>
      <c r="R4851" s="2" t="inlineStr"/>
    </row>
    <row r="4852" ht="15" customHeight="1">
      <c r="A4852" t="inlineStr">
        <is>
          <t>A 60525-2024</t>
        </is>
      </c>
      <c r="B4852" s="1" t="n">
        <v>45643.69276620371</v>
      </c>
      <c r="C4852" s="1" t="n">
        <v>45952</v>
      </c>
      <c r="D4852" t="inlineStr">
        <is>
          <t>VÄSTRA GÖTALANDS LÄN</t>
        </is>
      </c>
      <c r="E4852" t="inlineStr">
        <is>
          <t>BENGTSFORS</t>
        </is>
      </c>
      <c r="G4852" t="n">
        <v>2</v>
      </c>
      <c r="H4852" t="n">
        <v>0</v>
      </c>
      <c r="I4852" t="n">
        <v>0</v>
      </c>
      <c r="J4852" t="n">
        <v>0</v>
      </c>
      <c r="K4852" t="n">
        <v>0</v>
      </c>
      <c r="L4852" t="n">
        <v>0</v>
      </c>
      <c r="M4852" t="n">
        <v>0</v>
      </c>
      <c r="N4852" t="n">
        <v>0</v>
      </c>
      <c r="O4852" t="n">
        <v>0</v>
      </c>
      <c r="P4852" t="n">
        <v>0</v>
      </c>
      <c r="Q4852" t="n">
        <v>0</v>
      </c>
      <c r="R4852" s="2" t="inlineStr"/>
    </row>
    <row r="4853" ht="15" customHeight="1">
      <c r="A4853" t="inlineStr">
        <is>
          <t>A 61269-2024</t>
        </is>
      </c>
      <c r="B4853" s="1" t="n">
        <v>45645.74246527778</v>
      </c>
      <c r="C4853" s="1" t="n">
        <v>45952</v>
      </c>
      <c r="D4853" t="inlineStr">
        <is>
          <t>VÄSTRA GÖTALANDS LÄN</t>
        </is>
      </c>
      <c r="E4853" t="inlineStr">
        <is>
          <t>VARA</t>
        </is>
      </c>
      <c r="G4853" t="n">
        <v>3.3</v>
      </c>
      <c r="H4853" t="n">
        <v>0</v>
      </c>
      <c r="I4853" t="n">
        <v>0</v>
      </c>
      <c r="J4853" t="n">
        <v>0</v>
      </c>
      <c r="K4853" t="n">
        <v>0</v>
      </c>
      <c r="L4853" t="n">
        <v>0</v>
      </c>
      <c r="M4853" t="n">
        <v>0</v>
      </c>
      <c r="N4853" t="n">
        <v>0</v>
      </c>
      <c r="O4853" t="n">
        <v>0</v>
      </c>
      <c r="P4853" t="n">
        <v>0</v>
      </c>
      <c r="Q4853" t="n">
        <v>0</v>
      </c>
      <c r="R4853" s="2" t="inlineStr"/>
    </row>
    <row r="4854" ht="15" customHeight="1">
      <c r="A4854" t="inlineStr">
        <is>
          <t>A 61294-2024</t>
        </is>
      </c>
      <c r="B4854" s="1" t="n">
        <v>45645.83722222222</v>
      </c>
      <c r="C4854" s="1" t="n">
        <v>45952</v>
      </c>
      <c r="D4854" t="inlineStr">
        <is>
          <t>VÄSTRA GÖTALANDS LÄN</t>
        </is>
      </c>
      <c r="E4854" t="inlineStr">
        <is>
          <t>GÖTENE</t>
        </is>
      </c>
      <c r="G4854" t="n">
        <v>0.3</v>
      </c>
      <c r="H4854" t="n">
        <v>0</v>
      </c>
      <c r="I4854" t="n">
        <v>0</v>
      </c>
      <c r="J4854" t="n">
        <v>0</v>
      </c>
      <c r="K4854" t="n">
        <v>0</v>
      </c>
      <c r="L4854" t="n">
        <v>0</v>
      </c>
      <c r="M4854" t="n">
        <v>0</v>
      </c>
      <c r="N4854" t="n">
        <v>0</v>
      </c>
      <c r="O4854" t="n">
        <v>0</v>
      </c>
      <c r="P4854" t="n">
        <v>0</v>
      </c>
      <c r="Q4854" t="n">
        <v>0</v>
      </c>
      <c r="R4854" s="2" t="inlineStr"/>
    </row>
    <row r="4855" ht="15" customHeight="1">
      <c r="A4855" t="inlineStr">
        <is>
          <t>A 15181-2023</t>
        </is>
      </c>
      <c r="B4855" s="1" t="n">
        <v>45016</v>
      </c>
      <c r="C4855" s="1" t="n">
        <v>45952</v>
      </c>
      <c r="D4855" t="inlineStr">
        <is>
          <t>VÄSTRA GÖTALANDS LÄN</t>
        </is>
      </c>
      <c r="E4855" t="inlineStr">
        <is>
          <t>TROLLHÄTTAN</t>
        </is>
      </c>
      <c r="G4855" t="n">
        <v>4.9</v>
      </c>
      <c r="H4855" t="n">
        <v>0</v>
      </c>
      <c r="I4855" t="n">
        <v>0</v>
      </c>
      <c r="J4855" t="n">
        <v>0</v>
      </c>
      <c r="K4855" t="n">
        <v>0</v>
      </c>
      <c r="L4855" t="n">
        <v>0</v>
      </c>
      <c r="M4855" t="n">
        <v>0</v>
      </c>
      <c r="N4855" t="n">
        <v>0</v>
      </c>
      <c r="O4855" t="n">
        <v>0</v>
      </c>
      <c r="P4855" t="n">
        <v>0</v>
      </c>
      <c r="Q4855" t="n">
        <v>0</v>
      </c>
      <c r="R4855" s="2" t="inlineStr"/>
    </row>
    <row r="4856" ht="15" customHeight="1">
      <c r="A4856" t="inlineStr">
        <is>
          <t>A 15194-2023</t>
        </is>
      </c>
      <c r="B4856" s="1" t="n">
        <v>45016.74270833333</v>
      </c>
      <c r="C4856" s="1" t="n">
        <v>45952</v>
      </c>
      <c r="D4856" t="inlineStr">
        <is>
          <t>VÄSTRA GÖTALANDS LÄN</t>
        </is>
      </c>
      <c r="E4856" t="inlineStr">
        <is>
          <t>TIDAHOLM</t>
        </is>
      </c>
      <c r="G4856" t="n">
        <v>0.5</v>
      </c>
      <c r="H4856" t="n">
        <v>0</v>
      </c>
      <c r="I4856" t="n">
        <v>0</v>
      </c>
      <c r="J4856" t="n">
        <v>0</v>
      </c>
      <c r="K4856" t="n">
        <v>0</v>
      </c>
      <c r="L4856" t="n">
        <v>0</v>
      </c>
      <c r="M4856" t="n">
        <v>0</v>
      </c>
      <c r="N4856" t="n">
        <v>0</v>
      </c>
      <c r="O4856" t="n">
        <v>0</v>
      </c>
      <c r="P4856" t="n">
        <v>0</v>
      </c>
      <c r="Q4856" t="n">
        <v>0</v>
      </c>
      <c r="R4856" s="2" t="inlineStr"/>
    </row>
    <row r="4857" ht="15" customHeight="1">
      <c r="A4857" t="inlineStr">
        <is>
          <t>A 54549-2021</t>
        </is>
      </c>
      <c r="B4857" s="1" t="n">
        <v>44473.558125</v>
      </c>
      <c r="C4857" s="1" t="n">
        <v>45952</v>
      </c>
      <c r="D4857" t="inlineStr">
        <is>
          <t>VÄSTRA GÖTALANDS LÄN</t>
        </is>
      </c>
      <c r="E4857" t="inlineStr">
        <is>
          <t>MARK</t>
        </is>
      </c>
      <c r="G4857" t="n">
        <v>1</v>
      </c>
      <c r="H4857" t="n">
        <v>0</v>
      </c>
      <c r="I4857" t="n">
        <v>0</v>
      </c>
      <c r="J4857" t="n">
        <v>0</v>
      </c>
      <c r="K4857" t="n">
        <v>0</v>
      </c>
      <c r="L4857" t="n">
        <v>0</v>
      </c>
      <c r="M4857" t="n">
        <v>0</v>
      </c>
      <c r="N4857" t="n">
        <v>0</v>
      </c>
      <c r="O4857" t="n">
        <v>0</v>
      </c>
      <c r="P4857" t="n">
        <v>0</v>
      </c>
      <c r="Q4857" t="n">
        <v>0</v>
      </c>
      <c r="R4857" s="2" t="inlineStr"/>
    </row>
    <row r="4858" ht="15" customHeight="1">
      <c r="A4858" t="inlineStr">
        <is>
          <t>A 11885-2024</t>
        </is>
      </c>
      <c r="B4858" s="1" t="n">
        <v>45376</v>
      </c>
      <c r="C4858" s="1" t="n">
        <v>45952</v>
      </c>
      <c r="D4858" t="inlineStr">
        <is>
          <t>VÄSTRA GÖTALANDS LÄN</t>
        </is>
      </c>
      <c r="E4858" t="inlineStr">
        <is>
          <t>BENGTSFORS</t>
        </is>
      </c>
      <c r="G4858" t="n">
        <v>0.8</v>
      </c>
      <c r="H4858" t="n">
        <v>0</v>
      </c>
      <c r="I4858" t="n">
        <v>0</v>
      </c>
      <c r="J4858" t="n">
        <v>0</v>
      </c>
      <c r="K4858" t="n">
        <v>0</v>
      </c>
      <c r="L4858" t="n">
        <v>0</v>
      </c>
      <c r="M4858" t="n">
        <v>0</v>
      </c>
      <c r="N4858" t="n">
        <v>0</v>
      </c>
      <c r="O4858" t="n">
        <v>0</v>
      </c>
      <c r="P4858" t="n">
        <v>0</v>
      </c>
      <c r="Q4858" t="n">
        <v>0</v>
      </c>
      <c r="R4858" s="2" t="inlineStr"/>
    </row>
    <row r="4859" ht="15" customHeight="1">
      <c r="A4859" t="inlineStr">
        <is>
          <t>A 11912-2024</t>
        </is>
      </c>
      <c r="B4859" s="1" t="n">
        <v>45376.58174768519</v>
      </c>
      <c r="C4859" s="1" t="n">
        <v>45952</v>
      </c>
      <c r="D4859" t="inlineStr">
        <is>
          <t>VÄSTRA GÖTALANDS LÄN</t>
        </is>
      </c>
      <c r="E4859" t="inlineStr">
        <is>
          <t>MARK</t>
        </is>
      </c>
      <c r="G4859" t="n">
        <v>2.3</v>
      </c>
      <c r="H4859" t="n">
        <v>0</v>
      </c>
      <c r="I4859" t="n">
        <v>0</v>
      </c>
      <c r="J4859" t="n">
        <v>0</v>
      </c>
      <c r="K4859" t="n">
        <v>0</v>
      </c>
      <c r="L4859" t="n">
        <v>0</v>
      </c>
      <c r="M4859" t="n">
        <v>0</v>
      </c>
      <c r="N4859" t="n">
        <v>0</v>
      </c>
      <c r="O4859" t="n">
        <v>0</v>
      </c>
      <c r="P4859" t="n">
        <v>0</v>
      </c>
      <c r="Q4859" t="n">
        <v>0</v>
      </c>
      <c r="R4859" s="2" t="inlineStr"/>
    </row>
    <row r="4860" ht="15" customHeight="1">
      <c r="A4860" t="inlineStr">
        <is>
          <t>A 7152-2024</t>
        </is>
      </c>
      <c r="B4860" s="1" t="n">
        <v>45344.40953703703</v>
      </c>
      <c r="C4860" s="1" t="n">
        <v>45952</v>
      </c>
      <c r="D4860" t="inlineStr">
        <is>
          <t>VÄSTRA GÖTALANDS LÄN</t>
        </is>
      </c>
      <c r="E4860" t="inlineStr">
        <is>
          <t>MELLERUD</t>
        </is>
      </c>
      <c r="G4860" t="n">
        <v>1.2</v>
      </c>
      <c r="H4860" t="n">
        <v>0</v>
      </c>
      <c r="I4860" t="n">
        <v>0</v>
      </c>
      <c r="J4860" t="n">
        <v>0</v>
      </c>
      <c r="K4860" t="n">
        <v>0</v>
      </c>
      <c r="L4860" t="n">
        <v>0</v>
      </c>
      <c r="M4860" t="n">
        <v>0</v>
      </c>
      <c r="N4860" t="n">
        <v>0</v>
      </c>
      <c r="O4860" t="n">
        <v>0</v>
      </c>
      <c r="P4860" t="n">
        <v>0</v>
      </c>
      <c r="Q4860" t="n">
        <v>0</v>
      </c>
      <c r="R4860" s="2" t="inlineStr"/>
    </row>
    <row r="4861" ht="15" customHeight="1">
      <c r="A4861" t="inlineStr">
        <is>
          <t>A 4197-2025</t>
        </is>
      </c>
      <c r="B4861" s="1" t="n">
        <v>45685.45357638889</v>
      </c>
      <c r="C4861" s="1" t="n">
        <v>45952</v>
      </c>
      <c r="D4861" t="inlineStr">
        <is>
          <t>VÄSTRA GÖTALANDS LÄN</t>
        </is>
      </c>
      <c r="E4861" t="inlineStr">
        <is>
          <t>HERRLJUNGA</t>
        </is>
      </c>
      <c r="G4861" t="n">
        <v>1.8</v>
      </c>
      <c r="H4861" t="n">
        <v>0</v>
      </c>
      <c r="I4861" t="n">
        <v>0</v>
      </c>
      <c r="J4861" t="n">
        <v>0</v>
      </c>
      <c r="K4861" t="n">
        <v>0</v>
      </c>
      <c r="L4861" t="n">
        <v>0</v>
      </c>
      <c r="M4861" t="n">
        <v>0</v>
      </c>
      <c r="N4861" t="n">
        <v>0</v>
      </c>
      <c r="O4861" t="n">
        <v>0</v>
      </c>
      <c r="P4861" t="n">
        <v>0</v>
      </c>
      <c r="Q4861" t="n">
        <v>0</v>
      </c>
      <c r="R4861" s="2" t="inlineStr"/>
    </row>
    <row r="4862" ht="15" customHeight="1">
      <c r="A4862" t="inlineStr">
        <is>
          <t>A 402-2022</t>
        </is>
      </c>
      <c r="B4862" s="1" t="n">
        <v>44565.71667824074</v>
      </c>
      <c r="C4862" s="1" t="n">
        <v>45952</v>
      </c>
      <c r="D4862" t="inlineStr">
        <is>
          <t>VÄSTRA GÖTALANDS LÄN</t>
        </is>
      </c>
      <c r="E4862" t="inlineStr">
        <is>
          <t>ULRICEHAMN</t>
        </is>
      </c>
      <c r="G4862" t="n">
        <v>1.8</v>
      </c>
      <c r="H4862" t="n">
        <v>0</v>
      </c>
      <c r="I4862" t="n">
        <v>0</v>
      </c>
      <c r="J4862" t="n">
        <v>0</v>
      </c>
      <c r="K4862" t="n">
        <v>0</v>
      </c>
      <c r="L4862" t="n">
        <v>0</v>
      </c>
      <c r="M4862" t="n">
        <v>0</v>
      </c>
      <c r="N4862" t="n">
        <v>0</v>
      </c>
      <c r="O4862" t="n">
        <v>0</v>
      </c>
      <c r="P4862" t="n">
        <v>0</v>
      </c>
      <c r="Q4862" t="n">
        <v>0</v>
      </c>
      <c r="R4862" s="2" t="inlineStr"/>
    </row>
    <row r="4863" ht="15" customHeight="1">
      <c r="A4863" t="inlineStr">
        <is>
          <t>A 48132-2023</t>
        </is>
      </c>
      <c r="B4863" s="1" t="n">
        <v>45205.37854166667</v>
      </c>
      <c r="C4863" s="1" t="n">
        <v>45952</v>
      </c>
      <c r="D4863" t="inlineStr">
        <is>
          <t>VÄSTRA GÖTALANDS LÄN</t>
        </is>
      </c>
      <c r="E4863" t="inlineStr">
        <is>
          <t>UDDEVALLA</t>
        </is>
      </c>
      <c r="G4863" t="n">
        <v>1.7</v>
      </c>
      <c r="H4863" t="n">
        <v>0</v>
      </c>
      <c r="I4863" t="n">
        <v>0</v>
      </c>
      <c r="J4863" t="n">
        <v>0</v>
      </c>
      <c r="K4863" t="n">
        <v>0</v>
      </c>
      <c r="L4863" t="n">
        <v>0</v>
      </c>
      <c r="M4863" t="n">
        <v>0</v>
      </c>
      <c r="N4863" t="n">
        <v>0</v>
      </c>
      <c r="O4863" t="n">
        <v>0</v>
      </c>
      <c r="P4863" t="n">
        <v>0</v>
      </c>
      <c r="Q4863" t="n">
        <v>0</v>
      </c>
      <c r="R4863" s="2" t="inlineStr"/>
    </row>
    <row r="4864" ht="15" customHeight="1">
      <c r="A4864" t="inlineStr">
        <is>
          <t>A 7136-2022</t>
        </is>
      </c>
      <c r="B4864" s="1" t="n">
        <v>44603</v>
      </c>
      <c r="C4864" s="1" t="n">
        <v>45952</v>
      </c>
      <c r="D4864" t="inlineStr">
        <is>
          <t>VÄSTRA GÖTALANDS LÄN</t>
        </is>
      </c>
      <c r="E4864" t="inlineStr">
        <is>
          <t>STRÖMSTAD</t>
        </is>
      </c>
      <c r="G4864" t="n">
        <v>1.9</v>
      </c>
      <c r="H4864" t="n">
        <v>0</v>
      </c>
      <c r="I4864" t="n">
        <v>0</v>
      </c>
      <c r="J4864" t="n">
        <v>0</v>
      </c>
      <c r="K4864" t="n">
        <v>0</v>
      </c>
      <c r="L4864" t="n">
        <v>0</v>
      </c>
      <c r="M4864" t="n">
        <v>0</v>
      </c>
      <c r="N4864" t="n">
        <v>0</v>
      </c>
      <c r="O4864" t="n">
        <v>0</v>
      </c>
      <c r="P4864" t="n">
        <v>0</v>
      </c>
      <c r="Q4864" t="n">
        <v>0</v>
      </c>
      <c r="R4864" s="2" t="inlineStr"/>
    </row>
    <row r="4865" ht="15" customHeight="1">
      <c r="A4865" t="inlineStr">
        <is>
          <t>A 38639-2023</t>
        </is>
      </c>
      <c r="B4865" s="1" t="n">
        <v>45162</v>
      </c>
      <c r="C4865" s="1" t="n">
        <v>45952</v>
      </c>
      <c r="D4865" t="inlineStr">
        <is>
          <t>VÄSTRA GÖTALANDS LÄN</t>
        </is>
      </c>
      <c r="E4865" t="inlineStr">
        <is>
          <t>ULRICEHAMN</t>
        </is>
      </c>
      <c r="G4865" t="n">
        <v>1.9</v>
      </c>
      <c r="H4865" t="n">
        <v>0</v>
      </c>
      <c r="I4865" t="n">
        <v>0</v>
      </c>
      <c r="J4865" t="n">
        <v>0</v>
      </c>
      <c r="K4865" t="n">
        <v>0</v>
      </c>
      <c r="L4865" t="n">
        <v>0</v>
      </c>
      <c r="M4865" t="n">
        <v>0</v>
      </c>
      <c r="N4865" t="n">
        <v>0</v>
      </c>
      <c r="O4865" t="n">
        <v>0</v>
      </c>
      <c r="P4865" t="n">
        <v>0</v>
      </c>
      <c r="Q4865" t="n">
        <v>0</v>
      </c>
      <c r="R4865" s="2" t="inlineStr"/>
    </row>
    <row r="4866" ht="15" customHeight="1">
      <c r="A4866" t="inlineStr">
        <is>
          <t>A 45468-2024</t>
        </is>
      </c>
      <c r="B4866" s="1" t="n">
        <v>45576.71769675926</v>
      </c>
      <c r="C4866" s="1" t="n">
        <v>45952</v>
      </c>
      <c r="D4866" t="inlineStr">
        <is>
          <t>VÄSTRA GÖTALANDS LÄN</t>
        </is>
      </c>
      <c r="E4866" t="inlineStr">
        <is>
          <t>TIDAHOLM</t>
        </is>
      </c>
      <c r="G4866" t="n">
        <v>0.6</v>
      </c>
      <c r="H4866" t="n">
        <v>0</v>
      </c>
      <c r="I4866" t="n">
        <v>0</v>
      </c>
      <c r="J4866" t="n">
        <v>0</v>
      </c>
      <c r="K4866" t="n">
        <v>0</v>
      </c>
      <c r="L4866" t="n">
        <v>0</v>
      </c>
      <c r="M4866" t="n">
        <v>0</v>
      </c>
      <c r="N4866" t="n">
        <v>0</v>
      </c>
      <c r="O4866" t="n">
        <v>0</v>
      </c>
      <c r="P4866" t="n">
        <v>0</v>
      </c>
      <c r="Q4866" t="n">
        <v>0</v>
      </c>
      <c r="R4866" s="2" t="inlineStr"/>
    </row>
    <row r="4867" ht="15" customHeight="1">
      <c r="A4867" t="inlineStr">
        <is>
          <t>A 45469-2024</t>
        </is>
      </c>
      <c r="B4867" s="1" t="n">
        <v>45576.73229166667</v>
      </c>
      <c r="C4867" s="1" t="n">
        <v>45952</v>
      </c>
      <c r="D4867" t="inlineStr">
        <is>
          <t>VÄSTRA GÖTALANDS LÄN</t>
        </is>
      </c>
      <c r="E4867" t="inlineStr">
        <is>
          <t>LILLA EDET</t>
        </is>
      </c>
      <c r="G4867" t="n">
        <v>7.2</v>
      </c>
      <c r="H4867" t="n">
        <v>0</v>
      </c>
      <c r="I4867" t="n">
        <v>0</v>
      </c>
      <c r="J4867" t="n">
        <v>0</v>
      </c>
      <c r="K4867" t="n">
        <v>0</v>
      </c>
      <c r="L4867" t="n">
        <v>0</v>
      </c>
      <c r="M4867" t="n">
        <v>0</v>
      </c>
      <c r="N4867" t="n">
        <v>0</v>
      </c>
      <c r="O4867" t="n">
        <v>0</v>
      </c>
      <c r="P4867" t="n">
        <v>0</v>
      </c>
      <c r="Q4867" t="n">
        <v>0</v>
      </c>
      <c r="R4867" s="2" t="inlineStr"/>
    </row>
    <row r="4868" ht="15" customHeight="1">
      <c r="A4868" t="inlineStr">
        <is>
          <t>A 7364-2025</t>
        </is>
      </c>
      <c r="B4868" s="1" t="n">
        <v>45704</v>
      </c>
      <c r="C4868" s="1" t="n">
        <v>45952</v>
      </c>
      <c r="D4868" t="inlineStr">
        <is>
          <t>VÄSTRA GÖTALANDS LÄN</t>
        </is>
      </c>
      <c r="E4868" t="inlineStr">
        <is>
          <t>ULRICEHAMN</t>
        </is>
      </c>
      <c r="G4868" t="n">
        <v>12.5</v>
      </c>
      <c r="H4868" t="n">
        <v>0</v>
      </c>
      <c r="I4868" t="n">
        <v>0</v>
      </c>
      <c r="J4868" t="n">
        <v>0</v>
      </c>
      <c r="K4868" t="n">
        <v>0</v>
      </c>
      <c r="L4868" t="n">
        <v>0</v>
      </c>
      <c r="M4868" t="n">
        <v>0</v>
      </c>
      <c r="N4868" t="n">
        <v>0</v>
      </c>
      <c r="O4868" t="n">
        <v>0</v>
      </c>
      <c r="P4868" t="n">
        <v>0</v>
      </c>
      <c r="Q4868" t="n">
        <v>0</v>
      </c>
      <c r="R4868" s="2" t="inlineStr"/>
    </row>
    <row r="4869" ht="15" customHeight="1">
      <c r="A4869" t="inlineStr">
        <is>
          <t>A 54681-2021</t>
        </is>
      </c>
      <c r="B4869" s="1" t="n">
        <v>44473</v>
      </c>
      <c r="C4869" s="1" t="n">
        <v>45952</v>
      </c>
      <c r="D4869" t="inlineStr">
        <is>
          <t>VÄSTRA GÖTALANDS LÄN</t>
        </is>
      </c>
      <c r="E4869" t="inlineStr">
        <is>
          <t>LILLA EDET</t>
        </is>
      </c>
      <c r="G4869" t="n">
        <v>4.1</v>
      </c>
      <c r="H4869" t="n">
        <v>0</v>
      </c>
      <c r="I4869" t="n">
        <v>0</v>
      </c>
      <c r="J4869" t="n">
        <v>0</v>
      </c>
      <c r="K4869" t="n">
        <v>0</v>
      </c>
      <c r="L4869" t="n">
        <v>0</v>
      </c>
      <c r="M4869" t="n">
        <v>0</v>
      </c>
      <c r="N4869" t="n">
        <v>0</v>
      </c>
      <c r="O4869" t="n">
        <v>0</v>
      </c>
      <c r="P4869" t="n">
        <v>0</v>
      </c>
      <c r="Q4869" t="n">
        <v>0</v>
      </c>
      <c r="R4869" s="2" t="inlineStr"/>
    </row>
    <row r="4870" ht="15" customHeight="1">
      <c r="A4870" t="inlineStr">
        <is>
          <t>A 42757-2024</t>
        </is>
      </c>
      <c r="B4870" s="1" t="n">
        <v>45566.496875</v>
      </c>
      <c r="C4870" s="1" t="n">
        <v>45952</v>
      </c>
      <c r="D4870" t="inlineStr">
        <is>
          <t>VÄSTRA GÖTALANDS LÄN</t>
        </is>
      </c>
      <c r="E4870" t="inlineStr">
        <is>
          <t>KARLSBORG</t>
        </is>
      </c>
      <c r="G4870" t="n">
        <v>0.3</v>
      </c>
      <c r="H4870" t="n">
        <v>0</v>
      </c>
      <c r="I4870" t="n">
        <v>0</v>
      </c>
      <c r="J4870" t="n">
        <v>0</v>
      </c>
      <c r="K4870" t="n">
        <v>0</v>
      </c>
      <c r="L4870" t="n">
        <v>0</v>
      </c>
      <c r="M4870" t="n">
        <v>0</v>
      </c>
      <c r="N4870" t="n">
        <v>0</v>
      </c>
      <c r="O4870" t="n">
        <v>0</v>
      </c>
      <c r="P4870" t="n">
        <v>0</v>
      </c>
      <c r="Q4870" t="n">
        <v>0</v>
      </c>
      <c r="R4870" s="2" t="inlineStr"/>
    </row>
    <row r="4871" ht="15" customHeight="1">
      <c r="A4871" t="inlineStr">
        <is>
          <t>A 42761-2024</t>
        </is>
      </c>
      <c r="B4871" s="1" t="n">
        <v>45566.49981481482</v>
      </c>
      <c r="C4871" s="1" t="n">
        <v>45952</v>
      </c>
      <c r="D4871" t="inlineStr">
        <is>
          <t>VÄSTRA GÖTALANDS LÄN</t>
        </is>
      </c>
      <c r="E4871" t="inlineStr">
        <is>
          <t>ULRICEHAMN</t>
        </is>
      </c>
      <c r="F4871" t="inlineStr">
        <is>
          <t>Sveaskog</t>
        </is>
      </c>
      <c r="G4871" t="n">
        <v>1.6</v>
      </c>
      <c r="H4871" t="n">
        <v>0</v>
      </c>
      <c r="I4871" t="n">
        <v>0</v>
      </c>
      <c r="J4871" t="n">
        <v>0</v>
      </c>
      <c r="K4871" t="n">
        <v>0</v>
      </c>
      <c r="L4871" t="n">
        <v>0</v>
      </c>
      <c r="M4871" t="n">
        <v>0</v>
      </c>
      <c r="N4871" t="n">
        <v>0</v>
      </c>
      <c r="O4871" t="n">
        <v>0</v>
      </c>
      <c r="P4871" t="n">
        <v>0</v>
      </c>
      <c r="Q4871" t="n">
        <v>0</v>
      </c>
      <c r="R4871" s="2" t="inlineStr"/>
    </row>
    <row r="4872" ht="15" customHeight="1">
      <c r="A4872" t="inlineStr">
        <is>
          <t>A 29574-2024</t>
        </is>
      </c>
      <c r="B4872" s="1" t="n">
        <v>45484.56001157407</v>
      </c>
      <c r="C4872" s="1" t="n">
        <v>45952</v>
      </c>
      <c r="D4872" t="inlineStr">
        <is>
          <t>VÄSTRA GÖTALANDS LÄN</t>
        </is>
      </c>
      <c r="E4872" t="inlineStr">
        <is>
          <t>TRANEMO</t>
        </is>
      </c>
      <c r="G4872" t="n">
        <v>0.6</v>
      </c>
      <c r="H4872" t="n">
        <v>0</v>
      </c>
      <c r="I4872" t="n">
        <v>0</v>
      </c>
      <c r="J4872" t="n">
        <v>0</v>
      </c>
      <c r="K4872" t="n">
        <v>0</v>
      </c>
      <c r="L4872" t="n">
        <v>0</v>
      </c>
      <c r="M4872" t="n">
        <v>0</v>
      </c>
      <c r="N4872" t="n">
        <v>0</v>
      </c>
      <c r="O4872" t="n">
        <v>0</v>
      </c>
      <c r="P4872" t="n">
        <v>0</v>
      </c>
      <c r="Q4872" t="n">
        <v>0</v>
      </c>
      <c r="R4872" s="2" t="inlineStr"/>
    </row>
    <row r="4873" ht="15" customHeight="1">
      <c r="A4873" t="inlineStr">
        <is>
          <t>A 47350-2024</t>
        </is>
      </c>
      <c r="B4873" s="1" t="n">
        <v>45587.41349537037</v>
      </c>
      <c r="C4873" s="1" t="n">
        <v>45952</v>
      </c>
      <c r="D4873" t="inlineStr">
        <is>
          <t>VÄSTRA GÖTALANDS LÄN</t>
        </is>
      </c>
      <c r="E4873" t="inlineStr">
        <is>
          <t>HÄRRYDA</t>
        </is>
      </c>
      <c r="G4873" t="n">
        <v>1.5</v>
      </c>
      <c r="H4873" t="n">
        <v>0</v>
      </c>
      <c r="I4873" t="n">
        <v>0</v>
      </c>
      <c r="J4873" t="n">
        <v>0</v>
      </c>
      <c r="K4873" t="n">
        <v>0</v>
      </c>
      <c r="L4873" t="n">
        <v>0</v>
      </c>
      <c r="M4873" t="n">
        <v>0</v>
      </c>
      <c r="N4873" t="n">
        <v>0</v>
      </c>
      <c r="O4873" t="n">
        <v>0</v>
      </c>
      <c r="P4873" t="n">
        <v>0</v>
      </c>
      <c r="Q4873" t="n">
        <v>0</v>
      </c>
      <c r="R4873" s="2" t="inlineStr"/>
    </row>
    <row r="4874" ht="15" customHeight="1">
      <c r="A4874" t="inlineStr">
        <is>
          <t>A 64874-2023</t>
        </is>
      </c>
      <c r="B4874" s="1" t="n">
        <v>45282</v>
      </c>
      <c r="C4874" s="1" t="n">
        <v>45952</v>
      </c>
      <c r="D4874" t="inlineStr">
        <is>
          <t>VÄSTRA GÖTALANDS LÄN</t>
        </is>
      </c>
      <c r="E4874" t="inlineStr">
        <is>
          <t>TIDAHOLM</t>
        </is>
      </c>
      <c r="G4874" t="n">
        <v>2.4</v>
      </c>
      <c r="H4874" t="n">
        <v>0</v>
      </c>
      <c r="I4874" t="n">
        <v>0</v>
      </c>
      <c r="J4874" t="n">
        <v>0</v>
      </c>
      <c r="K4874" t="n">
        <v>0</v>
      </c>
      <c r="L4874" t="n">
        <v>0</v>
      </c>
      <c r="M4874" t="n">
        <v>0</v>
      </c>
      <c r="N4874" t="n">
        <v>0</v>
      </c>
      <c r="O4874" t="n">
        <v>0</v>
      </c>
      <c r="P4874" t="n">
        <v>0</v>
      </c>
      <c r="Q4874" t="n">
        <v>0</v>
      </c>
      <c r="R4874" s="2" t="inlineStr"/>
    </row>
    <row r="4875" ht="15" customHeight="1">
      <c r="A4875" t="inlineStr">
        <is>
          <t>A 1992-2024</t>
        </is>
      </c>
      <c r="B4875" s="1" t="n">
        <v>45308</v>
      </c>
      <c r="C4875" s="1" t="n">
        <v>45952</v>
      </c>
      <c r="D4875" t="inlineStr">
        <is>
          <t>VÄSTRA GÖTALANDS LÄN</t>
        </is>
      </c>
      <c r="E4875" t="inlineStr">
        <is>
          <t>BORÅS</t>
        </is>
      </c>
      <c r="F4875" t="inlineStr">
        <is>
          <t>Kommuner</t>
        </is>
      </c>
      <c r="G4875" t="n">
        <v>4.6</v>
      </c>
      <c r="H4875" t="n">
        <v>0</v>
      </c>
      <c r="I4875" t="n">
        <v>0</v>
      </c>
      <c r="J4875" t="n">
        <v>0</v>
      </c>
      <c r="K4875" t="n">
        <v>0</v>
      </c>
      <c r="L4875" t="n">
        <v>0</v>
      </c>
      <c r="M4875" t="n">
        <v>0</v>
      </c>
      <c r="N4875" t="n">
        <v>0</v>
      </c>
      <c r="O4875" t="n">
        <v>0</v>
      </c>
      <c r="P4875" t="n">
        <v>0</v>
      </c>
      <c r="Q4875" t="n">
        <v>0</v>
      </c>
      <c r="R4875" s="2" t="inlineStr"/>
    </row>
    <row r="4876" ht="15" customHeight="1">
      <c r="A4876" t="inlineStr">
        <is>
          <t>A 2006-2024</t>
        </is>
      </c>
      <c r="B4876" s="1" t="n">
        <v>45308</v>
      </c>
      <c r="C4876" s="1" t="n">
        <v>45952</v>
      </c>
      <c r="D4876" t="inlineStr">
        <is>
          <t>VÄSTRA GÖTALANDS LÄN</t>
        </is>
      </c>
      <c r="E4876" t="inlineStr">
        <is>
          <t>BOLLEBYGD</t>
        </is>
      </c>
      <c r="G4876" t="n">
        <v>1.2</v>
      </c>
      <c r="H4876" t="n">
        <v>0</v>
      </c>
      <c r="I4876" t="n">
        <v>0</v>
      </c>
      <c r="J4876" t="n">
        <v>0</v>
      </c>
      <c r="K4876" t="n">
        <v>0</v>
      </c>
      <c r="L4876" t="n">
        <v>0</v>
      </c>
      <c r="M4876" t="n">
        <v>0</v>
      </c>
      <c r="N4876" t="n">
        <v>0</v>
      </c>
      <c r="O4876" t="n">
        <v>0</v>
      </c>
      <c r="P4876" t="n">
        <v>0</v>
      </c>
      <c r="Q4876" t="n">
        <v>0</v>
      </c>
      <c r="R4876" s="2" t="inlineStr"/>
    </row>
    <row r="4877" ht="15" customHeight="1">
      <c r="A4877" t="inlineStr">
        <is>
          <t>A 57755-2024</t>
        </is>
      </c>
      <c r="B4877" s="1" t="n">
        <v>45630.84311342592</v>
      </c>
      <c r="C4877" s="1" t="n">
        <v>45952</v>
      </c>
      <c r="D4877" t="inlineStr">
        <is>
          <t>VÄSTRA GÖTALANDS LÄN</t>
        </is>
      </c>
      <c r="E4877" t="inlineStr">
        <is>
          <t>UDDEVALLA</t>
        </is>
      </c>
      <c r="G4877" t="n">
        <v>2.4</v>
      </c>
      <c r="H4877" t="n">
        <v>0</v>
      </c>
      <c r="I4877" t="n">
        <v>0</v>
      </c>
      <c r="J4877" t="n">
        <v>0</v>
      </c>
      <c r="K4877" t="n">
        <v>0</v>
      </c>
      <c r="L4877" t="n">
        <v>0</v>
      </c>
      <c r="M4877" t="n">
        <v>0</v>
      </c>
      <c r="N4877" t="n">
        <v>0</v>
      </c>
      <c r="O4877" t="n">
        <v>0</v>
      </c>
      <c r="P4877" t="n">
        <v>0</v>
      </c>
      <c r="Q4877" t="n">
        <v>0</v>
      </c>
      <c r="R4877" s="2" t="inlineStr"/>
    </row>
    <row r="4878" ht="15" customHeight="1">
      <c r="A4878" t="inlineStr">
        <is>
          <t>A 60384-2024</t>
        </is>
      </c>
      <c r="B4878" s="1" t="n">
        <v>45643.47832175926</v>
      </c>
      <c r="C4878" s="1" t="n">
        <v>45952</v>
      </c>
      <c r="D4878" t="inlineStr">
        <is>
          <t>VÄSTRA GÖTALANDS LÄN</t>
        </is>
      </c>
      <c r="E4878" t="inlineStr">
        <is>
          <t>TÖREBODA</t>
        </is>
      </c>
      <c r="G4878" t="n">
        <v>1.4</v>
      </c>
      <c r="H4878" t="n">
        <v>0</v>
      </c>
      <c r="I4878" t="n">
        <v>0</v>
      </c>
      <c r="J4878" t="n">
        <v>0</v>
      </c>
      <c r="K4878" t="n">
        <v>0</v>
      </c>
      <c r="L4878" t="n">
        <v>0</v>
      </c>
      <c r="M4878" t="n">
        <v>0</v>
      </c>
      <c r="N4878" t="n">
        <v>0</v>
      </c>
      <c r="O4878" t="n">
        <v>0</v>
      </c>
      <c r="P4878" t="n">
        <v>0</v>
      </c>
      <c r="Q4878" t="n">
        <v>0</v>
      </c>
      <c r="R4878" s="2" t="inlineStr"/>
    </row>
    <row r="4879" ht="15" customHeight="1">
      <c r="A4879" t="inlineStr">
        <is>
          <t>A 31350-2022</t>
        </is>
      </c>
      <c r="B4879" s="1" t="n">
        <v>44774.55405092592</v>
      </c>
      <c r="C4879" s="1" t="n">
        <v>45952</v>
      </c>
      <c r="D4879" t="inlineStr">
        <is>
          <t>VÄSTRA GÖTALANDS LÄN</t>
        </is>
      </c>
      <c r="E4879" t="inlineStr">
        <is>
          <t>MUNKEDAL</t>
        </is>
      </c>
      <c r="G4879" t="n">
        <v>1.8</v>
      </c>
      <c r="H4879" t="n">
        <v>0</v>
      </c>
      <c r="I4879" t="n">
        <v>0</v>
      </c>
      <c r="J4879" t="n">
        <v>0</v>
      </c>
      <c r="K4879" t="n">
        <v>0</v>
      </c>
      <c r="L4879" t="n">
        <v>0</v>
      </c>
      <c r="M4879" t="n">
        <v>0</v>
      </c>
      <c r="N4879" t="n">
        <v>0</v>
      </c>
      <c r="O4879" t="n">
        <v>0</v>
      </c>
      <c r="P4879" t="n">
        <v>0</v>
      </c>
      <c r="Q4879" t="n">
        <v>0</v>
      </c>
      <c r="R4879" s="2" t="inlineStr"/>
    </row>
    <row r="4880" ht="15" customHeight="1">
      <c r="A4880" t="inlineStr">
        <is>
          <t>A 45617-2024</t>
        </is>
      </c>
      <c r="B4880" s="1" t="n">
        <v>45579.45523148148</v>
      </c>
      <c r="C4880" s="1" t="n">
        <v>45952</v>
      </c>
      <c r="D4880" t="inlineStr">
        <is>
          <t>VÄSTRA GÖTALANDS LÄN</t>
        </is>
      </c>
      <c r="E4880" t="inlineStr">
        <is>
          <t>STRÖMSTAD</t>
        </is>
      </c>
      <c r="G4880" t="n">
        <v>5.3</v>
      </c>
      <c r="H4880" t="n">
        <v>0</v>
      </c>
      <c r="I4880" t="n">
        <v>0</v>
      </c>
      <c r="J4880" t="n">
        <v>0</v>
      </c>
      <c r="K4880" t="n">
        <v>0</v>
      </c>
      <c r="L4880" t="n">
        <v>0</v>
      </c>
      <c r="M4880" t="n">
        <v>0</v>
      </c>
      <c r="N4880" t="n">
        <v>0</v>
      </c>
      <c r="O4880" t="n">
        <v>0</v>
      </c>
      <c r="P4880" t="n">
        <v>0</v>
      </c>
      <c r="Q4880" t="n">
        <v>0</v>
      </c>
      <c r="R4880" s="2" t="inlineStr"/>
    </row>
    <row r="4881" ht="15" customHeight="1">
      <c r="A4881" t="inlineStr">
        <is>
          <t>A 13515-2022</t>
        </is>
      </c>
      <c r="B4881" s="1" t="n">
        <v>44648</v>
      </c>
      <c r="C4881" s="1" t="n">
        <v>45952</v>
      </c>
      <c r="D4881" t="inlineStr">
        <is>
          <t>VÄSTRA GÖTALANDS LÄN</t>
        </is>
      </c>
      <c r="E4881" t="inlineStr">
        <is>
          <t>TROLLHÄTTAN</t>
        </is>
      </c>
      <c r="G4881" t="n">
        <v>3.3</v>
      </c>
      <c r="H4881" t="n">
        <v>0</v>
      </c>
      <c r="I4881" t="n">
        <v>0</v>
      </c>
      <c r="J4881" t="n">
        <v>0</v>
      </c>
      <c r="K4881" t="n">
        <v>0</v>
      </c>
      <c r="L4881" t="n">
        <v>0</v>
      </c>
      <c r="M4881" t="n">
        <v>0</v>
      </c>
      <c r="N4881" t="n">
        <v>0</v>
      </c>
      <c r="O4881" t="n">
        <v>0</v>
      </c>
      <c r="P4881" t="n">
        <v>0</v>
      </c>
      <c r="Q4881" t="n">
        <v>0</v>
      </c>
      <c r="R4881" s="2" t="inlineStr"/>
    </row>
    <row r="4882" ht="15" customHeight="1">
      <c r="A4882" t="inlineStr">
        <is>
          <t>A 27525-2024</t>
        </is>
      </c>
      <c r="B4882" s="1" t="n">
        <v>45474</v>
      </c>
      <c r="C4882" s="1" t="n">
        <v>45952</v>
      </c>
      <c r="D4882" t="inlineStr">
        <is>
          <t>VÄSTRA GÖTALANDS LÄN</t>
        </is>
      </c>
      <c r="E4882" t="inlineStr">
        <is>
          <t>TIDAHOLM</t>
        </is>
      </c>
      <c r="F4882" t="inlineStr">
        <is>
          <t>Sveaskog</t>
        </is>
      </c>
      <c r="G4882" t="n">
        <v>1.1</v>
      </c>
      <c r="H4882" t="n">
        <v>0</v>
      </c>
      <c r="I4882" t="n">
        <v>0</v>
      </c>
      <c r="J4882" t="n">
        <v>0</v>
      </c>
      <c r="K4882" t="n">
        <v>0</v>
      </c>
      <c r="L4882" t="n">
        <v>0</v>
      </c>
      <c r="M4882" t="n">
        <v>0</v>
      </c>
      <c r="N4882" t="n">
        <v>0</v>
      </c>
      <c r="O4882" t="n">
        <v>0</v>
      </c>
      <c r="P4882" t="n">
        <v>0</v>
      </c>
      <c r="Q4882" t="n">
        <v>0</v>
      </c>
      <c r="R4882" s="2" t="inlineStr"/>
    </row>
    <row r="4883" ht="15" customHeight="1">
      <c r="A4883" t="inlineStr">
        <is>
          <t>A 56922-2024</t>
        </is>
      </c>
      <c r="B4883" s="1" t="n">
        <v>45628</v>
      </c>
      <c r="C4883" s="1" t="n">
        <v>45952</v>
      </c>
      <c r="D4883" t="inlineStr">
        <is>
          <t>VÄSTRA GÖTALANDS LÄN</t>
        </is>
      </c>
      <c r="E4883" t="inlineStr">
        <is>
          <t>SKARA</t>
        </is>
      </c>
      <c r="G4883" t="n">
        <v>0.6</v>
      </c>
      <c r="H4883" t="n">
        <v>0</v>
      </c>
      <c r="I4883" t="n">
        <v>0</v>
      </c>
      <c r="J4883" t="n">
        <v>0</v>
      </c>
      <c r="K4883" t="n">
        <v>0</v>
      </c>
      <c r="L4883" t="n">
        <v>0</v>
      </c>
      <c r="M4883" t="n">
        <v>0</v>
      </c>
      <c r="N4883" t="n">
        <v>0</v>
      </c>
      <c r="O4883" t="n">
        <v>0</v>
      </c>
      <c r="P4883" t="n">
        <v>0</v>
      </c>
      <c r="Q4883" t="n">
        <v>0</v>
      </c>
      <c r="R4883" s="2" t="inlineStr"/>
    </row>
    <row r="4884" ht="15" customHeight="1">
      <c r="A4884" t="inlineStr">
        <is>
          <t>A 28268-2023</t>
        </is>
      </c>
      <c r="B4884" s="1" t="n">
        <v>45099.61547453704</v>
      </c>
      <c r="C4884" s="1" t="n">
        <v>45952</v>
      </c>
      <c r="D4884" t="inlineStr">
        <is>
          <t>VÄSTRA GÖTALANDS LÄN</t>
        </is>
      </c>
      <c r="E4884" t="inlineStr">
        <is>
          <t>GÖTENE</t>
        </is>
      </c>
      <c r="G4884" t="n">
        <v>0.7</v>
      </c>
      <c r="H4884" t="n">
        <v>0</v>
      </c>
      <c r="I4884" t="n">
        <v>0</v>
      </c>
      <c r="J4884" t="n">
        <v>0</v>
      </c>
      <c r="K4884" t="n">
        <v>0</v>
      </c>
      <c r="L4884" t="n">
        <v>0</v>
      </c>
      <c r="M4884" t="n">
        <v>0</v>
      </c>
      <c r="N4884" t="n">
        <v>0</v>
      </c>
      <c r="O4884" t="n">
        <v>0</v>
      </c>
      <c r="P4884" t="n">
        <v>0</v>
      </c>
      <c r="Q4884" t="n">
        <v>0</v>
      </c>
      <c r="R4884" s="2" t="inlineStr"/>
    </row>
    <row r="4885" ht="15" customHeight="1">
      <c r="A4885" t="inlineStr">
        <is>
          <t>A 52331-2023</t>
        </is>
      </c>
      <c r="B4885" s="1" t="n">
        <v>45224</v>
      </c>
      <c r="C4885" s="1" t="n">
        <v>45952</v>
      </c>
      <c r="D4885" t="inlineStr">
        <is>
          <t>VÄSTRA GÖTALANDS LÄN</t>
        </is>
      </c>
      <c r="E4885" t="inlineStr">
        <is>
          <t>BENGTSFORS</t>
        </is>
      </c>
      <c r="G4885" t="n">
        <v>1.6</v>
      </c>
      <c r="H4885" t="n">
        <v>0</v>
      </c>
      <c r="I4885" t="n">
        <v>0</v>
      </c>
      <c r="J4885" t="n">
        <v>0</v>
      </c>
      <c r="K4885" t="n">
        <v>0</v>
      </c>
      <c r="L4885" t="n">
        <v>0</v>
      </c>
      <c r="M4885" t="n">
        <v>0</v>
      </c>
      <c r="N4885" t="n">
        <v>0</v>
      </c>
      <c r="O4885" t="n">
        <v>0</v>
      </c>
      <c r="P4885" t="n">
        <v>0</v>
      </c>
      <c r="Q4885" t="n">
        <v>0</v>
      </c>
      <c r="R4885" s="2" t="inlineStr"/>
    </row>
    <row r="4886" ht="15" customHeight="1">
      <c r="A4886" t="inlineStr">
        <is>
          <t>A 20898-2021</t>
        </is>
      </c>
      <c r="B4886" s="1" t="n">
        <v>44319.41962962963</v>
      </c>
      <c r="C4886" s="1" t="n">
        <v>45952</v>
      </c>
      <c r="D4886" t="inlineStr">
        <is>
          <t>VÄSTRA GÖTALANDS LÄN</t>
        </is>
      </c>
      <c r="E4886" t="inlineStr">
        <is>
          <t>ORUST</t>
        </is>
      </c>
      <c r="G4886" t="n">
        <v>0.5</v>
      </c>
      <c r="H4886" t="n">
        <v>0</v>
      </c>
      <c r="I4886" t="n">
        <v>0</v>
      </c>
      <c r="J4886" t="n">
        <v>0</v>
      </c>
      <c r="K4886" t="n">
        <v>0</v>
      </c>
      <c r="L4886" t="n">
        <v>0</v>
      </c>
      <c r="M4886" t="n">
        <v>0</v>
      </c>
      <c r="N4886" t="n">
        <v>0</v>
      </c>
      <c r="O4886" t="n">
        <v>0</v>
      </c>
      <c r="P4886" t="n">
        <v>0</v>
      </c>
      <c r="Q4886" t="n">
        <v>0</v>
      </c>
      <c r="R4886" s="2" t="inlineStr"/>
    </row>
    <row r="4887" ht="15" customHeight="1">
      <c r="A4887" t="inlineStr">
        <is>
          <t>A 28271-2023</t>
        </is>
      </c>
      <c r="B4887" s="1" t="n">
        <v>45099</v>
      </c>
      <c r="C4887" s="1" t="n">
        <v>45952</v>
      </c>
      <c r="D4887" t="inlineStr">
        <is>
          <t>VÄSTRA GÖTALANDS LÄN</t>
        </is>
      </c>
      <c r="E4887" t="inlineStr">
        <is>
          <t>SVENLJUNGA</t>
        </is>
      </c>
      <c r="F4887" t="inlineStr">
        <is>
          <t>Kommuner</t>
        </is>
      </c>
      <c r="G4887" t="n">
        <v>1.2</v>
      </c>
      <c r="H4887" t="n">
        <v>0</v>
      </c>
      <c r="I4887" t="n">
        <v>0</v>
      </c>
      <c r="J4887" t="n">
        <v>0</v>
      </c>
      <c r="K4887" t="n">
        <v>0</v>
      </c>
      <c r="L4887" t="n">
        <v>0</v>
      </c>
      <c r="M4887" t="n">
        <v>0</v>
      </c>
      <c r="N4887" t="n">
        <v>0</v>
      </c>
      <c r="O4887" t="n">
        <v>0</v>
      </c>
      <c r="P4887" t="n">
        <v>0</v>
      </c>
      <c r="Q4887" t="n">
        <v>0</v>
      </c>
      <c r="R4887" s="2" t="inlineStr"/>
    </row>
    <row r="4888" ht="15" customHeight="1">
      <c r="A4888" t="inlineStr">
        <is>
          <t>A 7420-2024</t>
        </is>
      </c>
      <c r="B4888" s="1" t="n">
        <v>45345.62907407407</v>
      </c>
      <c r="C4888" s="1" t="n">
        <v>45952</v>
      </c>
      <c r="D4888" t="inlineStr">
        <is>
          <t>VÄSTRA GÖTALANDS LÄN</t>
        </is>
      </c>
      <c r="E4888" t="inlineStr">
        <is>
          <t>VÄNERSBORG</t>
        </is>
      </c>
      <c r="G4888" t="n">
        <v>1</v>
      </c>
      <c r="H4888" t="n">
        <v>0</v>
      </c>
      <c r="I4888" t="n">
        <v>0</v>
      </c>
      <c r="J4888" t="n">
        <v>0</v>
      </c>
      <c r="K4888" t="n">
        <v>0</v>
      </c>
      <c r="L4888" t="n">
        <v>0</v>
      </c>
      <c r="M4888" t="n">
        <v>0</v>
      </c>
      <c r="N4888" t="n">
        <v>0</v>
      </c>
      <c r="O4888" t="n">
        <v>0</v>
      </c>
      <c r="P4888" t="n">
        <v>0</v>
      </c>
      <c r="Q4888" t="n">
        <v>0</v>
      </c>
      <c r="R4888" s="2" t="inlineStr"/>
    </row>
    <row r="4889" ht="15" customHeight="1">
      <c r="A4889" t="inlineStr">
        <is>
          <t>A 15947-2022</t>
        </is>
      </c>
      <c r="B4889" s="1" t="n">
        <v>44664.68390046297</v>
      </c>
      <c r="C4889" s="1" t="n">
        <v>45952</v>
      </c>
      <c r="D4889" t="inlineStr">
        <is>
          <t>VÄSTRA GÖTALANDS LÄN</t>
        </is>
      </c>
      <c r="E4889" t="inlineStr">
        <is>
          <t>TÖREBODA</t>
        </is>
      </c>
      <c r="G4889" t="n">
        <v>2.2</v>
      </c>
      <c r="H4889" t="n">
        <v>0</v>
      </c>
      <c r="I4889" t="n">
        <v>0</v>
      </c>
      <c r="J4889" t="n">
        <v>0</v>
      </c>
      <c r="K4889" t="n">
        <v>0</v>
      </c>
      <c r="L4889" t="n">
        <v>0</v>
      </c>
      <c r="M4889" t="n">
        <v>0</v>
      </c>
      <c r="N4889" t="n">
        <v>0</v>
      </c>
      <c r="O4889" t="n">
        <v>0</v>
      </c>
      <c r="P4889" t="n">
        <v>0</v>
      </c>
      <c r="Q4889" t="n">
        <v>0</v>
      </c>
      <c r="R4889" s="2" t="inlineStr"/>
    </row>
    <row r="4890" ht="15" customHeight="1">
      <c r="A4890" t="inlineStr">
        <is>
          <t>A 57186-2022</t>
        </is>
      </c>
      <c r="B4890" s="1" t="n">
        <v>44895</v>
      </c>
      <c r="C4890" s="1" t="n">
        <v>45952</v>
      </c>
      <c r="D4890" t="inlineStr">
        <is>
          <t>VÄSTRA GÖTALANDS LÄN</t>
        </is>
      </c>
      <c r="E4890" t="inlineStr">
        <is>
          <t>LERUM</t>
        </is>
      </c>
      <c r="G4890" t="n">
        <v>1.5</v>
      </c>
      <c r="H4890" t="n">
        <v>0</v>
      </c>
      <c r="I4890" t="n">
        <v>0</v>
      </c>
      <c r="J4890" t="n">
        <v>0</v>
      </c>
      <c r="K4890" t="n">
        <v>0</v>
      </c>
      <c r="L4890" t="n">
        <v>0</v>
      </c>
      <c r="M4890" t="n">
        <v>0</v>
      </c>
      <c r="N4890" t="n">
        <v>0</v>
      </c>
      <c r="O4890" t="n">
        <v>0</v>
      </c>
      <c r="P4890" t="n">
        <v>0</v>
      </c>
      <c r="Q4890" t="n">
        <v>0</v>
      </c>
      <c r="R4890" s="2" t="inlineStr"/>
    </row>
    <row r="4891" ht="15" customHeight="1">
      <c r="A4891" t="inlineStr">
        <is>
          <t>A 57202-2022</t>
        </is>
      </c>
      <c r="B4891" s="1" t="n">
        <v>44895</v>
      </c>
      <c r="C4891" s="1" t="n">
        <v>45952</v>
      </c>
      <c r="D4891" t="inlineStr">
        <is>
          <t>VÄSTRA GÖTALANDS LÄN</t>
        </is>
      </c>
      <c r="E4891" t="inlineStr">
        <is>
          <t>BENGTSFORS</t>
        </is>
      </c>
      <c r="G4891" t="n">
        <v>0.8</v>
      </c>
      <c r="H4891" t="n">
        <v>0</v>
      </c>
      <c r="I4891" t="n">
        <v>0</v>
      </c>
      <c r="J4891" t="n">
        <v>0</v>
      </c>
      <c r="K4891" t="n">
        <v>0</v>
      </c>
      <c r="L4891" t="n">
        <v>0</v>
      </c>
      <c r="M4891" t="n">
        <v>0</v>
      </c>
      <c r="N4891" t="n">
        <v>0</v>
      </c>
      <c r="O4891" t="n">
        <v>0</v>
      </c>
      <c r="P4891" t="n">
        <v>0</v>
      </c>
      <c r="Q4891" t="n">
        <v>0</v>
      </c>
      <c r="R4891" s="2" t="inlineStr"/>
    </row>
    <row r="4892" ht="15" customHeight="1">
      <c r="A4892" t="inlineStr">
        <is>
          <t>A 27431-2023</t>
        </is>
      </c>
      <c r="B4892" s="1" t="n">
        <v>45097.38552083333</v>
      </c>
      <c r="C4892" s="1" t="n">
        <v>45952</v>
      </c>
      <c r="D4892" t="inlineStr">
        <is>
          <t>VÄSTRA GÖTALANDS LÄN</t>
        </is>
      </c>
      <c r="E4892" t="inlineStr">
        <is>
          <t>ALINGSÅS</t>
        </is>
      </c>
      <c r="G4892" t="n">
        <v>0.6</v>
      </c>
      <c r="H4892" t="n">
        <v>0</v>
      </c>
      <c r="I4892" t="n">
        <v>0</v>
      </c>
      <c r="J4892" t="n">
        <v>0</v>
      </c>
      <c r="K4892" t="n">
        <v>0</v>
      </c>
      <c r="L4892" t="n">
        <v>0</v>
      </c>
      <c r="M4892" t="n">
        <v>0</v>
      </c>
      <c r="N4892" t="n">
        <v>0</v>
      </c>
      <c r="O4892" t="n">
        <v>0</v>
      </c>
      <c r="P4892" t="n">
        <v>0</v>
      </c>
      <c r="Q4892" t="n">
        <v>0</v>
      </c>
      <c r="R4892" s="2" t="inlineStr"/>
    </row>
    <row r="4893" ht="15" customHeight="1">
      <c r="A4893" t="inlineStr">
        <is>
          <t>A 33925-2021</t>
        </is>
      </c>
      <c r="B4893" s="1" t="n">
        <v>44378.73386574074</v>
      </c>
      <c r="C4893" s="1" t="n">
        <v>45952</v>
      </c>
      <c r="D4893" t="inlineStr">
        <is>
          <t>VÄSTRA GÖTALANDS LÄN</t>
        </is>
      </c>
      <c r="E4893" t="inlineStr">
        <is>
          <t>TANUM</t>
        </is>
      </c>
      <c r="G4893" t="n">
        <v>1</v>
      </c>
      <c r="H4893" t="n">
        <v>0</v>
      </c>
      <c r="I4893" t="n">
        <v>0</v>
      </c>
      <c r="J4893" t="n">
        <v>0</v>
      </c>
      <c r="K4893" t="n">
        <v>0</v>
      </c>
      <c r="L4893" t="n">
        <v>0</v>
      </c>
      <c r="M4893" t="n">
        <v>0</v>
      </c>
      <c r="N4893" t="n">
        <v>0</v>
      </c>
      <c r="O4893" t="n">
        <v>0</v>
      </c>
      <c r="P4893" t="n">
        <v>0</v>
      </c>
      <c r="Q4893" t="n">
        <v>0</v>
      </c>
      <c r="R4893" s="2" t="inlineStr"/>
    </row>
    <row r="4894" ht="15" customHeight="1">
      <c r="A4894" t="inlineStr">
        <is>
          <t>A 27270-2023</t>
        </is>
      </c>
      <c r="B4894" s="1" t="n">
        <v>45096</v>
      </c>
      <c r="C4894" s="1" t="n">
        <v>45952</v>
      </c>
      <c r="D4894" t="inlineStr">
        <is>
          <t>VÄSTRA GÖTALANDS LÄN</t>
        </is>
      </c>
      <c r="E4894" t="inlineStr">
        <is>
          <t>TIDAHOLM</t>
        </is>
      </c>
      <c r="G4894" t="n">
        <v>3.5</v>
      </c>
      <c r="H4894" t="n">
        <v>0</v>
      </c>
      <c r="I4894" t="n">
        <v>0</v>
      </c>
      <c r="J4894" t="n">
        <v>0</v>
      </c>
      <c r="K4894" t="n">
        <v>0</v>
      </c>
      <c r="L4894" t="n">
        <v>0</v>
      </c>
      <c r="M4894" t="n">
        <v>0</v>
      </c>
      <c r="N4894" t="n">
        <v>0</v>
      </c>
      <c r="O4894" t="n">
        <v>0</v>
      </c>
      <c r="P4894" t="n">
        <v>0</v>
      </c>
      <c r="Q4894" t="n">
        <v>0</v>
      </c>
      <c r="R4894" s="2" t="inlineStr"/>
    </row>
    <row r="4895" ht="15" customHeight="1">
      <c r="A4895" t="inlineStr">
        <is>
          <t>A 63959-2020</t>
        </is>
      </c>
      <c r="B4895" s="1" t="n">
        <v>44165</v>
      </c>
      <c r="C4895" s="1" t="n">
        <v>45952</v>
      </c>
      <c r="D4895" t="inlineStr">
        <is>
          <t>VÄSTRA GÖTALANDS LÄN</t>
        </is>
      </c>
      <c r="E4895" t="inlineStr">
        <is>
          <t>BENGTSFORS</t>
        </is>
      </c>
      <c r="G4895" t="n">
        <v>2</v>
      </c>
      <c r="H4895" t="n">
        <v>0</v>
      </c>
      <c r="I4895" t="n">
        <v>0</v>
      </c>
      <c r="J4895" t="n">
        <v>0</v>
      </c>
      <c r="K4895" t="n">
        <v>0</v>
      </c>
      <c r="L4895" t="n">
        <v>0</v>
      </c>
      <c r="M4895" t="n">
        <v>0</v>
      </c>
      <c r="N4895" t="n">
        <v>0</v>
      </c>
      <c r="O4895" t="n">
        <v>0</v>
      </c>
      <c r="P4895" t="n">
        <v>0</v>
      </c>
      <c r="Q4895" t="n">
        <v>0</v>
      </c>
      <c r="R4895" s="2" t="inlineStr"/>
    </row>
    <row r="4896" ht="15" customHeight="1">
      <c r="A4896" t="inlineStr">
        <is>
          <t>A 12383-2021</t>
        </is>
      </c>
      <c r="B4896" s="1" t="n">
        <v>44267</v>
      </c>
      <c r="C4896" s="1" t="n">
        <v>45952</v>
      </c>
      <c r="D4896" t="inlineStr">
        <is>
          <t>VÄSTRA GÖTALANDS LÄN</t>
        </is>
      </c>
      <c r="E4896" t="inlineStr">
        <is>
          <t>TRANEMO</t>
        </is>
      </c>
      <c r="G4896" t="n">
        <v>4.2</v>
      </c>
      <c r="H4896" t="n">
        <v>0</v>
      </c>
      <c r="I4896" t="n">
        <v>0</v>
      </c>
      <c r="J4896" t="n">
        <v>0</v>
      </c>
      <c r="K4896" t="n">
        <v>0</v>
      </c>
      <c r="L4896" t="n">
        <v>0</v>
      </c>
      <c r="M4896" t="n">
        <v>0</v>
      </c>
      <c r="N4896" t="n">
        <v>0</v>
      </c>
      <c r="O4896" t="n">
        <v>0</v>
      </c>
      <c r="P4896" t="n">
        <v>0</v>
      </c>
      <c r="Q4896" t="n">
        <v>0</v>
      </c>
      <c r="R4896" s="2" t="inlineStr"/>
    </row>
    <row r="4897" ht="15" customHeight="1">
      <c r="A4897" t="inlineStr">
        <is>
          <t>A 16147-2025</t>
        </is>
      </c>
      <c r="B4897" s="1" t="n">
        <v>45750.46237268519</v>
      </c>
      <c r="C4897" s="1" t="n">
        <v>45952</v>
      </c>
      <c r="D4897" t="inlineStr">
        <is>
          <t>VÄSTRA GÖTALANDS LÄN</t>
        </is>
      </c>
      <c r="E4897" t="inlineStr">
        <is>
          <t>MARK</t>
        </is>
      </c>
      <c r="G4897" t="n">
        <v>0.8</v>
      </c>
      <c r="H4897" t="n">
        <v>0</v>
      </c>
      <c r="I4897" t="n">
        <v>0</v>
      </c>
      <c r="J4897" t="n">
        <v>0</v>
      </c>
      <c r="K4897" t="n">
        <v>0</v>
      </c>
      <c r="L4897" t="n">
        <v>0</v>
      </c>
      <c r="M4897" t="n">
        <v>0</v>
      </c>
      <c r="N4897" t="n">
        <v>0</v>
      </c>
      <c r="O4897" t="n">
        <v>0</v>
      </c>
      <c r="P4897" t="n">
        <v>0</v>
      </c>
      <c r="Q4897" t="n">
        <v>0</v>
      </c>
      <c r="R4897" s="2" t="inlineStr"/>
    </row>
    <row r="4898" ht="15" customHeight="1">
      <c r="A4898" t="inlineStr">
        <is>
          <t>A 54948-2024</t>
        </is>
      </c>
      <c r="B4898" s="1" t="n">
        <v>45619</v>
      </c>
      <c r="C4898" s="1" t="n">
        <v>45952</v>
      </c>
      <c r="D4898" t="inlineStr">
        <is>
          <t>VÄSTRA GÖTALANDS LÄN</t>
        </is>
      </c>
      <c r="E4898" t="inlineStr">
        <is>
          <t>TIBRO</t>
        </is>
      </c>
      <c r="G4898" t="n">
        <v>3.5</v>
      </c>
      <c r="H4898" t="n">
        <v>0</v>
      </c>
      <c r="I4898" t="n">
        <v>0</v>
      </c>
      <c r="J4898" t="n">
        <v>0</v>
      </c>
      <c r="K4898" t="n">
        <v>0</v>
      </c>
      <c r="L4898" t="n">
        <v>0</v>
      </c>
      <c r="M4898" t="n">
        <v>0</v>
      </c>
      <c r="N4898" t="n">
        <v>0</v>
      </c>
      <c r="O4898" t="n">
        <v>0</v>
      </c>
      <c r="P4898" t="n">
        <v>0</v>
      </c>
      <c r="Q4898" t="n">
        <v>0</v>
      </c>
      <c r="R4898" s="2" t="inlineStr"/>
    </row>
    <row r="4899" ht="15" customHeight="1">
      <c r="A4899" t="inlineStr">
        <is>
          <t>A 15724-2025</t>
        </is>
      </c>
      <c r="B4899" s="1" t="n">
        <v>45748</v>
      </c>
      <c r="C4899" s="1" t="n">
        <v>45952</v>
      </c>
      <c r="D4899" t="inlineStr">
        <is>
          <t>VÄSTRA GÖTALANDS LÄN</t>
        </is>
      </c>
      <c r="E4899" t="inlineStr">
        <is>
          <t>STENUNGSUND</t>
        </is>
      </c>
      <c r="G4899" t="n">
        <v>3.8</v>
      </c>
      <c r="H4899" t="n">
        <v>0</v>
      </c>
      <c r="I4899" t="n">
        <v>0</v>
      </c>
      <c r="J4899" t="n">
        <v>0</v>
      </c>
      <c r="K4899" t="n">
        <v>0</v>
      </c>
      <c r="L4899" t="n">
        <v>0</v>
      </c>
      <c r="M4899" t="n">
        <v>0</v>
      </c>
      <c r="N4899" t="n">
        <v>0</v>
      </c>
      <c r="O4899" t="n">
        <v>0</v>
      </c>
      <c r="P4899" t="n">
        <v>0</v>
      </c>
      <c r="Q4899" t="n">
        <v>0</v>
      </c>
      <c r="R4899" s="2" t="inlineStr"/>
    </row>
    <row r="4900" ht="15" customHeight="1">
      <c r="A4900" t="inlineStr">
        <is>
          <t>A 15726-2025</t>
        </is>
      </c>
      <c r="B4900" s="1" t="n">
        <v>45748</v>
      </c>
      <c r="C4900" s="1" t="n">
        <v>45952</v>
      </c>
      <c r="D4900" t="inlineStr">
        <is>
          <t>VÄSTRA GÖTALANDS LÄN</t>
        </is>
      </c>
      <c r="E4900" t="inlineStr">
        <is>
          <t>STENUNGSUND</t>
        </is>
      </c>
      <c r="G4900" t="n">
        <v>1.2</v>
      </c>
      <c r="H4900" t="n">
        <v>0</v>
      </c>
      <c r="I4900" t="n">
        <v>0</v>
      </c>
      <c r="J4900" t="n">
        <v>0</v>
      </c>
      <c r="K4900" t="n">
        <v>0</v>
      </c>
      <c r="L4900" t="n">
        <v>0</v>
      </c>
      <c r="M4900" t="n">
        <v>0</v>
      </c>
      <c r="N4900" t="n">
        <v>0</v>
      </c>
      <c r="O4900" t="n">
        <v>0</v>
      </c>
      <c r="P4900" t="n">
        <v>0</v>
      </c>
      <c r="Q4900" t="n">
        <v>0</v>
      </c>
      <c r="R4900" s="2" t="inlineStr"/>
    </row>
    <row r="4901" ht="15" customHeight="1">
      <c r="A4901" t="inlineStr">
        <is>
          <t>A 14271-2021</t>
        </is>
      </c>
      <c r="B4901" s="1" t="n">
        <v>44278</v>
      </c>
      <c r="C4901" s="1" t="n">
        <v>45952</v>
      </c>
      <c r="D4901" t="inlineStr">
        <is>
          <t>VÄSTRA GÖTALANDS LÄN</t>
        </is>
      </c>
      <c r="E4901" t="inlineStr">
        <is>
          <t>GÖTEBORG</t>
        </is>
      </c>
      <c r="G4901" t="n">
        <v>6.7</v>
      </c>
      <c r="H4901" t="n">
        <v>0</v>
      </c>
      <c r="I4901" t="n">
        <v>0</v>
      </c>
      <c r="J4901" t="n">
        <v>0</v>
      </c>
      <c r="K4901" t="n">
        <v>0</v>
      </c>
      <c r="L4901" t="n">
        <v>0</v>
      </c>
      <c r="M4901" t="n">
        <v>0</v>
      </c>
      <c r="N4901" t="n">
        <v>0</v>
      </c>
      <c r="O4901" t="n">
        <v>0</v>
      </c>
      <c r="P4901" t="n">
        <v>0</v>
      </c>
      <c r="Q4901" t="n">
        <v>0</v>
      </c>
      <c r="R4901" s="2" t="inlineStr"/>
    </row>
    <row r="4902" ht="15" customHeight="1">
      <c r="A4902" t="inlineStr">
        <is>
          <t>A 4642-2024</t>
        </is>
      </c>
      <c r="B4902" s="1" t="n">
        <v>45328.43502314815</v>
      </c>
      <c r="C4902" s="1" t="n">
        <v>45952</v>
      </c>
      <c r="D4902" t="inlineStr">
        <is>
          <t>VÄSTRA GÖTALANDS LÄN</t>
        </is>
      </c>
      <c r="E4902" t="inlineStr">
        <is>
          <t>ALE</t>
        </is>
      </c>
      <c r="G4902" t="n">
        <v>7.1</v>
      </c>
      <c r="H4902" t="n">
        <v>0</v>
      </c>
      <c r="I4902" t="n">
        <v>0</v>
      </c>
      <c r="J4902" t="n">
        <v>0</v>
      </c>
      <c r="K4902" t="n">
        <v>0</v>
      </c>
      <c r="L4902" t="n">
        <v>0</v>
      </c>
      <c r="M4902" t="n">
        <v>0</v>
      </c>
      <c r="N4902" t="n">
        <v>0</v>
      </c>
      <c r="O4902" t="n">
        <v>0</v>
      </c>
      <c r="P4902" t="n">
        <v>0</v>
      </c>
      <c r="Q4902" t="n">
        <v>0</v>
      </c>
      <c r="R4902" s="2" t="inlineStr"/>
    </row>
    <row r="4903" ht="15" customHeight="1">
      <c r="A4903" t="inlineStr">
        <is>
          <t>A 24368-2022</t>
        </is>
      </c>
      <c r="B4903" s="1" t="n">
        <v>44726.43189814815</v>
      </c>
      <c r="C4903" s="1" t="n">
        <v>45952</v>
      </c>
      <c r="D4903" t="inlineStr">
        <is>
          <t>VÄSTRA GÖTALANDS LÄN</t>
        </is>
      </c>
      <c r="E4903" t="inlineStr">
        <is>
          <t>BOLLEBYGD</t>
        </is>
      </c>
      <c r="G4903" t="n">
        <v>2.4</v>
      </c>
      <c r="H4903" t="n">
        <v>0</v>
      </c>
      <c r="I4903" t="n">
        <v>0</v>
      </c>
      <c r="J4903" t="n">
        <v>0</v>
      </c>
      <c r="K4903" t="n">
        <v>0</v>
      </c>
      <c r="L4903" t="n">
        <v>0</v>
      </c>
      <c r="M4903" t="n">
        <v>0</v>
      </c>
      <c r="N4903" t="n">
        <v>0</v>
      </c>
      <c r="O4903" t="n">
        <v>0</v>
      </c>
      <c r="P4903" t="n">
        <v>0</v>
      </c>
      <c r="Q4903" t="n">
        <v>0</v>
      </c>
      <c r="R4903" s="2" t="inlineStr"/>
    </row>
    <row r="4904" ht="15" customHeight="1">
      <c r="A4904" t="inlineStr">
        <is>
          <t>A 29229-2021</t>
        </is>
      </c>
      <c r="B4904" s="1" t="n">
        <v>44360</v>
      </c>
      <c r="C4904" s="1" t="n">
        <v>45952</v>
      </c>
      <c r="D4904" t="inlineStr">
        <is>
          <t>VÄSTRA GÖTALANDS LÄN</t>
        </is>
      </c>
      <c r="E4904" t="inlineStr">
        <is>
          <t>FALKÖPING</t>
        </is>
      </c>
      <c r="G4904" t="n">
        <v>2.5</v>
      </c>
      <c r="H4904" t="n">
        <v>0</v>
      </c>
      <c r="I4904" t="n">
        <v>0</v>
      </c>
      <c r="J4904" t="n">
        <v>0</v>
      </c>
      <c r="K4904" t="n">
        <v>0</v>
      </c>
      <c r="L4904" t="n">
        <v>0</v>
      </c>
      <c r="M4904" t="n">
        <v>0</v>
      </c>
      <c r="N4904" t="n">
        <v>0</v>
      </c>
      <c r="O4904" t="n">
        <v>0</v>
      </c>
      <c r="P4904" t="n">
        <v>0</v>
      </c>
      <c r="Q4904" t="n">
        <v>0</v>
      </c>
      <c r="R4904" s="2" t="inlineStr"/>
    </row>
    <row r="4905" ht="15" customHeight="1">
      <c r="A4905" t="inlineStr">
        <is>
          <t>A 58101-2023</t>
        </is>
      </c>
      <c r="B4905" s="1" t="n">
        <v>45249.38699074074</v>
      </c>
      <c r="C4905" s="1" t="n">
        <v>45952</v>
      </c>
      <c r="D4905" t="inlineStr">
        <is>
          <t>VÄSTRA GÖTALANDS LÄN</t>
        </is>
      </c>
      <c r="E4905" t="inlineStr">
        <is>
          <t>TIBRO</t>
        </is>
      </c>
      <c r="G4905" t="n">
        <v>6.1</v>
      </c>
      <c r="H4905" t="n">
        <v>0</v>
      </c>
      <c r="I4905" t="n">
        <v>0</v>
      </c>
      <c r="J4905" t="n">
        <v>0</v>
      </c>
      <c r="K4905" t="n">
        <v>0</v>
      </c>
      <c r="L4905" t="n">
        <v>0</v>
      </c>
      <c r="M4905" t="n">
        <v>0</v>
      </c>
      <c r="N4905" t="n">
        <v>0</v>
      </c>
      <c r="O4905" t="n">
        <v>0</v>
      </c>
      <c r="P4905" t="n">
        <v>0</v>
      </c>
      <c r="Q4905" t="n">
        <v>0</v>
      </c>
      <c r="R4905" s="2" t="inlineStr"/>
    </row>
    <row r="4906" ht="15" customHeight="1">
      <c r="A4906" t="inlineStr">
        <is>
          <t>A 13491-2024</t>
        </is>
      </c>
      <c r="B4906" s="1" t="n">
        <v>45387.6203587963</v>
      </c>
      <c r="C4906" s="1" t="n">
        <v>45952</v>
      </c>
      <c r="D4906" t="inlineStr">
        <is>
          <t>VÄSTRA GÖTALANDS LÄN</t>
        </is>
      </c>
      <c r="E4906" t="inlineStr">
        <is>
          <t>DALS-ED</t>
        </is>
      </c>
      <c r="G4906" t="n">
        <v>2</v>
      </c>
      <c r="H4906" t="n">
        <v>0</v>
      </c>
      <c r="I4906" t="n">
        <v>0</v>
      </c>
      <c r="J4906" t="n">
        <v>0</v>
      </c>
      <c r="K4906" t="n">
        <v>0</v>
      </c>
      <c r="L4906" t="n">
        <v>0</v>
      </c>
      <c r="M4906" t="n">
        <v>0</v>
      </c>
      <c r="N4906" t="n">
        <v>0</v>
      </c>
      <c r="O4906" t="n">
        <v>0</v>
      </c>
      <c r="P4906" t="n">
        <v>0</v>
      </c>
      <c r="Q4906" t="n">
        <v>0</v>
      </c>
      <c r="R4906" s="2" t="inlineStr"/>
    </row>
    <row r="4907" ht="15" customHeight="1">
      <c r="A4907" t="inlineStr">
        <is>
          <t>A 6690-2021</t>
        </is>
      </c>
      <c r="B4907" s="1" t="n">
        <v>44236</v>
      </c>
      <c r="C4907" s="1" t="n">
        <v>45952</v>
      </c>
      <c r="D4907" t="inlineStr">
        <is>
          <t>VÄSTRA GÖTALANDS LÄN</t>
        </is>
      </c>
      <c r="E4907" t="inlineStr">
        <is>
          <t>DALS-ED</t>
        </is>
      </c>
      <c r="G4907" t="n">
        <v>1.7</v>
      </c>
      <c r="H4907" t="n">
        <v>0</v>
      </c>
      <c r="I4907" t="n">
        <v>0</v>
      </c>
      <c r="J4907" t="n">
        <v>0</v>
      </c>
      <c r="K4907" t="n">
        <v>0</v>
      </c>
      <c r="L4907" t="n">
        <v>0</v>
      </c>
      <c r="M4907" t="n">
        <v>0</v>
      </c>
      <c r="N4907" t="n">
        <v>0</v>
      </c>
      <c r="O4907" t="n">
        <v>0</v>
      </c>
      <c r="P4907" t="n">
        <v>0</v>
      </c>
      <c r="Q4907" t="n">
        <v>0</v>
      </c>
      <c r="R4907" s="2" t="inlineStr"/>
    </row>
    <row r="4908" ht="15" customHeight="1">
      <c r="A4908" t="inlineStr">
        <is>
          <t>A 28021-2023</t>
        </is>
      </c>
      <c r="B4908" s="1" t="n">
        <v>45098.95337962963</v>
      </c>
      <c r="C4908" s="1" t="n">
        <v>45952</v>
      </c>
      <c r="D4908" t="inlineStr">
        <is>
          <t>VÄSTRA GÖTALANDS LÄN</t>
        </is>
      </c>
      <c r="E4908" t="inlineStr">
        <is>
          <t>LILLA EDET</t>
        </is>
      </c>
      <c r="G4908" t="n">
        <v>1.5</v>
      </c>
      <c r="H4908" t="n">
        <v>0</v>
      </c>
      <c r="I4908" t="n">
        <v>0</v>
      </c>
      <c r="J4908" t="n">
        <v>0</v>
      </c>
      <c r="K4908" t="n">
        <v>0</v>
      </c>
      <c r="L4908" t="n">
        <v>0</v>
      </c>
      <c r="M4908" t="n">
        <v>0</v>
      </c>
      <c r="N4908" t="n">
        <v>0</v>
      </c>
      <c r="O4908" t="n">
        <v>0</v>
      </c>
      <c r="P4908" t="n">
        <v>0</v>
      </c>
      <c r="Q4908" t="n">
        <v>0</v>
      </c>
      <c r="R4908" s="2" t="inlineStr"/>
    </row>
    <row r="4909" ht="15" customHeight="1">
      <c r="A4909" t="inlineStr">
        <is>
          <t>A 1784-2023</t>
        </is>
      </c>
      <c r="B4909" s="1" t="n">
        <v>44938.60303240741</v>
      </c>
      <c r="C4909" s="1" t="n">
        <v>45952</v>
      </c>
      <c r="D4909" t="inlineStr">
        <is>
          <t>VÄSTRA GÖTALANDS LÄN</t>
        </is>
      </c>
      <c r="E4909" t="inlineStr">
        <is>
          <t>SKÖVDE</t>
        </is>
      </c>
      <c r="G4909" t="n">
        <v>0.5</v>
      </c>
      <c r="H4909" t="n">
        <v>0</v>
      </c>
      <c r="I4909" t="n">
        <v>0</v>
      </c>
      <c r="J4909" t="n">
        <v>0</v>
      </c>
      <c r="K4909" t="n">
        <v>0</v>
      </c>
      <c r="L4909" t="n">
        <v>0</v>
      </c>
      <c r="M4909" t="n">
        <v>0</v>
      </c>
      <c r="N4909" t="n">
        <v>0</v>
      </c>
      <c r="O4909" t="n">
        <v>0</v>
      </c>
      <c r="P4909" t="n">
        <v>0</v>
      </c>
      <c r="Q4909" t="n">
        <v>0</v>
      </c>
      <c r="R4909" s="2" t="inlineStr"/>
    </row>
    <row r="4910" ht="15" customHeight="1">
      <c r="A4910" t="inlineStr">
        <is>
          <t>A 17800-2023</t>
        </is>
      </c>
      <c r="B4910" s="1" t="n">
        <v>45037.56935185185</v>
      </c>
      <c r="C4910" s="1" t="n">
        <v>45952</v>
      </c>
      <c r="D4910" t="inlineStr">
        <is>
          <t>VÄSTRA GÖTALANDS LÄN</t>
        </is>
      </c>
      <c r="E4910" t="inlineStr">
        <is>
          <t>DALS-ED</t>
        </is>
      </c>
      <c r="G4910" t="n">
        <v>1.2</v>
      </c>
      <c r="H4910" t="n">
        <v>0</v>
      </c>
      <c r="I4910" t="n">
        <v>0</v>
      </c>
      <c r="J4910" t="n">
        <v>0</v>
      </c>
      <c r="K4910" t="n">
        <v>0</v>
      </c>
      <c r="L4910" t="n">
        <v>0</v>
      </c>
      <c r="M4910" t="n">
        <v>0</v>
      </c>
      <c r="N4910" t="n">
        <v>0</v>
      </c>
      <c r="O4910" t="n">
        <v>0</v>
      </c>
      <c r="P4910" t="n">
        <v>0</v>
      </c>
      <c r="Q4910" t="n">
        <v>0</v>
      </c>
      <c r="R4910" s="2" t="inlineStr"/>
    </row>
    <row r="4911" ht="15" customHeight="1">
      <c r="A4911" t="inlineStr">
        <is>
          <t>A 22313-2023</t>
        </is>
      </c>
      <c r="B4911" s="1" t="n">
        <v>45070.47862268519</v>
      </c>
      <c r="C4911" s="1" t="n">
        <v>45952</v>
      </c>
      <c r="D4911" t="inlineStr">
        <is>
          <t>VÄSTRA GÖTALANDS LÄN</t>
        </is>
      </c>
      <c r="E4911" t="inlineStr">
        <is>
          <t>MELLERUD</t>
        </is>
      </c>
      <c r="G4911" t="n">
        <v>1.1</v>
      </c>
      <c r="H4911" t="n">
        <v>0</v>
      </c>
      <c r="I4911" t="n">
        <v>0</v>
      </c>
      <c r="J4911" t="n">
        <v>0</v>
      </c>
      <c r="K4911" t="n">
        <v>0</v>
      </c>
      <c r="L4911" t="n">
        <v>0</v>
      </c>
      <c r="M4911" t="n">
        <v>0</v>
      </c>
      <c r="N4911" t="n">
        <v>0</v>
      </c>
      <c r="O4911" t="n">
        <v>0</v>
      </c>
      <c r="P4911" t="n">
        <v>0</v>
      </c>
      <c r="Q4911" t="n">
        <v>0</v>
      </c>
      <c r="R4911" s="2" t="inlineStr"/>
    </row>
    <row r="4912" ht="15" customHeight="1">
      <c r="A4912" t="inlineStr">
        <is>
          <t>A 34248-2023</t>
        </is>
      </c>
      <c r="B4912" s="1" t="n">
        <v>45138.55064814815</v>
      </c>
      <c r="C4912" s="1" t="n">
        <v>45952</v>
      </c>
      <c r="D4912" t="inlineStr">
        <is>
          <t>VÄSTRA GÖTALANDS LÄN</t>
        </is>
      </c>
      <c r="E4912" t="inlineStr">
        <is>
          <t>SKÖVDE</t>
        </is>
      </c>
      <c r="G4912" t="n">
        <v>0.8</v>
      </c>
      <c r="H4912" t="n">
        <v>0</v>
      </c>
      <c r="I4912" t="n">
        <v>0</v>
      </c>
      <c r="J4912" t="n">
        <v>0</v>
      </c>
      <c r="K4912" t="n">
        <v>0</v>
      </c>
      <c r="L4912" t="n">
        <v>0</v>
      </c>
      <c r="M4912" t="n">
        <v>0</v>
      </c>
      <c r="N4912" t="n">
        <v>0</v>
      </c>
      <c r="O4912" t="n">
        <v>0</v>
      </c>
      <c r="P4912" t="n">
        <v>0</v>
      </c>
      <c r="Q4912" t="n">
        <v>0</v>
      </c>
      <c r="R4912" s="2" t="inlineStr"/>
    </row>
    <row r="4913" ht="15" customHeight="1">
      <c r="A4913" t="inlineStr">
        <is>
          <t>A 34253-2023</t>
        </is>
      </c>
      <c r="B4913" s="1" t="n">
        <v>45138.5799537037</v>
      </c>
      <c r="C4913" s="1" t="n">
        <v>45952</v>
      </c>
      <c r="D4913" t="inlineStr">
        <is>
          <t>VÄSTRA GÖTALANDS LÄN</t>
        </is>
      </c>
      <c r="E4913" t="inlineStr">
        <is>
          <t>STENUNGSUND</t>
        </is>
      </c>
      <c r="G4913" t="n">
        <v>1.8</v>
      </c>
      <c r="H4913" t="n">
        <v>0</v>
      </c>
      <c r="I4913" t="n">
        <v>0</v>
      </c>
      <c r="J4913" t="n">
        <v>0</v>
      </c>
      <c r="K4913" t="n">
        <v>0</v>
      </c>
      <c r="L4913" t="n">
        <v>0</v>
      </c>
      <c r="M4913" t="n">
        <v>0</v>
      </c>
      <c r="N4913" t="n">
        <v>0</v>
      </c>
      <c r="O4913" t="n">
        <v>0</v>
      </c>
      <c r="P4913" t="n">
        <v>0</v>
      </c>
      <c r="Q4913" t="n">
        <v>0</v>
      </c>
      <c r="R4913" s="2" t="inlineStr"/>
    </row>
    <row r="4914" ht="15" customHeight="1">
      <c r="A4914" t="inlineStr">
        <is>
          <t>A 40175-2023</t>
        </is>
      </c>
      <c r="B4914" s="1" t="n">
        <v>45169</v>
      </c>
      <c r="C4914" s="1" t="n">
        <v>45952</v>
      </c>
      <c r="D4914" t="inlineStr">
        <is>
          <t>VÄSTRA GÖTALANDS LÄN</t>
        </is>
      </c>
      <c r="E4914" t="inlineStr">
        <is>
          <t>TRANEMO</t>
        </is>
      </c>
      <c r="G4914" t="n">
        <v>0.9</v>
      </c>
      <c r="H4914" t="n">
        <v>0</v>
      </c>
      <c r="I4914" t="n">
        <v>0</v>
      </c>
      <c r="J4914" t="n">
        <v>0</v>
      </c>
      <c r="K4914" t="n">
        <v>0</v>
      </c>
      <c r="L4914" t="n">
        <v>0</v>
      </c>
      <c r="M4914" t="n">
        <v>0</v>
      </c>
      <c r="N4914" t="n">
        <v>0</v>
      </c>
      <c r="O4914" t="n">
        <v>0</v>
      </c>
      <c r="P4914" t="n">
        <v>0</v>
      </c>
      <c r="Q4914" t="n">
        <v>0</v>
      </c>
      <c r="R4914" s="2" t="inlineStr"/>
    </row>
    <row r="4915" ht="15" customHeight="1">
      <c r="A4915" t="inlineStr">
        <is>
          <t>A 37130-2024</t>
        </is>
      </c>
      <c r="B4915" s="1" t="n">
        <v>45539.57060185185</v>
      </c>
      <c r="C4915" s="1" t="n">
        <v>45952</v>
      </c>
      <c r="D4915" t="inlineStr">
        <is>
          <t>VÄSTRA GÖTALANDS LÄN</t>
        </is>
      </c>
      <c r="E4915" t="inlineStr">
        <is>
          <t>ORUST</t>
        </is>
      </c>
      <c r="G4915" t="n">
        <v>1.1</v>
      </c>
      <c r="H4915" t="n">
        <v>0</v>
      </c>
      <c r="I4915" t="n">
        <v>0</v>
      </c>
      <c r="J4915" t="n">
        <v>0</v>
      </c>
      <c r="K4915" t="n">
        <v>0</v>
      </c>
      <c r="L4915" t="n">
        <v>0</v>
      </c>
      <c r="M4915" t="n">
        <v>0</v>
      </c>
      <c r="N4915" t="n">
        <v>0</v>
      </c>
      <c r="O4915" t="n">
        <v>0</v>
      </c>
      <c r="P4915" t="n">
        <v>0</v>
      </c>
      <c r="Q4915" t="n">
        <v>0</v>
      </c>
      <c r="R4915" s="2" t="inlineStr"/>
    </row>
    <row r="4916" ht="15" customHeight="1">
      <c r="A4916" t="inlineStr">
        <is>
          <t>A 4114-2023</t>
        </is>
      </c>
      <c r="B4916" s="1" t="n">
        <v>44952</v>
      </c>
      <c r="C4916" s="1" t="n">
        <v>45952</v>
      </c>
      <c r="D4916" t="inlineStr">
        <is>
          <t>VÄSTRA GÖTALANDS LÄN</t>
        </is>
      </c>
      <c r="E4916" t="inlineStr">
        <is>
          <t>DALS-ED</t>
        </is>
      </c>
      <c r="G4916" t="n">
        <v>1.6</v>
      </c>
      <c r="H4916" t="n">
        <v>0</v>
      </c>
      <c r="I4916" t="n">
        <v>0</v>
      </c>
      <c r="J4916" t="n">
        <v>0</v>
      </c>
      <c r="K4916" t="n">
        <v>0</v>
      </c>
      <c r="L4916" t="n">
        <v>0</v>
      </c>
      <c r="M4916" t="n">
        <v>0</v>
      </c>
      <c r="N4916" t="n">
        <v>0</v>
      </c>
      <c r="O4916" t="n">
        <v>0</v>
      </c>
      <c r="P4916" t="n">
        <v>0</v>
      </c>
      <c r="Q4916" t="n">
        <v>0</v>
      </c>
      <c r="R4916" s="2" t="inlineStr"/>
    </row>
    <row r="4917" ht="15" customHeight="1">
      <c r="A4917" t="inlineStr">
        <is>
          <t>A 4231-2023</t>
        </is>
      </c>
      <c r="B4917" s="1" t="n">
        <v>44953</v>
      </c>
      <c r="C4917" s="1" t="n">
        <v>45952</v>
      </c>
      <c r="D4917" t="inlineStr">
        <is>
          <t>VÄSTRA GÖTALANDS LÄN</t>
        </is>
      </c>
      <c r="E4917" t="inlineStr">
        <is>
          <t>SVENLJUNGA</t>
        </is>
      </c>
      <c r="G4917" t="n">
        <v>1</v>
      </c>
      <c r="H4917" t="n">
        <v>0</v>
      </c>
      <c r="I4917" t="n">
        <v>0</v>
      </c>
      <c r="J4917" t="n">
        <v>0</v>
      </c>
      <c r="K4917" t="n">
        <v>0</v>
      </c>
      <c r="L4917" t="n">
        <v>0</v>
      </c>
      <c r="M4917" t="n">
        <v>0</v>
      </c>
      <c r="N4917" t="n">
        <v>0</v>
      </c>
      <c r="O4917" t="n">
        <v>0</v>
      </c>
      <c r="P4917" t="n">
        <v>0</v>
      </c>
      <c r="Q4917" t="n">
        <v>0</v>
      </c>
      <c r="R4917" s="2" t="inlineStr"/>
    </row>
    <row r="4918" ht="15" customHeight="1">
      <c r="A4918" t="inlineStr">
        <is>
          <t>A 17801-2021</t>
        </is>
      </c>
      <c r="B4918" s="1" t="n">
        <v>44300.63430555556</v>
      </c>
      <c r="C4918" s="1" t="n">
        <v>45952</v>
      </c>
      <c r="D4918" t="inlineStr">
        <is>
          <t>VÄSTRA GÖTALANDS LÄN</t>
        </is>
      </c>
      <c r="E4918" t="inlineStr">
        <is>
          <t>TIDAHOLM</t>
        </is>
      </c>
      <c r="G4918" t="n">
        <v>2.6</v>
      </c>
      <c r="H4918" t="n">
        <v>0</v>
      </c>
      <c r="I4918" t="n">
        <v>0</v>
      </c>
      <c r="J4918" t="n">
        <v>0</v>
      </c>
      <c r="K4918" t="n">
        <v>0</v>
      </c>
      <c r="L4918" t="n">
        <v>0</v>
      </c>
      <c r="M4918" t="n">
        <v>0</v>
      </c>
      <c r="N4918" t="n">
        <v>0</v>
      </c>
      <c r="O4918" t="n">
        <v>0</v>
      </c>
      <c r="P4918" t="n">
        <v>0</v>
      </c>
      <c r="Q4918" t="n">
        <v>0</v>
      </c>
      <c r="R4918" s="2" t="inlineStr"/>
    </row>
    <row r="4919" ht="15" customHeight="1">
      <c r="A4919" t="inlineStr">
        <is>
          <t>A 43684-2022</t>
        </is>
      </c>
      <c r="B4919" s="1" t="n">
        <v>44837.62194444444</v>
      </c>
      <c r="C4919" s="1" t="n">
        <v>45952</v>
      </c>
      <c r="D4919" t="inlineStr">
        <is>
          <t>VÄSTRA GÖTALANDS LÄN</t>
        </is>
      </c>
      <c r="E4919" t="inlineStr">
        <is>
          <t>FÄRGELANDA</t>
        </is>
      </c>
      <c r="G4919" t="n">
        <v>1.5</v>
      </c>
      <c r="H4919" t="n">
        <v>0</v>
      </c>
      <c r="I4919" t="n">
        <v>0</v>
      </c>
      <c r="J4919" t="n">
        <v>0</v>
      </c>
      <c r="K4919" t="n">
        <v>0</v>
      </c>
      <c r="L4919" t="n">
        <v>0</v>
      </c>
      <c r="M4919" t="n">
        <v>0</v>
      </c>
      <c r="N4919" t="n">
        <v>0</v>
      </c>
      <c r="O4919" t="n">
        <v>0</v>
      </c>
      <c r="P4919" t="n">
        <v>0</v>
      </c>
      <c r="Q4919" t="n">
        <v>0</v>
      </c>
      <c r="R4919" s="2" t="inlineStr"/>
    </row>
    <row r="4920" ht="15" customHeight="1">
      <c r="A4920" t="inlineStr">
        <is>
          <t>A 40838-2024</t>
        </is>
      </c>
      <c r="B4920" s="1" t="n">
        <v>45558.5702662037</v>
      </c>
      <c r="C4920" s="1" t="n">
        <v>45952</v>
      </c>
      <c r="D4920" t="inlineStr">
        <is>
          <t>VÄSTRA GÖTALANDS LÄN</t>
        </is>
      </c>
      <c r="E4920" t="inlineStr">
        <is>
          <t>BENGTSFORS</t>
        </is>
      </c>
      <c r="G4920" t="n">
        <v>0.6</v>
      </c>
      <c r="H4920" t="n">
        <v>0</v>
      </c>
      <c r="I4920" t="n">
        <v>0</v>
      </c>
      <c r="J4920" t="n">
        <v>0</v>
      </c>
      <c r="K4920" t="n">
        <v>0</v>
      </c>
      <c r="L4920" t="n">
        <v>0</v>
      </c>
      <c r="M4920" t="n">
        <v>0</v>
      </c>
      <c r="N4920" t="n">
        <v>0</v>
      </c>
      <c r="O4920" t="n">
        <v>0</v>
      </c>
      <c r="P4920" t="n">
        <v>0</v>
      </c>
      <c r="Q4920" t="n">
        <v>0</v>
      </c>
      <c r="R4920" s="2" t="inlineStr"/>
    </row>
    <row r="4921" ht="15" customHeight="1">
      <c r="A4921" t="inlineStr">
        <is>
          <t>A 42042-2022</t>
        </is>
      </c>
      <c r="B4921" s="1" t="n">
        <v>44830</v>
      </c>
      <c r="C4921" s="1" t="n">
        <v>45952</v>
      </c>
      <c r="D4921" t="inlineStr">
        <is>
          <t>VÄSTRA GÖTALANDS LÄN</t>
        </is>
      </c>
      <c r="E4921" t="inlineStr">
        <is>
          <t>BENGTSFORS</t>
        </is>
      </c>
      <c r="G4921" t="n">
        <v>6.2</v>
      </c>
      <c r="H4921" t="n">
        <v>0</v>
      </c>
      <c r="I4921" t="n">
        <v>0</v>
      </c>
      <c r="J4921" t="n">
        <v>0</v>
      </c>
      <c r="K4921" t="n">
        <v>0</v>
      </c>
      <c r="L4921" t="n">
        <v>0</v>
      </c>
      <c r="M4921" t="n">
        <v>0</v>
      </c>
      <c r="N4921" t="n">
        <v>0</v>
      </c>
      <c r="O4921" t="n">
        <v>0</v>
      </c>
      <c r="P4921" t="n">
        <v>0</v>
      </c>
      <c r="Q4921" t="n">
        <v>0</v>
      </c>
      <c r="R4921" s="2" t="inlineStr"/>
    </row>
    <row r="4922" ht="15" customHeight="1">
      <c r="A4922" t="inlineStr">
        <is>
          <t>A 40856-2024</t>
        </is>
      </c>
      <c r="B4922" s="1" t="n">
        <v>45558.58530092592</v>
      </c>
      <c r="C4922" s="1" t="n">
        <v>45952</v>
      </c>
      <c r="D4922" t="inlineStr">
        <is>
          <t>VÄSTRA GÖTALANDS LÄN</t>
        </is>
      </c>
      <c r="E4922" t="inlineStr">
        <is>
          <t>BENGTSFORS</t>
        </is>
      </c>
      <c r="G4922" t="n">
        <v>3.2</v>
      </c>
      <c r="H4922" t="n">
        <v>0</v>
      </c>
      <c r="I4922" t="n">
        <v>0</v>
      </c>
      <c r="J4922" t="n">
        <v>0</v>
      </c>
      <c r="K4922" t="n">
        <v>0</v>
      </c>
      <c r="L4922" t="n">
        <v>0</v>
      </c>
      <c r="M4922" t="n">
        <v>0</v>
      </c>
      <c r="N4922" t="n">
        <v>0</v>
      </c>
      <c r="O4922" t="n">
        <v>0</v>
      </c>
      <c r="P4922" t="n">
        <v>0</v>
      </c>
      <c r="Q4922" t="n">
        <v>0</v>
      </c>
      <c r="R4922" s="2" t="inlineStr"/>
    </row>
    <row r="4923" ht="15" customHeight="1">
      <c r="A4923" t="inlineStr">
        <is>
          <t>A 4308-2025</t>
        </is>
      </c>
      <c r="B4923" s="1" t="n">
        <v>45685.68934027778</v>
      </c>
      <c r="C4923" s="1" t="n">
        <v>45952</v>
      </c>
      <c r="D4923" t="inlineStr">
        <is>
          <t>VÄSTRA GÖTALANDS LÄN</t>
        </is>
      </c>
      <c r="E4923" t="inlineStr">
        <is>
          <t>BORÅS</t>
        </is>
      </c>
      <c r="G4923" t="n">
        <v>6</v>
      </c>
      <c r="H4923" t="n">
        <v>0</v>
      </c>
      <c r="I4923" t="n">
        <v>0</v>
      </c>
      <c r="J4923" t="n">
        <v>0</v>
      </c>
      <c r="K4923" t="n">
        <v>0</v>
      </c>
      <c r="L4923" t="n">
        <v>0</v>
      </c>
      <c r="M4923" t="n">
        <v>0</v>
      </c>
      <c r="N4923" t="n">
        <v>0</v>
      </c>
      <c r="O4923" t="n">
        <v>0</v>
      </c>
      <c r="P4923" t="n">
        <v>0</v>
      </c>
      <c r="Q4923" t="n">
        <v>0</v>
      </c>
      <c r="R4923" s="2" t="inlineStr"/>
    </row>
    <row r="4924" ht="15" customHeight="1">
      <c r="A4924" t="inlineStr">
        <is>
          <t>A 54938-2020</t>
        </is>
      </c>
      <c r="B4924" s="1" t="n">
        <v>44129</v>
      </c>
      <c r="C4924" s="1" t="n">
        <v>45952</v>
      </c>
      <c r="D4924" t="inlineStr">
        <is>
          <t>VÄSTRA GÖTALANDS LÄN</t>
        </is>
      </c>
      <c r="E4924" t="inlineStr">
        <is>
          <t>TIDAHOLM</t>
        </is>
      </c>
      <c r="F4924" t="inlineStr">
        <is>
          <t>Kyrkan</t>
        </is>
      </c>
      <c r="G4924" t="n">
        <v>11.2</v>
      </c>
      <c r="H4924" t="n">
        <v>0</v>
      </c>
      <c r="I4924" t="n">
        <v>0</v>
      </c>
      <c r="J4924" t="n">
        <v>0</v>
      </c>
      <c r="K4924" t="n">
        <v>0</v>
      </c>
      <c r="L4924" t="n">
        <v>0</v>
      </c>
      <c r="M4924" t="n">
        <v>0</v>
      </c>
      <c r="N4924" t="n">
        <v>0</v>
      </c>
      <c r="O4924" t="n">
        <v>0</v>
      </c>
      <c r="P4924" t="n">
        <v>0</v>
      </c>
      <c r="Q4924" t="n">
        <v>0</v>
      </c>
      <c r="R4924" s="2" t="inlineStr"/>
    </row>
    <row r="4925" ht="15" customHeight="1">
      <c r="A4925" t="inlineStr">
        <is>
          <t>A 54949-2020</t>
        </is>
      </c>
      <c r="B4925" s="1" t="n">
        <v>44129</v>
      </c>
      <c r="C4925" s="1" t="n">
        <v>45952</v>
      </c>
      <c r="D4925" t="inlineStr">
        <is>
          <t>VÄSTRA GÖTALANDS LÄN</t>
        </is>
      </c>
      <c r="E4925" t="inlineStr">
        <is>
          <t>SVENLJUNGA</t>
        </is>
      </c>
      <c r="G4925" t="n">
        <v>3.5</v>
      </c>
      <c r="H4925" t="n">
        <v>0</v>
      </c>
      <c r="I4925" t="n">
        <v>0</v>
      </c>
      <c r="J4925" t="n">
        <v>0</v>
      </c>
      <c r="K4925" t="n">
        <v>0</v>
      </c>
      <c r="L4925" t="n">
        <v>0</v>
      </c>
      <c r="M4925" t="n">
        <v>0</v>
      </c>
      <c r="N4925" t="n">
        <v>0</v>
      </c>
      <c r="O4925" t="n">
        <v>0</v>
      </c>
      <c r="P4925" t="n">
        <v>0</v>
      </c>
      <c r="Q4925" t="n">
        <v>0</v>
      </c>
      <c r="R4925" s="2" t="inlineStr"/>
    </row>
    <row r="4926" ht="15" customHeight="1">
      <c r="A4926" t="inlineStr">
        <is>
          <t>A 53891-2023</t>
        </is>
      </c>
      <c r="B4926" s="1" t="n">
        <v>45231.52905092593</v>
      </c>
      <c r="C4926" s="1" t="n">
        <v>45952</v>
      </c>
      <c r="D4926" t="inlineStr">
        <is>
          <t>VÄSTRA GÖTALANDS LÄN</t>
        </is>
      </c>
      <c r="E4926" t="inlineStr">
        <is>
          <t>MUNKEDAL</t>
        </is>
      </c>
      <c r="G4926" t="n">
        <v>1.8</v>
      </c>
      <c r="H4926" t="n">
        <v>0</v>
      </c>
      <c r="I4926" t="n">
        <v>0</v>
      </c>
      <c r="J4926" t="n">
        <v>0</v>
      </c>
      <c r="K4926" t="n">
        <v>0</v>
      </c>
      <c r="L4926" t="n">
        <v>0</v>
      </c>
      <c r="M4926" t="n">
        <v>0</v>
      </c>
      <c r="N4926" t="n">
        <v>0</v>
      </c>
      <c r="O4926" t="n">
        <v>0</v>
      </c>
      <c r="P4926" t="n">
        <v>0</v>
      </c>
      <c r="Q4926" t="n">
        <v>0</v>
      </c>
      <c r="R4926" s="2" t="inlineStr"/>
    </row>
    <row r="4927" ht="15" customHeight="1">
      <c r="A4927" t="inlineStr">
        <is>
          <t>A 9413-2024</t>
        </is>
      </c>
      <c r="B4927" s="1" t="n">
        <v>45359.44399305555</v>
      </c>
      <c r="C4927" s="1" t="n">
        <v>45952</v>
      </c>
      <c r="D4927" t="inlineStr">
        <is>
          <t>VÄSTRA GÖTALANDS LÄN</t>
        </is>
      </c>
      <c r="E4927" t="inlineStr">
        <is>
          <t>VARA</t>
        </is>
      </c>
      <c r="G4927" t="n">
        <v>3</v>
      </c>
      <c r="H4927" t="n">
        <v>0</v>
      </c>
      <c r="I4927" t="n">
        <v>0</v>
      </c>
      <c r="J4927" t="n">
        <v>0</v>
      </c>
      <c r="K4927" t="n">
        <v>0</v>
      </c>
      <c r="L4927" t="n">
        <v>0</v>
      </c>
      <c r="M4927" t="n">
        <v>0</v>
      </c>
      <c r="N4927" t="n">
        <v>0</v>
      </c>
      <c r="O4927" t="n">
        <v>0</v>
      </c>
      <c r="P4927" t="n">
        <v>0</v>
      </c>
      <c r="Q4927" t="n">
        <v>0</v>
      </c>
      <c r="R4927" s="2" t="inlineStr"/>
    </row>
    <row r="4928" ht="15" customHeight="1">
      <c r="A4928" t="inlineStr">
        <is>
          <t>A 9450-2024</t>
        </is>
      </c>
      <c r="B4928" s="1" t="n">
        <v>45358</v>
      </c>
      <c r="C4928" s="1" t="n">
        <v>45952</v>
      </c>
      <c r="D4928" t="inlineStr">
        <is>
          <t>VÄSTRA GÖTALANDS LÄN</t>
        </is>
      </c>
      <c r="E4928" t="inlineStr">
        <is>
          <t>VARA</t>
        </is>
      </c>
      <c r="G4928" t="n">
        <v>4.1</v>
      </c>
      <c r="H4928" t="n">
        <v>0</v>
      </c>
      <c r="I4928" t="n">
        <v>0</v>
      </c>
      <c r="J4928" t="n">
        <v>0</v>
      </c>
      <c r="K4928" t="n">
        <v>0</v>
      </c>
      <c r="L4928" t="n">
        <v>0</v>
      </c>
      <c r="M4928" t="n">
        <v>0</v>
      </c>
      <c r="N4928" t="n">
        <v>0</v>
      </c>
      <c r="O4928" t="n">
        <v>0</v>
      </c>
      <c r="P4928" t="n">
        <v>0</v>
      </c>
      <c r="Q4928" t="n">
        <v>0</v>
      </c>
      <c r="R4928" s="2" t="inlineStr"/>
    </row>
    <row r="4929" ht="15" customHeight="1">
      <c r="A4929" t="inlineStr">
        <is>
          <t>A 9456-2024</t>
        </is>
      </c>
      <c r="B4929" s="1" t="n">
        <v>45359.5290625</v>
      </c>
      <c r="C4929" s="1" t="n">
        <v>45952</v>
      </c>
      <c r="D4929" t="inlineStr">
        <is>
          <t>VÄSTRA GÖTALANDS LÄN</t>
        </is>
      </c>
      <c r="E4929" t="inlineStr">
        <is>
          <t>MELLERUD</t>
        </is>
      </c>
      <c r="G4929" t="n">
        <v>1.8</v>
      </c>
      <c r="H4929" t="n">
        <v>0</v>
      </c>
      <c r="I4929" t="n">
        <v>0</v>
      </c>
      <c r="J4929" t="n">
        <v>0</v>
      </c>
      <c r="K4929" t="n">
        <v>0</v>
      </c>
      <c r="L4929" t="n">
        <v>0</v>
      </c>
      <c r="M4929" t="n">
        <v>0</v>
      </c>
      <c r="N4929" t="n">
        <v>0</v>
      </c>
      <c r="O4929" t="n">
        <v>0</v>
      </c>
      <c r="P4929" t="n">
        <v>0</v>
      </c>
      <c r="Q4929" t="n">
        <v>0</v>
      </c>
      <c r="R4929" s="2" t="inlineStr"/>
    </row>
    <row r="4930" ht="15" customHeight="1">
      <c r="A4930" t="inlineStr">
        <is>
          <t>A 3418-2023</t>
        </is>
      </c>
      <c r="B4930" s="1" t="n">
        <v>44949.56182870371</v>
      </c>
      <c r="C4930" s="1" t="n">
        <v>45952</v>
      </c>
      <c r="D4930" t="inlineStr">
        <is>
          <t>VÄSTRA GÖTALANDS LÄN</t>
        </is>
      </c>
      <c r="E4930" t="inlineStr">
        <is>
          <t>ALE</t>
        </is>
      </c>
      <c r="G4930" t="n">
        <v>1.1</v>
      </c>
      <c r="H4930" t="n">
        <v>0</v>
      </c>
      <c r="I4930" t="n">
        <v>0</v>
      </c>
      <c r="J4930" t="n">
        <v>0</v>
      </c>
      <c r="K4930" t="n">
        <v>0</v>
      </c>
      <c r="L4930" t="n">
        <v>0</v>
      </c>
      <c r="M4930" t="n">
        <v>0</v>
      </c>
      <c r="N4930" t="n">
        <v>0</v>
      </c>
      <c r="O4930" t="n">
        <v>0</v>
      </c>
      <c r="P4930" t="n">
        <v>0</v>
      </c>
      <c r="Q4930" t="n">
        <v>0</v>
      </c>
      <c r="R4930" s="2" t="inlineStr"/>
    </row>
    <row r="4931" ht="15" customHeight="1">
      <c r="A4931" t="inlineStr">
        <is>
          <t>A 40380-2022</t>
        </is>
      </c>
      <c r="B4931" s="1" t="n">
        <v>44823.40733796296</v>
      </c>
      <c r="C4931" s="1" t="n">
        <v>45952</v>
      </c>
      <c r="D4931" t="inlineStr">
        <is>
          <t>VÄSTRA GÖTALANDS LÄN</t>
        </is>
      </c>
      <c r="E4931" t="inlineStr">
        <is>
          <t>DALS-ED</t>
        </is>
      </c>
      <c r="G4931" t="n">
        <v>5.1</v>
      </c>
      <c r="H4931" t="n">
        <v>0</v>
      </c>
      <c r="I4931" t="n">
        <v>0</v>
      </c>
      <c r="J4931" t="n">
        <v>0</v>
      </c>
      <c r="K4931" t="n">
        <v>0</v>
      </c>
      <c r="L4931" t="n">
        <v>0</v>
      </c>
      <c r="M4931" t="n">
        <v>0</v>
      </c>
      <c r="N4931" t="n">
        <v>0</v>
      </c>
      <c r="O4931" t="n">
        <v>0</v>
      </c>
      <c r="P4931" t="n">
        <v>0</v>
      </c>
      <c r="Q4931" t="n">
        <v>0</v>
      </c>
      <c r="R4931" s="2" t="inlineStr"/>
    </row>
    <row r="4932" ht="15" customHeight="1">
      <c r="A4932" t="inlineStr">
        <is>
          <t>A 40390-2022</t>
        </is>
      </c>
      <c r="B4932" s="1" t="n">
        <v>44823</v>
      </c>
      <c r="C4932" s="1" t="n">
        <v>45952</v>
      </c>
      <c r="D4932" t="inlineStr">
        <is>
          <t>VÄSTRA GÖTALANDS LÄN</t>
        </is>
      </c>
      <c r="E4932" t="inlineStr">
        <is>
          <t>DALS-ED</t>
        </is>
      </c>
      <c r="G4932" t="n">
        <v>1.3</v>
      </c>
      <c r="H4932" t="n">
        <v>0</v>
      </c>
      <c r="I4932" t="n">
        <v>0</v>
      </c>
      <c r="J4932" t="n">
        <v>0</v>
      </c>
      <c r="K4932" t="n">
        <v>0</v>
      </c>
      <c r="L4932" t="n">
        <v>0</v>
      </c>
      <c r="M4932" t="n">
        <v>0</v>
      </c>
      <c r="N4932" t="n">
        <v>0</v>
      </c>
      <c r="O4932" t="n">
        <v>0</v>
      </c>
      <c r="P4932" t="n">
        <v>0</v>
      </c>
      <c r="Q4932" t="n">
        <v>0</v>
      </c>
      <c r="R4932" s="2" t="inlineStr"/>
    </row>
    <row r="4933" ht="15" customHeight="1">
      <c r="A4933" t="inlineStr">
        <is>
          <t>A 57557-2024</t>
        </is>
      </c>
      <c r="B4933" s="1" t="n">
        <v>45630.45277777778</v>
      </c>
      <c r="C4933" s="1" t="n">
        <v>45952</v>
      </c>
      <c r="D4933" t="inlineStr">
        <is>
          <t>VÄSTRA GÖTALANDS LÄN</t>
        </is>
      </c>
      <c r="E4933" t="inlineStr">
        <is>
          <t>FÄRGELANDA</t>
        </is>
      </c>
      <c r="G4933" t="n">
        <v>0.8</v>
      </c>
      <c r="H4933" t="n">
        <v>0</v>
      </c>
      <c r="I4933" t="n">
        <v>0</v>
      </c>
      <c r="J4933" t="n">
        <v>0</v>
      </c>
      <c r="K4933" t="n">
        <v>0</v>
      </c>
      <c r="L4933" t="n">
        <v>0</v>
      </c>
      <c r="M4933" t="n">
        <v>0</v>
      </c>
      <c r="N4933" t="n">
        <v>0</v>
      </c>
      <c r="O4933" t="n">
        <v>0</v>
      </c>
      <c r="P4933" t="n">
        <v>0</v>
      </c>
      <c r="Q4933" t="n">
        <v>0</v>
      </c>
      <c r="R4933" s="2" t="inlineStr"/>
    </row>
    <row r="4934" ht="15" customHeight="1">
      <c r="A4934" t="inlineStr">
        <is>
          <t>A 2452-2025</t>
        </is>
      </c>
      <c r="B4934" s="1" t="n">
        <v>45674.44443287037</v>
      </c>
      <c r="C4934" s="1" t="n">
        <v>45952</v>
      </c>
      <c r="D4934" t="inlineStr">
        <is>
          <t>VÄSTRA GÖTALANDS LÄN</t>
        </is>
      </c>
      <c r="E4934" t="inlineStr">
        <is>
          <t>DALS-ED</t>
        </is>
      </c>
      <c r="G4934" t="n">
        <v>3.7</v>
      </c>
      <c r="H4934" t="n">
        <v>0</v>
      </c>
      <c r="I4934" t="n">
        <v>0</v>
      </c>
      <c r="J4934" t="n">
        <v>0</v>
      </c>
      <c r="K4934" t="n">
        <v>0</v>
      </c>
      <c r="L4934" t="n">
        <v>0</v>
      </c>
      <c r="M4934" t="n">
        <v>0</v>
      </c>
      <c r="N4934" t="n">
        <v>0</v>
      </c>
      <c r="O4934" t="n">
        <v>0</v>
      </c>
      <c r="P4934" t="n">
        <v>0</v>
      </c>
      <c r="Q4934" t="n">
        <v>0</v>
      </c>
      <c r="R4934" s="2" t="inlineStr"/>
    </row>
    <row r="4935" ht="15" customHeight="1">
      <c r="A4935" t="inlineStr">
        <is>
          <t>A 3481-2024</t>
        </is>
      </c>
      <c r="B4935" s="1" t="n">
        <v>45320</v>
      </c>
      <c r="C4935" s="1" t="n">
        <v>45952</v>
      </c>
      <c r="D4935" t="inlineStr">
        <is>
          <t>VÄSTRA GÖTALANDS LÄN</t>
        </is>
      </c>
      <c r="E4935" t="inlineStr">
        <is>
          <t>SKÖVDE</t>
        </is>
      </c>
      <c r="G4935" t="n">
        <v>7.7</v>
      </c>
      <c r="H4935" t="n">
        <v>0</v>
      </c>
      <c r="I4935" t="n">
        <v>0</v>
      </c>
      <c r="J4935" t="n">
        <v>0</v>
      </c>
      <c r="K4935" t="n">
        <v>0</v>
      </c>
      <c r="L4935" t="n">
        <v>0</v>
      </c>
      <c r="M4935" t="n">
        <v>0</v>
      </c>
      <c r="N4935" t="n">
        <v>0</v>
      </c>
      <c r="O4935" t="n">
        <v>0</v>
      </c>
      <c r="P4935" t="n">
        <v>0</v>
      </c>
      <c r="Q4935" t="n">
        <v>0</v>
      </c>
      <c r="R4935" s="2" t="inlineStr"/>
    </row>
    <row r="4936" ht="15" customHeight="1">
      <c r="A4936" t="inlineStr">
        <is>
          <t>A 4204-2024</t>
        </is>
      </c>
      <c r="B4936" s="1" t="n">
        <v>45324.36422453704</v>
      </c>
      <c r="C4936" s="1" t="n">
        <v>45952</v>
      </c>
      <c r="D4936" t="inlineStr">
        <is>
          <t>VÄSTRA GÖTALANDS LÄN</t>
        </is>
      </c>
      <c r="E4936" t="inlineStr">
        <is>
          <t>KUNGÄLV</t>
        </is>
      </c>
      <c r="G4936" t="n">
        <v>4.4</v>
      </c>
      <c r="H4936" t="n">
        <v>0</v>
      </c>
      <c r="I4936" t="n">
        <v>0</v>
      </c>
      <c r="J4936" t="n">
        <v>0</v>
      </c>
      <c r="K4936" t="n">
        <v>0</v>
      </c>
      <c r="L4936" t="n">
        <v>0</v>
      </c>
      <c r="M4936" t="n">
        <v>0</v>
      </c>
      <c r="N4936" t="n">
        <v>0</v>
      </c>
      <c r="O4936" t="n">
        <v>0</v>
      </c>
      <c r="P4936" t="n">
        <v>0</v>
      </c>
      <c r="Q4936" t="n">
        <v>0</v>
      </c>
      <c r="R4936" s="2" t="inlineStr"/>
    </row>
    <row r="4937" ht="15" customHeight="1">
      <c r="A4937" t="inlineStr">
        <is>
          <t>A 17836-2024</t>
        </is>
      </c>
      <c r="B4937" s="1" t="n">
        <v>45418</v>
      </c>
      <c r="C4937" s="1" t="n">
        <v>45952</v>
      </c>
      <c r="D4937" t="inlineStr">
        <is>
          <t>VÄSTRA GÖTALANDS LÄN</t>
        </is>
      </c>
      <c r="E4937" t="inlineStr">
        <is>
          <t>BENGTSFORS</t>
        </is>
      </c>
      <c r="G4937" t="n">
        <v>2.8</v>
      </c>
      <c r="H4937" t="n">
        <v>0</v>
      </c>
      <c r="I4937" t="n">
        <v>0</v>
      </c>
      <c r="J4937" t="n">
        <v>0</v>
      </c>
      <c r="K4937" t="n">
        <v>0</v>
      </c>
      <c r="L4937" t="n">
        <v>0</v>
      </c>
      <c r="M4937" t="n">
        <v>0</v>
      </c>
      <c r="N4937" t="n">
        <v>0</v>
      </c>
      <c r="O4937" t="n">
        <v>0</v>
      </c>
      <c r="P4937" t="n">
        <v>0</v>
      </c>
      <c r="Q4937" t="n">
        <v>0</v>
      </c>
      <c r="R4937" s="2" t="inlineStr"/>
    </row>
    <row r="4938" ht="15" customHeight="1">
      <c r="A4938" t="inlineStr">
        <is>
          <t>A 18999-2021</t>
        </is>
      </c>
      <c r="B4938" s="1" t="n">
        <v>44308</v>
      </c>
      <c r="C4938" s="1" t="n">
        <v>45952</v>
      </c>
      <c r="D4938" t="inlineStr">
        <is>
          <t>VÄSTRA GÖTALANDS LÄN</t>
        </is>
      </c>
      <c r="E4938" t="inlineStr">
        <is>
          <t>ALE</t>
        </is>
      </c>
      <c r="G4938" t="n">
        <v>3.7</v>
      </c>
      <c r="H4938" t="n">
        <v>0</v>
      </c>
      <c r="I4938" t="n">
        <v>0</v>
      </c>
      <c r="J4938" t="n">
        <v>0</v>
      </c>
      <c r="K4938" t="n">
        <v>0</v>
      </c>
      <c r="L4938" t="n">
        <v>0</v>
      </c>
      <c r="M4938" t="n">
        <v>0</v>
      </c>
      <c r="N4938" t="n">
        <v>0</v>
      </c>
      <c r="O4938" t="n">
        <v>0</v>
      </c>
      <c r="P4938" t="n">
        <v>0</v>
      </c>
      <c r="Q4938" t="n">
        <v>0</v>
      </c>
      <c r="R4938" s="2" t="inlineStr"/>
    </row>
    <row r="4939" ht="15" customHeight="1">
      <c r="A4939" t="inlineStr">
        <is>
          <t>A 28881-2023</t>
        </is>
      </c>
      <c r="B4939" s="1" t="n">
        <v>45104</v>
      </c>
      <c r="C4939" s="1" t="n">
        <v>45952</v>
      </c>
      <c r="D4939" t="inlineStr">
        <is>
          <t>VÄSTRA GÖTALANDS LÄN</t>
        </is>
      </c>
      <c r="E4939" t="inlineStr">
        <is>
          <t>ULRICEHAMN</t>
        </is>
      </c>
      <c r="G4939" t="n">
        <v>2.4</v>
      </c>
      <c r="H4939" t="n">
        <v>0</v>
      </c>
      <c r="I4939" t="n">
        <v>0</v>
      </c>
      <c r="J4939" t="n">
        <v>0</v>
      </c>
      <c r="K4939" t="n">
        <v>0</v>
      </c>
      <c r="L4939" t="n">
        <v>0</v>
      </c>
      <c r="M4939" t="n">
        <v>0</v>
      </c>
      <c r="N4939" t="n">
        <v>0</v>
      </c>
      <c r="O4939" t="n">
        <v>0</v>
      </c>
      <c r="P4939" t="n">
        <v>0</v>
      </c>
      <c r="Q4939" t="n">
        <v>0</v>
      </c>
      <c r="R4939" s="2" t="inlineStr"/>
    </row>
    <row r="4940" ht="15" customHeight="1">
      <c r="A4940" t="inlineStr">
        <is>
          <t>A 28171-2022</t>
        </is>
      </c>
      <c r="B4940" s="1" t="n">
        <v>44746</v>
      </c>
      <c r="C4940" s="1" t="n">
        <v>45952</v>
      </c>
      <c r="D4940" t="inlineStr">
        <is>
          <t>VÄSTRA GÖTALANDS LÄN</t>
        </is>
      </c>
      <c r="E4940" t="inlineStr">
        <is>
          <t>BORÅS</t>
        </is>
      </c>
      <c r="G4940" t="n">
        <v>2.1</v>
      </c>
      <c r="H4940" t="n">
        <v>0</v>
      </c>
      <c r="I4940" t="n">
        <v>0</v>
      </c>
      <c r="J4940" t="n">
        <v>0</v>
      </c>
      <c r="K4940" t="n">
        <v>0</v>
      </c>
      <c r="L4940" t="n">
        <v>0</v>
      </c>
      <c r="M4940" t="n">
        <v>0</v>
      </c>
      <c r="N4940" t="n">
        <v>0</v>
      </c>
      <c r="O4940" t="n">
        <v>0</v>
      </c>
      <c r="P4940" t="n">
        <v>0</v>
      </c>
      <c r="Q4940" t="n">
        <v>0</v>
      </c>
      <c r="R4940" s="2" t="inlineStr"/>
    </row>
    <row r="4941" ht="15" customHeight="1">
      <c r="A4941" t="inlineStr">
        <is>
          <t>A 24129-2024</t>
        </is>
      </c>
      <c r="B4941" s="1" t="n">
        <v>45456.63239583333</v>
      </c>
      <c r="C4941" s="1" t="n">
        <v>45952</v>
      </c>
      <c r="D4941" t="inlineStr">
        <is>
          <t>VÄSTRA GÖTALANDS LÄN</t>
        </is>
      </c>
      <c r="E4941" t="inlineStr">
        <is>
          <t>TROLLHÄTTAN</t>
        </is>
      </c>
      <c r="G4941" t="n">
        <v>1.7</v>
      </c>
      <c r="H4941" t="n">
        <v>0</v>
      </c>
      <c r="I4941" t="n">
        <v>0</v>
      </c>
      <c r="J4941" t="n">
        <v>0</v>
      </c>
      <c r="K4941" t="n">
        <v>0</v>
      </c>
      <c r="L4941" t="n">
        <v>0</v>
      </c>
      <c r="M4941" t="n">
        <v>0</v>
      </c>
      <c r="N4941" t="n">
        <v>0</v>
      </c>
      <c r="O4941" t="n">
        <v>0</v>
      </c>
      <c r="P4941" t="n">
        <v>0</v>
      </c>
      <c r="Q4941" t="n">
        <v>0</v>
      </c>
      <c r="R4941" s="2" t="inlineStr"/>
    </row>
    <row r="4942" ht="15" customHeight="1">
      <c r="A4942" t="inlineStr">
        <is>
          <t>A 12588-2022</t>
        </is>
      </c>
      <c r="B4942" s="1" t="n">
        <v>44639</v>
      </c>
      <c r="C4942" s="1" t="n">
        <v>45952</v>
      </c>
      <c r="D4942" t="inlineStr">
        <is>
          <t>VÄSTRA GÖTALANDS LÄN</t>
        </is>
      </c>
      <c r="E4942" t="inlineStr">
        <is>
          <t>BORÅS</t>
        </is>
      </c>
      <c r="G4942" t="n">
        <v>9</v>
      </c>
      <c r="H4942" t="n">
        <v>0</v>
      </c>
      <c r="I4942" t="n">
        <v>0</v>
      </c>
      <c r="J4942" t="n">
        <v>0</v>
      </c>
      <c r="K4942" t="n">
        <v>0</v>
      </c>
      <c r="L4942" t="n">
        <v>0</v>
      </c>
      <c r="M4942" t="n">
        <v>0</v>
      </c>
      <c r="N4942" t="n">
        <v>0</v>
      </c>
      <c r="O4942" t="n">
        <v>0</v>
      </c>
      <c r="P4942" t="n">
        <v>0</v>
      </c>
      <c r="Q4942" t="n">
        <v>0</v>
      </c>
      <c r="R4942" s="2" t="inlineStr"/>
    </row>
    <row r="4943" ht="15" customHeight="1">
      <c r="A4943" t="inlineStr">
        <is>
          <t>A 3213-2025</t>
        </is>
      </c>
      <c r="B4943" s="1" t="n">
        <v>45679.46103009259</v>
      </c>
      <c r="C4943" s="1" t="n">
        <v>45952</v>
      </c>
      <c r="D4943" t="inlineStr">
        <is>
          <t>VÄSTRA GÖTALANDS LÄN</t>
        </is>
      </c>
      <c r="E4943" t="inlineStr">
        <is>
          <t>TRANEMO</t>
        </is>
      </c>
      <c r="G4943" t="n">
        <v>6</v>
      </c>
      <c r="H4943" t="n">
        <v>0</v>
      </c>
      <c r="I4943" t="n">
        <v>0</v>
      </c>
      <c r="J4943" t="n">
        <v>0</v>
      </c>
      <c r="K4943" t="n">
        <v>0</v>
      </c>
      <c r="L4943" t="n">
        <v>0</v>
      </c>
      <c r="M4943" t="n">
        <v>0</v>
      </c>
      <c r="N4943" t="n">
        <v>0</v>
      </c>
      <c r="O4943" t="n">
        <v>0</v>
      </c>
      <c r="P4943" t="n">
        <v>0</v>
      </c>
      <c r="Q4943" t="n">
        <v>0</v>
      </c>
      <c r="R4943" s="2" t="inlineStr"/>
    </row>
    <row r="4944" ht="15" customHeight="1">
      <c r="A4944" t="inlineStr">
        <is>
          <t>A 19981-2025</t>
        </is>
      </c>
      <c r="B4944" s="1" t="n">
        <v>45771.71726851852</v>
      </c>
      <c r="C4944" s="1" t="n">
        <v>45952</v>
      </c>
      <c r="D4944" t="inlineStr">
        <is>
          <t>VÄSTRA GÖTALANDS LÄN</t>
        </is>
      </c>
      <c r="E4944" t="inlineStr">
        <is>
          <t>UDDEVALLA</t>
        </is>
      </c>
      <c r="G4944" t="n">
        <v>4.9</v>
      </c>
      <c r="H4944" t="n">
        <v>0</v>
      </c>
      <c r="I4944" t="n">
        <v>0</v>
      </c>
      <c r="J4944" t="n">
        <v>0</v>
      </c>
      <c r="K4944" t="n">
        <v>0</v>
      </c>
      <c r="L4944" t="n">
        <v>0</v>
      </c>
      <c r="M4944" t="n">
        <v>0</v>
      </c>
      <c r="N4944" t="n">
        <v>0</v>
      </c>
      <c r="O4944" t="n">
        <v>0</v>
      </c>
      <c r="P4944" t="n">
        <v>0</v>
      </c>
      <c r="Q4944" t="n">
        <v>0</v>
      </c>
      <c r="R4944" s="2" t="inlineStr"/>
    </row>
    <row r="4945" ht="15" customHeight="1">
      <c r="A4945" t="inlineStr">
        <is>
          <t>A 19999-2025</t>
        </is>
      </c>
      <c r="B4945" s="1" t="n">
        <v>45771.84162037037</v>
      </c>
      <c r="C4945" s="1" t="n">
        <v>45952</v>
      </c>
      <c r="D4945" t="inlineStr">
        <is>
          <t>VÄSTRA GÖTALANDS LÄN</t>
        </is>
      </c>
      <c r="E4945" t="inlineStr">
        <is>
          <t>TRANEMO</t>
        </is>
      </c>
      <c r="G4945" t="n">
        <v>1.5</v>
      </c>
      <c r="H4945" t="n">
        <v>0</v>
      </c>
      <c r="I4945" t="n">
        <v>0</v>
      </c>
      <c r="J4945" t="n">
        <v>0</v>
      </c>
      <c r="K4945" t="n">
        <v>0</v>
      </c>
      <c r="L4945" t="n">
        <v>0</v>
      </c>
      <c r="M4945" t="n">
        <v>0</v>
      </c>
      <c r="N4945" t="n">
        <v>0</v>
      </c>
      <c r="O4945" t="n">
        <v>0</v>
      </c>
      <c r="P4945" t="n">
        <v>0</v>
      </c>
      <c r="Q4945" t="n">
        <v>0</v>
      </c>
      <c r="R4945" s="2" t="inlineStr"/>
    </row>
    <row r="4946" ht="15" customHeight="1">
      <c r="A4946" t="inlineStr">
        <is>
          <t>A 42647-2023</t>
        </is>
      </c>
      <c r="B4946" s="1" t="n">
        <v>45181</v>
      </c>
      <c r="C4946" s="1" t="n">
        <v>45952</v>
      </c>
      <c r="D4946" t="inlineStr">
        <is>
          <t>VÄSTRA GÖTALANDS LÄN</t>
        </is>
      </c>
      <c r="E4946" t="inlineStr">
        <is>
          <t>MARIESTAD</t>
        </is>
      </c>
      <c r="G4946" t="n">
        <v>2.5</v>
      </c>
      <c r="H4946" t="n">
        <v>0</v>
      </c>
      <c r="I4946" t="n">
        <v>0</v>
      </c>
      <c r="J4946" t="n">
        <v>0</v>
      </c>
      <c r="K4946" t="n">
        <v>0</v>
      </c>
      <c r="L4946" t="n">
        <v>0</v>
      </c>
      <c r="M4946" t="n">
        <v>0</v>
      </c>
      <c r="N4946" t="n">
        <v>0</v>
      </c>
      <c r="O4946" t="n">
        <v>0</v>
      </c>
      <c r="P4946" t="n">
        <v>0</v>
      </c>
      <c r="Q4946" t="n">
        <v>0</v>
      </c>
      <c r="R4946" s="2" t="inlineStr"/>
    </row>
    <row r="4947" ht="15" customHeight="1">
      <c r="A4947" t="inlineStr">
        <is>
          <t>A 3334-2025</t>
        </is>
      </c>
      <c r="B4947" s="1" t="n">
        <v>45679.71046296296</v>
      </c>
      <c r="C4947" s="1" t="n">
        <v>45952</v>
      </c>
      <c r="D4947" t="inlineStr">
        <is>
          <t>VÄSTRA GÖTALANDS LÄN</t>
        </is>
      </c>
      <c r="E4947" t="inlineStr">
        <is>
          <t>GULLSPÅNG</t>
        </is>
      </c>
      <c r="G4947" t="n">
        <v>1.1</v>
      </c>
      <c r="H4947" t="n">
        <v>0</v>
      </c>
      <c r="I4947" t="n">
        <v>0</v>
      </c>
      <c r="J4947" t="n">
        <v>0</v>
      </c>
      <c r="K4947" t="n">
        <v>0</v>
      </c>
      <c r="L4947" t="n">
        <v>0</v>
      </c>
      <c r="M4947" t="n">
        <v>0</v>
      </c>
      <c r="N4947" t="n">
        <v>0</v>
      </c>
      <c r="O4947" t="n">
        <v>0</v>
      </c>
      <c r="P4947" t="n">
        <v>0</v>
      </c>
      <c r="Q4947" t="n">
        <v>0</v>
      </c>
      <c r="R4947" s="2" t="inlineStr"/>
    </row>
    <row r="4948" ht="15" customHeight="1">
      <c r="A4948" t="inlineStr">
        <is>
          <t>A 54377-2022</t>
        </is>
      </c>
      <c r="B4948" s="1" t="n">
        <v>44882</v>
      </c>
      <c r="C4948" s="1" t="n">
        <v>45952</v>
      </c>
      <c r="D4948" t="inlineStr">
        <is>
          <t>VÄSTRA GÖTALANDS LÄN</t>
        </is>
      </c>
      <c r="E4948" t="inlineStr">
        <is>
          <t>HERRLJUNGA</t>
        </is>
      </c>
      <c r="G4948" t="n">
        <v>5.9</v>
      </c>
      <c r="H4948" t="n">
        <v>0</v>
      </c>
      <c r="I4948" t="n">
        <v>0</v>
      </c>
      <c r="J4948" t="n">
        <v>0</v>
      </c>
      <c r="K4948" t="n">
        <v>0</v>
      </c>
      <c r="L4948" t="n">
        <v>0</v>
      </c>
      <c r="M4948" t="n">
        <v>0</v>
      </c>
      <c r="N4948" t="n">
        <v>0</v>
      </c>
      <c r="O4948" t="n">
        <v>0</v>
      </c>
      <c r="P4948" t="n">
        <v>0</v>
      </c>
      <c r="Q4948" t="n">
        <v>0</v>
      </c>
      <c r="R4948" s="2" t="inlineStr"/>
    </row>
    <row r="4949" ht="15" customHeight="1">
      <c r="A4949" t="inlineStr">
        <is>
          <t>A 2639-2025</t>
        </is>
      </c>
      <c r="B4949" s="1" t="n">
        <v>45675</v>
      </c>
      <c r="C4949" s="1" t="n">
        <v>45952</v>
      </c>
      <c r="D4949" t="inlineStr">
        <is>
          <t>VÄSTRA GÖTALANDS LÄN</t>
        </is>
      </c>
      <c r="E4949" t="inlineStr">
        <is>
          <t>FALKÖPING</t>
        </is>
      </c>
      <c r="G4949" t="n">
        <v>0.5</v>
      </c>
      <c r="H4949" t="n">
        <v>0</v>
      </c>
      <c r="I4949" t="n">
        <v>0</v>
      </c>
      <c r="J4949" t="n">
        <v>0</v>
      </c>
      <c r="K4949" t="n">
        <v>0</v>
      </c>
      <c r="L4949" t="n">
        <v>0</v>
      </c>
      <c r="M4949" t="n">
        <v>0</v>
      </c>
      <c r="N4949" t="n">
        <v>0</v>
      </c>
      <c r="O4949" t="n">
        <v>0</v>
      </c>
      <c r="P4949" t="n">
        <v>0</v>
      </c>
      <c r="Q4949" t="n">
        <v>0</v>
      </c>
      <c r="R4949" s="2" t="inlineStr"/>
    </row>
    <row r="4950" ht="15" customHeight="1">
      <c r="A4950" t="inlineStr">
        <is>
          <t>A 46910-2023</t>
        </is>
      </c>
      <c r="B4950" s="1" t="n">
        <v>45201.37782407407</v>
      </c>
      <c r="C4950" s="1" t="n">
        <v>45952</v>
      </c>
      <c r="D4950" t="inlineStr">
        <is>
          <t>VÄSTRA GÖTALANDS LÄN</t>
        </is>
      </c>
      <c r="E4950" t="inlineStr">
        <is>
          <t>ULRICEHAMN</t>
        </is>
      </c>
      <c r="G4950" t="n">
        <v>1.1</v>
      </c>
      <c r="H4950" t="n">
        <v>0</v>
      </c>
      <c r="I4950" t="n">
        <v>0</v>
      </c>
      <c r="J4950" t="n">
        <v>0</v>
      </c>
      <c r="K4950" t="n">
        <v>0</v>
      </c>
      <c r="L4950" t="n">
        <v>0</v>
      </c>
      <c r="M4950" t="n">
        <v>0</v>
      </c>
      <c r="N4950" t="n">
        <v>0</v>
      </c>
      <c r="O4950" t="n">
        <v>0</v>
      </c>
      <c r="P4950" t="n">
        <v>0</v>
      </c>
      <c r="Q4950" t="n">
        <v>0</v>
      </c>
      <c r="R4950" s="2" t="inlineStr"/>
    </row>
    <row r="4951" ht="15" customHeight="1">
      <c r="A4951" t="inlineStr">
        <is>
          <t>A 12634-2024</t>
        </is>
      </c>
      <c r="B4951" s="1" t="n">
        <v>45384.30657407407</v>
      </c>
      <c r="C4951" s="1" t="n">
        <v>45952</v>
      </c>
      <c r="D4951" t="inlineStr">
        <is>
          <t>VÄSTRA GÖTALANDS LÄN</t>
        </is>
      </c>
      <c r="E4951" t="inlineStr">
        <is>
          <t>TÖREBODA</t>
        </is>
      </c>
      <c r="G4951" t="n">
        <v>4.3</v>
      </c>
      <c r="H4951" t="n">
        <v>0</v>
      </c>
      <c r="I4951" t="n">
        <v>0</v>
      </c>
      <c r="J4951" t="n">
        <v>0</v>
      </c>
      <c r="K4951" t="n">
        <v>0</v>
      </c>
      <c r="L4951" t="n">
        <v>0</v>
      </c>
      <c r="M4951" t="n">
        <v>0</v>
      </c>
      <c r="N4951" t="n">
        <v>0</v>
      </c>
      <c r="O4951" t="n">
        <v>0</v>
      </c>
      <c r="P4951" t="n">
        <v>0</v>
      </c>
      <c r="Q4951" t="n">
        <v>0</v>
      </c>
      <c r="R4951" s="2" t="inlineStr"/>
    </row>
    <row r="4952" ht="15" customHeight="1">
      <c r="A4952" t="inlineStr">
        <is>
          <t>A 69325-2020</t>
        </is>
      </c>
      <c r="B4952" s="1" t="n">
        <v>44193</v>
      </c>
      <c r="C4952" s="1" t="n">
        <v>45952</v>
      </c>
      <c r="D4952" t="inlineStr">
        <is>
          <t>VÄSTRA GÖTALANDS LÄN</t>
        </is>
      </c>
      <c r="E4952" t="inlineStr">
        <is>
          <t>ALE</t>
        </is>
      </c>
      <c r="G4952" t="n">
        <v>1</v>
      </c>
      <c r="H4952" t="n">
        <v>0</v>
      </c>
      <c r="I4952" t="n">
        <v>0</v>
      </c>
      <c r="J4952" t="n">
        <v>0</v>
      </c>
      <c r="K4952" t="n">
        <v>0</v>
      </c>
      <c r="L4952" t="n">
        <v>0</v>
      </c>
      <c r="M4952" t="n">
        <v>0</v>
      </c>
      <c r="N4952" t="n">
        <v>0</v>
      </c>
      <c r="O4952" t="n">
        <v>0</v>
      </c>
      <c r="P4952" t="n">
        <v>0</v>
      </c>
      <c r="Q4952" t="n">
        <v>0</v>
      </c>
      <c r="R4952" s="2" t="inlineStr"/>
    </row>
    <row r="4953" ht="15" customHeight="1">
      <c r="A4953" t="inlineStr">
        <is>
          <t>A 13777-2024</t>
        </is>
      </c>
      <c r="B4953" s="1" t="n">
        <v>45391.31891203704</v>
      </c>
      <c r="C4953" s="1" t="n">
        <v>45952</v>
      </c>
      <c r="D4953" t="inlineStr">
        <is>
          <t>VÄSTRA GÖTALANDS LÄN</t>
        </is>
      </c>
      <c r="E4953" t="inlineStr">
        <is>
          <t>SVENLJUNGA</t>
        </is>
      </c>
      <c r="G4953" t="n">
        <v>1.3</v>
      </c>
      <c r="H4953" t="n">
        <v>0</v>
      </c>
      <c r="I4953" t="n">
        <v>0</v>
      </c>
      <c r="J4953" t="n">
        <v>0</v>
      </c>
      <c r="K4953" t="n">
        <v>0</v>
      </c>
      <c r="L4953" t="n">
        <v>0</v>
      </c>
      <c r="M4953" t="n">
        <v>0</v>
      </c>
      <c r="N4953" t="n">
        <v>0</v>
      </c>
      <c r="O4953" t="n">
        <v>0</v>
      </c>
      <c r="P4953" t="n">
        <v>0</v>
      </c>
      <c r="Q4953" t="n">
        <v>0</v>
      </c>
      <c r="R4953" s="2" t="inlineStr"/>
    </row>
    <row r="4954" ht="15" customHeight="1">
      <c r="A4954" t="inlineStr">
        <is>
          <t>A 46708-2023</t>
        </is>
      </c>
      <c r="B4954" s="1" t="n">
        <v>45198</v>
      </c>
      <c r="C4954" s="1" t="n">
        <v>45952</v>
      </c>
      <c r="D4954" t="inlineStr">
        <is>
          <t>VÄSTRA GÖTALANDS LÄN</t>
        </is>
      </c>
      <c r="E4954" t="inlineStr">
        <is>
          <t>ORUST</t>
        </is>
      </c>
      <c r="G4954" t="n">
        <v>2.9</v>
      </c>
      <c r="H4954" t="n">
        <v>0</v>
      </c>
      <c r="I4954" t="n">
        <v>0</v>
      </c>
      <c r="J4954" t="n">
        <v>0</v>
      </c>
      <c r="K4954" t="n">
        <v>0</v>
      </c>
      <c r="L4954" t="n">
        <v>0</v>
      </c>
      <c r="M4954" t="n">
        <v>0</v>
      </c>
      <c r="N4954" t="n">
        <v>0</v>
      </c>
      <c r="O4954" t="n">
        <v>0</v>
      </c>
      <c r="P4954" t="n">
        <v>0</v>
      </c>
      <c r="Q4954" t="n">
        <v>0</v>
      </c>
      <c r="R4954" s="2" t="inlineStr"/>
    </row>
    <row r="4955" ht="15" customHeight="1">
      <c r="A4955" t="inlineStr">
        <is>
          <t>A 62098-2022</t>
        </is>
      </c>
      <c r="B4955" s="1" t="n">
        <v>44920.456875</v>
      </c>
      <c r="C4955" s="1" t="n">
        <v>45952</v>
      </c>
      <c r="D4955" t="inlineStr">
        <is>
          <t>VÄSTRA GÖTALANDS LÄN</t>
        </is>
      </c>
      <c r="E4955" t="inlineStr">
        <is>
          <t>MUNKEDAL</t>
        </is>
      </c>
      <c r="G4955" t="n">
        <v>2.2</v>
      </c>
      <c r="H4955" t="n">
        <v>0</v>
      </c>
      <c r="I4955" t="n">
        <v>0</v>
      </c>
      <c r="J4955" t="n">
        <v>0</v>
      </c>
      <c r="K4955" t="n">
        <v>0</v>
      </c>
      <c r="L4955" t="n">
        <v>0</v>
      </c>
      <c r="M4955" t="n">
        <v>0</v>
      </c>
      <c r="N4955" t="n">
        <v>0</v>
      </c>
      <c r="O4955" t="n">
        <v>0</v>
      </c>
      <c r="P4955" t="n">
        <v>0</v>
      </c>
      <c r="Q4955" t="n">
        <v>0</v>
      </c>
      <c r="R4955" s="2" t="inlineStr"/>
    </row>
    <row r="4956" ht="15" customHeight="1">
      <c r="A4956" t="inlineStr">
        <is>
          <t>A 62101-2022</t>
        </is>
      </c>
      <c r="B4956" s="1" t="n">
        <v>44920.47568287037</v>
      </c>
      <c r="C4956" s="1" t="n">
        <v>45952</v>
      </c>
      <c r="D4956" t="inlineStr">
        <is>
          <t>VÄSTRA GÖTALANDS LÄN</t>
        </is>
      </c>
      <c r="E4956" t="inlineStr">
        <is>
          <t>MUNKEDAL</t>
        </is>
      </c>
      <c r="G4956" t="n">
        <v>2.6</v>
      </c>
      <c r="H4956" t="n">
        <v>0</v>
      </c>
      <c r="I4956" t="n">
        <v>0</v>
      </c>
      <c r="J4956" t="n">
        <v>0</v>
      </c>
      <c r="K4956" t="n">
        <v>0</v>
      </c>
      <c r="L4956" t="n">
        <v>0</v>
      </c>
      <c r="M4956" t="n">
        <v>0</v>
      </c>
      <c r="N4956" t="n">
        <v>0</v>
      </c>
      <c r="O4956" t="n">
        <v>0</v>
      </c>
      <c r="P4956" t="n">
        <v>0</v>
      </c>
      <c r="Q4956" t="n">
        <v>0</v>
      </c>
      <c r="R4956" s="2" t="inlineStr"/>
    </row>
    <row r="4957" ht="15" customHeight="1">
      <c r="A4957" t="inlineStr">
        <is>
          <t>A 826-2023</t>
        </is>
      </c>
      <c r="B4957" s="1" t="n">
        <v>44928</v>
      </c>
      <c r="C4957" s="1" t="n">
        <v>45952</v>
      </c>
      <c r="D4957" t="inlineStr">
        <is>
          <t>VÄSTRA GÖTALANDS LÄN</t>
        </is>
      </c>
      <c r="E4957" t="inlineStr">
        <is>
          <t>MARK</t>
        </is>
      </c>
      <c r="G4957" t="n">
        <v>1.1</v>
      </c>
      <c r="H4957" t="n">
        <v>0</v>
      </c>
      <c r="I4957" t="n">
        <v>0</v>
      </c>
      <c r="J4957" t="n">
        <v>0</v>
      </c>
      <c r="K4957" t="n">
        <v>0</v>
      </c>
      <c r="L4957" t="n">
        <v>0</v>
      </c>
      <c r="M4957" t="n">
        <v>0</v>
      </c>
      <c r="N4957" t="n">
        <v>0</v>
      </c>
      <c r="O4957" t="n">
        <v>0</v>
      </c>
      <c r="P4957" t="n">
        <v>0</v>
      </c>
      <c r="Q4957" t="n">
        <v>0</v>
      </c>
      <c r="R4957" s="2" t="inlineStr"/>
    </row>
    <row r="4958" ht="15" customHeight="1">
      <c r="A4958" t="inlineStr">
        <is>
          <t>A 850-2023</t>
        </is>
      </c>
      <c r="B4958" s="1" t="n">
        <v>44931.57833333333</v>
      </c>
      <c r="C4958" s="1" t="n">
        <v>45952</v>
      </c>
      <c r="D4958" t="inlineStr">
        <is>
          <t>VÄSTRA GÖTALANDS LÄN</t>
        </is>
      </c>
      <c r="E4958" t="inlineStr">
        <is>
          <t>GÖTENE</t>
        </is>
      </c>
      <c r="G4958" t="n">
        <v>1.4</v>
      </c>
      <c r="H4958" t="n">
        <v>0</v>
      </c>
      <c r="I4958" t="n">
        <v>0</v>
      </c>
      <c r="J4958" t="n">
        <v>0</v>
      </c>
      <c r="K4958" t="n">
        <v>0</v>
      </c>
      <c r="L4958" t="n">
        <v>0</v>
      </c>
      <c r="M4958" t="n">
        <v>0</v>
      </c>
      <c r="N4958" t="n">
        <v>0</v>
      </c>
      <c r="O4958" t="n">
        <v>0</v>
      </c>
      <c r="P4958" t="n">
        <v>0</v>
      </c>
      <c r="Q4958" t="n">
        <v>0</v>
      </c>
      <c r="R4958" s="2" t="inlineStr"/>
    </row>
    <row r="4959" ht="15" customHeight="1">
      <c r="A4959" t="inlineStr">
        <is>
          <t>A 17329-2023</t>
        </is>
      </c>
      <c r="B4959" s="1" t="n">
        <v>45035.55924768518</v>
      </c>
      <c r="C4959" s="1" t="n">
        <v>45952</v>
      </c>
      <c r="D4959" t="inlineStr">
        <is>
          <t>VÄSTRA GÖTALANDS LÄN</t>
        </is>
      </c>
      <c r="E4959" t="inlineStr">
        <is>
          <t>BENGTSFORS</t>
        </is>
      </c>
      <c r="G4959" t="n">
        <v>4.5</v>
      </c>
      <c r="H4959" t="n">
        <v>0</v>
      </c>
      <c r="I4959" t="n">
        <v>0</v>
      </c>
      <c r="J4959" t="n">
        <v>0</v>
      </c>
      <c r="K4959" t="n">
        <v>0</v>
      </c>
      <c r="L4959" t="n">
        <v>0</v>
      </c>
      <c r="M4959" t="n">
        <v>0</v>
      </c>
      <c r="N4959" t="n">
        <v>0</v>
      </c>
      <c r="O4959" t="n">
        <v>0</v>
      </c>
      <c r="P4959" t="n">
        <v>0</v>
      </c>
      <c r="Q4959" t="n">
        <v>0</v>
      </c>
      <c r="R4959" s="2" t="inlineStr"/>
    </row>
    <row r="4960" ht="15" customHeight="1">
      <c r="A4960" t="inlineStr">
        <is>
          <t>A 10544-2021</t>
        </is>
      </c>
      <c r="B4960" s="1" t="n">
        <v>44258</v>
      </c>
      <c r="C4960" s="1" t="n">
        <v>45952</v>
      </c>
      <c r="D4960" t="inlineStr">
        <is>
          <t>VÄSTRA GÖTALANDS LÄN</t>
        </is>
      </c>
      <c r="E4960" t="inlineStr">
        <is>
          <t>BENGTSFORS</t>
        </is>
      </c>
      <c r="G4960" t="n">
        <v>2</v>
      </c>
      <c r="H4960" t="n">
        <v>0</v>
      </c>
      <c r="I4960" t="n">
        <v>0</v>
      </c>
      <c r="J4960" t="n">
        <v>0</v>
      </c>
      <c r="K4960" t="n">
        <v>0</v>
      </c>
      <c r="L4960" t="n">
        <v>0</v>
      </c>
      <c r="M4960" t="n">
        <v>0</v>
      </c>
      <c r="N4960" t="n">
        <v>0</v>
      </c>
      <c r="O4960" t="n">
        <v>0</v>
      </c>
      <c r="P4960" t="n">
        <v>0</v>
      </c>
      <c r="Q4960" t="n">
        <v>0</v>
      </c>
      <c r="R4960" s="2" t="inlineStr"/>
    </row>
    <row r="4961" ht="15" customHeight="1">
      <c r="A4961" t="inlineStr">
        <is>
          <t>A 52128-2021</t>
        </is>
      </c>
      <c r="B4961" s="1" t="n">
        <v>44463</v>
      </c>
      <c r="C4961" s="1" t="n">
        <v>45952</v>
      </c>
      <c r="D4961" t="inlineStr">
        <is>
          <t>VÄSTRA GÖTALANDS LÄN</t>
        </is>
      </c>
      <c r="E4961" t="inlineStr">
        <is>
          <t>MELLERUD</t>
        </is>
      </c>
      <c r="G4961" t="n">
        <v>1.9</v>
      </c>
      <c r="H4961" t="n">
        <v>0</v>
      </c>
      <c r="I4961" t="n">
        <v>0</v>
      </c>
      <c r="J4961" t="n">
        <v>0</v>
      </c>
      <c r="K4961" t="n">
        <v>0</v>
      </c>
      <c r="L4961" t="n">
        <v>0</v>
      </c>
      <c r="M4961" t="n">
        <v>0</v>
      </c>
      <c r="N4961" t="n">
        <v>0</v>
      </c>
      <c r="O4961" t="n">
        <v>0</v>
      </c>
      <c r="P4961" t="n">
        <v>0</v>
      </c>
      <c r="Q4961" t="n">
        <v>0</v>
      </c>
      <c r="R4961" s="2" t="inlineStr"/>
    </row>
    <row r="4962" ht="15" customHeight="1">
      <c r="A4962" t="inlineStr">
        <is>
          <t>A 14005-2025</t>
        </is>
      </c>
      <c r="B4962" s="1" t="n">
        <v>45740.30034722222</v>
      </c>
      <c r="C4962" s="1" t="n">
        <v>45952</v>
      </c>
      <c r="D4962" t="inlineStr">
        <is>
          <t>VÄSTRA GÖTALANDS LÄN</t>
        </is>
      </c>
      <c r="E4962" t="inlineStr">
        <is>
          <t>TRANEMO</t>
        </is>
      </c>
      <c r="G4962" t="n">
        <v>1.2</v>
      </c>
      <c r="H4962" t="n">
        <v>0</v>
      </c>
      <c r="I4962" t="n">
        <v>0</v>
      </c>
      <c r="J4962" t="n">
        <v>0</v>
      </c>
      <c r="K4962" t="n">
        <v>0</v>
      </c>
      <c r="L4962" t="n">
        <v>0</v>
      </c>
      <c r="M4962" t="n">
        <v>0</v>
      </c>
      <c r="N4962" t="n">
        <v>0</v>
      </c>
      <c r="O4962" t="n">
        <v>0</v>
      </c>
      <c r="P4962" t="n">
        <v>0</v>
      </c>
      <c r="Q4962" t="n">
        <v>0</v>
      </c>
      <c r="R4962" s="2" t="inlineStr"/>
    </row>
    <row r="4963" ht="15" customHeight="1">
      <c r="A4963" t="inlineStr">
        <is>
          <t>A 14015-2025</t>
        </is>
      </c>
      <c r="B4963" s="1" t="n">
        <v>45740.31795138889</v>
      </c>
      <c r="C4963" s="1" t="n">
        <v>45952</v>
      </c>
      <c r="D4963" t="inlineStr">
        <is>
          <t>VÄSTRA GÖTALANDS LÄN</t>
        </is>
      </c>
      <c r="E4963" t="inlineStr">
        <is>
          <t>FÄRGELANDA</t>
        </is>
      </c>
      <c r="G4963" t="n">
        <v>1.1</v>
      </c>
      <c r="H4963" t="n">
        <v>0</v>
      </c>
      <c r="I4963" t="n">
        <v>0</v>
      </c>
      <c r="J4963" t="n">
        <v>0</v>
      </c>
      <c r="K4963" t="n">
        <v>0</v>
      </c>
      <c r="L4963" t="n">
        <v>0</v>
      </c>
      <c r="M4963" t="n">
        <v>0</v>
      </c>
      <c r="N4963" t="n">
        <v>0</v>
      </c>
      <c r="O4963" t="n">
        <v>0</v>
      </c>
      <c r="P4963" t="n">
        <v>0</v>
      </c>
      <c r="Q4963" t="n">
        <v>0</v>
      </c>
      <c r="R4963" s="2" t="inlineStr"/>
    </row>
    <row r="4964" ht="15" customHeight="1">
      <c r="A4964" t="inlineStr">
        <is>
          <t>A 2220-2023</t>
        </is>
      </c>
      <c r="B4964" s="1" t="n">
        <v>44942.42326388889</v>
      </c>
      <c r="C4964" s="1" t="n">
        <v>45952</v>
      </c>
      <c r="D4964" t="inlineStr">
        <is>
          <t>VÄSTRA GÖTALANDS LÄN</t>
        </is>
      </c>
      <c r="E4964" t="inlineStr">
        <is>
          <t>SVENLJUNGA</t>
        </is>
      </c>
      <c r="G4964" t="n">
        <v>0.7</v>
      </c>
      <c r="H4964" t="n">
        <v>0</v>
      </c>
      <c r="I4964" t="n">
        <v>0</v>
      </c>
      <c r="J4964" t="n">
        <v>0</v>
      </c>
      <c r="K4964" t="n">
        <v>0</v>
      </c>
      <c r="L4964" t="n">
        <v>0</v>
      </c>
      <c r="M4964" t="n">
        <v>0</v>
      </c>
      <c r="N4964" t="n">
        <v>0</v>
      </c>
      <c r="O4964" t="n">
        <v>0</v>
      </c>
      <c r="P4964" t="n">
        <v>0</v>
      </c>
      <c r="Q4964" t="n">
        <v>0</v>
      </c>
      <c r="R4964" s="2" t="inlineStr"/>
    </row>
    <row r="4965" ht="15" customHeight="1">
      <c r="A4965" t="inlineStr">
        <is>
          <t>A 26886-2023</t>
        </is>
      </c>
      <c r="B4965" s="1" t="n">
        <v>45093</v>
      </c>
      <c r="C4965" s="1" t="n">
        <v>45952</v>
      </c>
      <c r="D4965" t="inlineStr">
        <is>
          <t>VÄSTRA GÖTALANDS LÄN</t>
        </is>
      </c>
      <c r="E4965" t="inlineStr">
        <is>
          <t>LILLA EDET</t>
        </is>
      </c>
      <c r="G4965" t="n">
        <v>3.6</v>
      </c>
      <c r="H4965" t="n">
        <v>0</v>
      </c>
      <c r="I4965" t="n">
        <v>0</v>
      </c>
      <c r="J4965" t="n">
        <v>0</v>
      </c>
      <c r="K4965" t="n">
        <v>0</v>
      </c>
      <c r="L4965" t="n">
        <v>0</v>
      </c>
      <c r="M4965" t="n">
        <v>0</v>
      </c>
      <c r="N4965" t="n">
        <v>0</v>
      </c>
      <c r="O4965" t="n">
        <v>0</v>
      </c>
      <c r="P4965" t="n">
        <v>0</v>
      </c>
      <c r="Q4965" t="n">
        <v>0</v>
      </c>
      <c r="R4965" s="2" t="inlineStr"/>
    </row>
    <row r="4966" ht="15" customHeight="1">
      <c r="A4966" t="inlineStr">
        <is>
          <t>A 9746-2023</t>
        </is>
      </c>
      <c r="B4966" s="1" t="n">
        <v>44984</v>
      </c>
      <c r="C4966" s="1" t="n">
        <v>45952</v>
      </c>
      <c r="D4966" t="inlineStr">
        <is>
          <t>VÄSTRA GÖTALANDS LÄN</t>
        </is>
      </c>
      <c r="E4966" t="inlineStr">
        <is>
          <t>MUNKEDAL</t>
        </is>
      </c>
      <c r="G4966" t="n">
        <v>1.5</v>
      </c>
      <c r="H4966" t="n">
        <v>0</v>
      </c>
      <c r="I4966" t="n">
        <v>0</v>
      </c>
      <c r="J4966" t="n">
        <v>0</v>
      </c>
      <c r="K4966" t="n">
        <v>0</v>
      </c>
      <c r="L4966" t="n">
        <v>0</v>
      </c>
      <c r="M4966" t="n">
        <v>0</v>
      </c>
      <c r="N4966" t="n">
        <v>0</v>
      </c>
      <c r="O4966" t="n">
        <v>0</v>
      </c>
      <c r="P4966" t="n">
        <v>0</v>
      </c>
      <c r="Q4966" t="n">
        <v>0</v>
      </c>
      <c r="R4966" s="2" t="inlineStr"/>
    </row>
    <row r="4967" ht="15" customHeight="1">
      <c r="A4967" t="inlineStr">
        <is>
          <t>A 49112-2023</t>
        </is>
      </c>
      <c r="B4967" s="1" t="n">
        <v>45210.44561342592</v>
      </c>
      <c r="C4967" s="1" t="n">
        <v>45952</v>
      </c>
      <c r="D4967" t="inlineStr">
        <is>
          <t>VÄSTRA GÖTALANDS LÄN</t>
        </is>
      </c>
      <c r="E4967" t="inlineStr">
        <is>
          <t>BORÅS</t>
        </is>
      </c>
      <c r="G4967" t="n">
        <v>3.5</v>
      </c>
      <c r="H4967" t="n">
        <v>0</v>
      </c>
      <c r="I4967" t="n">
        <v>0</v>
      </c>
      <c r="J4967" t="n">
        <v>0</v>
      </c>
      <c r="K4967" t="n">
        <v>0</v>
      </c>
      <c r="L4967" t="n">
        <v>0</v>
      </c>
      <c r="M4967" t="n">
        <v>0</v>
      </c>
      <c r="N4967" t="n">
        <v>0</v>
      </c>
      <c r="O4967" t="n">
        <v>0</v>
      </c>
      <c r="P4967" t="n">
        <v>0</v>
      </c>
      <c r="Q4967" t="n">
        <v>0</v>
      </c>
      <c r="R4967" s="2" t="inlineStr"/>
    </row>
    <row r="4968" ht="15" customHeight="1">
      <c r="A4968" t="inlineStr">
        <is>
          <t>A 65579-2020</t>
        </is>
      </c>
      <c r="B4968" s="1" t="n">
        <v>44173</v>
      </c>
      <c r="C4968" s="1" t="n">
        <v>45952</v>
      </c>
      <c r="D4968" t="inlineStr">
        <is>
          <t>VÄSTRA GÖTALANDS LÄN</t>
        </is>
      </c>
      <c r="E4968" t="inlineStr">
        <is>
          <t>SVENLJUNGA</t>
        </is>
      </c>
      <c r="F4968" t="inlineStr">
        <is>
          <t>Kyrkan</t>
        </is>
      </c>
      <c r="G4968" t="n">
        <v>8.6</v>
      </c>
      <c r="H4968" t="n">
        <v>0</v>
      </c>
      <c r="I4968" t="n">
        <v>0</v>
      </c>
      <c r="J4968" t="n">
        <v>0</v>
      </c>
      <c r="K4968" t="n">
        <v>0</v>
      </c>
      <c r="L4968" t="n">
        <v>0</v>
      </c>
      <c r="M4968" t="n">
        <v>0</v>
      </c>
      <c r="N4968" t="n">
        <v>0</v>
      </c>
      <c r="O4968" t="n">
        <v>0</v>
      </c>
      <c r="P4968" t="n">
        <v>0</v>
      </c>
      <c r="Q4968" t="n">
        <v>0</v>
      </c>
      <c r="R4968" s="2" t="inlineStr"/>
    </row>
    <row r="4969" ht="15" customHeight="1">
      <c r="A4969" t="inlineStr">
        <is>
          <t>A 26819-2023</t>
        </is>
      </c>
      <c r="B4969" s="1" t="n">
        <v>45093</v>
      </c>
      <c r="C4969" s="1" t="n">
        <v>45952</v>
      </c>
      <c r="D4969" t="inlineStr">
        <is>
          <t>VÄSTRA GÖTALANDS LÄN</t>
        </is>
      </c>
      <c r="E4969" t="inlineStr">
        <is>
          <t>TRANEMO</t>
        </is>
      </c>
      <c r="F4969" t="inlineStr">
        <is>
          <t>Kommuner</t>
        </is>
      </c>
      <c r="G4969" t="n">
        <v>1.1</v>
      </c>
      <c r="H4969" t="n">
        <v>0</v>
      </c>
      <c r="I4969" t="n">
        <v>0</v>
      </c>
      <c r="J4969" t="n">
        <v>0</v>
      </c>
      <c r="K4969" t="n">
        <v>0</v>
      </c>
      <c r="L4969" t="n">
        <v>0</v>
      </c>
      <c r="M4969" t="n">
        <v>0</v>
      </c>
      <c r="N4969" t="n">
        <v>0</v>
      </c>
      <c r="O4969" t="n">
        <v>0</v>
      </c>
      <c r="P4969" t="n">
        <v>0</v>
      </c>
      <c r="Q4969" t="n">
        <v>0</v>
      </c>
      <c r="R4969" s="2" t="inlineStr"/>
    </row>
    <row r="4970" ht="15" customHeight="1">
      <c r="A4970" t="inlineStr">
        <is>
          <t>A 53360-2022</t>
        </is>
      </c>
      <c r="B4970" s="1" t="n">
        <v>44879.38193287037</v>
      </c>
      <c r="C4970" s="1" t="n">
        <v>45952</v>
      </c>
      <c r="D4970" t="inlineStr">
        <is>
          <t>VÄSTRA GÖTALANDS LÄN</t>
        </is>
      </c>
      <c r="E4970" t="inlineStr">
        <is>
          <t>GULLSPÅNG</t>
        </is>
      </c>
      <c r="G4970" t="n">
        <v>1</v>
      </c>
      <c r="H4970" t="n">
        <v>0</v>
      </c>
      <c r="I4970" t="n">
        <v>0</v>
      </c>
      <c r="J4970" t="n">
        <v>0</v>
      </c>
      <c r="K4970" t="n">
        <v>0</v>
      </c>
      <c r="L4970" t="n">
        <v>0</v>
      </c>
      <c r="M4970" t="n">
        <v>0</v>
      </c>
      <c r="N4970" t="n">
        <v>0</v>
      </c>
      <c r="O4970" t="n">
        <v>0</v>
      </c>
      <c r="P4970" t="n">
        <v>0</v>
      </c>
      <c r="Q4970" t="n">
        <v>0</v>
      </c>
      <c r="R4970" s="2" t="inlineStr"/>
    </row>
    <row r="4971" ht="15" customHeight="1">
      <c r="A4971" t="inlineStr">
        <is>
          <t>A 7122-2024</t>
        </is>
      </c>
      <c r="B4971" s="1" t="n">
        <v>45344</v>
      </c>
      <c r="C4971" s="1" t="n">
        <v>45952</v>
      </c>
      <c r="D4971" t="inlineStr">
        <is>
          <t>VÄSTRA GÖTALANDS LÄN</t>
        </is>
      </c>
      <c r="E4971" t="inlineStr">
        <is>
          <t>TÖREBODA</t>
        </is>
      </c>
      <c r="G4971" t="n">
        <v>0.6</v>
      </c>
      <c r="H4971" t="n">
        <v>0</v>
      </c>
      <c r="I4971" t="n">
        <v>0</v>
      </c>
      <c r="J4971" t="n">
        <v>0</v>
      </c>
      <c r="K4971" t="n">
        <v>0</v>
      </c>
      <c r="L4971" t="n">
        <v>0</v>
      </c>
      <c r="M4971" t="n">
        <v>0</v>
      </c>
      <c r="N4971" t="n">
        <v>0</v>
      </c>
      <c r="O4971" t="n">
        <v>0</v>
      </c>
      <c r="P4971" t="n">
        <v>0</v>
      </c>
      <c r="Q4971" t="n">
        <v>0</v>
      </c>
      <c r="R4971" s="2" t="inlineStr"/>
    </row>
    <row r="4972" ht="15" customHeight="1">
      <c r="A4972" t="inlineStr">
        <is>
          <t>A 32549-2024</t>
        </is>
      </c>
      <c r="B4972" s="1" t="n">
        <v>45513.50513888889</v>
      </c>
      <c r="C4972" s="1" t="n">
        <v>45952</v>
      </c>
      <c r="D4972" t="inlineStr">
        <is>
          <t>VÄSTRA GÖTALANDS LÄN</t>
        </is>
      </c>
      <c r="E4972" t="inlineStr">
        <is>
          <t>MELLERUD</t>
        </is>
      </c>
      <c r="G4972" t="n">
        <v>1</v>
      </c>
      <c r="H4972" t="n">
        <v>0</v>
      </c>
      <c r="I4972" t="n">
        <v>0</v>
      </c>
      <c r="J4972" t="n">
        <v>0</v>
      </c>
      <c r="K4972" t="n">
        <v>0</v>
      </c>
      <c r="L4972" t="n">
        <v>0</v>
      </c>
      <c r="M4972" t="n">
        <v>0</v>
      </c>
      <c r="N4972" t="n">
        <v>0</v>
      </c>
      <c r="O4972" t="n">
        <v>0</v>
      </c>
      <c r="P4972" t="n">
        <v>0</v>
      </c>
      <c r="Q4972" t="n">
        <v>0</v>
      </c>
      <c r="R4972" s="2" t="inlineStr"/>
    </row>
    <row r="4973" ht="15" customHeight="1">
      <c r="A4973" t="inlineStr">
        <is>
          <t>A 57430-2024</t>
        </is>
      </c>
      <c r="B4973" s="1" t="n">
        <v>45629.84854166667</v>
      </c>
      <c r="C4973" s="1" t="n">
        <v>45952</v>
      </c>
      <c r="D4973" t="inlineStr">
        <is>
          <t>VÄSTRA GÖTALANDS LÄN</t>
        </is>
      </c>
      <c r="E4973" t="inlineStr">
        <is>
          <t>BORÅS</t>
        </is>
      </c>
      <c r="G4973" t="n">
        <v>1.2</v>
      </c>
      <c r="H4973" t="n">
        <v>0</v>
      </c>
      <c r="I4973" t="n">
        <v>0</v>
      </c>
      <c r="J4973" t="n">
        <v>0</v>
      </c>
      <c r="K4973" t="n">
        <v>0</v>
      </c>
      <c r="L4973" t="n">
        <v>0</v>
      </c>
      <c r="M4973" t="n">
        <v>0</v>
      </c>
      <c r="N4973" t="n">
        <v>0</v>
      </c>
      <c r="O4973" t="n">
        <v>0</v>
      </c>
      <c r="P4973" t="n">
        <v>0</v>
      </c>
      <c r="Q4973" t="n">
        <v>0</v>
      </c>
      <c r="R4973" s="2" t="inlineStr"/>
    </row>
    <row r="4974" ht="15" customHeight="1">
      <c r="A4974" t="inlineStr">
        <is>
          <t>A 57454-2024</t>
        </is>
      </c>
      <c r="B4974" s="1" t="n">
        <v>45630</v>
      </c>
      <c r="C4974" s="1" t="n">
        <v>45952</v>
      </c>
      <c r="D4974" t="inlineStr">
        <is>
          <t>VÄSTRA GÖTALANDS LÄN</t>
        </is>
      </c>
      <c r="E4974" t="inlineStr">
        <is>
          <t>KARLSBORG</t>
        </is>
      </c>
      <c r="G4974" t="n">
        <v>0.9</v>
      </c>
      <c r="H4974" t="n">
        <v>0</v>
      </c>
      <c r="I4974" t="n">
        <v>0</v>
      </c>
      <c r="J4974" t="n">
        <v>0</v>
      </c>
      <c r="K4974" t="n">
        <v>0</v>
      </c>
      <c r="L4974" t="n">
        <v>0</v>
      </c>
      <c r="M4974" t="n">
        <v>0</v>
      </c>
      <c r="N4974" t="n">
        <v>0</v>
      </c>
      <c r="O4974" t="n">
        <v>0</v>
      </c>
      <c r="P4974" t="n">
        <v>0</v>
      </c>
      <c r="Q4974" t="n">
        <v>0</v>
      </c>
      <c r="R4974" s="2" t="inlineStr"/>
    </row>
    <row r="4975" ht="15" customHeight="1">
      <c r="A4975" t="inlineStr">
        <is>
          <t>A 5023-2024</t>
        </is>
      </c>
      <c r="B4975" s="1" t="n">
        <v>45329.75289351852</v>
      </c>
      <c r="C4975" s="1" t="n">
        <v>45952</v>
      </c>
      <c r="D4975" t="inlineStr">
        <is>
          <t>VÄSTRA GÖTALANDS LÄN</t>
        </is>
      </c>
      <c r="E4975" t="inlineStr">
        <is>
          <t>ALINGSÅS</t>
        </is>
      </c>
      <c r="G4975" t="n">
        <v>0.5</v>
      </c>
      <c r="H4975" t="n">
        <v>0</v>
      </c>
      <c r="I4975" t="n">
        <v>0</v>
      </c>
      <c r="J4975" t="n">
        <v>0</v>
      </c>
      <c r="K4975" t="n">
        <v>0</v>
      </c>
      <c r="L4975" t="n">
        <v>0</v>
      </c>
      <c r="M4975" t="n">
        <v>0</v>
      </c>
      <c r="N4975" t="n">
        <v>0</v>
      </c>
      <c r="O4975" t="n">
        <v>0</v>
      </c>
      <c r="P4975" t="n">
        <v>0</v>
      </c>
      <c r="Q4975" t="n">
        <v>0</v>
      </c>
      <c r="R4975" s="2" t="inlineStr"/>
    </row>
    <row r="4976" ht="15" customHeight="1">
      <c r="A4976" t="inlineStr">
        <is>
          <t>A 43615-2024</t>
        </is>
      </c>
      <c r="B4976" s="1" t="n">
        <v>45569.47056712963</v>
      </c>
      <c r="C4976" s="1" t="n">
        <v>45952</v>
      </c>
      <c r="D4976" t="inlineStr">
        <is>
          <t>VÄSTRA GÖTALANDS LÄN</t>
        </is>
      </c>
      <c r="E4976" t="inlineStr">
        <is>
          <t>VARA</t>
        </is>
      </c>
      <c r="F4976" t="inlineStr">
        <is>
          <t>Kyrkan</t>
        </is>
      </c>
      <c r="G4976" t="n">
        <v>2.6</v>
      </c>
      <c r="H4976" t="n">
        <v>0</v>
      </c>
      <c r="I4976" t="n">
        <v>0</v>
      </c>
      <c r="J4976" t="n">
        <v>0</v>
      </c>
      <c r="K4976" t="n">
        <v>0</v>
      </c>
      <c r="L4976" t="n">
        <v>0</v>
      </c>
      <c r="M4976" t="n">
        <v>0</v>
      </c>
      <c r="N4976" t="n">
        <v>0</v>
      </c>
      <c r="O4976" t="n">
        <v>0</v>
      </c>
      <c r="P4976" t="n">
        <v>0</v>
      </c>
      <c r="Q4976" t="n">
        <v>0</v>
      </c>
      <c r="R4976" s="2" t="inlineStr"/>
    </row>
    <row r="4977" ht="15" customHeight="1">
      <c r="A4977" t="inlineStr">
        <is>
          <t>A 60429-2024</t>
        </is>
      </c>
      <c r="B4977" s="1" t="n">
        <v>45643</v>
      </c>
      <c r="C4977" s="1" t="n">
        <v>45952</v>
      </c>
      <c r="D4977" t="inlineStr">
        <is>
          <t>VÄSTRA GÖTALANDS LÄN</t>
        </is>
      </c>
      <c r="E4977" t="inlineStr">
        <is>
          <t>BENGTSFORS</t>
        </is>
      </c>
      <c r="G4977" t="n">
        <v>0.5</v>
      </c>
      <c r="H4977" t="n">
        <v>0</v>
      </c>
      <c r="I4977" t="n">
        <v>0</v>
      </c>
      <c r="J4977" t="n">
        <v>0</v>
      </c>
      <c r="K4977" t="n">
        <v>0</v>
      </c>
      <c r="L4977" t="n">
        <v>0</v>
      </c>
      <c r="M4977" t="n">
        <v>0</v>
      </c>
      <c r="N4977" t="n">
        <v>0</v>
      </c>
      <c r="O4977" t="n">
        <v>0</v>
      </c>
      <c r="P4977" t="n">
        <v>0</v>
      </c>
      <c r="Q4977" t="n">
        <v>0</v>
      </c>
      <c r="R4977" s="2" t="inlineStr"/>
    </row>
    <row r="4978" ht="15" customHeight="1">
      <c r="A4978" t="inlineStr">
        <is>
          <t>A 57539-2023</t>
        </is>
      </c>
      <c r="B4978" s="1" t="n">
        <v>45246</v>
      </c>
      <c r="C4978" s="1" t="n">
        <v>45952</v>
      </c>
      <c r="D4978" t="inlineStr">
        <is>
          <t>VÄSTRA GÖTALANDS LÄN</t>
        </is>
      </c>
      <c r="E4978" t="inlineStr">
        <is>
          <t>TIDAHOLM</t>
        </is>
      </c>
      <c r="F4978" t="inlineStr">
        <is>
          <t>Kyrkan</t>
        </is>
      </c>
      <c r="G4978" t="n">
        <v>1.7</v>
      </c>
      <c r="H4978" t="n">
        <v>0</v>
      </c>
      <c r="I4978" t="n">
        <v>0</v>
      </c>
      <c r="J4978" t="n">
        <v>0</v>
      </c>
      <c r="K4978" t="n">
        <v>0</v>
      </c>
      <c r="L4978" t="n">
        <v>0</v>
      </c>
      <c r="M4978" t="n">
        <v>0</v>
      </c>
      <c r="N4978" t="n">
        <v>0</v>
      </c>
      <c r="O4978" t="n">
        <v>0</v>
      </c>
      <c r="P4978" t="n">
        <v>0</v>
      </c>
      <c r="Q4978" t="n">
        <v>0</v>
      </c>
      <c r="R4978" s="2" t="inlineStr"/>
    </row>
    <row r="4979" ht="15" customHeight="1">
      <c r="A4979" t="inlineStr">
        <is>
          <t>A 28678-2024</t>
        </is>
      </c>
      <c r="B4979" s="1" t="n">
        <v>45478.48052083333</v>
      </c>
      <c r="C4979" s="1" t="n">
        <v>45952</v>
      </c>
      <c r="D4979" t="inlineStr">
        <is>
          <t>VÄSTRA GÖTALANDS LÄN</t>
        </is>
      </c>
      <c r="E4979" t="inlineStr">
        <is>
          <t>MUNKEDAL</t>
        </is>
      </c>
      <c r="G4979" t="n">
        <v>8.4</v>
      </c>
      <c r="H4979" t="n">
        <v>0</v>
      </c>
      <c r="I4979" t="n">
        <v>0</v>
      </c>
      <c r="J4979" t="n">
        <v>0</v>
      </c>
      <c r="K4979" t="n">
        <v>0</v>
      </c>
      <c r="L4979" t="n">
        <v>0</v>
      </c>
      <c r="M4979" t="n">
        <v>0</v>
      </c>
      <c r="N4979" t="n">
        <v>0</v>
      </c>
      <c r="O4979" t="n">
        <v>0</v>
      </c>
      <c r="P4979" t="n">
        <v>0</v>
      </c>
      <c r="Q4979" t="n">
        <v>0</v>
      </c>
      <c r="R4979" s="2" t="inlineStr"/>
    </row>
    <row r="4980" ht="15" customHeight="1">
      <c r="A4980" t="inlineStr">
        <is>
          <t>A 31980-2024</t>
        </is>
      </c>
      <c r="B4980" s="1" t="n">
        <v>45510.56855324074</v>
      </c>
      <c r="C4980" s="1" t="n">
        <v>45952</v>
      </c>
      <c r="D4980" t="inlineStr">
        <is>
          <t>VÄSTRA GÖTALANDS LÄN</t>
        </is>
      </c>
      <c r="E4980" t="inlineStr">
        <is>
          <t>BORÅS</t>
        </is>
      </c>
      <c r="G4980" t="n">
        <v>2.8</v>
      </c>
      <c r="H4980" t="n">
        <v>0</v>
      </c>
      <c r="I4980" t="n">
        <v>0</v>
      </c>
      <c r="J4980" t="n">
        <v>0</v>
      </c>
      <c r="K4980" t="n">
        <v>0</v>
      </c>
      <c r="L4980" t="n">
        <v>0</v>
      </c>
      <c r="M4980" t="n">
        <v>0</v>
      </c>
      <c r="N4980" t="n">
        <v>0</v>
      </c>
      <c r="O4980" t="n">
        <v>0</v>
      </c>
      <c r="P4980" t="n">
        <v>0</v>
      </c>
      <c r="Q4980" t="n">
        <v>0</v>
      </c>
      <c r="R4980" s="2" t="inlineStr"/>
    </row>
    <row r="4981" ht="15" customHeight="1">
      <c r="A4981" t="inlineStr">
        <is>
          <t>A 55775-2020</t>
        </is>
      </c>
      <c r="B4981" s="1" t="n">
        <v>44132</v>
      </c>
      <c r="C4981" s="1" t="n">
        <v>45952</v>
      </c>
      <c r="D4981" t="inlineStr">
        <is>
          <t>VÄSTRA GÖTALANDS LÄN</t>
        </is>
      </c>
      <c r="E4981" t="inlineStr">
        <is>
          <t>VÅRGÅRDA</t>
        </is>
      </c>
      <c r="G4981" t="n">
        <v>0.4</v>
      </c>
      <c r="H4981" t="n">
        <v>0</v>
      </c>
      <c r="I4981" t="n">
        <v>0</v>
      </c>
      <c r="J4981" t="n">
        <v>0</v>
      </c>
      <c r="K4981" t="n">
        <v>0</v>
      </c>
      <c r="L4981" t="n">
        <v>0</v>
      </c>
      <c r="M4981" t="n">
        <v>0</v>
      </c>
      <c r="N4981" t="n">
        <v>0</v>
      </c>
      <c r="O4981" t="n">
        <v>0</v>
      </c>
      <c r="P4981" t="n">
        <v>0</v>
      </c>
      <c r="Q4981" t="n">
        <v>0</v>
      </c>
      <c r="R4981" s="2" t="inlineStr"/>
    </row>
    <row r="4982" ht="15" customHeight="1">
      <c r="A4982" t="inlineStr">
        <is>
          <t>A 55618-2023</t>
        </is>
      </c>
      <c r="B4982" s="1" t="n">
        <v>45238.825625</v>
      </c>
      <c r="C4982" s="1" t="n">
        <v>45952</v>
      </c>
      <c r="D4982" t="inlineStr">
        <is>
          <t>VÄSTRA GÖTALANDS LÄN</t>
        </is>
      </c>
      <c r="E4982" t="inlineStr">
        <is>
          <t>VÄNERSBORG</t>
        </is>
      </c>
      <c r="G4982" t="n">
        <v>0.5</v>
      </c>
      <c r="H4982" t="n">
        <v>0</v>
      </c>
      <c r="I4982" t="n">
        <v>0</v>
      </c>
      <c r="J4982" t="n">
        <v>0</v>
      </c>
      <c r="K4982" t="n">
        <v>0</v>
      </c>
      <c r="L4982" t="n">
        <v>0</v>
      </c>
      <c r="M4982" t="n">
        <v>0</v>
      </c>
      <c r="N4982" t="n">
        <v>0</v>
      </c>
      <c r="O4982" t="n">
        <v>0</v>
      </c>
      <c r="P4982" t="n">
        <v>0</v>
      </c>
      <c r="Q4982" t="n">
        <v>0</v>
      </c>
      <c r="R4982" s="2" t="inlineStr"/>
    </row>
    <row r="4983" ht="15" customHeight="1">
      <c r="A4983" t="inlineStr">
        <is>
          <t>A 59285-2022</t>
        </is>
      </c>
      <c r="B4983" s="1" t="n">
        <v>44904.60618055556</v>
      </c>
      <c r="C4983" s="1" t="n">
        <v>45952</v>
      </c>
      <c r="D4983" t="inlineStr">
        <is>
          <t>VÄSTRA GÖTALANDS LÄN</t>
        </is>
      </c>
      <c r="E4983" t="inlineStr">
        <is>
          <t>BENGTSFORS</t>
        </is>
      </c>
      <c r="G4983" t="n">
        <v>0.7</v>
      </c>
      <c r="H4983" t="n">
        <v>0</v>
      </c>
      <c r="I4983" t="n">
        <v>0</v>
      </c>
      <c r="J4983" t="n">
        <v>0</v>
      </c>
      <c r="K4983" t="n">
        <v>0</v>
      </c>
      <c r="L4983" t="n">
        <v>0</v>
      </c>
      <c r="M4983" t="n">
        <v>0</v>
      </c>
      <c r="N4983" t="n">
        <v>0</v>
      </c>
      <c r="O4983" t="n">
        <v>0</v>
      </c>
      <c r="P4983" t="n">
        <v>0</v>
      </c>
      <c r="Q4983" t="n">
        <v>0</v>
      </c>
      <c r="R4983" s="2" t="inlineStr"/>
    </row>
    <row r="4984" ht="15" customHeight="1">
      <c r="A4984" t="inlineStr">
        <is>
          <t>A 11142-2024</t>
        </is>
      </c>
      <c r="B4984" s="1" t="n">
        <v>45371.45964120371</v>
      </c>
      <c r="C4984" s="1" t="n">
        <v>45952</v>
      </c>
      <c r="D4984" t="inlineStr">
        <is>
          <t>VÄSTRA GÖTALANDS LÄN</t>
        </is>
      </c>
      <c r="E4984" t="inlineStr">
        <is>
          <t>TANUM</t>
        </is>
      </c>
      <c r="G4984" t="n">
        <v>4.2</v>
      </c>
      <c r="H4984" t="n">
        <v>0</v>
      </c>
      <c r="I4984" t="n">
        <v>0</v>
      </c>
      <c r="J4984" t="n">
        <v>0</v>
      </c>
      <c r="K4984" t="n">
        <v>0</v>
      </c>
      <c r="L4984" t="n">
        <v>0</v>
      </c>
      <c r="M4984" t="n">
        <v>0</v>
      </c>
      <c r="N4984" t="n">
        <v>0</v>
      </c>
      <c r="O4984" t="n">
        <v>0</v>
      </c>
      <c r="P4984" t="n">
        <v>0</v>
      </c>
      <c r="Q4984" t="n">
        <v>0</v>
      </c>
      <c r="R4984" s="2" t="inlineStr"/>
    </row>
    <row r="4985" ht="15" customHeight="1">
      <c r="A4985" t="inlineStr">
        <is>
          <t>A 6268-2025</t>
        </is>
      </c>
      <c r="B4985" s="1" t="n">
        <v>45698.60086805555</v>
      </c>
      <c r="C4985" s="1" t="n">
        <v>45952</v>
      </c>
      <c r="D4985" t="inlineStr">
        <is>
          <t>VÄSTRA GÖTALANDS LÄN</t>
        </is>
      </c>
      <c r="E4985" t="inlineStr">
        <is>
          <t>DALS-ED</t>
        </is>
      </c>
      <c r="G4985" t="n">
        <v>6.3</v>
      </c>
      <c r="H4985" t="n">
        <v>0</v>
      </c>
      <c r="I4985" t="n">
        <v>0</v>
      </c>
      <c r="J4985" t="n">
        <v>0</v>
      </c>
      <c r="K4985" t="n">
        <v>0</v>
      </c>
      <c r="L4985" t="n">
        <v>0</v>
      </c>
      <c r="M4985" t="n">
        <v>0</v>
      </c>
      <c r="N4985" t="n">
        <v>0</v>
      </c>
      <c r="O4985" t="n">
        <v>0</v>
      </c>
      <c r="P4985" t="n">
        <v>0</v>
      </c>
      <c r="Q4985" t="n">
        <v>0</v>
      </c>
      <c r="R4985" s="2" t="inlineStr"/>
    </row>
    <row r="4986" ht="15" customHeight="1">
      <c r="A4986" t="inlineStr">
        <is>
          <t>A 16918-2025</t>
        </is>
      </c>
      <c r="B4986" s="1" t="n">
        <v>45755.37185185185</v>
      </c>
      <c r="C4986" s="1" t="n">
        <v>45952</v>
      </c>
      <c r="D4986" t="inlineStr">
        <is>
          <t>VÄSTRA GÖTALANDS LÄN</t>
        </is>
      </c>
      <c r="E4986" t="inlineStr">
        <is>
          <t>KARLSBORG</t>
        </is>
      </c>
      <c r="F4986" t="inlineStr">
        <is>
          <t>Sveaskog</t>
        </is>
      </c>
      <c r="G4986" t="n">
        <v>3.5</v>
      </c>
      <c r="H4986" t="n">
        <v>0</v>
      </c>
      <c r="I4986" t="n">
        <v>0</v>
      </c>
      <c r="J4986" t="n">
        <v>0</v>
      </c>
      <c r="K4986" t="n">
        <v>0</v>
      </c>
      <c r="L4986" t="n">
        <v>0</v>
      </c>
      <c r="M4986" t="n">
        <v>0</v>
      </c>
      <c r="N4986" t="n">
        <v>0</v>
      </c>
      <c r="O4986" t="n">
        <v>0</v>
      </c>
      <c r="P4986" t="n">
        <v>0</v>
      </c>
      <c r="Q4986" t="n">
        <v>0</v>
      </c>
      <c r="R4986" s="2" t="inlineStr"/>
    </row>
    <row r="4987" ht="15" customHeight="1">
      <c r="A4987" t="inlineStr">
        <is>
          <t>A 55424-2021</t>
        </is>
      </c>
      <c r="B4987" s="1" t="n">
        <v>44475</v>
      </c>
      <c r="C4987" s="1" t="n">
        <v>45952</v>
      </c>
      <c r="D4987" t="inlineStr">
        <is>
          <t>VÄSTRA GÖTALANDS LÄN</t>
        </is>
      </c>
      <c r="E4987" t="inlineStr">
        <is>
          <t>MARK</t>
        </is>
      </c>
      <c r="G4987" t="n">
        <v>14</v>
      </c>
      <c r="H4987" t="n">
        <v>0</v>
      </c>
      <c r="I4987" t="n">
        <v>0</v>
      </c>
      <c r="J4987" t="n">
        <v>0</v>
      </c>
      <c r="K4987" t="n">
        <v>0</v>
      </c>
      <c r="L4987" t="n">
        <v>0</v>
      </c>
      <c r="M4987" t="n">
        <v>0</v>
      </c>
      <c r="N4987" t="n">
        <v>0</v>
      </c>
      <c r="O4987" t="n">
        <v>0</v>
      </c>
      <c r="P4987" t="n">
        <v>0</v>
      </c>
      <c r="Q4987" t="n">
        <v>0</v>
      </c>
      <c r="R4987" s="2" t="inlineStr"/>
    </row>
    <row r="4988" ht="15" customHeight="1">
      <c r="A4988" t="inlineStr">
        <is>
          <t>A 19871-2023</t>
        </is>
      </c>
      <c r="B4988" s="1" t="n">
        <v>45054.2469212963</v>
      </c>
      <c r="C4988" s="1" t="n">
        <v>45952</v>
      </c>
      <c r="D4988" t="inlineStr">
        <is>
          <t>VÄSTRA GÖTALANDS LÄN</t>
        </is>
      </c>
      <c r="E4988" t="inlineStr">
        <is>
          <t>SVENLJUNGA</t>
        </is>
      </c>
      <c r="G4988" t="n">
        <v>8.4</v>
      </c>
      <c r="H4988" t="n">
        <v>0</v>
      </c>
      <c r="I4988" t="n">
        <v>0</v>
      </c>
      <c r="J4988" t="n">
        <v>0</v>
      </c>
      <c r="K4988" t="n">
        <v>0</v>
      </c>
      <c r="L4988" t="n">
        <v>0</v>
      </c>
      <c r="M4988" t="n">
        <v>0</v>
      </c>
      <c r="N4988" t="n">
        <v>0</v>
      </c>
      <c r="O4988" t="n">
        <v>0</v>
      </c>
      <c r="P4988" t="n">
        <v>0</v>
      </c>
      <c r="Q4988" t="n">
        <v>0</v>
      </c>
      <c r="R4988" s="2" t="inlineStr"/>
    </row>
    <row r="4989" ht="15" customHeight="1">
      <c r="A4989" t="inlineStr">
        <is>
          <t>A 16921-2025</t>
        </is>
      </c>
      <c r="B4989" s="1" t="n">
        <v>45755.37600694445</v>
      </c>
      <c r="C4989" s="1" t="n">
        <v>45952</v>
      </c>
      <c r="D4989" t="inlineStr">
        <is>
          <t>VÄSTRA GÖTALANDS LÄN</t>
        </is>
      </c>
      <c r="E4989" t="inlineStr">
        <is>
          <t>TIBRO</t>
        </is>
      </c>
      <c r="F4989" t="inlineStr">
        <is>
          <t>Sveaskog</t>
        </is>
      </c>
      <c r="G4989" t="n">
        <v>1.6</v>
      </c>
      <c r="H4989" t="n">
        <v>0</v>
      </c>
      <c r="I4989" t="n">
        <v>0</v>
      </c>
      <c r="J4989" t="n">
        <v>0</v>
      </c>
      <c r="K4989" t="n">
        <v>0</v>
      </c>
      <c r="L4989" t="n">
        <v>0</v>
      </c>
      <c r="M4989" t="n">
        <v>0</v>
      </c>
      <c r="N4989" t="n">
        <v>0</v>
      </c>
      <c r="O4989" t="n">
        <v>0</v>
      </c>
      <c r="P4989" t="n">
        <v>0</v>
      </c>
      <c r="Q4989" t="n">
        <v>0</v>
      </c>
      <c r="R4989" s="2" t="inlineStr"/>
    </row>
    <row r="4990" ht="15" customHeight="1">
      <c r="A4990" t="inlineStr">
        <is>
          <t>A 50709-2021</t>
        </is>
      </c>
      <c r="B4990" s="1" t="n">
        <v>44460.36636574074</v>
      </c>
      <c r="C4990" s="1" t="n">
        <v>45952</v>
      </c>
      <c r="D4990" t="inlineStr">
        <is>
          <t>VÄSTRA GÖTALANDS LÄN</t>
        </is>
      </c>
      <c r="E4990" t="inlineStr">
        <is>
          <t>VARA</t>
        </is>
      </c>
      <c r="G4990" t="n">
        <v>1.8</v>
      </c>
      <c r="H4990" t="n">
        <v>0</v>
      </c>
      <c r="I4990" t="n">
        <v>0</v>
      </c>
      <c r="J4990" t="n">
        <v>0</v>
      </c>
      <c r="K4990" t="n">
        <v>0</v>
      </c>
      <c r="L4990" t="n">
        <v>0</v>
      </c>
      <c r="M4990" t="n">
        <v>0</v>
      </c>
      <c r="N4990" t="n">
        <v>0</v>
      </c>
      <c r="O4990" t="n">
        <v>0</v>
      </c>
      <c r="P4990" t="n">
        <v>0</v>
      </c>
      <c r="Q4990" t="n">
        <v>0</v>
      </c>
      <c r="R4990" s="2" t="inlineStr"/>
    </row>
    <row r="4991" ht="15" customHeight="1">
      <c r="A4991" t="inlineStr">
        <is>
          <t>A 50712-2021</t>
        </is>
      </c>
      <c r="B4991" s="1" t="n">
        <v>44460.36731481482</v>
      </c>
      <c r="C4991" s="1" t="n">
        <v>45952</v>
      </c>
      <c r="D4991" t="inlineStr">
        <is>
          <t>VÄSTRA GÖTALANDS LÄN</t>
        </is>
      </c>
      <c r="E4991" t="inlineStr">
        <is>
          <t>VARA</t>
        </is>
      </c>
      <c r="G4991" t="n">
        <v>0.7</v>
      </c>
      <c r="H4991" t="n">
        <v>0</v>
      </c>
      <c r="I4991" t="n">
        <v>0</v>
      </c>
      <c r="J4991" t="n">
        <v>0</v>
      </c>
      <c r="K4991" t="n">
        <v>0</v>
      </c>
      <c r="L4991" t="n">
        <v>0</v>
      </c>
      <c r="M4991" t="n">
        <v>0</v>
      </c>
      <c r="N4991" t="n">
        <v>0</v>
      </c>
      <c r="O4991" t="n">
        <v>0</v>
      </c>
      <c r="P4991" t="n">
        <v>0</v>
      </c>
      <c r="Q4991" t="n">
        <v>0</v>
      </c>
      <c r="R4991" s="2" t="inlineStr"/>
    </row>
    <row r="4992" ht="15" customHeight="1">
      <c r="A4992" t="inlineStr">
        <is>
          <t>A 22870-2024</t>
        </is>
      </c>
      <c r="B4992" s="1" t="n">
        <v>45448</v>
      </c>
      <c r="C4992" s="1" t="n">
        <v>45952</v>
      </c>
      <c r="D4992" t="inlineStr">
        <is>
          <t>VÄSTRA GÖTALANDS LÄN</t>
        </is>
      </c>
      <c r="E4992" t="inlineStr">
        <is>
          <t>SKARA</t>
        </is>
      </c>
      <c r="F4992" t="inlineStr">
        <is>
          <t>Sveaskog</t>
        </is>
      </c>
      <c r="G4992" t="n">
        <v>3.3</v>
      </c>
      <c r="H4992" t="n">
        <v>0</v>
      </c>
      <c r="I4992" t="n">
        <v>0</v>
      </c>
      <c r="J4992" t="n">
        <v>0</v>
      </c>
      <c r="K4992" t="n">
        <v>0</v>
      </c>
      <c r="L4992" t="n">
        <v>0</v>
      </c>
      <c r="M4992" t="n">
        <v>0</v>
      </c>
      <c r="N4992" t="n">
        <v>0</v>
      </c>
      <c r="O4992" t="n">
        <v>0</v>
      </c>
      <c r="P4992" t="n">
        <v>0</v>
      </c>
      <c r="Q4992" t="n">
        <v>0</v>
      </c>
      <c r="R4992" s="2" t="inlineStr"/>
    </row>
    <row r="4993" ht="15" customHeight="1">
      <c r="A4993" t="inlineStr">
        <is>
          <t>A 41602-2023</t>
        </is>
      </c>
      <c r="B4993" s="1" t="n">
        <v>45175.64809027778</v>
      </c>
      <c r="C4993" s="1" t="n">
        <v>45952</v>
      </c>
      <c r="D4993" t="inlineStr">
        <is>
          <t>VÄSTRA GÖTALANDS LÄN</t>
        </is>
      </c>
      <c r="E4993" t="inlineStr">
        <is>
          <t>SKARA</t>
        </is>
      </c>
      <c r="F4993" t="inlineStr">
        <is>
          <t>Kommuner</t>
        </is>
      </c>
      <c r="G4993" t="n">
        <v>0</v>
      </c>
      <c r="H4993" t="n">
        <v>0</v>
      </c>
      <c r="I4993" t="n">
        <v>0</v>
      </c>
      <c r="J4993" t="n">
        <v>0</v>
      </c>
      <c r="K4993" t="n">
        <v>0</v>
      </c>
      <c r="L4993" t="n">
        <v>0</v>
      </c>
      <c r="M4993" t="n">
        <v>0</v>
      </c>
      <c r="N4993" t="n">
        <v>0</v>
      </c>
      <c r="O4993" t="n">
        <v>0</v>
      </c>
      <c r="P4993" t="n">
        <v>0</v>
      </c>
      <c r="Q4993" t="n">
        <v>0</v>
      </c>
      <c r="R4993" s="2" t="inlineStr"/>
    </row>
    <row r="4994" ht="15" customHeight="1">
      <c r="A4994" t="inlineStr">
        <is>
          <t>A 17538-2023</t>
        </is>
      </c>
      <c r="B4994" s="1" t="n">
        <v>45036</v>
      </c>
      <c r="C4994" s="1" t="n">
        <v>45952</v>
      </c>
      <c r="D4994" t="inlineStr">
        <is>
          <t>VÄSTRA GÖTALANDS LÄN</t>
        </is>
      </c>
      <c r="E4994" t="inlineStr">
        <is>
          <t>MELLERUD</t>
        </is>
      </c>
      <c r="G4994" t="n">
        <v>2.3</v>
      </c>
      <c r="H4994" t="n">
        <v>0</v>
      </c>
      <c r="I4994" t="n">
        <v>0</v>
      </c>
      <c r="J4994" t="n">
        <v>0</v>
      </c>
      <c r="K4994" t="n">
        <v>0</v>
      </c>
      <c r="L4994" t="n">
        <v>0</v>
      </c>
      <c r="M4994" t="n">
        <v>0</v>
      </c>
      <c r="N4994" t="n">
        <v>0</v>
      </c>
      <c r="O4994" t="n">
        <v>0</v>
      </c>
      <c r="P4994" t="n">
        <v>0</v>
      </c>
      <c r="Q4994" t="n">
        <v>0</v>
      </c>
      <c r="R4994" s="2" t="inlineStr"/>
    </row>
    <row r="4995" ht="15" customHeight="1">
      <c r="A4995" t="inlineStr">
        <is>
          <t>A 59739-2021</t>
        </is>
      </c>
      <c r="B4995" s="1" t="n">
        <v>44494.4421875</v>
      </c>
      <c r="C4995" s="1" t="n">
        <v>45952</v>
      </c>
      <c r="D4995" t="inlineStr">
        <is>
          <t>VÄSTRA GÖTALANDS LÄN</t>
        </is>
      </c>
      <c r="E4995" t="inlineStr">
        <is>
          <t>SVENLJUNGA</t>
        </is>
      </c>
      <c r="G4995" t="n">
        <v>3.4</v>
      </c>
      <c r="H4995" t="n">
        <v>0</v>
      </c>
      <c r="I4995" t="n">
        <v>0</v>
      </c>
      <c r="J4995" t="n">
        <v>0</v>
      </c>
      <c r="K4995" t="n">
        <v>0</v>
      </c>
      <c r="L4995" t="n">
        <v>0</v>
      </c>
      <c r="M4995" t="n">
        <v>0</v>
      </c>
      <c r="N4995" t="n">
        <v>0</v>
      </c>
      <c r="O4995" t="n">
        <v>0</v>
      </c>
      <c r="P4995" t="n">
        <v>0</v>
      </c>
      <c r="Q4995" t="n">
        <v>0</v>
      </c>
      <c r="R4995" s="2" t="inlineStr"/>
    </row>
    <row r="4996" ht="15" customHeight="1">
      <c r="A4996" t="inlineStr">
        <is>
          <t>A 14011-2025</t>
        </is>
      </c>
      <c r="B4996" s="1" t="n">
        <v>45740.31306712963</v>
      </c>
      <c r="C4996" s="1" t="n">
        <v>45952</v>
      </c>
      <c r="D4996" t="inlineStr">
        <is>
          <t>VÄSTRA GÖTALANDS LÄN</t>
        </is>
      </c>
      <c r="E4996" t="inlineStr">
        <is>
          <t>TRANEMO</t>
        </is>
      </c>
      <c r="G4996" t="n">
        <v>1.8</v>
      </c>
      <c r="H4996" t="n">
        <v>0</v>
      </c>
      <c r="I4996" t="n">
        <v>0</v>
      </c>
      <c r="J4996" t="n">
        <v>0</v>
      </c>
      <c r="K4996" t="n">
        <v>0</v>
      </c>
      <c r="L4996" t="n">
        <v>0</v>
      </c>
      <c r="M4996" t="n">
        <v>0</v>
      </c>
      <c r="N4996" t="n">
        <v>0</v>
      </c>
      <c r="O4996" t="n">
        <v>0</v>
      </c>
      <c r="P4996" t="n">
        <v>0</v>
      </c>
      <c r="Q4996" t="n">
        <v>0</v>
      </c>
      <c r="R4996" s="2" t="inlineStr"/>
    </row>
    <row r="4997" ht="15" customHeight="1">
      <c r="A4997" t="inlineStr">
        <is>
          <t>A 42362-2023</t>
        </is>
      </c>
      <c r="B4997" s="1" t="n">
        <v>45180.54508101852</v>
      </c>
      <c r="C4997" s="1" t="n">
        <v>45952</v>
      </c>
      <c r="D4997" t="inlineStr">
        <is>
          <t>VÄSTRA GÖTALANDS LÄN</t>
        </is>
      </c>
      <c r="E4997" t="inlineStr">
        <is>
          <t>SVENLJUNGA</t>
        </is>
      </c>
      <c r="G4997" t="n">
        <v>7.3</v>
      </c>
      <c r="H4997" t="n">
        <v>0</v>
      </c>
      <c r="I4997" t="n">
        <v>0</v>
      </c>
      <c r="J4997" t="n">
        <v>0</v>
      </c>
      <c r="K4997" t="n">
        <v>0</v>
      </c>
      <c r="L4997" t="n">
        <v>0</v>
      </c>
      <c r="M4997" t="n">
        <v>0</v>
      </c>
      <c r="N4997" t="n">
        <v>0</v>
      </c>
      <c r="O4997" t="n">
        <v>0</v>
      </c>
      <c r="P4997" t="n">
        <v>0</v>
      </c>
      <c r="Q4997" t="n">
        <v>0</v>
      </c>
      <c r="R4997" s="2" t="inlineStr"/>
    </row>
    <row r="4998" ht="15" customHeight="1">
      <c r="A4998" t="inlineStr">
        <is>
          <t>A 22048-2024</t>
        </is>
      </c>
      <c r="B4998" s="1" t="n">
        <v>45443</v>
      </c>
      <c r="C4998" s="1" t="n">
        <v>45952</v>
      </c>
      <c r="D4998" t="inlineStr">
        <is>
          <t>VÄSTRA GÖTALANDS LÄN</t>
        </is>
      </c>
      <c r="E4998" t="inlineStr">
        <is>
          <t>TÖREBODA</t>
        </is>
      </c>
      <c r="G4998" t="n">
        <v>2.5</v>
      </c>
      <c r="H4998" t="n">
        <v>0</v>
      </c>
      <c r="I4998" t="n">
        <v>0</v>
      </c>
      <c r="J4998" t="n">
        <v>0</v>
      </c>
      <c r="K4998" t="n">
        <v>0</v>
      </c>
      <c r="L4998" t="n">
        <v>0</v>
      </c>
      <c r="M4998" t="n">
        <v>0</v>
      </c>
      <c r="N4998" t="n">
        <v>0</v>
      </c>
      <c r="O4998" t="n">
        <v>0</v>
      </c>
      <c r="P4998" t="n">
        <v>0</v>
      </c>
      <c r="Q4998" t="n">
        <v>0</v>
      </c>
      <c r="R4998" s="2" t="inlineStr"/>
    </row>
    <row r="4999" ht="15" customHeight="1">
      <c r="A4999" t="inlineStr">
        <is>
          <t>A 4442-2024</t>
        </is>
      </c>
      <c r="B4999" s="1" t="n">
        <v>45327.49081018518</v>
      </c>
      <c r="C4999" s="1" t="n">
        <v>45952</v>
      </c>
      <c r="D4999" t="inlineStr">
        <is>
          <t>VÄSTRA GÖTALANDS LÄN</t>
        </is>
      </c>
      <c r="E4999" t="inlineStr">
        <is>
          <t>HERRLJUNGA</t>
        </is>
      </c>
      <c r="G4999" t="n">
        <v>1.3</v>
      </c>
      <c r="H4999" t="n">
        <v>0</v>
      </c>
      <c r="I4999" t="n">
        <v>0</v>
      </c>
      <c r="J4999" t="n">
        <v>0</v>
      </c>
      <c r="K4999" t="n">
        <v>0</v>
      </c>
      <c r="L4999" t="n">
        <v>0</v>
      </c>
      <c r="M4999" t="n">
        <v>0</v>
      </c>
      <c r="N4999" t="n">
        <v>0</v>
      </c>
      <c r="O4999" t="n">
        <v>0</v>
      </c>
      <c r="P4999" t="n">
        <v>0</v>
      </c>
      <c r="Q4999" t="n">
        <v>0</v>
      </c>
      <c r="R4999" s="2" t="inlineStr"/>
    </row>
    <row r="5000" ht="15" customHeight="1">
      <c r="A5000" t="inlineStr">
        <is>
          <t>A 9375-2025</t>
        </is>
      </c>
      <c r="B5000" s="1" t="n">
        <v>45715.33446759259</v>
      </c>
      <c r="C5000" s="1" t="n">
        <v>45952</v>
      </c>
      <c r="D5000" t="inlineStr">
        <is>
          <t>VÄSTRA GÖTALANDS LÄN</t>
        </is>
      </c>
      <c r="E5000" t="inlineStr">
        <is>
          <t>ESSUNGA</t>
        </is>
      </c>
      <c r="F5000" t="inlineStr">
        <is>
          <t>Kyrkan</t>
        </is>
      </c>
      <c r="G5000" t="n">
        <v>2.4</v>
      </c>
      <c r="H5000" t="n">
        <v>0</v>
      </c>
      <c r="I5000" t="n">
        <v>0</v>
      </c>
      <c r="J5000" t="n">
        <v>0</v>
      </c>
      <c r="K5000" t="n">
        <v>0</v>
      </c>
      <c r="L5000" t="n">
        <v>0</v>
      </c>
      <c r="M5000" t="n">
        <v>0</v>
      </c>
      <c r="N5000" t="n">
        <v>0</v>
      </c>
      <c r="O5000" t="n">
        <v>0</v>
      </c>
      <c r="P5000" t="n">
        <v>0</v>
      </c>
      <c r="Q5000" t="n">
        <v>0</v>
      </c>
      <c r="R5000" s="2" t="inlineStr"/>
    </row>
    <row r="5001" ht="15" customHeight="1">
      <c r="A5001" t="inlineStr">
        <is>
          <t>A 8986-2024</t>
        </is>
      </c>
      <c r="B5001" s="1" t="n">
        <v>45356</v>
      </c>
      <c r="C5001" s="1" t="n">
        <v>45952</v>
      </c>
      <c r="D5001" t="inlineStr">
        <is>
          <t>VÄSTRA GÖTALANDS LÄN</t>
        </is>
      </c>
      <c r="E5001" t="inlineStr">
        <is>
          <t>BENGTSFORS</t>
        </is>
      </c>
      <c r="G5001" t="n">
        <v>4.3</v>
      </c>
      <c r="H5001" t="n">
        <v>0</v>
      </c>
      <c r="I5001" t="n">
        <v>0</v>
      </c>
      <c r="J5001" t="n">
        <v>0</v>
      </c>
      <c r="K5001" t="n">
        <v>0</v>
      </c>
      <c r="L5001" t="n">
        <v>0</v>
      </c>
      <c r="M5001" t="n">
        <v>0</v>
      </c>
      <c r="N5001" t="n">
        <v>0</v>
      </c>
      <c r="O5001" t="n">
        <v>0</v>
      </c>
      <c r="P5001" t="n">
        <v>0</v>
      </c>
      <c r="Q5001" t="n">
        <v>0</v>
      </c>
      <c r="R5001" s="2" t="inlineStr"/>
    </row>
    <row r="5002" ht="15" customHeight="1">
      <c r="A5002" t="inlineStr">
        <is>
          <t>A 32237-2023</t>
        </is>
      </c>
      <c r="B5002" s="1" t="n">
        <v>45119</v>
      </c>
      <c r="C5002" s="1" t="n">
        <v>45952</v>
      </c>
      <c r="D5002" t="inlineStr">
        <is>
          <t>VÄSTRA GÖTALANDS LÄN</t>
        </is>
      </c>
      <c r="E5002" t="inlineStr">
        <is>
          <t>BORÅS</t>
        </is>
      </c>
      <c r="G5002" t="n">
        <v>4.5</v>
      </c>
      <c r="H5002" t="n">
        <v>0</v>
      </c>
      <c r="I5002" t="n">
        <v>0</v>
      </c>
      <c r="J5002" t="n">
        <v>0</v>
      </c>
      <c r="K5002" t="n">
        <v>0</v>
      </c>
      <c r="L5002" t="n">
        <v>0</v>
      </c>
      <c r="M5002" t="n">
        <v>0</v>
      </c>
      <c r="N5002" t="n">
        <v>0</v>
      </c>
      <c r="O5002" t="n">
        <v>0</v>
      </c>
      <c r="P5002" t="n">
        <v>0</v>
      </c>
      <c r="Q5002" t="n">
        <v>0</v>
      </c>
      <c r="R5002" s="2" t="inlineStr"/>
    </row>
    <row r="5003" ht="15" customHeight="1">
      <c r="A5003" t="inlineStr">
        <is>
          <t>A 9090-2024</t>
        </is>
      </c>
      <c r="B5003" s="1" t="n">
        <v>45357.90923611111</v>
      </c>
      <c r="C5003" s="1" t="n">
        <v>45952</v>
      </c>
      <c r="D5003" t="inlineStr">
        <is>
          <t>VÄSTRA GÖTALANDS LÄN</t>
        </is>
      </c>
      <c r="E5003" t="inlineStr">
        <is>
          <t>VÅRGÅRDA</t>
        </is>
      </c>
      <c r="G5003" t="n">
        <v>0.6</v>
      </c>
      <c r="H5003" t="n">
        <v>0</v>
      </c>
      <c r="I5003" t="n">
        <v>0</v>
      </c>
      <c r="J5003" t="n">
        <v>0</v>
      </c>
      <c r="K5003" t="n">
        <v>0</v>
      </c>
      <c r="L5003" t="n">
        <v>0</v>
      </c>
      <c r="M5003" t="n">
        <v>0</v>
      </c>
      <c r="N5003" t="n">
        <v>0</v>
      </c>
      <c r="O5003" t="n">
        <v>0</v>
      </c>
      <c r="P5003" t="n">
        <v>0</v>
      </c>
      <c r="Q5003" t="n">
        <v>0</v>
      </c>
      <c r="R5003" s="2" t="inlineStr"/>
    </row>
    <row r="5004" ht="15" customHeight="1">
      <c r="A5004" t="inlineStr">
        <is>
          <t>A 9099-2024</t>
        </is>
      </c>
      <c r="B5004" s="1" t="n">
        <v>45357</v>
      </c>
      <c r="C5004" s="1" t="n">
        <v>45952</v>
      </c>
      <c r="D5004" t="inlineStr">
        <is>
          <t>VÄSTRA GÖTALANDS LÄN</t>
        </is>
      </c>
      <c r="E5004" t="inlineStr">
        <is>
          <t>BENGTSFORS</t>
        </is>
      </c>
      <c r="G5004" t="n">
        <v>1</v>
      </c>
      <c r="H5004" t="n">
        <v>0</v>
      </c>
      <c r="I5004" t="n">
        <v>0</v>
      </c>
      <c r="J5004" t="n">
        <v>0</v>
      </c>
      <c r="K5004" t="n">
        <v>0</v>
      </c>
      <c r="L5004" t="n">
        <v>0</v>
      </c>
      <c r="M5004" t="n">
        <v>0</v>
      </c>
      <c r="N5004" t="n">
        <v>0</v>
      </c>
      <c r="O5004" t="n">
        <v>0</v>
      </c>
      <c r="P5004" t="n">
        <v>0</v>
      </c>
      <c r="Q5004" t="n">
        <v>0</v>
      </c>
      <c r="R5004" s="2" t="inlineStr"/>
    </row>
    <row r="5005" ht="15" customHeight="1">
      <c r="A5005" t="inlineStr">
        <is>
          <t>A 33885-2023</t>
        </is>
      </c>
      <c r="B5005" s="1" t="n">
        <v>45134.30709490741</v>
      </c>
      <c r="C5005" s="1" t="n">
        <v>45952</v>
      </c>
      <c r="D5005" t="inlineStr">
        <is>
          <t>VÄSTRA GÖTALANDS LÄN</t>
        </is>
      </c>
      <c r="E5005" t="inlineStr">
        <is>
          <t>ULRICEHAMN</t>
        </is>
      </c>
      <c r="G5005" t="n">
        <v>2.4</v>
      </c>
      <c r="H5005" t="n">
        <v>0</v>
      </c>
      <c r="I5005" t="n">
        <v>0</v>
      </c>
      <c r="J5005" t="n">
        <v>0</v>
      </c>
      <c r="K5005" t="n">
        <v>0</v>
      </c>
      <c r="L5005" t="n">
        <v>0</v>
      </c>
      <c r="M5005" t="n">
        <v>0</v>
      </c>
      <c r="N5005" t="n">
        <v>0</v>
      </c>
      <c r="O5005" t="n">
        <v>0</v>
      </c>
      <c r="P5005" t="n">
        <v>0</v>
      </c>
      <c r="Q5005" t="n">
        <v>0</v>
      </c>
      <c r="R5005" s="2" t="inlineStr"/>
    </row>
    <row r="5006" ht="15" customHeight="1">
      <c r="A5006" t="inlineStr">
        <is>
          <t>A 64980-2020</t>
        </is>
      </c>
      <c r="B5006" s="1" t="n">
        <v>44172</v>
      </c>
      <c r="C5006" s="1" t="n">
        <v>45952</v>
      </c>
      <c r="D5006" t="inlineStr">
        <is>
          <t>VÄSTRA GÖTALANDS LÄN</t>
        </is>
      </c>
      <c r="E5006" t="inlineStr">
        <is>
          <t>TANUM</t>
        </is>
      </c>
      <c r="G5006" t="n">
        <v>4.3</v>
      </c>
      <c r="H5006" t="n">
        <v>0</v>
      </c>
      <c r="I5006" t="n">
        <v>0</v>
      </c>
      <c r="J5006" t="n">
        <v>0</v>
      </c>
      <c r="K5006" t="n">
        <v>0</v>
      </c>
      <c r="L5006" t="n">
        <v>0</v>
      </c>
      <c r="M5006" t="n">
        <v>0</v>
      </c>
      <c r="N5006" t="n">
        <v>0</v>
      </c>
      <c r="O5006" t="n">
        <v>0</v>
      </c>
      <c r="P5006" t="n">
        <v>0</v>
      </c>
      <c r="Q5006" t="n">
        <v>0</v>
      </c>
      <c r="R5006" s="2" t="inlineStr"/>
    </row>
    <row r="5007" ht="15" customHeight="1">
      <c r="A5007" t="inlineStr">
        <is>
          <t>A 31717-2023</t>
        </is>
      </c>
      <c r="B5007" s="1" t="n">
        <v>45117</v>
      </c>
      <c r="C5007" s="1" t="n">
        <v>45952</v>
      </c>
      <c r="D5007" t="inlineStr">
        <is>
          <t>VÄSTRA GÖTALANDS LÄN</t>
        </is>
      </c>
      <c r="E5007" t="inlineStr">
        <is>
          <t>BOLLEBYGD</t>
        </is>
      </c>
      <c r="G5007" t="n">
        <v>2.4</v>
      </c>
      <c r="H5007" t="n">
        <v>0</v>
      </c>
      <c r="I5007" t="n">
        <v>0</v>
      </c>
      <c r="J5007" t="n">
        <v>0</v>
      </c>
      <c r="K5007" t="n">
        <v>0</v>
      </c>
      <c r="L5007" t="n">
        <v>0</v>
      </c>
      <c r="M5007" t="n">
        <v>0</v>
      </c>
      <c r="N5007" t="n">
        <v>0</v>
      </c>
      <c r="O5007" t="n">
        <v>0</v>
      </c>
      <c r="P5007" t="n">
        <v>0</v>
      </c>
      <c r="Q5007" t="n">
        <v>0</v>
      </c>
      <c r="R5007" s="2" t="inlineStr"/>
    </row>
    <row r="5008" ht="15" customHeight="1">
      <c r="A5008" t="inlineStr">
        <is>
          <t>A 31719-2023</t>
        </is>
      </c>
      <c r="B5008" s="1" t="n">
        <v>45117.8900462963</v>
      </c>
      <c r="C5008" s="1" t="n">
        <v>45952</v>
      </c>
      <c r="D5008" t="inlineStr">
        <is>
          <t>VÄSTRA GÖTALANDS LÄN</t>
        </is>
      </c>
      <c r="E5008" t="inlineStr">
        <is>
          <t>BOLLEBYGD</t>
        </is>
      </c>
      <c r="G5008" t="n">
        <v>1.2</v>
      </c>
      <c r="H5008" t="n">
        <v>0</v>
      </c>
      <c r="I5008" t="n">
        <v>0</v>
      </c>
      <c r="J5008" t="n">
        <v>0</v>
      </c>
      <c r="K5008" t="n">
        <v>0</v>
      </c>
      <c r="L5008" t="n">
        <v>0</v>
      </c>
      <c r="M5008" t="n">
        <v>0</v>
      </c>
      <c r="N5008" t="n">
        <v>0</v>
      </c>
      <c r="O5008" t="n">
        <v>0</v>
      </c>
      <c r="P5008" t="n">
        <v>0</v>
      </c>
      <c r="Q5008" t="n">
        <v>0</v>
      </c>
      <c r="R5008" s="2" t="inlineStr"/>
    </row>
    <row r="5009" ht="15" customHeight="1">
      <c r="A5009" t="inlineStr">
        <is>
          <t>A 17160-2024</t>
        </is>
      </c>
      <c r="B5009" s="1" t="n">
        <v>45412.71053240741</v>
      </c>
      <c r="C5009" s="1" t="n">
        <v>45952</v>
      </c>
      <c r="D5009" t="inlineStr">
        <is>
          <t>VÄSTRA GÖTALANDS LÄN</t>
        </is>
      </c>
      <c r="E5009" t="inlineStr">
        <is>
          <t>MELLERUD</t>
        </is>
      </c>
      <c r="G5009" t="n">
        <v>3.5</v>
      </c>
      <c r="H5009" t="n">
        <v>0</v>
      </c>
      <c r="I5009" t="n">
        <v>0</v>
      </c>
      <c r="J5009" t="n">
        <v>0</v>
      </c>
      <c r="K5009" t="n">
        <v>0</v>
      </c>
      <c r="L5009" t="n">
        <v>0</v>
      </c>
      <c r="M5009" t="n">
        <v>0</v>
      </c>
      <c r="N5009" t="n">
        <v>0</v>
      </c>
      <c r="O5009" t="n">
        <v>0</v>
      </c>
      <c r="P5009" t="n">
        <v>0</v>
      </c>
      <c r="Q5009" t="n">
        <v>0</v>
      </c>
      <c r="R5009" s="2" t="inlineStr"/>
    </row>
    <row r="5010" ht="15" customHeight="1">
      <c r="A5010" t="inlineStr">
        <is>
          <t>A 12703-2025</t>
        </is>
      </c>
      <c r="B5010" s="1" t="n">
        <v>45733.46701388889</v>
      </c>
      <c r="C5010" s="1" t="n">
        <v>45952</v>
      </c>
      <c r="D5010" t="inlineStr">
        <is>
          <t>VÄSTRA GÖTALANDS LÄN</t>
        </is>
      </c>
      <c r="E5010" t="inlineStr">
        <is>
          <t>DALS-ED</t>
        </is>
      </c>
      <c r="G5010" t="n">
        <v>2.2</v>
      </c>
      <c r="H5010" t="n">
        <v>0</v>
      </c>
      <c r="I5010" t="n">
        <v>0</v>
      </c>
      <c r="J5010" t="n">
        <v>0</v>
      </c>
      <c r="K5010" t="n">
        <v>0</v>
      </c>
      <c r="L5010" t="n">
        <v>0</v>
      </c>
      <c r="M5010" t="n">
        <v>0</v>
      </c>
      <c r="N5010" t="n">
        <v>0</v>
      </c>
      <c r="O5010" t="n">
        <v>0</v>
      </c>
      <c r="P5010" t="n">
        <v>0</v>
      </c>
      <c r="Q5010" t="n">
        <v>0</v>
      </c>
      <c r="R5010" s="2" t="inlineStr"/>
    </row>
    <row r="5011" ht="15" customHeight="1">
      <c r="A5011" t="inlineStr">
        <is>
          <t>A 29771-2025</t>
        </is>
      </c>
      <c r="B5011" s="1" t="n">
        <v>45825.63069444444</v>
      </c>
      <c r="C5011" s="1" t="n">
        <v>45952</v>
      </c>
      <c r="D5011" t="inlineStr">
        <is>
          <t>VÄSTRA GÖTALANDS LÄN</t>
        </is>
      </c>
      <c r="E5011" t="inlineStr">
        <is>
          <t>BENGTSFORS</t>
        </is>
      </c>
      <c r="G5011" t="n">
        <v>1.6</v>
      </c>
      <c r="H5011" t="n">
        <v>0</v>
      </c>
      <c r="I5011" t="n">
        <v>0</v>
      </c>
      <c r="J5011" t="n">
        <v>0</v>
      </c>
      <c r="K5011" t="n">
        <v>0</v>
      </c>
      <c r="L5011" t="n">
        <v>0</v>
      </c>
      <c r="M5011" t="n">
        <v>0</v>
      </c>
      <c r="N5011" t="n">
        <v>0</v>
      </c>
      <c r="O5011" t="n">
        <v>0</v>
      </c>
      <c r="P5011" t="n">
        <v>0</v>
      </c>
      <c r="Q5011" t="n">
        <v>0</v>
      </c>
      <c r="R5011" s="2" t="inlineStr"/>
    </row>
    <row r="5012" ht="15" customHeight="1">
      <c r="A5012" t="inlineStr">
        <is>
          <t>A 47922-2023</t>
        </is>
      </c>
      <c r="B5012" s="1" t="n">
        <v>45204</v>
      </c>
      <c r="C5012" s="1" t="n">
        <v>45952</v>
      </c>
      <c r="D5012" t="inlineStr">
        <is>
          <t>VÄSTRA GÖTALANDS LÄN</t>
        </is>
      </c>
      <c r="E5012" t="inlineStr">
        <is>
          <t>FALKÖPING</t>
        </is>
      </c>
      <c r="G5012" t="n">
        <v>1.1</v>
      </c>
      <c r="H5012" t="n">
        <v>0</v>
      </c>
      <c r="I5012" t="n">
        <v>0</v>
      </c>
      <c r="J5012" t="n">
        <v>0</v>
      </c>
      <c r="K5012" t="n">
        <v>0</v>
      </c>
      <c r="L5012" t="n">
        <v>0</v>
      </c>
      <c r="M5012" t="n">
        <v>0</v>
      </c>
      <c r="N5012" t="n">
        <v>0</v>
      </c>
      <c r="O5012" t="n">
        <v>0</v>
      </c>
      <c r="P5012" t="n">
        <v>0</v>
      </c>
      <c r="Q5012" t="n">
        <v>0</v>
      </c>
      <c r="R5012" s="2" t="inlineStr"/>
    </row>
    <row r="5013" ht="15" customHeight="1">
      <c r="A5013" t="inlineStr">
        <is>
          <t>A 22659-2025</t>
        </is>
      </c>
      <c r="B5013" s="1" t="n">
        <v>45789</v>
      </c>
      <c r="C5013" s="1" t="n">
        <v>45952</v>
      </c>
      <c r="D5013" t="inlineStr">
        <is>
          <t>VÄSTRA GÖTALANDS LÄN</t>
        </is>
      </c>
      <c r="E5013" t="inlineStr">
        <is>
          <t>TRANEMO</t>
        </is>
      </c>
      <c r="G5013" t="n">
        <v>2</v>
      </c>
      <c r="H5013" t="n">
        <v>0</v>
      </c>
      <c r="I5013" t="n">
        <v>0</v>
      </c>
      <c r="J5013" t="n">
        <v>0</v>
      </c>
      <c r="K5013" t="n">
        <v>0</v>
      </c>
      <c r="L5013" t="n">
        <v>0</v>
      </c>
      <c r="M5013" t="n">
        <v>0</v>
      </c>
      <c r="N5013" t="n">
        <v>0</v>
      </c>
      <c r="O5013" t="n">
        <v>0</v>
      </c>
      <c r="P5013" t="n">
        <v>0</v>
      </c>
      <c r="Q5013" t="n">
        <v>0</v>
      </c>
      <c r="R5013" s="2" t="inlineStr"/>
    </row>
    <row r="5014" ht="15" customHeight="1">
      <c r="A5014" t="inlineStr">
        <is>
          <t>A 22662-2025</t>
        </is>
      </c>
      <c r="B5014" s="1" t="n">
        <v>45789</v>
      </c>
      <c r="C5014" s="1" t="n">
        <v>45952</v>
      </c>
      <c r="D5014" t="inlineStr">
        <is>
          <t>VÄSTRA GÖTALANDS LÄN</t>
        </is>
      </c>
      <c r="E5014" t="inlineStr">
        <is>
          <t>TRANEMO</t>
        </is>
      </c>
      <c r="G5014" t="n">
        <v>2.3</v>
      </c>
      <c r="H5014" t="n">
        <v>0</v>
      </c>
      <c r="I5014" t="n">
        <v>0</v>
      </c>
      <c r="J5014" t="n">
        <v>0</v>
      </c>
      <c r="K5014" t="n">
        <v>0</v>
      </c>
      <c r="L5014" t="n">
        <v>0</v>
      </c>
      <c r="M5014" t="n">
        <v>0</v>
      </c>
      <c r="N5014" t="n">
        <v>0</v>
      </c>
      <c r="O5014" t="n">
        <v>0</v>
      </c>
      <c r="P5014" t="n">
        <v>0</v>
      </c>
      <c r="Q5014" t="n">
        <v>0</v>
      </c>
      <c r="R5014" s="2" t="inlineStr"/>
    </row>
    <row r="5015" ht="15" customHeight="1">
      <c r="A5015" t="inlineStr">
        <is>
          <t>A 4077-2025</t>
        </is>
      </c>
      <c r="B5015" s="1" t="n">
        <v>45684.6493287037</v>
      </c>
      <c r="C5015" s="1" t="n">
        <v>45952</v>
      </c>
      <c r="D5015" t="inlineStr">
        <is>
          <t>VÄSTRA GÖTALANDS LÄN</t>
        </is>
      </c>
      <c r="E5015" t="inlineStr">
        <is>
          <t>TROLLHÄTTAN</t>
        </is>
      </c>
      <c r="G5015" t="n">
        <v>1.5</v>
      </c>
      <c r="H5015" t="n">
        <v>0</v>
      </c>
      <c r="I5015" t="n">
        <v>0</v>
      </c>
      <c r="J5015" t="n">
        <v>0</v>
      </c>
      <c r="K5015" t="n">
        <v>0</v>
      </c>
      <c r="L5015" t="n">
        <v>0</v>
      </c>
      <c r="M5015" t="n">
        <v>0</v>
      </c>
      <c r="N5015" t="n">
        <v>0</v>
      </c>
      <c r="O5015" t="n">
        <v>0</v>
      </c>
      <c r="P5015" t="n">
        <v>0</v>
      </c>
      <c r="Q5015" t="n">
        <v>0</v>
      </c>
      <c r="R5015" s="2" t="inlineStr"/>
    </row>
    <row r="5016" ht="15" customHeight="1">
      <c r="A5016" t="inlineStr">
        <is>
          <t>A 44001-2022</t>
        </is>
      </c>
      <c r="B5016" s="1" t="n">
        <v>44838</v>
      </c>
      <c r="C5016" s="1" t="n">
        <v>45952</v>
      </c>
      <c r="D5016" t="inlineStr">
        <is>
          <t>VÄSTRA GÖTALANDS LÄN</t>
        </is>
      </c>
      <c r="E5016" t="inlineStr">
        <is>
          <t>MARK</t>
        </is>
      </c>
      <c r="G5016" t="n">
        <v>2.7</v>
      </c>
      <c r="H5016" t="n">
        <v>0</v>
      </c>
      <c r="I5016" t="n">
        <v>0</v>
      </c>
      <c r="J5016" t="n">
        <v>0</v>
      </c>
      <c r="K5016" t="n">
        <v>0</v>
      </c>
      <c r="L5016" t="n">
        <v>0</v>
      </c>
      <c r="M5016" t="n">
        <v>0</v>
      </c>
      <c r="N5016" t="n">
        <v>0</v>
      </c>
      <c r="O5016" t="n">
        <v>0</v>
      </c>
      <c r="P5016" t="n">
        <v>0</v>
      </c>
      <c r="Q5016" t="n">
        <v>0</v>
      </c>
      <c r="R5016" s="2" t="inlineStr"/>
    </row>
    <row r="5017" ht="15" customHeight="1">
      <c r="A5017" t="inlineStr">
        <is>
          <t>A 32771-2021</t>
        </is>
      </c>
      <c r="B5017" s="1" t="n">
        <v>44375</v>
      </c>
      <c r="C5017" s="1" t="n">
        <v>45952</v>
      </c>
      <c r="D5017" t="inlineStr">
        <is>
          <t>VÄSTRA GÖTALANDS LÄN</t>
        </is>
      </c>
      <c r="E5017" t="inlineStr">
        <is>
          <t>VARA</t>
        </is>
      </c>
      <c r="G5017" t="n">
        <v>1.4</v>
      </c>
      <c r="H5017" t="n">
        <v>0</v>
      </c>
      <c r="I5017" t="n">
        <v>0</v>
      </c>
      <c r="J5017" t="n">
        <v>0</v>
      </c>
      <c r="K5017" t="n">
        <v>0</v>
      </c>
      <c r="L5017" t="n">
        <v>0</v>
      </c>
      <c r="M5017" t="n">
        <v>0</v>
      </c>
      <c r="N5017" t="n">
        <v>0</v>
      </c>
      <c r="O5017" t="n">
        <v>0</v>
      </c>
      <c r="P5017" t="n">
        <v>0</v>
      </c>
      <c r="Q5017" t="n">
        <v>0</v>
      </c>
      <c r="R5017" s="2" t="inlineStr"/>
    </row>
    <row r="5018" ht="15" customHeight="1">
      <c r="A5018" t="inlineStr">
        <is>
          <t>A 7288-2023</t>
        </is>
      </c>
      <c r="B5018" s="1" t="n">
        <v>44970.70373842592</v>
      </c>
      <c r="C5018" s="1" t="n">
        <v>45952</v>
      </c>
      <c r="D5018" t="inlineStr">
        <is>
          <t>VÄSTRA GÖTALANDS LÄN</t>
        </is>
      </c>
      <c r="E5018" t="inlineStr">
        <is>
          <t>SVENLJUNGA</t>
        </is>
      </c>
      <c r="G5018" t="n">
        <v>1.8</v>
      </c>
      <c r="H5018" t="n">
        <v>0</v>
      </c>
      <c r="I5018" t="n">
        <v>0</v>
      </c>
      <c r="J5018" t="n">
        <v>0</v>
      </c>
      <c r="K5018" t="n">
        <v>0</v>
      </c>
      <c r="L5018" t="n">
        <v>0</v>
      </c>
      <c r="M5018" t="n">
        <v>0</v>
      </c>
      <c r="N5018" t="n">
        <v>0</v>
      </c>
      <c r="O5018" t="n">
        <v>0</v>
      </c>
      <c r="P5018" t="n">
        <v>0</v>
      </c>
      <c r="Q5018" t="n">
        <v>0</v>
      </c>
      <c r="R5018" s="2" t="inlineStr"/>
    </row>
    <row r="5019" ht="15" customHeight="1">
      <c r="A5019" t="inlineStr">
        <is>
          <t>A 25955-2023</t>
        </is>
      </c>
      <c r="B5019" s="1" t="n">
        <v>45090.74939814815</v>
      </c>
      <c r="C5019" s="1" t="n">
        <v>45952</v>
      </c>
      <c r="D5019" t="inlineStr">
        <is>
          <t>VÄSTRA GÖTALANDS LÄN</t>
        </is>
      </c>
      <c r="E5019" t="inlineStr">
        <is>
          <t>BENGTSFORS</t>
        </is>
      </c>
      <c r="G5019" t="n">
        <v>1</v>
      </c>
      <c r="H5019" t="n">
        <v>0</v>
      </c>
      <c r="I5019" t="n">
        <v>0</v>
      </c>
      <c r="J5019" t="n">
        <v>0</v>
      </c>
      <c r="K5019" t="n">
        <v>0</v>
      </c>
      <c r="L5019" t="n">
        <v>0</v>
      </c>
      <c r="M5019" t="n">
        <v>0</v>
      </c>
      <c r="N5019" t="n">
        <v>0</v>
      </c>
      <c r="O5019" t="n">
        <v>0</v>
      </c>
      <c r="P5019" t="n">
        <v>0</v>
      </c>
      <c r="Q5019" t="n">
        <v>0</v>
      </c>
      <c r="R5019" s="2" t="inlineStr"/>
    </row>
    <row r="5020" ht="15" customHeight="1">
      <c r="A5020" t="inlineStr">
        <is>
          <t>A 47319-2022</t>
        </is>
      </c>
      <c r="B5020" s="1" t="n">
        <v>44853.35390046296</v>
      </c>
      <c r="C5020" s="1" t="n">
        <v>45952</v>
      </c>
      <c r="D5020" t="inlineStr">
        <is>
          <t>VÄSTRA GÖTALANDS LÄN</t>
        </is>
      </c>
      <c r="E5020" t="inlineStr">
        <is>
          <t>TÖREBODA</t>
        </is>
      </c>
      <c r="F5020" t="inlineStr">
        <is>
          <t>Sveaskog</t>
        </is>
      </c>
      <c r="G5020" t="n">
        <v>2.6</v>
      </c>
      <c r="H5020" t="n">
        <v>0</v>
      </c>
      <c r="I5020" t="n">
        <v>0</v>
      </c>
      <c r="J5020" t="n">
        <v>0</v>
      </c>
      <c r="K5020" t="n">
        <v>0</v>
      </c>
      <c r="L5020" t="n">
        <v>0</v>
      </c>
      <c r="M5020" t="n">
        <v>0</v>
      </c>
      <c r="N5020" t="n">
        <v>0</v>
      </c>
      <c r="O5020" t="n">
        <v>0</v>
      </c>
      <c r="P5020" t="n">
        <v>0</v>
      </c>
      <c r="Q5020" t="n">
        <v>0</v>
      </c>
      <c r="R5020" s="2" t="inlineStr"/>
    </row>
    <row r="5021" ht="15" customHeight="1">
      <c r="A5021" t="inlineStr">
        <is>
          <t>A 26017-2023</t>
        </is>
      </c>
      <c r="B5021" s="1" t="n">
        <v>45090.95387731482</v>
      </c>
      <c r="C5021" s="1" t="n">
        <v>45952</v>
      </c>
      <c r="D5021" t="inlineStr">
        <is>
          <t>VÄSTRA GÖTALANDS LÄN</t>
        </is>
      </c>
      <c r="E5021" t="inlineStr">
        <is>
          <t>KARLSBORG</t>
        </is>
      </c>
      <c r="G5021" t="n">
        <v>0.6</v>
      </c>
      <c r="H5021" t="n">
        <v>0</v>
      </c>
      <c r="I5021" t="n">
        <v>0</v>
      </c>
      <c r="J5021" t="n">
        <v>0</v>
      </c>
      <c r="K5021" t="n">
        <v>0</v>
      </c>
      <c r="L5021" t="n">
        <v>0</v>
      </c>
      <c r="M5021" t="n">
        <v>0</v>
      </c>
      <c r="N5021" t="n">
        <v>0</v>
      </c>
      <c r="O5021" t="n">
        <v>0</v>
      </c>
      <c r="P5021" t="n">
        <v>0</v>
      </c>
      <c r="Q5021" t="n">
        <v>0</v>
      </c>
      <c r="R5021" s="2" t="inlineStr"/>
    </row>
    <row r="5022" ht="15" customHeight="1">
      <c r="A5022" t="inlineStr">
        <is>
          <t>A 40251-2024</t>
        </is>
      </c>
      <c r="B5022" s="1" t="n">
        <v>45554.61689814815</v>
      </c>
      <c r="C5022" s="1" t="n">
        <v>45952</v>
      </c>
      <c r="D5022" t="inlineStr">
        <is>
          <t>VÄSTRA GÖTALANDS LÄN</t>
        </is>
      </c>
      <c r="E5022" t="inlineStr">
        <is>
          <t>ÅMÅL</t>
        </is>
      </c>
      <c r="G5022" t="n">
        <v>0.6</v>
      </c>
      <c r="H5022" t="n">
        <v>0</v>
      </c>
      <c r="I5022" t="n">
        <v>0</v>
      </c>
      <c r="J5022" t="n">
        <v>0</v>
      </c>
      <c r="K5022" t="n">
        <v>0</v>
      </c>
      <c r="L5022" t="n">
        <v>0</v>
      </c>
      <c r="M5022" t="n">
        <v>0</v>
      </c>
      <c r="N5022" t="n">
        <v>0</v>
      </c>
      <c r="O5022" t="n">
        <v>0</v>
      </c>
      <c r="P5022" t="n">
        <v>0</v>
      </c>
      <c r="Q5022" t="n">
        <v>0</v>
      </c>
      <c r="R5022" s="2" t="inlineStr"/>
    </row>
    <row r="5023" ht="15" customHeight="1">
      <c r="A5023" t="inlineStr">
        <is>
          <t>A 48256-2022</t>
        </is>
      </c>
      <c r="B5023" s="1" t="n">
        <v>44858.47505787037</v>
      </c>
      <c r="C5023" s="1" t="n">
        <v>45952</v>
      </c>
      <c r="D5023" t="inlineStr">
        <is>
          <t>VÄSTRA GÖTALANDS LÄN</t>
        </is>
      </c>
      <c r="E5023" t="inlineStr">
        <is>
          <t>MELLERUD</t>
        </is>
      </c>
      <c r="G5023" t="n">
        <v>1.9</v>
      </c>
      <c r="H5023" t="n">
        <v>0</v>
      </c>
      <c r="I5023" t="n">
        <v>0</v>
      </c>
      <c r="J5023" t="n">
        <v>0</v>
      </c>
      <c r="K5023" t="n">
        <v>0</v>
      </c>
      <c r="L5023" t="n">
        <v>0</v>
      </c>
      <c r="M5023" t="n">
        <v>0</v>
      </c>
      <c r="N5023" t="n">
        <v>0</v>
      </c>
      <c r="O5023" t="n">
        <v>0</v>
      </c>
      <c r="P5023" t="n">
        <v>0</v>
      </c>
      <c r="Q5023" t="n">
        <v>0</v>
      </c>
      <c r="R5023" s="2" t="inlineStr"/>
    </row>
    <row r="5024" ht="15" customHeight="1">
      <c r="A5024" t="inlineStr">
        <is>
          <t>A 65461-2020</t>
        </is>
      </c>
      <c r="B5024" s="1" t="n">
        <v>44170</v>
      </c>
      <c r="C5024" s="1" t="n">
        <v>45952</v>
      </c>
      <c r="D5024" t="inlineStr">
        <is>
          <t>VÄSTRA GÖTALANDS LÄN</t>
        </is>
      </c>
      <c r="E5024" t="inlineStr">
        <is>
          <t>MUNKEDAL</t>
        </is>
      </c>
      <c r="G5024" t="n">
        <v>5</v>
      </c>
      <c r="H5024" t="n">
        <v>0</v>
      </c>
      <c r="I5024" t="n">
        <v>0</v>
      </c>
      <c r="J5024" t="n">
        <v>0</v>
      </c>
      <c r="K5024" t="n">
        <v>0</v>
      </c>
      <c r="L5024" t="n">
        <v>0</v>
      </c>
      <c r="M5024" t="n">
        <v>0</v>
      </c>
      <c r="N5024" t="n">
        <v>0</v>
      </c>
      <c r="O5024" t="n">
        <v>0</v>
      </c>
      <c r="P5024" t="n">
        <v>0</v>
      </c>
      <c r="Q5024" t="n">
        <v>0</v>
      </c>
      <c r="R5024" s="2" t="inlineStr"/>
    </row>
    <row r="5025" ht="15" customHeight="1">
      <c r="A5025" t="inlineStr">
        <is>
          <t>A 18806-2024</t>
        </is>
      </c>
      <c r="B5025" s="1" t="n">
        <v>45426.61425925926</v>
      </c>
      <c r="C5025" s="1" t="n">
        <v>45952</v>
      </c>
      <c r="D5025" t="inlineStr">
        <is>
          <t>VÄSTRA GÖTALANDS LÄN</t>
        </is>
      </c>
      <c r="E5025" t="inlineStr">
        <is>
          <t>UDDEVALLA</t>
        </is>
      </c>
      <c r="G5025" t="n">
        <v>1.4</v>
      </c>
      <c r="H5025" t="n">
        <v>0</v>
      </c>
      <c r="I5025" t="n">
        <v>0</v>
      </c>
      <c r="J5025" t="n">
        <v>0</v>
      </c>
      <c r="K5025" t="n">
        <v>0</v>
      </c>
      <c r="L5025" t="n">
        <v>0</v>
      </c>
      <c r="M5025" t="n">
        <v>0</v>
      </c>
      <c r="N5025" t="n">
        <v>0</v>
      </c>
      <c r="O5025" t="n">
        <v>0</v>
      </c>
      <c r="P5025" t="n">
        <v>0</v>
      </c>
      <c r="Q5025" t="n">
        <v>0</v>
      </c>
      <c r="R5025" s="2" t="inlineStr"/>
    </row>
    <row r="5026" ht="15" customHeight="1">
      <c r="A5026" t="inlineStr">
        <is>
          <t>A 3763-2024</t>
        </is>
      </c>
      <c r="B5026" s="1" t="n">
        <v>45321.55988425926</v>
      </c>
      <c r="C5026" s="1" t="n">
        <v>45952</v>
      </c>
      <c r="D5026" t="inlineStr">
        <is>
          <t>VÄSTRA GÖTALANDS LÄN</t>
        </is>
      </c>
      <c r="E5026" t="inlineStr">
        <is>
          <t>TANUM</t>
        </is>
      </c>
      <c r="G5026" t="n">
        <v>3.3</v>
      </c>
      <c r="H5026" t="n">
        <v>0</v>
      </c>
      <c r="I5026" t="n">
        <v>0</v>
      </c>
      <c r="J5026" t="n">
        <v>0</v>
      </c>
      <c r="K5026" t="n">
        <v>0</v>
      </c>
      <c r="L5026" t="n">
        <v>0</v>
      </c>
      <c r="M5026" t="n">
        <v>0</v>
      </c>
      <c r="N5026" t="n">
        <v>0</v>
      </c>
      <c r="O5026" t="n">
        <v>0</v>
      </c>
      <c r="P5026" t="n">
        <v>0</v>
      </c>
      <c r="Q5026" t="n">
        <v>0</v>
      </c>
      <c r="R5026" s="2" t="inlineStr"/>
    </row>
    <row r="5027" ht="15" customHeight="1">
      <c r="A5027" t="inlineStr">
        <is>
          <t>A 60969-2021</t>
        </is>
      </c>
      <c r="B5027" s="1" t="n">
        <v>44497.5580787037</v>
      </c>
      <c r="C5027" s="1" t="n">
        <v>45952</v>
      </c>
      <c r="D5027" t="inlineStr">
        <is>
          <t>VÄSTRA GÖTALANDS LÄN</t>
        </is>
      </c>
      <c r="E5027" t="inlineStr">
        <is>
          <t>LYSEKIL</t>
        </is>
      </c>
      <c r="G5027" t="n">
        <v>1.4</v>
      </c>
      <c r="H5027" t="n">
        <v>0</v>
      </c>
      <c r="I5027" t="n">
        <v>0</v>
      </c>
      <c r="J5027" t="n">
        <v>0</v>
      </c>
      <c r="K5027" t="n">
        <v>0</v>
      </c>
      <c r="L5027" t="n">
        <v>0</v>
      </c>
      <c r="M5027" t="n">
        <v>0</v>
      </c>
      <c r="N5027" t="n">
        <v>0</v>
      </c>
      <c r="O5027" t="n">
        <v>0</v>
      </c>
      <c r="P5027" t="n">
        <v>0</v>
      </c>
      <c r="Q5027" t="n">
        <v>0</v>
      </c>
      <c r="R5027" s="2" t="inlineStr"/>
    </row>
    <row r="5028" ht="15" customHeight="1">
      <c r="A5028" t="inlineStr">
        <is>
          <t>A 40996-2024</t>
        </is>
      </c>
      <c r="B5028" s="1" t="n">
        <v>45558.78303240741</v>
      </c>
      <c r="C5028" s="1" t="n">
        <v>45952</v>
      </c>
      <c r="D5028" t="inlineStr">
        <is>
          <t>VÄSTRA GÖTALANDS LÄN</t>
        </is>
      </c>
      <c r="E5028" t="inlineStr">
        <is>
          <t>ULRICEHAMN</t>
        </is>
      </c>
      <c r="G5028" t="n">
        <v>2.7</v>
      </c>
      <c r="H5028" t="n">
        <v>0</v>
      </c>
      <c r="I5028" t="n">
        <v>0</v>
      </c>
      <c r="J5028" t="n">
        <v>0</v>
      </c>
      <c r="K5028" t="n">
        <v>0</v>
      </c>
      <c r="L5028" t="n">
        <v>0</v>
      </c>
      <c r="M5028" t="n">
        <v>0</v>
      </c>
      <c r="N5028" t="n">
        <v>0</v>
      </c>
      <c r="O5028" t="n">
        <v>0</v>
      </c>
      <c r="P5028" t="n">
        <v>0</v>
      </c>
      <c r="Q5028" t="n">
        <v>0</v>
      </c>
      <c r="R5028" s="2" t="inlineStr"/>
    </row>
    <row r="5029" ht="15" customHeight="1">
      <c r="A5029" t="inlineStr">
        <is>
          <t>A 5564-2023</t>
        </is>
      </c>
      <c r="B5029" s="1" t="n">
        <v>44960</v>
      </c>
      <c r="C5029" s="1" t="n">
        <v>45952</v>
      </c>
      <c r="D5029" t="inlineStr">
        <is>
          <t>VÄSTRA GÖTALANDS LÄN</t>
        </is>
      </c>
      <c r="E5029" t="inlineStr">
        <is>
          <t>TIBRO</t>
        </is>
      </c>
      <c r="G5029" t="n">
        <v>6.5</v>
      </c>
      <c r="H5029" t="n">
        <v>0</v>
      </c>
      <c r="I5029" t="n">
        <v>0</v>
      </c>
      <c r="J5029" t="n">
        <v>0</v>
      </c>
      <c r="K5029" t="n">
        <v>0</v>
      </c>
      <c r="L5029" t="n">
        <v>0</v>
      </c>
      <c r="M5029" t="n">
        <v>0</v>
      </c>
      <c r="N5029" t="n">
        <v>0</v>
      </c>
      <c r="O5029" t="n">
        <v>0</v>
      </c>
      <c r="P5029" t="n">
        <v>0</v>
      </c>
      <c r="Q5029" t="n">
        <v>0</v>
      </c>
      <c r="R5029" s="2" t="inlineStr"/>
    </row>
    <row r="5030" ht="15" customHeight="1">
      <c r="A5030" t="inlineStr">
        <is>
          <t>A 3684-2024</t>
        </is>
      </c>
      <c r="B5030" s="1" t="n">
        <v>45321</v>
      </c>
      <c r="C5030" s="1" t="n">
        <v>45952</v>
      </c>
      <c r="D5030" t="inlineStr">
        <is>
          <t>VÄSTRA GÖTALANDS LÄN</t>
        </is>
      </c>
      <c r="E5030" t="inlineStr">
        <is>
          <t>ULRICEHAMN</t>
        </is>
      </c>
      <c r="G5030" t="n">
        <v>0.5</v>
      </c>
      <c r="H5030" t="n">
        <v>0</v>
      </c>
      <c r="I5030" t="n">
        <v>0</v>
      </c>
      <c r="J5030" t="n">
        <v>0</v>
      </c>
      <c r="K5030" t="n">
        <v>0</v>
      </c>
      <c r="L5030" t="n">
        <v>0</v>
      </c>
      <c r="M5030" t="n">
        <v>0</v>
      </c>
      <c r="N5030" t="n">
        <v>0</v>
      </c>
      <c r="O5030" t="n">
        <v>0</v>
      </c>
      <c r="P5030" t="n">
        <v>0</v>
      </c>
      <c r="Q5030" t="n">
        <v>0</v>
      </c>
      <c r="R5030" s="2" t="inlineStr"/>
    </row>
    <row r="5031" ht="15" customHeight="1">
      <c r="A5031" t="inlineStr">
        <is>
          <t>A 4368-2024</t>
        </is>
      </c>
      <c r="B5031" s="1" t="n">
        <v>45326.61966435185</v>
      </c>
      <c r="C5031" s="1" t="n">
        <v>45952</v>
      </c>
      <c r="D5031" t="inlineStr">
        <is>
          <t>VÄSTRA GÖTALANDS LÄN</t>
        </is>
      </c>
      <c r="E5031" t="inlineStr">
        <is>
          <t>DALS-ED</t>
        </is>
      </c>
      <c r="G5031" t="n">
        <v>0.9</v>
      </c>
      <c r="H5031" t="n">
        <v>0</v>
      </c>
      <c r="I5031" t="n">
        <v>0</v>
      </c>
      <c r="J5031" t="n">
        <v>0</v>
      </c>
      <c r="K5031" t="n">
        <v>0</v>
      </c>
      <c r="L5031" t="n">
        <v>0</v>
      </c>
      <c r="M5031" t="n">
        <v>0</v>
      </c>
      <c r="N5031" t="n">
        <v>0</v>
      </c>
      <c r="O5031" t="n">
        <v>0</v>
      </c>
      <c r="P5031" t="n">
        <v>0</v>
      </c>
      <c r="Q5031" t="n">
        <v>0</v>
      </c>
      <c r="R5031" s="2" t="inlineStr"/>
    </row>
    <row r="5032" ht="15" customHeight="1">
      <c r="A5032" t="inlineStr">
        <is>
          <t>A 4410-2024</t>
        </is>
      </c>
      <c r="B5032" s="1" t="n">
        <v>45327</v>
      </c>
      <c r="C5032" s="1" t="n">
        <v>45952</v>
      </c>
      <c r="D5032" t="inlineStr">
        <is>
          <t>VÄSTRA GÖTALANDS LÄN</t>
        </is>
      </c>
      <c r="E5032" t="inlineStr">
        <is>
          <t>TRANEMO</t>
        </is>
      </c>
      <c r="G5032" t="n">
        <v>2.5</v>
      </c>
      <c r="H5032" t="n">
        <v>0</v>
      </c>
      <c r="I5032" t="n">
        <v>0</v>
      </c>
      <c r="J5032" t="n">
        <v>0</v>
      </c>
      <c r="K5032" t="n">
        <v>0</v>
      </c>
      <c r="L5032" t="n">
        <v>0</v>
      </c>
      <c r="M5032" t="n">
        <v>0</v>
      </c>
      <c r="N5032" t="n">
        <v>0</v>
      </c>
      <c r="O5032" t="n">
        <v>0</v>
      </c>
      <c r="P5032" t="n">
        <v>0</v>
      </c>
      <c r="Q5032" t="n">
        <v>0</v>
      </c>
      <c r="R5032" s="2" t="inlineStr"/>
    </row>
    <row r="5033" ht="15" customHeight="1">
      <c r="A5033" t="inlineStr">
        <is>
          <t>A 32670-2023</t>
        </is>
      </c>
      <c r="B5033" s="1" t="n">
        <v>45121</v>
      </c>
      <c r="C5033" s="1" t="n">
        <v>45952</v>
      </c>
      <c r="D5033" t="inlineStr">
        <is>
          <t>VÄSTRA GÖTALANDS LÄN</t>
        </is>
      </c>
      <c r="E5033" t="inlineStr">
        <is>
          <t>TIDAHOLM</t>
        </is>
      </c>
      <c r="F5033" t="inlineStr">
        <is>
          <t>Kommuner</t>
        </is>
      </c>
      <c r="G5033" t="n">
        <v>1.6</v>
      </c>
      <c r="H5033" t="n">
        <v>0</v>
      </c>
      <c r="I5033" t="n">
        <v>0</v>
      </c>
      <c r="J5033" t="n">
        <v>0</v>
      </c>
      <c r="K5033" t="n">
        <v>0</v>
      </c>
      <c r="L5033" t="n">
        <v>0</v>
      </c>
      <c r="M5033" t="n">
        <v>0</v>
      </c>
      <c r="N5033" t="n">
        <v>0</v>
      </c>
      <c r="O5033" t="n">
        <v>0</v>
      </c>
      <c r="P5033" t="n">
        <v>0</v>
      </c>
      <c r="Q5033" t="n">
        <v>0</v>
      </c>
      <c r="R5033" s="2" t="inlineStr"/>
    </row>
    <row r="5034" ht="15" customHeight="1">
      <c r="A5034" t="inlineStr">
        <is>
          <t>A 64998-2021</t>
        </is>
      </c>
      <c r="B5034" s="1" t="n">
        <v>44514</v>
      </c>
      <c r="C5034" s="1" t="n">
        <v>45952</v>
      </c>
      <c r="D5034" t="inlineStr">
        <is>
          <t>VÄSTRA GÖTALANDS LÄN</t>
        </is>
      </c>
      <c r="E5034" t="inlineStr">
        <is>
          <t>ULRICEHAMN</t>
        </is>
      </c>
      <c r="G5034" t="n">
        <v>1.3</v>
      </c>
      <c r="H5034" t="n">
        <v>0</v>
      </c>
      <c r="I5034" t="n">
        <v>0</v>
      </c>
      <c r="J5034" t="n">
        <v>0</v>
      </c>
      <c r="K5034" t="n">
        <v>0</v>
      </c>
      <c r="L5034" t="n">
        <v>0</v>
      </c>
      <c r="M5034" t="n">
        <v>0</v>
      </c>
      <c r="N5034" t="n">
        <v>0</v>
      </c>
      <c r="O5034" t="n">
        <v>0</v>
      </c>
      <c r="P5034" t="n">
        <v>0</v>
      </c>
      <c r="Q5034" t="n">
        <v>0</v>
      </c>
      <c r="R5034" s="2" t="inlineStr"/>
    </row>
    <row r="5035" ht="15" customHeight="1">
      <c r="A5035" t="inlineStr">
        <is>
          <t>A 31546-2022</t>
        </is>
      </c>
      <c r="B5035" s="1" t="n">
        <v>44775</v>
      </c>
      <c r="C5035" s="1" t="n">
        <v>45952</v>
      </c>
      <c r="D5035" t="inlineStr">
        <is>
          <t>VÄSTRA GÖTALANDS LÄN</t>
        </is>
      </c>
      <c r="E5035" t="inlineStr">
        <is>
          <t>BOLLEBYGD</t>
        </is>
      </c>
      <c r="G5035" t="n">
        <v>1.3</v>
      </c>
      <c r="H5035" t="n">
        <v>0</v>
      </c>
      <c r="I5035" t="n">
        <v>0</v>
      </c>
      <c r="J5035" t="n">
        <v>0</v>
      </c>
      <c r="K5035" t="n">
        <v>0</v>
      </c>
      <c r="L5035" t="n">
        <v>0</v>
      </c>
      <c r="M5035" t="n">
        <v>0</v>
      </c>
      <c r="N5035" t="n">
        <v>0</v>
      </c>
      <c r="O5035" t="n">
        <v>0</v>
      </c>
      <c r="P5035" t="n">
        <v>0</v>
      </c>
      <c r="Q5035" t="n">
        <v>0</v>
      </c>
      <c r="R5035" s="2" t="inlineStr"/>
    </row>
    <row r="5036" ht="15" customHeight="1">
      <c r="A5036" t="inlineStr">
        <is>
          <t>A 18225-2025</t>
        </is>
      </c>
      <c r="B5036" s="1" t="n">
        <v>45761.79899305556</v>
      </c>
      <c r="C5036" s="1" t="n">
        <v>45952</v>
      </c>
      <c r="D5036" t="inlineStr">
        <is>
          <t>VÄSTRA GÖTALANDS LÄN</t>
        </is>
      </c>
      <c r="E5036" t="inlineStr">
        <is>
          <t>UDDEVALLA</t>
        </is>
      </c>
      <c r="G5036" t="n">
        <v>1.8</v>
      </c>
      <c r="H5036" t="n">
        <v>0</v>
      </c>
      <c r="I5036" t="n">
        <v>0</v>
      </c>
      <c r="J5036" t="n">
        <v>0</v>
      </c>
      <c r="K5036" t="n">
        <v>0</v>
      </c>
      <c r="L5036" t="n">
        <v>0</v>
      </c>
      <c r="M5036" t="n">
        <v>0</v>
      </c>
      <c r="N5036" t="n">
        <v>0</v>
      </c>
      <c r="O5036" t="n">
        <v>0</v>
      </c>
      <c r="P5036" t="n">
        <v>0</v>
      </c>
      <c r="Q5036" t="n">
        <v>0</v>
      </c>
      <c r="R5036" s="2" t="inlineStr"/>
    </row>
    <row r="5037" ht="15" customHeight="1">
      <c r="A5037" t="inlineStr">
        <is>
          <t>A 18226-2025</t>
        </is>
      </c>
      <c r="B5037" s="1" t="n">
        <v>45761.8005324074</v>
      </c>
      <c r="C5037" s="1" t="n">
        <v>45952</v>
      </c>
      <c r="D5037" t="inlineStr">
        <is>
          <t>VÄSTRA GÖTALANDS LÄN</t>
        </is>
      </c>
      <c r="E5037" t="inlineStr">
        <is>
          <t>UDDEVALLA</t>
        </is>
      </c>
      <c r="G5037" t="n">
        <v>1.2</v>
      </c>
      <c r="H5037" t="n">
        <v>0</v>
      </c>
      <c r="I5037" t="n">
        <v>0</v>
      </c>
      <c r="J5037" t="n">
        <v>0</v>
      </c>
      <c r="K5037" t="n">
        <v>0</v>
      </c>
      <c r="L5037" t="n">
        <v>0</v>
      </c>
      <c r="M5037" t="n">
        <v>0</v>
      </c>
      <c r="N5037" t="n">
        <v>0</v>
      </c>
      <c r="O5037" t="n">
        <v>0</v>
      </c>
      <c r="P5037" t="n">
        <v>0</v>
      </c>
      <c r="Q5037" t="n">
        <v>0</v>
      </c>
      <c r="R5037" s="2" t="inlineStr"/>
    </row>
    <row r="5038" ht="15" customHeight="1">
      <c r="A5038" t="inlineStr">
        <is>
          <t>A 38915-2025</t>
        </is>
      </c>
      <c r="B5038" s="1" t="n">
        <v>45887.62195601852</v>
      </c>
      <c r="C5038" s="1" t="n">
        <v>45952</v>
      </c>
      <c r="D5038" t="inlineStr">
        <is>
          <t>VÄSTRA GÖTALANDS LÄN</t>
        </is>
      </c>
      <c r="E5038" t="inlineStr">
        <is>
          <t>MARIESTAD</t>
        </is>
      </c>
      <c r="F5038" t="inlineStr">
        <is>
          <t>Sveaskog</t>
        </is>
      </c>
      <c r="G5038" t="n">
        <v>0.9</v>
      </c>
      <c r="H5038" t="n">
        <v>0</v>
      </c>
      <c r="I5038" t="n">
        <v>0</v>
      </c>
      <c r="J5038" t="n">
        <v>0</v>
      </c>
      <c r="K5038" t="n">
        <v>0</v>
      </c>
      <c r="L5038" t="n">
        <v>0</v>
      </c>
      <c r="M5038" t="n">
        <v>0</v>
      </c>
      <c r="N5038" t="n">
        <v>0</v>
      </c>
      <c r="O5038" t="n">
        <v>0</v>
      </c>
      <c r="P5038" t="n">
        <v>0</v>
      </c>
      <c r="Q5038" t="n">
        <v>0</v>
      </c>
      <c r="R5038" s="2" t="inlineStr"/>
    </row>
    <row r="5039" ht="15" customHeight="1">
      <c r="A5039" t="inlineStr">
        <is>
          <t>A 7032-2024</t>
        </is>
      </c>
      <c r="B5039" s="1" t="n">
        <v>45343</v>
      </c>
      <c r="C5039" s="1" t="n">
        <v>45952</v>
      </c>
      <c r="D5039" t="inlineStr">
        <is>
          <t>VÄSTRA GÖTALANDS LÄN</t>
        </is>
      </c>
      <c r="E5039" t="inlineStr">
        <is>
          <t>MARIESTAD</t>
        </is>
      </c>
      <c r="G5039" t="n">
        <v>1.4</v>
      </c>
      <c r="H5039" t="n">
        <v>0</v>
      </c>
      <c r="I5039" t="n">
        <v>0</v>
      </c>
      <c r="J5039" t="n">
        <v>0</v>
      </c>
      <c r="K5039" t="n">
        <v>0</v>
      </c>
      <c r="L5039" t="n">
        <v>0</v>
      </c>
      <c r="M5039" t="n">
        <v>0</v>
      </c>
      <c r="N5039" t="n">
        <v>0</v>
      </c>
      <c r="O5039" t="n">
        <v>0</v>
      </c>
      <c r="P5039" t="n">
        <v>0</v>
      </c>
      <c r="Q5039" t="n">
        <v>0</v>
      </c>
      <c r="R5039" s="2" t="inlineStr"/>
    </row>
    <row r="5040" ht="15" customHeight="1">
      <c r="A5040" t="inlineStr">
        <is>
          <t>A 3756-2023</t>
        </is>
      </c>
      <c r="B5040" s="1" t="n">
        <v>44951.47405092593</v>
      </c>
      <c r="C5040" s="1" t="n">
        <v>45952</v>
      </c>
      <c r="D5040" t="inlineStr">
        <is>
          <t>VÄSTRA GÖTALANDS LÄN</t>
        </is>
      </c>
      <c r="E5040" t="inlineStr">
        <is>
          <t>VÅRGÅRDA</t>
        </is>
      </c>
      <c r="G5040" t="n">
        <v>5.2</v>
      </c>
      <c r="H5040" t="n">
        <v>0</v>
      </c>
      <c r="I5040" t="n">
        <v>0</v>
      </c>
      <c r="J5040" t="n">
        <v>0</v>
      </c>
      <c r="K5040" t="n">
        <v>0</v>
      </c>
      <c r="L5040" t="n">
        <v>0</v>
      </c>
      <c r="M5040" t="n">
        <v>0</v>
      </c>
      <c r="N5040" t="n">
        <v>0</v>
      </c>
      <c r="O5040" t="n">
        <v>0</v>
      </c>
      <c r="P5040" t="n">
        <v>0</v>
      </c>
      <c r="Q5040" t="n">
        <v>0</v>
      </c>
      <c r="R5040" s="2" t="inlineStr"/>
    </row>
    <row r="5041" ht="15" customHeight="1">
      <c r="A5041" t="inlineStr">
        <is>
          <t>A 34702-2022</t>
        </is>
      </c>
      <c r="B5041" s="1" t="n">
        <v>44795.55644675926</v>
      </c>
      <c r="C5041" s="1" t="n">
        <v>45952</v>
      </c>
      <c r="D5041" t="inlineStr">
        <is>
          <t>VÄSTRA GÖTALANDS LÄN</t>
        </is>
      </c>
      <c r="E5041" t="inlineStr">
        <is>
          <t>ESSUNGA</t>
        </is>
      </c>
      <c r="G5041" t="n">
        <v>0.8</v>
      </c>
      <c r="H5041" t="n">
        <v>0</v>
      </c>
      <c r="I5041" t="n">
        <v>0</v>
      </c>
      <c r="J5041" t="n">
        <v>0</v>
      </c>
      <c r="K5041" t="n">
        <v>0</v>
      </c>
      <c r="L5041" t="n">
        <v>0</v>
      </c>
      <c r="M5041" t="n">
        <v>0</v>
      </c>
      <c r="N5041" t="n">
        <v>0</v>
      </c>
      <c r="O5041" t="n">
        <v>0</v>
      </c>
      <c r="P5041" t="n">
        <v>0</v>
      </c>
      <c r="Q5041" t="n">
        <v>0</v>
      </c>
      <c r="R5041" s="2" t="inlineStr"/>
    </row>
    <row r="5042" ht="15" customHeight="1">
      <c r="A5042" t="inlineStr">
        <is>
          <t>A 50985-2023</t>
        </is>
      </c>
      <c r="B5042" s="1" t="n">
        <v>45218.53603009259</v>
      </c>
      <c r="C5042" s="1" t="n">
        <v>45952</v>
      </c>
      <c r="D5042" t="inlineStr">
        <is>
          <t>VÄSTRA GÖTALANDS LÄN</t>
        </is>
      </c>
      <c r="E5042" t="inlineStr">
        <is>
          <t>KARLSBORG</t>
        </is>
      </c>
      <c r="F5042" t="inlineStr">
        <is>
          <t>Sveaskog</t>
        </is>
      </c>
      <c r="G5042" t="n">
        <v>2</v>
      </c>
      <c r="H5042" t="n">
        <v>0</v>
      </c>
      <c r="I5042" t="n">
        <v>0</v>
      </c>
      <c r="J5042" t="n">
        <v>0</v>
      </c>
      <c r="K5042" t="n">
        <v>0</v>
      </c>
      <c r="L5042" t="n">
        <v>0</v>
      </c>
      <c r="M5042" t="n">
        <v>0</v>
      </c>
      <c r="N5042" t="n">
        <v>0</v>
      </c>
      <c r="O5042" t="n">
        <v>0</v>
      </c>
      <c r="P5042" t="n">
        <v>0</v>
      </c>
      <c r="Q5042" t="n">
        <v>0</v>
      </c>
      <c r="R5042" s="2" t="inlineStr"/>
    </row>
    <row r="5043" ht="15" customHeight="1">
      <c r="A5043" t="inlineStr">
        <is>
          <t>A 19946-2024</t>
        </is>
      </c>
      <c r="B5043" s="1" t="n">
        <v>45433.62172453704</v>
      </c>
      <c r="C5043" s="1" t="n">
        <v>45952</v>
      </c>
      <c r="D5043" t="inlineStr">
        <is>
          <t>VÄSTRA GÖTALANDS LÄN</t>
        </is>
      </c>
      <c r="E5043" t="inlineStr">
        <is>
          <t>ESSUNGA</t>
        </is>
      </c>
      <c r="G5043" t="n">
        <v>1.4</v>
      </c>
      <c r="H5043" t="n">
        <v>0</v>
      </c>
      <c r="I5043" t="n">
        <v>0</v>
      </c>
      <c r="J5043" t="n">
        <v>0</v>
      </c>
      <c r="K5043" t="n">
        <v>0</v>
      </c>
      <c r="L5043" t="n">
        <v>0</v>
      </c>
      <c r="M5043" t="n">
        <v>0</v>
      </c>
      <c r="N5043" t="n">
        <v>0</v>
      </c>
      <c r="O5043" t="n">
        <v>0</v>
      </c>
      <c r="P5043" t="n">
        <v>0</v>
      </c>
      <c r="Q5043" t="n">
        <v>0</v>
      </c>
      <c r="R5043" s="2" t="inlineStr"/>
    </row>
    <row r="5044" ht="15" customHeight="1">
      <c r="A5044" t="inlineStr">
        <is>
          <t>A 29366-2023</t>
        </is>
      </c>
      <c r="B5044" s="1" t="n">
        <v>45106</v>
      </c>
      <c r="C5044" s="1" t="n">
        <v>45952</v>
      </c>
      <c r="D5044" t="inlineStr">
        <is>
          <t>VÄSTRA GÖTALANDS LÄN</t>
        </is>
      </c>
      <c r="E5044" t="inlineStr">
        <is>
          <t>MARK</t>
        </is>
      </c>
      <c r="F5044" t="inlineStr">
        <is>
          <t>Sveaskog</t>
        </is>
      </c>
      <c r="G5044" t="n">
        <v>6.6</v>
      </c>
      <c r="H5044" t="n">
        <v>0</v>
      </c>
      <c r="I5044" t="n">
        <v>0</v>
      </c>
      <c r="J5044" t="n">
        <v>0</v>
      </c>
      <c r="K5044" t="n">
        <v>0</v>
      </c>
      <c r="L5044" t="n">
        <v>0</v>
      </c>
      <c r="M5044" t="n">
        <v>0</v>
      </c>
      <c r="N5044" t="n">
        <v>0</v>
      </c>
      <c r="O5044" t="n">
        <v>0</v>
      </c>
      <c r="P5044" t="n">
        <v>0</v>
      </c>
      <c r="Q5044" t="n">
        <v>0</v>
      </c>
      <c r="R5044" s="2" t="inlineStr"/>
    </row>
    <row r="5045" ht="15" customHeight="1">
      <c r="A5045" t="inlineStr">
        <is>
          <t>A 13162-2023</t>
        </is>
      </c>
      <c r="B5045" s="1" t="n">
        <v>45002</v>
      </c>
      <c r="C5045" s="1" t="n">
        <v>45952</v>
      </c>
      <c r="D5045" t="inlineStr">
        <is>
          <t>VÄSTRA GÖTALANDS LÄN</t>
        </is>
      </c>
      <c r="E5045" t="inlineStr">
        <is>
          <t>MUNKEDAL</t>
        </is>
      </c>
      <c r="G5045" t="n">
        <v>1.4</v>
      </c>
      <c r="H5045" t="n">
        <v>0</v>
      </c>
      <c r="I5045" t="n">
        <v>0</v>
      </c>
      <c r="J5045" t="n">
        <v>0</v>
      </c>
      <c r="K5045" t="n">
        <v>0</v>
      </c>
      <c r="L5045" t="n">
        <v>0</v>
      </c>
      <c r="M5045" t="n">
        <v>0</v>
      </c>
      <c r="N5045" t="n">
        <v>0</v>
      </c>
      <c r="O5045" t="n">
        <v>0</v>
      </c>
      <c r="P5045" t="n">
        <v>0</v>
      </c>
      <c r="Q5045" t="n">
        <v>0</v>
      </c>
      <c r="R5045" s="2" t="inlineStr"/>
    </row>
    <row r="5046" ht="15" customHeight="1">
      <c r="A5046" t="inlineStr">
        <is>
          <t>A 39311-2023</t>
        </is>
      </c>
      <c r="B5046" s="1" t="n">
        <v>45162</v>
      </c>
      <c r="C5046" s="1" t="n">
        <v>45952</v>
      </c>
      <c r="D5046" t="inlineStr">
        <is>
          <t>VÄSTRA GÖTALANDS LÄN</t>
        </is>
      </c>
      <c r="E5046" t="inlineStr">
        <is>
          <t>GULLSPÅNG</t>
        </is>
      </c>
      <c r="G5046" t="n">
        <v>2.5</v>
      </c>
      <c r="H5046" t="n">
        <v>0</v>
      </c>
      <c r="I5046" t="n">
        <v>0</v>
      </c>
      <c r="J5046" t="n">
        <v>0</v>
      </c>
      <c r="K5046" t="n">
        <v>0</v>
      </c>
      <c r="L5046" t="n">
        <v>0</v>
      </c>
      <c r="M5046" t="n">
        <v>0</v>
      </c>
      <c r="N5046" t="n">
        <v>0</v>
      </c>
      <c r="O5046" t="n">
        <v>0</v>
      </c>
      <c r="P5046" t="n">
        <v>0</v>
      </c>
      <c r="Q5046" t="n">
        <v>0</v>
      </c>
      <c r="R5046" s="2" t="inlineStr"/>
    </row>
    <row r="5047" ht="15" customHeight="1">
      <c r="A5047" t="inlineStr">
        <is>
          <t>A 23222-2024</t>
        </is>
      </c>
      <c r="B5047" s="1" t="n">
        <v>45452.86884259259</v>
      </c>
      <c r="C5047" s="1" t="n">
        <v>45952</v>
      </c>
      <c r="D5047" t="inlineStr">
        <is>
          <t>VÄSTRA GÖTALANDS LÄN</t>
        </is>
      </c>
      <c r="E5047" t="inlineStr">
        <is>
          <t>FÄRGELANDA</t>
        </is>
      </c>
      <c r="G5047" t="n">
        <v>6.8</v>
      </c>
      <c r="H5047" t="n">
        <v>0</v>
      </c>
      <c r="I5047" t="n">
        <v>0</v>
      </c>
      <c r="J5047" t="n">
        <v>0</v>
      </c>
      <c r="K5047" t="n">
        <v>0</v>
      </c>
      <c r="L5047" t="n">
        <v>0</v>
      </c>
      <c r="M5047" t="n">
        <v>0</v>
      </c>
      <c r="N5047" t="n">
        <v>0</v>
      </c>
      <c r="O5047" t="n">
        <v>0</v>
      </c>
      <c r="P5047" t="n">
        <v>0</v>
      </c>
      <c r="Q5047" t="n">
        <v>0</v>
      </c>
      <c r="R5047" s="2" t="inlineStr"/>
    </row>
    <row r="5048" ht="15" customHeight="1">
      <c r="A5048" t="inlineStr">
        <is>
          <t>A 29368-2023</t>
        </is>
      </c>
      <c r="B5048" s="1" t="n">
        <v>45106.36351851852</v>
      </c>
      <c r="C5048" s="1" t="n">
        <v>45952</v>
      </c>
      <c r="D5048" t="inlineStr">
        <is>
          <t>VÄSTRA GÖTALANDS LÄN</t>
        </is>
      </c>
      <c r="E5048" t="inlineStr">
        <is>
          <t>MARK</t>
        </is>
      </c>
      <c r="F5048" t="inlineStr">
        <is>
          <t>Sveaskog</t>
        </is>
      </c>
      <c r="G5048" t="n">
        <v>1.5</v>
      </c>
      <c r="H5048" t="n">
        <v>0</v>
      </c>
      <c r="I5048" t="n">
        <v>0</v>
      </c>
      <c r="J5048" t="n">
        <v>0</v>
      </c>
      <c r="K5048" t="n">
        <v>0</v>
      </c>
      <c r="L5048" t="n">
        <v>0</v>
      </c>
      <c r="M5048" t="n">
        <v>0</v>
      </c>
      <c r="N5048" t="n">
        <v>0</v>
      </c>
      <c r="O5048" t="n">
        <v>0</v>
      </c>
      <c r="P5048" t="n">
        <v>0</v>
      </c>
      <c r="Q5048" t="n">
        <v>0</v>
      </c>
      <c r="R5048" s="2" t="inlineStr"/>
    </row>
    <row r="5049" ht="15" customHeight="1">
      <c r="A5049" t="inlineStr">
        <is>
          <t>A 55170-2024</t>
        </is>
      </c>
      <c r="B5049" s="1" t="n">
        <v>45621.52608796296</v>
      </c>
      <c r="C5049" s="1" t="n">
        <v>45952</v>
      </c>
      <c r="D5049" t="inlineStr">
        <is>
          <t>VÄSTRA GÖTALANDS LÄN</t>
        </is>
      </c>
      <c r="E5049" t="inlineStr">
        <is>
          <t>HERRLJUNGA</t>
        </is>
      </c>
      <c r="G5049" t="n">
        <v>2.3</v>
      </c>
      <c r="H5049" t="n">
        <v>0</v>
      </c>
      <c r="I5049" t="n">
        <v>0</v>
      </c>
      <c r="J5049" t="n">
        <v>0</v>
      </c>
      <c r="K5049" t="n">
        <v>0</v>
      </c>
      <c r="L5049" t="n">
        <v>0</v>
      </c>
      <c r="M5049" t="n">
        <v>0</v>
      </c>
      <c r="N5049" t="n">
        <v>0</v>
      </c>
      <c r="O5049" t="n">
        <v>0</v>
      </c>
      <c r="P5049" t="n">
        <v>0</v>
      </c>
      <c r="Q5049" t="n">
        <v>0</v>
      </c>
      <c r="R5049" s="2" t="inlineStr"/>
    </row>
    <row r="5050" ht="15" customHeight="1">
      <c r="A5050" t="inlineStr">
        <is>
          <t>A 25176-2023</t>
        </is>
      </c>
      <c r="B5050" s="1" t="n">
        <v>45086</v>
      </c>
      <c r="C5050" s="1" t="n">
        <v>45952</v>
      </c>
      <c r="D5050" t="inlineStr">
        <is>
          <t>VÄSTRA GÖTALANDS LÄN</t>
        </is>
      </c>
      <c r="E5050" t="inlineStr">
        <is>
          <t>SKARA</t>
        </is>
      </c>
      <c r="G5050" t="n">
        <v>1</v>
      </c>
      <c r="H5050" t="n">
        <v>0</v>
      </c>
      <c r="I5050" t="n">
        <v>0</v>
      </c>
      <c r="J5050" t="n">
        <v>0</v>
      </c>
      <c r="K5050" t="n">
        <v>0</v>
      </c>
      <c r="L5050" t="n">
        <v>0</v>
      </c>
      <c r="M5050" t="n">
        <v>0</v>
      </c>
      <c r="N5050" t="n">
        <v>0</v>
      </c>
      <c r="O5050" t="n">
        <v>0</v>
      </c>
      <c r="P5050" t="n">
        <v>0</v>
      </c>
      <c r="Q5050" t="n">
        <v>0</v>
      </c>
      <c r="R5050" s="2" t="inlineStr"/>
    </row>
    <row r="5051" ht="15" customHeight="1">
      <c r="A5051" t="inlineStr">
        <is>
          <t>A 35239-2023</t>
        </is>
      </c>
      <c r="B5051" s="1" t="n">
        <v>45145.74783564815</v>
      </c>
      <c r="C5051" s="1" t="n">
        <v>45952</v>
      </c>
      <c r="D5051" t="inlineStr">
        <is>
          <t>VÄSTRA GÖTALANDS LÄN</t>
        </is>
      </c>
      <c r="E5051" t="inlineStr">
        <is>
          <t>TÖREBODA</t>
        </is>
      </c>
      <c r="G5051" t="n">
        <v>0.8</v>
      </c>
      <c r="H5051" t="n">
        <v>0</v>
      </c>
      <c r="I5051" t="n">
        <v>0</v>
      </c>
      <c r="J5051" t="n">
        <v>0</v>
      </c>
      <c r="K5051" t="n">
        <v>0</v>
      </c>
      <c r="L5051" t="n">
        <v>0</v>
      </c>
      <c r="M5051" t="n">
        <v>0</v>
      </c>
      <c r="N5051" t="n">
        <v>0</v>
      </c>
      <c r="O5051" t="n">
        <v>0</v>
      </c>
      <c r="P5051" t="n">
        <v>0</v>
      </c>
      <c r="Q5051" t="n">
        <v>0</v>
      </c>
      <c r="R5051" s="2" t="inlineStr"/>
    </row>
    <row r="5052" ht="15" customHeight="1">
      <c r="A5052" t="inlineStr">
        <is>
          <t>A 12208-2021</t>
        </is>
      </c>
      <c r="B5052" s="1" t="n">
        <v>44266.65693287037</v>
      </c>
      <c r="C5052" s="1" t="n">
        <v>45952</v>
      </c>
      <c r="D5052" t="inlineStr">
        <is>
          <t>VÄSTRA GÖTALANDS LÄN</t>
        </is>
      </c>
      <c r="E5052" t="inlineStr">
        <is>
          <t>KARLSBORG</t>
        </is>
      </c>
      <c r="G5052" t="n">
        <v>1.7</v>
      </c>
      <c r="H5052" t="n">
        <v>0</v>
      </c>
      <c r="I5052" t="n">
        <v>0</v>
      </c>
      <c r="J5052" t="n">
        <v>0</v>
      </c>
      <c r="K5052" t="n">
        <v>0</v>
      </c>
      <c r="L5052" t="n">
        <v>0</v>
      </c>
      <c r="M5052" t="n">
        <v>0</v>
      </c>
      <c r="N5052" t="n">
        <v>0</v>
      </c>
      <c r="O5052" t="n">
        <v>0</v>
      </c>
      <c r="P5052" t="n">
        <v>0</v>
      </c>
      <c r="Q5052" t="n">
        <v>0</v>
      </c>
      <c r="R5052" s="2" t="inlineStr"/>
    </row>
    <row r="5053" ht="15" customHeight="1">
      <c r="A5053" t="inlineStr">
        <is>
          <t>A 61873-2024</t>
        </is>
      </c>
      <c r="B5053" s="1" t="n">
        <v>45651.88362268519</v>
      </c>
      <c r="C5053" s="1" t="n">
        <v>45952</v>
      </c>
      <c r="D5053" t="inlineStr">
        <is>
          <t>VÄSTRA GÖTALANDS LÄN</t>
        </is>
      </c>
      <c r="E5053" t="inlineStr">
        <is>
          <t>TÖREBODA</t>
        </is>
      </c>
      <c r="G5053" t="n">
        <v>2.2</v>
      </c>
      <c r="H5053" t="n">
        <v>0</v>
      </c>
      <c r="I5053" t="n">
        <v>0</v>
      </c>
      <c r="J5053" t="n">
        <v>0</v>
      </c>
      <c r="K5053" t="n">
        <v>0</v>
      </c>
      <c r="L5053" t="n">
        <v>0</v>
      </c>
      <c r="M5053" t="n">
        <v>0</v>
      </c>
      <c r="N5053" t="n">
        <v>0</v>
      </c>
      <c r="O5053" t="n">
        <v>0</v>
      </c>
      <c r="P5053" t="n">
        <v>0</v>
      </c>
      <c r="Q5053" t="n">
        <v>0</v>
      </c>
      <c r="R5053" s="2" t="inlineStr"/>
    </row>
    <row r="5054" ht="15" customHeight="1">
      <c r="A5054" t="inlineStr">
        <is>
          <t>A 61874-2024</t>
        </is>
      </c>
      <c r="B5054" s="1" t="n">
        <v>45651.93527777777</v>
      </c>
      <c r="C5054" s="1" t="n">
        <v>45952</v>
      </c>
      <c r="D5054" t="inlineStr">
        <is>
          <t>VÄSTRA GÖTALANDS LÄN</t>
        </is>
      </c>
      <c r="E5054" t="inlineStr">
        <is>
          <t>HÄRRYDA</t>
        </is>
      </c>
      <c r="G5054" t="n">
        <v>1</v>
      </c>
      <c r="H5054" t="n">
        <v>0</v>
      </c>
      <c r="I5054" t="n">
        <v>0</v>
      </c>
      <c r="J5054" t="n">
        <v>0</v>
      </c>
      <c r="K5054" t="n">
        <v>0</v>
      </c>
      <c r="L5054" t="n">
        <v>0</v>
      </c>
      <c r="M5054" t="n">
        <v>0</v>
      </c>
      <c r="N5054" t="n">
        <v>0</v>
      </c>
      <c r="O5054" t="n">
        <v>0</v>
      </c>
      <c r="P5054" t="n">
        <v>0</v>
      </c>
      <c r="Q5054" t="n">
        <v>0</v>
      </c>
      <c r="R5054" s="2" t="inlineStr"/>
    </row>
    <row r="5055" ht="15" customHeight="1">
      <c r="A5055" t="inlineStr">
        <is>
          <t>A 59915-2024</t>
        </is>
      </c>
      <c r="B5055" s="1" t="n">
        <v>45641.74975694445</v>
      </c>
      <c r="C5055" s="1" t="n">
        <v>45952</v>
      </c>
      <c r="D5055" t="inlineStr">
        <is>
          <t>VÄSTRA GÖTALANDS LÄN</t>
        </is>
      </c>
      <c r="E5055" t="inlineStr">
        <is>
          <t>ORUST</t>
        </is>
      </c>
      <c r="G5055" t="n">
        <v>1.1</v>
      </c>
      <c r="H5055" t="n">
        <v>0</v>
      </c>
      <c r="I5055" t="n">
        <v>0</v>
      </c>
      <c r="J5055" t="n">
        <v>0</v>
      </c>
      <c r="K5055" t="n">
        <v>0</v>
      </c>
      <c r="L5055" t="n">
        <v>0</v>
      </c>
      <c r="M5055" t="n">
        <v>0</v>
      </c>
      <c r="N5055" t="n">
        <v>0</v>
      </c>
      <c r="O5055" t="n">
        <v>0</v>
      </c>
      <c r="P5055" t="n">
        <v>0</v>
      </c>
      <c r="Q5055" t="n">
        <v>0</v>
      </c>
      <c r="R5055" s="2" t="inlineStr"/>
    </row>
    <row r="5056" ht="15" customHeight="1">
      <c r="A5056" t="inlineStr">
        <is>
          <t>A 15645-2023</t>
        </is>
      </c>
      <c r="B5056" s="1" t="n">
        <v>45021.3778587963</v>
      </c>
      <c r="C5056" s="1" t="n">
        <v>45952</v>
      </c>
      <c r="D5056" t="inlineStr">
        <is>
          <t>VÄSTRA GÖTALANDS LÄN</t>
        </is>
      </c>
      <c r="E5056" t="inlineStr">
        <is>
          <t>HERRLJUNGA</t>
        </is>
      </c>
      <c r="G5056" t="n">
        <v>1.7</v>
      </c>
      <c r="H5056" t="n">
        <v>0</v>
      </c>
      <c r="I5056" t="n">
        <v>0</v>
      </c>
      <c r="J5056" t="n">
        <v>0</v>
      </c>
      <c r="K5056" t="n">
        <v>0</v>
      </c>
      <c r="L5056" t="n">
        <v>0</v>
      </c>
      <c r="M5056" t="n">
        <v>0</v>
      </c>
      <c r="N5056" t="n">
        <v>0</v>
      </c>
      <c r="O5056" t="n">
        <v>0</v>
      </c>
      <c r="P5056" t="n">
        <v>0</v>
      </c>
      <c r="Q5056" t="n">
        <v>0</v>
      </c>
      <c r="R5056" s="2" t="inlineStr"/>
    </row>
    <row r="5057" ht="15" customHeight="1">
      <c r="A5057" t="inlineStr">
        <is>
          <t>A 52237-2021</t>
        </is>
      </c>
      <c r="B5057" s="1" t="n">
        <v>44463.60166666667</v>
      </c>
      <c r="C5057" s="1" t="n">
        <v>45952</v>
      </c>
      <c r="D5057" t="inlineStr">
        <is>
          <t>VÄSTRA GÖTALANDS LÄN</t>
        </is>
      </c>
      <c r="E5057" t="inlineStr">
        <is>
          <t>VARA</t>
        </is>
      </c>
      <c r="G5057" t="n">
        <v>1.4</v>
      </c>
      <c r="H5057" t="n">
        <v>0</v>
      </c>
      <c r="I5057" t="n">
        <v>0</v>
      </c>
      <c r="J5057" t="n">
        <v>0</v>
      </c>
      <c r="K5057" t="n">
        <v>0</v>
      </c>
      <c r="L5057" t="n">
        <v>0</v>
      </c>
      <c r="M5057" t="n">
        <v>0</v>
      </c>
      <c r="N5057" t="n">
        <v>0</v>
      </c>
      <c r="O5057" t="n">
        <v>0</v>
      </c>
      <c r="P5057" t="n">
        <v>0</v>
      </c>
      <c r="Q5057" t="n">
        <v>0</v>
      </c>
      <c r="R5057" s="2" t="inlineStr"/>
    </row>
    <row r="5058" ht="15" customHeight="1">
      <c r="A5058" t="inlineStr">
        <is>
          <t>A 6120-2023</t>
        </is>
      </c>
      <c r="B5058" s="1" t="n">
        <v>44964</v>
      </c>
      <c r="C5058" s="1" t="n">
        <v>45952</v>
      </c>
      <c r="D5058" t="inlineStr">
        <is>
          <t>VÄSTRA GÖTALANDS LÄN</t>
        </is>
      </c>
      <c r="E5058" t="inlineStr">
        <is>
          <t>ALINGSÅS</t>
        </is>
      </c>
      <c r="G5058" t="n">
        <v>0.8</v>
      </c>
      <c r="H5058" t="n">
        <v>0</v>
      </c>
      <c r="I5058" t="n">
        <v>0</v>
      </c>
      <c r="J5058" t="n">
        <v>0</v>
      </c>
      <c r="K5058" t="n">
        <v>0</v>
      </c>
      <c r="L5058" t="n">
        <v>0</v>
      </c>
      <c r="M5058" t="n">
        <v>0</v>
      </c>
      <c r="N5058" t="n">
        <v>0</v>
      </c>
      <c r="O5058" t="n">
        <v>0</v>
      </c>
      <c r="P5058" t="n">
        <v>0</v>
      </c>
      <c r="Q5058" t="n">
        <v>0</v>
      </c>
      <c r="R5058" s="2" t="inlineStr"/>
    </row>
    <row r="5059" ht="15" customHeight="1">
      <c r="A5059" t="inlineStr">
        <is>
          <t>A 8895-2023</t>
        </is>
      </c>
      <c r="B5059" s="1" t="n">
        <v>44979</v>
      </c>
      <c r="C5059" s="1" t="n">
        <v>45952</v>
      </c>
      <c r="D5059" t="inlineStr">
        <is>
          <t>VÄSTRA GÖTALANDS LÄN</t>
        </is>
      </c>
      <c r="E5059" t="inlineStr">
        <is>
          <t>VÅRGÅRDA</t>
        </is>
      </c>
      <c r="F5059" t="inlineStr">
        <is>
          <t>Sveaskog</t>
        </is>
      </c>
      <c r="G5059" t="n">
        <v>4.6</v>
      </c>
      <c r="H5059" t="n">
        <v>0</v>
      </c>
      <c r="I5059" t="n">
        <v>0</v>
      </c>
      <c r="J5059" t="n">
        <v>0</v>
      </c>
      <c r="K5059" t="n">
        <v>0</v>
      </c>
      <c r="L5059" t="n">
        <v>0</v>
      </c>
      <c r="M5059" t="n">
        <v>0</v>
      </c>
      <c r="N5059" t="n">
        <v>0</v>
      </c>
      <c r="O5059" t="n">
        <v>0</v>
      </c>
      <c r="P5059" t="n">
        <v>0</v>
      </c>
      <c r="Q5059" t="n">
        <v>0</v>
      </c>
      <c r="R5059" s="2" t="inlineStr"/>
    </row>
    <row r="5060" ht="15" customHeight="1">
      <c r="A5060" t="inlineStr">
        <is>
          <t>A 47724-2023</t>
        </is>
      </c>
      <c r="B5060" s="1" t="n">
        <v>45203</v>
      </c>
      <c r="C5060" s="1" t="n">
        <v>45952</v>
      </c>
      <c r="D5060" t="inlineStr">
        <is>
          <t>VÄSTRA GÖTALANDS LÄN</t>
        </is>
      </c>
      <c r="E5060" t="inlineStr">
        <is>
          <t>ULRICEHAMN</t>
        </is>
      </c>
      <c r="G5060" t="n">
        <v>3.9</v>
      </c>
      <c r="H5060" t="n">
        <v>0</v>
      </c>
      <c r="I5060" t="n">
        <v>0</v>
      </c>
      <c r="J5060" t="n">
        <v>0</v>
      </c>
      <c r="K5060" t="n">
        <v>0</v>
      </c>
      <c r="L5060" t="n">
        <v>0</v>
      </c>
      <c r="M5060" t="n">
        <v>0</v>
      </c>
      <c r="N5060" t="n">
        <v>0</v>
      </c>
      <c r="O5060" t="n">
        <v>0</v>
      </c>
      <c r="P5060" t="n">
        <v>0</v>
      </c>
      <c r="Q5060" t="n">
        <v>0</v>
      </c>
      <c r="R5060" s="2" t="inlineStr"/>
    </row>
    <row r="5061" ht="15" customHeight="1">
      <c r="A5061" t="inlineStr">
        <is>
          <t>A 38383-2022</t>
        </is>
      </c>
      <c r="B5061" s="1" t="n">
        <v>44812</v>
      </c>
      <c r="C5061" s="1" t="n">
        <v>45952</v>
      </c>
      <c r="D5061" t="inlineStr">
        <is>
          <t>VÄSTRA GÖTALANDS LÄN</t>
        </is>
      </c>
      <c r="E5061" t="inlineStr">
        <is>
          <t>LILLA EDET</t>
        </is>
      </c>
      <c r="G5061" t="n">
        <v>1.4</v>
      </c>
      <c r="H5061" t="n">
        <v>0</v>
      </c>
      <c r="I5061" t="n">
        <v>0</v>
      </c>
      <c r="J5061" t="n">
        <v>0</v>
      </c>
      <c r="K5061" t="n">
        <v>0</v>
      </c>
      <c r="L5061" t="n">
        <v>0</v>
      </c>
      <c r="M5061" t="n">
        <v>0</v>
      </c>
      <c r="N5061" t="n">
        <v>0</v>
      </c>
      <c r="O5061" t="n">
        <v>0</v>
      </c>
      <c r="P5061" t="n">
        <v>0</v>
      </c>
      <c r="Q5061" t="n">
        <v>0</v>
      </c>
      <c r="R5061" s="2" t="inlineStr"/>
    </row>
    <row r="5062" ht="15" customHeight="1">
      <c r="A5062" t="inlineStr">
        <is>
          <t>A 5152-2025</t>
        </is>
      </c>
      <c r="B5062" s="1" t="n">
        <v>45691.6000462963</v>
      </c>
      <c r="C5062" s="1" t="n">
        <v>45952</v>
      </c>
      <c r="D5062" t="inlineStr">
        <is>
          <t>VÄSTRA GÖTALANDS LÄN</t>
        </is>
      </c>
      <c r="E5062" t="inlineStr">
        <is>
          <t>ORUST</t>
        </is>
      </c>
      <c r="G5062" t="n">
        <v>2.1</v>
      </c>
      <c r="H5062" t="n">
        <v>0</v>
      </c>
      <c r="I5062" t="n">
        <v>0</v>
      </c>
      <c r="J5062" t="n">
        <v>0</v>
      </c>
      <c r="K5062" t="n">
        <v>0</v>
      </c>
      <c r="L5062" t="n">
        <v>0</v>
      </c>
      <c r="M5062" t="n">
        <v>0</v>
      </c>
      <c r="N5062" t="n">
        <v>0</v>
      </c>
      <c r="O5062" t="n">
        <v>0</v>
      </c>
      <c r="P5062" t="n">
        <v>0</v>
      </c>
      <c r="Q5062" t="n">
        <v>0</v>
      </c>
      <c r="R5062" s="2" t="inlineStr"/>
    </row>
    <row r="5063" ht="15" customHeight="1">
      <c r="A5063" t="inlineStr">
        <is>
          <t>A 17964-2022</t>
        </is>
      </c>
      <c r="B5063" s="1" t="n">
        <v>44683.68414351852</v>
      </c>
      <c r="C5063" s="1" t="n">
        <v>45952</v>
      </c>
      <c r="D5063" t="inlineStr">
        <is>
          <t>VÄSTRA GÖTALANDS LÄN</t>
        </is>
      </c>
      <c r="E5063" t="inlineStr">
        <is>
          <t>UDDEVALLA</t>
        </is>
      </c>
      <c r="G5063" t="n">
        <v>1.3</v>
      </c>
      <c r="H5063" t="n">
        <v>0</v>
      </c>
      <c r="I5063" t="n">
        <v>0</v>
      </c>
      <c r="J5063" t="n">
        <v>0</v>
      </c>
      <c r="K5063" t="n">
        <v>0</v>
      </c>
      <c r="L5063" t="n">
        <v>0</v>
      </c>
      <c r="M5063" t="n">
        <v>0</v>
      </c>
      <c r="N5063" t="n">
        <v>0</v>
      </c>
      <c r="O5063" t="n">
        <v>0</v>
      </c>
      <c r="P5063" t="n">
        <v>0</v>
      </c>
      <c r="Q5063" t="n">
        <v>0</v>
      </c>
      <c r="R5063" s="2" t="inlineStr"/>
    </row>
    <row r="5064" ht="15" customHeight="1">
      <c r="A5064" t="inlineStr">
        <is>
          <t>A 22426-2022</t>
        </is>
      </c>
      <c r="B5064" s="1" t="n">
        <v>44713.47829861111</v>
      </c>
      <c r="C5064" s="1" t="n">
        <v>45952</v>
      </c>
      <c r="D5064" t="inlineStr">
        <is>
          <t>VÄSTRA GÖTALANDS LÄN</t>
        </is>
      </c>
      <c r="E5064" t="inlineStr">
        <is>
          <t>MARK</t>
        </is>
      </c>
      <c r="G5064" t="n">
        <v>1.5</v>
      </c>
      <c r="H5064" t="n">
        <v>0</v>
      </c>
      <c r="I5064" t="n">
        <v>0</v>
      </c>
      <c r="J5064" t="n">
        <v>0</v>
      </c>
      <c r="K5064" t="n">
        <v>0</v>
      </c>
      <c r="L5064" t="n">
        <v>0</v>
      </c>
      <c r="M5064" t="n">
        <v>0</v>
      </c>
      <c r="N5064" t="n">
        <v>0</v>
      </c>
      <c r="O5064" t="n">
        <v>0</v>
      </c>
      <c r="P5064" t="n">
        <v>0</v>
      </c>
      <c r="Q5064" t="n">
        <v>0</v>
      </c>
      <c r="R5064" s="2" t="inlineStr"/>
    </row>
    <row r="5065" ht="15" customHeight="1">
      <c r="A5065" t="inlineStr">
        <is>
          <t>A 8210-2025</t>
        </is>
      </c>
      <c r="B5065" s="1" t="n">
        <v>45708.44409722222</v>
      </c>
      <c r="C5065" s="1" t="n">
        <v>45952</v>
      </c>
      <c r="D5065" t="inlineStr">
        <is>
          <t>VÄSTRA GÖTALANDS LÄN</t>
        </is>
      </c>
      <c r="E5065" t="inlineStr">
        <is>
          <t>ALINGSÅS</t>
        </is>
      </c>
      <c r="G5065" t="n">
        <v>3.1</v>
      </c>
      <c r="H5065" t="n">
        <v>0</v>
      </c>
      <c r="I5065" t="n">
        <v>0</v>
      </c>
      <c r="J5065" t="n">
        <v>0</v>
      </c>
      <c r="K5065" t="n">
        <v>0</v>
      </c>
      <c r="L5065" t="n">
        <v>0</v>
      </c>
      <c r="M5065" t="n">
        <v>0</v>
      </c>
      <c r="N5065" t="n">
        <v>0</v>
      </c>
      <c r="O5065" t="n">
        <v>0</v>
      </c>
      <c r="P5065" t="n">
        <v>0</v>
      </c>
      <c r="Q5065" t="n">
        <v>0</v>
      </c>
      <c r="R5065" s="2" t="inlineStr"/>
    </row>
    <row r="5066" ht="15" customHeight="1">
      <c r="A5066" t="inlineStr">
        <is>
          <t>A 8268-2025</t>
        </is>
      </c>
      <c r="B5066" s="1" t="n">
        <v>45708.51210648148</v>
      </c>
      <c r="C5066" s="1" t="n">
        <v>45952</v>
      </c>
      <c r="D5066" t="inlineStr">
        <is>
          <t>VÄSTRA GÖTALANDS LÄN</t>
        </is>
      </c>
      <c r="E5066" t="inlineStr">
        <is>
          <t>VÅRGÅRDA</t>
        </is>
      </c>
      <c r="G5066" t="n">
        <v>4</v>
      </c>
      <c r="H5066" t="n">
        <v>0</v>
      </c>
      <c r="I5066" t="n">
        <v>0</v>
      </c>
      <c r="J5066" t="n">
        <v>0</v>
      </c>
      <c r="K5066" t="n">
        <v>0</v>
      </c>
      <c r="L5066" t="n">
        <v>0</v>
      </c>
      <c r="M5066" t="n">
        <v>0</v>
      </c>
      <c r="N5066" t="n">
        <v>0</v>
      </c>
      <c r="O5066" t="n">
        <v>0</v>
      </c>
      <c r="P5066" t="n">
        <v>0</v>
      </c>
      <c r="Q5066" t="n">
        <v>0</v>
      </c>
      <c r="R5066" s="2" t="inlineStr"/>
    </row>
    <row r="5067" ht="15" customHeight="1">
      <c r="A5067" t="inlineStr">
        <is>
          <t>A 7631-2025</t>
        </is>
      </c>
      <c r="B5067" s="1" t="n">
        <v>45705.75006944445</v>
      </c>
      <c r="C5067" s="1" t="n">
        <v>45952</v>
      </c>
      <c r="D5067" t="inlineStr">
        <is>
          <t>VÄSTRA GÖTALANDS LÄN</t>
        </is>
      </c>
      <c r="E5067" t="inlineStr">
        <is>
          <t>ALINGSÅS</t>
        </is>
      </c>
      <c r="G5067" t="n">
        <v>1.4</v>
      </c>
      <c r="H5067" t="n">
        <v>0</v>
      </c>
      <c r="I5067" t="n">
        <v>0</v>
      </c>
      <c r="J5067" t="n">
        <v>0</v>
      </c>
      <c r="K5067" t="n">
        <v>0</v>
      </c>
      <c r="L5067" t="n">
        <v>0</v>
      </c>
      <c r="M5067" t="n">
        <v>0</v>
      </c>
      <c r="N5067" t="n">
        <v>0</v>
      </c>
      <c r="O5067" t="n">
        <v>0</v>
      </c>
      <c r="P5067" t="n">
        <v>0</v>
      </c>
      <c r="Q5067" t="n">
        <v>0</v>
      </c>
      <c r="R5067" s="2" t="inlineStr"/>
    </row>
    <row r="5068" ht="15" customHeight="1">
      <c r="A5068" t="inlineStr">
        <is>
          <t>A 27103-2024</t>
        </is>
      </c>
      <c r="B5068" s="1" t="n">
        <v>45471.4950462963</v>
      </c>
      <c r="C5068" s="1" t="n">
        <v>45952</v>
      </c>
      <c r="D5068" t="inlineStr">
        <is>
          <t>VÄSTRA GÖTALANDS LÄN</t>
        </is>
      </c>
      <c r="E5068" t="inlineStr">
        <is>
          <t>BOLLEBYGD</t>
        </is>
      </c>
      <c r="G5068" t="n">
        <v>0.6</v>
      </c>
      <c r="H5068" t="n">
        <v>0</v>
      </c>
      <c r="I5068" t="n">
        <v>0</v>
      </c>
      <c r="J5068" t="n">
        <v>0</v>
      </c>
      <c r="K5068" t="n">
        <v>0</v>
      </c>
      <c r="L5068" t="n">
        <v>0</v>
      </c>
      <c r="M5068" t="n">
        <v>0</v>
      </c>
      <c r="N5068" t="n">
        <v>0</v>
      </c>
      <c r="O5068" t="n">
        <v>0</v>
      </c>
      <c r="P5068" t="n">
        <v>0</v>
      </c>
      <c r="Q5068" t="n">
        <v>0</v>
      </c>
      <c r="R5068" s="2" t="inlineStr"/>
    </row>
    <row r="5069" ht="15" customHeight="1">
      <c r="A5069" t="inlineStr">
        <is>
          <t>A 18358-2021</t>
        </is>
      </c>
      <c r="B5069" s="1" t="n">
        <v>44305</v>
      </c>
      <c r="C5069" s="1" t="n">
        <v>45952</v>
      </c>
      <c r="D5069" t="inlineStr">
        <is>
          <t>VÄSTRA GÖTALANDS LÄN</t>
        </is>
      </c>
      <c r="E5069" t="inlineStr">
        <is>
          <t>HERRLJUNGA</t>
        </is>
      </c>
      <c r="G5069" t="n">
        <v>1.8</v>
      </c>
      <c r="H5069" t="n">
        <v>0</v>
      </c>
      <c r="I5069" t="n">
        <v>0</v>
      </c>
      <c r="J5069" t="n">
        <v>0</v>
      </c>
      <c r="K5069" t="n">
        <v>0</v>
      </c>
      <c r="L5069" t="n">
        <v>0</v>
      </c>
      <c r="M5069" t="n">
        <v>0</v>
      </c>
      <c r="N5069" t="n">
        <v>0</v>
      </c>
      <c r="O5069" t="n">
        <v>0</v>
      </c>
      <c r="P5069" t="n">
        <v>0</v>
      </c>
      <c r="Q5069" t="n">
        <v>0</v>
      </c>
      <c r="R5069" s="2" t="inlineStr"/>
    </row>
    <row r="5070" ht="15" customHeight="1">
      <c r="A5070" t="inlineStr">
        <is>
          <t>A 40842-2023</t>
        </is>
      </c>
      <c r="B5070" s="1" t="n">
        <v>45172</v>
      </c>
      <c r="C5070" s="1" t="n">
        <v>45952</v>
      </c>
      <c r="D5070" t="inlineStr">
        <is>
          <t>VÄSTRA GÖTALANDS LÄN</t>
        </is>
      </c>
      <c r="E5070" t="inlineStr">
        <is>
          <t>HERRLJUNGA</t>
        </is>
      </c>
      <c r="G5070" t="n">
        <v>3.3</v>
      </c>
      <c r="H5070" t="n">
        <v>0</v>
      </c>
      <c r="I5070" t="n">
        <v>0</v>
      </c>
      <c r="J5070" t="n">
        <v>0</v>
      </c>
      <c r="K5070" t="n">
        <v>0</v>
      </c>
      <c r="L5070" t="n">
        <v>0</v>
      </c>
      <c r="M5070" t="n">
        <v>0</v>
      </c>
      <c r="N5070" t="n">
        <v>0</v>
      </c>
      <c r="O5070" t="n">
        <v>0</v>
      </c>
      <c r="P5070" t="n">
        <v>0</v>
      </c>
      <c r="Q5070" t="n">
        <v>0</v>
      </c>
      <c r="R5070" s="2" t="inlineStr"/>
    </row>
    <row r="5071" ht="15" customHeight="1">
      <c r="A5071" t="inlineStr">
        <is>
          <t>A 29159-2024</t>
        </is>
      </c>
      <c r="B5071" s="1" t="n">
        <v>45482</v>
      </c>
      <c r="C5071" s="1" t="n">
        <v>45952</v>
      </c>
      <c r="D5071" t="inlineStr">
        <is>
          <t>VÄSTRA GÖTALANDS LÄN</t>
        </is>
      </c>
      <c r="E5071" t="inlineStr">
        <is>
          <t>HERRLJUNGA</t>
        </is>
      </c>
      <c r="G5071" t="n">
        <v>2</v>
      </c>
      <c r="H5071" t="n">
        <v>0</v>
      </c>
      <c r="I5071" t="n">
        <v>0</v>
      </c>
      <c r="J5071" t="n">
        <v>0</v>
      </c>
      <c r="K5071" t="n">
        <v>0</v>
      </c>
      <c r="L5071" t="n">
        <v>0</v>
      </c>
      <c r="M5071" t="n">
        <v>0</v>
      </c>
      <c r="N5071" t="n">
        <v>0</v>
      </c>
      <c r="O5071" t="n">
        <v>0</v>
      </c>
      <c r="P5071" t="n">
        <v>0</v>
      </c>
      <c r="Q5071" t="n">
        <v>0</v>
      </c>
      <c r="R5071" s="2" t="inlineStr"/>
    </row>
    <row r="5072" ht="15" customHeight="1">
      <c r="A5072" t="inlineStr">
        <is>
          <t>A 9164-2025</t>
        </is>
      </c>
      <c r="B5072" s="1" t="n">
        <v>45714.36677083333</v>
      </c>
      <c r="C5072" s="1" t="n">
        <v>45952</v>
      </c>
      <c r="D5072" t="inlineStr">
        <is>
          <t>VÄSTRA GÖTALANDS LÄN</t>
        </is>
      </c>
      <c r="E5072" t="inlineStr">
        <is>
          <t>DALS-ED</t>
        </is>
      </c>
      <c r="G5072" t="n">
        <v>0.8</v>
      </c>
      <c r="H5072" t="n">
        <v>0</v>
      </c>
      <c r="I5072" t="n">
        <v>0</v>
      </c>
      <c r="J5072" t="n">
        <v>0</v>
      </c>
      <c r="K5072" t="n">
        <v>0</v>
      </c>
      <c r="L5072" t="n">
        <v>0</v>
      </c>
      <c r="M5072" t="n">
        <v>0</v>
      </c>
      <c r="N5072" t="n">
        <v>0</v>
      </c>
      <c r="O5072" t="n">
        <v>0</v>
      </c>
      <c r="P5072" t="n">
        <v>0</v>
      </c>
      <c r="Q5072" t="n">
        <v>0</v>
      </c>
      <c r="R5072" s="2" t="inlineStr"/>
    </row>
    <row r="5073" ht="15" customHeight="1">
      <c r="A5073" t="inlineStr">
        <is>
          <t>A 44295-2024</t>
        </is>
      </c>
      <c r="B5073" s="1" t="n">
        <v>45573.54892361111</v>
      </c>
      <c r="C5073" s="1" t="n">
        <v>45952</v>
      </c>
      <c r="D5073" t="inlineStr">
        <is>
          <t>VÄSTRA GÖTALANDS LÄN</t>
        </is>
      </c>
      <c r="E5073" t="inlineStr">
        <is>
          <t>TRANEMO</t>
        </is>
      </c>
      <c r="G5073" t="n">
        <v>2.4</v>
      </c>
      <c r="H5073" t="n">
        <v>0</v>
      </c>
      <c r="I5073" t="n">
        <v>0</v>
      </c>
      <c r="J5073" t="n">
        <v>0</v>
      </c>
      <c r="K5073" t="n">
        <v>0</v>
      </c>
      <c r="L5073" t="n">
        <v>0</v>
      </c>
      <c r="M5073" t="n">
        <v>0</v>
      </c>
      <c r="N5073" t="n">
        <v>0</v>
      </c>
      <c r="O5073" t="n">
        <v>0</v>
      </c>
      <c r="P5073" t="n">
        <v>0</v>
      </c>
      <c r="Q5073" t="n">
        <v>0</v>
      </c>
      <c r="R5073" s="2" t="inlineStr"/>
    </row>
    <row r="5074" ht="15" customHeight="1">
      <c r="A5074" t="inlineStr">
        <is>
          <t>A 55764-2024</t>
        </is>
      </c>
      <c r="B5074" s="1" t="n">
        <v>45623.36986111111</v>
      </c>
      <c r="C5074" s="1" t="n">
        <v>45952</v>
      </c>
      <c r="D5074" t="inlineStr">
        <is>
          <t>VÄSTRA GÖTALANDS LÄN</t>
        </is>
      </c>
      <c r="E5074" t="inlineStr">
        <is>
          <t>GÖTENE</t>
        </is>
      </c>
      <c r="G5074" t="n">
        <v>0.7</v>
      </c>
      <c r="H5074" t="n">
        <v>0</v>
      </c>
      <c r="I5074" t="n">
        <v>0</v>
      </c>
      <c r="J5074" t="n">
        <v>0</v>
      </c>
      <c r="K5074" t="n">
        <v>0</v>
      </c>
      <c r="L5074" t="n">
        <v>0</v>
      </c>
      <c r="M5074" t="n">
        <v>0</v>
      </c>
      <c r="N5074" t="n">
        <v>0</v>
      </c>
      <c r="O5074" t="n">
        <v>0</v>
      </c>
      <c r="P5074" t="n">
        <v>0</v>
      </c>
      <c r="Q5074" t="n">
        <v>0</v>
      </c>
      <c r="R5074" s="2" t="inlineStr"/>
    </row>
    <row r="5075" ht="15" customHeight="1">
      <c r="A5075" t="inlineStr">
        <is>
          <t>A 55830-2024</t>
        </is>
      </c>
      <c r="B5075" s="1" t="n">
        <v>45623.48478009259</v>
      </c>
      <c r="C5075" s="1" t="n">
        <v>45952</v>
      </c>
      <c r="D5075" t="inlineStr">
        <is>
          <t>VÄSTRA GÖTALANDS LÄN</t>
        </is>
      </c>
      <c r="E5075" t="inlineStr">
        <is>
          <t>KUNGÄLV</t>
        </is>
      </c>
      <c r="G5075" t="n">
        <v>5.1</v>
      </c>
      <c r="H5075" t="n">
        <v>0</v>
      </c>
      <c r="I5075" t="n">
        <v>0</v>
      </c>
      <c r="J5075" t="n">
        <v>0</v>
      </c>
      <c r="K5075" t="n">
        <v>0</v>
      </c>
      <c r="L5075" t="n">
        <v>0</v>
      </c>
      <c r="M5075" t="n">
        <v>0</v>
      </c>
      <c r="N5075" t="n">
        <v>0</v>
      </c>
      <c r="O5075" t="n">
        <v>0</v>
      </c>
      <c r="P5075" t="n">
        <v>0</v>
      </c>
      <c r="Q5075" t="n">
        <v>0</v>
      </c>
      <c r="R5075" s="2" t="inlineStr"/>
    </row>
    <row r="5076" ht="15" customHeight="1">
      <c r="A5076" t="inlineStr">
        <is>
          <t>A 44478-2023</t>
        </is>
      </c>
      <c r="B5076" s="1" t="n">
        <v>45189.42894675926</v>
      </c>
      <c r="C5076" s="1" t="n">
        <v>45952</v>
      </c>
      <c r="D5076" t="inlineStr">
        <is>
          <t>VÄSTRA GÖTALANDS LÄN</t>
        </is>
      </c>
      <c r="E5076" t="inlineStr">
        <is>
          <t>MUNKEDAL</t>
        </is>
      </c>
      <c r="G5076" t="n">
        <v>3</v>
      </c>
      <c r="H5076" t="n">
        <v>0</v>
      </c>
      <c r="I5076" t="n">
        <v>0</v>
      </c>
      <c r="J5076" t="n">
        <v>0</v>
      </c>
      <c r="K5076" t="n">
        <v>0</v>
      </c>
      <c r="L5076" t="n">
        <v>0</v>
      </c>
      <c r="M5076" t="n">
        <v>0</v>
      </c>
      <c r="N5076" t="n">
        <v>0</v>
      </c>
      <c r="O5076" t="n">
        <v>0</v>
      </c>
      <c r="P5076" t="n">
        <v>0</v>
      </c>
      <c r="Q5076" t="n">
        <v>0</v>
      </c>
      <c r="R5076" s="2" t="inlineStr"/>
    </row>
    <row r="5077" ht="15" customHeight="1">
      <c r="A5077" t="inlineStr">
        <is>
          <t>A 60117-2021</t>
        </is>
      </c>
      <c r="B5077" s="1" t="n">
        <v>44495</v>
      </c>
      <c r="C5077" s="1" t="n">
        <v>45952</v>
      </c>
      <c r="D5077" t="inlineStr">
        <is>
          <t>VÄSTRA GÖTALANDS LÄN</t>
        </is>
      </c>
      <c r="E5077" t="inlineStr">
        <is>
          <t>SKÖVDE</t>
        </is>
      </c>
      <c r="G5077" t="n">
        <v>5.9</v>
      </c>
      <c r="H5077" t="n">
        <v>0</v>
      </c>
      <c r="I5077" t="n">
        <v>0</v>
      </c>
      <c r="J5077" t="n">
        <v>0</v>
      </c>
      <c r="K5077" t="n">
        <v>0</v>
      </c>
      <c r="L5077" t="n">
        <v>0</v>
      </c>
      <c r="M5077" t="n">
        <v>0</v>
      </c>
      <c r="N5077" t="n">
        <v>0</v>
      </c>
      <c r="O5077" t="n">
        <v>0</v>
      </c>
      <c r="P5077" t="n">
        <v>0</v>
      </c>
      <c r="Q5077" t="n">
        <v>0</v>
      </c>
      <c r="R5077" s="2" t="inlineStr"/>
    </row>
    <row r="5078" ht="15" customHeight="1">
      <c r="A5078" t="inlineStr">
        <is>
          <t>A 53026-2024</t>
        </is>
      </c>
      <c r="B5078" s="1" t="n">
        <v>45611.41813657407</v>
      </c>
      <c r="C5078" s="1" t="n">
        <v>45952</v>
      </c>
      <c r="D5078" t="inlineStr">
        <is>
          <t>VÄSTRA GÖTALANDS LÄN</t>
        </is>
      </c>
      <c r="E5078" t="inlineStr">
        <is>
          <t>MARK</t>
        </is>
      </c>
      <c r="G5078" t="n">
        <v>1.3</v>
      </c>
      <c r="H5078" t="n">
        <v>0</v>
      </c>
      <c r="I5078" t="n">
        <v>0</v>
      </c>
      <c r="J5078" t="n">
        <v>0</v>
      </c>
      <c r="K5078" t="n">
        <v>0</v>
      </c>
      <c r="L5078" t="n">
        <v>0</v>
      </c>
      <c r="M5078" t="n">
        <v>0</v>
      </c>
      <c r="N5078" t="n">
        <v>0</v>
      </c>
      <c r="O5078" t="n">
        <v>0</v>
      </c>
      <c r="P5078" t="n">
        <v>0</v>
      </c>
      <c r="Q5078" t="n">
        <v>0</v>
      </c>
      <c r="R5078" s="2" t="inlineStr"/>
    </row>
    <row r="5079" ht="15" customHeight="1">
      <c r="A5079" t="inlineStr">
        <is>
          <t>A 59438-2022</t>
        </is>
      </c>
      <c r="B5079" s="1" t="n">
        <v>44907.39209490741</v>
      </c>
      <c r="C5079" s="1" t="n">
        <v>45952</v>
      </c>
      <c r="D5079" t="inlineStr">
        <is>
          <t>VÄSTRA GÖTALANDS LÄN</t>
        </is>
      </c>
      <c r="E5079" t="inlineStr">
        <is>
          <t>TÖREBODA</t>
        </is>
      </c>
      <c r="G5079" t="n">
        <v>1.9</v>
      </c>
      <c r="H5079" t="n">
        <v>0</v>
      </c>
      <c r="I5079" t="n">
        <v>0</v>
      </c>
      <c r="J5079" t="n">
        <v>0</v>
      </c>
      <c r="K5079" t="n">
        <v>0</v>
      </c>
      <c r="L5079" t="n">
        <v>0</v>
      </c>
      <c r="M5079" t="n">
        <v>0</v>
      </c>
      <c r="N5079" t="n">
        <v>0</v>
      </c>
      <c r="O5079" t="n">
        <v>0</v>
      </c>
      <c r="P5079" t="n">
        <v>0</v>
      </c>
      <c r="Q5079" t="n">
        <v>0</v>
      </c>
      <c r="R5079" s="2" t="inlineStr"/>
    </row>
    <row r="5080" ht="15" customHeight="1">
      <c r="A5080" t="inlineStr">
        <is>
          <t>A 3430-2025</t>
        </is>
      </c>
      <c r="B5080" s="1" t="n">
        <v>45680.42930555555</v>
      </c>
      <c r="C5080" s="1" t="n">
        <v>45952</v>
      </c>
      <c r="D5080" t="inlineStr">
        <is>
          <t>VÄSTRA GÖTALANDS LÄN</t>
        </is>
      </c>
      <c r="E5080" t="inlineStr">
        <is>
          <t>MARK</t>
        </is>
      </c>
      <c r="G5080" t="n">
        <v>1</v>
      </c>
      <c r="H5080" t="n">
        <v>0</v>
      </c>
      <c r="I5080" t="n">
        <v>0</v>
      </c>
      <c r="J5080" t="n">
        <v>0</v>
      </c>
      <c r="K5080" t="n">
        <v>0</v>
      </c>
      <c r="L5080" t="n">
        <v>0</v>
      </c>
      <c r="M5080" t="n">
        <v>0</v>
      </c>
      <c r="N5080" t="n">
        <v>0</v>
      </c>
      <c r="O5080" t="n">
        <v>0</v>
      </c>
      <c r="P5080" t="n">
        <v>0</v>
      </c>
      <c r="Q5080" t="n">
        <v>0</v>
      </c>
      <c r="R5080" s="2" t="inlineStr"/>
    </row>
    <row r="5081" ht="15" customHeight="1">
      <c r="A5081" t="inlineStr">
        <is>
          <t>A 2551-2023</t>
        </is>
      </c>
      <c r="B5081" s="1" t="n">
        <v>44943.665625</v>
      </c>
      <c r="C5081" s="1" t="n">
        <v>45952</v>
      </c>
      <c r="D5081" t="inlineStr">
        <is>
          <t>VÄSTRA GÖTALANDS LÄN</t>
        </is>
      </c>
      <c r="E5081" t="inlineStr">
        <is>
          <t>MARIESTAD</t>
        </is>
      </c>
      <c r="G5081" t="n">
        <v>1.1</v>
      </c>
      <c r="H5081" t="n">
        <v>0</v>
      </c>
      <c r="I5081" t="n">
        <v>0</v>
      </c>
      <c r="J5081" t="n">
        <v>0</v>
      </c>
      <c r="K5081" t="n">
        <v>0</v>
      </c>
      <c r="L5081" t="n">
        <v>0</v>
      </c>
      <c r="M5081" t="n">
        <v>0</v>
      </c>
      <c r="N5081" t="n">
        <v>0</v>
      </c>
      <c r="O5081" t="n">
        <v>0</v>
      </c>
      <c r="P5081" t="n">
        <v>0</v>
      </c>
      <c r="Q5081" t="n">
        <v>0</v>
      </c>
      <c r="R5081" s="2" t="inlineStr"/>
    </row>
    <row r="5082" ht="15" customHeight="1">
      <c r="A5082" t="inlineStr">
        <is>
          <t>A 11440-2022</t>
        </is>
      </c>
      <c r="B5082" s="1" t="n">
        <v>44630</v>
      </c>
      <c r="C5082" s="1" t="n">
        <v>45952</v>
      </c>
      <c r="D5082" t="inlineStr">
        <is>
          <t>VÄSTRA GÖTALANDS LÄN</t>
        </is>
      </c>
      <c r="E5082" t="inlineStr">
        <is>
          <t>FALKÖPING</t>
        </is>
      </c>
      <c r="G5082" t="n">
        <v>3.3</v>
      </c>
      <c r="H5082" t="n">
        <v>0</v>
      </c>
      <c r="I5082" t="n">
        <v>0</v>
      </c>
      <c r="J5082" t="n">
        <v>0</v>
      </c>
      <c r="K5082" t="n">
        <v>0</v>
      </c>
      <c r="L5082" t="n">
        <v>0</v>
      </c>
      <c r="M5082" t="n">
        <v>0</v>
      </c>
      <c r="N5082" t="n">
        <v>0</v>
      </c>
      <c r="O5082" t="n">
        <v>0</v>
      </c>
      <c r="P5082" t="n">
        <v>0</v>
      </c>
      <c r="Q5082" t="n">
        <v>0</v>
      </c>
      <c r="R5082" s="2" t="inlineStr"/>
    </row>
    <row r="5083" ht="15" customHeight="1">
      <c r="A5083" t="inlineStr">
        <is>
          <t>A 56978-2024</t>
        </is>
      </c>
      <c r="B5083" s="1" t="n">
        <v>45628.67807870371</v>
      </c>
      <c r="C5083" s="1" t="n">
        <v>45952</v>
      </c>
      <c r="D5083" t="inlineStr">
        <is>
          <t>VÄSTRA GÖTALANDS LÄN</t>
        </is>
      </c>
      <c r="E5083" t="inlineStr">
        <is>
          <t>MARIESTAD</t>
        </is>
      </c>
      <c r="G5083" t="n">
        <v>2.7</v>
      </c>
      <c r="H5083" t="n">
        <v>0</v>
      </c>
      <c r="I5083" t="n">
        <v>0</v>
      </c>
      <c r="J5083" t="n">
        <v>0</v>
      </c>
      <c r="K5083" t="n">
        <v>0</v>
      </c>
      <c r="L5083" t="n">
        <v>0</v>
      </c>
      <c r="M5083" t="n">
        <v>0</v>
      </c>
      <c r="N5083" t="n">
        <v>0</v>
      </c>
      <c r="O5083" t="n">
        <v>0</v>
      </c>
      <c r="P5083" t="n">
        <v>0</v>
      </c>
      <c r="Q5083" t="n">
        <v>0</v>
      </c>
      <c r="R5083" s="2" t="inlineStr"/>
    </row>
    <row r="5084" ht="15" customHeight="1">
      <c r="A5084" t="inlineStr">
        <is>
          <t>A 7088-2025</t>
        </is>
      </c>
      <c r="B5084" s="1" t="n">
        <v>45701.72737268519</v>
      </c>
      <c r="C5084" s="1" t="n">
        <v>45952</v>
      </c>
      <c r="D5084" t="inlineStr">
        <is>
          <t>VÄSTRA GÖTALANDS LÄN</t>
        </is>
      </c>
      <c r="E5084" t="inlineStr">
        <is>
          <t>LIDKÖPING</t>
        </is>
      </c>
      <c r="G5084" t="n">
        <v>5.7</v>
      </c>
      <c r="H5084" t="n">
        <v>0</v>
      </c>
      <c r="I5084" t="n">
        <v>0</v>
      </c>
      <c r="J5084" t="n">
        <v>0</v>
      </c>
      <c r="K5084" t="n">
        <v>0</v>
      </c>
      <c r="L5084" t="n">
        <v>0</v>
      </c>
      <c r="M5084" t="n">
        <v>0</v>
      </c>
      <c r="N5084" t="n">
        <v>0</v>
      </c>
      <c r="O5084" t="n">
        <v>0</v>
      </c>
      <c r="P5084" t="n">
        <v>0</v>
      </c>
      <c r="Q5084" t="n">
        <v>0</v>
      </c>
      <c r="R5084" s="2" t="inlineStr"/>
    </row>
    <row r="5085" ht="15" customHeight="1">
      <c r="A5085" t="inlineStr">
        <is>
          <t>A 62402-2023</t>
        </is>
      </c>
      <c r="B5085" s="1" t="n">
        <v>45268.36413194444</v>
      </c>
      <c r="C5085" s="1" t="n">
        <v>45952</v>
      </c>
      <c r="D5085" t="inlineStr">
        <is>
          <t>VÄSTRA GÖTALANDS LÄN</t>
        </is>
      </c>
      <c r="E5085" t="inlineStr">
        <is>
          <t>GÖTENE</t>
        </is>
      </c>
      <c r="G5085" t="n">
        <v>0.5</v>
      </c>
      <c r="H5085" t="n">
        <v>0</v>
      </c>
      <c r="I5085" t="n">
        <v>0</v>
      </c>
      <c r="J5085" t="n">
        <v>0</v>
      </c>
      <c r="K5085" t="n">
        <v>0</v>
      </c>
      <c r="L5085" t="n">
        <v>0</v>
      </c>
      <c r="M5085" t="n">
        <v>0</v>
      </c>
      <c r="N5085" t="n">
        <v>0</v>
      </c>
      <c r="O5085" t="n">
        <v>0</v>
      </c>
      <c r="P5085" t="n">
        <v>0</v>
      </c>
      <c r="Q5085" t="n">
        <v>0</v>
      </c>
      <c r="R5085" s="2" t="inlineStr"/>
    </row>
    <row r="5086" ht="15" customHeight="1">
      <c r="A5086" t="inlineStr">
        <is>
          <t>A 5331-2021</t>
        </is>
      </c>
      <c r="B5086" s="1" t="n">
        <v>44229</v>
      </c>
      <c r="C5086" s="1" t="n">
        <v>45952</v>
      </c>
      <c r="D5086" t="inlineStr">
        <is>
          <t>VÄSTRA GÖTALANDS LÄN</t>
        </is>
      </c>
      <c r="E5086" t="inlineStr">
        <is>
          <t>TRANEMO</t>
        </is>
      </c>
      <c r="G5086" t="n">
        <v>2.7</v>
      </c>
      <c r="H5086" t="n">
        <v>0</v>
      </c>
      <c r="I5086" t="n">
        <v>0</v>
      </c>
      <c r="J5086" t="n">
        <v>0</v>
      </c>
      <c r="K5086" t="n">
        <v>0</v>
      </c>
      <c r="L5086" t="n">
        <v>0</v>
      </c>
      <c r="M5086" t="n">
        <v>0</v>
      </c>
      <c r="N5086" t="n">
        <v>0</v>
      </c>
      <c r="O5086" t="n">
        <v>0</v>
      </c>
      <c r="P5086" t="n">
        <v>0</v>
      </c>
      <c r="Q5086" t="n">
        <v>0</v>
      </c>
      <c r="R5086" s="2" t="inlineStr"/>
    </row>
    <row r="5087" ht="15" customHeight="1">
      <c r="A5087" t="inlineStr">
        <is>
          <t>A 55254-2023</t>
        </is>
      </c>
      <c r="B5087" s="1" t="n">
        <v>45237.65777777778</v>
      </c>
      <c r="C5087" s="1" t="n">
        <v>45952</v>
      </c>
      <c r="D5087" t="inlineStr">
        <is>
          <t>VÄSTRA GÖTALANDS LÄN</t>
        </is>
      </c>
      <c r="E5087" t="inlineStr">
        <is>
          <t>UDDEVALLA</t>
        </is>
      </c>
      <c r="G5087" t="n">
        <v>1.1</v>
      </c>
      <c r="H5087" t="n">
        <v>0</v>
      </c>
      <c r="I5087" t="n">
        <v>0</v>
      </c>
      <c r="J5087" t="n">
        <v>0</v>
      </c>
      <c r="K5087" t="n">
        <v>0</v>
      </c>
      <c r="L5087" t="n">
        <v>0</v>
      </c>
      <c r="M5087" t="n">
        <v>0</v>
      </c>
      <c r="N5087" t="n">
        <v>0</v>
      </c>
      <c r="O5087" t="n">
        <v>0</v>
      </c>
      <c r="P5087" t="n">
        <v>0</v>
      </c>
      <c r="Q5087" t="n">
        <v>0</v>
      </c>
      <c r="R5087" s="2" t="inlineStr"/>
    </row>
    <row r="5088" ht="15" customHeight="1">
      <c r="A5088" t="inlineStr">
        <is>
          <t>A 55267-2023</t>
        </is>
      </c>
      <c r="B5088" s="1" t="n">
        <v>45237</v>
      </c>
      <c r="C5088" s="1" t="n">
        <v>45952</v>
      </c>
      <c r="D5088" t="inlineStr">
        <is>
          <t>VÄSTRA GÖTALANDS LÄN</t>
        </is>
      </c>
      <c r="E5088" t="inlineStr">
        <is>
          <t>ULRICEHAMN</t>
        </is>
      </c>
      <c r="G5088" t="n">
        <v>0.4</v>
      </c>
      <c r="H5088" t="n">
        <v>0</v>
      </c>
      <c r="I5088" t="n">
        <v>0</v>
      </c>
      <c r="J5088" t="n">
        <v>0</v>
      </c>
      <c r="K5088" t="n">
        <v>0</v>
      </c>
      <c r="L5088" t="n">
        <v>0</v>
      </c>
      <c r="M5088" t="n">
        <v>0</v>
      </c>
      <c r="N5088" t="n">
        <v>0</v>
      </c>
      <c r="O5088" t="n">
        <v>0</v>
      </c>
      <c r="P5088" t="n">
        <v>0</v>
      </c>
      <c r="Q5088" t="n">
        <v>0</v>
      </c>
      <c r="R5088" s="2" t="inlineStr"/>
    </row>
    <row r="5089" ht="15" customHeight="1">
      <c r="A5089" t="inlineStr">
        <is>
          <t>A 9534-2025</t>
        </is>
      </c>
      <c r="B5089" s="1" t="n">
        <v>45715.57387731481</v>
      </c>
      <c r="C5089" s="1" t="n">
        <v>45952</v>
      </c>
      <c r="D5089" t="inlineStr">
        <is>
          <t>VÄSTRA GÖTALANDS LÄN</t>
        </is>
      </c>
      <c r="E5089" t="inlineStr">
        <is>
          <t>TRANEMO</t>
        </is>
      </c>
      <c r="G5089" t="n">
        <v>2.1</v>
      </c>
      <c r="H5089" t="n">
        <v>0</v>
      </c>
      <c r="I5089" t="n">
        <v>0</v>
      </c>
      <c r="J5089" t="n">
        <v>0</v>
      </c>
      <c r="K5089" t="n">
        <v>0</v>
      </c>
      <c r="L5089" t="n">
        <v>0</v>
      </c>
      <c r="M5089" t="n">
        <v>0</v>
      </c>
      <c r="N5089" t="n">
        <v>0</v>
      </c>
      <c r="O5089" t="n">
        <v>0</v>
      </c>
      <c r="P5089" t="n">
        <v>0</v>
      </c>
      <c r="Q5089" t="n">
        <v>0</v>
      </c>
      <c r="R5089" s="2" t="inlineStr"/>
    </row>
    <row r="5090" ht="15" customHeight="1">
      <c r="A5090" t="inlineStr">
        <is>
          <t>A 37977-2024</t>
        </is>
      </c>
      <c r="B5090" s="1" t="n">
        <v>45544.57728009259</v>
      </c>
      <c r="C5090" s="1" t="n">
        <v>45952</v>
      </c>
      <c r="D5090" t="inlineStr">
        <is>
          <t>VÄSTRA GÖTALANDS LÄN</t>
        </is>
      </c>
      <c r="E5090" t="inlineStr">
        <is>
          <t>TANUM</t>
        </is>
      </c>
      <c r="G5090" t="n">
        <v>0.5</v>
      </c>
      <c r="H5090" t="n">
        <v>0</v>
      </c>
      <c r="I5090" t="n">
        <v>0</v>
      </c>
      <c r="J5090" t="n">
        <v>0</v>
      </c>
      <c r="K5090" t="n">
        <v>0</v>
      </c>
      <c r="L5090" t="n">
        <v>0</v>
      </c>
      <c r="M5090" t="n">
        <v>0</v>
      </c>
      <c r="N5090" t="n">
        <v>0</v>
      </c>
      <c r="O5090" t="n">
        <v>0</v>
      </c>
      <c r="P5090" t="n">
        <v>0</v>
      </c>
      <c r="Q5090" t="n">
        <v>0</v>
      </c>
      <c r="R5090" s="2" t="inlineStr"/>
    </row>
    <row r="5091" ht="15" customHeight="1">
      <c r="A5091" t="inlineStr">
        <is>
          <t>A 38950-2025</t>
        </is>
      </c>
      <c r="B5091" s="1" t="n">
        <v>45887.65802083333</v>
      </c>
      <c r="C5091" s="1" t="n">
        <v>45952</v>
      </c>
      <c r="D5091" t="inlineStr">
        <is>
          <t>VÄSTRA GÖTALANDS LÄN</t>
        </is>
      </c>
      <c r="E5091" t="inlineStr">
        <is>
          <t>MARIESTAD</t>
        </is>
      </c>
      <c r="F5091" t="inlineStr">
        <is>
          <t>Sveaskog</t>
        </is>
      </c>
      <c r="G5091" t="n">
        <v>2.6</v>
      </c>
      <c r="H5091" t="n">
        <v>0</v>
      </c>
      <c r="I5091" t="n">
        <v>0</v>
      </c>
      <c r="J5091" t="n">
        <v>0</v>
      </c>
      <c r="K5091" t="n">
        <v>0</v>
      </c>
      <c r="L5091" t="n">
        <v>0</v>
      </c>
      <c r="M5091" t="n">
        <v>0</v>
      </c>
      <c r="N5091" t="n">
        <v>0</v>
      </c>
      <c r="O5091" t="n">
        <v>0</v>
      </c>
      <c r="P5091" t="n">
        <v>0</v>
      </c>
      <c r="Q5091" t="n">
        <v>0</v>
      </c>
      <c r="R5091" s="2" t="inlineStr"/>
    </row>
    <row r="5092" ht="15" customHeight="1">
      <c r="A5092" t="inlineStr">
        <is>
          <t>A 38947-2025</t>
        </is>
      </c>
      <c r="B5092" s="1" t="n">
        <v>45887.65528935185</v>
      </c>
      <c r="C5092" s="1" t="n">
        <v>45952</v>
      </c>
      <c r="D5092" t="inlineStr">
        <is>
          <t>VÄSTRA GÖTALANDS LÄN</t>
        </is>
      </c>
      <c r="E5092" t="inlineStr">
        <is>
          <t>MARIESTAD</t>
        </is>
      </c>
      <c r="F5092" t="inlineStr">
        <is>
          <t>Sveaskog</t>
        </is>
      </c>
      <c r="G5092" t="n">
        <v>3.4</v>
      </c>
      <c r="H5092" t="n">
        <v>0</v>
      </c>
      <c r="I5092" t="n">
        <v>0</v>
      </c>
      <c r="J5092" t="n">
        <v>0</v>
      </c>
      <c r="K5092" t="n">
        <v>0</v>
      </c>
      <c r="L5092" t="n">
        <v>0</v>
      </c>
      <c r="M5092" t="n">
        <v>0</v>
      </c>
      <c r="N5092" t="n">
        <v>0</v>
      </c>
      <c r="O5092" t="n">
        <v>0</v>
      </c>
      <c r="P5092" t="n">
        <v>0</v>
      </c>
      <c r="Q5092" t="n">
        <v>0</v>
      </c>
      <c r="R5092" s="2" t="inlineStr"/>
    </row>
    <row r="5093" ht="15" customHeight="1">
      <c r="A5093" t="inlineStr">
        <is>
          <t>A 61275-2024</t>
        </is>
      </c>
      <c r="B5093" s="1" t="n">
        <v>45645.74960648148</v>
      </c>
      <c r="C5093" s="1" t="n">
        <v>45952</v>
      </c>
      <c r="D5093" t="inlineStr">
        <is>
          <t>VÄSTRA GÖTALANDS LÄN</t>
        </is>
      </c>
      <c r="E5093" t="inlineStr">
        <is>
          <t>SVENLJUNGA</t>
        </is>
      </c>
      <c r="G5093" t="n">
        <v>0.6</v>
      </c>
      <c r="H5093" t="n">
        <v>0</v>
      </c>
      <c r="I5093" t="n">
        <v>0</v>
      </c>
      <c r="J5093" t="n">
        <v>0</v>
      </c>
      <c r="K5093" t="n">
        <v>0</v>
      </c>
      <c r="L5093" t="n">
        <v>0</v>
      </c>
      <c r="M5093" t="n">
        <v>0</v>
      </c>
      <c r="N5093" t="n">
        <v>0</v>
      </c>
      <c r="O5093" t="n">
        <v>0</v>
      </c>
      <c r="P5093" t="n">
        <v>0</v>
      </c>
      <c r="Q5093" t="n">
        <v>0</v>
      </c>
      <c r="R5093" s="2" t="inlineStr"/>
    </row>
    <row r="5094" ht="15" customHeight="1">
      <c r="A5094" t="inlineStr">
        <is>
          <t>A 2907-2025</t>
        </is>
      </c>
      <c r="B5094" s="1" t="n">
        <v>45677.81309027778</v>
      </c>
      <c r="C5094" s="1" t="n">
        <v>45952</v>
      </c>
      <c r="D5094" t="inlineStr">
        <is>
          <t>VÄSTRA GÖTALANDS LÄN</t>
        </is>
      </c>
      <c r="E5094" t="inlineStr">
        <is>
          <t>ULRICEHAMN</t>
        </is>
      </c>
      <c r="G5094" t="n">
        <v>0.9</v>
      </c>
      <c r="H5094" t="n">
        <v>0</v>
      </c>
      <c r="I5094" t="n">
        <v>0</v>
      </c>
      <c r="J5094" t="n">
        <v>0</v>
      </c>
      <c r="K5094" t="n">
        <v>0</v>
      </c>
      <c r="L5094" t="n">
        <v>0</v>
      </c>
      <c r="M5094" t="n">
        <v>0</v>
      </c>
      <c r="N5094" t="n">
        <v>0</v>
      </c>
      <c r="O5094" t="n">
        <v>0</v>
      </c>
      <c r="P5094" t="n">
        <v>0</v>
      </c>
      <c r="Q5094" t="n">
        <v>0</v>
      </c>
      <c r="R5094" s="2" t="inlineStr"/>
    </row>
    <row r="5095" ht="15" customHeight="1">
      <c r="A5095" t="inlineStr">
        <is>
          <t>A 37427-2024</t>
        </is>
      </c>
      <c r="B5095" s="1" t="n">
        <v>45540.64853009259</v>
      </c>
      <c r="C5095" s="1" t="n">
        <v>45952</v>
      </c>
      <c r="D5095" t="inlineStr">
        <is>
          <t>VÄSTRA GÖTALANDS LÄN</t>
        </is>
      </c>
      <c r="E5095" t="inlineStr">
        <is>
          <t>UDDEVALLA</t>
        </is>
      </c>
      <c r="F5095" t="inlineStr">
        <is>
          <t>Kyrkan</t>
        </is>
      </c>
      <c r="G5095" t="n">
        <v>2.9</v>
      </c>
      <c r="H5095" t="n">
        <v>0</v>
      </c>
      <c r="I5095" t="n">
        <v>0</v>
      </c>
      <c r="J5095" t="n">
        <v>0</v>
      </c>
      <c r="K5095" t="n">
        <v>0</v>
      </c>
      <c r="L5095" t="n">
        <v>0</v>
      </c>
      <c r="M5095" t="n">
        <v>0</v>
      </c>
      <c r="N5095" t="n">
        <v>0</v>
      </c>
      <c r="O5095" t="n">
        <v>0</v>
      </c>
      <c r="P5095" t="n">
        <v>0</v>
      </c>
      <c r="Q5095" t="n">
        <v>0</v>
      </c>
      <c r="R5095" s="2" t="inlineStr"/>
    </row>
    <row r="5096" ht="15" customHeight="1">
      <c r="A5096" t="inlineStr">
        <is>
          <t>A 10415-2025</t>
        </is>
      </c>
      <c r="B5096" s="1" t="n">
        <v>45720.63358796296</v>
      </c>
      <c r="C5096" s="1" t="n">
        <v>45952</v>
      </c>
      <c r="D5096" t="inlineStr">
        <is>
          <t>VÄSTRA GÖTALANDS LÄN</t>
        </is>
      </c>
      <c r="E5096" t="inlineStr">
        <is>
          <t>KARLSBORG</t>
        </is>
      </c>
      <c r="G5096" t="n">
        <v>1.1</v>
      </c>
      <c r="H5096" t="n">
        <v>0</v>
      </c>
      <c r="I5096" t="n">
        <v>0</v>
      </c>
      <c r="J5096" t="n">
        <v>0</v>
      </c>
      <c r="K5096" t="n">
        <v>0</v>
      </c>
      <c r="L5096" t="n">
        <v>0</v>
      </c>
      <c r="M5096" t="n">
        <v>0</v>
      </c>
      <c r="N5096" t="n">
        <v>0</v>
      </c>
      <c r="O5096" t="n">
        <v>0</v>
      </c>
      <c r="P5096" t="n">
        <v>0</v>
      </c>
      <c r="Q5096" t="n">
        <v>0</v>
      </c>
      <c r="R5096" s="2" t="inlineStr"/>
    </row>
    <row r="5097" ht="15" customHeight="1">
      <c r="A5097" t="inlineStr">
        <is>
          <t>A 4436-2023</t>
        </is>
      </c>
      <c r="B5097" s="1" t="n">
        <v>44952</v>
      </c>
      <c r="C5097" s="1" t="n">
        <v>45952</v>
      </c>
      <c r="D5097" t="inlineStr">
        <is>
          <t>VÄSTRA GÖTALANDS LÄN</t>
        </is>
      </c>
      <c r="E5097" t="inlineStr">
        <is>
          <t>FALKÖPING</t>
        </is>
      </c>
      <c r="G5097" t="n">
        <v>1.6</v>
      </c>
      <c r="H5097" t="n">
        <v>0</v>
      </c>
      <c r="I5097" t="n">
        <v>0</v>
      </c>
      <c r="J5097" t="n">
        <v>0</v>
      </c>
      <c r="K5097" t="n">
        <v>0</v>
      </c>
      <c r="L5097" t="n">
        <v>0</v>
      </c>
      <c r="M5097" t="n">
        <v>0</v>
      </c>
      <c r="N5097" t="n">
        <v>0</v>
      </c>
      <c r="O5097" t="n">
        <v>0</v>
      </c>
      <c r="P5097" t="n">
        <v>0</v>
      </c>
      <c r="Q5097" t="n">
        <v>0</v>
      </c>
      <c r="R5097" s="2" t="inlineStr"/>
    </row>
    <row r="5098" ht="15" customHeight="1">
      <c r="A5098" t="inlineStr">
        <is>
          <t>A 39798-2024</t>
        </is>
      </c>
      <c r="B5098" s="1" t="n">
        <v>45553.33733796296</v>
      </c>
      <c r="C5098" s="1" t="n">
        <v>45952</v>
      </c>
      <c r="D5098" t="inlineStr">
        <is>
          <t>VÄSTRA GÖTALANDS LÄN</t>
        </is>
      </c>
      <c r="E5098" t="inlineStr">
        <is>
          <t>TÖREBODA</t>
        </is>
      </c>
      <c r="G5098" t="n">
        <v>5.4</v>
      </c>
      <c r="H5098" t="n">
        <v>0</v>
      </c>
      <c r="I5098" t="n">
        <v>0</v>
      </c>
      <c r="J5098" t="n">
        <v>0</v>
      </c>
      <c r="K5098" t="n">
        <v>0</v>
      </c>
      <c r="L5098" t="n">
        <v>0</v>
      </c>
      <c r="M5098" t="n">
        <v>0</v>
      </c>
      <c r="N5098" t="n">
        <v>0</v>
      </c>
      <c r="O5098" t="n">
        <v>0</v>
      </c>
      <c r="P5098" t="n">
        <v>0</v>
      </c>
      <c r="Q5098" t="n">
        <v>0</v>
      </c>
      <c r="R5098" s="2" t="inlineStr"/>
    </row>
    <row r="5099" ht="15" customHeight="1">
      <c r="A5099" t="inlineStr">
        <is>
          <t>A 11484-2025</t>
        </is>
      </c>
      <c r="B5099" s="1" t="n">
        <v>45726.69502314815</v>
      </c>
      <c r="C5099" s="1" t="n">
        <v>45952</v>
      </c>
      <c r="D5099" t="inlineStr">
        <is>
          <t>VÄSTRA GÖTALANDS LÄN</t>
        </is>
      </c>
      <c r="E5099" t="inlineStr">
        <is>
          <t>VÅRGÅRDA</t>
        </is>
      </c>
      <c r="G5099" t="n">
        <v>0.5</v>
      </c>
      <c r="H5099" t="n">
        <v>0</v>
      </c>
      <c r="I5099" t="n">
        <v>0</v>
      </c>
      <c r="J5099" t="n">
        <v>0</v>
      </c>
      <c r="K5099" t="n">
        <v>0</v>
      </c>
      <c r="L5099" t="n">
        <v>0</v>
      </c>
      <c r="M5099" t="n">
        <v>0</v>
      </c>
      <c r="N5099" t="n">
        <v>0</v>
      </c>
      <c r="O5099" t="n">
        <v>0</v>
      </c>
      <c r="P5099" t="n">
        <v>0</v>
      </c>
      <c r="Q5099" t="n">
        <v>0</v>
      </c>
      <c r="R5099" s="2" t="inlineStr"/>
    </row>
    <row r="5100" ht="15" customHeight="1">
      <c r="A5100" t="inlineStr">
        <is>
          <t>A 20468-2025</t>
        </is>
      </c>
      <c r="B5100" s="1" t="n">
        <v>45775.54140046296</v>
      </c>
      <c r="C5100" s="1" t="n">
        <v>45952</v>
      </c>
      <c r="D5100" t="inlineStr">
        <is>
          <t>VÄSTRA GÖTALANDS LÄN</t>
        </is>
      </c>
      <c r="E5100" t="inlineStr">
        <is>
          <t>FALKÖPING</t>
        </is>
      </c>
      <c r="G5100" t="n">
        <v>1.9</v>
      </c>
      <c r="H5100" t="n">
        <v>0</v>
      </c>
      <c r="I5100" t="n">
        <v>0</v>
      </c>
      <c r="J5100" t="n">
        <v>0</v>
      </c>
      <c r="K5100" t="n">
        <v>0</v>
      </c>
      <c r="L5100" t="n">
        <v>0</v>
      </c>
      <c r="M5100" t="n">
        <v>0</v>
      </c>
      <c r="N5100" t="n">
        <v>0</v>
      </c>
      <c r="O5100" t="n">
        <v>0</v>
      </c>
      <c r="P5100" t="n">
        <v>0</v>
      </c>
      <c r="Q5100" t="n">
        <v>0</v>
      </c>
      <c r="R5100" s="2" t="inlineStr"/>
    </row>
    <row r="5101" ht="15" customHeight="1">
      <c r="A5101" t="inlineStr">
        <is>
          <t>A 2402-2024</t>
        </is>
      </c>
      <c r="B5101" s="1" t="n">
        <v>45310.7224537037</v>
      </c>
      <c r="C5101" s="1" t="n">
        <v>45952</v>
      </c>
      <c r="D5101" t="inlineStr">
        <is>
          <t>VÄSTRA GÖTALANDS LÄN</t>
        </is>
      </c>
      <c r="E5101" t="inlineStr">
        <is>
          <t>TROLLHÄTTAN</t>
        </is>
      </c>
      <c r="G5101" t="n">
        <v>0.3</v>
      </c>
      <c r="H5101" t="n">
        <v>0</v>
      </c>
      <c r="I5101" t="n">
        <v>0</v>
      </c>
      <c r="J5101" t="n">
        <v>0</v>
      </c>
      <c r="K5101" t="n">
        <v>0</v>
      </c>
      <c r="L5101" t="n">
        <v>0</v>
      </c>
      <c r="M5101" t="n">
        <v>0</v>
      </c>
      <c r="N5101" t="n">
        <v>0</v>
      </c>
      <c r="O5101" t="n">
        <v>0</v>
      </c>
      <c r="P5101" t="n">
        <v>0</v>
      </c>
      <c r="Q5101" t="n">
        <v>0</v>
      </c>
      <c r="R5101" s="2" t="inlineStr"/>
    </row>
    <row r="5102" ht="15" customHeight="1">
      <c r="A5102" t="inlineStr">
        <is>
          <t>A 25340-2023</t>
        </is>
      </c>
      <c r="B5102" s="1" t="n">
        <v>45087</v>
      </c>
      <c r="C5102" s="1" t="n">
        <v>45952</v>
      </c>
      <c r="D5102" t="inlineStr">
        <is>
          <t>VÄSTRA GÖTALANDS LÄN</t>
        </is>
      </c>
      <c r="E5102" t="inlineStr">
        <is>
          <t>ULRICEHAMN</t>
        </is>
      </c>
      <c r="G5102" t="n">
        <v>0.8</v>
      </c>
      <c r="H5102" t="n">
        <v>0</v>
      </c>
      <c r="I5102" t="n">
        <v>0</v>
      </c>
      <c r="J5102" t="n">
        <v>0</v>
      </c>
      <c r="K5102" t="n">
        <v>0</v>
      </c>
      <c r="L5102" t="n">
        <v>0</v>
      </c>
      <c r="M5102" t="n">
        <v>0</v>
      </c>
      <c r="N5102" t="n">
        <v>0</v>
      </c>
      <c r="O5102" t="n">
        <v>0</v>
      </c>
      <c r="P5102" t="n">
        <v>0</v>
      </c>
      <c r="Q5102" t="n">
        <v>0</v>
      </c>
      <c r="R5102" s="2" t="inlineStr"/>
    </row>
    <row r="5103" ht="15" customHeight="1">
      <c r="A5103" t="inlineStr">
        <is>
          <t>A 5987-2024</t>
        </is>
      </c>
      <c r="B5103" s="1" t="n">
        <v>45336</v>
      </c>
      <c r="C5103" s="1" t="n">
        <v>45952</v>
      </c>
      <c r="D5103" t="inlineStr">
        <is>
          <t>VÄSTRA GÖTALANDS LÄN</t>
        </is>
      </c>
      <c r="E5103" t="inlineStr">
        <is>
          <t>HÄRRYDA</t>
        </is>
      </c>
      <c r="G5103" t="n">
        <v>0.6</v>
      </c>
      <c r="H5103" t="n">
        <v>0</v>
      </c>
      <c r="I5103" t="n">
        <v>0</v>
      </c>
      <c r="J5103" t="n">
        <v>0</v>
      </c>
      <c r="K5103" t="n">
        <v>0</v>
      </c>
      <c r="L5103" t="n">
        <v>0</v>
      </c>
      <c r="M5103" t="n">
        <v>0</v>
      </c>
      <c r="N5103" t="n">
        <v>0</v>
      </c>
      <c r="O5103" t="n">
        <v>0</v>
      </c>
      <c r="P5103" t="n">
        <v>0</v>
      </c>
      <c r="Q5103" t="n">
        <v>0</v>
      </c>
      <c r="R5103" s="2" t="inlineStr"/>
    </row>
    <row r="5104" ht="15" customHeight="1">
      <c r="A5104" t="inlineStr">
        <is>
          <t>A 60084-2023</t>
        </is>
      </c>
      <c r="B5104" s="1" t="n">
        <v>45258</v>
      </c>
      <c r="C5104" s="1" t="n">
        <v>45952</v>
      </c>
      <c r="D5104" t="inlineStr">
        <is>
          <t>VÄSTRA GÖTALANDS LÄN</t>
        </is>
      </c>
      <c r="E5104" t="inlineStr">
        <is>
          <t>ULRICEHAMN</t>
        </is>
      </c>
      <c r="G5104" t="n">
        <v>2.1</v>
      </c>
      <c r="H5104" t="n">
        <v>0</v>
      </c>
      <c r="I5104" t="n">
        <v>0</v>
      </c>
      <c r="J5104" t="n">
        <v>0</v>
      </c>
      <c r="K5104" t="n">
        <v>0</v>
      </c>
      <c r="L5104" t="n">
        <v>0</v>
      </c>
      <c r="M5104" t="n">
        <v>0</v>
      </c>
      <c r="N5104" t="n">
        <v>0</v>
      </c>
      <c r="O5104" t="n">
        <v>0</v>
      </c>
      <c r="P5104" t="n">
        <v>0</v>
      </c>
      <c r="Q5104" t="n">
        <v>0</v>
      </c>
      <c r="R5104" s="2" t="inlineStr"/>
    </row>
    <row r="5105" ht="15" customHeight="1">
      <c r="A5105" t="inlineStr">
        <is>
          <t>A 59960-2024</t>
        </is>
      </c>
      <c r="B5105" s="1" t="n">
        <v>45642</v>
      </c>
      <c r="C5105" s="1" t="n">
        <v>45952</v>
      </c>
      <c r="D5105" t="inlineStr">
        <is>
          <t>VÄSTRA GÖTALANDS LÄN</t>
        </is>
      </c>
      <c r="E5105" t="inlineStr">
        <is>
          <t>FÄRGELANDA</t>
        </is>
      </c>
      <c r="G5105" t="n">
        <v>2.4</v>
      </c>
      <c r="H5105" t="n">
        <v>0</v>
      </c>
      <c r="I5105" t="n">
        <v>0</v>
      </c>
      <c r="J5105" t="n">
        <v>0</v>
      </c>
      <c r="K5105" t="n">
        <v>0</v>
      </c>
      <c r="L5105" t="n">
        <v>0</v>
      </c>
      <c r="M5105" t="n">
        <v>0</v>
      </c>
      <c r="N5105" t="n">
        <v>0</v>
      </c>
      <c r="O5105" t="n">
        <v>0</v>
      </c>
      <c r="P5105" t="n">
        <v>0</v>
      </c>
      <c r="Q5105" t="n">
        <v>0</v>
      </c>
      <c r="R5105" s="2" t="inlineStr"/>
    </row>
    <row r="5106" ht="15" customHeight="1">
      <c r="A5106" t="inlineStr">
        <is>
          <t>A 36120-2021</t>
        </is>
      </c>
      <c r="B5106" s="1" t="n">
        <v>44389</v>
      </c>
      <c r="C5106" s="1" t="n">
        <v>45952</v>
      </c>
      <c r="D5106" t="inlineStr">
        <is>
          <t>VÄSTRA GÖTALANDS LÄN</t>
        </is>
      </c>
      <c r="E5106" t="inlineStr">
        <is>
          <t>ALINGSÅS</t>
        </is>
      </c>
      <c r="F5106" t="inlineStr">
        <is>
          <t>Allmännings- och besparingsskogar</t>
        </is>
      </c>
      <c r="G5106" t="n">
        <v>4.1</v>
      </c>
      <c r="H5106" t="n">
        <v>0</v>
      </c>
      <c r="I5106" t="n">
        <v>0</v>
      </c>
      <c r="J5106" t="n">
        <v>0</v>
      </c>
      <c r="K5106" t="n">
        <v>0</v>
      </c>
      <c r="L5106" t="n">
        <v>0</v>
      </c>
      <c r="M5106" t="n">
        <v>0</v>
      </c>
      <c r="N5106" t="n">
        <v>0</v>
      </c>
      <c r="O5106" t="n">
        <v>0</v>
      </c>
      <c r="P5106" t="n">
        <v>0</v>
      </c>
      <c r="Q5106" t="n">
        <v>0</v>
      </c>
      <c r="R5106" s="2" t="inlineStr"/>
    </row>
    <row r="5107" ht="15" customHeight="1">
      <c r="A5107" t="inlineStr">
        <is>
          <t>A 6659-2025</t>
        </is>
      </c>
      <c r="B5107" s="1" t="n">
        <v>45700</v>
      </c>
      <c r="C5107" s="1" t="n">
        <v>45952</v>
      </c>
      <c r="D5107" t="inlineStr">
        <is>
          <t>VÄSTRA GÖTALANDS LÄN</t>
        </is>
      </c>
      <c r="E5107" t="inlineStr">
        <is>
          <t>BORÅS</t>
        </is>
      </c>
      <c r="G5107" t="n">
        <v>1.6</v>
      </c>
      <c r="H5107" t="n">
        <v>0</v>
      </c>
      <c r="I5107" t="n">
        <v>0</v>
      </c>
      <c r="J5107" t="n">
        <v>0</v>
      </c>
      <c r="K5107" t="n">
        <v>0</v>
      </c>
      <c r="L5107" t="n">
        <v>0</v>
      </c>
      <c r="M5107" t="n">
        <v>0</v>
      </c>
      <c r="N5107" t="n">
        <v>0</v>
      </c>
      <c r="O5107" t="n">
        <v>0</v>
      </c>
      <c r="P5107" t="n">
        <v>0</v>
      </c>
      <c r="Q5107" t="n">
        <v>0</v>
      </c>
      <c r="R5107" s="2" t="inlineStr"/>
    </row>
    <row r="5108" ht="15" customHeight="1">
      <c r="A5108" t="inlineStr">
        <is>
          <t>A 546-2024</t>
        </is>
      </c>
      <c r="B5108" s="1" t="n">
        <v>45296</v>
      </c>
      <c r="C5108" s="1" t="n">
        <v>45952</v>
      </c>
      <c r="D5108" t="inlineStr">
        <is>
          <t>VÄSTRA GÖTALANDS LÄN</t>
        </is>
      </c>
      <c r="E5108" t="inlineStr">
        <is>
          <t>MUNKEDAL</t>
        </is>
      </c>
      <c r="F5108" t="inlineStr">
        <is>
          <t>Kyrkan</t>
        </is>
      </c>
      <c r="G5108" t="n">
        <v>1.3</v>
      </c>
      <c r="H5108" t="n">
        <v>0</v>
      </c>
      <c r="I5108" t="n">
        <v>0</v>
      </c>
      <c r="J5108" t="n">
        <v>0</v>
      </c>
      <c r="K5108" t="n">
        <v>0</v>
      </c>
      <c r="L5108" t="n">
        <v>0</v>
      </c>
      <c r="M5108" t="n">
        <v>0</v>
      </c>
      <c r="N5108" t="n">
        <v>0</v>
      </c>
      <c r="O5108" t="n">
        <v>0</v>
      </c>
      <c r="P5108" t="n">
        <v>0</v>
      </c>
      <c r="Q5108" t="n">
        <v>0</v>
      </c>
      <c r="R5108" s="2" t="inlineStr"/>
    </row>
    <row r="5109" ht="15" customHeight="1">
      <c r="A5109" t="inlineStr">
        <is>
          <t>A 22847-2021</t>
        </is>
      </c>
      <c r="B5109" s="1" t="n">
        <v>44328</v>
      </c>
      <c r="C5109" s="1" t="n">
        <v>45952</v>
      </c>
      <c r="D5109" t="inlineStr">
        <is>
          <t>VÄSTRA GÖTALANDS LÄN</t>
        </is>
      </c>
      <c r="E5109" t="inlineStr">
        <is>
          <t>DALS-ED</t>
        </is>
      </c>
      <c r="G5109" t="n">
        <v>0.9</v>
      </c>
      <c r="H5109" t="n">
        <v>0</v>
      </c>
      <c r="I5109" t="n">
        <v>0</v>
      </c>
      <c r="J5109" t="n">
        <v>0</v>
      </c>
      <c r="K5109" t="n">
        <v>0</v>
      </c>
      <c r="L5109" t="n">
        <v>0</v>
      </c>
      <c r="M5109" t="n">
        <v>0</v>
      </c>
      <c r="N5109" t="n">
        <v>0</v>
      </c>
      <c r="O5109" t="n">
        <v>0</v>
      </c>
      <c r="P5109" t="n">
        <v>0</v>
      </c>
      <c r="Q5109" t="n">
        <v>0</v>
      </c>
      <c r="R5109" s="2" t="inlineStr"/>
    </row>
    <row r="5110" ht="15" customHeight="1">
      <c r="A5110" t="inlineStr">
        <is>
          <t>A 15421-2024</t>
        </is>
      </c>
      <c r="B5110" s="1" t="n">
        <v>45401.36530092593</v>
      </c>
      <c r="C5110" s="1" t="n">
        <v>45952</v>
      </c>
      <c r="D5110" t="inlineStr">
        <is>
          <t>VÄSTRA GÖTALANDS LÄN</t>
        </is>
      </c>
      <c r="E5110" t="inlineStr">
        <is>
          <t>VÅRGÅRDA</t>
        </is>
      </c>
      <c r="G5110" t="n">
        <v>1</v>
      </c>
      <c r="H5110" t="n">
        <v>0</v>
      </c>
      <c r="I5110" t="n">
        <v>0</v>
      </c>
      <c r="J5110" t="n">
        <v>0</v>
      </c>
      <c r="K5110" t="n">
        <v>0</v>
      </c>
      <c r="L5110" t="n">
        <v>0</v>
      </c>
      <c r="M5110" t="n">
        <v>0</v>
      </c>
      <c r="N5110" t="n">
        <v>0</v>
      </c>
      <c r="O5110" t="n">
        <v>0</v>
      </c>
      <c r="P5110" t="n">
        <v>0</v>
      </c>
      <c r="Q5110" t="n">
        <v>0</v>
      </c>
      <c r="R5110" s="2" t="inlineStr"/>
    </row>
    <row r="5111" ht="15" customHeight="1">
      <c r="A5111" t="inlineStr">
        <is>
          <t>A 49700-2021</t>
        </is>
      </c>
      <c r="B5111" s="1" t="n">
        <v>44455</v>
      </c>
      <c r="C5111" s="1" t="n">
        <v>45952</v>
      </c>
      <c r="D5111" t="inlineStr">
        <is>
          <t>VÄSTRA GÖTALANDS LÄN</t>
        </is>
      </c>
      <c r="E5111" t="inlineStr">
        <is>
          <t>GÖTENE</t>
        </is>
      </c>
      <c r="G5111" t="n">
        <v>1</v>
      </c>
      <c r="H5111" t="n">
        <v>0</v>
      </c>
      <c r="I5111" t="n">
        <v>0</v>
      </c>
      <c r="J5111" t="n">
        <v>0</v>
      </c>
      <c r="K5111" t="n">
        <v>0</v>
      </c>
      <c r="L5111" t="n">
        <v>0</v>
      </c>
      <c r="M5111" t="n">
        <v>0</v>
      </c>
      <c r="N5111" t="n">
        <v>0</v>
      </c>
      <c r="O5111" t="n">
        <v>0</v>
      </c>
      <c r="P5111" t="n">
        <v>0</v>
      </c>
      <c r="Q5111" t="n">
        <v>0</v>
      </c>
      <c r="R5111" s="2" t="inlineStr"/>
    </row>
    <row r="5112" ht="15" customHeight="1">
      <c r="A5112" t="inlineStr">
        <is>
          <t>A 13542-2025</t>
        </is>
      </c>
      <c r="B5112" s="1" t="n">
        <v>45736.5356712963</v>
      </c>
      <c r="C5112" s="1" t="n">
        <v>45952</v>
      </c>
      <c r="D5112" t="inlineStr">
        <is>
          <t>VÄSTRA GÖTALANDS LÄN</t>
        </is>
      </c>
      <c r="E5112" t="inlineStr">
        <is>
          <t>SVENLJUNGA</t>
        </is>
      </c>
      <c r="G5112" t="n">
        <v>0.8</v>
      </c>
      <c r="H5112" t="n">
        <v>0</v>
      </c>
      <c r="I5112" t="n">
        <v>0</v>
      </c>
      <c r="J5112" t="n">
        <v>0</v>
      </c>
      <c r="K5112" t="n">
        <v>0</v>
      </c>
      <c r="L5112" t="n">
        <v>0</v>
      </c>
      <c r="M5112" t="n">
        <v>0</v>
      </c>
      <c r="N5112" t="n">
        <v>0</v>
      </c>
      <c r="O5112" t="n">
        <v>0</v>
      </c>
      <c r="P5112" t="n">
        <v>0</v>
      </c>
      <c r="Q5112" t="n">
        <v>0</v>
      </c>
      <c r="R5112" s="2" t="inlineStr"/>
    </row>
    <row r="5113" ht="15" customHeight="1">
      <c r="A5113" t="inlineStr">
        <is>
          <t>A 13576-2025</t>
        </is>
      </c>
      <c r="B5113" s="1" t="n">
        <v>45736.57993055556</v>
      </c>
      <c r="C5113" s="1" t="n">
        <v>45952</v>
      </c>
      <c r="D5113" t="inlineStr">
        <is>
          <t>VÄSTRA GÖTALANDS LÄN</t>
        </is>
      </c>
      <c r="E5113" t="inlineStr">
        <is>
          <t>HERRLJUNGA</t>
        </is>
      </c>
      <c r="G5113" t="n">
        <v>2.1</v>
      </c>
      <c r="H5113" t="n">
        <v>0</v>
      </c>
      <c r="I5113" t="n">
        <v>0</v>
      </c>
      <c r="J5113" t="n">
        <v>0</v>
      </c>
      <c r="K5113" t="n">
        <v>0</v>
      </c>
      <c r="L5113" t="n">
        <v>0</v>
      </c>
      <c r="M5113" t="n">
        <v>0</v>
      </c>
      <c r="N5113" t="n">
        <v>0</v>
      </c>
      <c r="O5113" t="n">
        <v>0</v>
      </c>
      <c r="P5113" t="n">
        <v>0</v>
      </c>
      <c r="Q5113" t="n">
        <v>0</v>
      </c>
      <c r="R5113" s="2" t="inlineStr"/>
    </row>
    <row r="5114" ht="15" customHeight="1">
      <c r="A5114" t="inlineStr">
        <is>
          <t>A 13658-2025</t>
        </is>
      </c>
      <c r="B5114" s="1" t="n">
        <v>45736</v>
      </c>
      <c r="C5114" s="1" t="n">
        <v>45952</v>
      </c>
      <c r="D5114" t="inlineStr">
        <is>
          <t>VÄSTRA GÖTALANDS LÄN</t>
        </is>
      </c>
      <c r="E5114" t="inlineStr">
        <is>
          <t>MUNKEDAL</t>
        </is>
      </c>
      <c r="F5114" t="inlineStr">
        <is>
          <t>Övriga Aktiebolag</t>
        </is>
      </c>
      <c r="G5114" t="n">
        <v>2.2</v>
      </c>
      <c r="H5114" t="n">
        <v>0</v>
      </c>
      <c r="I5114" t="n">
        <v>0</v>
      </c>
      <c r="J5114" t="n">
        <v>0</v>
      </c>
      <c r="K5114" t="n">
        <v>0</v>
      </c>
      <c r="L5114" t="n">
        <v>0</v>
      </c>
      <c r="M5114" t="n">
        <v>0</v>
      </c>
      <c r="N5114" t="n">
        <v>0</v>
      </c>
      <c r="O5114" t="n">
        <v>0</v>
      </c>
      <c r="P5114" t="n">
        <v>0</v>
      </c>
      <c r="Q5114" t="n">
        <v>0</v>
      </c>
      <c r="R5114" s="2" t="inlineStr"/>
    </row>
    <row r="5115" ht="15" customHeight="1">
      <c r="A5115" t="inlineStr">
        <is>
          <t>A 54991-2024</t>
        </is>
      </c>
      <c r="B5115" s="1" t="n">
        <v>45620.85204861111</v>
      </c>
      <c r="C5115" s="1" t="n">
        <v>45952</v>
      </c>
      <c r="D5115" t="inlineStr">
        <is>
          <t>VÄSTRA GÖTALANDS LÄN</t>
        </is>
      </c>
      <c r="E5115" t="inlineStr">
        <is>
          <t>VÅRGÅRDA</t>
        </is>
      </c>
      <c r="G5115" t="n">
        <v>2.6</v>
      </c>
      <c r="H5115" t="n">
        <v>0</v>
      </c>
      <c r="I5115" t="n">
        <v>0</v>
      </c>
      <c r="J5115" t="n">
        <v>0</v>
      </c>
      <c r="K5115" t="n">
        <v>0</v>
      </c>
      <c r="L5115" t="n">
        <v>0</v>
      </c>
      <c r="M5115" t="n">
        <v>0</v>
      </c>
      <c r="N5115" t="n">
        <v>0</v>
      </c>
      <c r="O5115" t="n">
        <v>0</v>
      </c>
      <c r="P5115" t="n">
        <v>0</v>
      </c>
      <c r="Q5115" t="n">
        <v>0</v>
      </c>
      <c r="R5115" s="2" t="inlineStr"/>
    </row>
    <row r="5116" ht="15" customHeight="1">
      <c r="A5116" t="inlineStr">
        <is>
          <t>A 19665-2025</t>
        </is>
      </c>
      <c r="B5116" s="1" t="n">
        <v>45770.69283564815</v>
      </c>
      <c r="C5116" s="1" t="n">
        <v>45952</v>
      </c>
      <c r="D5116" t="inlineStr">
        <is>
          <t>VÄSTRA GÖTALANDS LÄN</t>
        </is>
      </c>
      <c r="E5116" t="inlineStr">
        <is>
          <t>HERRLJUNGA</t>
        </is>
      </c>
      <c r="G5116" t="n">
        <v>0.9</v>
      </c>
      <c r="H5116" t="n">
        <v>0</v>
      </c>
      <c r="I5116" t="n">
        <v>0</v>
      </c>
      <c r="J5116" t="n">
        <v>0</v>
      </c>
      <c r="K5116" t="n">
        <v>0</v>
      </c>
      <c r="L5116" t="n">
        <v>0</v>
      </c>
      <c r="M5116" t="n">
        <v>0</v>
      </c>
      <c r="N5116" t="n">
        <v>0</v>
      </c>
      <c r="O5116" t="n">
        <v>0</v>
      </c>
      <c r="P5116" t="n">
        <v>0</v>
      </c>
      <c r="Q5116" t="n">
        <v>0</v>
      </c>
      <c r="R5116" s="2" t="inlineStr"/>
    </row>
    <row r="5117" ht="15" customHeight="1">
      <c r="A5117" t="inlineStr">
        <is>
          <t>A 73158-2021</t>
        </is>
      </c>
      <c r="B5117" s="1" t="n">
        <v>44550.53336805556</v>
      </c>
      <c r="C5117" s="1" t="n">
        <v>45952</v>
      </c>
      <c r="D5117" t="inlineStr">
        <is>
          <t>VÄSTRA GÖTALANDS LÄN</t>
        </is>
      </c>
      <c r="E5117" t="inlineStr">
        <is>
          <t>TROLLHÄTTAN</t>
        </is>
      </c>
      <c r="G5117" t="n">
        <v>1.3</v>
      </c>
      <c r="H5117" t="n">
        <v>0</v>
      </c>
      <c r="I5117" t="n">
        <v>0</v>
      </c>
      <c r="J5117" t="n">
        <v>0</v>
      </c>
      <c r="K5117" t="n">
        <v>0</v>
      </c>
      <c r="L5117" t="n">
        <v>0</v>
      </c>
      <c r="M5117" t="n">
        <v>0</v>
      </c>
      <c r="N5117" t="n">
        <v>0</v>
      </c>
      <c r="O5117" t="n">
        <v>0</v>
      </c>
      <c r="P5117" t="n">
        <v>0</v>
      </c>
      <c r="Q5117" t="n">
        <v>0</v>
      </c>
      <c r="R5117" s="2" t="inlineStr"/>
    </row>
    <row r="5118" ht="15" customHeight="1">
      <c r="A5118" t="inlineStr">
        <is>
          <t>A 17487-2025</t>
        </is>
      </c>
      <c r="B5118" s="1" t="n">
        <v>45757.50351851852</v>
      </c>
      <c r="C5118" s="1" t="n">
        <v>45952</v>
      </c>
      <c r="D5118" t="inlineStr">
        <is>
          <t>VÄSTRA GÖTALANDS LÄN</t>
        </is>
      </c>
      <c r="E5118" t="inlineStr">
        <is>
          <t>FÄRGELANDA</t>
        </is>
      </c>
      <c r="G5118" t="n">
        <v>1</v>
      </c>
      <c r="H5118" t="n">
        <v>0</v>
      </c>
      <c r="I5118" t="n">
        <v>0</v>
      </c>
      <c r="J5118" t="n">
        <v>0</v>
      </c>
      <c r="K5118" t="n">
        <v>0</v>
      </c>
      <c r="L5118" t="n">
        <v>0</v>
      </c>
      <c r="M5118" t="n">
        <v>0</v>
      </c>
      <c r="N5118" t="n">
        <v>0</v>
      </c>
      <c r="O5118" t="n">
        <v>0</v>
      </c>
      <c r="P5118" t="n">
        <v>0</v>
      </c>
      <c r="Q5118" t="n">
        <v>0</v>
      </c>
      <c r="R5118" s="2" t="inlineStr"/>
    </row>
    <row r="5119" ht="15" customHeight="1">
      <c r="A5119" t="inlineStr">
        <is>
          <t>A 49159-2024</t>
        </is>
      </c>
      <c r="B5119" s="1" t="n">
        <v>45594.84241898148</v>
      </c>
      <c r="C5119" s="1" t="n">
        <v>45952</v>
      </c>
      <c r="D5119" t="inlineStr">
        <is>
          <t>VÄSTRA GÖTALANDS LÄN</t>
        </is>
      </c>
      <c r="E5119" t="inlineStr">
        <is>
          <t>TIDAHOLM</t>
        </is>
      </c>
      <c r="G5119" t="n">
        <v>2.2</v>
      </c>
      <c r="H5119" t="n">
        <v>0</v>
      </c>
      <c r="I5119" t="n">
        <v>0</v>
      </c>
      <c r="J5119" t="n">
        <v>0</v>
      </c>
      <c r="K5119" t="n">
        <v>0</v>
      </c>
      <c r="L5119" t="n">
        <v>0</v>
      </c>
      <c r="M5119" t="n">
        <v>0</v>
      </c>
      <c r="N5119" t="n">
        <v>0</v>
      </c>
      <c r="O5119" t="n">
        <v>0</v>
      </c>
      <c r="P5119" t="n">
        <v>0</v>
      </c>
      <c r="Q5119" t="n">
        <v>0</v>
      </c>
      <c r="R5119" s="2" t="inlineStr"/>
    </row>
    <row r="5120" ht="15" customHeight="1">
      <c r="A5120" t="inlineStr">
        <is>
          <t>A 49160-2024</t>
        </is>
      </c>
      <c r="B5120" s="1" t="n">
        <v>45594.86378472222</v>
      </c>
      <c r="C5120" s="1" t="n">
        <v>45952</v>
      </c>
      <c r="D5120" t="inlineStr">
        <is>
          <t>VÄSTRA GÖTALANDS LÄN</t>
        </is>
      </c>
      <c r="E5120" t="inlineStr">
        <is>
          <t>TRANEMO</t>
        </is>
      </c>
      <c r="G5120" t="n">
        <v>0.9</v>
      </c>
      <c r="H5120" t="n">
        <v>0</v>
      </c>
      <c r="I5120" t="n">
        <v>0</v>
      </c>
      <c r="J5120" t="n">
        <v>0</v>
      </c>
      <c r="K5120" t="n">
        <v>0</v>
      </c>
      <c r="L5120" t="n">
        <v>0</v>
      </c>
      <c r="M5120" t="n">
        <v>0</v>
      </c>
      <c r="N5120" t="n">
        <v>0</v>
      </c>
      <c r="O5120" t="n">
        <v>0</v>
      </c>
      <c r="P5120" t="n">
        <v>0</v>
      </c>
      <c r="Q5120" t="n">
        <v>0</v>
      </c>
      <c r="R5120" s="2" t="inlineStr"/>
    </row>
    <row r="5121" ht="15" customHeight="1">
      <c r="A5121" t="inlineStr">
        <is>
          <t>A 46923-2025</t>
        </is>
      </c>
      <c r="B5121" s="1" t="n">
        <v>45929.43701388889</v>
      </c>
      <c r="C5121" s="1" t="n">
        <v>45952</v>
      </c>
      <c r="D5121" t="inlineStr">
        <is>
          <t>VÄSTRA GÖTALANDS LÄN</t>
        </is>
      </c>
      <c r="E5121" t="inlineStr">
        <is>
          <t>SKÖVDE</t>
        </is>
      </c>
      <c r="G5121" t="n">
        <v>3.4</v>
      </c>
      <c r="H5121" t="n">
        <v>0</v>
      </c>
      <c r="I5121" t="n">
        <v>0</v>
      </c>
      <c r="J5121" t="n">
        <v>0</v>
      </c>
      <c r="K5121" t="n">
        <v>0</v>
      </c>
      <c r="L5121" t="n">
        <v>0</v>
      </c>
      <c r="M5121" t="n">
        <v>0</v>
      </c>
      <c r="N5121" t="n">
        <v>0</v>
      </c>
      <c r="O5121" t="n">
        <v>0</v>
      </c>
      <c r="P5121" t="n">
        <v>0</v>
      </c>
      <c r="Q5121" t="n">
        <v>0</v>
      </c>
      <c r="R5121" s="2" t="inlineStr"/>
    </row>
    <row r="5122" ht="15" customHeight="1">
      <c r="A5122" t="inlineStr">
        <is>
          <t>A 38804-2025</t>
        </is>
      </c>
      <c r="B5122" s="1" t="n">
        <v>45887.46581018518</v>
      </c>
      <c r="C5122" s="1" t="n">
        <v>45952</v>
      </c>
      <c r="D5122" t="inlineStr">
        <is>
          <t>VÄSTRA GÖTALANDS LÄN</t>
        </is>
      </c>
      <c r="E5122" t="inlineStr">
        <is>
          <t>TANUM</t>
        </is>
      </c>
      <c r="G5122" t="n">
        <v>8.4</v>
      </c>
      <c r="H5122" t="n">
        <v>0</v>
      </c>
      <c r="I5122" t="n">
        <v>0</v>
      </c>
      <c r="J5122" t="n">
        <v>0</v>
      </c>
      <c r="K5122" t="n">
        <v>0</v>
      </c>
      <c r="L5122" t="n">
        <v>0</v>
      </c>
      <c r="M5122" t="n">
        <v>0</v>
      </c>
      <c r="N5122" t="n">
        <v>0</v>
      </c>
      <c r="O5122" t="n">
        <v>0</v>
      </c>
      <c r="P5122" t="n">
        <v>0</v>
      </c>
      <c r="Q5122" t="n">
        <v>0</v>
      </c>
      <c r="R5122" s="2" t="inlineStr"/>
    </row>
    <row r="5123" ht="15" customHeight="1">
      <c r="A5123" t="inlineStr">
        <is>
          <t>A 19492-2021</t>
        </is>
      </c>
      <c r="B5123" s="1" t="n">
        <v>44312</v>
      </c>
      <c r="C5123" s="1" t="n">
        <v>45952</v>
      </c>
      <c r="D5123" t="inlineStr">
        <is>
          <t>VÄSTRA GÖTALANDS LÄN</t>
        </is>
      </c>
      <c r="E5123" t="inlineStr">
        <is>
          <t>STRÖMSTAD</t>
        </is>
      </c>
      <c r="G5123" t="n">
        <v>1.8</v>
      </c>
      <c r="H5123" t="n">
        <v>0</v>
      </c>
      <c r="I5123" t="n">
        <v>0</v>
      </c>
      <c r="J5123" t="n">
        <v>0</v>
      </c>
      <c r="K5123" t="n">
        <v>0</v>
      </c>
      <c r="L5123" t="n">
        <v>0</v>
      </c>
      <c r="M5123" t="n">
        <v>0</v>
      </c>
      <c r="N5123" t="n">
        <v>0</v>
      </c>
      <c r="O5123" t="n">
        <v>0</v>
      </c>
      <c r="P5123" t="n">
        <v>0</v>
      </c>
      <c r="Q5123" t="n">
        <v>0</v>
      </c>
      <c r="R5123" s="2" t="inlineStr"/>
    </row>
    <row r="5124" ht="15" customHeight="1">
      <c r="A5124" t="inlineStr">
        <is>
          <t>A 24349-2023</t>
        </is>
      </c>
      <c r="B5124" s="1" t="n">
        <v>45082.31181712963</v>
      </c>
      <c r="C5124" s="1" t="n">
        <v>45952</v>
      </c>
      <c r="D5124" t="inlineStr">
        <is>
          <t>VÄSTRA GÖTALANDS LÄN</t>
        </is>
      </c>
      <c r="E5124" t="inlineStr">
        <is>
          <t>TÖREBODA</t>
        </is>
      </c>
      <c r="G5124" t="n">
        <v>2.8</v>
      </c>
      <c r="H5124" t="n">
        <v>0</v>
      </c>
      <c r="I5124" t="n">
        <v>0</v>
      </c>
      <c r="J5124" t="n">
        <v>0</v>
      </c>
      <c r="K5124" t="n">
        <v>0</v>
      </c>
      <c r="L5124" t="n">
        <v>0</v>
      </c>
      <c r="M5124" t="n">
        <v>0</v>
      </c>
      <c r="N5124" t="n">
        <v>0</v>
      </c>
      <c r="O5124" t="n">
        <v>0</v>
      </c>
      <c r="P5124" t="n">
        <v>0</v>
      </c>
      <c r="Q5124" t="n">
        <v>0</v>
      </c>
      <c r="R5124" s="2" t="inlineStr"/>
    </row>
    <row r="5125" ht="15" customHeight="1">
      <c r="A5125" t="inlineStr">
        <is>
          <t>A 24358-2023</t>
        </is>
      </c>
      <c r="B5125" s="1" t="n">
        <v>45082.32069444445</v>
      </c>
      <c r="C5125" s="1" t="n">
        <v>45952</v>
      </c>
      <c r="D5125" t="inlineStr">
        <is>
          <t>VÄSTRA GÖTALANDS LÄN</t>
        </is>
      </c>
      <c r="E5125" t="inlineStr">
        <is>
          <t>TÖREBODA</t>
        </is>
      </c>
      <c r="G5125" t="n">
        <v>3.7</v>
      </c>
      <c r="H5125" t="n">
        <v>0</v>
      </c>
      <c r="I5125" t="n">
        <v>0</v>
      </c>
      <c r="J5125" t="n">
        <v>0</v>
      </c>
      <c r="K5125" t="n">
        <v>0</v>
      </c>
      <c r="L5125" t="n">
        <v>0</v>
      </c>
      <c r="M5125" t="n">
        <v>0</v>
      </c>
      <c r="N5125" t="n">
        <v>0</v>
      </c>
      <c r="O5125" t="n">
        <v>0</v>
      </c>
      <c r="P5125" t="n">
        <v>0</v>
      </c>
      <c r="Q5125" t="n">
        <v>0</v>
      </c>
      <c r="R5125" s="2" t="inlineStr"/>
    </row>
    <row r="5126" ht="15" customHeight="1">
      <c r="A5126" t="inlineStr">
        <is>
          <t>A 62265-2020</t>
        </is>
      </c>
      <c r="B5126" s="1" t="n">
        <v>44160</v>
      </c>
      <c r="C5126" s="1" t="n">
        <v>45952</v>
      </c>
      <c r="D5126" t="inlineStr">
        <is>
          <t>VÄSTRA GÖTALANDS LÄN</t>
        </is>
      </c>
      <c r="E5126" t="inlineStr">
        <is>
          <t>STENUNGSUND</t>
        </is>
      </c>
      <c r="F5126" t="inlineStr">
        <is>
          <t>Kyrkan</t>
        </is>
      </c>
      <c r="G5126" t="n">
        <v>3.2</v>
      </c>
      <c r="H5126" t="n">
        <v>0</v>
      </c>
      <c r="I5126" t="n">
        <v>0</v>
      </c>
      <c r="J5126" t="n">
        <v>0</v>
      </c>
      <c r="K5126" t="n">
        <v>0</v>
      </c>
      <c r="L5126" t="n">
        <v>0</v>
      </c>
      <c r="M5126" t="n">
        <v>0</v>
      </c>
      <c r="N5126" t="n">
        <v>0</v>
      </c>
      <c r="O5126" t="n">
        <v>0</v>
      </c>
      <c r="P5126" t="n">
        <v>0</v>
      </c>
      <c r="Q5126" t="n">
        <v>0</v>
      </c>
      <c r="R5126" s="2" t="inlineStr"/>
    </row>
    <row r="5127" ht="15" customHeight="1">
      <c r="A5127" t="inlineStr">
        <is>
          <t>A 57995-2023</t>
        </is>
      </c>
      <c r="B5127" s="1" t="n">
        <v>45247.60436342593</v>
      </c>
      <c r="C5127" s="1" t="n">
        <v>45952</v>
      </c>
      <c r="D5127" t="inlineStr">
        <is>
          <t>VÄSTRA GÖTALANDS LÄN</t>
        </is>
      </c>
      <c r="E5127" t="inlineStr">
        <is>
          <t>HERRLJUNGA</t>
        </is>
      </c>
      <c r="G5127" t="n">
        <v>1.7</v>
      </c>
      <c r="H5127" t="n">
        <v>0</v>
      </c>
      <c r="I5127" t="n">
        <v>0</v>
      </c>
      <c r="J5127" t="n">
        <v>0</v>
      </c>
      <c r="K5127" t="n">
        <v>0</v>
      </c>
      <c r="L5127" t="n">
        <v>0</v>
      </c>
      <c r="M5127" t="n">
        <v>0</v>
      </c>
      <c r="N5127" t="n">
        <v>0</v>
      </c>
      <c r="O5127" t="n">
        <v>0</v>
      </c>
      <c r="P5127" t="n">
        <v>0</v>
      </c>
      <c r="Q5127" t="n">
        <v>0</v>
      </c>
      <c r="R5127" s="2" t="inlineStr"/>
    </row>
    <row r="5128" ht="15" customHeight="1">
      <c r="A5128" t="inlineStr">
        <is>
          <t>A 6003-2023</t>
        </is>
      </c>
      <c r="B5128" s="1" t="n">
        <v>44964.39972222222</v>
      </c>
      <c r="C5128" s="1" t="n">
        <v>45952</v>
      </c>
      <c r="D5128" t="inlineStr">
        <is>
          <t>VÄSTRA GÖTALANDS LÄN</t>
        </is>
      </c>
      <c r="E5128" t="inlineStr">
        <is>
          <t>VÅRGÅRDA</t>
        </is>
      </c>
      <c r="F5128" t="inlineStr">
        <is>
          <t>Sveaskog</t>
        </is>
      </c>
      <c r="G5128" t="n">
        <v>2.9</v>
      </c>
      <c r="H5128" t="n">
        <v>0</v>
      </c>
      <c r="I5128" t="n">
        <v>0</v>
      </c>
      <c r="J5128" t="n">
        <v>0</v>
      </c>
      <c r="K5128" t="n">
        <v>0</v>
      </c>
      <c r="L5128" t="n">
        <v>0</v>
      </c>
      <c r="M5128" t="n">
        <v>0</v>
      </c>
      <c r="N5128" t="n">
        <v>0</v>
      </c>
      <c r="O5128" t="n">
        <v>0</v>
      </c>
      <c r="P5128" t="n">
        <v>0</v>
      </c>
      <c r="Q5128" t="n">
        <v>0</v>
      </c>
      <c r="R5128" s="2" t="inlineStr"/>
    </row>
    <row r="5129" ht="15" customHeight="1">
      <c r="A5129" t="inlineStr">
        <is>
          <t>A 13883-2022</t>
        </is>
      </c>
      <c r="B5129" s="1" t="n">
        <v>44650</v>
      </c>
      <c r="C5129" s="1" t="n">
        <v>45952</v>
      </c>
      <c r="D5129" t="inlineStr">
        <is>
          <t>VÄSTRA GÖTALANDS LÄN</t>
        </is>
      </c>
      <c r="E5129" t="inlineStr">
        <is>
          <t>TROLLHÄTTAN</t>
        </is>
      </c>
      <c r="G5129" t="n">
        <v>6.1</v>
      </c>
      <c r="H5129" t="n">
        <v>0</v>
      </c>
      <c r="I5129" t="n">
        <v>0</v>
      </c>
      <c r="J5129" t="n">
        <v>0</v>
      </c>
      <c r="K5129" t="n">
        <v>0</v>
      </c>
      <c r="L5129" t="n">
        <v>0</v>
      </c>
      <c r="M5129" t="n">
        <v>0</v>
      </c>
      <c r="N5129" t="n">
        <v>0</v>
      </c>
      <c r="O5129" t="n">
        <v>0</v>
      </c>
      <c r="P5129" t="n">
        <v>0</v>
      </c>
      <c r="Q5129" t="n">
        <v>0</v>
      </c>
      <c r="R5129" s="2" t="inlineStr"/>
    </row>
    <row r="5130" ht="15" customHeight="1">
      <c r="A5130" t="inlineStr">
        <is>
          <t>A 59821-2022</t>
        </is>
      </c>
      <c r="B5130" s="1" t="n">
        <v>44908</v>
      </c>
      <c r="C5130" s="1" t="n">
        <v>45952</v>
      </c>
      <c r="D5130" t="inlineStr">
        <is>
          <t>VÄSTRA GÖTALANDS LÄN</t>
        </is>
      </c>
      <c r="E5130" t="inlineStr">
        <is>
          <t>TANUM</t>
        </is>
      </c>
      <c r="G5130" t="n">
        <v>9</v>
      </c>
      <c r="H5130" t="n">
        <v>0</v>
      </c>
      <c r="I5130" t="n">
        <v>0</v>
      </c>
      <c r="J5130" t="n">
        <v>0</v>
      </c>
      <c r="K5130" t="n">
        <v>0</v>
      </c>
      <c r="L5130" t="n">
        <v>0</v>
      </c>
      <c r="M5130" t="n">
        <v>0</v>
      </c>
      <c r="N5130" t="n">
        <v>0</v>
      </c>
      <c r="O5130" t="n">
        <v>0</v>
      </c>
      <c r="P5130" t="n">
        <v>0</v>
      </c>
      <c r="Q5130" t="n">
        <v>0</v>
      </c>
      <c r="R5130" s="2" t="inlineStr"/>
    </row>
    <row r="5131" ht="15" customHeight="1">
      <c r="A5131" t="inlineStr">
        <is>
          <t>A 69067-2020</t>
        </is>
      </c>
      <c r="B5131" s="1" t="n">
        <v>44188</v>
      </c>
      <c r="C5131" s="1" t="n">
        <v>45952</v>
      </c>
      <c r="D5131" t="inlineStr">
        <is>
          <t>VÄSTRA GÖTALANDS LÄN</t>
        </is>
      </c>
      <c r="E5131" t="inlineStr">
        <is>
          <t>BORÅS</t>
        </is>
      </c>
      <c r="G5131" t="n">
        <v>1.8</v>
      </c>
      <c r="H5131" t="n">
        <v>0</v>
      </c>
      <c r="I5131" t="n">
        <v>0</v>
      </c>
      <c r="J5131" t="n">
        <v>0</v>
      </c>
      <c r="K5131" t="n">
        <v>0</v>
      </c>
      <c r="L5131" t="n">
        <v>0</v>
      </c>
      <c r="M5131" t="n">
        <v>0</v>
      </c>
      <c r="N5131" t="n">
        <v>0</v>
      </c>
      <c r="O5131" t="n">
        <v>0</v>
      </c>
      <c r="P5131" t="n">
        <v>0</v>
      </c>
      <c r="Q5131" t="n">
        <v>0</v>
      </c>
      <c r="R5131" s="2" t="inlineStr"/>
    </row>
    <row r="5132" ht="15" customHeight="1">
      <c r="A5132" t="inlineStr">
        <is>
          <t>A 16621-2022</t>
        </is>
      </c>
      <c r="B5132" s="1" t="n">
        <v>44672.60231481482</v>
      </c>
      <c r="C5132" s="1" t="n">
        <v>45952</v>
      </c>
      <c r="D5132" t="inlineStr">
        <is>
          <t>VÄSTRA GÖTALANDS LÄN</t>
        </is>
      </c>
      <c r="E5132" t="inlineStr">
        <is>
          <t>MUNKEDAL</t>
        </is>
      </c>
      <c r="G5132" t="n">
        <v>2.1</v>
      </c>
      <c r="H5132" t="n">
        <v>0</v>
      </c>
      <c r="I5132" t="n">
        <v>0</v>
      </c>
      <c r="J5132" t="n">
        <v>0</v>
      </c>
      <c r="K5132" t="n">
        <v>0</v>
      </c>
      <c r="L5132" t="n">
        <v>0</v>
      </c>
      <c r="M5132" t="n">
        <v>0</v>
      </c>
      <c r="N5132" t="n">
        <v>0</v>
      </c>
      <c r="O5132" t="n">
        <v>0</v>
      </c>
      <c r="P5132" t="n">
        <v>0</v>
      </c>
      <c r="Q5132" t="n">
        <v>0</v>
      </c>
      <c r="R5132" s="2" t="inlineStr"/>
    </row>
    <row r="5133" ht="15" customHeight="1">
      <c r="A5133" t="inlineStr">
        <is>
          <t>A 7263-2025</t>
        </is>
      </c>
      <c r="B5133" s="1" t="n">
        <v>45702.59402777778</v>
      </c>
      <c r="C5133" s="1" t="n">
        <v>45952</v>
      </c>
      <c r="D5133" t="inlineStr">
        <is>
          <t>VÄSTRA GÖTALANDS LÄN</t>
        </is>
      </c>
      <c r="E5133" t="inlineStr">
        <is>
          <t>BENGTSFORS</t>
        </is>
      </c>
      <c r="G5133" t="n">
        <v>3.1</v>
      </c>
      <c r="H5133" t="n">
        <v>0</v>
      </c>
      <c r="I5133" t="n">
        <v>0</v>
      </c>
      <c r="J5133" t="n">
        <v>0</v>
      </c>
      <c r="K5133" t="n">
        <v>0</v>
      </c>
      <c r="L5133" t="n">
        <v>0</v>
      </c>
      <c r="M5133" t="n">
        <v>0</v>
      </c>
      <c r="N5133" t="n">
        <v>0</v>
      </c>
      <c r="O5133" t="n">
        <v>0</v>
      </c>
      <c r="P5133" t="n">
        <v>0</v>
      </c>
      <c r="Q5133" t="n">
        <v>0</v>
      </c>
      <c r="R5133" s="2" t="inlineStr"/>
    </row>
    <row r="5134" ht="15" customHeight="1">
      <c r="A5134" t="inlineStr">
        <is>
          <t>A 60105-2021</t>
        </is>
      </c>
      <c r="B5134" s="1" t="n">
        <v>44495.42215277778</v>
      </c>
      <c r="C5134" s="1" t="n">
        <v>45952</v>
      </c>
      <c r="D5134" t="inlineStr">
        <is>
          <t>VÄSTRA GÖTALANDS LÄN</t>
        </is>
      </c>
      <c r="E5134" t="inlineStr">
        <is>
          <t>BENGTSFORS</t>
        </is>
      </c>
      <c r="G5134" t="n">
        <v>1.8</v>
      </c>
      <c r="H5134" t="n">
        <v>0</v>
      </c>
      <c r="I5134" t="n">
        <v>0</v>
      </c>
      <c r="J5134" t="n">
        <v>0</v>
      </c>
      <c r="K5134" t="n">
        <v>0</v>
      </c>
      <c r="L5134" t="n">
        <v>0</v>
      </c>
      <c r="M5134" t="n">
        <v>0</v>
      </c>
      <c r="N5134" t="n">
        <v>0</v>
      </c>
      <c r="O5134" t="n">
        <v>0</v>
      </c>
      <c r="P5134" t="n">
        <v>0</v>
      </c>
      <c r="Q5134" t="n">
        <v>0</v>
      </c>
      <c r="R5134" s="2" t="inlineStr"/>
    </row>
    <row r="5135" ht="15" customHeight="1">
      <c r="A5135" t="inlineStr">
        <is>
          <t>A 22601-2023</t>
        </is>
      </c>
      <c r="B5135" s="1" t="n">
        <v>45071</v>
      </c>
      <c r="C5135" s="1" t="n">
        <v>45952</v>
      </c>
      <c r="D5135" t="inlineStr">
        <is>
          <t>VÄSTRA GÖTALANDS LÄN</t>
        </is>
      </c>
      <c r="E5135" t="inlineStr">
        <is>
          <t>BENGTSFORS</t>
        </is>
      </c>
      <c r="G5135" t="n">
        <v>3.3</v>
      </c>
      <c r="H5135" t="n">
        <v>0</v>
      </c>
      <c r="I5135" t="n">
        <v>0</v>
      </c>
      <c r="J5135" t="n">
        <v>0</v>
      </c>
      <c r="K5135" t="n">
        <v>0</v>
      </c>
      <c r="L5135" t="n">
        <v>0</v>
      </c>
      <c r="M5135" t="n">
        <v>0</v>
      </c>
      <c r="N5135" t="n">
        <v>0</v>
      </c>
      <c r="O5135" t="n">
        <v>0</v>
      </c>
      <c r="P5135" t="n">
        <v>0</v>
      </c>
      <c r="Q5135" t="n">
        <v>0</v>
      </c>
      <c r="R5135" s="2" t="inlineStr"/>
    </row>
    <row r="5136" ht="15" customHeight="1">
      <c r="A5136" t="inlineStr">
        <is>
          <t>A 61181-2024</t>
        </is>
      </c>
      <c r="B5136" s="1" t="n">
        <v>45645</v>
      </c>
      <c r="C5136" s="1" t="n">
        <v>45952</v>
      </c>
      <c r="D5136" t="inlineStr">
        <is>
          <t>VÄSTRA GÖTALANDS LÄN</t>
        </is>
      </c>
      <c r="E5136" t="inlineStr">
        <is>
          <t>FALKÖPING</t>
        </is>
      </c>
      <c r="G5136" t="n">
        <v>2.1</v>
      </c>
      <c r="H5136" t="n">
        <v>0</v>
      </c>
      <c r="I5136" t="n">
        <v>0</v>
      </c>
      <c r="J5136" t="n">
        <v>0</v>
      </c>
      <c r="K5136" t="n">
        <v>0</v>
      </c>
      <c r="L5136" t="n">
        <v>0</v>
      </c>
      <c r="M5136" t="n">
        <v>0</v>
      </c>
      <c r="N5136" t="n">
        <v>0</v>
      </c>
      <c r="O5136" t="n">
        <v>0</v>
      </c>
      <c r="P5136" t="n">
        <v>0</v>
      </c>
      <c r="Q5136" t="n">
        <v>0</v>
      </c>
      <c r="R5136" s="2" t="inlineStr"/>
    </row>
    <row r="5137" ht="15" customHeight="1">
      <c r="A5137" t="inlineStr">
        <is>
          <t>A 38841-2022</t>
        </is>
      </c>
      <c r="B5137" s="1" t="n">
        <v>44816</v>
      </c>
      <c r="C5137" s="1" t="n">
        <v>45952</v>
      </c>
      <c r="D5137" t="inlineStr">
        <is>
          <t>VÄSTRA GÖTALANDS LÄN</t>
        </is>
      </c>
      <c r="E5137" t="inlineStr">
        <is>
          <t>TÖREBODA</t>
        </is>
      </c>
      <c r="F5137" t="inlineStr">
        <is>
          <t>Kyrkan</t>
        </is>
      </c>
      <c r="G5137" t="n">
        <v>1.2</v>
      </c>
      <c r="H5137" t="n">
        <v>0</v>
      </c>
      <c r="I5137" t="n">
        <v>0</v>
      </c>
      <c r="J5137" t="n">
        <v>0</v>
      </c>
      <c r="K5137" t="n">
        <v>0</v>
      </c>
      <c r="L5137" t="n">
        <v>0</v>
      </c>
      <c r="M5137" t="n">
        <v>0</v>
      </c>
      <c r="N5137" t="n">
        <v>0</v>
      </c>
      <c r="O5137" t="n">
        <v>0</v>
      </c>
      <c r="P5137" t="n">
        <v>0</v>
      </c>
      <c r="Q5137" t="n">
        <v>0</v>
      </c>
      <c r="R5137" s="2" t="inlineStr"/>
    </row>
    <row r="5138" ht="15" customHeight="1">
      <c r="A5138" t="inlineStr">
        <is>
          <t>A 51386-2024</t>
        </is>
      </c>
      <c r="B5138" s="1" t="n">
        <v>45604.39815972222</v>
      </c>
      <c r="C5138" s="1" t="n">
        <v>45952</v>
      </c>
      <c r="D5138" t="inlineStr">
        <is>
          <t>VÄSTRA GÖTALANDS LÄN</t>
        </is>
      </c>
      <c r="E5138" t="inlineStr">
        <is>
          <t>TÖREBODA</t>
        </is>
      </c>
      <c r="F5138" t="inlineStr">
        <is>
          <t>Sveaskog</t>
        </is>
      </c>
      <c r="G5138" t="n">
        <v>6.1</v>
      </c>
      <c r="H5138" t="n">
        <v>0</v>
      </c>
      <c r="I5138" t="n">
        <v>0</v>
      </c>
      <c r="J5138" t="n">
        <v>0</v>
      </c>
      <c r="K5138" t="n">
        <v>0</v>
      </c>
      <c r="L5138" t="n">
        <v>0</v>
      </c>
      <c r="M5138" t="n">
        <v>0</v>
      </c>
      <c r="N5138" t="n">
        <v>0</v>
      </c>
      <c r="O5138" t="n">
        <v>0</v>
      </c>
      <c r="P5138" t="n">
        <v>0</v>
      </c>
      <c r="Q5138" t="n">
        <v>0</v>
      </c>
      <c r="R5138" s="2" t="inlineStr"/>
    </row>
    <row r="5139" ht="15" customHeight="1">
      <c r="A5139" t="inlineStr">
        <is>
          <t>A 51392-2024</t>
        </is>
      </c>
      <c r="B5139" s="1" t="n">
        <v>45604.41407407408</v>
      </c>
      <c r="C5139" s="1" t="n">
        <v>45952</v>
      </c>
      <c r="D5139" t="inlineStr">
        <is>
          <t>VÄSTRA GÖTALANDS LÄN</t>
        </is>
      </c>
      <c r="E5139" t="inlineStr">
        <is>
          <t>ULRICEHAMN</t>
        </is>
      </c>
      <c r="G5139" t="n">
        <v>1.3</v>
      </c>
      <c r="H5139" t="n">
        <v>0</v>
      </c>
      <c r="I5139" t="n">
        <v>0</v>
      </c>
      <c r="J5139" t="n">
        <v>0</v>
      </c>
      <c r="K5139" t="n">
        <v>0</v>
      </c>
      <c r="L5139" t="n">
        <v>0</v>
      </c>
      <c r="M5139" t="n">
        <v>0</v>
      </c>
      <c r="N5139" t="n">
        <v>0</v>
      </c>
      <c r="O5139" t="n">
        <v>0</v>
      </c>
      <c r="P5139" t="n">
        <v>0</v>
      </c>
      <c r="Q5139" t="n">
        <v>0</v>
      </c>
      <c r="R5139" s="2" t="inlineStr"/>
    </row>
    <row r="5140" ht="15" customHeight="1">
      <c r="A5140" t="inlineStr">
        <is>
          <t>A 57473-2022</t>
        </is>
      </c>
      <c r="B5140" s="1" t="n">
        <v>44896</v>
      </c>
      <c r="C5140" s="1" t="n">
        <v>45952</v>
      </c>
      <c r="D5140" t="inlineStr">
        <is>
          <t>VÄSTRA GÖTALANDS LÄN</t>
        </is>
      </c>
      <c r="E5140" t="inlineStr">
        <is>
          <t>ALE</t>
        </is>
      </c>
      <c r="G5140" t="n">
        <v>0.7</v>
      </c>
      <c r="H5140" t="n">
        <v>0</v>
      </c>
      <c r="I5140" t="n">
        <v>0</v>
      </c>
      <c r="J5140" t="n">
        <v>0</v>
      </c>
      <c r="K5140" t="n">
        <v>0</v>
      </c>
      <c r="L5140" t="n">
        <v>0</v>
      </c>
      <c r="M5140" t="n">
        <v>0</v>
      </c>
      <c r="N5140" t="n">
        <v>0</v>
      </c>
      <c r="O5140" t="n">
        <v>0</v>
      </c>
      <c r="P5140" t="n">
        <v>0</v>
      </c>
      <c r="Q5140" t="n">
        <v>0</v>
      </c>
      <c r="R5140" s="2" t="inlineStr"/>
    </row>
    <row r="5141" ht="15" customHeight="1">
      <c r="A5141" t="inlineStr">
        <is>
          <t>A 59925-2023</t>
        </is>
      </c>
      <c r="B5141" s="1" t="n">
        <v>45257.65560185185</v>
      </c>
      <c r="C5141" s="1" t="n">
        <v>45952</v>
      </c>
      <c r="D5141" t="inlineStr">
        <is>
          <t>VÄSTRA GÖTALANDS LÄN</t>
        </is>
      </c>
      <c r="E5141" t="inlineStr">
        <is>
          <t>ALINGSÅS</t>
        </is>
      </c>
      <c r="G5141" t="n">
        <v>3.3</v>
      </c>
      <c r="H5141" t="n">
        <v>0</v>
      </c>
      <c r="I5141" t="n">
        <v>0</v>
      </c>
      <c r="J5141" t="n">
        <v>0</v>
      </c>
      <c r="K5141" t="n">
        <v>0</v>
      </c>
      <c r="L5141" t="n">
        <v>0</v>
      </c>
      <c r="M5141" t="n">
        <v>0</v>
      </c>
      <c r="N5141" t="n">
        <v>0</v>
      </c>
      <c r="O5141" t="n">
        <v>0</v>
      </c>
      <c r="P5141" t="n">
        <v>0</v>
      </c>
      <c r="Q5141" t="n">
        <v>0</v>
      </c>
      <c r="R5141" s="2" t="inlineStr"/>
    </row>
    <row r="5142" ht="15" customHeight="1">
      <c r="A5142" t="inlineStr">
        <is>
          <t>A 33293-2025</t>
        </is>
      </c>
      <c r="B5142" s="1" t="n">
        <v>45840.89650462963</v>
      </c>
      <c r="C5142" s="1" t="n">
        <v>45952</v>
      </c>
      <c r="D5142" t="inlineStr">
        <is>
          <t>VÄSTRA GÖTALANDS LÄN</t>
        </is>
      </c>
      <c r="E5142" t="inlineStr">
        <is>
          <t>UDDEVALLA</t>
        </is>
      </c>
      <c r="G5142" t="n">
        <v>2.3</v>
      </c>
      <c r="H5142" t="n">
        <v>0</v>
      </c>
      <c r="I5142" t="n">
        <v>0</v>
      </c>
      <c r="J5142" t="n">
        <v>0</v>
      </c>
      <c r="K5142" t="n">
        <v>0</v>
      </c>
      <c r="L5142" t="n">
        <v>0</v>
      </c>
      <c r="M5142" t="n">
        <v>0</v>
      </c>
      <c r="N5142" t="n">
        <v>0</v>
      </c>
      <c r="O5142" t="n">
        <v>0</v>
      </c>
      <c r="P5142" t="n">
        <v>0</v>
      </c>
      <c r="Q5142" t="n">
        <v>0</v>
      </c>
      <c r="R5142" s="2" t="inlineStr"/>
    </row>
    <row r="5143" ht="15" customHeight="1">
      <c r="A5143" t="inlineStr">
        <is>
          <t>A 28416-2024</t>
        </is>
      </c>
      <c r="B5143" s="1" t="n">
        <v>45477.62978009259</v>
      </c>
      <c r="C5143" s="1" t="n">
        <v>45952</v>
      </c>
      <c r="D5143" t="inlineStr">
        <is>
          <t>VÄSTRA GÖTALANDS LÄN</t>
        </is>
      </c>
      <c r="E5143" t="inlineStr">
        <is>
          <t>SOTENÄS</t>
        </is>
      </c>
      <c r="G5143" t="n">
        <v>0.2</v>
      </c>
      <c r="H5143" t="n">
        <v>0</v>
      </c>
      <c r="I5143" t="n">
        <v>0</v>
      </c>
      <c r="J5143" t="n">
        <v>0</v>
      </c>
      <c r="K5143" t="n">
        <v>0</v>
      </c>
      <c r="L5143" t="n">
        <v>0</v>
      </c>
      <c r="M5143" t="n">
        <v>0</v>
      </c>
      <c r="N5143" t="n">
        <v>0</v>
      </c>
      <c r="O5143" t="n">
        <v>0</v>
      </c>
      <c r="P5143" t="n">
        <v>0</v>
      </c>
      <c r="Q5143" t="n">
        <v>0</v>
      </c>
      <c r="R5143" s="2" t="inlineStr"/>
    </row>
    <row r="5144" ht="15" customHeight="1">
      <c r="A5144" t="inlineStr">
        <is>
          <t>A 13710-2025</t>
        </is>
      </c>
      <c r="B5144" s="1" t="n">
        <v>45737.34603009259</v>
      </c>
      <c r="C5144" s="1" t="n">
        <v>45952</v>
      </c>
      <c r="D5144" t="inlineStr">
        <is>
          <t>VÄSTRA GÖTALANDS LÄN</t>
        </is>
      </c>
      <c r="E5144" t="inlineStr">
        <is>
          <t>UDDEVALLA</t>
        </is>
      </c>
      <c r="G5144" t="n">
        <v>1</v>
      </c>
      <c r="H5144" t="n">
        <v>0</v>
      </c>
      <c r="I5144" t="n">
        <v>0</v>
      </c>
      <c r="J5144" t="n">
        <v>0</v>
      </c>
      <c r="K5144" t="n">
        <v>0</v>
      </c>
      <c r="L5144" t="n">
        <v>0</v>
      </c>
      <c r="M5144" t="n">
        <v>0</v>
      </c>
      <c r="N5144" t="n">
        <v>0</v>
      </c>
      <c r="O5144" t="n">
        <v>0</v>
      </c>
      <c r="P5144" t="n">
        <v>0</v>
      </c>
      <c r="Q5144" t="n">
        <v>0</v>
      </c>
      <c r="R5144" s="2" t="inlineStr"/>
    </row>
    <row r="5145" ht="15" customHeight="1">
      <c r="A5145" t="inlineStr">
        <is>
          <t>A 11809-2025</t>
        </is>
      </c>
      <c r="B5145" s="1" t="n">
        <v>45727.89780092592</v>
      </c>
      <c r="C5145" s="1" t="n">
        <v>45952</v>
      </c>
      <c r="D5145" t="inlineStr">
        <is>
          <t>VÄSTRA GÖTALANDS LÄN</t>
        </is>
      </c>
      <c r="E5145" t="inlineStr">
        <is>
          <t>GULLSPÅNG</t>
        </is>
      </c>
      <c r="G5145" t="n">
        <v>2.9</v>
      </c>
      <c r="H5145" t="n">
        <v>0</v>
      </c>
      <c r="I5145" t="n">
        <v>0</v>
      </c>
      <c r="J5145" t="n">
        <v>0</v>
      </c>
      <c r="K5145" t="n">
        <v>0</v>
      </c>
      <c r="L5145" t="n">
        <v>0</v>
      </c>
      <c r="M5145" t="n">
        <v>0</v>
      </c>
      <c r="N5145" t="n">
        <v>0</v>
      </c>
      <c r="O5145" t="n">
        <v>0</v>
      </c>
      <c r="P5145" t="n">
        <v>0</v>
      </c>
      <c r="Q5145" t="n">
        <v>0</v>
      </c>
      <c r="R5145" s="2" t="inlineStr"/>
    </row>
    <row r="5146" ht="15" customHeight="1">
      <c r="A5146" t="inlineStr">
        <is>
          <t>A 57860-2023</t>
        </is>
      </c>
      <c r="B5146" s="1" t="n">
        <v>45247.44261574074</v>
      </c>
      <c r="C5146" s="1" t="n">
        <v>45952</v>
      </c>
      <c r="D5146" t="inlineStr">
        <is>
          <t>VÄSTRA GÖTALANDS LÄN</t>
        </is>
      </c>
      <c r="E5146" t="inlineStr">
        <is>
          <t>VÅRGÅRDA</t>
        </is>
      </c>
      <c r="G5146" t="n">
        <v>1</v>
      </c>
      <c r="H5146" t="n">
        <v>0</v>
      </c>
      <c r="I5146" t="n">
        <v>0</v>
      </c>
      <c r="J5146" t="n">
        <v>0</v>
      </c>
      <c r="K5146" t="n">
        <v>0</v>
      </c>
      <c r="L5146" t="n">
        <v>0</v>
      </c>
      <c r="M5146" t="n">
        <v>0</v>
      </c>
      <c r="N5146" t="n">
        <v>0</v>
      </c>
      <c r="O5146" t="n">
        <v>0</v>
      </c>
      <c r="P5146" t="n">
        <v>0</v>
      </c>
      <c r="Q5146" t="n">
        <v>0</v>
      </c>
      <c r="R5146" s="2" t="inlineStr"/>
    </row>
    <row r="5147" ht="15" customHeight="1">
      <c r="A5147" t="inlineStr">
        <is>
          <t>A 20283-2025</t>
        </is>
      </c>
      <c r="B5147" s="1" t="n">
        <v>45774.49328703704</v>
      </c>
      <c r="C5147" s="1" t="n">
        <v>45952</v>
      </c>
      <c r="D5147" t="inlineStr">
        <is>
          <t>VÄSTRA GÖTALANDS LÄN</t>
        </is>
      </c>
      <c r="E5147" t="inlineStr">
        <is>
          <t>MUNKEDAL</t>
        </is>
      </c>
      <c r="G5147" t="n">
        <v>1.5</v>
      </c>
      <c r="H5147" t="n">
        <v>0</v>
      </c>
      <c r="I5147" t="n">
        <v>0</v>
      </c>
      <c r="J5147" t="n">
        <v>0</v>
      </c>
      <c r="K5147" t="n">
        <v>0</v>
      </c>
      <c r="L5147" t="n">
        <v>0</v>
      </c>
      <c r="M5147" t="n">
        <v>0</v>
      </c>
      <c r="N5147" t="n">
        <v>0</v>
      </c>
      <c r="O5147" t="n">
        <v>0</v>
      </c>
      <c r="P5147" t="n">
        <v>0</v>
      </c>
      <c r="Q5147" t="n">
        <v>0</v>
      </c>
      <c r="R5147" s="2" t="inlineStr"/>
    </row>
    <row r="5148" ht="15" customHeight="1">
      <c r="A5148" t="inlineStr">
        <is>
          <t>A 53559-2022</t>
        </is>
      </c>
      <c r="B5148" s="1" t="n">
        <v>44879</v>
      </c>
      <c r="C5148" s="1" t="n">
        <v>45952</v>
      </c>
      <c r="D5148" t="inlineStr">
        <is>
          <t>VÄSTRA GÖTALANDS LÄN</t>
        </is>
      </c>
      <c r="E5148" t="inlineStr">
        <is>
          <t>FÄRGELANDA</t>
        </is>
      </c>
      <c r="G5148" t="n">
        <v>0.4</v>
      </c>
      <c r="H5148" t="n">
        <v>0</v>
      </c>
      <c r="I5148" t="n">
        <v>0</v>
      </c>
      <c r="J5148" t="n">
        <v>0</v>
      </c>
      <c r="K5148" t="n">
        <v>0</v>
      </c>
      <c r="L5148" t="n">
        <v>0</v>
      </c>
      <c r="M5148" t="n">
        <v>0</v>
      </c>
      <c r="N5148" t="n">
        <v>0</v>
      </c>
      <c r="O5148" t="n">
        <v>0</v>
      </c>
      <c r="P5148" t="n">
        <v>0</v>
      </c>
      <c r="Q5148" t="n">
        <v>0</v>
      </c>
      <c r="R5148" s="2" t="inlineStr"/>
    </row>
    <row r="5149" ht="15" customHeight="1">
      <c r="A5149" t="inlineStr">
        <is>
          <t>A 13694-2024</t>
        </is>
      </c>
      <c r="B5149" s="1" t="n">
        <v>45390</v>
      </c>
      <c r="C5149" s="1" t="n">
        <v>45952</v>
      </c>
      <c r="D5149" t="inlineStr">
        <is>
          <t>VÄSTRA GÖTALANDS LÄN</t>
        </is>
      </c>
      <c r="E5149" t="inlineStr">
        <is>
          <t>HJO</t>
        </is>
      </c>
      <c r="G5149" t="n">
        <v>2.2</v>
      </c>
      <c r="H5149" t="n">
        <v>0</v>
      </c>
      <c r="I5149" t="n">
        <v>0</v>
      </c>
      <c r="J5149" t="n">
        <v>0</v>
      </c>
      <c r="K5149" t="n">
        <v>0</v>
      </c>
      <c r="L5149" t="n">
        <v>0</v>
      </c>
      <c r="M5149" t="n">
        <v>0</v>
      </c>
      <c r="N5149" t="n">
        <v>0</v>
      </c>
      <c r="O5149" t="n">
        <v>0</v>
      </c>
      <c r="P5149" t="n">
        <v>0</v>
      </c>
      <c r="Q5149" t="n">
        <v>0</v>
      </c>
      <c r="R5149" s="2" t="inlineStr"/>
    </row>
    <row r="5150" ht="15" customHeight="1">
      <c r="A5150" t="inlineStr">
        <is>
          <t>A 13780-2025</t>
        </is>
      </c>
      <c r="B5150" s="1" t="n">
        <v>45737.44548611111</v>
      </c>
      <c r="C5150" s="1" t="n">
        <v>45952</v>
      </c>
      <c r="D5150" t="inlineStr">
        <is>
          <t>VÄSTRA GÖTALANDS LÄN</t>
        </is>
      </c>
      <c r="E5150" t="inlineStr">
        <is>
          <t>TIDAHOLM</t>
        </is>
      </c>
      <c r="G5150" t="n">
        <v>3.8</v>
      </c>
      <c r="H5150" t="n">
        <v>0</v>
      </c>
      <c r="I5150" t="n">
        <v>0</v>
      </c>
      <c r="J5150" t="n">
        <v>0</v>
      </c>
      <c r="K5150" t="n">
        <v>0</v>
      </c>
      <c r="L5150" t="n">
        <v>0</v>
      </c>
      <c r="M5150" t="n">
        <v>0</v>
      </c>
      <c r="N5150" t="n">
        <v>0</v>
      </c>
      <c r="O5150" t="n">
        <v>0</v>
      </c>
      <c r="P5150" t="n">
        <v>0</v>
      </c>
      <c r="Q5150" t="n">
        <v>0</v>
      </c>
      <c r="R5150" s="2" t="inlineStr"/>
    </row>
    <row r="5151" ht="15" customHeight="1">
      <c r="A5151" t="inlineStr">
        <is>
          <t>A 13655-2022</t>
        </is>
      </c>
      <c r="B5151" s="1" t="n">
        <v>44648.65728009259</v>
      </c>
      <c r="C5151" s="1" t="n">
        <v>45952</v>
      </c>
      <c r="D5151" t="inlineStr">
        <is>
          <t>VÄSTRA GÖTALANDS LÄN</t>
        </is>
      </c>
      <c r="E5151" t="inlineStr">
        <is>
          <t>BENGTSFORS</t>
        </is>
      </c>
      <c r="G5151" t="n">
        <v>2.8</v>
      </c>
      <c r="H5151" t="n">
        <v>0</v>
      </c>
      <c r="I5151" t="n">
        <v>0</v>
      </c>
      <c r="J5151" t="n">
        <v>0</v>
      </c>
      <c r="K5151" t="n">
        <v>0</v>
      </c>
      <c r="L5151" t="n">
        <v>0</v>
      </c>
      <c r="M5151" t="n">
        <v>0</v>
      </c>
      <c r="N5151" t="n">
        <v>0</v>
      </c>
      <c r="O5151" t="n">
        <v>0</v>
      </c>
      <c r="P5151" t="n">
        <v>0</v>
      </c>
      <c r="Q5151" t="n">
        <v>0</v>
      </c>
      <c r="R5151" s="2" t="inlineStr"/>
    </row>
    <row r="5152" ht="15" customHeight="1">
      <c r="A5152" t="inlineStr">
        <is>
          <t>A 17027-2025</t>
        </is>
      </c>
      <c r="B5152" s="1" t="n">
        <v>45754</v>
      </c>
      <c r="C5152" s="1" t="n">
        <v>45952</v>
      </c>
      <c r="D5152" t="inlineStr">
        <is>
          <t>VÄSTRA GÖTALANDS LÄN</t>
        </is>
      </c>
      <c r="E5152" t="inlineStr">
        <is>
          <t>UDDEVALLA</t>
        </is>
      </c>
      <c r="G5152" t="n">
        <v>12.2</v>
      </c>
      <c r="H5152" t="n">
        <v>0</v>
      </c>
      <c r="I5152" t="n">
        <v>0</v>
      </c>
      <c r="J5152" t="n">
        <v>0</v>
      </c>
      <c r="K5152" t="n">
        <v>0</v>
      </c>
      <c r="L5152" t="n">
        <v>0</v>
      </c>
      <c r="M5152" t="n">
        <v>0</v>
      </c>
      <c r="N5152" t="n">
        <v>0</v>
      </c>
      <c r="O5152" t="n">
        <v>0</v>
      </c>
      <c r="P5152" t="n">
        <v>0</v>
      </c>
      <c r="Q5152" t="n">
        <v>0</v>
      </c>
      <c r="R5152" s="2" t="inlineStr"/>
    </row>
    <row r="5153" ht="15" customHeight="1">
      <c r="A5153" t="inlineStr">
        <is>
          <t>A 18294-2025</t>
        </is>
      </c>
      <c r="B5153" s="1" t="n">
        <v>45762.41231481481</v>
      </c>
      <c r="C5153" s="1" t="n">
        <v>45952</v>
      </c>
      <c r="D5153" t="inlineStr">
        <is>
          <t>VÄSTRA GÖTALANDS LÄN</t>
        </is>
      </c>
      <c r="E5153" t="inlineStr">
        <is>
          <t>BORÅS</t>
        </is>
      </c>
      <c r="G5153" t="n">
        <v>2.6</v>
      </c>
      <c r="H5153" t="n">
        <v>0</v>
      </c>
      <c r="I5153" t="n">
        <v>0</v>
      </c>
      <c r="J5153" t="n">
        <v>0</v>
      </c>
      <c r="K5153" t="n">
        <v>0</v>
      </c>
      <c r="L5153" t="n">
        <v>0</v>
      </c>
      <c r="M5153" t="n">
        <v>0</v>
      </c>
      <c r="N5153" t="n">
        <v>0</v>
      </c>
      <c r="O5153" t="n">
        <v>0</v>
      </c>
      <c r="P5153" t="n">
        <v>0</v>
      </c>
      <c r="Q5153" t="n">
        <v>0</v>
      </c>
      <c r="R5153" s="2" t="inlineStr"/>
    </row>
    <row r="5154" ht="15" customHeight="1">
      <c r="A5154" t="inlineStr">
        <is>
          <t>A 60561-2024</t>
        </is>
      </c>
      <c r="B5154" s="1" t="n">
        <v>45644.2771412037</v>
      </c>
      <c r="C5154" s="1" t="n">
        <v>45952</v>
      </c>
      <c r="D5154" t="inlineStr">
        <is>
          <t>VÄSTRA GÖTALANDS LÄN</t>
        </is>
      </c>
      <c r="E5154" t="inlineStr">
        <is>
          <t>SVENLJUNGA</t>
        </is>
      </c>
      <c r="G5154" t="n">
        <v>1.3</v>
      </c>
      <c r="H5154" t="n">
        <v>0</v>
      </c>
      <c r="I5154" t="n">
        <v>0</v>
      </c>
      <c r="J5154" t="n">
        <v>0</v>
      </c>
      <c r="K5154" t="n">
        <v>0</v>
      </c>
      <c r="L5154" t="n">
        <v>0</v>
      </c>
      <c r="M5154" t="n">
        <v>0</v>
      </c>
      <c r="N5154" t="n">
        <v>0</v>
      </c>
      <c r="O5154" t="n">
        <v>0</v>
      </c>
      <c r="P5154" t="n">
        <v>0</v>
      </c>
      <c r="Q5154" t="n">
        <v>0</v>
      </c>
      <c r="R5154" s="2" t="inlineStr"/>
    </row>
    <row r="5155" ht="15" customHeight="1">
      <c r="A5155" t="inlineStr">
        <is>
          <t>A 6829-2021</t>
        </is>
      </c>
      <c r="B5155" s="1" t="n">
        <v>44237</v>
      </c>
      <c r="C5155" s="1" t="n">
        <v>45952</v>
      </c>
      <c r="D5155" t="inlineStr">
        <is>
          <t>VÄSTRA GÖTALANDS LÄN</t>
        </is>
      </c>
      <c r="E5155" t="inlineStr">
        <is>
          <t>DALS-ED</t>
        </is>
      </c>
      <c r="G5155" t="n">
        <v>1.5</v>
      </c>
      <c r="H5155" t="n">
        <v>0</v>
      </c>
      <c r="I5155" t="n">
        <v>0</v>
      </c>
      <c r="J5155" t="n">
        <v>0</v>
      </c>
      <c r="K5155" t="n">
        <v>0</v>
      </c>
      <c r="L5155" t="n">
        <v>0</v>
      </c>
      <c r="M5155" t="n">
        <v>0</v>
      </c>
      <c r="N5155" t="n">
        <v>0</v>
      </c>
      <c r="O5155" t="n">
        <v>0</v>
      </c>
      <c r="P5155" t="n">
        <v>0</v>
      </c>
      <c r="Q5155" t="n">
        <v>0</v>
      </c>
      <c r="R5155" s="2" t="inlineStr"/>
    </row>
    <row r="5156" ht="15" customHeight="1">
      <c r="A5156" t="inlineStr">
        <is>
          <t>A 61833-2024</t>
        </is>
      </c>
      <c r="B5156" s="1" t="n">
        <v>45649.6287962963</v>
      </c>
      <c r="C5156" s="1" t="n">
        <v>45952</v>
      </c>
      <c r="D5156" t="inlineStr">
        <is>
          <t>VÄSTRA GÖTALANDS LÄN</t>
        </is>
      </c>
      <c r="E5156" t="inlineStr">
        <is>
          <t>BENGTSFORS</t>
        </is>
      </c>
      <c r="G5156" t="n">
        <v>3.2</v>
      </c>
      <c r="H5156" t="n">
        <v>0</v>
      </c>
      <c r="I5156" t="n">
        <v>0</v>
      </c>
      <c r="J5156" t="n">
        <v>0</v>
      </c>
      <c r="K5156" t="n">
        <v>0</v>
      </c>
      <c r="L5156" t="n">
        <v>0</v>
      </c>
      <c r="M5156" t="n">
        <v>0</v>
      </c>
      <c r="N5156" t="n">
        <v>0</v>
      </c>
      <c r="O5156" t="n">
        <v>0</v>
      </c>
      <c r="P5156" t="n">
        <v>0</v>
      </c>
      <c r="Q5156" t="n">
        <v>0</v>
      </c>
      <c r="R5156" s="2" t="inlineStr"/>
    </row>
    <row r="5157" ht="15" customHeight="1">
      <c r="A5157" t="inlineStr">
        <is>
          <t>A 61863-2024</t>
        </is>
      </c>
      <c r="B5157" s="1" t="n">
        <v>45650.84388888889</v>
      </c>
      <c r="C5157" s="1" t="n">
        <v>45952</v>
      </c>
      <c r="D5157" t="inlineStr">
        <is>
          <t>VÄSTRA GÖTALANDS LÄN</t>
        </is>
      </c>
      <c r="E5157" t="inlineStr">
        <is>
          <t>BORÅS</t>
        </is>
      </c>
      <c r="G5157" t="n">
        <v>0.6</v>
      </c>
      <c r="H5157" t="n">
        <v>0</v>
      </c>
      <c r="I5157" t="n">
        <v>0</v>
      </c>
      <c r="J5157" t="n">
        <v>0</v>
      </c>
      <c r="K5157" t="n">
        <v>0</v>
      </c>
      <c r="L5157" t="n">
        <v>0</v>
      </c>
      <c r="M5157" t="n">
        <v>0</v>
      </c>
      <c r="N5157" t="n">
        <v>0</v>
      </c>
      <c r="O5157" t="n">
        <v>0</v>
      </c>
      <c r="P5157" t="n">
        <v>0</v>
      </c>
      <c r="Q5157" t="n">
        <v>0</v>
      </c>
      <c r="R5157" s="2" t="inlineStr"/>
    </row>
    <row r="5158" ht="15" customHeight="1">
      <c r="A5158" t="inlineStr">
        <is>
          <t>A 55159-2024</t>
        </is>
      </c>
      <c r="B5158" s="1" t="n">
        <v>45621.50773148148</v>
      </c>
      <c r="C5158" s="1" t="n">
        <v>45952</v>
      </c>
      <c r="D5158" t="inlineStr">
        <is>
          <t>VÄSTRA GÖTALANDS LÄN</t>
        </is>
      </c>
      <c r="E5158" t="inlineStr">
        <is>
          <t>BOLLEBYGD</t>
        </is>
      </c>
      <c r="G5158" t="n">
        <v>1.2</v>
      </c>
      <c r="H5158" t="n">
        <v>0</v>
      </c>
      <c r="I5158" t="n">
        <v>0</v>
      </c>
      <c r="J5158" t="n">
        <v>0</v>
      </c>
      <c r="K5158" t="n">
        <v>0</v>
      </c>
      <c r="L5158" t="n">
        <v>0</v>
      </c>
      <c r="M5158" t="n">
        <v>0</v>
      </c>
      <c r="N5158" t="n">
        <v>0</v>
      </c>
      <c r="O5158" t="n">
        <v>0</v>
      </c>
      <c r="P5158" t="n">
        <v>0</v>
      </c>
      <c r="Q5158" t="n">
        <v>0</v>
      </c>
      <c r="R5158" s="2" t="inlineStr"/>
    </row>
    <row r="5159" ht="15" customHeight="1">
      <c r="A5159" t="inlineStr">
        <is>
          <t>A 22362-2023</t>
        </is>
      </c>
      <c r="B5159" s="1" t="n">
        <v>45070.59466435185</v>
      </c>
      <c r="C5159" s="1" t="n">
        <v>45952</v>
      </c>
      <c r="D5159" t="inlineStr">
        <is>
          <t>VÄSTRA GÖTALANDS LÄN</t>
        </is>
      </c>
      <c r="E5159" t="inlineStr">
        <is>
          <t>TRANEMO</t>
        </is>
      </c>
      <c r="G5159" t="n">
        <v>3</v>
      </c>
      <c r="H5159" t="n">
        <v>0</v>
      </c>
      <c r="I5159" t="n">
        <v>0</v>
      </c>
      <c r="J5159" t="n">
        <v>0</v>
      </c>
      <c r="K5159" t="n">
        <v>0</v>
      </c>
      <c r="L5159" t="n">
        <v>0</v>
      </c>
      <c r="M5159" t="n">
        <v>0</v>
      </c>
      <c r="N5159" t="n">
        <v>0</v>
      </c>
      <c r="O5159" t="n">
        <v>0</v>
      </c>
      <c r="P5159" t="n">
        <v>0</v>
      </c>
      <c r="Q5159" t="n">
        <v>0</v>
      </c>
      <c r="R5159" s="2" t="inlineStr"/>
    </row>
    <row r="5160" ht="15" customHeight="1">
      <c r="A5160" t="inlineStr">
        <is>
          <t>A 31710-2022</t>
        </is>
      </c>
      <c r="B5160" s="1" t="n">
        <v>44776</v>
      </c>
      <c r="C5160" s="1" t="n">
        <v>45952</v>
      </c>
      <c r="D5160" t="inlineStr">
        <is>
          <t>VÄSTRA GÖTALANDS LÄN</t>
        </is>
      </c>
      <c r="E5160" t="inlineStr">
        <is>
          <t>BENGTSFORS</t>
        </is>
      </c>
      <c r="G5160" t="n">
        <v>2</v>
      </c>
      <c r="H5160" t="n">
        <v>0</v>
      </c>
      <c r="I5160" t="n">
        <v>0</v>
      </c>
      <c r="J5160" t="n">
        <v>0</v>
      </c>
      <c r="K5160" t="n">
        <v>0</v>
      </c>
      <c r="L5160" t="n">
        <v>0</v>
      </c>
      <c r="M5160" t="n">
        <v>0</v>
      </c>
      <c r="N5160" t="n">
        <v>0</v>
      </c>
      <c r="O5160" t="n">
        <v>0</v>
      </c>
      <c r="P5160" t="n">
        <v>0</v>
      </c>
      <c r="Q5160" t="n">
        <v>0</v>
      </c>
      <c r="R5160" s="2" t="inlineStr"/>
    </row>
    <row r="5161" ht="15" customHeight="1">
      <c r="A5161" t="inlineStr">
        <is>
          <t>A 45523-2024</t>
        </is>
      </c>
      <c r="B5161" s="1" t="n">
        <v>45578.7541087963</v>
      </c>
      <c r="C5161" s="1" t="n">
        <v>45952</v>
      </c>
      <c r="D5161" t="inlineStr">
        <is>
          <t>VÄSTRA GÖTALANDS LÄN</t>
        </is>
      </c>
      <c r="E5161" t="inlineStr">
        <is>
          <t>ULRICEHAMN</t>
        </is>
      </c>
      <c r="G5161" t="n">
        <v>0.6</v>
      </c>
      <c r="H5161" t="n">
        <v>0</v>
      </c>
      <c r="I5161" t="n">
        <v>0</v>
      </c>
      <c r="J5161" t="n">
        <v>0</v>
      </c>
      <c r="K5161" t="n">
        <v>0</v>
      </c>
      <c r="L5161" t="n">
        <v>0</v>
      </c>
      <c r="M5161" t="n">
        <v>0</v>
      </c>
      <c r="N5161" t="n">
        <v>0</v>
      </c>
      <c r="O5161" t="n">
        <v>0</v>
      </c>
      <c r="P5161" t="n">
        <v>0</v>
      </c>
      <c r="Q5161" t="n">
        <v>0</v>
      </c>
      <c r="R5161" s="2" t="inlineStr"/>
    </row>
    <row r="5162" ht="15" customHeight="1">
      <c r="A5162" t="inlineStr">
        <is>
          <t>A 45526-2024</t>
        </is>
      </c>
      <c r="B5162" s="1" t="n">
        <v>45578.95694444444</v>
      </c>
      <c r="C5162" s="1" t="n">
        <v>45952</v>
      </c>
      <c r="D5162" t="inlineStr">
        <is>
          <t>VÄSTRA GÖTALANDS LÄN</t>
        </is>
      </c>
      <c r="E5162" t="inlineStr">
        <is>
          <t>ULRICEHAMN</t>
        </is>
      </c>
      <c r="G5162" t="n">
        <v>2.9</v>
      </c>
      <c r="H5162" t="n">
        <v>0</v>
      </c>
      <c r="I5162" t="n">
        <v>0</v>
      </c>
      <c r="J5162" t="n">
        <v>0</v>
      </c>
      <c r="K5162" t="n">
        <v>0</v>
      </c>
      <c r="L5162" t="n">
        <v>0</v>
      </c>
      <c r="M5162" t="n">
        <v>0</v>
      </c>
      <c r="N5162" t="n">
        <v>0</v>
      </c>
      <c r="O5162" t="n">
        <v>0</v>
      </c>
      <c r="P5162" t="n">
        <v>0</v>
      </c>
      <c r="Q5162" t="n">
        <v>0</v>
      </c>
      <c r="R5162" s="2" t="inlineStr"/>
    </row>
    <row r="5163" ht="15" customHeight="1">
      <c r="A5163" t="inlineStr">
        <is>
          <t>A 46555-2022</t>
        </is>
      </c>
      <c r="B5163" s="1" t="n">
        <v>44848.63724537037</v>
      </c>
      <c r="C5163" s="1" t="n">
        <v>45952</v>
      </c>
      <c r="D5163" t="inlineStr">
        <is>
          <t>VÄSTRA GÖTALANDS LÄN</t>
        </is>
      </c>
      <c r="E5163" t="inlineStr">
        <is>
          <t>MARIESTAD</t>
        </is>
      </c>
      <c r="G5163" t="n">
        <v>4.5</v>
      </c>
      <c r="H5163" t="n">
        <v>0</v>
      </c>
      <c r="I5163" t="n">
        <v>0</v>
      </c>
      <c r="J5163" t="n">
        <v>0</v>
      </c>
      <c r="K5163" t="n">
        <v>0</v>
      </c>
      <c r="L5163" t="n">
        <v>0</v>
      </c>
      <c r="M5163" t="n">
        <v>0</v>
      </c>
      <c r="N5163" t="n">
        <v>0</v>
      </c>
      <c r="O5163" t="n">
        <v>0</v>
      </c>
      <c r="P5163" t="n">
        <v>0</v>
      </c>
      <c r="Q5163" t="n">
        <v>0</v>
      </c>
      <c r="R5163" s="2" t="inlineStr"/>
    </row>
    <row r="5164" ht="15" customHeight="1">
      <c r="A5164" t="inlineStr">
        <is>
          <t>A 22407-2023</t>
        </is>
      </c>
      <c r="B5164" s="1" t="n">
        <v>45070</v>
      </c>
      <c r="C5164" s="1" t="n">
        <v>45952</v>
      </c>
      <c r="D5164" t="inlineStr">
        <is>
          <t>VÄSTRA GÖTALANDS LÄN</t>
        </is>
      </c>
      <c r="E5164" t="inlineStr">
        <is>
          <t>ULRICEHAMN</t>
        </is>
      </c>
      <c r="G5164" t="n">
        <v>0.7</v>
      </c>
      <c r="H5164" t="n">
        <v>0</v>
      </c>
      <c r="I5164" t="n">
        <v>0</v>
      </c>
      <c r="J5164" t="n">
        <v>0</v>
      </c>
      <c r="K5164" t="n">
        <v>0</v>
      </c>
      <c r="L5164" t="n">
        <v>0</v>
      </c>
      <c r="M5164" t="n">
        <v>0</v>
      </c>
      <c r="N5164" t="n">
        <v>0</v>
      </c>
      <c r="O5164" t="n">
        <v>0</v>
      </c>
      <c r="P5164" t="n">
        <v>0</v>
      </c>
      <c r="Q5164" t="n">
        <v>0</v>
      </c>
      <c r="R5164" s="2" t="inlineStr"/>
    </row>
    <row r="5165" ht="15" customHeight="1">
      <c r="A5165" t="inlineStr">
        <is>
          <t>A 23795-2025</t>
        </is>
      </c>
      <c r="B5165" s="1" t="n">
        <v>45793.54684027778</v>
      </c>
      <c r="C5165" s="1" t="n">
        <v>45952</v>
      </c>
      <c r="D5165" t="inlineStr">
        <is>
          <t>VÄSTRA GÖTALANDS LÄN</t>
        </is>
      </c>
      <c r="E5165" t="inlineStr">
        <is>
          <t>SVENLJUNGA</t>
        </is>
      </c>
      <c r="G5165" t="n">
        <v>5.2</v>
      </c>
      <c r="H5165" t="n">
        <v>0</v>
      </c>
      <c r="I5165" t="n">
        <v>0</v>
      </c>
      <c r="J5165" t="n">
        <v>0</v>
      </c>
      <c r="K5165" t="n">
        <v>0</v>
      </c>
      <c r="L5165" t="n">
        <v>0</v>
      </c>
      <c r="M5165" t="n">
        <v>0</v>
      </c>
      <c r="N5165" t="n">
        <v>0</v>
      </c>
      <c r="O5165" t="n">
        <v>0</v>
      </c>
      <c r="P5165" t="n">
        <v>0</v>
      </c>
      <c r="Q5165" t="n">
        <v>0</v>
      </c>
      <c r="R5165" s="2" t="inlineStr"/>
    </row>
    <row r="5166" ht="15" customHeight="1">
      <c r="A5166" t="inlineStr">
        <is>
          <t>A 38576-2024</t>
        </is>
      </c>
      <c r="B5166" s="1" t="n">
        <v>45546.64320601852</v>
      </c>
      <c r="C5166" s="1" t="n">
        <v>45952</v>
      </c>
      <c r="D5166" t="inlineStr">
        <is>
          <t>VÄSTRA GÖTALANDS LÄN</t>
        </is>
      </c>
      <c r="E5166" t="inlineStr">
        <is>
          <t>MUNKEDAL</t>
        </is>
      </c>
      <c r="G5166" t="n">
        <v>0.6</v>
      </c>
      <c r="H5166" t="n">
        <v>0</v>
      </c>
      <c r="I5166" t="n">
        <v>0</v>
      </c>
      <c r="J5166" t="n">
        <v>0</v>
      </c>
      <c r="K5166" t="n">
        <v>0</v>
      </c>
      <c r="L5166" t="n">
        <v>0</v>
      </c>
      <c r="M5166" t="n">
        <v>0</v>
      </c>
      <c r="N5166" t="n">
        <v>0</v>
      </c>
      <c r="O5166" t="n">
        <v>0</v>
      </c>
      <c r="P5166" t="n">
        <v>0</v>
      </c>
      <c r="Q5166" t="n">
        <v>0</v>
      </c>
      <c r="R5166" s="2" t="inlineStr"/>
    </row>
    <row r="5167" ht="15" customHeight="1">
      <c r="A5167" t="inlineStr">
        <is>
          <t>A 39537-2023</t>
        </is>
      </c>
      <c r="B5167" s="1" t="n">
        <v>45167</v>
      </c>
      <c r="C5167" s="1" t="n">
        <v>45952</v>
      </c>
      <c r="D5167" t="inlineStr">
        <is>
          <t>VÄSTRA GÖTALANDS LÄN</t>
        </is>
      </c>
      <c r="E5167" t="inlineStr">
        <is>
          <t>HJO</t>
        </is>
      </c>
      <c r="G5167" t="n">
        <v>0.6</v>
      </c>
      <c r="H5167" t="n">
        <v>0</v>
      </c>
      <c r="I5167" t="n">
        <v>0</v>
      </c>
      <c r="J5167" t="n">
        <v>0</v>
      </c>
      <c r="K5167" t="n">
        <v>0</v>
      </c>
      <c r="L5167" t="n">
        <v>0</v>
      </c>
      <c r="M5167" t="n">
        <v>0</v>
      </c>
      <c r="N5167" t="n">
        <v>0</v>
      </c>
      <c r="O5167" t="n">
        <v>0</v>
      </c>
      <c r="P5167" t="n">
        <v>0</v>
      </c>
      <c r="Q5167" t="n">
        <v>0</v>
      </c>
      <c r="R5167" s="2" t="inlineStr"/>
    </row>
    <row r="5168" ht="15" customHeight="1">
      <c r="A5168" t="inlineStr">
        <is>
          <t>A 39540-2023</t>
        </is>
      </c>
      <c r="B5168" s="1" t="n">
        <v>45167</v>
      </c>
      <c r="C5168" s="1" t="n">
        <v>45952</v>
      </c>
      <c r="D5168" t="inlineStr">
        <is>
          <t>VÄSTRA GÖTALANDS LÄN</t>
        </is>
      </c>
      <c r="E5168" t="inlineStr">
        <is>
          <t>HJO</t>
        </is>
      </c>
      <c r="G5168" t="n">
        <v>1.3</v>
      </c>
      <c r="H5168" t="n">
        <v>0</v>
      </c>
      <c r="I5168" t="n">
        <v>0</v>
      </c>
      <c r="J5168" t="n">
        <v>0</v>
      </c>
      <c r="K5168" t="n">
        <v>0</v>
      </c>
      <c r="L5168" t="n">
        <v>0</v>
      </c>
      <c r="M5168" t="n">
        <v>0</v>
      </c>
      <c r="N5168" t="n">
        <v>0</v>
      </c>
      <c r="O5168" t="n">
        <v>0</v>
      </c>
      <c r="P5168" t="n">
        <v>0</v>
      </c>
      <c r="Q5168" t="n">
        <v>0</v>
      </c>
      <c r="R5168" s="2" t="inlineStr"/>
    </row>
    <row r="5169" ht="15" customHeight="1">
      <c r="A5169" t="inlineStr">
        <is>
          <t>A 17042-2025</t>
        </is>
      </c>
      <c r="B5169" s="1" t="n">
        <v>45755.58724537037</v>
      </c>
      <c r="C5169" s="1" t="n">
        <v>45952</v>
      </c>
      <c r="D5169" t="inlineStr">
        <is>
          <t>VÄSTRA GÖTALANDS LÄN</t>
        </is>
      </c>
      <c r="E5169" t="inlineStr">
        <is>
          <t>TRANEMO</t>
        </is>
      </c>
      <c r="G5169" t="n">
        <v>0.7</v>
      </c>
      <c r="H5169" t="n">
        <v>0</v>
      </c>
      <c r="I5169" t="n">
        <v>0</v>
      </c>
      <c r="J5169" t="n">
        <v>0</v>
      </c>
      <c r="K5169" t="n">
        <v>0</v>
      </c>
      <c r="L5169" t="n">
        <v>0</v>
      </c>
      <c r="M5169" t="n">
        <v>0</v>
      </c>
      <c r="N5169" t="n">
        <v>0</v>
      </c>
      <c r="O5169" t="n">
        <v>0</v>
      </c>
      <c r="P5169" t="n">
        <v>0</v>
      </c>
      <c r="Q5169" t="n">
        <v>0</v>
      </c>
      <c r="R5169" s="2" t="inlineStr"/>
    </row>
    <row r="5170" ht="15" customHeight="1">
      <c r="A5170" t="inlineStr">
        <is>
          <t>A 17044-2025</t>
        </is>
      </c>
      <c r="B5170" s="1" t="n">
        <v>45755.58891203703</v>
      </c>
      <c r="C5170" s="1" t="n">
        <v>45952</v>
      </c>
      <c r="D5170" t="inlineStr">
        <is>
          <t>VÄSTRA GÖTALANDS LÄN</t>
        </is>
      </c>
      <c r="E5170" t="inlineStr">
        <is>
          <t>ALE</t>
        </is>
      </c>
      <c r="G5170" t="n">
        <v>1.5</v>
      </c>
      <c r="H5170" t="n">
        <v>0</v>
      </c>
      <c r="I5170" t="n">
        <v>0</v>
      </c>
      <c r="J5170" t="n">
        <v>0</v>
      </c>
      <c r="K5170" t="n">
        <v>0</v>
      </c>
      <c r="L5170" t="n">
        <v>0</v>
      </c>
      <c r="M5170" t="n">
        <v>0</v>
      </c>
      <c r="N5170" t="n">
        <v>0</v>
      </c>
      <c r="O5170" t="n">
        <v>0</v>
      </c>
      <c r="P5170" t="n">
        <v>0</v>
      </c>
      <c r="Q5170" t="n">
        <v>0</v>
      </c>
      <c r="R5170" s="2" t="inlineStr"/>
    </row>
    <row r="5171" ht="15" customHeight="1">
      <c r="A5171" t="inlineStr">
        <is>
          <t>A 17055-2025</t>
        </is>
      </c>
      <c r="B5171" s="1" t="n">
        <v>45755.60289351852</v>
      </c>
      <c r="C5171" s="1" t="n">
        <v>45952</v>
      </c>
      <c r="D5171" t="inlineStr">
        <is>
          <t>VÄSTRA GÖTALANDS LÄN</t>
        </is>
      </c>
      <c r="E5171" t="inlineStr">
        <is>
          <t>FALKÖPING</t>
        </is>
      </c>
      <c r="G5171" t="n">
        <v>2.6</v>
      </c>
      <c r="H5171" t="n">
        <v>0</v>
      </c>
      <c r="I5171" t="n">
        <v>0</v>
      </c>
      <c r="J5171" t="n">
        <v>0</v>
      </c>
      <c r="K5171" t="n">
        <v>0</v>
      </c>
      <c r="L5171" t="n">
        <v>0</v>
      </c>
      <c r="M5171" t="n">
        <v>0</v>
      </c>
      <c r="N5171" t="n">
        <v>0</v>
      </c>
      <c r="O5171" t="n">
        <v>0</v>
      </c>
      <c r="P5171" t="n">
        <v>0</v>
      </c>
      <c r="Q5171" t="n">
        <v>0</v>
      </c>
      <c r="R5171" s="2" t="inlineStr"/>
    </row>
    <row r="5172" ht="15" customHeight="1">
      <c r="A5172" t="inlineStr">
        <is>
          <t>A 39570-2023</t>
        </is>
      </c>
      <c r="B5172" s="1" t="n">
        <v>45167.41329861111</v>
      </c>
      <c r="C5172" s="1" t="n">
        <v>45952</v>
      </c>
      <c r="D5172" t="inlineStr">
        <is>
          <t>VÄSTRA GÖTALANDS LÄN</t>
        </is>
      </c>
      <c r="E5172" t="inlineStr">
        <is>
          <t>TIDAHOLM</t>
        </is>
      </c>
      <c r="G5172" t="n">
        <v>3.9</v>
      </c>
      <c r="H5172" t="n">
        <v>0</v>
      </c>
      <c r="I5172" t="n">
        <v>0</v>
      </c>
      <c r="J5172" t="n">
        <v>0</v>
      </c>
      <c r="K5172" t="n">
        <v>0</v>
      </c>
      <c r="L5172" t="n">
        <v>0</v>
      </c>
      <c r="M5172" t="n">
        <v>0</v>
      </c>
      <c r="N5172" t="n">
        <v>0</v>
      </c>
      <c r="O5172" t="n">
        <v>0</v>
      </c>
      <c r="P5172" t="n">
        <v>0</v>
      </c>
      <c r="Q5172" t="n">
        <v>0</v>
      </c>
      <c r="R5172" s="2" t="inlineStr"/>
    </row>
    <row r="5173" ht="15" customHeight="1">
      <c r="A5173" t="inlineStr">
        <is>
          <t>A 66391-2021</t>
        </is>
      </c>
      <c r="B5173" s="1" t="n">
        <v>44518</v>
      </c>
      <c r="C5173" s="1" t="n">
        <v>45952</v>
      </c>
      <c r="D5173" t="inlineStr">
        <is>
          <t>VÄSTRA GÖTALANDS LÄN</t>
        </is>
      </c>
      <c r="E5173" t="inlineStr">
        <is>
          <t>BENGTSFORS</t>
        </is>
      </c>
      <c r="G5173" t="n">
        <v>4.9</v>
      </c>
      <c r="H5173" t="n">
        <v>0</v>
      </c>
      <c r="I5173" t="n">
        <v>0</v>
      </c>
      <c r="J5173" t="n">
        <v>0</v>
      </c>
      <c r="K5173" t="n">
        <v>0</v>
      </c>
      <c r="L5173" t="n">
        <v>0</v>
      </c>
      <c r="M5173" t="n">
        <v>0</v>
      </c>
      <c r="N5173" t="n">
        <v>0</v>
      </c>
      <c r="O5173" t="n">
        <v>0</v>
      </c>
      <c r="P5173" t="n">
        <v>0</v>
      </c>
      <c r="Q5173" t="n">
        <v>0</v>
      </c>
      <c r="R5173" s="2" t="inlineStr"/>
    </row>
    <row r="5174" ht="15" customHeight="1">
      <c r="A5174" t="inlineStr">
        <is>
          <t>A 61336-2024</t>
        </is>
      </c>
      <c r="B5174" s="1" t="n">
        <v>45645</v>
      </c>
      <c r="C5174" s="1" t="n">
        <v>45952</v>
      </c>
      <c r="D5174" t="inlineStr">
        <is>
          <t>VÄSTRA GÖTALANDS LÄN</t>
        </is>
      </c>
      <c r="E5174" t="inlineStr">
        <is>
          <t>SKÖVDE</t>
        </is>
      </c>
      <c r="G5174" t="n">
        <v>1.1</v>
      </c>
      <c r="H5174" t="n">
        <v>0</v>
      </c>
      <c r="I5174" t="n">
        <v>0</v>
      </c>
      <c r="J5174" t="n">
        <v>0</v>
      </c>
      <c r="K5174" t="n">
        <v>0</v>
      </c>
      <c r="L5174" t="n">
        <v>0</v>
      </c>
      <c r="M5174" t="n">
        <v>0</v>
      </c>
      <c r="N5174" t="n">
        <v>0</v>
      </c>
      <c r="O5174" t="n">
        <v>0</v>
      </c>
      <c r="P5174" t="n">
        <v>0</v>
      </c>
      <c r="Q5174" t="n">
        <v>0</v>
      </c>
      <c r="R5174" s="2" t="inlineStr"/>
    </row>
    <row r="5175" ht="15" customHeight="1">
      <c r="A5175" t="inlineStr">
        <is>
          <t>A 13185-2024</t>
        </is>
      </c>
      <c r="B5175" s="1" t="n">
        <v>45386.44940972222</v>
      </c>
      <c r="C5175" s="1" t="n">
        <v>45952</v>
      </c>
      <c r="D5175" t="inlineStr">
        <is>
          <t>VÄSTRA GÖTALANDS LÄN</t>
        </is>
      </c>
      <c r="E5175" t="inlineStr">
        <is>
          <t>BENGTSFORS</t>
        </is>
      </c>
      <c r="G5175" t="n">
        <v>2.3</v>
      </c>
      <c r="H5175" t="n">
        <v>0</v>
      </c>
      <c r="I5175" t="n">
        <v>0</v>
      </c>
      <c r="J5175" t="n">
        <v>0</v>
      </c>
      <c r="K5175" t="n">
        <v>0</v>
      </c>
      <c r="L5175" t="n">
        <v>0</v>
      </c>
      <c r="M5175" t="n">
        <v>0</v>
      </c>
      <c r="N5175" t="n">
        <v>0</v>
      </c>
      <c r="O5175" t="n">
        <v>0</v>
      </c>
      <c r="P5175" t="n">
        <v>0</v>
      </c>
      <c r="Q5175" t="n">
        <v>0</v>
      </c>
      <c r="R5175" s="2" t="inlineStr"/>
    </row>
    <row r="5176" ht="15" customHeight="1">
      <c r="A5176" t="inlineStr">
        <is>
          <t>A 24985-2023</t>
        </is>
      </c>
      <c r="B5176" s="1" t="n">
        <v>45085</v>
      </c>
      <c r="C5176" s="1" t="n">
        <v>45952</v>
      </c>
      <c r="D5176" t="inlineStr">
        <is>
          <t>VÄSTRA GÖTALANDS LÄN</t>
        </is>
      </c>
      <c r="E5176" t="inlineStr">
        <is>
          <t>GRÄSTORP</t>
        </is>
      </c>
      <c r="G5176" t="n">
        <v>7.4</v>
      </c>
      <c r="H5176" t="n">
        <v>0</v>
      </c>
      <c r="I5176" t="n">
        <v>0</v>
      </c>
      <c r="J5176" t="n">
        <v>0</v>
      </c>
      <c r="K5176" t="n">
        <v>0</v>
      </c>
      <c r="L5176" t="n">
        <v>0</v>
      </c>
      <c r="M5176" t="n">
        <v>0</v>
      </c>
      <c r="N5176" t="n">
        <v>0</v>
      </c>
      <c r="O5176" t="n">
        <v>0</v>
      </c>
      <c r="P5176" t="n">
        <v>0</v>
      </c>
      <c r="Q5176" t="n">
        <v>0</v>
      </c>
      <c r="R5176" s="2" t="inlineStr"/>
    </row>
    <row r="5177" ht="15" customHeight="1">
      <c r="A5177" t="inlineStr">
        <is>
          <t>A 24991-2023</t>
        </is>
      </c>
      <c r="B5177" s="1" t="n">
        <v>45085</v>
      </c>
      <c r="C5177" s="1" t="n">
        <v>45952</v>
      </c>
      <c r="D5177" t="inlineStr">
        <is>
          <t>VÄSTRA GÖTALANDS LÄN</t>
        </is>
      </c>
      <c r="E5177" t="inlineStr">
        <is>
          <t>STRÖMSTAD</t>
        </is>
      </c>
      <c r="G5177" t="n">
        <v>1</v>
      </c>
      <c r="H5177" t="n">
        <v>0</v>
      </c>
      <c r="I5177" t="n">
        <v>0</v>
      </c>
      <c r="J5177" t="n">
        <v>0</v>
      </c>
      <c r="K5177" t="n">
        <v>0</v>
      </c>
      <c r="L5177" t="n">
        <v>0</v>
      </c>
      <c r="M5177" t="n">
        <v>0</v>
      </c>
      <c r="N5177" t="n">
        <v>0</v>
      </c>
      <c r="O5177" t="n">
        <v>0</v>
      </c>
      <c r="P5177" t="n">
        <v>0</v>
      </c>
      <c r="Q5177" t="n">
        <v>0</v>
      </c>
      <c r="R5177" s="2" t="inlineStr"/>
    </row>
    <row r="5178" ht="15" customHeight="1">
      <c r="A5178" t="inlineStr">
        <is>
          <t>A 13940-2021</t>
        </is>
      </c>
      <c r="B5178" s="1" t="n">
        <v>44277</v>
      </c>
      <c r="C5178" s="1" t="n">
        <v>45952</v>
      </c>
      <c r="D5178" t="inlineStr">
        <is>
          <t>VÄSTRA GÖTALANDS LÄN</t>
        </is>
      </c>
      <c r="E5178" t="inlineStr">
        <is>
          <t>DALS-ED</t>
        </is>
      </c>
      <c r="G5178" t="n">
        <v>1.1</v>
      </c>
      <c r="H5178" t="n">
        <v>0</v>
      </c>
      <c r="I5178" t="n">
        <v>0</v>
      </c>
      <c r="J5178" t="n">
        <v>0</v>
      </c>
      <c r="K5178" t="n">
        <v>0</v>
      </c>
      <c r="L5178" t="n">
        <v>0</v>
      </c>
      <c r="M5178" t="n">
        <v>0</v>
      </c>
      <c r="N5178" t="n">
        <v>0</v>
      </c>
      <c r="O5178" t="n">
        <v>0</v>
      </c>
      <c r="P5178" t="n">
        <v>0</v>
      </c>
      <c r="Q5178" t="n">
        <v>0</v>
      </c>
      <c r="R5178" s="2" t="inlineStr"/>
    </row>
    <row r="5179" ht="15" customHeight="1">
      <c r="A5179" t="inlineStr">
        <is>
          <t>A 29186-2021</t>
        </is>
      </c>
      <c r="B5179" s="1" t="n">
        <v>44358</v>
      </c>
      <c r="C5179" s="1" t="n">
        <v>45952</v>
      </c>
      <c r="D5179" t="inlineStr">
        <is>
          <t>VÄSTRA GÖTALANDS LÄN</t>
        </is>
      </c>
      <c r="E5179" t="inlineStr">
        <is>
          <t>ALINGSÅS</t>
        </is>
      </c>
      <c r="G5179" t="n">
        <v>6.4</v>
      </c>
      <c r="H5179" t="n">
        <v>0</v>
      </c>
      <c r="I5179" t="n">
        <v>0</v>
      </c>
      <c r="J5179" t="n">
        <v>0</v>
      </c>
      <c r="K5179" t="n">
        <v>0</v>
      </c>
      <c r="L5179" t="n">
        <v>0</v>
      </c>
      <c r="M5179" t="n">
        <v>0</v>
      </c>
      <c r="N5179" t="n">
        <v>0</v>
      </c>
      <c r="O5179" t="n">
        <v>0</v>
      </c>
      <c r="P5179" t="n">
        <v>0</v>
      </c>
      <c r="Q5179" t="n">
        <v>0</v>
      </c>
      <c r="R5179" s="2" t="inlineStr"/>
    </row>
    <row r="5180" ht="15" customHeight="1">
      <c r="A5180" t="inlineStr">
        <is>
          <t>A 21240-2024</t>
        </is>
      </c>
      <c r="B5180" s="1" t="n">
        <v>45440</v>
      </c>
      <c r="C5180" s="1" t="n">
        <v>45952</v>
      </c>
      <c r="D5180" t="inlineStr">
        <is>
          <t>VÄSTRA GÖTALANDS LÄN</t>
        </is>
      </c>
      <c r="E5180" t="inlineStr">
        <is>
          <t>TANUM</t>
        </is>
      </c>
      <c r="G5180" t="n">
        <v>3.1</v>
      </c>
      <c r="H5180" t="n">
        <v>0</v>
      </c>
      <c r="I5180" t="n">
        <v>0</v>
      </c>
      <c r="J5180" t="n">
        <v>0</v>
      </c>
      <c r="K5180" t="n">
        <v>0</v>
      </c>
      <c r="L5180" t="n">
        <v>0</v>
      </c>
      <c r="M5180" t="n">
        <v>0</v>
      </c>
      <c r="N5180" t="n">
        <v>0</v>
      </c>
      <c r="O5180" t="n">
        <v>0</v>
      </c>
      <c r="P5180" t="n">
        <v>0</v>
      </c>
      <c r="Q5180" t="n">
        <v>0</v>
      </c>
      <c r="R5180" s="2" t="inlineStr"/>
    </row>
    <row r="5181" ht="15" customHeight="1">
      <c r="A5181" t="inlineStr">
        <is>
          <t>A 18756-2025</t>
        </is>
      </c>
      <c r="B5181" s="1" t="n">
        <v>45763.8155787037</v>
      </c>
      <c r="C5181" s="1" t="n">
        <v>45952</v>
      </c>
      <c r="D5181" t="inlineStr">
        <is>
          <t>VÄSTRA GÖTALANDS LÄN</t>
        </is>
      </c>
      <c r="E5181" t="inlineStr">
        <is>
          <t>HERRLJUNGA</t>
        </is>
      </c>
      <c r="F5181" t="inlineStr">
        <is>
          <t>Sveaskog</t>
        </is>
      </c>
      <c r="G5181" t="n">
        <v>15.2</v>
      </c>
      <c r="H5181" t="n">
        <v>0</v>
      </c>
      <c r="I5181" t="n">
        <v>0</v>
      </c>
      <c r="J5181" t="n">
        <v>0</v>
      </c>
      <c r="K5181" t="n">
        <v>0</v>
      </c>
      <c r="L5181" t="n">
        <v>0</v>
      </c>
      <c r="M5181" t="n">
        <v>0</v>
      </c>
      <c r="N5181" t="n">
        <v>0</v>
      </c>
      <c r="O5181" t="n">
        <v>0</v>
      </c>
      <c r="P5181" t="n">
        <v>0</v>
      </c>
      <c r="Q5181" t="n">
        <v>0</v>
      </c>
      <c r="R5181" s="2" t="inlineStr"/>
    </row>
    <row r="5182" ht="15" customHeight="1">
      <c r="A5182" t="inlineStr">
        <is>
          <t>A 8555-2024</t>
        </is>
      </c>
      <c r="B5182" s="1" t="n">
        <v>45355</v>
      </c>
      <c r="C5182" s="1" t="n">
        <v>45952</v>
      </c>
      <c r="D5182" t="inlineStr">
        <is>
          <t>VÄSTRA GÖTALANDS LÄN</t>
        </is>
      </c>
      <c r="E5182" t="inlineStr">
        <is>
          <t>ALINGSÅS</t>
        </is>
      </c>
      <c r="G5182" t="n">
        <v>4.8</v>
      </c>
      <c r="H5182" t="n">
        <v>0</v>
      </c>
      <c r="I5182" t="n">
        <v>0</v>
      </c>
      <c r="J5182" t="n">
        <v>0</v>
      </c>
      <c r="K5182" t="n">
        <v>0</v>
      </c>
      <c r="L5182" t="n">
        <v>0</v>
      </c>
      <c r="M5182" t="n">
        <v>0</v>
      </c>
      <c r="N5182" t="n">
        <v>0</v>
      </c>
      <c r="O5182" t="n">
        <v>0</v>
      </c>
      <c r="P5182" t="n">
        <v>0</v>
      </c>
      <c r="Q5182" t="n">
        <v>0</v>
      </c>
      <c r="R5182" s="2" t="inlineStr"/>
    </row>
    <row r="5183" ht="15" customHeight="1">
      <c r="A5183" t="inlineStr">
        <is>
          <t>A 19416-2025</t>
        </is>
      </c>
      <c r="B5183" s="1" t="n">
        <v>45769.70916666667</v>
      </c>
      <c r="C5183" s="1" t="n">
        <v>45952</v>
      </c>
      <c r="D5183" t="inlineStr">
        <is>
          <t>VÄSTRA GÖTALANDS LÄN</t>
        </is>
      </c>
      <c r="E5183" t="inlineStr">
        <is>
          <t>ULRICEHAMN</t>
        </is>
      </c>
      <c r="G5183" t="n">
        <v>1.9</v>
      </c>
      <c r="H5183" t="n">
        <v>0</v>
      </c>
      <c r="I5183" t="n">
        <v>0</v>
      </c>
      <c r="J5183" t="n">
        <v>0</v>
      </c>
      <c r="K5183" t="n">
        <v>0</v>
      </c>
      <c r="L5183" t="n">
        <v>0</v>
      </c>
      <c r="M5183" t="n">
        <v>0</v>
      </c>
      <c r="N5183" t="n">
        <v>0</v>
      </c>
      <c r="O5183" t="n">
        <v>0</v>
      </c>
      <c r="P5183" t="n">
        <v>0</v>
      </c>
      <c r="Q5183" t="n">
        <v>0</v>
      </c>
      <c r="R5183" s="2" t="inlineStr"/>
    </row>
    <row r="5184" ht="15" customHeight="1">
      <c r="A5184" t="inlineStr">
        <is>
          <t>A 19423-2025</t>
        </is>
      </c>
      <c r="B5184" s="1" t="n">
        <v>45769.76158564815</v>
      </c>
      <c r="C5184" s="1" t="n">
        <v>45952</v>
      </c>
      <c r="D5184" t="inlineStr">
        <is>
          <t>VÄSTRA GÖTALANDS LÄN</t>
        </is>
      </c>
      <c r="E5184" t="inlineStr">
        <is>
          <t>STENUNGSUND</t>
        </is>
      </c>
      <c r="G5184" t="n">
        <v>1.2</v>
      </c>
      <c r="H5184" t="n">
        <v>0</v>
      </c>
      <c r="I5184" t="n">
        <v>0</v>
      </c>
      <c r="J5184" t="n">
        <v>0</v>
      </c>
      <c r="K5184" t="n">
        <v>0</v>
      </c>
      <c r="L5184" t="n">
        <v>0</v>
      </c>
      <c r="M5184" t="n">
        <v>0</v>
      </c>
      <c r="N5184" t="n">
        <v>0</v>
      </c>
      <c r="O5184" t="n">
        <v>0</v>
      </c>
      <c r="P5184" t="n">
        <v>0</v>
      </c>
      <c r="Q5184" t="n">
        <v>0</v>
      </c>
      <c r="R5184" s="2" t="inlineStr"/>
    </row>
    <row r="5185" ht="15" customHeight="1">
      <c r="A5185" t="inlineStr">
        <is>
          <t>A 19424-2025</t>
        </is>
      </c>
      <c r="B5185" s="1" t="n">
        <v>45769.7637962963</v>
      </c>
      <c r="C5185" s="1" t="n">
        <v>45952</v>
      </c>
      <c r="D5185" t="inlineStr">
        <is>
          <t>VÄSTRA GÖTALANDS LÄN</t>
        </is>
      </c>
      <c r="E5185" t="inlineStr">
        <is>
          <t>STENUNGSUND</t>
        </is>
      </c>
      <c r="G5185" t="n">
        <v>0.7</v>
      </c>
      <c r="H5185" t="n">
        <v>0</v>
      </c>
      <c r="I5185" t="n">
        <v>0</v>
      </c>
      <c r="J5185" t="n">
        <v>0</v>
      </c>
      <c r="K5185" t="n">
        <v>0</v>
      </c>
      <c r="L5185" t="n">
        <v>0</v>
      </c>
      <c r="M5185" t="n">
        <v>0</v>
      </c>
      <c r="N5185" t="n">
        <v>0</v>
      </c>
      <c r="O5185" t="n">
        <v>0</v>
      </c>
      <c r="P5185" t="n">
        <v>0</v>
      </c>
      <c r="Q5185" t="n">
        <v>0</v>
      </c>
      <c r="R5185" s="2" t="inlineStr"/>
    </row>
    <row r="5186" ht="15" customHeight="1">
      <c r="A5186" t="inlineStr">
        <is>
          <t>A 32742-2024</t>
        </is>
      </c>
      <c r="B5186" s="1" t="n">
        <v>45516.44384259259</v>
      </c>
      <c r="C5186" s="1" t="n">
        <v>45952</v>
      </c>
      <c r="D5186" t="inlineStr">
        <is>
          <t>VÄSTRA GÖTALANDS LÄN</t>
        </is>
      </c>
      <c r="E5186" t="inlineStr">
        <is>
          <t>BORÅS</t>
        </is>
      </c>
      <c r="G5186" t="n">
        <v>8</v>
      </c>
      <c r="H5186" t="n">
        <v>0</v>
      </c>
      <c r="I5186" t="n">
        <v>0</v>
      </c>
      <c r="J5186" t="n">
        <v>0</v>
      </c>
      <c r="K5186" t="n">
        <v>0</v>
      </c>
      <c r="L5186" t="n">
        <v>0</v>
      </c>
      <c r="M5186" t="n">
        <v>0</v>
      </c>
      <c r="N5186" t="n">
        <v>0</v>
      </c>
      <c r="O5186" t="n">
        <v>0</v>
      </c>
      <c r="P5186" t="n">
        <v>0</v>
      </c>
      <c r="Q5186" t="n">
        <v>0</v>
      </c>
      <c r="R5186" s="2" t="inlineStr"/>
    </row>
    <row r="5187" ht="15" customHeight="1">
      <c r="A5187" t="inlineStr">
        <is>
          <t>A 32745-2024</t>
        </is>
      </c>
      <c r="B5187" s="1" t="n">
        <v>45516</v>
      </c>
      <c r="C5187" s="1" t="n">
        <v>45952</v>
      </c>
      <c r="D5187" t="inlineStr">
        <is>
          <t>VÄSTRA GÖTALANDS LÄN</t>
        </is>
      </c>
      <c r="E5187" t="inlineStr">
        <is>
          <t>ÅMÅL</t>
        </is>
      </c>
      <c r="F5187" t="inlineStr">
        <is>
          <t>Kyrkan</t>
        </is>
      </c>
      <c r="G5187" t="n">
        <v>3.9</v>
      </c>
      <c r="H5187" t="n">
        <v>0</v>
      </c>
      <c r="I5187" t="n">
        <v>0</v>
      </c>
      <c r="J5187" t="n">
        <v>0</v>
      </c>
      <c r="K5187" t="n">
        <v>0</v>
      </c>
      <c r="L5187" t="n">
        <v>0</v>
      </c>
      <c r="M5187" t="n">
        <v>0</v>
      </c>
      <c r="N5187" t="n">
        <v>0</v>
      </c>
      <c r="O5187" t="n">
        <v>0</v>
      </c>
      <c r="P5187" t="n">
        <v>0</v>
      </c>
      <c r="Q5187" t="n">
        <v>0</v>
      </c>
      <c r="R5187" s="2" t="inlineStr"/>
    </row>
    <row r="5188" ht="15" customHeight="1">
      <c r="A5188" t="inlineStr">
        <is>
          <t>A 519-2023</t>
        </is>
      </c>
      <c r="B5188" s="1" t="n">
        <v>44930.40255787037</v>
      </c>
      <c r="C5188" s="1" t="n">
        <v>45952</v>
      </c>
      <c r="D5188" t="inlineStr">
        <is>
          <t>VÄSTRA GÖTALANDS LÄN</t>
        </is>
      </c>
      <c r="E5188" t="inlineStr">
        <is>
          <t>VÄNERSBORG</t>
        </is>
      </c>
      <c r="G5188" t="n">
        <v>2.9</v>
      </c>
      <c r="H5188" t="n">
        <v>0</v>
      </c>
      <c r="I5188" t="n">
        <v>0</v>
      </c>
      <c r="J5188" t="n">
        <v>0</v>
      </c>
      <c r="K5188" t="n">
        <v>0</v>
      </c>
      <c r="L5188" t="n">
        <v>0</v>
      </c>
      <c r="M5188" t="n">
        <v>0</v>
      </c>
      <c r="N5188" t="n">
        <v>0</v>
      </c>
      <c r="O5188" t="n">
        <v>0</v>
      </c>
      <c r="P5188" t="n">
        <v>0</v>
      </c>
      <c r="Q5188" t="n">
        <v>0</v>
      </c>
      <c r="R5188" s="2" t="inlineStr"/>
    </row>
    <row r="5189" ht="15" customHeight="1">
      <c r="A5189" t="inlineStr">
        <is>
          <t>A 27521-2024</t>
        </is>
      </c>
      <c r="B5189" s="1" t="n">
        <v>45474.55655092592</v>
      </c>
      <c r="C5189" s="1" t="n">
        <v>45952</v>
      </c>
      <c r="D5189" t="inlineStr">
        <is>
          <t>VÄSTRA GÖTALANDS LÄN</t>
        </is>
      </c>
      <c r="E5189" t="inlineStr">
        <is>
          <t>FÄRGELANDA</t>
        </is>
      </c>
      <c r="G5189" t="n">
        <v>4.3</v>
      </c>
      <c r="H5189" t="n">
        <v>0</v>
      </c>
      <c r="I5189" t="n">
        <v>0</v>
      </c>
      <c r="J5189" t="n">
        <v>0</v>
      </c>
      <c r="K5189" t="n">
        <v>0</v>
      </c>
      <c r="L5189" t="n">
        <v>0</v>
      </c>
      <c r="M5189" t="n">
        <v>0</v>
      </c>
      <c r="N5189" t="n">
        <v>0</v>
      </c>
      <c r="O5189" t="n">
        <v>0</v>
      </c>
      <c r="P5189" t="n">
        <v>0</v>
      </c>
      <c r="Q5189" t="n">
        <v>0</v>
      </c>
      <c r="R5189" s="2" t="inlineStr"/>
    </row>
    <row r="5190" ht="15" customHeight="1">
      <c r="A5190" t="inlineStr">
        <is>
          <t>A 27535-2024</t>
        </is>
      </c>
      <c r="B5190" s="1" t="n">
        <v>45474.57969907407</v>
      </c>
      <c r="C5190" s="1" t="n">
        <v>45952</v>
      </c>
      <c r="D5190" t="inlineStr">
        <is>
          <t>VÄSTRA GÖTALANDS LÄN</t>
        </is>
      </c>
      <c r="E5190" t="inlineStr">
        <is>
          <t>SVENLJUNGA</t>
        </is>
      </c>
      <c r="G5190" t="n">
        <v>1.9</v>
      </c>
      <c r="H5190" t="n">
        <v>0</v>
      </c>
      <c r="I5190" t="n">
        <v>0</v>
      </c>
      <c r="J5190" t="n">
        <v>0</v>
      </c>
      <c r="K5190" t="n">
        <v>0</v>
      </c>
      <c r="L5190" t="n">
        <v>0</v>
      </c>
      <c r="M5190" t="n">
        <v>0</v>
      </c>
      <c r="N5190" t="n">
        <v>0</v>
      </c>
      <c r="O5190" t="n">
        <v>0</v>
      </c>
      <c r="P5190" t="n">
        <v>0</v>
      </c>
      <c r="Q5190" t="n">
        <v>0</v>
      </c>
      <c r="R5190" s="2" t="inlineStr"/>
    </row>
    <row r="5191" ht="15" customHeight="1">
      <c r="A5191" t="inlineStr">
        <is>
          <t>A 18360-2022</t>
        </is>
      </c>
      <c r="B5191" s="1" t="n">
        <v>44685</v>
      </c>
      <c r="C5191" s="1" t="n">
        <v>45952</v>
      </c>
      <c r="D5191" t="inlineStr">
        <is>
          <t>VÄSTRA GÖTALANDS LÄN</t>
        </is>
      </c>
      <c r="E5191" t="inlineStr">
        <is>
          <t>DALS-ED</t>
        </is>
      </c>
      <c r="G5191" t="n">
        <v>1.5</v>
      </c>
      <c r="H5191" t="n">
        <v>0</v>
      </c>
      <c r="I5191" t="n">
        <v>0</v>
      </c>
      <c r="J5191" t="n">
        <v>0</v>
      </c>
      <c r="K5191" t="n">
        <v>0</v>
      </c>
      <c r="L5191" t="n">
        <v>0</v>
      </c>
      <c r="M5191" t="n">
        <v>0</v>
      </c>
      <c r="N5191" t="n">
        <v>0</v>
      </c>
      <c r="O5191" t="n">
        <v>0</v>
      </c>
      <c r="P5191" t="n">
        <v>0</v>
      </c>
      <c r="Q5191" t="n">
        <v>0</v>
      </c>
      <c r="R5191" s="2" t="inlineStr"/>
    </row>
    <row r="5192" ht="15" customHeight="1">
      <c r="A5192" t="inlineStr">
        <is>
          <t>A 19869-2024</t>
        </is>
      </c>
      <c r="B5192" s="1" t="n">
        <v>45433.44925925926</v>
      </c>
      <c r="C5192" s="1" t="n">
        <v>45952</v>
      </c>
      <c r="D5192" t="inlineStr">
        <is>
          <t>VÄSTRA GÖTALANDS LÄN</t>
        </is>
      </c>
      <c r="E5192" t="inlineStr">
        <is>
          <t>SVENLJUNGA</t>
        </is>
      </c>
      <c r="G5192" t="n">
        <v>1.4</v>
      </c>
      <c r="H5192" t="n">
        <v>0</v>
      </c>
      <c r="I5192" t="n">
        <v>0</v>
      </c>
      <c r="J5192" t="n">
        <v>0</v>
      </c>
      <c r="K5192" t="n">
        <v>0</v>
      </c>
      <c r="L5192" t="n">
        <v>0</v>
      </c>
      <c r="M5192" t="n">
        <v>0</v>
      </c>
      <c r="N5192" t="n">
        <v>0</v>
      </c>
      <c r="O5192" t="n">
        <v>0</v>
      </c>
      <c r="P5192" t="n">
        <v>0</v>
      </c>
      <c r="Q5192" t="n">
        <v>0</v>
      </c>
      <c r="R5192" s="2" t="inlineStr"/>
    </row>
    <row r="5193" ht="15" customHeight="1">
      <c r="A5193" t="inlineStr">
        <is>
          <t>A 12934-2022</t>
        </is>
      </c>
      <c r="B5193" s="1" t="n">
        <v>44642</v>
      </c>
      <c r="C5193" s="1" t="n">
        <v>45952</v>
      </c>
      <c r="D5193" t="inlineStr">
        <is>
          <t>VÄSTRA GÖTALANDS LÄN</t>
        </is>
      </c>
      <c r="E5193" t="inlineStr">
        <is>
          <t>ULRICEHAMN</t>
        </is>
      </c>
      <c r="G5193" t="n">
        <v>4.3</v>
      </c>
      <c r="H5193" t="n">
        <v>0</v>
      </c>
      <c r="I5193" t="n">
        <v>0</v>
      </c>
      <c r="J5193" t="n">
        <v>0</v>
      </c>
      <c r="K5193" t="n">
        <v>0</v>
      </c>
      <c r="L5193" t="n">
        <v>0</v>
      </c>
      <c r="M5193" t="n">
        <v>0</v>
      </c>
      <c r="N5193" t="n">
        <v>0</v>
      </c>
      <c r="O5193" t="n">
        <v>0</v>
      </c>
      <c r="P5193" t="n">
        <v>0</v>
      </c>
      <c r="Q5193" t="n">
        <v>0</v>
      </c>
      <c r="R5193" s="2" t="inlineStr"/>
    </row>
    <row r="5194" ht="15" customHeight="1">
      <c r="A5194" t="inlineStr">
        <is>
          <t>A 13319-2024</t>
        </is>
      </c>
      <c r="B5194" s="1" t="n">
        <v>45386.7578125</v>
      </c>
      <c r="C5194" s="1" t="n">
        <v>45952</v>
      </c>
      <c r="D5194" t="inlineStr">
        <is>
          <t>VÄSTRA GÖTALANDS LÄN</t>
        </is>
      </c>
      <c r="E5194" t="inlineStr">
        <is>
          <t>MELLERUD</t>
        </is>
      </c>
      <c r="G5194" t="n">
        <v>1.4</v>
      </c>
      <c r="H5194" t="n">
        <v>0</v>
      </c>
      <c r="I5194" t="n">
        <v>0</v>
      </c>
      <c r="J5194" t="n">
        <v>0</v>
      </c>
      <c r="K5194" t="n">
        <v>0</v>
      </c>
      <c r="L5194" t="n">
        <v>0</v>
      </c>
      <c r="M5194" t="n">
        <v>0</v>
      </c>
      <c r="N5194" t="n">
        <v>0</v>
      </c>
      <c r="O5194" t="n">
        <v>0</v>
      </c>
      <c r="P5194" t="n">
        <v>0</v>
      </c>
      <c r="Q5194" t="n">
        <v>0</v>
      </c>
      <c r="R5194" s="2" t="inlineStr"/>
    </row>
    <row r="5195" ht="15" customHeight="1">
      <c r="A5195" t="inlineStr">
        <is>
          <t>A 60475-2024</t>
        </is>
      </c>
      <c r="B5195" s="1" t="n">
        <v>45643.63023148148</v>
      </c>
      <c r="C5195" s="1" t="n">
        <v>45952</v>
      </c>
      <c r="D5195" t="inlineStr">
        <is>
          <t>VÄSTRA GÖTALANDS LÄN</t>
        </is>
      </c>
      <c r="E5195" t="inlineStr">
        <is>
          <t>FÄRGELANDA</t>
        </is>
      </c>
      <c r="G5195" t="n">
        <v>1.4</v>
      </c>
      <c r="H5195" t="n">
        <v>0</v>
      </c>
      <c r="I5195" t="n">
        <v>0</v>
      </c>
      <c r="J5195" t="n">
        <v>0</v>
      </c>
      <c r="K5195" t="n">
        <v>0</v>
      </c>
      <c r="L5195" t="n">
        <v>0</v>
      </c>
      <c r="M5195" t="n">
        <v>0</v>
      </c>
      <c r="N5195" t="n">
        <v>0</v>
      </c>
      <c r="O5195" t="n">
        <v>0</v>
      </c>
      <c r="P5195" t="n">
        <v>0</v>
      </c>
      <c r="Q5195" t="n">
        <v>0</v>
      </c>
      <c r="R5195" s="2" t="inlineStr"/>
    </row>
    <row r="5196" ht="15" customHeight="1">
      <c r="A5196" t="inlineStr">
        <is>
          <t>A 60476-2024</t>
        </is>
      </c>
      <c r="B5196" s="1" t="n">
        <v>45643.63238425926</v>
      </c>
      <c r="C5196" s="1" t="n">
        <v>45952</v>
      </c>
      <c r="D5196" t="inlineStr">
        <is>
          <t>VÄSTRA GÖTALANDS LÄN</t>
        </is>
      </c>
      <c r="E5196" t="inlineStr">
        <is>
          <t>HERRLJUNGA</t>
        </is>
      </c>
      <c r="G5196" t="n">
        <v>0.7</v>
      </c>
      <c r="H5196" t="n">
        <v>0</v>
      </c>
      <c r="I5196" t="n">
        <v>0</v>
      </c>
      <c r="J5196" t="n">
        <v>0</v>
      </c>
      <c r="K5196" t="n">
        <v>0</v>
      </c>
      <c r="L5196" t="n">
        <v>0</v>
      </c>
      <c r="M5196" t="n">
        <v>0</v>
      </c>
      <c r="N5196" t="n">
        <v>0</v>
      </c>
      <c r="O5196" t="n">
        <v>0</v>
      </c>
      <c r="P5196" t="n">
        <v>0</v>
      </c>
      <c r="Q5196" t="n">
        <v>0</v>
      </c>
      <c r="R5196" s="2" t="inlineStr"/>
    </row>
    <row r="5197" ht="15" customHeight="1">
      <c r="A5197" t="inlineStr">
        <is>
          <t>A 35295-2024</t>
        </is>
      </c>
      <c r="B5197" s="1" t="n">
        <v>45530.66170138889</v>
      </c>
      <c r="C5197" s="1" t="n">
        <v>45952</v>
      </c>
      <c r="D5197" t="inlineStr">
        <is>
          <t>VÄSTRA GÖTALANDS LÄN</t>
        </is>
      </c>
      <c r="E5197" t="inlineStr">
        <is>
          <t>DALS-ED</t>
        </is>
      </c>
      <c r="G5197" t="n">
        <v>0.3</v>
      </c>
      <c r="H5197" t="n">
        <v>0</v>
      </c>
      <c r="I5197" t="n">
        <v>0</v>
      </c>
      <c r="J5197" t="n">
        <v>0</v>
      </c>
      <c r="K5197" t="n">
        <v>0</v>
      </c>
      <c r="L5197" t="n">
        <v>0</v>
      </c>
      <c r="M5197" t="n">
        <v>0</v>
      </c>
      <c r="N5197" t="n">
        <v>0</v>
      </c>
      <c r="O5197" t="n">
        <v>0</v>
      </c>
      <c r="P5197" t="n">
        <v>0</v>
      </c>
      <c r="Q5197" t="n">
        <v>0</v>
      </c>
      <c r="R5197" s="2" t="inlineStr"/>
    </row>
    <row r="5198" ht="15" customHeight="1">
      <c r="A5198" t="inlineStr">
        <is>
          <t>A 16709-2025</t>
        </is>
      </c>
      <c r="B5198" s="1" t="n">
        <v>45754.47859953704</v>
      </c>
      <c r="C5198" s="1" t="n">
        <v>45952</v>
      </c>
      <c r="D5198" t="inlineStr">
        <is>
          <t>VÄSTRA GÖTALANDS LÄN</t>
        </is>
      </c>
      <c r="E5198" t="inlineStr">
        <is>
          <t>GULLSPÅNG</t>
        </is>
      </c>
      <c r="G5198" t="n">
        <v>2.4</v>
      </c>
      <c r="H5198" t="n">
        <v>0</v>
      </c>
      <c r="I5198" t="n">
        <v>0</v>
      </c>
      <c r="J5198" t="n">
        <v>0</v>
      </c>
      <c r="K5198" t="n">
        <v>0</v>
      </c>
      <c r="L5198" t="n">
        <v>0</v>
      </c>
      <c r="M5198" t="n">
        <v>0</v>
      </c>
      <c r="N5198" t="n">
        <v>0</v>
      </c>
      <c r="O5198" t="n">
        <v>0</v>
      </c>
      <c r="P5198" t="n">
        <v>0</v>
      </c>
      <c r="Q5198" t="n">
        <v>0</v>
      </c>
      <c r="R5198" s="2" t="inlineStr"/>
    </row>
    <row r="5199" ht="15" customHeight="1">
      <c r="A5199" t="inlineStr">
        <is>
          <t>A 16912-2025</t>
        </is>
      </c>
      <c r="B5199" s="1" t="n">
        <v>45755.36498842593</v>
      </c>
      <c r="C5199" s="1" t="n">
        <v>45952</v>
      </c>
      <c r="D5199" t="inlineStr">
        <is>
          <t>VÄSTRA GÖTALANDS LÄN</t>
        </is>
      </c>
      <c r="E5199" t="inlineStr">
        <is>
          <t>VÅRGÅRDA</t>
        </is>
      </c>
      <c r="G5199" t="n">
        <v>3.1</v>
      </c>
      <c r="H5199" t="n">
        <v>0</v>
      </c>
      <c r="I5199" t="n">
        <v>0</v>
      </c>
      <c r="J5199" t="n">
        <v>0</v>
      </c>
      <c r="K5199" t="n">
        <v>0</v>
      </c>
      <c r="L5199" t="n">
        <v>0</v>
      </c>
      <c r="M5199" t="n">
        <v>0</v>
      </c>
      <c r="N5199" t="n">
        <v>0</v>
      </c>
      <c r="O5199" t="n">
        <v>0</v>
      </c>
      <c r="P5199" t="n">
        <v>0</v>
      </c>
      <c r="Q5199" t="n">
        <v>0</v>
      </c>
      <c r="R5199" s="2" t="inlineStr"/>
    </row>
    <row r="5200" ht="15" customHeight="1">
      <c r="A5200" t="inlineStr">
        <is>
          <t>A 9642-2025</t>
        </is>
      </c>
      <c r="B5200" s="1" t="n">
        <v>45715.84020833333</v>
      </c>
      <c r="C5200" s="1" t="n">
        <v>45952</v>
      </c>
      <c r="D5200" t="inlineStr">
        <is>
          <t>VÄSTRA GÖTALANDS LÄN</t>
        </is>
      </c>
      <c r="E5200" t="inlineStr">
        <is>
          <t>VÅRGÅRDA</t>
        </is>
      </c>
      <c r="G5200" t="n">
        <v>1.2</v>
      </c>
      <c r="H5200" t="n">
        <v>0</v>
      </c>
      <c r="I5200" t="n">
        <v>0</v>
      </c>
      <c r="J5200" t="n">
        <v>0</v>
      </c>
      <c r="K5200" t="n">
        <v>0</v>
      </c>
      <c r="L5200" t="n">
        <v>0</v>
      </c>
      <c r="M5200" t="n">
        <v>0</v>
      </c>
      <c r="N5200" t="n">
        <v>0</v>
      </c>
      <c r="O5200" t="n">
        <v>0</v>
      </c>
      <c r="P5200" t="n">
        <v>0</v>
      </c>
      <c r="Q5200" t="n">
        <v>0</v>
      </c>
      <c r="R5200" s="2" t="inlineStr"/>
    </row>
    <row r="5201" ht="15" customHeight="1">
      <c r="A5201" t="inlineStr">
        <is>
          <t>A 16988-2025</t>
        </is>
      </c>
      <c r="B5201" s="1" t="n">
        <v>45755.49395833333</v>
      </c>
      <c r="C5201" s="1" t="n">
        <v>45952</v>
      </c>
      <c r="D5201" t="inlineStr">
        <is>
          <t>VÄSTRA GÖTALANDS LÄN</t>
        </is>
      </c>
      <c r="E5201" t="inlineStr">
        <is>
          <t>MARK</t>
        </is>
      </c>
      <c r="G5201" t="n">
        <v>2.9</v>
      </c>
      <c r="H5201" t="n">
        <v>0</v>
      </c>
      <c r="I5201" t="n">
        <v>0</v>
      </c>
      <c r="J5201" t="n">
        <v>0</v>
      </c>
      <c r="K5201" t="n">
        <v>0</v>
      </c>
      <c r="L5201" t="n">
        <v>0</v>
      </c>
      <c r="M5201" t="n">
        <v>0</v>
      </c>
      <c r="N5201" t="n">
        <v>0</v>
      </c>
      <c r="O5201" t="n">
        <v>0</v>
      </c>
      <c r="P5201" t="n">
        <v>0</v>
      </c>
      <c r="Q5201" t="n">
        <v>0</v>
      </c>
      <c r="R5201" s="2" t="inlineStr"/>
    </row>
    <row r="5202" ht="15" customHeight="1">
      <c r="A5202" t="inlineStr">
        <is>
          <t>A 17003-2025</t>
        </is>
      </c>
      <c r="B5202" s="1" t="n">
        <v>45755.53173611111</v>
      </c>
      <c r="C5202" s="1" t="n">
        <v>45952</v>
      </c>
      <c r="D5202" t="inlineStr">
        <is>
          <t>VÄSTRA GÖTALANDS LÄN</t>
        </is>
      </c>
      <c r="E5202" t="inlineStr">
        <is>
          <t>MARK</t>
        </is>
      </c>
      <c r="G5202" t="n">
        <v>1.3</v>
      </c>
      <c r="H5202" t="n">
        <v>0</v>
      </c>
      <c r="I5202" t="n">
        <v>0</v>
      </c>
      <c r="J5202" t="n">
        <v>0</v>
      </c>
      <c r="K5202" t="n">
        <v>0</v>
      </c>
      <c r="L5202" t="n">
        <v>0</v>
      </c>
      <c r="M5202" t="n">
        <v>0</v>
      </c>
      <c r="N5202" t="n">
        <v>0</v>
      </c>
      <c r="O5202" t="n">
        <v>0</v>
      </c>
      <c r="P5202" t="n">
        <v>0</v>
      </c>
      <c r="Q5202" t="n">
        <v>0</v>
      </c>
      <c r="R5202" s="2" t="inlineStr"/>
    </row>
    <row r="5203" ht="15" customHeight="1">
      <c r="A5203" t="inlineStr">
        <is>
          <t>A 17006-2025</t>
        </is>
      </c>
      <c r="B5203" s="1" t="n">
        <v>45755.53457175926</v>
      </c>
      <c r="C5203" s="1" t="n">
        <v>45952</v>
      </c>
      <c r="D5203" t="inlineStr">
        <is>
          <t>VÄSTRA GÖTALANDS LÄN</t>
        </is>
      </c>
      <c r="E5203" t="inlineStr">
        <is>
          <t>MARK</t>
        </is>
      </c>
      <c r="G5203" t="n">
        <v>2.5</v>
      </c>
      <c r="H5203" t="n">
        <v>0</v>
      </c>
      <c r="I5203" t="n">
        <v>0</v>
      </c>
      <c r="J5203" t="n">
        <v>0</v>
      </c>
      <c r="K5203" t="n">
        <v>0</v>
      </c>
      <c r="L5203" t="n">
        <v>0</v>
      </c>
      <c r="M5203" t="n">
        <v>0</v>
      </c>
      <c r="N5203" t="n">
        <v>0</v>
      </c>
      <c r="O5203" t="n">
        <v>0</v>
      </c>
      <c r="P5203" t="n">
        <v>0</v>
      </c>
      <c r="Q5203" t="n">
        <v>0</v>
      </c>
      <c r="R5203" s="2" t="inlineStr"/>
    </row>
    <row r="5204" ht="15" customHeight="1">
      <c r="A5204" t="inlineStr">
        <is>
          <t>A 2325-2024</t>
        </is>
      </c>
      <c r="B5204" s="1" t="n">
        <v>45310</v>
      </c>
      <c r="C5204" s="1" t="n">
        <v>45952</v>
      </c>
      <c r="D5204" t="inlineStr">
        <is>
          <t>VÄSTRA GÖTALANDS LÄN</t>
        </is>
      </c>
      <c r="E5204" t="inlineStr">
        <is>
          <t>TRANEMO</t>
        </is>
      </c>
      <c r="F5204" t="inlineStr">
        <is>
          <t>Kommuner</t>
        </is>
      </c>
      <c r="G5204" t="n">
        <v>3.8</v>
      </c>
      <c r="H5204" t="n">
        <v>0</v>
      </c>
      <c r="I5204" t="n">
        <v>0</v>
      </c>
      <c r="J5204" t="n">
        <v>0</v>
      </c>
      <c r="K5204" t="n">
        <v>0</v>
      </c>
      <c r="L5204" t="n">
        <v>0</v>
      </c>
      <c r="M5204" t="n">
        <v>0</v>
      </c>
      <c r="N5204" t="n">
        <v>0</v>
      </c>
      <c r="O5204" t="n">
        <v>0</v>
      </c>
      <c r="P5204" t="n">
        <v>0</v>
      </c>
      <c r="Q5204" t="n">
        <v>0</v>
      </c>
      <c r="R5204" s="2" t="inlineStr"/>
    </row>
    <row r="5205" ht="15" customHeight="1">
      <c r="A5205" t="inlineStr">
        <is>
          <t>A 12507-2025</t>
        </is>
      </c>
      <c r="B5205" s="1" t="n">
        <v>45730.63413194445</v>
      </c>
      <c r="C5205" s="1" t="n">
        <v>45952</v>
      </c>
      <c r="D5205" t="inlineStr">
        <is>
          <t>VÄSTRA GÖTALANDS LÄN</t>
        </is>
      </c>
      <c r="E5205" t="inlineStr">
        <is>
          <t>FÄRGELANDA</t>
        </is>
      </c>
      <c r="G5205" t="n">
        <v>1.8</v>
      </c>
      <c r="H5205" t="n">
        <v>0</v>
      </c>
      <c r="I5205" t="n">
        <v>0</v>
      </c>
      <c r="J5205" t="n">
        <v>0</v>
      </c>
      <c r="K5205" t="n">
        <v>0</v>
      </c>
      <c r="L5205" t="n">
        <v>0</v>
      </c>
      <c r="M5205" t="n">
        <v>0</v>
      </c>
      <c r="N5205" t="n">
        <v>0</v>
      </c>
      <c r="O5205" t="n">
        <v>0</v>
      </c>
      <c r="P5205" t="n">
        <v>0</v>
      </c>
      <c r="Q5205" t="n">
        <v>0</v>
      </c>
      <c r="R5205" s="2" t="inlineStr"/>
    </row>
    <row r="5206" ht="15" customHeight="1">
      <c r="A5206" t="inlineStr">
        <is>
          <t>A 56133-2023</t>
        </is>
      </c>
      <c r="B5206" s="1" t="n">
        <v>45240</v>
      </c>
      <c r="C5206" s="1" t="n">
        <v>45952</v>
      </c>
      <c r="D5206" t="inlineStr">
        <is>
          <t>VÄSTRA GÖTALANDS LÄN</t>
        </is>
      </c>
      <c r="E5206" t="inlineStr">
        <is>
          <t>MÖLNDAL</t>
        </is>
      </c>
      <c r="G5206" t="n">
        <v>2</v>
      </c>
      <c r="H5206" t="n">
        <v>0</v>
      </c>
      <c r="I5206" t="n">
        <v>0</v>
      </c>
      <c r="J5206" t="n">
        <v>0</v>
      </c>
      <c r="K5206" t="n">
        <v>0</v>
      </c>
      <c r="L5206" t="n">
        <v>0</v>
      </c>
      <c r="M5206" t="n">
        <v>0</v>
      </c>
      <c r="N5206" t="n">
        <v>0</v>
      </c>
      <c r="O5206" t="n">
        <v>0</v>
      </c>
      <c r="P5206" t="n">
        <v>0</v>
      </c>
      <c r="Q5206" t="n">
        <v>0</v>
      </c>
      <c r="R5206" s="2" t="inlineStr"/>
    </row>
    <row r="5207" ht="15" customHeight="1">
      <c r="A5207" t="inlineStr">
        <is>
          <t>A 2187-2025</t>
        </is>
      </c>
      <c r="B5207" s="1" t="n">
        <v>45673.36258101852</v>
      </c>
      <c r="C5207" s="1" t="n">
        <v>45952</v>
      </c>
      <c r="D5207" t="inlineStr">
        <is>
          <t>VÄSTRA GÖTALANDS LÄN</t>
        </is>
      </c>
      <c r="E5207" t="inlineStr">
        <is>
          <t>ALINGSÅS</t>
        </is>
      </c>
      <c r="G5207" t="n">
        <v>1</v>
      </c>
      <c r="H5207" t="n">
        <v>0</v>
      </c>
      <c r="I5207" t="n">
        <v>0</v>
      </c>
      <c r="J5207" t="n">
        <v>0</v>
      </c>
      <c r="K5207" t="n">
        <v>0</v>
      </c>
      <c r="L5207" t="n">
        <v>0</v>
      </c>
      <c r="M5207" t="n">
        <v>0</v>
      </c>
      <c r="N5207" t="n">
        <v>0</v>
      </c>
      <c r="O5207" t="n">
        <v>0</v>
      </c>
      <c r="P5207" t="n">
        <v>0</v>
      </c>
      <c r="Q5207" t="n">
        <v>0</v>
      </c>
      <c r="R5207" s="2" t="inlineStr"/>
    </row>
    <row r="5208" ht="15" customHeight="1">
      <c r="A5208" t="inlineStr">
        <is>
          <t>A 11950-2021</t>
        </is>
      </c>
      <c r="B5208" s="1" t="n">
        <v>44266</v>
      </c>
      <c r="C5208" s="1" t="n">
        <v>45952</v>
      </c>
      <c r="D5208" t="inlineStr">
        <is>
          <t>VÄSTRA GÖTALANDS LÄN</t>
        </is>
      </c>
      <c r="E5208" t="inlineStr">
        <is>
          <t>BORÅS</t>
        </is>
      </c>
      <c r="G5208" t="n">
        <v>6.1</v>
      </c>
      <c r="H5208" t="n">
        <v>0</v>
      </c>
      <c r="I5208" t="n">
        <v>0</v>
      </c>
      <c r="J5208" t="n">
        <v>0</v>
      </c>
      <c r="K5208" t="n">
        <v>0</v>
      </c>
      <c r="L5208" t="n">
        <v>0</v>
      </c>
      <c r="M5208" t="n">
        <v>0</v>
      </c>
      <c r="N5208" t="n">
        <v>0</v>
      </c>
      <c r="O5208" t="n">
        <v>0</v>
      </c>
      <c r="P5208" t="n">
        <v>0</v>
      </c>
      <c r="Q5208" t="n">
        <v>0</v>
      </c>
      <c r="R5208" s="2" t="inlineStr"/>
    </row>
    <row r="5209" ht="15" customHeight="1">
      <c r="A5209" t="inlineStr">
        <is>
          <t>A 30085-2023</t>
        </is>
      </c>
      <c r="B5209" s="1" t="n">
        <v>45110.43747685185</v>
      </c>
      <c r="C5209" s="1" t="n">
        <v>45952</v>
      </c>
      <c r="D5209" t="inlineStr">
        <is>
          <t>VÄSTRA GÖTALANDS LÄN</t>
        </is>
      </c>
      <c r="E5209" t="inlineStr">
        <is>
          <t>SKARA</t>
        </is>
      </c>
      <c r="G5209" t="n">
        <v>0.5</v>
      </c>
      <c r="H5209" t="n">
        <v>0</v>
      </c>
      <c r="I5209" t="n">
        <v>0</v>
      </c>
      <c r="J5209" t="n">
        <v>0</v>
      </c>
      <c r="K5209" t="n">
        <v>0</v>
      </c>
      <c r="L5209" t="n">
        <v>0</v>
      </c>
      <c r="M5209" t="n">
        <v>0</v>
      </c>
      <c r="N5209" t="n">
        <v>0</v>
      </c>
      <c r="O5209" t="n">
        <v>0</v>
      </c>
      <c r="P5209" t="n">
        <v>0</v>
      </c>
      <c r="Q5209" t="n">
        <v>0</v>
      </c>
      <c r="R5209" s="2" t="inlineStr"/>
    </row>
    <row r="5210" ht="15" customHeight="1">
      <c r="A5210" t="inlineStr">
        <is>
          <t>A 51409-2022</t>
        </is>
      </c>
      <c r="B5210" s="1" t="n">
        <v>44866</v>
      </c>
      <c r="C5210" s="1" t="n">
        <v>45952</v>
      </c>
      <c r="D5210" t="inlineStr">
        <is>
          <t>VÄSTRA GÖTALANDS LÄN</t>
        </is>
      </c>
      <c r="E5210" t="inlineStr">
        <is>
          <t>MUNKEDAL</t>
        </is>
      </c>
      <c r="G5210" t="n">
        <v>2.4</v>
      </c>
      <c r="H5210" t="n">
        <v>0</v>
      </c>
      <c r="I5210" t="n">
        <v>0</v>
      </c>
      <c r="J5210" t="n">
        <v>0</v>
      </c>
      <c r="K5210" t="n">
        <v>0</v>
      </c>
      <c r="L5210" t="n">
        <v>0</v>
      </c>
      <c r="M5210" t="n">
        <v>0</v>
      </c>
      <c r="N5210" t="n">
        <v>0</v>
      </c>
      <c r="O5210" t="n">
        <v>0</v>
      </c>
      <c r="P5210" t="n">
        <v>0</v>
      </c>
      <c r="Q5210" t="n">
        <v>0</v>
      </c>
      <c r="R5210" s="2" t="inlineStr"/>
    </row>
    <row r="5211" ht="15" customHeight="1">
      <c r="A5211" t="inlineStr">
        <is>
          <t>A 32624-2023</t>
        </is>
      </c>
      <c r="B5211" s="1" t="n">
        <v>45111</v>
      </c>
      <c r="C5211" s="1" t="n">
        <v>45952</v>
      </c>
      <c r="D5211" t="inlineStr">
        <is>
          <t>VÄSTRA GÖTALANDS LÄN</t>
        </is>
      </c>
      <c r="E5211" t="inlineStr">
        <is>
          <t>GULLSPÅNG</t>
        </is>
      </c>
      <c r="G5211" t="n">
        <v>0.8</v>
      </c>
      <c r="H5211" t="n">
        <v>0</v>
      </c>
      <c r="I5211" t="n">
        <v>0</v>
      </c>
      <c r="J5211" t="n">
        <v>0</v>
      </c>
      <c r="K5211" t="n">
        <v>0</v>
      </c>
      <c r="L5211" t="n">
        <v>0</v>
      </c>
      <c r="M5211" t="n">
        <v>0</v>
      </c>
      <c r="N5211" t="n">
        <v>0</v>
      </c>
      <c r="O5211" t="n">
        <v>0</v>
      </c>
      <c r="P5211" t="n">
        <v>0</v>
      </c>
      <c r="Q5211" t="n">
        <v>0</v>
      </c>
      <c r="R5211" s="2" t="inlineStr"/>
    </row>
    <row r="5212" ht="15" customHeight="1">
      <c r="A5212" t="inlineStr">
        <is>
          <t>A 35581-2023</t>
        </is>
      </c>
      <c r="B5212" s="1" t="n">
        <v>45135</v>
      </c>
      <c r="C5212" s="1" t="n">
        <v>45952</v>
      </c>
      <c r="D5212" t="inlineStr">
        <is>
          <t>VÄSTRA GÖTALANDS LÄN</t>
        </is>
      </c>
      <c r="E5212" t="inlineStr">
        <is>
          <t>MARIESTAD</t>
        </is>
      </c>
      <c r="G5212" t="n">
        <v>1</v>
      </c>
      <c r="H5212" t="n">
        <v>0</v>
      </c>
      <c r="I5212" t="n">
        <v>0</v>
      </c>
      <c r="J5212" t="n">
        <v>0</v>
      </c>
      <c r="K5212" t="n">
        <v>0</v>
      </c>
      <c r="L5212" t="n">
        <v>0</v>
      </c>
      <c r="M5212" t="n">
        <v>0</v>
      </c>
      <c r="N5212" t="n">
        <v>0</v>
      </c>
      <c r="O5212" t="n">
        <v>0</v>
      </c>
      <c r="P5212" t="n">
        <v>0</v>
      </c>
      <c r="Q5212" t="n">
        <v>0</v>
      </c>
      <c r="R5212" s="2" t="inlineStr"/>
    </row>
    <row r="5213" ht="15" customHeight="1">
      <c r="A5213" t="inlineStr">
        <is>
          <t>A 7389-2022</t>
        </is>
      </c>
      <c r="B5213" s="1" t="n">
        <v>44606</v>
      </c>
      <c r="C5213" s="1" t="n">
        <v>45952</v>
      </c>
      <c r="D5213" t="inlineStr">
        <is>
          <t>VÄSTRA GÖTALANDS LÄN</t>
        </is>
      </c>
      <c r="E5213" t="inlineStr">
        <is>
          <t>MUNKEDAL</t>
        </is>
      </c>
      <c r="G5213" t="n">
        <v>6.9</v>
      </c>
      <c r="H5213" t="n">
        <v>0</v>
      </c>
      <c r="I5213" t="n">
        <v>0</v>
      </c>
      <c r="J5213" t="n">
        <v>0</v>
      </c>
      <c r="K5213" t="n">
        <v>0</v>
      </c>
      <c r="L5213" t="n">
        <v>0</v>
      </c>
      <c r="M5213" t="n">
        <v>0</v>
      </c>
      <c r="N5213" t="n">
        <v>0</v>
      </c>
      <c r="O5213" t="n">
        <v>0</v>
      </c>
      <c r="P5213" t="n">
        <v>0</v>
      </c>
      <c r="Q5213" t="n">
        <v>0</v>
      </c>
      <c r="R5213" s="2" t="inlineStr"/>
    </row>
    <row r="5214" ht="15" customHeight="1">
      <c r="A5214" t="inlineStr">
        <is>
          <t>A 18452-2025</t>
        </is>
      </c>
      <c r="B5214" s="1" t="n">
        <v>45762.66623842593</v>
      </c>
      <c r="C5214" s="1" t="n">
        <v>45952</v>
      </c>
      <c r="D5214" t="inlineStr">
        <is>
          <t>VÄSTRA GÖTALANDS LÄN</t>
        </is>
      </c>
      <c r="E5214" t="inlineStr">
        <is>
          <t>TRANEMO</t>
        </is>
      </c>
      <c r="G5214" t="n">
        <v>1.4</v>
      </c>
      <c r="H5214" t="n">
        <v>0</v>
      </c>
      <c r="I5214" t="n">
        <v>0</v>
      </c>
      <c r="J5214" t="n">
        <v>0</v>
      </c>
      <c r="K5214" t="n">
        <v>0</v>
      </c>
      <c r="L5214" t="n">
        <v>0</v>
      </c>
      <c r="M5214" t="n">
        <v>0</v>
      </c>
      <c r="N5214" t="n">
        <v>0</v>
      </c>
      <c r="O5214" t="n">
        <v>0</v>
      </c>
      <c r="P5214" t="n">
        <v>0</v>
      </c>
      <c r="Q5214" t="n">
        <v>0</v>
      </c>
      <c r="R5214" s="2" t="inlineStr"/>
    </row>
    <row r="5215" ht="15" customHeight="1">
      <c r="A5215" t="inlineStr">
        <is>
          <t>A 34525-2023</t>
        </is>
      </c>
      <c r="B5215" s="1" t="n">
        <v>45140.41236111111</v>
      </c>
      <c r="C5215" s="1" t="n">
        <v>45952</v>
      </c>
      <c r="D5215" t="inlineStr">
        <is>
          <t>VÄSTRA GÖTALANDS LÄN</t>
        </is>
      </c>
      <c r="E5215" t="inlineStr">
        <is>
          <t>ÅMÅL</t>
        </is>
      </c>
      <c r="G5215" t="n">
        <v>8.1</v>
      </c>
      <c r="H5215" t="n">
        <v>0</v>
      </c>
      <c r="I5215" t="n">
        <v>0</v>
      </c>
      <c r="J5215" t="n">
        <v>0</v>
      </c>
      <c r="K5215" t="n">
        <v>0</v>
      </c>
      <c r="L5215" t="n">
        <v>0</v>
      </c>
      <c r="M5215" t="n">
        <v>0</v>
      </c>
      <c r="N5215" t="n">
        <v>0</v>
      </c>
      <c r="O5215" t="n">
        <v>0</v>
      </c>
      <c r="P5215" t="n">
        <v>0</v>
      </c>
      <c r="Q5215" t="n">
        <v>0</v>
      </c>
      <c r="R5215" s="2" t="inlineStr"/>
    </row>
    <row r="5216" ht="15" customHeight="1">
      <c r="A5216" t="inlineStr">
        <is>
          <t>A 19773-2025</t>
        </is>
      </c>
      <c r="B5216" s="1" t="n">
        <v>45771</v>
      </c>
      <c r="C5216" s="1" t="n">
        <v>45952</v>
      </c>
      <c r="D5216" t="inlineStr">
        <is>
          <t>VÄSTRA GÖTALANDS LÄN</t>
        </is>
      </c>
      <c r="E5216" t="inlineStr">
        <is>
          <t>TROLLHÄTTAN</t>
        </is>
      </c>
      <c r="G5216" t="n">
        <v>1.3</v>
      </c>
      <c r="H5216" t="n">
        <v>0</v>
      </c>
      <c r="I5216" t="n">
        <v>0</v>
      </c>
      <c r="J5216" t="n">
        <v>0</v>
      </c>
      <c r="K5216" t="n">
        <v>0</v>
      </c>
      <c r="L5216" t="n">
        <v>0</v>
      </c>
      <c r="M5216" t="n">
        <v>0</v>
      </c>
      <c r="N5216" t="n">
        <v>0</v>
      </c>
      <c r="O5216" t="n">
        <v>0</v>
      </c>
      <c r="P5216" t="n">
        <v>0</v>
      </c>
      <c r="Q5216" t="n">
        <v>0</v>
      </c>
      <c r="R5216" s="2" t="inlineStr"/>
    </row>
    <row r="5217" ht="15" customHeight="1">
      <c r="A5217" t="inlineStr">
        <is>
          <t>A 43885-2024</t>
        </is>
      </c>
      <c r="B5217" s="1" t="n">
        <v>45572.40824074074</v>
      </c>
      <c r="C5217" s="1" t="n">
        <v>45952</v>
      </c>
      <c r="D5217" t="inlineStr">
        <is>
          <t>VÄSTRA GÖTALANDS LÄN</t>
        </is>
      </c>
      <c r="E5217" t="inlineStr">
        <is>
          <t>SVENLJUNGA</t>
        </is>
      </c>
      <c r="G5217" t="n">
        <v>1.8</v>
      </c>
      <c r="H5217" t="n">
        <v>0</v>
      </c>
      <c r="I5217" t="n">
        <v>0</v>
      </c>
      <c r="J5217" t="n">
        <v>0</v>
      </c>
      <c r="K5217" t="n">
        <v>0</v>
      </c>
      <c r="L5217" t="n">
        <v>0</v>
      </c>
      <c r="M5217" t="n">
        <v>0</v>
      </c>
      <c r="N5217" t="n">
        <v>0</v>
      </c>
      <c r="O5217" t="n">
        <v>0</v>
      </c>
      <c r="P5217" t="n">
        <v>0</v>
      </c>
      <c r="Q5217" t="n">
        <v>0</v>
      </c>
      <c r="R5217" s="2" t="inlineStr"/>
    </row>
    <row r="5218" ht="15" customHeight="1">
      <c r="A5218" t="inlineStr">
        <is>
          <t>A 11373-2025</t>
        </is>
      </c>
      <c r="B5218" s="1" t="n">
        <v>45726.5531712963</v>
      </c>
      <c r="C5218" s="1" t="n">
        <v>45952</v>
      </c>
      <c r="D5218" t="inlineStr">
        <is>
          <t>VÄSTRA GÖTALANDS LÄN</t>
        </is>
      </c>
      <c r="E5218" t="inlineStr">
        <is>
          <t>SVENLJUNGA</t>
        </is>
      </c>
      <c r="G5218" t="n">
        <v>2.1</v>
      </c>
      <c r="H5218" t="n">
        <v>0</v>
      </c>
      <c r="I5218" t="n">
        <v>0</v>
      </c>
      <c r="J5218" t="n">
        <v>0</v>
      </c>
      <c r="K5218" t="n">
        <v>0</v>
      </c>
      <c r="L5218" t="n">
        <v>0</v>
      </c>
      <c r="M5218" t="n">
        <v>0</v>
      </c>
      <c r="N5218" t="n">
        <v>0</v>
      </c>
      <c r="O5218" t="n">
        <v>0</v>
      </c>
      <c r="P5218" t="n">
        <v>0</v>
      </c>
      <c r="Q5218" t="n">
        <v>0</v>
      </c>
      <c r="R5218" s="2" t="inlineStr"/>
    </row>
    <row r="5219" ht="15" customHeight="1">
      <c r="A5219" t="inlineStr">
        <is>
          <t>A 49290-2024</t>
        </is>
      </c>
      <c r="B5219" s="1" t="n">
        <v>45595.53287037037</v>
      </c>
      <c r="C5219" s="1" t="n">
        <v>45952</v>
      </c>
      <c r="D5219" t="inlineStr">
        <is>
          <t>VÄSTRA GÖTALANDS LÄN</t>
        </is>
      </c>
      <c r="E5219" t="inlineStr">
        <is>
          <t>DALS-ED</t>
        </is>
      </c>
      <c r="G5219" t="n">
        <v>0.7</v>
      </c>
      <c r="H5219" t="n">
        <v>0</v>
      </c>
      <c r="I5219" t="n">
        <v>0</v>
      </c>
      <c r="J5219" t="n">
        <v>0</v>
      </c>
      <c r="K5219" t="n">
        <v>0</v>
      </c>
      <c r="L5219" t="n">
        <v>0</v>
      </c>
      <c r="M5219" t="n">
        <v>0</v>
      </c>
      <c r="N5219" t="n">
        <v>0</v>
      </c>
      <c r="O5219" t="n">
        <v>0</v>
      </c>
      <c r="P5219" t="n">
        <v>0</v>
      </c>
      <c r="Q5219" t="n">
        <v>0</v>
      </c>
      <c r="R5219" s="2" t="inlineStr"/>
    </row>
    <row r="5220" ht="15" customHeight="1">
      <c r="A5220" t="inlineStr">
        <is>
          <t>A 20706-2024</t>
        </is>
      </c>
      <c r="B5220" s="1" t="n">
        <v>45436.61275462963</v>
      </c>
      <c r="C5220" s="1" t="n">
        <v>45952</v>
      </c>
      <c r="D5220" t="inlineStr">
        <is>
          <t>VÄSTRA GÖTALANDS LÄN</t>
        </is>
      </c>
      <c r="E5220" t="inlineStr">
        <is>
          <t>UDDEVALLA</t>
        </is>
      </c>
      <c r="G5220" t="n">
        <v>2.2</v>
      </c>
      <c r="H5220" t="n">
        <v>0</v>
      </c>
      <c r="I5220" t="n">
        <v>0</v>
      </c>
      <c r="J5220" t="n">
        <v>0</v>
      </c>
      <c r="K5220" t="n">
        <v>0</v>
      </c>
      <c r="L5220" t="n">
        <v>0</v>
      </c>
      <c r="M5220" t="n">
        <v>0</v>
      </c>
      <c r="N5220" t="n">
        <v>0</v>
      </c>
      <c r="O5220" t="n">
        <v>0</v>
      </c>
      <c r="P5220" t="n">
        <v>0</v>
      </c>
      <c r="Q5220" t="n">
        <v>0</v>
      </c>
      <c r="R5220" s="2" t="inlineStr"/>
    </row>
    <row r="5221" ht="15" customHeight="1">
      <c r="A5221" t="inlineStr">
        <is>
          <t>A 16587-2025</t>
        </is>
      </c>
      <c r="B5221" s="1" t="n">
        <v>45752.87754629629</v>
      </c>
      <c r="C5221" s="1" t="n">
        <v>45952</v>
      </c>
      <c r="D5221" t="inlineStr">
        <is>
          <t>VÄSTRA GÖTALANDS LÄN</t>
        </is>
      </c>
      <c r="E5221" t="inlineStr">
        <is>
          <t>VÅRGÅRDA</t>
        </is>
      </c>
      <c r="G5221" t="n">
        <v>3.1</v>
      </c>
      <c r="H5221" t="n">
        <v>0</v>
      </c>
      <c r="I5221" t="n">
        <v>0</v>
      </c>
      <c r="J5221" t="n">
        <v>0</v>
      </c>
      <c r="K5221" t="n">
        <v>0</v>
      </c>
      <c r="L5221" t="n">
        <v>0</v>
      </c>
      <c r="M5221" t="n">
        <v>0</v>
      </c>
      <c r="N5221" t="n">
        <v>0</v>
      </c>
      <c r="O5221" t="n">
        <v>0</v>
      </c>
      <c r="P5221" t="n">
        <v>0</v>
      </c>
      <c r="Q5221" t="n">
        <v>0</v>
      </c>
      <c r="R5221" s="2" t="inlineStr"/>
    </row>
    <row r="5222" ht="15" customHeight="1">
      <c r="A5222" t="inlineStr">
        <is>
          <t>A 16618-2025</t>
        </is>
      </c>
      <c r="B5222" s="1" t="n">
        <v>45754.31761574074</v>
      </c>
      <c r="C5222" s="1" t="n">
        <v>45952</v>
      </c>
      <c r="D5222" t="inlineStr">
        <is>
          <t>VÄSTRA GÖTALANDS LÄN</t>
        </is>
      </c>
      <c r="E5222" t="inlineStr">
        <is>
          <t>TIBRO</t>
        </is>
      </c>
      <c r="G5222" t="n">
        <v>0.8</v>
      </c>
      <c r="H5222" t="n">
        <v>0</v>
      </c>
      <c r="I5222" t="n">
        <v>0</v>
      </c>
      <c r="J5222" t="n">
        <v>0</v>
      </c>
      <c r="K5222" t="n">
        <v>0</v>
      </c>
      <c r="L5222" t="n">
        <v>0</v>
      </c>
      <c r="M5222" t="n">
        <v>0</v>
      </c>
      <c r="N5222" t="n">
        <v>0</v>
      </c>
      <c r="O5222" t="n">
        <v>0</v>
      </c>
      <c r="P5222" t="n">
        <v>0</v>
      </c>
      <c r="Q5222" t="n">
        <v>0</v>
      </c>
      <c r="R5222" s="2" t="inlineStr"/>
    </row>
    <row r="5223" ht="15" customHeight="1">
      <c r="A5223" t="inlineStr">
        <is>
          <t>A 57573-2024</t>
        </is>
      </c>
      <c r="B5223" s="1" t="n">
        <v>45630.46780092592</v>
      </c>
      <c r="C5223" s="1" t="n">
        <v>45952</v>
      </c>
      <c r="D5223" t="inlineStr">
        <is>
          <t>VÄSTRA GÖTALANDS LÄN</t>
        </is>
      </c>
      <c r="E5223" t="inlineStr">
        <is>
          <t>TIDAHOLM</t>
        </is>
      </c>
      <c r="G5223" t="n">
        <v>4</v>
      </c>
      <c r="H5223" t="n">
        <v>0</v>
      </c>
      <c r="I5223" t="n">
        <v>0</v>
      </c>
      <c r="J5223" t="n">
        <v>0</v>
      </c>
      <c r="K5223" t="n">
        <v>0</v>
      </c>
      <c r="L5223" t="n">
        <v>0</v>
      </c>
      <c r="M5223" t="n">
        <v>0</v>
      </c>
      <c r="N5223" t="n">
        <v>0</v>
      </c>
      <c r="O5223" t="n">
        <v>0</v>
      </c>
      <c r="P5223" t="n">
        <v>0</v>
      </c>
      <c r="Q5223" t="n">
        <v>0</v>
      </c>
      <c r="R5223" s="2" t="inlineStr"/>
    </row>
    <row r="5224" ht="15" customHeight="1">
      <c r="A5224" t="inlineStr">
        <is>
          <t>A 16624-2025</t>
        </is>
      </c>
      <c r="B5224" s="1" t="n">
        <v>45754.34409722222</v>
      </c>
      <c r="C5224" s="1" t="n">
        <v>45952</v>
      </c>
      <c r="D5224" t="inlineStr">
        <is>
          <t>VÄSTRA GÖTALANDS LÄN</t>
        </is>
      </c>
      <c r="E5224" t="inlineStr">
        <is>
          <t>ULRICEHAMN</t>
        </is>
      </c>
      <c r="G5224" t="n">
        <v>6.2</v>
      </c>
      <c r="H5224" t="n">
        <v>0</v>
      </c>
      <c r="I5224" t="n">
        <v>0</v>
      </c>
      <c r="J5224" t="n">
        <v>0</v>
      </c>
      <c r="K5224" t="n">
        <v>0</v>
      </c>
      <c r="L5224" t="n">
        <v>0</v>
      </c>
      <c r="M5224" t="n">
        <v>0</v>
      </c>
      <c r="N5224" t="n">
        <v>0</v>
      </c>
      <c r="O5224" t="n">
        <v>0</v>
      </c>
      <c r="P5224" t="n">
        <v>0</v>
      </c>
      <c r="Q5224" t="n">
        <v>0</v>
      </c>
      <c r="R5224" s="2" t="inlineStr"/>
    </row>
    <row r="5225" ht="15" customHeight="1">
      <c r="A5225" t="inlineStr">
        <is>
          <t>A 26852-2023</t>
        </is>
      </c>
      <c r="B5225" s="1" t="n">
        <v>45093.56304398148</v>
      </c>
      <c r="C5225" s="1" t="n">
        <v>45952</v>
      </c>
      <c r="D5225" t="inlineStr">
        <is>
          <t>VÄSTRA GÖTALANDS LÄN</t>
        </is>
      </c>
      <c r="E5225" t="inlineStr">
        <is>
          <t>MARK</t>
        </is>
      </c>
      <c r="G5225" t="n">
        <v>2.2</v>
      </c>
      <c r="H5225" t="n">
        <v>0</v>
      </c>
      <c r="I5225" t="n">
        <v>0</v>
      </c>
      <c r="J5225" t="n">
        <v>0</v>
      </c>
      <c r="K5225" t="n">
        <v>0</v>
      </c>
      <c r="L5225" t="n">
        <v>0</v>
      </c>
      <c r="M5225" t="n">
        <v>0</v>
      </c>
      <c r="N5225" t="n">
        <v>0</v>
      </c>
      <c r="O5225" t="n">
        <v>0</v>
      </c>
      <c r="P5225" t="n">
        <v>0</v>
      </c>
      <c r="Q5225" t="n">
        <v>0</v>
      </c>
      <c r="R5225" s="2" t="inlineStr"/>
    </row>
    <row r="5226" ht="15" customHeight="1">
      <c r="A5226" t="inlineStr">
        <is>
          <t>A 9218-2024</t>
        </is>
      </c>
      <c r="B5226" s="1" t="n">
        <v>45358.51653935185</v>
      </c>
      <c r="C5226" s="1" t="n">
        <v>45952</v>
      </c>
      <c r="D5226" t="inlineStr">
        <is>
          <t>VÄSTRA GÖTALANDS LÄN</t>
        </is>
      </c>
      <c r="E5226" t="inlineStr">
        <is>
          <t>VARA</t>
        </is>
      </c>
      <c r="G5226" t="n">
        <v>1.3</v>
      </c>
      <c r="H5226" t="n">
        <v>0</v>
      </c>
      <c r="I5226" t="n">
        <v>0</v>
      </c>
      <c r="J5226" t="n">
        <v>0</v>
      </c>
      <c r="K5226" t="n">
        <v>0</v>
      </c>
      <c r="L5226" t="n">
        <v>0</v>
      </c>
      <c r="M5226" t="n">
        <v>0</v>
      </c>
      <c r="N5226" t="n">
        <v>0</v>
      </c>
      <c r="O5226" t="n">
        <v>0</v>
      </c>
      <c r="P5226" t="n">
        <v>0</v>
      </c>
      <c r="Q5226" t="n">
        <v>0</v>
      </c>
      <c r="R5226" s="2" t="inlineStr"/>
    </row>
    <row r="5227" ht="15" customHeight="1">
      <c r="A5227" t="inlineStr">
        <is>
          <t>A 7720-2024</t>
        </is>
      </c>
      <c r="B5227" s="1" t="n">
        <v>45349</v>
      </c>
      <c r="C5227" s="1" t="n">
        <v>45952</v>
      </c>
      <c r="D5227" t="inlineStr">
        <is>
          <t>VÄSTRA GÖTALANDS LÄN</t>
        </is>
      </c>
      <c r="E5227" t="inlineStr">
        <is>
          <t>MARK</t>
        </is>
      </c>
      <c r="G5227" t="n">
        <v>0.5</v>
      </c>
      <c r="H5227" t="n">
        <v>0</v>
      </c>
      <c r="I5227" t="n">
        <v>0</v>
      </c>
      <c r="J5227" t="n">
        <v>0</v>
      </c>
      <c r="K5227" t="n">
        <v>0</v>
      </c>
      <c r="L5227" t="n">
        <v>0</v>
      </c>
      <c r="M5227" t="n">
        <v>0</v>
      </c>
      <c r="N5227" t="n">
        <v>0</v>
      </c>
      <c r="O5227" t="n">
        <v>0</v>
      </c>
      <c r="P5227" t="n">
        <v>0</v>
      </c>
      <c r="Q5227" t="n">
        <v>0</v>
      </c>
      <c r="R5227" s="2" t="inlineStr"/>
    </row>
    <row r="5228" ht="15" customHeight="1">
      <c r="A5228" t="inlineStr">
        <is>
          <t>A 57281-2024</t>
        </is>
      </c>
      <c r="B5228" s="1" t="n">
        <v>45629.57923611111</v>
      </c>
      <c r="C5228" s="1" t="n">
        <v>45952</v>
      </c>
      <c r="D5228" t="inlineStr">
        <is>
          <t>VÄSTRA GÖTALANDS LÄN</t>
        </is>
      </c>
      <c r="E5228" t="inlineStr">
        <is>
          <t>SVENLJUNGA</t>
        </is>
      </c>
      <c r="G5228" t="n">
        <v>0.9</v>
      </c>
      <c r="H5228" t="n">
        <v>0</v>
      </c>
      <c r="I5228" t="n">
        <v>0</v>
      </c>
      <c r="J5228" t="n">
        <v>0</v>
      </c>
      <c r="K5228" t="n">
        <v>0</v>
      </c>
      <c r="L5228" t="n">
        <v>0</v>
      </c>
      <c r="M5228" t="n">
        <v>0</v>
      </c>
      <c r="N5228" t="n">
        <v>0</v>
      </c>
      <c r="O5228" t="n">
        <v>0</v>
      </c>
      <c r="P5228" t="n">
        <v>0</v>
      </c>
      <c r="Q5228" t="n">
        <v>0</v>
      </c>
      <c r="R5228" s="2" t="inlineStr"/>
    </row>
    <row r="5229" ht="15" customHeight="1">
      <c r="A5229" t="inlineStr">
        <is>
          <t>A 13276-2024</t>
        </is>
      </c>
      <c r="B5229" s="1" t="n">
        <v>45386</v>
      </c>
      <c r="C5229" s="1" t="n">
        <v>45952</v>
      </c>
      <c r="D5229" t="inlineStr">
        <is>
          <t>VÄSTRA GÖTALANDS LÄN</t>
        </is>
      </c>
      <c r="E5229" t="inlineStr">
        <is>
          <t>GÖTENE</t>
        </is>
      </c>
      <c r="G5229" t="n">
        <v>3.6</v>
      </c>
      <c r="H5229" t="n">
        <v>0</v>
      </c>
      <c r="I5229" t="n">
        <v>0</v>
      </c>
      <c r="J5229" t="n">
        <v>0</v>
      </c>
      <c r="K5229" t="n">
        <v>0</v>
      </c>
      <c r="L5229" t="n">
        <v>0</v>
      </c>
      <c r="M5229" t="n">
        <v>0</v>
      </c>
      <c r="N5229" t="n">
        <v>0</v>
      </c>
      <c r="O5229" t="n">
        <v>0</v>
      </c>
      <c r="P5229" t="n">
        <v>0</v>
      </c>
      <c r="Q5229" t="n">
        <v>0</v>
      </c>
      <c r="R5229" s="2" t="inlineStr"/>
    </row>
    <row r="5230" ht="15" customHeight="1">
      <c r="A5230" t="inlineStr">
        <is>
          <t>A 10907-2025</t>
        </is>
      </c>
      <c r="B5230" s="1" t="n">
        <v>45722.70744212963</v>
      </c>
      <c r="C5230" s="1" t="n">
        <v>45952</v>
      </c>
      <c r="D5230" t="inlineStr">
        <is>
          <t>VÄSTRA GÖTALANDS LÄN</t>
        </is>
      </c>
      <c r="E5230" t="inlineStr">
        <is>
          <t>DALS-ED</t>
        </is>
      </c>
      <c r="G5230" t="n">
        <v>19.8</v>
      </c>
      <c r="H5230" t="n">
        <v>0</v>
      </c>
      <c r="I5230" t="n">
        <v>0</v>
      </c>
      <c r="J5230" t="n">
        <v>0</v>
      </c>
      <c r="K5230" t="n">
        <v>0</v>
      </c>
      <c r="L5230" t="n">
        <v>0</v>
      </c>
      <c r="M5230" t="n">
        <v>0</v>
      </c>
      <c r="N5230" t="n">
        <v>0</v>
      </c>
      <c r="O5230" t="n">
        <v>0</v>
      </c>
      <c r="P5230" t="n">
        <v>0</v>
      </c>
      <c r="Q5230" t="n">
        <v>0</v>
      </c>
      <c r="R5230" s="2" t="inlineStr"/>
    </row>
    <row r="5231" ht="15" customHeight="1">
      <c r="A5231" t="inlineStr">
        <is>
          <t>A 2404-2025</t>
        </is>
      </c>
      <c r="B5231" s="1" t="n">
        <v>45674.35633101852</v>
      </c>
      <c r="C5231" s="1" t="n">
        <v>45952</v>
      </c>
      <c r="D5231" t="inlineStr">
        <is>
          <t>VÄSTRA GÖTALANDS LÄN</t>
        </is>
      </c>
      <c r="E5231" t="inlineStr">
        <is>
          <t>TROLLHÄTTAN</t>
        </is>
      </c>
      <c r="G5231" t="n">
        <v>9.9</v>
      </c>
      <c r="H5231" t="n">
        <v>0</v>
      </c>
      <c r="I5231" t="n">
        <v>0</v>
      </c>
      <c r="J5231" t="n">
        <v>0</v>
      </c>
      <c r="K5231" t="n">
        <v>0</v>
      </c>
      <c r="L5231" t="n">
        <v>0</v>
      </c>
      <c r="M5231" t="n">
        <v>0</v>
      </c>
      <c r="N5231" t="n">
        <v>0</v>
      </c>
      <c r="O5231" t="n">
        <v>0</v>
      </c>
      <c r="P5231" t="n">
        <v>0</v>
      </c>
      <c r="Q5231" t="n">
        <v>0</v>
      </c>
      <c r="R5231" s="2" t="inlineStr"/>
    </row>
    <row r="5232" ht="15" customHeight="1">
      <c r="A5232" t="inlineStr">
        <is>
          <t>A 61629-2024</t>
        </is>
      </c>
      <c r="B5232" s="1" t="n">
        <v>45646.66476851852</v>
      </c>
      <c r="C5232" s="1" t="n">
        <v>45952</v>
      </c>
      <c r="D5232" t="inlineStr">
        <is>
          <t>VÄSTRA GÖTALANDS LÄN</t>
        </is>
      </c>
      <c r="E5232" t="inlineStr">
        <is>
          <t>UDDEVALLA</t>
        </is>
      </c>
      <c r="G5232" t="n">
        <v>0.6</v>
      </c>
      <c r="H5232" t="n">
        <v>0</v>
      </c>
      <c r="I5232" t="n">
        <v>0</v>
      </c>
      <c r="J5232" t="n">
        <v>0</v>
      </c>
      <c r="K5232" t="n">
        <v>0</v>
      </c>
      <c r="L5232" t="n">
        <v>0</v>
      </c>
      <c r="M5232" t="n">
        <v>0</v>
      </c>
      <c r="N5232" t="n">
        <v>0</v>
      </c>
      <c r="O5232" t="n">
        <v>0</v>
      </c>
      <c r="P5232" t="n">
        <v>0</v>
      </c>
      <c r="Q5232" t="n">
        <v>0</v>
      </c>
      <c r="R5232" s="2" t="inlineStr"/>
    </row>
    <row r="5233" ht="15" customHeight="1">
      <c r="A5233" t="inlineStr">
        <is>
          <t>A 6727-2025</t>
        </is>
      </c>
      <c r="B5233" s="1" t="n">
        <v>45700.58743055556</v>
      </c>
      <c r="C5233" s="1" t="n">
        <v>45952</v>
      </c>
      <c r="D5233" t="inlineStr">
        <is>
          <t>VÄSTRA GÖTALANDS LÄN</t>
        </is>
      </c>
      <c r="E5233" t="inlineStr">
        <is>
          <t>MUNKEDAL</t>
        </is>
      </c>
      <c r="G5233" t="n">
        <v>8.1</v>
      </c>
      <c r="H5233" t="n">
        <v>0</v>
      </c>
      <c r="I5233" t="n">
        <v>0</v>
      </c>
      <c r="J5233" t="n">
        <v>0</v>
      </c>
      <c r="K5233" t="n">
        <v>0</v>
      </c>
      <c r="L5233" t="n">
        <v>0</v>
      </c>
      <c r="M5233" t="n">
        <v>0</v>
      </c>
      <c r="N5233" t="n">
        <v>0</v>
      </c>
      <c r="O5233" t="n">
        <v>0</v>
      </c>
      <c r="P5233" t="n">
        <v>0</v>
      </c>
      <c r="Q5233" t="n">
        <v>0</v>
      </c>
      <c r="R5233" s="2" t="inlineStr"/>
    </row>
    <row r="5234" ht="15" customHeight="1">
      <c r="A5234" t="inlineStr">
        <is>
          <t>A 480-2024</t>
        </is>
      </c>
      <c r="B5234" s="1" t="n">
        <v>45298.51369212963</v>
      </c>
      <c r="C5234" s="1" t="n">
        <v>45952</v>
      </c>
      <c r="D5234" t="inlineStr">
        <is>
          <t>VÄSTRA GÖTALANDS LÄN</t>
        </is>
      </c>
      <c r="E5234" t="inlineStr">
        <is>
          <t>HERRLJUNGA</t>
        </is>
      </c>
      <c r="G5234" t="n">
        <v>3.7</v>
      </c>
      <c r="H5234" t="n">
        <v>0</v>
      </c>
      <c r="I5234" t="n">
        <v>0</v>
      </c>
      <c r="J5234" t="n">
        <v>0</v>
      </c>
      <c r="K5234" t="n">
        <v>0</v>
      </c>
      <c r="L5234" t="n">
        <v>0</v>
      </c>
      <c r="M5234" t="n">
        <v>0</v>
      </c>
      <c r="N5234" t="n">
        <v>0</v>
      </c>
      <c r="O5234" t="n">
        <v>0</v>
      </c>
      <c r="P5234" t="n">
        <v>0</v>
      </c>
      <c r="Q5234" t="n">
        <v>0</v>
      </c>
      <c r="R5234" s="2" t="inlineStr"/>
    </row>
    <row r="5235" ht="15" customHeight="1">
      <c r="A5235" t="inlineStr">
        <is>
          <t>A 52297-2024</t>
        </is>
      </c>
      <c r="B5235" s="1" t="n">
        <v>45608.73481481482</v>
      </c>
      <c r="C5235" s="1" t="n">
        <v>45952</v>
      </c>
      <c r="D5235" t="inlineStr">
        <is>
          <t>VÄSTRA GÖTALANDS LÄN</t>
        </is>
      </c>
      <c r="E5235" t="inlineStr">
        <is>
          <t>ALINGSÅS</t>
        </is>
      </c>
      <c r="G5235" t="n">
        <v>0.6</v>
      </c>
      <c r="H5235" t="n">
        <v>0</v>
      </c>
      <c r="I5235" t="n">
        <v>0</v>
      </c>
      <c r="J5235" t="n">
        <v>0</v>
      </c>
      <c r="K5235" t="n">
        <v>0</v>
      </c>
      <c r="L5235" t="n">
        <v>0</v>
      </c>
      <c r="M5235" t="n">
        <v>0</v>
      </c>
      <c r="N5235" t="n">
        <v>0</v>
      </c>
      <c r="O5235" t="n">
        <v>0</v>
      </c>
      <c r="P5235" t="n">
        <v>0</v>
      </c>
      <c r="Q5235" t="n">
        <v>0</v>
      </c>
      <c r="R5235" s="2" t="inlineStr"/>
    </row>
    <row r="5236" ht="15" customHeight="1">
      <c r="A5236" t="inlineStr">
        <is>
          <t>A 52302-2024</t>
        </is>
      </c>
      <c r="B5236" s="1" t="n">
        <v>45608.74045138889</v>
      </c>
      <c r="C5236" s="1" t="n">
        <v>45952</v>
      </c>
      <c r="D5236" t="inlineStr">
        <is>
          <t>VÄSTRA GÖTALANDS LÄN</t>
        </is>
      </c>
      <c r="E5236" t="inlineStr">
        <is>
          <t>ALINGSÅS</t>
        </is>
      </c>
      <c r="G5236" t="n">
        <v>1.9</v>
      </c>
      <c r="H5236" t="n">
        <v>0</v>
      </c>
      <c r="I5236" t="n">
        <v>0</v>
      </c>
      <c r="J5236" t="n">
        <v>0</v>
      </c>
      <c r="K5236" t="n">
        <v>0</v>
      </c>
      <c r="L5236" t="n">
        <v>0</v>
      </c>
      <c r="M5236" t="n">
        <v>0</v>
      </c>
      <c r="N5236" t="n">
        <v>0</v>
      </c>
      <c r="O5236" t="n">
        <v>0</v>
      </c>
      <c r="P5236" t="n">
        <v>0</v>
      </c>
      <c r="Q5236" t="n">
        <v>0</v>
      </c>
      <c r="R5236" s="2" t="inlineStr"/>
    </row>
    <row r="5237" ht="15" customHeight="1">
      <c r="A5237" t="inlineStr">
        <is>
          <t>A 31337-2024</t>
        </is>
      </c>
      <c r="B5237" s="1" t="n">
        <v>45504</v>
      </c>
      <c r="C5237" s="1" t="n">
        <v>45952</v>
      </c>
      <c r="D5237" t="inlineStr">
        <is>
          <t>VÄSTRA GÖTALANDS LÄN</t>
        </is>
      </c>
      <c r="E5237" t="inlineStr">
        <is>
          <t>ÅMÅL</t>
        </is>
      </c>
      <c r="G5237" t="n">
        <v>6.2</v>
      </c>
      <c r="H5237" t="n">
        <v>0</v>
      </c>
      <c r="I5237" t="n">
        <v>0</v>
      </c>
      <c r="J5237" t="n">
        <v>0</v>
      </c>
      <c r="K5237" t="n">
        <v>0</v>
      </c>
      <c r="L5237" t="n">
        <v>0</v>
      </c>
      <c r="M5237" t="n">
        <v>0</v>
      </c>
      <c r="N5237" t="n">
        <v>0</v>
      </c>
      <c r="O5237" t="n">
        <v>0</v>
      </c>
      <c r="P5237" t="n">
        <v>0</v>
      </c>
      <c r="Q5237" t="n">
        <v>0</v>
      </c>
      <c r="R5237" s="2" t="inlineStr"/>
    </row>
    <row r="5238" ht="15" customHeight="1">
      <c r="A5238" t="inlineStr">
        <is>
          <t>A 989-2024</t>
        </is>
      </c>
      <c r="B5238" s="1" t="n">
        <v>45301</v>
      </c>
      <c r="C5238" s="1" t="n">
        <v>45952</v>
      </c>
      <c r="D5238" t="inlineStr">
        <is>
          <t>VÄSTRA GÖTALANDS LÄN</t>
        </is>
      </c>
      <c r="E5238" t="inlineStr">
        <is>
          <t>STRÖMSTAD</t>
        </is>
      </c>
      <c r="G5238" t="n">
        <v>1.5</v>
      </c>
      <c r="H5238" t="n">
        <v>0</v>
      </c>
      <c r="I5238" t="n">
        <v>0</v>
      </c>
      <c r="J5238" t="n">
        <v>0</v>
      </c>
      <c r="K5238" t="n">
        <v>0</v>
      </c>
      <c r="L5238" t="n">
        <v>0</v>
      </c>
      <c r="M5238" t="n">
        <v>0</v>
      </c>
      <c r="N5238" t="n">
        <v>0</v>
      </c>
      <c r="O5238" t="n">
        <v>0</v>
      </c>
      <c r="P5238" t="n">
        <v>0</v>
      </c>
      <c r="Q5238" t="n">
        <v>0</v>
      </c>
      <c r="R5238" s="2" t="inlineStr"/>
    </row>
    <row r="5239" ht="15" customHeight="1">
      <c r="A5239" t="inlineStr">
        <is>
          <t>A 1037-2024</t>
        </is>
      </c>
      <c r="B5239" s="1" t="n">
        <v>45301</v>
      </c>
      <c r="C5239" s="1" t="n">
        <v>45952</v>
      </c>
      <c r="D5239" t="inlineStr">
        <is>
          <t>VÄSTRA GÖTALANDS LÄN</t>
        </is>
      </c>
      <c r="E5239" t="inlineStr">
        <is>
          <t>TRANEMO</t>
        </is>
      </c>
      <c r="G5239" t="n">
        <v>0.5</v>
      </c>
      <c r="H5239" t="n">
        <v>0</v>
      </c>
      <c r="I5239" t="n">
        <v>0</v>
      </c>
      <c r="J5239" t="n">
        <v>0</v>
      </c>
      <c r="K5239" t="n">
        <v>0</v>
      </c>
      <c r="L5239" t="n">
        <v>0</v>
      </c>
      <c r="M5239" t="n">
        <v>0</v>
      </c>
      <c r="N5239" t="n">
        <v>0</v>
      </c>
      <c r="O5239" t="n">
        <v>0</v>
      </c>
      <c r="P5239" t="n">
        <v>0</v>
      </c>
      <c r="Q5239" t="n">
        <v>0</v>
      </c>
      <c r="R5239" s="2" t="inlineStr"/>
    </row>
    <row r="5240" ht="15" customHeight="1">
      <c r="A5240" t="inlineStr">
        <is>
          <t>A 39714-2024</t>
        </is>
      </c>
      <c r="B5240" s="1" t="n">
        <v>45552.60074074074</v>
      </c>
      <c r="C5240" s="1" t="n">
        <v>45952</v>
      </c>
      <c r="D5240" t="inlineStr">
        <is>
          <t>VÄSTRA GÖTALANDS LÄN</t>
        </is>
      </c>
      <c r="E5240" t="inlineStr">
        <is>
          <t>KUNGÄLV</t>
        </is>
      </c>
      <c r="G5240" t="n">
        <v>1.2</v>
      </c>
      <c r="H5240" t="n">
        <v>0</v>
      </c>
      <c r="I5240" t="n">
        <v>0</v>
      </c>
      <c r="J5240" t="n">
        <v>0</v>
      </c>
      <c r="K5240" t="n">
        <v>0</v>
      </c>
      <c r="L5240" t="n">
        <v>0</v>
      </c>
      <c r="M5240" t="n">
        <v>0</v>
      </c>
      <c r="N5240" t="n">
        <v>0</v>
      </c>
      <c r="O5240" t="n">
        <v>0</v>
      </c>
      <c r="P5240" t="n">
        <v>0</v>
      </c>
      <c r="Q5240" t="n">
        <v>0</v>
      </c>
      <c r="R5240" s="2" t="inlineStr"/>
    </row>
    <row r="5241" ht="15" customHeight="1">
      <c r="A5241" t="inlineStr">
        <is>
          <t>A 11770-2022</t>
        </is>
      </c>
      <c r="B5241" s="1" t="n">
        <v>44634</v>
      </c>
      <c r="C5241" s="1" t="n">
        <v>45952</v>
      </c>
      <c r="D5241" t="inlineStr">
        <is>
          <t>VÄSTRA GÖTALANDS LÄN</t>
        </is>
      </c>
      <c r="E5241" t="inlineStr">
        <is>
          <t>UDDEVALLA</t>
        </is>
      </c>
      <c r="G5241" t="n">
        <v>1.8</v>
      </c>
      <c r="H5241" t="n">
        <v>0</v>
      </c>
      <c r="I5241" t="n">
        <v>0</v>
      </c>
      <c r="J5241" t="n">
        <v>0</v>
      </c>
      <c r="K5241" t="n">
        <v>0</v>
      </c>
      <c r="L5241" t="n">
        <v>0</v>
      </c>
      <c r="M5241" t="n">
        <v>0</v>
      </c>
      <c r="N5241" t="n">
        <v>0</v>
      </c>
      <c r="O5241" t="n">
        <v>0</v>
      </c>
      <c r="P5241" t="n">
        <v>0</v>
      </c>
      <c r="Q5241" t="n">
        <v>0</v>
      </c>
      <c r="R5241" s="2" t="inlineStr"/>
    </row>
    <row r="5242" ht="15" customHeight="1">
      <c r="A5242" t="inlineStr">
        <is>
          <t>A 17705-2025</t>
        </is>
      </c>
      <c r="B5242" s="1" t="n">
        <v>45758.43197916666</v>
      </c>
      <c r="C5242" s="1" t="n">
        <v>45952</v>
      </c>
      <c r="D5242" t="inlineStr">
        <is>
          <t>VÄSTRA GÖTALANDS LÄN</t>
        </is>
      </c>
      <c r="E5242" t="inlineStr">
        <is>
          <t>SKARA</t>
        </is>
      </c>
      <c r="F5242" t="inlineStr">
        <is>
          <t>Sveaskog</t>
        </is>
      </c>
      <c r="G5242" t="n">
        <v>1.5</v>
      </c>
      <c r="H5242" t="n">
        <v>0</v>
      </c>
      <c r="I5242" t="n">
        <v>0</v>
      </c>
      <c r="J5242" t="n">
        <v>0</v>
      </c>
      <c r="K5242" t="n">
        <v>0</v>
      </c>
      <c r="L5242" t="n">
        <v>0</v>
      </c>
      <c r="M5242" t="n">
        <v>0</v>
      </c>
      <c r="N5242" t="n">
        <v>0</v>
      </c>
      <c r="O5242" t="n">
        <v>0</v>
      </c>
      <c r="P5242" t="n">
        <v>0</v>
      </c>
      <c r="Q5242" t="n">
        <v>0</v>
      </c>
      <c r="R5242" s="2" t="inlineStr"/>
    </row>
    <row r="5243" ht="15" customHeight="1">
      <c r="A5243" t="inlineStr">
        <is>
          <t>A 17709-2025</t>
        </is>
      </c>
      <c r="B5243" s="1" t="n">
        <v>45758.43493055556</v>
      </c>
      <c r="C5243" s="1" t="n">
        <v>45952</v>
      </c>
      <c r="D5243" t="inlineStr">
        <is>
          <t>VÄSTRA GÖTALANDS LÄN</t>
        </is>
      </c>
      <c r="E5243" t="inlineStr">
        <is>
          <t>SKARA</t>
        </is>
      </c>
      <c r="F5243" t="inlineStr">
        <is>
          <t>Sveaskog</t>
        </is>
      </c>
      <c r="G5243" t="n">
        <v>2.8</v>
      </c>
      <c r="H5243" t="n">
        <v>0</v>
      </c>
      <c r="I5243" t="n">
        <v>0</v>
      </c>
      <c r="J5243" t="n">
        <v>0</v>
      </c>
      <c r="K5243" t="n">
        <v>0</v>
      </c>
      <c r="L5243" t="n">
        <v>0</v>
      </c>
      <c r="M5243" t="n">
        <v>0</v>
      </c>
      <c r="N5243" t="n">
        <v>0</v>
      </c>
      <c r="O5243" t="n">
        <v>0</v>
      </c>
      <c r="P5243" t="n">
        <v>0</v>
      </c>
      <c r="Q5243" t="n">
        <v>0</v>
      </c>
      <c r="R5243" s="2" t="inlineStr"/>
    </row>
    <row r="5244" ht="15" customHeight="1">
      <c r="A5244" t="inlineStr">
        <is>
          <t>A 513-2022</t>
        </is>
      </c>
      <c r="B5244" s="1" t="n">
        <v>44566.54390046297</v>
      </c>
      <c r="C5244" s="1" t="n">
        <v>45952</v>
      </c>
      <c r="D5244" t="inlineStr">
        <is>
          <t>VÄSTRA GÖTALANDS LÄN</t>
        </is>
      </c>
      <c r="E5244" t="inlineStr">
        <is>
          <t>HERRLJUNGA</t>
        </is>
      </c>
      <c r="G5244" t="n">
        <v>1.7</v>
      </c>
      <c r="H5244" t="n">
        <v>0</v>
      </c>
      <c r="I5244" t="n">
        <v>0</v>
      </c>
      <c r="J5244" t="n">
        <v>0</v>
      </c>
      <c r="K5244" t="n">
        <v>0</v>
      </c>
      <c r="L5244" t="n">
        <v>0</v>
      </c>
      <c r="M5244" t="n">
        <v>0</v>
      </c>
      <c r="N5244" t="n">
        <v>0</v>
      </c>
      <c r="O5244" t="n">
        <v>0</v>
      </c>
      <c r="P5244" t="n">
        <v>0</v>
      </c>
      <c r="Q5244" t="n">
        <v>0</v>
      </c>
      <c r="R5244" s="2" t="inlineStr"/>
    </row>
    <row r="5245" ht="15" customHeight="1">
      <c r="A5245" t="inlineStr">
        <is>
          <t>A 61242-2024</t>
        </is>
      </c>
      <c r="B5245" s="1" t="n">
        <v>45645.68443287037</v>
      </c>
      <c r="C5245" s="1" t="n">
        <v>45952</v>
      </c>
      <c r="D5245" t="inlineStr">
        <is>
          <t>VÄSTRA GÖTALANDS LÄN</t>
        </is>
      </c>
      <c r="E5245" t="inlineStr">
        <is>
          <t>BENGTSFORS</t>
        </is>
      </c>
      <c r="G5245" t="n">
        <v>1</v>
      </c>
      <c r="H5245" t="n">
        <v>0</v>
      </c>
      <c r="I5245" t="n">
        <v>0</v>
      </c>
      <c r="J5245" t="n">
        <v>0</v>
      </c>
      <c r="K5245" t="n">
        <v>0</v>
      </c>
      <c r="L5245" t="n">
        <v>0</v>
      </c>
      <c r="M5245" t="n">
        <v>0</v>
      </c>
      <c r="N5245" t="n">
        <v>0</v>
      </c>
      <c r="O5245" t="n">
        <v>0</v>
      </c>
      <c r="P5245" t="n">
        <v>0</v>
      </c>
      <c r="Q5245" t="n">
        <v>0</v>
      </c>
      <c r="R5245" s="2" t="inlineStr"/>
    </row>
    <row r="5246" ht="15" customHeight="1">
      <c r="A5246" t="inlineStr">
        <is>
          <t>A 61250-2024</t>
        </is>
      </c>
      <c r="B5246" s="1" t="n">
        <v>45645.69521990741</v>
      </c>
      <c r="C5246" s="1" t="n">
        <v>45952</v>
      </c>
      <c r="D5246" t="inlineStr">
        <is>
          <t>VÄSTRA GÖTALANDS LÄN</t>
        </is>
      </c>
      <c r="E5246" t="inlineStr">
        <is>
          <t>STRÖMSTAD</t>
        </is>
      </c>
      <c r="G5246" t="n">
        <v>2.5</v>
      </c>
      <c r="H5246" t="n">
        <v>0</v>
      </c>
      <c r="I5246" t="n">
        <v>0</v>
      </c>
      <c r="J5246" t="n">
        <v>0</v>
      </c>
      <c r="K5246" t="n">
        <v>0</v>
      </c>
      <c r="L5246" t="n">
        <v>0</v>
      </c>
      <c r="M5246" t="n">
        <v>0</v>
      </c>
      <c r="N5246" t="n">
        <v>0</v>
      </c>
      <c r="O5246" t="n">
        <v>0</v>
      </c>
      <c r="P5246" t="n">
        <v>0</v>
      </c>
      <c r="Q5246" t="n">
        <v>0</v>
      </c>
      <c r="R5246" s="2" t="inlineStr"/>
    </row>
    <row r="5247" ht="15" customHeight="1">
      <c r="A5247" t="inlineStr">
        <is>
          <t>A 6509-2025</t>
        </is>
      </c>
      <c r="B5247" s="1" t="n">
        <v>45699.65163194444</v>
      </c>
      <c r="C5247" s="1" t="n">
        <v>45952</v>
      </c>
      <c r="D5247" t="inlineStr">
        <is>
          <t>VÄSTRA GÖTALANDS LÄN</t>
        </is>
      </c>
      <c r="E5247" t="inlineStr">
        <is>
          <t>LYSEKIL</t>
        </is>
      </c>
      <c r="G5247" t="n">
        <v>4.3</v>
      </c>
      <c r="H5247" t="n">
        <v>0</v>
      </c>
      <c r="I5247" t="n">
        <v>0</v>
      </c>
      <c r="J5247" t="n">
        <v>0</v>
      </c>
      <c r="K5247" t="n">
        <v>0</v>
      </c>
      <c r="L5247" t="n">
        <v>0</v>
      </c>
      <c r="M5247" t="n">
        <v>0</v>
      </c>
      <c r="N5247" t="n">
        <v>0</v>
      </c>
      <c r="O5247" t="n">
        <v>0</v>
      </c>
      <c r="P5247" t="n">
        <v>0</v>
      </c>
      <c r="Q5247" t="n">
        <v>0</v>
      </c>
      <c r="R5247" s="2" t="inlineStr"/>
    </row>
    <row r="5248" ht="15" customHeight="1">
      <c r="A5248" t="inlineStr">
        <is>
          <t>A 33221-2024</t>
        </is>
      </c>
      <c r="B5248" s="1" t="n">
        <v>45518.55730324074</v>
      </c>
      <c r="C5248" s="1" t="n">
        <v>45952</v>
      </c>
      <c r="D5248" t="inlineStr">
        <is>
          <t>VÄSTRA GÖTALANDS LÄN</t>
        </is>
      </c>
      <c r="E5248" t="inlineStr">
        <is>
          <t>ÅMÅL</t>
        </is>
      </c>
      <c r="G5248" t="n">
        <v>1.3</v>
      </c>
      <c r="H5248" t="n">
        <v>0</v>
      </c>
      <c r="I5248" t="n">
        <v>0</v>
      </c>
      <c r="J5248" t="n">
        <v>0</v>
      </c>
      <c r="K5248" t="n">
        <v>0</v>
      </c>
      <c r="L5248" t="n">
        <v>0</v>
      </c>
      <c r="M5248" t="n">
        <v>0</v>
      </c>
      <c r="N5248" t="n">
        <v>0</v>
      </c>
      <c r="O5248" t="n">
        <v>0</v>
      </c>
      <c r="P5248" t="n">
        <v>0</v>
      </c>
      <c r="Q5248" t="n">
        <v>0</v>
      </c>
      <c r="R5248" s="2" t="inlineStr"/>
    </row>
    <row r="5249" ht="15" customHeight="1">
      <c r="A5249" t="inlineStr">
        <is>
          <t>A 8185-2023</t>
        </is>
      </c>
      <c r="B5249" s="1" t="n">
        <v>44974.49958333333</v>
      </c>
      <c r="C5249" s="1" t="n">
        <v>45952</v>
      </c>
      <c r="D5249" t="inlineStr">
        <is>
          <t>VÄSTRA GÖTALANDS LÄN</t>
        </is>
      </c>
      <c r="E5249" t="inlineStr">
        <is>
          <t>FÄRGELANDA</t>
        </is>
      </c>
      <c r="G5249" t="n">
        <v>7.1</v>
      </c>
      <c r="H5249" t="n">
        <v>0</v>
      </c>
      <c r="I5249" t="n">
        <v>0</v>
      </c>
      <c r="J5249" t="n">
        <v>0</v>
      </c>
      <c r="K5249" t="n">
        <v>0</v>
      </c>
      <c r="L5249" t="n">
        <v>0</v>
      </c>
      <c r="M5249" t="n">
        <v>0</v>
      </c>
      <c r="N5249" t="n">
        <v>0</v>
      </c>
      <c r="O5249" t="n">
        <v>0</v>
      </c>
      <c r="P5249" t="n">
        <v>0</v>
      </c>
      <c r="Q5249" t="n">
        <v>0</v>
      </c>
      <c r="R5249" s="2" t="inlineStr"/>
    </row>
    <row r="5250" ht="15" customHeight="1">
      <c r="A5250" t="inlineStr">
        <is>
          <t>A 49322-2024</t>
        </is>
      </c>
      <c r="B5250" s="1" t="n">
        <v>45595.56956018518</v>
      </c>
      <c r="C5250" s="1" t="n">
        <v>45952</v>
      </c>
      <c r="D5250" t="inlineStr">
        <is>
          <t>VÄSTRA GÖTALANDS LÄN</t>
        </is>
      </c>
      <c r="E5250" t="inlineStr">
        <is>
          <t>TRANEMO</t>
        </is>
      </c>
      <c r="G5250" t="n">
        <v>1.3</v>
      </c>
      <c r="H5250" t="n">
        <v>0</v>
      </c>
      <c r="I5250" t="n">
        <v>0</v>
      </c>
      <c r="J5250" t="n">
        <v>0</v>
      </c>
      <c r="K5250" t="n">
        <v>0</v>
      </c>
      <c r="L5250" t="n">
        <v>0</v>
      </c>
      <c r="M5250" t="n">
        <v>0</v>
      </c>
      <c r="N5250" t="n">
        <v>0</v>
      </c>
      <c r="O5250" t="n">
        <v>0</v>
      </c>
      <c r="P5250" t="n">
        <v>0</v>
      </c>
      <c r="Q5250" t="n">
        <v>0</v>
      </c>
      <c r="R5250" s="2" t="inlineStr"/>
    </row>
    <row r="5251" ht="15" customHeight="1">
      <c r="A5251" t="inlineStr">
        <is>
          <t>A 17712-2025</t>
        </is>
      </c>
      <c r="B5251" s="1" t="n">
        <v>45758</v>
      </c>
      <c r="C5251" s="1" t="n">
        <v>45952</v>
      </c>
      <c r="D5251" t="inlineStr">
        <is>
          <t>VÄSTRA GÖTALANDS LÄN</t>
        </is>
      </c>
      <c r="E5251" t="inlineStr">
        <is>
          <t>GRÄSTORP</t>
        </is>
      </c>
      <c r="G5251" t="n">
        <v>1.2</v>
      </c>
      <c r="H5251" t="n">
        <v>0</v>
      </c>
      <c r="I5251" t="n">
        <v>0</v>
      </c>
      <c r="J5251" t="n">
        <v>0</v>
      </c>
      <c r="K5251" t="n">
        <v>0</v>
      </c>
      <c r="L5251" t="n">
        <v>0</v>
      </c>
      <c r="M5251" t="n">
        <v>0</v>
      </c>
      <c r="N5251" t="n">
        <v>0</v>
      </c>
      <c r="O5251" t="n">
        <v>0</v>
      </c>
      <c r="P5251" t="n">
        <v>0</v>
      </c>
      <c r="Q5251" t="n">
        <v>0</v>
      </c>
      <c r="R5251" s="2" t="inlineStr"/>
    </row>
    <row r="5252" ht="15" customHeight="1">
      <c r="A5252" t="inlineStr">
        <is>
          <t>A 55488-2022</t>
        </is>
      </c>
      <c r="B5252" s="1" t="n">
        <v>44887</v>
      </c>
      <c r="C5252" s="1" t="n">
        <v>45952</v>
      </c>
      <c r="D5252" t="inlineStr">
        <is>
          <t>VÄSTRA GÖTALANDS LÄN</t>
        </is>
      </c>
      <c r="E5252" t="inlineStr">
        <is>
          <t>ALE</t>
        </is>
      </c>
      <c r="G5252" t="n">
        <v>2.5</v>
      </c>
      <c r="H5252" t="n">
        <v>0</v>
      </c>
      <c r="I5252" t="n">
        <v>0</v>
      </c>
      <c r="J5252" t="n">
        <v>0</v>
      </c>
      <c r="K5252" t="n">
        <v>0</v>
      </c>
      <c r="L5252" t="n">
        <v>0</v>
      </c>
      <c r="M5252" t="n">
        <v>0</v>
      </c>
      <c r="N5252" t="n">
        <v>0</v>
      </c>
      <c r="O5252" t="n">
        <v>0</v>
      </c>
      <c r="P5252" t="n">
        <v>0</v>
      </c>
      <c r="Q5252" t="n">
        <v>0</v>
      </c>
      <c r="R5252" s="2" t="inlineStr"/>
    </row>
    <row r="5253" ht="15" customHeight="1">
      <c r="A5253" t="inlineStr">
        <is>
          <t>A 19674-2023</t>
        </is>
      </c>
      <c r="B5253" s="1" t="n">
        <v>45051.39313657407</v>
      </c>
      <c r="C5253" s="1" t="n">
        <v>45952</v>
      </c>
      <c r="D5253" t="inlineStr">
        <is>
          <t>VÄSTRA GÖTALANDS LÄN</t>
        </is>
      </c>
      <c r="E5253" t="inlineStr">
        <is>
          <t>GÖTENE</t>
        </is>
      </c>
      <c r="G5253" t="n">
        <v>0.7</v>
      </c>
      <c r="H5253" t="n">
        <v>0</v>
      </c>
      <c r="I5253" t="n">
        <v>0</v>
      </c>
      <c r="J5253" t="n">
        <v>0</v>
      </c>
      <c r="K5253" t="n">
        <v>0</v>
      </c>
      <c r="L5253" t="n">
        <v>0</v>
      </c>
      <c r="M5253" t="n">
        <v>0</v>
      </c>
      <c r="N5253" t="n">
        <v>0</v>
      </c>
      <c r="O5253" t="n">
        <v>0</v>
      </c>
      <c r="P5253" t="n">
        <v>0</v>
      </c>
      <c r="Q5253" t="n">
        <v>0</v>
      </c>
      <c r="R5253" s="2" t="inlineStr"/>
    </row>
    <row r="5254" ht="15" customHeight="1">
      <c r="A5254" t="inlineStr">
        <is>
          <t>A 2099-2024</t>
        </is>
      </c>
      <c r="B5254" s="1" t="n">
        <v>45309.45153935185</v>
      </c>
      <c r="C5254" s="1" t="n">
        <v>45952</v>
      </c>
      <c r="D5254" t="inlineStr">
        <is>
          <t>VÄSTRA GÖTALANDS LÄN</t>
        </is>
      </c>
      <c r="E5254" t="inlineStr">
        <is>
          <t>UDDEVALLA</t>
        </is>
      </c>
      <c r="G5254" t="n">
        <v>1.5</v>
      </c>
      <c r="H5254" t="n">
        <v>0</v>
      </c>
      <c r="I5254" t="n">
        <v>0</v>
      </c>
      <c r="J5254" t="n">
        <v>0</v>
      </c>
      <c r="K5254" t="n">
        <v>0</v>
      </c>
      <c r="L5254" t="n">
        <v>0</v>
      </c>
      <c r="M5254" t="n">
        <v>0</v>
      </c>
      <c r="N5254" t="n">
        <v>0</v>
      </c>
      <c r="O5254" t="n">
        <v>0</v>
      </c>
      <c r="P5254" t="n">
        <v>0</v>
      </c>
      <c r="Q5254" t="n">
        <v>0</v>
      </c>
      <c r="R5254" s="2" t="inlineStr"/>
    </row>
    <row r="5255" ht="15" customHeight="1">
      <c r="A5255" t="inlineStr">
        <is>
          <t>A 17507-2024</t>
        </is>
      </c>
      <c r="B5255" s="1" t="n">
        <v>45415.56604166667</v>
      </c>
      <c r="C5255" s="1" t="n">
        <v>45952</v>
      </c>
      <c r="D5255" t="inlineStr">
        <is>
          <t>VÄSTRA GÖTALANDS LÄN</t>
        </is>
      </c>
      <c r="E5255" t="inlineStr">
        <is>
          <t>ULRICEHAMN</t>
        </is>
      </c>
      <c r="G5255" t="n">
        <v>1.5</v>
      </c>
      <c r="H5255" t="n">
        <v>0</v>
      </c>
      <c r="I5255" t="n">
        <v>0</v>
      </c>
      <c r="J5255" t="n">
        <v>0</v>
      </c>
      <c r="K5255" t="n">
        <v>0</v>
      </c>
      <c r="L5255" t="n">
        <v>0</v>
      </c>
      <c r="M5255" t="n">
        <v>0</v>
      </c>
      <c r="N5255" t="n">
        <v>0</v>
      </c>
      <c r="O5255" t="n">
        <v>0</v>
      </c>
      <c r="P5255" t="n">
        <v>0</v>
      </c>
      <c r="Q5255" t="n">
        <v>0</v>
      </c>
      <c r="R5255" s="2" t="inlineStr"/>
    </row>
    <row r="5256" ht="15" customHeight="1">
      <c r="A5256" t="inlineStr">
        <is>
          <t>A 11721-2022</t>
        </is>
      </c>
      <c r="B5256" s="1" t="n">
        <v>44634</v>
      </c>
      <c r="C5256" s="1" t="n">
        <v>45952</v>
      </c>
      <c r="D5256" t="inlineStr">
        <is>
          <t>VÄSTRA GÖTALANDS LÄN</t>
        </is>
      </c>
      <c r="E5256" t="inlineStr">
        <is>
          <t>BENGTSFORS</t>
        </is>
      </c>
      <c r="G5256" t="n">
        <v>12.8</v>
      </c>
      <c r="H5256" t="n">
        <v>0</v>
      </c>
      <c r="I5256" t="n">
        <v>0</v>
      </c>
      <c r="J5256" t="n">
        <v>0</v>
      </c>
      <c r="K5256" t="n">
        <v>0</v>
      </c>
      <c r="L5256" t="n">
        <v>0</v>
      </c>
      <c r="M5256" t="n">
        <v>0</v>
      </c>
      <c r="N5256" t="n">
        <v>0</v>
      </c>
      <c r="O5256" t="n">
        <v>0</v>
      </c>
      <c r="P5256" t="n">
        <v>0</v>
      </c>
      <c r="Q5256" t="n">
        <v>0</v>
      </c>
      <c r="R5256" s="2" t="inlineStr"/>
    </row>
    <row r="5257" ht="15" customHeight="1">
      <c r="A5257" t="inlineStr">
        <is>
          <t>A 8213-2025</t>
        </is>
      </c>
      <c r="B5257" s="1" t="n">
        <v>45708.44587962963</v>
      </c>
      <c r="C5257" s="1" t="n">
        <v>45952</v>
      </c>
      <c r="D5257" t="inlineStr">
        <is>
          <t>VÄSTRA GÖTALANDS LÄN</t>
        </is>
      </c>
      <c r="E5257" t="inlineStr">
        <is>
          <t>ESSUNGA</t>
        </is>
      </c>
      <c r="G5257" t="n">
        <v>1.9</v>
      </c>
      <c r="H5257" t="n">
        <v>0</v>
      </c>
      <c r="I5257" t="n">
        <v>0</v>
      </c>
      <c r="J5257" t="n">
        <v>0</v>
      </c>
      <c r="K5257" t="n">
        <v>0</v>
      </c>
      <c r="L5257" t="n">
        <v>0</v>
      </c>
      <c r="M5257" t="n">
        <v>0</v>
      </c>
      <c r="N5257" t="n">
        <v>0</v>
      </c>
      <c r="O5257" t="n">
        <v>0</v>
      </c>
      <c r="P5257" t="n">
        <v>0</v>
      </c>
      <c r="Q5257" t="n">
        <v>0</v>
      </c>
      <c r="R5257" s="2" t="inlineStr"/>
    </row>
    <row r="5258" ht="15" customHeight="1">
      <c r="A5258" t="inlineStr">
        <is>
          <t>A 8608-2025</t>
        </is>
      </c>
      <c r="B5258" s="1" t="n">
        <v>45710.39645833334</v>
      </c>
      <c r="C5258" s="1" t="n">
        <v>45952</v>
      </c>
      <c r="D5258" t="inlineStr">
        <is>
          <t>VÄSTRA GÖTALANDS LÄN</t>
        </is>
      </c>
      <c r="E5258" t="inlineStr">
        <is>
          <t>ULRICEHAMN</t>
        </is>
      </c>
      <c r="G5258" t="n">
        <v>0.5</v>
      </c>
      <c r="H5258" t="n">
        <v>0</v>
      </c>
      <c r="I5258" t="n">
        <v>0</v>
      </c>
      <c r="J5258" t="n">
        <v>0</v>
      </c>
      <c r="K5258" t="n">
        <v>0</v>
      </c>
      <c r="L5258" t="n">
        <v>0</v>
      </c>
      <c r="M5258" t="n">
        <v>0</v>
      </c>
      <c r="N5258" t="n">
        <v>0</v>
      </c>
      <c r="O5258" t="n">
        <v>0</v>
      </c>
      <c r="P5258" t="n">
        <v>0</v>
      </c>
      <c r="Q5258" t="n">
        <v>0</v>
      </c>
      <c r="R5258" s="2" t="inlineStr"/>
    </row>
    <row r="5259" ht="15" customHeight="1">
      <c r="A5259" t="inlineStr">
        <is>
          <t>A 62603-2023</t>
        </is>
      </c>
      <c r="B5259" s="1" t="n">
        <v>45271</v>
      </c>
      <c r="C5259" s="1" t="n">
        <v>45952</v>
      </c>
      <c r="D5259" t="inlineStr">
        <is>
          <t>VÄSTRA GÖTALANDS LÄN</t>
        </is>
      </c>
      <c r="E5259" t="inlineStr">
        <is>
          <t>ALINGSÅS</t>
        </is>
      </c>
      <c r="F5259" t="inlineStr">
        <is>
          <t>Kyrkan</t>
        </is>
      </c>
      <c r="G5259" t="n">
        <v>4.9</v>
      </c>
      <c r="H5259" t="n">
        <v>0</v>
      </c>
      <c r="I5259" t="n">
        <v>0</v>
      </c>
      <c r="J5259" t="n">
        <v>0</v>
      </c>
      <c r="K5259" t="n">
        <v>0</v>
      </c>
      <c r="L5259" t="n">
        <v>0</v>
      </c>
      <c r="M5259" t="n">
        <v>0</v>
      </c>
      <c r="N5259" t="n">
        <v>0</v>
      </c>
      <c r="O5259" t="n">
        <v>0</v>
      </c>
      <c r="P5259" t="n">
        <v>0</v>
      </c>
      <c r="Q5259" t="n">
        <v>0</v>
      </c>
      <c r="R5259" s="2" t="inlineStr"/>
    </row>
    <row r="5260" ht="15" customHeight="1">
      <c r="A5260" t="inlineStr">
        <is>
          <t>A 38587-2025</t>
        </is>
      </c>
      <c r="B5260" s="1" t="n">
        <v>45884.47306712963</v>
      </c>
      <c r="C5260" s="1" t="n">
        <v>45952</v>
      </c>
      <c r="D5260" t="inlineStr">
        <is>
          <t>VÄSTRA GÖTALANDS LÄN</t>
        </is>
      </c>
      <c r="E5260" t="inlineStr">
        <is>
          <t>MARK</t>
        </is>
      </c>
      <c r="G5260" t="n">
        <v>0.5</v>
      </c>
      <c r="H5260" t="n">
        <v>0</v>
      </c>
      <c r="I5260" t="n">
        <v>0</v>
      </c>
      <c r="J5260" t="n">
        <v>0</v>
      </c>
      <c r="K5260" t="n">
        <v>0</v>
      </c>
      <c r="L5260" t="n">
        <v>0</v>
      </c>
      <c r="M5260" t="n">
        <v>0</v>
      </c>
      <c r="N5260" t="n">
        <v>0</v>
      </c>
      <c r="O5260" t="n">
        <v>0</v>
      </c>
      <c r="P5260" t="n">
        <v>0</v>
      </c>
      <c r="Q5260" t="n">
        <v>0</v>
      </c>
      <c r="R5260" s="2" t="inlineStr"/>
    </row>
    <row r="5261" ht="15" customHeight="1">
      <c r="A5261" t="inlineStr">
        <is>
          <t>A 30993-2022</t>
        </is>
      </c>
      <c r="B5261" s="1" t="n">
        <v>44768</v>
      </c>
      <c r="C5261" s="1" t="n">
        <v>45952</v>
      </c>
      <c r="D5261" t="inlineStr">
        <is>
          <t>VÄSTRA GÖTALANDS LÄN</t>
        </is>
      </c>
      <c r="E5261" t="inlineStr">
        <is>
          <t>FÄRGELANDA</t>
        </is>
      </c>
      <c r="G5261" t="n">
        <v>4.4</v>
      </c>
      <c r="H5261" t="n">
        <v>0</v>
      </c>
      <c r="I5261" t="n">
        <v>0</v>
      </c>
      <c r="J5261" t="n">
        <v>0</v>
      </c>
      <c r="K5261" t="n">
        <v>0</v>
      </c>
      <c r="L5261" t="n">
        <v>0</v>
      </c>
      <c r="M5261" t="n">
        <v>0</v>
      </c>
      <c r="N5261" t="n">
        <v>0</v>
      </c>
      <c r="O5261" t="n">
        <v>0</v>
      </c>
      <c r="P5261" t="n">
        <v>0</v>
      </c>
      <c r="Q5261" t="n">
        <v>0</v>
      </c>
      <c r="R5261" s="2" t="inlineStr"/>
    </row>
    <row r="5262" ht="15" customHeight="1">
      <c r="A5262" t="inlineStr">
        <is>
          <t>A 1566-2023</t>
        </is>
      </c>
      <c r="B5262" s="1" t="n">
        <v>44937.60599537037</v>
      </c>
      <c r="C5262" s="1" t="n">
        <v>45952</v>
      </c>
      <c r="D5262" t="inlineStr">
        <is>
          <t>VÄSTRA GÖTALANDS LÄN</t>
        </is>
      </c>
      <c r="E5262" t="inlineStr">
        <is>
          <t>SKARA</t>
        </is>
      </c>
      <c r="G5262" t="n">
        <v>1.1</v>
      </c>
      <c r="H5262" t="n">
        <v>0</v>
      </c>
      <c r="I5262" t="n">
        <v>0</v>
      </c>
      <c r="J5262" t="n">
        <v>0</v>
      </c>
      <c r="K5262" t="n">
        <v>0</v>
      </c>
      <c r="L5262" t="n">
        <v>0</v>
      </c>
      <c r="M5262" t="n">
        <v>0</v>
      </c>
      <c r="N5262" t="n">
        <v>0</v>
      </c>
      <c r="O5262" t="n">
        <v>0</v>
      </c>
      <c r="P5262" t="n">
        <v>0</v>
      </c>
      <c r="Q5262" t="n">
        <v>0</v>
      </c>
      <c r="R5262" s="2" t="inlineStr"/>
    </row>
    <row r="5263" ht="15" customHeight="1">
      <c r="A5263" t="inlineStr">
        <is>
          <t>A 5152-2024</t>
        </is>
      </c>
      <c r="B5263" s="1" t="n">
        <v>45330.49232638889</v>
      </c>
      <c r="C5263" s="1" t="n">
        <v>45952</v>
      </c>
      <c r="D5263" t="inlineStr">
        <is>
          <t>VÄSTRA GÖTALANDS LÄN</t>
        </is>
      </c>
      <c r="E5263" t="inlineStr">
        <is>
          <t>VÅRGÅRDA</t>
        </is>
      </c>
      <c r="G5263" t="n">
        <v>0.7</v>
      </c>
      <c r="H5263" t="n">
        <v>0</v>
      </c>
      <c r="I5263" t="n">
        <v>0</v>
      </c>
      <c r="J5263" t="n">
        <v>0</v>
      </c>
      <c r="K5263" t="n">
        <v>0</v>
      </c>
      <c r="L5263" t="n">
        <v>0</v>
      </c>
      <c r="M5263" t="n">
        <v>0</v>
      </c>
      <c r="N5263" t="n">
        <v>0</v>
      </c>
      <c r="O5263" t="n">
        <v>0</v>
      </c>
      <c r="P5263" t="n">
        <v>0</v>
      </c>
      <c r="Q5263" t="n">
        <v>0</v>
      </c>
      <c r="R5263" s="2" t="inlineStr"/>
    </row>
    <row r="5264" ht="15" customHeight="1">
      <c r="A5264" t="inlineStr">
        <is>
          <t>A 61041-2024</t>
        </is>
      </c>
      <c r="B5264" s="1" t="n">
        <v>45645.47540509259</v>
      </c>
      <c r="C5264" s="1" t="n">
        <v>45952</v>
      </c>
      <c r="D5264" t="inlineStr">
        <is>
          <t>VÄSTRA GÖTALANDS LÄN</t>
        </is>
      </c>
      <c r="E5264" t="inlineStr">
        <is>
          <t>BENGTSFORS</t>
        </is>
      </c>
      <c r="G5264" t="n">
        <v>15.1</v>
      </c>
      <c r="H5264" t="n">
        <v>0</v>
      </c>
      <c r="I5264" t="n">
        <v>0</v>
      </c>
      <c r="J5264" t="n">
        <v>0</v>
      </c>
      <c r="K5264" t="n">
        <v>0</v>
      </c>
      <c r="L5264" t="n">
        <v>0</v>
      </c>
      <c r="M5264" t="n">
        <v>0</v>
      </c>
      <c r="N5264" t="n">
        <v>0</v>
      </c>
      <c r="O5264" t="n">
        <v>0</v>
      </c>
      <c r="P5264" t="n">
        <v>0</v>
      </c>
      <c r="Q5264" t="n">
        <v>0</v>
      </c>
      <c r="R5264" s="2" t="inlineStr"/>
    </row>
    <row r="5265" ht="15" customHeight="1">
      <c r="A5265" t="inlineStr">
        <is>
          <t>A 9532-2022</t>
        </is>
      </c>
      <c r="B5265" s="1" t="n">
        <v>44617</v>
      </c>
      <c r="C5265" s="1" t="n">
        <v>45952</v>
      </c>
      <c r="D5265" t="inlineStr">
        <is>
          <t>VÄSTRA GÖTALANDS LÄN</t>
        </is>
      </c>
      <c r="E5265" t="inlineStr">
        <is>
          <t>SVENLJUNGA</t>
        </is>
      </c>
      <c r="G5265" t="n">
        <v>1.2</v>
      </c>
      <c r="H5265" t="n">
        <v>0</v>
      </c>
      <c r="I5265" t="n">
        <v>0</v>
      </c>
      <c r="J5265" t="n">
        <v>0</v>
      </c>
      <c r="K5265" t="n">
        <v>0</v>
      </c>
      <c r="L5265" t="n">
        <v>0</v>
      </c>
      <c r="M5265" t="n">
        <v>0</v>
      </c>
      <c r="N5265" t="n">
        <v>0</v>
      </c>
      <c r="O5265" t="n">
        <v>0</v>
      </c>
      <c r="P5265" t="n">
        <v>0</v>
      </c>
      <c r="Q5265" t="n">
        <v>0</v>
      </c>
      <c r="R5265" s="2" t="inlineStr"/>
    </row>
    <row r="5266" ht="15" customHeight="1">
      <c r="A5266" t="inlineStr">
        <is>
          <t>A 41318-2022</t>
        </is>
      </c>
      <c r="B5266" s="1" t="n">
        <v>44826</v>
      </c>
      <c r="C5266" s="1" t="n">
        <v>45952</v>
      </c>
      <c r="D5266" t="inlineStr">
        <is>
          <t>VÄSTRA GÖTALANDS LÄN</t>
        </is>
      </c>
      <c r="E5266" t="inlineStr">
        <is>
          <t>HÄRRYDA</t>
        </is>
      </c>
      <c r="G5266" t="n">
        <v>11.5</v>
      </c>
      <c r="H5266" t="n">
        <v>0</v>
      </c>
      <c r="I5266" t="n">
        <v>0</v>
      </c>
      <c r="J5266" t="n">
        <v>0</v>
      </c>
      <c r="K5266" t="n">
        <v>0</v>
      </c>
      <c r="L5266" t="n">
        <v>0</v>
      </c>
      <c r="M5266" t="n">
        <v>0</v>
      </c>
      <c r="N5266" t="n">
        <v>0</v>
      </c>
      <c r="O5266" t="n">
        <v>0</v>
      </c>
      <c r="P5266" t="n">
        <v>0</v>
      </c>
      <c r="Q5266" t="n">
        <v>0</v>
      </c>
      <c r="R5266" s="2" t="inlineStr"/>
    </row>
    <row r="5267" ht="15" customHeight="1">
      <c r="A5267" t="inlineStr">
        <is>
          <t>A 7191-2024</t>
        </is>
      </c>
      <c r="B5267" s="1" t="n">
        <v>45344</v>
      </c>
      <c r="C5267" s="1" t="n">
        <v>45952</v>
      </c>
      <c r="D5267" t="inlineStr">
        <is>
          <t>VÄSTRA GÖTALANDS LÄN</t>
        </is>
      </c>
      <c r="E5267" t="inlineStr">
        <is>
          <t>SVENLJUNGA</t>
        </is>
      </c>
      <c r="F5267" t="inlineStr">
        <is>
          <t>Kommuner</t>
        </is>
      </c>
      <c r="G5267" t="n">
        <v>1.1</v>
      </c>
      <c r="H5267" t="n">
        <v>0</v>
      </c>
      <c r="I5267" t="n">
        <v>0</v>
      </c>
      <c r="J5267" t="n">
        <v>0</v>
      </c>
      <c r="K5267" t="n">
        <v>0</v>
      </c>
      <c r="L5267" t="n">
        <v>0</v>
      </c>
      <c r="M5267" t="n">
        <v>0</v>
      </c>
      <c r="N5267" t="n">
        <v>0</v>
      </c>
      <c r="O5267" t="n">
        <v>0</v>
      </c>
      <c r="P5267" t="n">
        <v>0</v>
      </c>
      <c r="Q5267" t="n">
        <v>0</v>
      </c>
      <c r="R5267" s="2" t="inlineStr"/>
    </row>
    <row r="5268" ht="15" customHeight="1">
      <c r="A5268" t="inlineStr">
        <is>
          <t>A 7212-2024</t>
        </is>
      </c>
      <c r="B5268" s="1" t="n">
        <v>45344.62459490741</v>
      </c>
      <c r="C5268" s="1" t="n">
        <v>45952</v>
      </c>
      <c r="D5268" t="inlineStr">
        <is>
          <t>VÄSTRA GÖTALANDS LÄN</t>
        </is>
      </c>
      <c r="E5268" t="inlineStr">
        <is>
          <t>ULRICEHAMN</t>
        </is>
      </c>
      <c r="G5268" t="n">
        <v>3.3</v>
      </c>
      <c r="H5268" t="n">
        <v>0</v>
      </c>
      <c r="I5268" t="n">
        <v>0</v>
      </c>
      <c r="J5268" t="n">
        <v>0</v>
      </c>
      <c r="K5268" t="n">
        <v>0</v>
      </c>
      <c r="L5268" t="n">
        <v>0</v>
      </c>
      <c r="M5268" t="n">
        <v>0</v>
      </c>
      <c r="N5268" t="n">
        <v>0</v>
      </c>
      <c r="O5268" t="n">
        <v>0</v>
      </c>
      <c r="P5268" t="n">
        <v>0</v>
      </c>
      <c r="Q5268" t="n">
        <v>0</v>
      </c>
      <c r="R5268" s="2" t="inlineStr"/>
    </row>
    <row r="5269" ht="15" customHeight="1">
      <c r="A5269" t="inlineStr">
        <is>
          <t>A 45744-2024</t>
        </is>
      </c>
      <c r="B5269" s="1" t="n">
        <v>45579.62533564815</v>
      </c>
      <c r="C5269" s="1" t="n">
        <v>45952</v>
      </c>
      <c r="D5269" t="inlineStr">
        <is>
          <t>VÄSTRA GÖTALANDS LÄN</t>
        </is>
      </c>
      <c r="E5269" t="inlineStr">
        <is>
          <t>TANUM</t>
        </is>
      </c>
      <c r="G5269" t="n">
        <v>1.2</v>
      </c>
      <c r="H5269" t="n">
        <v>0</v>
      </c>
      <c r="I5269" t="n">
        <v>0</v>
      </c>
      <c r="J5269" t="n">
        <v>0</v>
      </c>
      <c r="K5269" t="n">
        <v>0</v>
      </c>
      <c r="L5269" t="n">
        <v>0</v>
      </c>
      <c r="M5269" t="n">
        <v>0</v>
      </c>
      <c r="N5269" t="n">
        <v>0</v>
      </c>
      <c r="O5269" t="n">
        <v>0</v>
      </c>
      <c r="P5269" t="n">
        <v>0</v>
      </c>
      <c r="Q5269" t="n">
        <v>0</v>
      </c>
      <c r="R5269" s="2" t="inlineStr"/>
    </row>
    <row r="5270" ht="15" customHeight="1">
      <c r="A5270" t="inlineStr">
        <is>
          <t>A 58573-2023</t>
        </is>
      </c>
      <c r="B5270" s="1" t="n">
        <v>45251</v>
      </c>
      <c r="C5270" s="1" t="n">
        <v>45952</v>
      </c>
      <c r="D5270" t="inlineStr">
        <is>
          <t>VÄSTRA GÖTALANDS LÄN</t>
        </is>
      </c>
      <c r="E5270" t="inlineStr">
        <is>
          <t>KARLSBORG</t>
        </is>
      </c>
      <c r="G5270" t="n">
        <v>2</v>
      </c>
      <c r="H5270" t="n">
        <v>0</v>
      </c>
      <c r="I5270" t="n">
        <v>0</v>
      </c>
      <c r="J5270" t="n">
        <v>0</v>
      </c>
      <c r="K5270" t="n">
        <v>0</v>
      </c>
      <c r="L5270" t="n">
        <v>0</v>
      </c>
      <c r="M5270" t="n">
        <v>0</v>
      </c>
      <c r="N5270" t="n">
        <v>0</v>
      </c>
      <c r="O5270" t="n">
        <v>0</v>
      </c>
      <c r="P5270" t="n">
        <v>0</v>
      </c>
      <c r="Q5270" t="n">
        <v>0</v>
      </c>
      <c r="R5270" s="2" t="inlineStr"/>
    </row>
    <row r="5271" ht="15" customHeight="1">
      <c r="A5271" t="inlineStr">
        <is>
          <t>A 4800-2025</t>
        </is>
      </c>
      <c r="B5271" s="1" t="n">
        <v>45688.59099537037</v>
      </c>
      <c r="C5271" s="1" t="n">
        <v>45952</v>
      </c>
      <c r="D5271" t="inlineStr">
        <is>
          <t>VÄSTRA GÖTALANDS LÄN</t>
        </is>
      </c>
      <c r="E5271" t="inlineStr">
        <is>
          <t>MARK</t>
        </is>
      </c>
      <c r="G5271" t="n">
        <v>5.1</v>
      </c>
      <c r="H5271" t="n">
        <v>0</v>
      </c>
      <c r="I5271" t="n">
        <v>0</v>
      </c>
      <c r="J5271" t="n">
        <v>0</v>
      </c>
      <c r="K5271" t="n">
        <v>0</v>
      </c>
      <c r="L5271" t="n">
        <v>0</v>
      </c>
      <c r="M5271" t="n">
        <v>0</v>
      </c>
      <c r="N5271" t="n">
        <v>0</v>
      </c>
      <c r="O5271" t="n">
        <v>0</v>
      </c>
      <c r="P5271" t="n">
        <v>0</v>
      </c>
      <c r="Q5271" t="n">
        <v>0</v>
      </c>
      <c r="R5271" s="2" t="inlineStr"/>
    </row>
    <row r="5272" ht="15" customHeight="1">
      <c r="A5272" t="inlineStr">
        <is>
          <t>A 10689-2021</t>
        </is>
      </c>
      <c r="B5272" s="1" t="n">
        <v>44258</v>
      </c>
      <c r="C5272" s="1" t="n">
        <v>45952</v>
      </c>
      <c r="D5272" t="inlineStr">
        <is>
          <t>VÄSTRA GÖTALANDS LÄN</t>
        </is>
      </c>
      <c r="E5272" t="inlineStr">
        <is>
          <t>ALINGSÅS</t>
        </is>
      </c>
      <c r="G5272" t="n">
        <v>1.2</v>
      </c>
      <c r="H5272" t="n">
        <v>0</v>
      </c>
      <c r="I5272" t="n">
        <v>0</v>
      </c>
      <c r="J5272" t="n">
        <v>0</v>
      </c>
      <c r="K5272" t="n">
        <v>0</v>
      </c>
      <c r="L5272" t="n">
        <v>0</v>
      </c>
      <c r="M5272" t="n">
        <v>0</v>
      </c>
      <c r="N5272" t="n">
        <v>0</v>
      </c>
      <c r="O5272" t="n">
        <v>0</v>
      </c>
      <c r="P5272" t="n">
        <v>0</v>
      </c>
      <c r="Q5272" t="n">
        <v>0</v>
      </c>
      <c r="R5272" s="2" t="inlineStr"/>
    </row>
    <row r="5273" ht="15" customHeight="1">
      <c r="A5273" t="inlineStr">
        <is>
          <t>A 11959-2024</t>
        </is>
      </c>
      <c r="B5273" s="1" t="n">
        <v>45376.7833912037</v>
      </c>
      <c r="C5273" s="1" t="n">
        <v>45952</v>
      </c>
      <c r="D5273" t="inlineStr">
        <is>
          <t>VÄSTRA GÖTALANDS LÄN</t>
        </is>
      </c>
      <c r="E5273" t="inlineStr">
        <is>
          <t>ULRICEHAMN</t>
        </is>
      </c>
      <c r="G5273" t="n">
        <v>3</v>
      </c>
      <c r="H5273" t="n">
        <v>0</v>
      </c>
      <c r="I5273" t="n">
        <v>0</v>
      </c>
      <c r="J5273" t="n">
        <v>0</v>
      </c>
      <c r="K5273" t="n">
        <v>0</v>
      </c>
      <c r="L5273" t="n">
        <v>0</v>
      </c>
      <c r="M5273" t="n">
        <v>0</v>
      </c>
      <c r="N5273" t="n">
        <v>0</v>
      </c>
      <c r="O5273" t="n">
        <v>0</v>
      </c>
      <c r="P5273" t="n">
        <v>0</v>
      </c>
      <c r="Q5273" t="n">
        <v>0</v>
      </c>
      <c r="R5273" s="2" t="inlineStr"/>
    </row>
    <row r="5274" ht="15" customHeight="1">
      <c r="A5274" t="inlineStr">
        <is>
          <t>A 6769-2024</t>
        </is>
      </c>
      <c r="B5274" s="1" t="n">
        <v>45342.49421296296</v>
      </c>
      <c r="C5274" s="1" t="n">
        <v>45952</v>
      </c>
      <c r="D5274" t="inlineStr">
        <is>
          <t>VÄSTRA GÖTALANDS LÄN</t>
        </is>
      </c>
      <c r="E5274" t="inlineStr">
        <is>
          <t>SVENLJUNGA</t>
        </is>
      </c>
      <c r="F5274" t="inlineStr">
        <is>
          <t>Sveaskog</t>
        </is>
      </c>
      <c r="G5274" t="n">
        <v>1.4</v>
      </c>
      <c r="H5274" t="n">
        <v>0</v>
      </c>
      <c r="I5274" t="n">
        <v>0</v>
      </c>
      <c r="J5274" t="n">
        <v>0</v>
      </c>
      <c r="K5274" t="n">
        <v>0</v>
      </c>
      <c r="L5274" t="n">
        <v>0</v>
      </c>
      <c r="M5274" t="n">
        <v>0</v>
      </c>
      <c r="N5274" t="n">
        <v>0</v>
      </c>
      <c r="O5274" t="n">
        <v>0</v>
      </c>
      <c r="P5274" t="n">
        <v>0</v>
      </c>
      <c r="Q5274" t="n">
        <v>0</v>
      </c>
      <c r="R5274" s="2" t="inlineStr"/>
    </row>
    <row r="5275" ht="15" customHeight="1">
      <c r="A5275" t="inlineStr">
        <is>
          <t>A 22953-2023</t>
        </is>
      </c>
      <c r="B5275" s="1" t="n">
        <v>45072</v>
      </c>
      <c r="C5275" s="1" t="n">
        <v>45952</v>
      </c>
      <c r="D5275" t="inlineStr">
        <is>
          <t>VÄSTRA GÖTALANDS LÄN</t>
        </is>
      </c>
      <c r="E5275" t="inlineStr">
        <is>
          <t>MÖLNDAL</t>
        </is>
      </c>
      <c r="G5275" t="n">
        <v>1.9</v>
      </c>
      <c r="H5275" t="n">
        <v>0</v>
      </c>
      <c r="I5275" t="n">
        <v>0</v>
      </c>
      <c r="J5275" t="n">
        <v>0</v>
      </c>
      <c r="K5275" t="n">
        <v>0</v>
      </c>
      <c r="L5275" t="n">
        <v>0</v>
      </c>
      <c r="M5275" t="n">
        <v>0</v>
      </c>
      <c r="N5275" t="n">
        <v>0</v>
      </c>
      <c r="O5275" t="n">
        <v>0</v>
      </c>
      <c r="P5275" t="n">
        <v>0</v>
      </c>
      <c r="Q5275" t="n">
        <v>0</v>
      </c>
      <c r="R5275" s="2" t="inlineStr"/>
    </row>
    <row r="5276" ht="15" customHeight="1">
      <c r="A5276" t="inlineStr">
        <is>
          <t>A 56541-2023</t>
        </is>
      </c>
      <c r="B5276" s="1" t="n">
        <v>45243.57956018519</v>
      </c>
      <c r="C5276" s="1" t="n">
        <v>45952</v>
      </c>
      <c r="D5276" t="inlineStr">
        <is>
          <t>VÄSTRA GÖTALANDS LÄN</t>
        </is>
      </c>
      <c r="E5276" t="inlineStr">
        <is>
          <t>KARLSBORG</t>
        </is>
      </c>
      <c r="F5276" t="inlineStr">
        <is>
          <t>Sveaskog</t>
        </is>
      </c>
      <c r="G5276" t="n">
        <v>1.9</v>
      </c>
      <c r="H5276" t="n">
        <v>0</v>
      </c>
      <c r="I5276" t="n">
        <v>0</v>
      </c>
      <c r="J5276" t="n">
        <v>0</v>
      </c>
      <c r="K5276" t="n">
        <v>0</v>
      </c>
      <c r="L5276" t="n">
        <v>0</v>
      </c>
      <c r="M5276" t="n">
        <v>0</v>
      </c>
      <c r="N5276" t="n">
        <v>0</v>
      </c>
      <c r="O5276" t="n">
        <v>0</v>
      </c>
      <c r="P5276" t="n">
        <v>0</v>
      </c>
      <c r="Q5276" t="n">
        <v>0</v>
      </c>
      <c r="R5276" s="2" t="inlineStr"/>
    </row>
    <row r="5277" ht="15" customHeight="1">
      <c r="A5277" t="inlineStr">
        <is>
          <t>A 47088-2022</t>
        </is>
      </c>
      <c r="B5277" s="1" t="n">
        <v>44852</v>
      </c>
      <c r="C5277" s="1" t="n">
        <v>45952</v>
      </c>
      <c r="D5277" t="inlineStr">
        <is>
          <t>VÄSTRA GÖTALANDS LÄN</t>
        </is>
      </c>
      <c r="E5277" t="inlineStr">
        <is>
          <t>TRANEMO</t>
        </is>
      </c>
      <c r="G5277" t="n">
        <v>3.3</v>
      </c>
      <c r="H5277" t="n">
        <v>0</v>
      </c>
      <c r="I5277" t="n">
        <v>0</v>
      </c>
      <c r="J5277" t="n">
        <v>0</v>
      </c>
      <c r="K5277" t="n">
        <v>0</v>
      </c>
      <c r="L5277" t="n">
        <v>0</v>
      </c>
      <c r="M5277" t="n">
        <v>0</v>
      </c>
      <c r="N5277" t="n">
        <v>0</v>
      </c>
      <c r="O5277" t="n">
        <v>0</v>
      </c>
      <c r="P5277" t="n">
        <v>0</v>
      </c>
      <c r="Q5277" t="n">
        <v>0</v>
      </c>
      <c r="R5277" s="2" t="inlineStr"/>
    </row>
    <row r="5278" ht="15" customHeight="1">
      <c r="A5278" t="inlineStr">
        <is>
          <t>A 44653-2023</t>
        </is>
      </c>
      <c r="B5278" s="1" t="n">
        <v>45189</v>
      </c>
      <c r="C5278" s="1" t="n">
        <v>45952</v>
      </c>
      <c r="D5278" t="inlineStr">
        <is>
          <t>VÄSTRA GÖTALANDS LÄN</t>
        </is>
      </c>
      <c r="E5278" t="inlineStr">
        <is>
          <t>DALS-ED</t>
        </is>
      </c>
      <c r="G5278" t="n">
        <v>0.6</v>
      </c>
      <c r="H5278" t="n">
        <v>0</v>
      </c>
      <c r="I5278" t="n">
        <v>0</v>
      </c>
      <c r="J5278" t="n">
        <v>0</v>
      </c>
      <c r="K5278" t="n">
        <v>0</v>
      </c>
      <c r="L5278" t="n">
        <v>0</v>
      </c>
      <c r="M5278" t="n">
        <v>0</v>
      </c>
      <c r="N5278" t="n">
        <v>0</v>
      </c>
      <c r="O5278" t="n">
        <v>0</v>
      </c>
      <c r="P5278" t="n">
        <v>0</v>
      </c>
      <c r="Q5278" t="n">
        <v>0</v>
      </c>
      <c r="R5278" s="2" t="inlineStr"/>
    </row>
    <row r="5279" ht="15" customHeight="1">
      <c r="A5279" t="inlineStr">
        <is>
          <t>A 31745-2023</t>
        </is>
      </c>
      <c r="B5279" s="1" t="n">
        <v>45117</v>
      </c>
      <c r="C5279" s="1" t="n">
        <v>45952</v>
      </c>
      <c r="D5279" t="inlineStr">
        <is>
          <t>VÄSTRA GÖTALANDS LÄN</t>
        </is>
      </c>
      <c r="E5279" t="inlineStr">
        <is>
          <t>BOLLEBYGD</t>
        </is>
      </c>
      <c r="G5279" t="n">
        <v>2.1</v>
      </c>
      <c r="H5279" t="n">
        <v>0</v>
      </c>
      <c r="I5279" t="n">
        <v>0</v>
      </c>
      <c r="J5279" t="n">
        <v>0</v>
      </c>
      <c r="K5279" t="n">
        <v>0</v>
      </c>
      <c r="L5279" t="n">
        <v>0</v>
      </c>
      <c r="M5279" t="n">
        <v>0</v>
      </c>
      <c r="N5279" t="n">
        <v>0</v>
      </c>
      <c r="O5279" t="n">
        <v>0</v>
      </c>
      <c r="P5279" t="n">
        <v>0</v>
      </c>
      <c r="Q5279" t="n">
        <v>0</v>
      </c>
      <c r="R5279" s="2" t="inlineStr"/>
    </row>
    <row r="5280" ht="15" customHeight="1">
      <c r="A5280" t="inlineStr">
        <is>
          <t>A 13571-2025</t>
        </is>
      </c>
      <c r="B5280" s="1" t="n">
        <v>45736.57563657407</v>
      </c>
      <c r="C5280" s="1" t="n">
        <v>45952</v>
      </c>
      <c r="D5280" t="inlineStr">
        <is>
          <t>VÄSTRA GÖTALANDS LÄN</t>
        </is>
      </c>
      <c r="E5280" t="inlineStr">
        <is>
          <t>HERRLJUNGA</t>
        </is>
      </c>
      <c r="G5280" t="n">
        <v>1.2</v>
      </c>
      <c r="H5280" t="n">
        <v>0</v>
      </c>
      <c r="I5280" t="n">
        <v>0</v>
      </c>
      <c r="J5280" t="n">
        <v>0</v>
      </c>
      <c r="K5280" t="n">
        <v>0</v>
      </c>
      <c r="L5280" t="n">
        <v>0</v>
      </c>
      <c r="M5280" t="n">
        <v>0</v>
      </c>
      <c r="N5280" t="n">
        <v>0</v>
      </c>
      <c r="O5280" t="n">
        <v>0</v>
      </c>
      <c r="P5280" t="n">
        <v>0</v>
      </c>
      <c r="Q5280" t="n">
        <v>0</v>
      </c>
      <c r="R5280" s="2" t="inlineStr"/>
    </row>
    <row r="5281" ht="15" customHeight="1">
      <c r="A5281" t="inlineStr">
        <is>
          <t>A 28866-2022</t>
        </is>
      </c>
      <c r="B5281" s="1" t="n">
        <v>44749.51043981482</v>
      </c>
      <c r="C5281" s="1" t="n">
        <v>45952</v>
      </c>
      <c r="D5281" t="inlineStr">
        <is>
          <t>VÄSTRA GÖTALANDS LÄN</t>
        </is>
      </c>
      <c r="E5281" t="inlineStr">
        <is>
          <t>ÅMÅL</t>
        </is>
      </c>
      <c r="G5281" t="n">
        <v>2</v>
      </c>
      <c r="H5281" t="n">
        <v>0</v>
      </c>
      <c r="I5281" t="n">
        <v>0</v>
      </c>
      <c r="J5281" t="n">
        <v>0</v>
      </c>
      <c r="K5281" t="n">
        <v>0</v>
      </c>
      <c r="L5281" t="n">
        <v>0</v>
      </c>
      <c r="M5281" t="n">
        <v>0</v>
      </c>
      <c r="N5281" t="n">
        <v>0</v>
      </c>
      <c r="O5281" t="n">
        <v>0</v>
      </c>
      <c r="P5281" t="n">
        <v>0</v>
      </c>
      <c r="Q5281" t="n">
        <v>0</v>
      </c>
      <c r="R5281" s="2" t="inlineStr"/>
    </row>
    <row r="5282" ht="15" customHeight="1">
      <c r="A5282" t="inlineStr">
        <is>
          <t>A 22925-2024</t>
        </is>
      </c>
      <c r="B5282" s="1" t="n">
        <v>45448</v>
      </c>
      <c r="C5282" s="1" t="n">
        <v>45952</v>
      </c>
      <c r="D5282" t="inlineStr">
        <is>
          <t>VÄSTRA GÖTALANDS LÄN</t>
        </is>
      </c>
      <c r="E5282" t="inlineStr">
        <is>
          <t>GULLSPÅNG</t>
        </is>
      </c>
      <c r="G5282" t="n">
        <v>6</v>
      </c>
      <c r="H5282" t="n">
        <v>0</v>
      </c>
      <c r="I5282" t="n">
        <v>0</v>
      </c>
      <c r="J5282" t="n">
        <v>0</v>
      </c>
      <c r="K5282" t="n">
        <v>0</v>
      </c>
      <c r="L5282" t="n">
        <v>0</v>
      </c>
      <c r="M5282" t="n">
        <v>0</v>
      </c>
      <c r="N5282" t="n">
        <v>0</v>
      </c>
      <c r="O5282" t="n">
        <v>0</v>
      </c>
      <c r="P5282" t="n">
        <v>0</v>
      </c>
      <c r="Q5282" t="n">
        <v>0</v>
      </c>
      <c r="R5282" s="2" t="inlineStr"/>
    </row>
    <row r="5283" ht="15" customHeight="1">
      <c r="A5283" t="inlineStr">
        <is>
          <t>A 61825-2021</t>
        </is>
      </c>
      <c r="B5283" s="1" t="n">
        <v>44501.79969907407</v>
      </c>
      <c r="C5283" s="1" t="n">
        <v>45952</v>
      </c>
      <c r="D5283" t="inlineStr">
        <is>
          <t>VÄSTRA GÖTALANDS LÄN</t>
        </is>
      </c>
      <c r="E5283" t="inlineStr">
        <is>
          <t>VÄNERSBORG</t>
        </is>
      </c>
      <c r="G5283" t="n">
        <v>1</v>
      </c>
      <c r="H5283" t="n">
        <v>0</v>
      </c>
      <c r="I5283" t="n">
        <v>0</v>
      </c>
      <c r="J5283" t="n">
        <v>0</v>
      </c>
      <c r="K5283" t="n">
        <v>0</v>
      </c>
      <c r="L5283" t="n">
        <v>0</v>
      </c>
      <c r="M5283" t="n">
        <v>0</v>
      </c>
      <c r="N5283" t="n">
        <v>0</v>
      </c>
      <c r="O5283" t="n">
        <v>0</v>
      </c>
      <c r="P5283" t="n">
        <v>0</v>
      </c>
      <c r="Q5283" t="n">
        <v>0</v>
      </c>
      <c r="R5283" s="2" t="inlineStr"/>
    </row>
    <row r="5284" ht="15" customHeight="1">
      <c r="A5284" t="inlineStr">
        <is>
          <t>A 61826-2021</t>
        </is>
      </c>
      <c r="B5284" s="1" t="n">
        <v>44501</v>
      </c>
      <c r="C5284" s="1" t="n">
        <v>45952</v>
      </c>
      <c r="D5284" t="inlineStr">
        <is>
          <t>VÄSTRA GÖTALANDS LÄN</t>
        </is>
      </c>
      <c r="E5284" t="inlineStr">
        <is>
          <t>VÄNERSBORG</t>
        </is>
      </c>
      <c r="G5284" t="n">
        <v>1.5</v>
      </c>
      <c r="H5284" t="n">
        <v>0</v>
      </c>
      <c r="I5284" t="n">
        <v>0</v>
      </c>
      <c r="J5284" t="n">
        <v>0</v>
      </c>
      <c r="K5284" t="n">
        <v>0</v>
      </c>
      <c r="L5284" t="n">
        <v>0</v>
      </c>
      <c r="M5284" t="n">
        <v>0</v>
      </c>
      <c r="N5284" t="n">
        <v>0</v>
      </c>
      <c r="O5284" t="n">
        <v>0</v>
      </c>
      <c r="P5284" t="n">
        <v>0</v>
      </c>
      <c r="Q5284" t="n">
        <v>0</v>
      </c>
      <c r="R5284" s="2" t="inlineStr"/>
    </row>
    <row r="5285" ht="15" customHeight="1">
      <c r="A5285" t="inlineStr">
        <is>
          <t>A 19009-2025</t>
        </is>
      </c>
      <c r="B5285" s="1" t="n">
        <v>45764</v>
      </c>
      <c r="C5285" s="1" t="n">
        <v>45952</v>
      </c>
      <c r="D5285" t="inlineStr">
        <is>
          <t>VÄSTRA GÖTALANDS LÄN</t>
        </is>
      </c>
      <c r="E5285" t="inlineStr">
        <is>
          <t>FALKÖPING</t>
        </is>
      </c>
      <c r="G5285" t="n">
        <v>3.3</v>
      </c>
      <c r="H5285" t="n">
        <v>0</v>
      </c>
      <c r="I5285" t="n">
        <v>0</v>
      </c>
      <c r="J5285" t="n">
        <v>0</v>
      </c>
      <c r="K5285" t="n">
        <v>0</v>
      </c>
      <c r="L5285" t="n">
        <v>0</v>
      </c>
      <c r="M5285" t="n">
        <v>0</v>
      </c>
      <c r="N5285" t="n">
        <v>0</v>
      </c>
      <c r="O5285" t="n">
        <v>0</v>
      </c>
      <c r="P5285" t="n">
        <v>0</v>
      </c>
      <c r="Q5285" t="n">
        <v>0</v>
      </c>
      <c r="R5285" s="2" t="inlineStr"/>
    </row>
    <row r="5286" ht="15" customHeight="1">
      <c r="A5286" t="inlineStr">
        <is>
          <t>A 19079-2025</t>
        </is>
      </c>
      <c r="B5286" s="1" t="n">
        <v>45766.61758101852</v>
      </c>
      <c r="C5286" s="1" t="n">
        <v>45952</v>
      </c>
      <c r="D5286" t="inlineStr">
        <is>
          <t>VÄSTRA GÖTALANDS LÄN</t>
        </is>
      </c>
      <c r="E5286" t="inlineStr">
        <is>
          <t>LILLA EDET</t>
        </is>
      </c>
      <c r="G5286" t="n">
        <v>2.1</v>
      </c>
      <c r="H5286" t="n">
        <v>0</v>
      </c>
      <c r="I5286" t="n">
        <v>0</v>
      </c>
      <c r="J5286" t="n">
        <v>0</v>
      </c>
      <c r="K5286" t="n">
        <v>0</v>
      </c>
      <c r="L5286" t="n">
        <v>0</v>
      </c>
      <c r="M5286" t="n">
        <v>0</v>
      </c>
      <c r="N5286" t="n">
        <v>0</v>
      </c>
      <c r="O5286" t="n">
        <v>0</v>
      </c>
      <c r="P5286" t="n">
        <v>0</v>
      </c>
      <c r="Q5286" t="n">
        <v>0</v>
      </c>
      <c r="R5286" s="2" t="inlineStr"/>
    </row>
    <row r="5287" ht="15" customHeight="1">
      <c r="A5287" t="inlineStr">
        <is>
          <t>A 60146-2022</t>
        </is>
      </c>
      <c r="B5287" s="1" t="n">
        <v>44902</v>
      </c>
      <c r="C5287" s="1" t="n">
        <v>45952</v>
      </c>
      <c r="D5287" t="inlineStr">
        <is>
          <t>VÄSTRA GÖTALANDS LÄN</t>
        </is>
      </c>
      <c r="E5287" t="inlineStr">
        <is>
          <t>DALS-ED</t>
        </is>
      </c>
      <c r="G5287" t="n">
        <v>1.5</v>
      </c>
      <c r="H5287" t="n">
        <v>0</v>
      </c>
      <c r="I5287" t="n">
        <v>0</v>
      </c>
      <c r="J5287" t="n">
        <v>0</v>
      </c>
      <c r="K5287" t="n">
        <v>0</v>
      </c>
      <c r="L5287" t="n">
        <v>0</v>
      </c>
      <c r="M5287" t="n">
        <v>0</v>
      </c>
      <c r="N5287" t="n">
        <v>0</v>
      </c>
      <c r="O5287" t="n">
        <v>0</v>
      </c>
      <c r="P5287" t="n">
        <v>0</v>
      </c>
      <c r="Q5287" t="n">
        <v>0</v>
      </c>
      <c r="R5287" s="2" t="inlineStr"/>
    </row>
    <row r="5288" ht="15" customHeight="1">
      <c r="A5288" t="inlineStr">
        <is>
          <t>A 17306-2022</t>
        </is>
      </c>
      <c r="B5288" s="1" t="n">
        <v>44678</v>
      </c>
      <c r="C5288" s="1" t="n">
        <v>45952</v>
      </c>
      <c r="D5288" t="inlineStr">
        <is>
          <t>VÄSTRA GÖTALANDS LÄN</t>
        </is>
      </c>
      <c r="E5288" t="inlineStr">
        <is>
          <t>ULRICEHAMN</t>
        </is>
      </c>
      <c r="G5288" t="n">
        <v>1.2</v>
      </c>
      <c r="H5288" t="n">
        <v>0</v>
      </c>
      <c r="I5288" t="n">
        <v>0</v>
      </c>
      <c r="J5288" t="n">
        <v>0</v>
      </c>
      <c r="K5288" t="n">
        <v>0</v>
      </c>
      <c r="L5288" t="n">
        <v>0</v>
      </c>
      <c r="M5288" t="n">
        <v>0</v>
      </c>
      <c r="N5288" t="n">
        <v>0</v>
      </c>
      <c r="O5288" t="n">
        <v>0</v>
      </c>
      <c r="P5288" t="n">
        <v>0</v>
      </c>
      <c r="Q5288" t="n">
        <v>0</v>
      </c>
      <c r="R5288" s="2" t="inlineStr"/>
    </row>
    <row r="5289" ht="15" customHeight="1">
      <c r="A5289" t="inlineStr">
        <is>
          <t>A 1907-2021</t>
        </is>
      </c>
      <c r="B5289" s="1" t="n">
        <v>44210</v>
      </c>
      <c r="C5289" s="1" t="n">
        <v>45952</v>
      </c>
      <c r="D5289" t="inlineStr">
        <is>
          <t>VÄSTRA GÖTALANDS LÄN</t>
        </is>
      </c>
      <c r="E5289" t="inlineStr">
        <is>
          <t>SVENLJUNGA</t>
        </is>
      </c>
      <c r="F5289" t="inlineStr">
        <is>
          <t>Kyrkan</t>
        </is>
      </c>
      <c r="G5289" t="n">
        <v>1</v>
      </c>
      <c r="H5289" t="n">
        <v>0</v>
      </c>
      <c r="I5289" t="n">
        <v>0</v>
      </c>
      <c r="J5289" t="n">
        <v>0</v>
      </c>
      <c r="K5289" t="n">
        <v>0</v>
      </c>
      <c r="L5289" t="n">
        <v>0</v>
      </c>
      <c r="M5289" t="n">
        <v>0</v>
      </c>
      <c r="N5289" t="n">
        <v>0</v>
      </c>
      <c r="O5289" t="n">
        <v>0</v>
      </c>
      <c r="P5289" t="n">
        <v>0</v>
      </c>
      <c r="Q5289" t="n">
        <v>0</v>
      </c>
      <c r="R5289" s="2" t="inlineStr"/>
    </row>
    <row r="5290" ht="15" customHeight="1">
      <c r="A5290" t="inlineStr">
        <is>
          <t>A 23762-2024</t>
        </is>
      </c>
      <c r="B5290" s="1" t="n">
        <v>45455.36590277778</v>
      </c>
      <c r="C5290" s="1" t="n">
        <v>45952</v>
      </c>
      <c r="D5290" t="inlineStr">
        <is>
          <t>VÄSTRA GÖTALANDS LÄN</t>
        </is>
      </c>
      <c r="E5290" t="inlineStr">
        <is>
          <t>STENUNGSUND</t>
        </is>
      </c>
      <c r="G5290" t="n">
        <v>2</v>
      </c>
      <c r="H5290" t="n">
        <v>0</v>
      </c>
      <c r="I5290" t="n">
        <v>0</v>
      </c>
      <c r="J5290" t="n">
        <v>0</v>
      </c>
      <c r="K5290" t="n">
        <v>0</v>
      </c>
      <c r="L5290" t="n">
        <v>0</v>
      </c>
      <c r="M5290" t="n">
        <v>0</v>
      </c>
      <c r="N5290" t="n">
        <v>0</v>
      </c>
      <c r="O5290" t="n">
        <v>0</v>
      </c>
      <c r="P5290" t="n">
        <v>0</v>
      </c>
      <c r="Q5290" t="n">
        <v>0</v>
      </c>
      <c r="R5290" s="2" t="inlineStr"/>
    </row>
    <row r="5291" ht="15" customHeight="1">
      <c r="A5291" t="inlineStr">
        <is>
          <t>A 37204-2024</t>
        </is>
      </c>
      <c r="B5291" s="1" t="n">
        <v>45539.67663194444</v>
      </c>
      <c r="C5291" s="1" t="n">
        <v>45952</v>
      </c>
      <c r="D5291" t="inlineStr">
        <is>
          <t>VÄSTRA GÖTALANDS LÄN</t>
        </is>
      </c>
      <c r="E5291" t="inlineStr">
        <is>
          <t>SKÖVDE</t>
        </is>
      </c>
      <c r="G5291" t="n">
        <v>0.8</v>
      </c>
      <c r="H5291" t="n">
        <v>0</v>
      </c>
      <c r="I5291" t="n">
        <v>0</v>
      </c>
      <c r="J5291" t="n">
        <v>0</v>
      </c>
      <c r="K5291" t="n">
        <v>0</v>
      </c>
      <c r="L5291" t="n">
        <v>0</v>
      </c>
      <c r="M5291" t="n">
        <v>0</v>
      </c>
      <c r="N5291" t="n">
        <v>0</v>
      </c>
      <c r="O5291" t="n">
        <v>0</v>
      </c>
      <c r="P5291" t="n">
        <v>0</v>
      </c>
      <c r="Q5291" t="n">
        <v>0</v>
      </c>
      <c r="R5291" s="2" t="inlineStr"/>
    </row>
    <row r="5292" ht="15" customHeight="1">
      <c r="A5292" t="inlineStr">
        <is>
          <t>A 42901-2024</t>
        </is>
      </c>
      <c r="B5292" s="1" t="n">
        <v>45566.87013888889</v>
      </c>
      <c r="C5292" s="1" t="n">
        <v>45952</v>
      </c>
      <c r="D5292" t="inlineStr">
        <is>
          <t>VÄSTRA GÖTALANDS LÄN</t>
        </is>
      </c>
      <c r="E5292" t="inlineStr">
        <is>
          <t>SVENLJUNGA</t>
        </is>
      </c>
      <c r="G5292" t="n">
        <v>5.4</v>
      </c>
      <c r="H5292" t="n">
        <v>0</v>
      </c>
      <c r="I5292" t="n">
        <v>0</v>
      </c>
      <c r="J5292" t="n">
        <v>0</v>
      </c>
      <c r="K5292" t="n">
        <v>0</v>
      </c>
      <c r="L5292" t="n">
        <v>0</v>
      </c>
      <c r="M5292" t="n">
        <v>0</v>
      </c>
      <c r="N5292" t="n">
        <v>0</v>
      </c>
      <c r="O5292" t="n">
        <v>0</v>
      </c>
      <c r="P5292" t="n">
        <v>0</v>
      </c>
      <c r="Q5292" t="n">
        <v>0</v>
      </c>
      <c r="R5292" s="2" t="inlineStr"/>
    </row>
    <row r="5293" ht="15" customHeight="1">
      <c r="A5293" t="inlineStr">
        <is>
          <t>A 1498-2021</t>
        </is>
      </c>
      <c r="B5293" s="1" t="n">
        <v>44209</v>
      </c>
      <c r="C5293" s="1" t="n">
        <v>45952</v>
      </c>
      <c r="D5293" t="inlineStr">
        <is>
          <t>VÄSTRA GÖTALANDS LÄN</t>
        </is>
      </c>
      <c r="E5293" t="inlineStr">
        <is>
          <t>BENGTSFORS</t>
        </is>
      </c>
      <c r="G5293" t="n">
        <v>21.6</v>
      </c>
      <c r="H5293" t="n">
        <v>0</v>
      </c>
      <c r="I5293" t="n">
        <v>0</v>
      </c>
      <c r="J5293" t="n">
        <v>0</v>
      </c>
      <c r="K5293" t="n">
        <v>0</v>
      </c>
      <c r="L5293" t="n">
        <v>0</v>
      </c>
      <c r="M5293" t="n">
        <v>0</v>
      </c>
      <c r="N5293" t="n">
        <v>0</v>
      </c>
      <c r="O5293" t="n">
        <v>0</v>
      </c>
      <c r="P5293" t="n">
        <v>0</v>
      </c>
      <c r="Q5293" t="n">
        <v>0</v>
      </c>
      <c r="R5293" s="2" t="inlineStr"/>
    </row>
    <row r="5294" ht="15" customHeight="1">
      <c r="A5294" t="inlineStr">
        <is>
          <t>A 46520-2023</t>
        </is>
      </c>
      <c r="B5294" s="1" t="n">
        <v>45197</v>
      </c>
      <c r="C5294" s="1" t="n">
        <v>45952</v>
      </c>
      <c r="D5294" t="inlineStr">
        <is>
          <t>VÄSTRA GÖTALANDS LÄN</t>
        </is>
      </c>
      <c r="E5294" t="inlineStr">
        <is>
          <t>HJO</t>
        </is>
      </c>
      <c r="G5294" t="n">
        <v>1.9</v>
      </c>
      <c r="H5294" t="n">
        <v>0</v>
      </c>
      <c r="I5294" t="n">
        <v>0</v>
      </c>
      <c r="J5294" t="n">
        <v>0</v>
      </c>
      <c r="K5294" t="n">
        <v>0</v>
      </c>
      <c r="L5294" t="n">
        <v>0</v>
      </c>
      <c r="M5294" t="n">
        <v>0</v>
      </c>
      <c r="N5294" t="n">
        <v>0</v>
      </c>
      <c r="O5294" t="n">
        <v>0</v>
      </c>
      <c r="P5294" t="n">
        <v>0</v>
      </c>
      <c r="Q5294" t="n">
        <v>0</v>
      </c>
      <c r="R5294" s="2" t="inlineStr"/>
    </row>
    <row r="5295" ht="15" customHeight="1">
      <c r="A5295" t="inlineStr">
        <is>
          <t>A 1322-2023</t>
        </is>
      </c>
      <c r="B5295" s="1" t="n">
        <v>44936.55232638889</v>
      </c>
      <c r="C5295" s="1" t="n">
        <v>45952</v>
      </c>
      <c r="D5295" t="inlineStr">
        <is>
          <t>VÄSTRA GÖTALANDS LÄN</t>
        </is>
      </c>
      <c r="E5295" t="inlineStr">
        <is>
          <t>MARK</t>
        </is>
      </c>
      <c r="G5295" t="n">
        <v>8</v>
      </c>
      <c r="H5295" t="n">
        <v>0</v>
      </c>
      <c r="I5295" t="n">
        <v>0</v>
      </c>
      <c r="J5295" t="n">
        <v>0</v>
      </c>
      <c r="K5295" t="n">
        <v>0</v>
      </c>
      <c r="L5295" t="n">
        <v>0</v>
      </c>
      <c r="M5295" t="n">
        <v>0</v>
      </c>
      <c r="N5295" t="n">
        <v>0</v>
      </c>
      <c r="O5295" t="n">
        <v>0</v>
      </c>
      <c r="P5295" t="n">
        <v>0</v>
      </c>
      <c r="Q5295" t="n">
        <v>0</v>
      </c>
      <c r="R5295" s="2" t="inlineStr"/>
    </row>
    <row r="5296" ht="15" customHeight="1">
      <c r="A5296" t="inlineStr">
        <is>
          <t>A 29596-2024</t>
        </is>
      </c>
      <c r="B5296" s="1" t="n">
        <v>45484</v>
      </c>
      <c r="C5296" s="1" t="n">
        <v>45952</v>
      </c>
      <c r="D5296" t="inlineStr">
        <is>
          <t>VÄSTRA GÖTALANDS LÄN</t>
        </is>
      </c>
      <c r="E5296" t="inlineStr">
        <is>
          <t>HJO</t>
        </is>
      </c>
      <c r="G5296" t="n">
        <v>0.8</v>
      </c>
      <c r="H5296" t="n">
        <v>0</v>
      </c>
      <c r="I5296" t="n">
        <v>0</v>
      </c>
      <c r="J5296" t="n">
        <v>0</v>
      </c>
      <c r="K5296" t="n">
        <v>0</v>
      </c>
      <c r="L5296" t="n">
        <v>0</v>
      </c>
      <c r="M5296" t="n">
        <v>0</v>
      </c>
      <c r="N5296" t="n">
        <v>0</v>
      </c>
      <c r="O5296" t="n">
        <v>0</v>
      </c>
      <c r="P5296" t="n">
        <v>0</v>
      </c>
      <c r="Q5296" t="n">
        <v>0</v>
      </c>
      <c r="R5296" s="2" t="inlineStr"/>
    </row>
    <row r="5297" ht="15" customHeight="1">
      <c r="A5297" t="inlineStr">
        <is>
          <t>A 31617-2021</t>
        </is>
      </c>
      <c r="B5297" s="1" t="n">
        <v>44369.58694444445</v>
      </c>
      <c r="C5297" s="1" t="n">
        <v>45952</v>
      </c>
      <c r="D5297" t="inlineStr">
        <is>
          <t>VÄSTRA GÖTALANDS LÄN</t>
        </is>
      </c>
      <c r="E5297" t="inlineStr">
        <is>
          <t>BOLLEBYGD</t>
        </is>
      </c>
      <c r="G5297" t="n">
        <v>3</v>
      </c>
      <c r="H5297" t="n">
        <v>0</v>
      </c>
      <c r="I5297" t="n">
        <v>0</v>
      </c>
      <c r="J5297" t="n">
        <v>0</v>
      </c>
      <c r="K5297" t="n">
        <v>0</v>
      </c>
      <c r="L5297" t="n">
        <v>0</v>
      </c>
      <c r="M5297" t="n">
        <v>0</v>
      </c>
      <c r="N5297" t="n">
        <v>0</v>
      </c>
      <c r="O5297" t="n">
        <v>0</v>
      </c>
      <c r="P5297" t="n">
        <v>0</v>
      </c>
      <c r="Q5297" t="n">
        <v>0</v>
      </c>
      <c r="R5297" s="2" t="inlineStr"/>
    </row>
    <row r="5298" ht="15" customHeight="1">
      <c r="A5298" t="inlineStr">
        <is>
          <t>A 28984-2024</t>
        </is>
      </c>
      <c r="B5298" s="1" t="n">
        <v>45481</v>
      </c>
      <c r="C5298" s="1" t="n">
        <v>45952</v>
      </c>
      <c r="D5298" t="inlineStr">
        <is>
          <t>VÄSTRA GÖTALANDS LÄN</t>
        </is>
      </c>
      <c r="E5298" t="inlineStr">
        <is>
          <t>TIDAHOLM</t>
        </is>
      </c>
      <c r="G5298" t="n">
        <v>1.2</v>
      </c>
      <c r="H5298" t="n">
        <v>0</v>
      </c>
      <c r="I5298" t="n">
        <v>0</v>
      </c>
      <c r="J5298" t="n">
        <v>0</v>
      </c>
      <c r="K5298" t="n">
        <v>0</v>
      </c>
      <c r="L5298" t="n">
        <v>0</v>
      </c>
      <c r="M5298" t="n">
        <v>0</v>
      </c>
      <c r="N5298" t="n">
        <v>0</v>
      </c>
      <c r="O5298" t="n">
        <v>0</v>
      </c>
      <c r="P5298" t="n">
        <v>0</v>
      </c>
      <c r="Q5298" t="n">
        <v>0</v>
      </c>
      <c r="R5298" s="2" t="inlineStr"/>
    </row>
    <row r="5299" ht="15" customHeight="1">
      <c r="A5299" t="inlineStr">
        <is>
          <t>A 1352-2023</t>
        </is>
      </c>
      <c r="B5299" s="1" t="n">
        <v>44931</v>
      </c>
      <c r="C5299" s="1" t="n">
        <v>45952</v>
      </c>
      <c r="D5299" t="inlineStr">
        <is>
          <t>VÄSTRA GÖTALANDS LÄN</t>
        </is>
      </c>
      <c r="E5299" t="inlineStr">
        <is>
          <t>GÖTENE</t>
        </is>
      </c>
      <c r="G5299" t="n">
        <v>1.8</v>
      </c>
      <c r="H5299" t="n">
        <v>0</v>
      </c>
      <c r="I5299" t="n">
        <v>0</v>
      </c>
      <c r="J5299" t="n">
        <v>0</v>
      </c>
      <c r="K5299" t="n">
        <v>0</v>
      </c>
      <c r="L5299" t="n">
        <v>0</v>
      </c>
      <c r="M5299" t="n">
        <v>0</v>
      </c>
      <c r="N5299" t="n">
        <v>0</v>
      </c>
      <c r="O5299" t="n">
        <v>0</v>
      </c>
      <c r="P5299" t="n">
        <v>0</v>
      </c>
      <c r="Q5299" t="n">
        <v>0</v>
      </c>
      <c r="R5299" s="2" t="inlineStr"/>
    </row>
    <row r="5300" ht="15" customHeight="1">
      <c r="A5300" t="inlineStr">
        <is>
          <t>A 3399-2024</t>
        </is>
      </c>
      <c r="B5300" s="1" t="n">
        <v>45318.60454861111</v>
      </c>
      <c r="C5300" s="1" t="n">
        <v>45952</v>
      </c>
      <c r="D5300" t="inlineStr">
        <is>
          <t>VÄSTRA GÖTALANDS LÄN</t>
        </is>
      </c>
      <c r="E5300" t="inlineStr">
        <is>
          <t>TROLLHÄTTAN</t>
        </is>
      </c>
      <c r="G5300" t="n">
        <v>1</v>
      </c>
      <c r="H5300" t="n">
        <v>0</v>
      </c>
      <c r="I5300" t="n">
        <v>0</v>
      </c>
      <c r="J5300" t="n">
        <v>0</v>
      </c>
      <c r="K5300" t="n">
        <v>0</v>
      </c>
      <c r="L5300" t="n">
        <v>0</v>
      </c>
      <c r="M5300" t="n">
        <v>0</v>
      </c>
      <c r="N5300" t="n">
        <v>0</v>
      </c>
      <c r="O5300" t="n">
        <v>0</v>
      </c>
      <c r="P5300" t="n">
        <v>0</v>
      </c>
      <c r="Q5300" t="n">
        <v>0</v>
      </c>
      <c r="R5300" s="2" t="inlineStr"/>
    </row>
    <row r="5301" ht="15" customHeight="1">
      <c r="A5301" t="inlineStr">
        <is>
          <t>A 3408-2024</t>
        </is>
      </c>
      <c r="B5301" s="1" t="n">
        <v>45319</v>
      </c>
      <c r="C5301" s="1" t="n">
        <v>45952</v>
      </c>
      <c r="D5301" t="inlineStr">
        <is>
          <t>VÄSTRA GÖTALANDS LÄN</t>
        </is>
      </c>
      <c r="E5301" t="inlineStr">
        <is>
          <t>LYSEKIL</t>
        </is>
      </c>
      <c r="G5301" t="n">
        <v>0.4</v>
      </c>
      <c r="H5301" t="n">
        <v>0</v>
      </c>
      <c r="I5301" t="n">
        <v>0</v>
      </c>
      <c r="J5301" t="n">
        <v>0</v>
      </c>
      <c r="K5301" t="n">
        <v>0</v>
      </c>
      <c r="L5301" t="n">
        <v>0</v>
      </c>
      <c r="M5301" t="n">
        <v>0</v>
      </c>
      <c r="N5301" t="n">
        <v>0</v>
      </c>
      <c r="O5301" t="n">
        <v>0</v>
      </c>
      <c r="P5301" t="n">
        <v>0</v>
      </c>
      <c r="Q5301" t="n">
        <v>0</v>
      </c>
      <c r="R5301" s="2" t="inlineStr"/>
    </row>
    <row r="5302" ht="15" customHeight="1">
      <c r="A5302" t="inlineStr">
        <is>
          <t>A 35435-2023</t>
        </is>
      </c>
      <c r="B5302" s="1" t="n">
        <v>45146.63164351852</v>
      </c>
      <c r="C5302" s="1" t="n">
        <v>45952</v>
      </c>
      <c r="D5302" t="inlineStr">
        <is>
          <t>VÄSTRA GÖTALANDS LÄN</t>
        </is>
      </c>
      <c r="E5302" t="inlineStr">
        <is>
          <t>GULLSPÅNG</t>
        </is>
      </c>
      <c r="G5302" t="n">
        <v>1.3</v>
      </c>
      <c r="H5302" t="n">
        <v>0</v>
      </c>
      <c r="I5302" t="n">
        <v>0</v>
      </c>
      <c r="J5302" t="n">
        <v>0</v>
      </c>
      <c r="K5302" t="n">
        <v>0</v>
      </c>
      <c r="L5302" t="n">
        <v>0</v>
      </c>
      <c r="M5302" t="n">
        <v>0</v>
      </c>
      <c r="N5302" t="n">
        <v>0</v>
      </c>
      <c r="O5302" t="n">
        <v>0</v>
      </c>
      <c r="P5302" t="n">
        <v>0</v>
      </c>
      <c r="Q5302" t="n">
        <v>0</v>
      </c>
      <c r="R5302" s="2" t="inlineStr"/>
    </row>
    <row r="5303" ht="15" customHeight="1">
      <c r="A5303" t="inlineStr">
        <is>
          <t>A 46009-2024</t>
        </is>
      </c>
      <c r="B5303" s="1" t="n">
        <v>45580.67303240741</v>
      </c>
      <c r="C5303" s="1" t="n">
        <v>45952</v>
      </c>
      <c r="D5303" t="inlineStr">
        <is>
          <t>VÄSTRA GÖTALANDS LÄN</t>
        </is>
      </c>
      <c r="E5303" t="inlineStr">
        <is>
          <t>TIDAHOLM</t>
        </is>
      </c>
      <c r="G5303" t="n">
        <v>0.7</v>
      </c>
      <c r="H5303" t="n">
        <v>0</v>
      </c>
      <c r="I5303" t="n">
        <v>0</v>
      </c>
      <c r="J5303" t="n">
        <v>0</v>
      </c>
      <c r="K5303" t="n">
        <v>0</v>
      </c>
      <c r="L5303" t="n">
        <v>0</v>
      </c>
      <c r="M5303" t="n">
        <v>0</v>
      </c>
      <c r="N5303" t="n">
        <v>0</v>
      </c>
      <c r="O5303" t="n">
        <v>0</v>
      </c>
      <c r="P5303" t="n">
        <v>0</v>
      </c>
      <c r="Q5303" t="n">
        <v>0</v>
      </c>
      <c r="R5303" s="2" t="inlineStr"/>
    </row>
    <row r="5304" ht="15" customHeight="1">
      <c r="A5304" t="inlineStr">
        <is>
          <t>A 13561-2024</t>
        </is>
      </c>
      <c r="B5304" s="1" t="n">
        <v>45388.79927083333</v>
      </c>
      <c r="C5304" s="1" t="n">
        <v>45952</v>
      </c>
      <c r="D5304" t="inlineStr">
        <is>
          <t>VÄSTRA GÖTALANDS LÄN</t>
        </is>
      </c>
      <c r="E5304" t="inlineStr">
        <is>
          <t>MUNKEDAL</t>
        </is>
      </c>
      <c r="G5304" t="n">
        <v>9.6</v>
      </c>
      <c r="H5304" t="n">
        <v>0</v>
      </c>
      <c r="I5304" t="n">
        <v>0</v>
      </c>
      <c r="J5304" t="n">
        <v>0</v>
      </c>
      <c r="K5304" t="n">
        <v>0</v>
      </c>
      <c r="L5304" t="n">
        <v>0</v>
      </c>
      <c r="M5304" t="n">
        <v>0</v>
      </c>
      <c r="N5304" t="n">
        <v>0</v>
      </c>
      <c r="O5304" t="n">
        <v>0</v>
      </c>
      <c r="P5304" t="n">
        <v>0</v>
      </c>
      <c r="Q5304" t="n">
        <v>0</v>
      </c>
      <c r="R5304" s="2" t="inlineStr"/>
    </row>
    <row r="5305" ht="15" customHeight="1">
      <c r="A5305" t="inlineStr">
        <is>
          <t>A 13586-2024</t>
        </is>
      </c>
      <c r="B5305" s="1" t="n">
        <v>45389.85628472222</v>
      </c>
      <c r="C5305" s="1" t="n">
        <v>45952</v>
      </c>
      <c r="D5305" t="inlineStr">
        <is>
          <t>VÄSTRA GÖTALANDS LÄN</t>
        </is>
      </c>
      <c r="E5305" t="inlineStr">
        <is>
          <t>STENUNGSUND</t>
        </is>
      </c>
      <c r="G5305" t="n">
        <v>0.8</v>
      </c>
      <c r="H5305" t="n">
        <v>0</v>
      </c>
      <c r="I5305" t="n">
        <v>0</v>
      </c>
      <c r="J5305" t="n">
        <v>0</v>
      </c>
      <c r="K5305" t="n">
        <v>0</v>
      </c>
      <c r="L5305" t="n">
        <v>0</v>
      </c>
      <c r="M5305" t="n">
        <v>0</v>
      </c>
      <c r="N5305" t="n">
        <v>0</v>
      </c>
      <c r="O5305" t="n">
        <v>0</v>
      </c>
      <c r="P5305" t="n">
        <v>0</v>
      </c>
      <c r="Q5305" t="n">
        <v>0</v>
      </c>
      <c r="R5305" s="2" t="inlineStr"/>
    </row>
    <row r="5306" ht="15" customHeight="1">
      <c r="A5306" t="inlineStr">
        <is>
          <t>A 7050-2022</t>
        </is>
      </c>
      <c r="B5306" s="1" t="n">
        <v>44603</v>
      </c>
      <c r="C5306" s="1" t="n">
        <v>45952</v>
      </c>
      <c r="D5306" t="inlineStr">
        <is>
          <t>VÄSTRA GÖTALANDS LÄN</t>
        </is>
      </c>
      <c r="E5306" t="inlineStr">
        <is>
          <t>MARK</t>
        </is>
      </c>
      <c r="G5306" t="n">
        <v>3.9</v>
      </c>
      <c r="H5306" t="n">
        <v>0</v>
      </c>
      <c r="I5306" t="n">
        <v>0</v>
      </c>
      <c r="J5306" t="n">
        <v>0</v>
      </c>
      <c r="K5306" t="n">
        <v>0</v>
      </c>
      <c r="L5306" t="n">
        <v>0</v>
      </c>
      <c r="M5306" t="n">
        <v>0</v>
      </c>
      <c r="N5306" t="n">
        <v>0</v>
      </c>
      <c r="O5306" t="n">
        <v>0</v>
      </c>
      <c r="P5306" t="n">
        <v>0</v>
      </c>
      <c r="Q5306" t="n">
        <v>0</v>
      </c>
      <c r="R5306" s="2" t="inlineStr"/>
    </row>
    <row r="5307" ht="15" customHeight="1">
      <c r="A5307" t="inlineStr">
        <is>
          <t>A 37152-2021</t>
        </is>
      </c>
      <c r="B5307" s="1" t="n">
        <v>44396</v>
      </c>
      <c r="C5307" s="1" t="n">
        <v>45952</v>
      </c>
      <c r="D5307" t="inlineStr">
        <is>
          <t>VÄSTRA GÖTALANDS LÄN</t>
        </is>
      </c>
      <c r="E5307" t="inlineStr">
        <is>
          <t>HERRLJUNGA</t>
        </is>
      </c>
      <c r="G5307" t="n">
        <v>0.5</v>
      </c>
      <c r="H5307" t="n">
        <v>0</v>
      </c>
      <c r="I5307" t="n">
        <v>0</v>
      </c>
      <c r="J5307" t="n">
        <v>0</v>
      </c>
      <c r="K5307" t="n">
        <v>0</v>
      </c>
      <c r="L5307" t="n">
        <v>0</v>
      </c>
      <c r="M5307" t="n">
        <v>0</v>
      </c>
      <c r="N5307" t="n">
        <v>0</v>
      </c>
      <c r="O5307" t="n">
        <v>0</v>
      </c>
      <c r="P5307" t="n">
        <v>0</v>
      </c>
      <c r="Q5307" t="n">
        <v>0</v>
      </c>
      <c r="R5307" s="2" t="inlineStr"/>
    </row>
    <row r="5308" ht="15" customHeight="1">
      <c r="A5308" t="inlineStr">
        <is>
          <t>A 7760-2025</t>
        </is>
      </c>
      <c r="B5308" s="1" t="n">
        <v>45706.54024305556</v>
      </c>
      <c r="C5308" s="1" t="n">
        <v>45952</v>
      </c>
      <c r="D5308" t="inlineStr">
        <is>
          <t>VÄSTRA GÖTALANDS LÄN</t>
        </is>
      </c>
      <c r="E5308" t="inlineStr">
        <is>
          <t>LIDKÖPING</t>
        </is>
      </c>
      <c r="G5308" t="n">
        <v>8.300000000000001</v>
      </c>
      <c r="H5308" t="n">
        <v>0</v>
      </c>
      <c r="I5308" t="n">
        <v>0</v>
      </c>
      <c r="J5308" t="n">
        <v>0</v>
      </c>
      <c r="K5308" t="n">
        <v>0</v>
      </c>
      <c r="L5308" t="n">
        <v>0</v>
      </c>
      <c r="M5308" t="n">
        <v>0</v>
      </c>
      <c r="N5308" t="n">
        <v>0</v>
      </c>
      <c r="O5308" t="n">
        <v>0</v>
      </c>
      <c r="P5308" t="n">
        <v>0</v>
      </c>
      <c r="Q5308" t="n">
        <v>0</v>
      </c>
      <c r="R5308" s="2" t="inlineStr"/>
    </row>
    <row r="5309" ht="15" customHeight="1">
      <c r="A5309" t="inlineStr">
        <is>
          <t>A 60812-2023</t>
        </is>
      </c>
      <c r="B5309" s="1" t="n">
        <v>45260</v>
      </c>
      <c r="C5309" s="1" t="n">
        <v>45952</v>
      </c>
      <c r="D5309" t="inlineStr">
        <is>
          <t>VÄSTRA GÖTALANDS LÄN</t>
        </is>
      </c>
      <c r="E5309" t="inlineStr">
        <is>
          <t>MARIESTAD</t>
        </is>
      </c>
      <c r="G5309" t="n">
        <v>2.3</v>
      </c>
      <c r="H5309" t="n">
        <v>0</v>
      </c>
      <c r="I5309" t="n">
        <v>0</v>
      </c>
      <c r="J5309" t="n">
        <v>0</v>
      </c>
      <c r="K5309" t="n">
        <v>0</v>
      </c>
      <c r="L5309" t="n">
        <v>0</v>
      </c>
      <c r="M5309" t="n">
        <v>0</v>
      </c>
      <c r="N5309" t="n">
        <v>0</v>
      </c>
      <c r="O5309" t="n">
        <v>0</v>
      </c>
      <c r="P5309" t="n">
        <v>0</v>
      </c>
      <c r="Q5309" t="n">
        <v>0</v>
      </c>
      <c r="R5309" s="2" t="inlineStr"/>
    </row>
    <row r="5310" ht="15" customHeight="1">
      <c r="A5310" t="inlineStr">
        <is>
          <t>A 12817-2024</t>
        </is>
      </c>
      <c r="B5310" s="1" t="n">
        <v>45384</v>
      </c>
      <c r="C5310" s="1" t="n">
        <v>45952</v>
      </c>
      <c r="D5310" t="inlineStr">
        <is>
          <t>VÄSTRA GÖTALANDS LÄN</t>
        </is>
      </c>
      <c r="E5310" t="inlineStr">
        <is>
          <t>SKÖVDE</t>
        </is>
      </c>
      <c r="G5310" t="n">
        <v>2</v>
      </c>
      <c r="H5310" t="n">
        <v>0</v>
      </c>
      <c r="I5310" t="n">
        <v>0</v>
      </c>
      <c r="J5310" t="n">
        <v>0</v>
      </c>
      <c r="K5310" t="n">
        <v>0</v>
      </c>
      <c r="L5310" t="n">
        <v>0</v>
      </c>
      <c r="M5310" t="n">
        <v>0</v>
      </c>
      <c r="N5310" t="n">
        <v>0</v>
      </c>
      <c r="O5310" t="n">
        <v>0</v>
      </c>
      <c r="P5310" t="n">
        <v>0</v>
      </c>
      <c r="Q5310" t="n">
        <v>0</v>
      </c>
      <c r="R5310" s="2" t="inlineStr"/>
    </row>
    <row r="5311" ht="15" customHeight="1">
      <c r="A5311" t="inlineStr">
        <is>
          <t>A 11402-2023</t>
        </is>
      </c>
      <c r="B5311" s="1" t="n">
        <v>44993.4881712963</v>
      </c>
      <c r="C5311" s="1" t="n">
        <v>45952</v>
      </c>
      <c r="D5311" t="inlineStr">
        <is>
          <t>VÄSTRA GÖTALANDS LÄN</t>
        </is>
      </c>
      <c r="E5311" t="inlineStr">
        <is>
          <t>ÅMÅL</t>
        </is>
      </c>
      <c r="G5311" t="n">
        <v>1.1</v>
      </c>
      <c r="H5311" t="n">
        <v>0</v>
      </c>
      <c r="I5311" t="n">
        <v>0</v>
      </c>
      <c r="J5311" t="n">
        <v>0</v>
      </c>
      <c r="K5311" t="n">
        <v>0</v>
      </c>
      <c r="L5311" t="n">
        <v>0</v>
      </c>
      <c r="M5311" t="n">
        <v>0</v>
      </c>
      <c r="N5311" t="n">
        <v>0</v>
      </c>
      <c r="O5311" t="n">
        <v>0</v>
      </c>
      <c r="P5311" t="n">
        <v>0</v>
      </c>
      <c r="Q5311" t="n">
        <v>0</v>
      </c>
      <c r="R5311" s="2" t="inlineStr"/>
    </row>
    <row r="5312" ht="15" customHeight="1">
      <c r="A5312" t="inlineStr">
        <is>
          <t>A 65586-2020</t>
        </is>
      </c>
      <c r="B5312" s="1" t="n">
        <v>44173</v>
      </c>
      <c r="C5312" s="1" t="n">
        <v>45952</v>
      </c>
      <c r="D5312" t="inlineStr">
        <is>
          <t>VÄSTRA GÖTALANDS LÄN</t>
        </is>
      </c>
      <c r="E5312" t="inlineStr">
        <is>
          <t>MARK</t>
        </is>
      </c>
      <c r="G5312" t="n">
        <v>2.5</v>
      </c>
      <c r="H5312" t="n">
        <v>0</v>
      </c>
      <c r="I5312" t="n">
        <v>0</v>
      </c>
      <c r="J5312" t="n">
        <v>0</v>
      </c>
      <c r="K5312" t="n">
        <v>0</v>
      </c>
      <c r="L5312" t="n">
        <v>0</v>
      </c>
      <c r="M5312" t="n">
        <v>0</v>
      </c>
      <c r="N5312" t="n">
        <v>0</v>
      </c>
      <c r="O5312" t="n">
        <v>0</v>
      </c>
      <c r="P5312" t="n">
        <v>0</v>
      </c>
      <c r="Q5312" t="n">
        <v>0</v>
      </c>
      <c r="R5312" s="2" t="inlineStr"/>
    </row>
    <row r="5313" ht="15" customHeight="1">
      <c r="A5313" t="inlineStr">
        <is>
          <t>A 60819-2023</t>
        </is>
      </c>
      <c r="B5313" s="1" t="n">
        <v>45260.73208333334</v>
      </c>
      <c r="C5313" s="1" t="n">
        <v>45952</v>
      </c>
      <c r="D5313" t="inlineStr">
        <is>
          <t>VÄSTRA GÖTALANDS LÄN</t>
        </is>
      </c>
      <c r="E5313" t="inlineStr">
        <is>
          <t>VARA</t>
        </is>
      </c>
      <c r="G5313" t="n">
        <v>3.1</v>
      </c>
      <c r="H5313" t="n">
        <v>0</v>
      </c>
      <c r="I5313" t="n">
        <v>0</v>
      </c>
      <c r="J5313" t="n">
        <v>0</v>
      </c>
      <c r="K5313" t="n">
        <v>0</v>
      </c>
      <c r="L5313" t="n">
        <v>0</v>
      </c>
      <c r="M5313" t="n">
        <v>0</v>
      </c>
      <c r="N5313" t="n">
        <v>0</v>
      </c>
      <c r="O5313" t="n">
        <v>0</v>
      </c>
      <c r="P5313" t="n">
        <v>0</v>
      </c>
      <c r="Q5313" t="n">
        <v>0</v>
      </c>
      <c r="R5313" s="2" t="inlineStr"/>
    </row>
    <row r="5314" ht="15" customHeight="1">
      <c r="A5314" t="inlineStr">
        <is>
          <t>A 23497-2023</t>
        </is>
      </c>
      <c r="B5314" s="1" t="n">
        <v>45072</v>
      </c>
      <c r="C5314" s="1" t="n">
        <v>45952</v>
      </c>
      <c r="D5314" t="inlineStr">
        <is>
          <t>VÄSTRA GÖTALANDS LÄN</t>
        </is>
      </c>
      <c r="E5314" t="inlineStr">
        <is>
          <t>LILLA EDET</t>
        </is>
      </c>
      <c r="F5314" t="inlineStr">
        <is>
          <t>Kyrkan</t>
        </is>
      </c>
      <c r="G5314" t="n">
        <v>1.6</v>
      </c>
      <c r="H5314" t="n">
        <v>0</v>
      </c>
      <c r="I5314" t="n">
        <v>0</v>
      </c>
      <c r="J5314" t="n">
        <v>0</v>
      </c>
      <c r="K5314" t="n">
        <v>0</v>
      </c>
      <c r="L5314" t="n">
        <v>0</v>
      </c>
      <c r="M5314" t="n">
        <v>0</v>
      </c>
      <c r="N5314" t="n">
        <v>0</v>
      </c>
      <c r="O5314" t="n">
        <v>0</v>
      </c>
      <c r="P5314" t="n">
        <v>0</v>
      </c>
      <c r="Q5314" t="n">
        <v>0</v>
      </c>
      <c r="R5314" s="2" t="inlineStr"/>
    </row>
    <row r="5315" ht="15" customHeight="1">
      <c r="A5315" t="inlineStr">
        <is>
          <t>A 50986-2021</t>
        </is>
      </c>
      <c r="B5315" s="1" t="n">
        <v>44460.71118055555</v>
      </c>
      <c r="C5315" s="1" t="n">
        <v>45952</v>
      </c>
      <c r="D5315" t="inlineStr">
        <is>
          <t>VÄSTRA GÖTALANDS LÄN</t>
        </is>
      </c>
      <c r="E5315" t="inlineStr">
        <is>
          <t>MARK</t>
        </is>
      </c>
      <c r="G5315" t="n">
        <v>1.2</v>
      </c>
      <c r="H5315" t="n">
        <v>0</v>
      </c>
      <c r="I5315" t="n">
        <v>0</v>
      </c>
      <c r="J5315" t="n">
        <v>0</v>
      </c>
      <c r="K5315" t="n">
        <v>0</v>
      </c>
      <c r="L5315" t="n">
        <v>0</v>
      </c>
      <c r="M5315" t="n">
        <v>0</v>
      </c>
      <c r="N5315" t="n">
        <v>0</v>
      </c>
      <c r="O5315" t="n">
        <v>0</v>
      </c>
      <c r="P5315" t="n">
        <v>0</v>
      </c>
      <c r="Q5315" t="n">
        <v>0</v>
      </c>
      <c r="R5315" s="2" t="inlineStr"/>
    </row>
    <row r="5316" ht="15" customHeight="1">
      <c r="A5316" t="inlineStr">
        <is>
          <t>A 9380-2025</t>
        </is>
      </c>
      <c r="B5316" s="1" t="n">
        <v>45715.34340277778</v>
      </c>
      <c r="C5316" s="1" t="n">
        <v>45952</v>
      </c>
      <c r="D5316" t="inlineStr">
        <is>
          <t>VÄSTRA GÖTALANDS LÄN</t>
        </is>
      </c>
      <c r="E5316" t="inlineStr">
        <is>
          <t>VARA</t>
        </is>
      </c>
      <c r="F5316" t="inlineStr">
        <is>
          <t>Kyrkan</t>
        </is>
      </c>
      <c r="G5316" t="n">
        <v>2</v>
      </c>
      <c r="H5316" t="n">
        <v>0</v>
      </c>
      <c r="I5316" t="n">
        <v>0</v>
      </c>
      <c r="J5316" t="n">
        <v>0</v>
      </c>
      <c r="K5316" t="n">
        <v>0</v>
      </c>
      <c r="L5316" t="n">
        <v>0</v>
      </c>
      <c r="M5316" t="n">
        <v>0</v>
      </c>
      <c r="N5316" t="n">
        <v>0</v>
      </c>
      <c r="O5316" t="n">
        <v>0</v>
      </c>
      <c r="P5316" t="n">
        <v>0</v>
      </c>
      <c r="Q5316" t="n">
        <v>0</v>
      </c>
      <c r="R5316" s="2" t="inlineStr"/>
    </row>
    <row r="5317" ht="15" customHeight="1">
      <c r="A5317" t="inlineStr">
        <is>
          <t>A 43614-2022</t>
        </is>
      </c>
      <c r="B5317" s="1" t="n">
        <v>44837</v>
      </c>
      <c r="C5317" s="1" t="n">
        <v>45952</v>
      </c>
      <c r="D5317" t="inlineStr">
        <is>
          <t>VÄSTRA GÖTALANDS LÄN</t>
        </is>
      </c>
      <c r="E5317" t="inlineStr">
        <is>
          <t>SVENLJUNGA</t>
        </is>
      </c>
      <c r="G5317" t="n">
        <v>2.8</v>
      </c>
      <c r="H5317" t="n">
        <v>0</v>
      </c>
      <c r="I5317" t="n">
        <v>0</v>
      </c>
      <c r="J5317" t="n">
        <v>0</v>
      </c>
      <c r="K5317" t="n">
        <v>0</v>
      </c>
      <c r="L5317" t="n">
        <v>0</v>
      </c>
      <c r="M5317" t="n">
        <v>0</v>
      </c>
      <c r="N5317" t="n">
        <v>0</v>
      </c>
      <c r="O5317" t="n">
        <v>0</v>
      </c>
      <c r="P5317" t="n">
        <v>0</v>
      </c>
      <c r="Q5317" t="n">
        <v>0</v>
      </c>
      <c r="R5317" s="2" t="inlineStr"/>
    </row>
    <row r="5318" ht="15" customHeight="1">
      <c r="A5318" t="inlineStr">
        <is>
          <t>A 16927-2021</t>
        </is>
      </c>
      <c r="B5318" s="1" t="n">
        <v>44295.51916666667</v>
      </c>
      <c r="C5318" s="1" t="n">
        <v>45952</v>
      </c>
      <c r="D5318" t="inlineStr">
        <is>
          <t>VÄSTRA GÖTALANDS LÄN</t>
        </is>
      </c>
      <c r="E5318" t="inlineStr">
        <is>
          <t>HERRLJUNGA</t>
        </is>
      </c>
      <c r="G5318" t="n">
        <v>2.1</v>
      </c>
      <c r="H5318" t="n">
        <v>0</v>
      </c>
      <c r="I5318" t="n">
        <v>0</v>
      </c>
      <c r="J5318" t="n">
        <v>0</v>
      </c>
      <c r="K5318" t="n">
        <v>0</v>
      </c>
      <c r="L5318" t="n">
        <v>0</v>
      </c>
      <c r="M5318" t="n">
        <v>0</v>
      </c>
      <c r="N5318" t="n">
        <v>0</v>
      </c>
      <c r="O5318" t="n">
        <v>0</v>
      </c>
      <c r="P5318" t="n">
        <v>0</v>
      </c>
      <c r="Q5318" t="n">
        <v>0</v>
      </c>
      <c r="R5318" s="2" t="inlineStr"/>
    </row>
    <row r="5319" ht="15" customHeight="1">
      <c r="A5319" t="inlineStr">
        <is>
          <t>A 38586-2023</t>
        </is>
      </c>
      <c r="B5319" s="1" t="n">
        <v>45162.63375</v>
      </c>
      <c r="C5319" s="1" t="n">
        <v>45952</v>
      </c>
      <c r="D5319" t="inlineStr">
        <is>
          <t>VÄSTRA GÖTALANDS LÄN</t>
        </is>
      </c>
      <c r="E5319" t="inlineStr">
        <is>
          <t>BOLLEBYGD</t>
        </is>
      </c>
      <c r="G5319" t="n">
        <v>0.6</v>
      </c>
      <c r="H5319" t="n">
        <v>0</v>
      </c>
      <c r="I5319" t="n">
        <v>0</v>
      </c>
      <c r="J5319" t="n">
        <v>0</v>
      </c>
      <c r="K5319" t="n">
        <v>0</v>
      </c>
      <c r="L5319" t="n">
        <v>0</v>
      </c>
      <c r="M5319" t="n">
        <v>0</v>
      </c>
      <c r="N5319" t="n">
        <v>0</v>
      </c>
      <c r="O5319" t="n">
        <v>0</v>
      </c>
      <c r="P5319" t="n">
        <v>0</v>
      </c>
      <c r="Q5319" t="n">
        <v>0</v>
      </c>
      <c r="R5319" s="2" t="inlineStr"/>
    </row>
    <row r="5320" ht="15" customHeight="1">
      <c r="A5320" t="inlineStr">
        <is>
          <t>A 39189-2023</t>
        </is>
      </c>
      <c r="B5320" s="1" t="n">
        <v>45166.39717592593</v>
      </c>
      <c r="C5320" s="1" t="n">
        <v>45952</v>
      </c>
      <c r="D5320" t="inlineStr">
        <is>
          <t>VÄSTRA GÖTALANDS LÄN</t>
        </is>
      </c>
      <c r="E5320" t="inlineStr">
        <is>
          <t>TÖREBODA</t>
        </is>
      </c>
      <c r="G5320" t="n">
        <v>0.6</v>
      </c>
      <c r="H5320" t="n">
        <v>0</v>
      </c>
      <c r="I5320" t="n">
        <v>0</v>
      </c>
      <c r="J5320" t="n">
        <v>0</v>
      </c>
      <c r="K5320" t="n">
        <v>0</v>
      </c>
      <c r="L5320" t="n">
        <v>0</v>
      </c>
      <c r="M5320" t="n">
        <v>0</v>
      </c>
      <c r="N5320" t="n">
        <v>0</v>
      </c>
      <c r="O5320" t="n">
        <v>0</v>
      </c>
      <c r="P5320" t="n">
        <v>0</v>
      </c>
      <c r="Q5320" t="n">
        <v>0</v>
      </c>
      <c r="R5320" s="2" t="inlineStr"/>
    </row>
    <row r="5321" ht="15" customHeight="1">
      <c r="A5321" t="inlineStr">
        <is>
          <t>A 27086-2022</t>
        </is>
      </c>
      <c r="B5321" s="1" t="n">
        <v>44741.4200462963</v>
      </c>
      <c r="C5321" s="1" t="n">
        <v>45952</v>
      </c>
      <c r="D5321" t="inlineStr">
        <is>
          <t>VÄSTRA GÖTALANDS LÄN</t>
        </is>
      </c>
      <c r="E5321" t="inlineStr">
        <is>
          <t>TÖREBODA</t>
        </is>
      </c>
      <c r="G5321" t="n">
        <v>0.7</v>
      </c>
      <c r="H5321" t="n">
        <v>0</v>
      </c>
      <c r="I5321" t="n">
        <v>0</v>
      </c>
      <c r="J5321" t="n">
        <v>0</v>
      </c>
      <c r="K5321" t="n">
        <v>0</v>
      </c>
      <c r="L5321" t="n">
        <v>0</v>
      </c>
      <c r="M5321" t="n">
        <v>0</v>
      </c>
      <c r="N5321" t="n">
        <v>0</v>
      </c>
      <c r="O5321" t="n">
        <v>0</v>
      </c>
      <c r="P5321" t="n">
        <v>0</v>
      </c>
      <c r="Q5321" t="n">
        <v>0</v>
      </c>
      <c r="R5321" s="2" t="inlineStr"/>
    </row>
    <row r="5322" ht="15" customHeight="1">
      <c r="A5322" t="inlineStr">
        <is>
          <t>A 51927-2024</t>
        </is>
      </c>
      <c r="B5322" s="1" t="n">
        <v>45607.62167824074</v>
      </c>
      <c r="C5322" s="1" t="n">
        <v>45952</v>
      </c>
      <c r="D5322" t="inlineStr">
        <is>
          <t>VÄSTRA GÖTALANDS LÄN</t>
        </is>
      </c>
      <c r="E5322" t="inlineStr">
        <is>
          <t>ALINGSÅS</t>
        </is>
      </c>
      <c r="G5322" t="n">
        <v>2</v>
      </c>
      <c r="H5322" t="n">
        <v>0</v>
      </c>
      <c r="I5322" t="n">
        <v>0</v>
      </c>
      <c r="J5322" t="n">
        <v>0</v>
      </c>
      <c r="K5322" t="n">
        <v>0</v>
      </c>
      <c r="L5322" t="n">
        <v>0</v>
      </c>
      <c r="M5322" t="n">
        <v>0</v>
      </c>
      <c r="N5322" t="n">
        <v>0</v>
      </c>
      <c r="O5322" t="n">
        <v>0</v>
      </c>
      <c r="P5322" t="n">
        <v>0</v>
      </c>
      <c r="Q5322" t="n">
        <v>0</v>
      </c>
      <c r="R5322" s="2" t="inlineStr"/>
    </row>
    <row r="5323" ht="15" customHeight="1">
      <c r="A5323" t="inlineStr">
        <is>
          <t>A 7455-2022</t>
        </is>
      </c>
      <c r="B5323" s="1" t="n">
        <v>44607.34837962963</v>
      </c>
      <c r="C5323" s="1" t="n">
        <v>45952</v>
      </c>
      <c r="D5323" t="inlineStr">
        <is>
          <t>VÄSTRA GÖTALANDS LÄN</t>
        </is>
      </c>
      <c r="E5323" t="inlineStr">
        <is>
          <t>MARK</t>
        </is>
      </c>
      <c r="G5323" t="n">
        <v>1.6</v>
      </c>
      <c r="H5323" t="n">
        <v>0</v>
      </c>
      <c r="I5323" t="n">
        <v>0</v>
      </c>
      <c r="J5323" t="n">
        <v>0</v>
      </c>
      <c r="K5323" t="n">
        <v>0</v>
      </c>
      <c r="L5323" t="n">
        <v>0</v>
      </c>
      <c r="M5323" t="n">
        <v>0</v>
      </c>
      <c r="N5323" t="n">
        <v>0</v>
      </c>
      <c r="O5323" t="n">
        <v>0</v>
      </c>
      <c r="P5323" t="n">
        <v>0</v>
      </c>
      <c r="Q5323" t="n">
        <v>0</v>
      </c>
      <c r="R5323" s="2" t="inlineStr"/>
    </row>
    <row r="5324" ht="15" customHeight="1">
      <c r="A5324" t="inlineStr">
        <is>
          <t>A 41297-2023</t>
        </is>
      </c>
      <c r="B5324" s="1" t="n">
        <v>45174</v>
      </c>
      <c r="C5324" s="1" t="n">
        <v>45952</v>
      </c>
      <c r="D5324" t="inlineStr">
        <is>
          <t>VÄSTRA GÖTALANDS LÄN</t>
        </is>
      </c>
      <c r="E5324" t="inlineStr">
        <is>
          <t>TANUM</t>
        </is>
      </c>
      <c r="G5324" t="n">
        <v>2.2</v>
      </c>
      <c r="H5324" t="n">
        <v>0</v>
      </c>
      <c r="I5324" t="n">
        <v>0</v>
      </c>
      <c r="J5324" t="n">
        <v>0</v>
      </c>
      <c r="K5324" t="n">
        <v>0</v>
      </c>
      <c r="L5324" t="n">
        <v>0</v>
      </c>
      <c r="M5324" t="n">
        <v>0</v>
      </c>
      <c r="N5324" t="n">
        <v>0</v>
      </c>
      <c r="O5324" t="n">
        <v>0</v>
      </c>
      <c r="P5324" t="n">
        <v>0</v>
      </c>
      <c r="Q5324" t="n">
        <v>0</v>
      </c>
      <c r="R5324" s="2" t="inlineStr"/>
    </row>
    <row r="5325" ht="15" customHeight="1">
      <c r="A5325" t="inlineStr">
        <is>
          <t>A 57854-2023</t>
        </is>
      </c>
      <c r="B5325" s="1" t="n">
        <v>45247.43427083334</v>
      </c>
      <c r="C5325" s="1" t="n">
        <v>45952</v>
      </c>
      <c r="D5325" t="inlineStr">
        <is>
          <t>VÄSTRA GÖTALANDS LÄN</t>
        </is>
      </c>
      <c r="E5325" t="inlineStr">
        <is>
          <t>ULRICEHAMN</t>
        </is>
      </c>
      <c r="G5325" t="n">
        <v>1.8</v>
      </c>
      <c r="H5325" t="n">
        <v>0</v>
      </c>
      <c r="I5325" t="n">
        <v>0</v>
      </c>
      <c r="J5325" t="n">
        <v>0</v>
      </c>
      <c r="K5325" t="n">
        <v>0</v>
      </c>
      <c r="L5325" t="n">
        <v>0</v>
      </c>
      <c r="M5325" t="n">
        <v>0</v>
      </c>
      <c r="N5325" t="n">
        <v>0</v>
      </c>
      <c r="O5325" t="n">
        <v>0</v>
      </c>
      <c r="P5325" t="n">
        <v>0</v>
      </c>
      <c r="Q5325" t="n">
        <v>0</v>
      </c>
      <c r="R5325" s="2" t="inlineStr"/>
    </row>
    <row r="5326" ht="15" customHeight="1">
      <c r="A5326" t="inlineStr">
        <is>
          <t>A 60277-2023</t>
        </is>
      </c>
      <c r="B5326" s="1" t="n">
        <v>45258.68091435185</v>
      </c>
      <c r="C5326" s="1" t="n">
        <v>45952</v>
      </c>
      <c r="D5326" t="inlineStr">
        <is>
          <t>VÄSTRA GÖTALANDS LÄN</t>
        </is>
      </c>
      <c r="E5326" t="inlineStr">
        <is>
          <t>ULRICEHAMN</t>
        </is>
      </c>
      <c r="G5326" t="n">
        <v>1.1</v>
      </c>
      <c r="H5326" t="n">
        <v>0</v>
      </c>
      <c r="I5326" t="n">
        <v>0</v>
      </c>
      <c r="J5326" t="n">
        <v>0</v>
      </c>
      <c r="K5326" t="n">
        <v>0</v>
      </c>
      <c r="L5326" t="n">
        <v>0</v>
      </c>
      <c r="M5326" t="n">
        <v>0</v>
      </c>
      <c r="N5326" t="n">
        <v>0</v>
      </c>
      <c r="O5326" t="n">
        <v>0</v>
      </c>
      <c r="P5326" t="n">
        <v>0</v>
      </c>
      <c r="Q5326" t="n">
        <v>0</v>
      </c>
      <c r="R5326" s="2" t="inlineStr"/>
    </row>
    <row r="5327" ht="15" customHeight="1">
      <c r="A5327" t="inlineStr">
        <is>
          <t>A 55952-2023</t>
        </is>
      </c>
      <c r="B5327" s="1" t="n">
        <v>45240.34545138889</v>
      </c>
      <c r="C5327" s="1" t="n">
        <v>45952</v>
      </c>
      <c r="D5327" t="inlineStr">
        <is>
          <t>VÄSTRA GÖTALANDS LÄN</t>
        </is>
      </c>
      <c r="E5327" t="inlineStr">
        <is>
          <t>BORÅS</t>
        </is>
      </c>
      <c r="G5327" t="n">
        <v>1.3</v>
      </c>
      <c r="H5327" t="n">
        <v>0</v>
      </c>
      <c r="I5327" t="n">
        <v>0</v>
      </c>
      <c r="J5327" t="n">
        <v>0</v>
      </c>
      <c r="K5327" t="n">
        <v>0</v>
      </c>
      <c r="L5327" t="n">
        <v>0</v>
      </c>
      <c r="M5327" t="n">
        <v>0</v>
      </c>
      <c r="N5327" t="n">
        <v>0</v>
      </c>
      <c r="O5327" t="n">
        <v>0</v>
      </c>
      <c r="P5327" t="n">
        <v>0</v>
      </c>
      <c r="Q5327" t="n">
        <v>0</v>
      </c>
      <c r="R5327" s="2" t="inlineStr"/>
    </row>
    <row r="5328" ht="15" customHeight="1">
      <c r="A5328" t="inlineStr">
        <is>
          <t>A 17789-2025</t>
        </is>
      </c>
      <c r="B5328" s="1" t="n">
        <v>45758.54153935185</v>
      </c>
      <c r="C5328" s="1" t="n">
        <v>45952</v>
      </c>
      <c r="D5328" t="inlineStr">
        <is>
          <t>VÄSTRA GÖTALANDS LÄN</t>
        </is>
      </c>
      <c r="E5328" t="inlineStr">
        <is>
          <t>BENGTSFORS</t>
        </is>
      </c>
      <c r="G5328" t="n">
        <v>2.9</v>
      </c>
      <c r="H5328" t="n">
        <v>0</v>
      </c>
      <c r="I5328" t="n">
        <v>0</v>
      </c>
      <c r="J5328" t="n">
        <v>0</v>
      </c>
      <c r="K5328" t="n">
        <v>0</v>
      </c>
      <c r="L5328" t="n">
        <v>0</v>
      </c>
      <c r="M5328" t="n">
        <v>0</v>
      </c>
      <c r="N5328" t="n">
        <v>0</v>
      </c>
      <c r="O5328" t="n">
        <v>0</v>
      </c>
      <c r="P5328" t="n">
        <v>0</v>
      </c>
      <c r="Q5328" t="n">
        <v>0</v>
      </c>
      <c r="R5328" s="2" t="inlineStr"/>
    </row>
    <row r="5329" ht="15" customHeight="1">
      <c r="A5329" t="inlineStr">
        <is>
          <t>A 55972-2023</t>
        </is>
      </c>
      <c r="B5329" s="1" t="n">
        <v>45233</v>
      </c>
      <c r="C5329" s="1" t="n">
        <v>45952</v>
      </c>
      <c r="D5329" t="inlineStr">
        <is>
          <t>VÄSTRA GÖTALANDS LÄN</t>
        </is>
      </c>
      <c r="E5329" t="inlineStr">
        <is>
          <t>VÅRGÅRDA</t>
        </is>
      </c>
      <c r="G5329" t="n">
        <v>4.5</v>
      </c>
      <c r="H5329" t="n">
        <v>0</v>
      </c>
      <c r="I5329" t="n">
        <v>0</v>
      </c>
      <c r="J5329" t="n">
        <v>0</v>
      </c>
      <c r="K5329" t="n">
        <v>0</v>
      </c>
      <c r="L5329" t="n">
        <v>0</v>
      </c>
      <c r="M5329" t="n">
        <v>0</v>
      </c>
      <c r="N5329" t="n">
        <v>0</v>
      </c>
      <c r="O5329" t="n">
        <v>0</v>
      </c>
      <c r="P5329" t="n">
        <v>0</v>
      </c>
      <c r="Q5329" t="n">
        <v>0</v>
      </c>
      <c r="R5329" s="2" t="inlineStr"/>
    </row>
    <row r="5330" ht="15" customHeight="1">
      <c r="A5330" t="inlineStr">
        <is>
          <t>A 56002-2023</t>
        </is>
      </c>
      <c r="B5330" s="1" t="n">
        <v>45240.40409722222</v>
      </c>
      <c r="C5330" s="1" t="n">
        <v>45952</v>
      </c>
      <c r="D5330" t="inlineStr">
        <is>
          <t>VÄSTRA GÖTALANDS LÄN</t>
        </is>
      </c>
      <c r="E5330" t="inlineStr">
        <is>
          <t>BORÅS</t>
        </is>
      </c>
      <c r="G5330" t="n">
        <v>2.1</v>
      </c>
      <c r="H5330" t="n">
        <v>0</v>
      </c>
      <c r="I5330" t="n">
        <v>0</v>
      </c>
      <c r="J5330" t="n">
        <v>0</v>
      </c>
      <c r="K5330" t="n">
        <v>0</v>
      </c>
      <c r="L5330" t="n">
        <v>0</v>
      </c>
      <c r="M5330" t="n">
        <v>0</v>
      </c>
      <c r="N5330" t="n">
        <v>0</v>
      </c>
      <c r="O5330" t="n">
        <v>0</v>
      </c>
      <c r="P5330" t="n">
        <v>0</v>
      </c>
      <c r="Q5330" t="n">
        <v>0</v>
      </c>
      <c r="R5330" s="2" t="inlineStr"/>
    </row>
    <row r="5331" ht="15" customHeight="1">
      <c r="A5331" t="inlineStr">
        <is>
          <t>A 64988-2023</t>
        </is>
      </c>
      <c r="B5331" s="1" t="n">
        <v>45285.84443287037</v>
      </c>
      <c r="C5331" s="1" t="n">
        <v>45952</v>
      </c>
      <c r="D5331" t="inlineStr">
        <is>
          <t>VÄSTRA GÖTALANDS LÄN</t>
        </is>
      </c>
      <c r="E5331" t="inlineStr">
        <is>
          <t>MARK</t>
        </is>
      </c>
      <c r="G5331" t="n">
        <v>3.6</v>
      </c>
      <c r="H5331" t="n">
        <v>0</v>
      </c>
      <c r="I5331" t="n">
        <v>0</v>
      </c>
      <c r="J5331" t="n">
        <v>0</v>
      </c>
      <c r="K5331" t="n">
        <v>0</v>
      </c>
      <c r="L5331" t="n">
        <v>0</v>
      </c>
      <c r="M5331" t="n">
        <v>0</v>
      </c>
      <c r="N5331" t="n">
        <v>0</v>
      </c>
      <c r="O5331" t="n">
        <v>0</v>
      </c>
      <c r="P5331" t="n">
        <v>0</v>
      </c>
      <c r="Q5331" t="n">
        <v>0</v>
      </c>
      <c r="R5331" s="2" t="inlineStr"/>
    </row>
    <row r="5332" ht="15" customHeight="1">
      <c r="A5332" t="inlineStr">
        <is>
          <t>A 64992-2023</t>
        </is>
      </c>
      <c r="B5332" s="1" t="n">
        <v>45286</v>
      </c>
      <c r="C5332" s="1" t="n">
        <v>45952</v>
      </c>
      <c r="D5332" t="inlineStr">
        <is>
          <t>VÄSTRA GÖTALANDS LÄN</t>
        </is>
      </c>
      <c r="E5332" t="inlineStr">
        <is>
          <t>STENUNGSUND</t>
        </is>
      </c>
      <c r="G5332" t="n">
        <v>1.8</v>
      </c>
      <c r="H5332" t="n">
        <v>0</v>
      </c>
      <c r="I5332" t="n">
        <v>0</v>
      </c>
      <c r="J5332" t="n">
        <v>0</v>
      </c>
      <c r="K5332" t="n">
        <v>0</v>
      </c>
      <c r="L5332" t="n">
        <v>0</v>
      </c>
      <c r="M5332" t="n">
        <v>0</v>
      </c>
      <c r="N5332" t="n">
        <v>0</v>
      </c>
      <c r="O5332" t="n">
        <v>0</v>
      </c>
      <c r="P5332" t="n">
        <v>0</v>
      </c>
      <c r="Q5332" t="n">
        <v>0</v>
      </c>
      <c r="R5332" s="2" t="inlineStr"/>
    </row>
    <row r="5333" ht="15" customHeight="1">
      <c r="A5333" t="inlineStr">
        <is>
          <t>A 8561-2025</t>
        </is>
      </c>
      <c r="B5333" s="1" t="n">
        <v>45709.62383101852</v>
      </c>
      <c r="C5333" s="1" t="n">
        <v>45952</v>
      </c>
      <c r="D5333" t="inlineStr">
        <is>
          <t>VÄSTRA GÖTALANDS LÄN</t>
        </is>
      </c>
      <c r="E5333" t="inlineStr">
        <is>
          <t>FÄRGELANDA</t>
        </is>
      </c>
      <c r="G5333" t="n">
        <v>1.6</v>
      </c>
      <c r="H5333" t="n">
        <v>0</v>
      </c>
      <c r="I5333" t="n">
        <v>0</v>
      </c>
      <c r="J5333" t="n">
        <v>0</v>
      </c>
      <c r="K5333" t="n">
        <v>0</v>
      </c>
      <c r="L5333" t="n">
        <v>0</v>
      </c>
      <c r="M5333" t="n">
        <v>0</v>
      </c>
      <c r="N5333" t="n">
        <v>0</v>
      </c>
      <c r="O5333" t="n">
        <v>0</v>
      </c>
      <c r="P5333" t="n">
        <v>0</v>
      </c>
      <c r="Q5333" t="n">
        <v>0</v>
      </c>
      <c r="R5333" s="2" t="inlineStr"/>
    </row>
    <row r="5334" ht="15" customHeight="1">
      <c r="A5334" t="inlineStr">
        <is>
          <t>A 73594-2021</t>
        </is>
      </c>
      <c r="B5334" s="1" t="n">
        <v>44552</v>
      </c>
      <c r="C5334" s="1" t="n">
        <v>45952</v>
      </c>
      <c r="D5334" t="inlineStr">
        <is>
          <t>VÄSTRA GÖTALANDS LÄN</t>
        </is>
      </c>
      <c r="E5334" t="inlineStr">
        <is>
          <t>BENGTSFORS</t>
        </is>
      </c>
      <c r="G5334" t="n">
        <v>2.7</v>
      </c>
      <c r="H5334" t="n">
        <v>0</v>
      </c>
      <c r="I5334" t="n">
        <v>0</v>
      </c>
      <c r="J5334" t="n">
        <v>0</v>
      </c>
      <c r="K5334" t="n">
        <v>0</v>
      </c>
      <c r="L5334" t="n">
        <v>0</v>
      </c>
      <c r="M5334" t="n">
        <v>0</v>
      </c>
      <c r="N5334" t="n">
        <v>0</v>
      </c>
      <c r="O5334" t="n">
        <v>0</v>
      </c>
      <c r="P5334" t="n">
        <v>0</v>
      </c>
      <c r="Q5334" t="n">
        <v>0</v>
      </c>
      <c r="R5334" s="2" t="inlineStr"/>
    </row>
    <row r="5335" ht="15" customHeight="1">
      <c r="A5335" t="inlineStr">
        <is>
          <t>A 724-2024</t>
        </is>
      </c>
      <c r="B5335" s="1" t="n">
        <v>45300</v>
      </c>
      <c r="C5335" s="1" t="n">
        <v>45952</v>
      </c>
      <c r="D5335" t="inlineStr">
        <is>
          <t>VÄSTRA GÖTALANDS LÄN</t>
        </is>
      </c>
      <c r="E5335" t="inlineStr">
        <is>
          <t>HJO</t>
        </is>
      </c>
      <c r="G5335" t="n">
        <v>1</v>
      </c>
      <c r="H5335" t="n">
        <v>0</v>
      </c>
      <c r="I5335" t="n">
        <v>0</v>
      </c>
      <c r="J5335" t="n">
        <v>0</v>
      </c>
      <c r="K5335" t="n">
        <v>0</v>
      </c>
      <c r="L5335" t="n">
        <v>0</v>
      </c>
      <c r="M5335" t="n">
        <v>0</v>
      </c>
      <c r="N5335" t="n">
        <v>0</v>
      </c>
      <c r="O5335" t="n">
        <v>0</v>
      </c>
      <c r="P5335" t="n">
        <v>0</v>
      </c>
      <c r="Q5335" t="n">
        <v>0</v>
      </c>
      <c r="R5335" s="2" t="inlineStr"/>
    </row>
    <row r="5336" ht="15" customHeight="1">
      <c r="A5336" t="inlineStr">
        <is>
          <t>A 1716-2021</t>
        </is>
      </c>
      <c r="B5336" s="1" t="n">
        <v>44209</v>
      </c>
      <c r="C5336" s="1" t="n">
        <v>45952</v>
      </c>
      <c r="D5336" t="inlineStr">
        <is>
          <t>VÄSTRA GÖTALANDS LÄN</t>
        </is>
      </c>
      <c r="E5336" t="inlineStr">
        <is>
          <t>LIDKÖPING</t>
        </is>
      </c>
      <c r="G5336" t="n">
        <v>4.3</v>
      </c>
      <c r="H5336" t="n">
        <v>0</v>
      </c>
      <c r="I5336" t="n">
        <v>0</v>
      </c>
      <c r="J5336" t="n">
        <v>0</v>
      </c>
      <c r="K5336" t="n">
        <v>0</v>
      </c>
      <c r="L5336" t="n">
        <v>0</v>
      </c>
      <c r="M5336" t="n">
        <v>0</v>
      </c>
      <c r="N5336" t="n">
        <v>0</v>
      </c>
      <c r="O5336" t="n">
        <v>0</v>
      </c>
      <c r="P5336" t="n">
        <v>0</v>
      </c>
      <c r="Q5336" t="n">
        <v>0</v>
      </c>
      <c r="R5336" s="2" t="inlineStr"/>
    </row>
    <row r="5337" ht="15" customHeight="1">
      <c r="A5337" t="inlineStr">
        <is>
          <t>A 41778-2023</t>
        </is>
      </c>
      <c r="B5337" s="1" t="n">
        <v>45176.47136574074</v>
      </c>
      <c r="C5337" s="1" t="n">
        <v>45952</v>
      </c>
      <c r="D5337" t="inlineStr">
        <is>
          <t>VÄSTRA GÖTALANDS LÄN</t>
        </is>
      </c>
      <c r="E5337" t="inlineStr">
        <is>
          <t>BORÅS</t>
        </is>
      </c>
      <c r="G5337" t="n">
        <v>1.9</v>
      </c>
      <c r="H5337" t="n">
        <v>0</v>
      </c>
      <c r="I5337" t="n">
        <v>0</v>
      </c>
      <c r="J5337" t="n">
        <v>0</v>
      </c>
      <c r="K5337" t="n">
        <v>0</v>
      </c>
      <c r="L5337" t="n">
        <v>0</v>
      </c>
      <c r="M5337" t="n">
        <v>0</v>
      </c>
      <c r="N5337" t="n">
        <v>0</v>
      </c>
      <c r="O5337" t="n">
        <v>0</v>
      </c>
      <c r="P5337" t="n">
        <v>0</v>
      </c>
      <c r="Q5337" t="n">
        <v>0</v>
      </c>
      <c r="R5337" s="2" t="inlineStr"/>
    </row>
    <row r="5338" ht="15" customHeight="1">
      <c r="A5338" t="inlineStr">
        <is>
          <t>A 6224-2022</t>
        </is>
      </c>
      <c r="B5338" s="1" t="n">
        <v>44600.39609953704</v>
      </c>
      <c r="C5338" s="1" t="n">
        <v>45952</v>
      </c>
      <c r="D5338" t="inlineStr">
        <is>
          <t>VÄSTRA GÖTALANDS LÄN</t>
        </is>
      </c>
      <c r="E5338" t="inlineStr">
        <is>
          <t>SKÖVDE</t>
        </is>
      </c>
      <c r="G5338" t="n">
        <v>2.7</v>
      </c>
      <c r="H5338" t="n">
        <v>0</v>
      </c>
      <c r="I5338" t="n">
        <v>0</v>
      </c>
      <c r="J5338" t="n">
        <v>0</v>
      </c>
      <c r="K5338" t="n">
        <v>0</v>
      </c>
      <c r="L5338" t="n">
        <v>0</v>
      </c>
      <c r="M5338" t="n">
        <v>0</v>
      </c>
      <c r="N5338" t="n">
        <v>0</v>
      </c>
      <c r="O5338" t="n">
        <v>0</v>
      </c>
      <c r="P5338" t="n">
        <v>0</v>
      </c>
      <c r="Q5338" t="n">
        <v>0</v>
      </c>
      <c r="R5338" s="2" t="inlineStr"/>
    </row>
    <row r="5339" ht="15" customHeight="1">
      <c r="A5339" t="inlineStr">
        <is>
          <t>A 24463-2021</t>
        </is>
      </c>
      <c r="B5339" s="1" t="n">
        <v>44337.61400462963</v>
      </c>
      <c r="C5339" s="1" t="n">
        <v>45952</v>
      </c>
      <c r="D5339" t="inlineStr">
        <is>
          <t>VÄSTRA GÖTALANDS LÄN</t>
        </is>
      </c>
      <c r="E5339" t="inlineStr">
        <is>
          <t>SVENLJUNGA</t>
        </is>
      </c>
      <c r="G5339" t="n">
        <v>2.8</v>
      </c>
      <c r="H5339" t="n">
        <v>0</v>
      </c>
      <c r="I5339" t="n">
        <v>0</v>
      </c>
      <c r="J5339" t="n">
        <v>0</v>
      </c>
      <c r="K5339" t="n">
        <v>0</v>
      </c>
      <c r="L5339" t="n">
        <v>0</v>
      </c>
      <c r="M5339" t="n">
        <v>0</v>
      </c>
      <c r="N5339" t="n">
        <v>0</v>
      </c>
      <c r="O5339" t="n">
        <v>0</v>
      </c>
      <c r="P5339" t="n">
        <v>0</v>
      </c>
      <c r="Q5339" t="n">
        <v>0</v>
      </c>
      <c r="R5339" s="2" t="inlineStr"/>
    </row>
    <row r="5340" ht="15" customHeight="1">
      <c r="A5340" t="inlineStr">
        <is>
          <t>A 56892-2023</t>
        </is>
      </c>
      <c r="B5340" s="1" t="n">
        <v>45244</v>
      </c>
      <c r="C5340" s="1" t="n">
        <v>45952</v>
      </c>
      <c r="D5340" t="inlineStr">
        <is>
          <t>VÄSTRA GÖTALANDS LÄN</t>
        </is>
      </c>
      <c r="E5340" t="inlineStr">
        <is>
          <t>MUNKEDAL</t>
        </is>
      </c>
      <c r="G5340" t="n">
        <v>1.8</v>
      </c>
      <c r="H5340" t="n">
        <v>0</v>
      </c>
      <c r="I5340" t="n">
        <v>0</v>
      </c>
      <c r="J5340" t="n">
        <v>0</v>
      </c>
      <c r="K5340" t="n">
        <v>0</v>
      </c>
      <c r="L5340" t="n">
        <v>0</v>
      </c>
      <c r="M5340" t="n">
        <v>0</v>
      </c>
      <c r="N5340" t="n">
        <v>0</v>
      </c>
      <c r="O5340" t="n">
        <v>0</v>
      </c>
      <c r="P5340" t="n">
        <v>0</v>
      </c>
      <c r="Q5340" t="n">
        <v>0</v>
      </c>
      <c r="R5340" s="2" t="inlineStr"/>
    </row>
    <row r="5341" ht="15" customHeight="1">
      <c r="A5341" t="inlineStr">
        <is>
          <t>A 56918-2023</t>
        </is>
      </c>
      <c r="B5341" s="1" t="n">
        <v>45244.58456018518</v>
      </c>
      <c r="C5341" s="1" t="n">
        <v>45952</v>
      </c>
      <c r="D5341" t="inlineStr">
        <is>
          <t>VÄSTRA GÖTALANDS LÄN</t>
        </is>
      </c>
      <c r="E5341" t="inlineStr">
        <is>
          <t>FÄRGELANDA</t>
        </is>
      </c>
      <c r="G5341" t="n">
        <v>3.3</v>
      </c>
      <c r="H5341" t="n">
        <v>0</v>
      </c>
      <c r="I5341" t="n">
        <v>0</v>
      </c>
      <c r="J5341" t="n">
        <v>0</v>
      </c>
      <c r="K5341" t="n">
        <v>0</v>
      </c>
      <c r="L5341" t="n">
        <v>0</v>
      </c>
      <c r="M5341" t="n">
        <v>0</v>
      </c>
      <c r="N5341" t="n">
        <v>0</v>
      </c>
      <c r="O5341" t="n">
        <v>0</v>
      </c>
      <c r="P5341" t="n">
        <v>0</v>
      </c>
      <c r="Q5341" t="n">
        <v>0</v>
      </c>
      <c r="R5341" s="2" t="inlineStr"/>
    </row>
    <row r="5342" ht="15" customHeight="1">
      <c r="A5342" t="inlineStr">
        <is>
          <t>A 418-2023</t>
        </is>
      </c>
      <c r="B5342" s="1" t="n">
        <v>44929</v>
      </c>
      <c r="C5342" s="1" t="n">
        <v>45952</v>
      </c>
      <c r="D5342" t="inlineStr">
        <is>
          <t>VÄSTRA GÖTALANDS LÄN</t>
        </is>
      </c>
      <c r="E5342" t="inlineStr">
        <is>
          <t>TIBRO</t>
        </is>
      </c>
      <c r="G5342" t="n">
        <v>0.9</v>
      </c>
      <c r="H5342" t="n">
        <v>0</v>
      </c>
      <c r="I5342" t="n">
        <v>0</v>
      </c>
      <c r="J5342" t="n">
        <v>0</v>
      </c>
      <c r="K5342" t="n">
        <v>0</v>
      </c>
      <c r="L5342" t="n">
        <v>0</v>
      </c>
      <c r="M5342" t="n">
        <v>0</v>
      </c>
      <c r="N5342" t="n">
        <v>0</v>
      </c>
      <c r="O5342" t="n">
        <v>0</v>
      </c>
      <c r="P5342" t="n">
        <v>0</v>
      </c>
      <c r="Q5342" t="n">
        <v>0</v>
      </c>
      <c r="R5342" s="2" t="inlineStr"/>
    </row>
    <row r="5343" ht="15" customHeight="1">
      <c r="A5343" t="inlineStr">
        <is>
          <t>A 41799-2023</t>
        </is>
      </c>
      <c r="B5343" s="1" t="n">
        <v>45176.49778935185</v>
      </c>
      <c r="C5343" s="1" t="n">
        <v>45952</v>
      </c>
      <c r="D5343" t="inlineStr">
        <is>
          <t>VÄSTRA GÖTALANDS LÄN</t>
        </is>
      </c>
      <c r="E5343" t="inlineStr">
        <is>
          <t>SVENLJUNGA</t>
        </is>
      </c>
      <c r="G5343" t="n">
        <v>1.2</v>
      </c>
      <c r="H5343" t="n">
        <v>0</v>
      </c>
      <c r="I5343" t="n">
        <v>0</v>
      </c>
      <c r="J5343" t="n">
        <v>0</v>
      </c>
      <c r="K5343" t="n">
        <v>0</v>
      </c>
      <c r="L5343" t="n">
        <v>0</v>
      </c>
      <c r="M5343" t="n">
        <v>0</v>
      </c>
      <c r="N5343" t="n">
        <v>0</v>
      </c>
      <c r="O5343" t="n">
        <v>0</v>
      </c>
      <c r="P5343" t="n">
        <v>0</v>
      </c>
      <c r="Q5343" t="n">
        <v>0</v>
      </c>
      <c r="R5343" s="2" t="inlineStr"/>
    </row>
    <row r="5344" ht="15" customHeight="1">
      <c r="A5344" t="inlineStr">
        <is>
          <t>A 35726-2023</t>
        </is>
      </c>
      <c r="B5344" s="1" t="n">
        <v>45147.78840277778</v>
      </c>
      <c r="C5344" s="1" t="n">
        <v>45952</v>
      </c>
      <c r="D5344" t="inlineStr">
        <is>
          <t>VÄSTRA GÖTALANDS LÄN</t>
        </is>
      </c>
      <c r="E5344" t="inlineStr">
        <is>
          <t>MARK</t>
        </is>
      </c>
      <c r="G5344" t="n">
        <v>2.3</v>
      </c>
      <c r="H5344" t="n">
        <v>0</v>
      </c>
      <c r="I5344" t="n">
        <v>0</v>
      </c>
      <c r="J5344" t="n">
        <v>0</v>
      </c>
      <c r="K5344" t="n">
        <v>0</v>
      </c>
      <c r="L5344" t="n">
        <v>0</v>
      </c>
      <c r="M5344" t="n">
        <v>0</v>
      </c>
      <c r="N5344" t="n">
        <v>0</v>
      </c>
      <c r="O5344" t="n">
        <v>0</v>
      </c>
      <c r="P5344" t="n">
        <v>0</v>
      </c>
      <c r="Q5344" t="n">
        <v>0</v>
      </c>
      <c r="R5344" s="2" t="inlineStr"/>
    </row>
    <row r="5345" ht="15" customHeight="1">
      <c r="A5345" t="inlineStr">
        <is>
          <t>A 37526-2024</t>
        </is>
      </c>
      <c r="B5345" s="1" t="n">
        <v>45541.39973379629</v>
      </c>
      <c r="C5345" s="1" t="n">
        <v>45952</v>
      </c>
      <c r="D5345" t="inlineStr">
        <is>
          <t>VÄSTRA GÖTALANDS LÄN</t>
        </is>
      </c>
      <c r="E5345" t="inlineStr">
        <is>
          <t>DALS-ED</t>
        </is>
      </c>
      <c r="G5345" t="n">
        <v>0.8</v>
      </c>
      <c r="H5345" t="n">
        <v>0</v>
      </c>
      <c r="I5345" t="n">
        <v>0</v>
      </c>
      <c r="J5345" t="n">
        <v>0</v>
      </c>
      <c r="K5345" t="n">
        <v>0</v>
      </c>
      <c r="L5345" t="n">
        <v>0</v>
      </c>
      <c r="M5345" t="n">
        <v>0</v>
      </c>
      <c r="N5345" t="n">
        <v>0</v>
      </c>
      <c r="O5345" t="n">
        <v>0</v>
      </c>
      <c r="P5345" t="n">
        <v>0</v>
      </c>
      <c r="Q5345" t="n">
        <v>0</v>
      </c>
      <c r="R5345" s="2" t="inlineStr"/>
    </row>
    <row r="5346" ht="15" customHeight="1">
      <c r="A5346" t="inlineStr">
        <is>
          <t>A 983-2023</t>
        </is>
      </c>
      <c r="B5346" s="1" t="n">
        <v>44935.3791550926</v>
      </c>
      <c r="C5346" s="1" t="n">
        <v>45952</v>
      </c>
      <c r="D5346" t="inlineStr">
        <is>
          <t>VÄSTRA GÖTALANDS LÄN</t>
        </is>
      </c>
      <c r="E5346" t="inlineStr">
        <is>
          <t>MARIESTAD</t>
        </is>
      </c>
      <c r="G5346" t="n">
        <v>0.5</v>
      </c>
      <c r="H5346" t="n">
        <v>0</v>
      </c>
      <c r="I5346" t="n">
        <v>0</v>
      </c>
      <c r="J5346" t="n">
        <v>0</v>
      </c>
      <c r="K5346" t="n">
        <v>0</v>
      </c>
      <c r="L5346" t="n">
        <v>0</v>
      </c>
      <c r="M5346" t="n">
        <v>0</v>
      </c>
      <c r="N5346" t="n">
        <v>0</v>
      </c>
      <c r="O5346" t="n">
        <v>0</v>
      </c>
      <c r="P5346" t="n">
        <v>0</v>
      </c>
      <c r="Q5346" t="n">
        <v>0</v>
      </c>
      <c r="R5346" s="2" t="inlineStr"/>
    </row>
    <row r="5347" ht="15" customHeight="1">
      <c r="A5347" t="inlineStr">
        <is>
          <t>A 9983-2022</t>
        </is>
      </c>
      <c r="B5347" s="1" t="n">
        <v>44621.43550925926</v>
      </c>
      <c r="C5347" s="1" t="n">
        <v>45952</v>
      </c>
      <c r="D5347" t="inlineStr">
        <is>
          <t>VÄSTRA GÖTALANDS LÄN</t>
        </is>
      </c>
      <c r="E5347" t="inlineStr">
        <is>
          <t>STRÖMSTAD</t>
        </is>
      </c>
      <c r="G5347" t="n">
        <v>0.9</v>
      </c>
      <c r="H5347" t="n">
        <v>0</v>
      </c>
      <c r="I5347" t="n">
        <v>0</v>
      </c>
      <c r="J5347" t="n">
        <v>0</v>
      </c>
      <c r="K5347" t="n">
        <v>0</v>
      </c>
      <c r="L5347" t="n">
        <v>0</v>
      </c>
      <c r="M5347" t="n">
        <v>0</v>
      </c>
      <c r="N5347" t="n">
        <v>0</v>
      </c>
      <c r="O5347" t="n">
        <v>0</v>
      </c>
      <c r="P5347" t="n">
        <v>0</v>
      </c>
      <c r="Q5347" t="n">
        <v>0</v>
      </c>
      <c r="R5347" s="2" t="inlineStr"/>
    </row>
    <row r="5348" ht="15" customHeight="1">
      <c r="A5348" t="inlineStr">
        <is>
          <t>A 419-2023</t>
        </is>
      </c>
      <c r="B5348" s="1" t="n">
        <v>44929</v>
      </c>
      <c r="C5348" s="1" t="n">
        <v>45952</v>
      </c>
      <c r="D5348" t="inlineStr">
        <is>
          <t>VÄSTRA GÖTALANDS LÄN</t>
        </is>
      </c>
      <c r="E5348" t="inlineStr">
        <is>
          <t>TIBRO</t>
        </is>
      </c>
      <c r="G5348" t="n">
        <v>2.3</v>
      </c>
      <c r="H5348" t="n">
        <v>0</v>
      </c>
      <c r="I5348" t="n">
        <v>0</v>
      </c>
      <c r="J5348" t="n">
        <v>0</v>
      </c>
      <c r="K5348" t="n">
        <v>0</v>
      </c>
      <c r="L5348" t="n">
        <v>0</v>
      </c>
      <c r="M5348" t="n">
        <v>0</v>
      </c>
      <c r="N5348" t="n">
        <v>0</v>
      </c>
      <c r="O5348" t="n">
        <v>0</v>
      </c>
      <c r="P5348" t="n">
        <v>0</v>
      </c>
      <c r="Q5348" t="n">
        <v>0</v>
      </c>
      <c r="R5348" s="2" t="inlineStr"/>
    </row>
    <row r="5349" ht="15" customHeight="1">
      <c r="A5349" t="inlineStr">
        <is>
          <t>A 57592-2024</t>
        </is>
      </c>
      <c r="B5349" s="1" t="n">
        <v>45630</v>
      </c>
      <c r="C5349" s="1" t="n">
        <v>45952</v>
      </c>
      <c r="D5349" t="inlineStr">
        <is>
          <t>VÄSTRA GÖTALANDS LÄN</t>
        </is>
      </c>
      <c r="E5349" t="inlineStr">
        <is>
          <t>BORÅS</t>
        </is>
      </c>
      <c r="G5349" t="n">
        <v>3.9</v>
      </c>
      <c r="H5349" t="n">
        <v>0</v>
      </c>
      <c r="I5349" t="n">
        <v>0</v>
      </c>
      <c r="J5349" t="n">
        <v>0</v>
      </c>
      <c r="K5349" t="n">
        <v>0</v>
      </c>
      <c r="L5349" t="n">
        <v>0</v>
      </c>
      <c r="M5349" t="n">
        <v>0</v>
      </c>
      <c r="N5349" t="n">
        <v>0</v>
      </c>
      <c r="O5349" t="n">
        <v>0</v>
      </c>
      <c r="P5349" t="n">
        <v>0</v>
      </c>
      <c r="Q5349" t="n">
        <v>0</v>
      </c>
      <c r="R5349" s="2" t="inlineStr"/>
    </row>
    <row r="5350" ht="15" customHeight="1">
      <c r="A5350" t="inlineStr">
        <is>
          <t>A 495-2023</t>
        </is>
      </c>
      <c r="B5350" s="1" t="n">
        <v>44930.32969907407</v>
      </c>
      <c r="C5350" s="1" t="n">
        <v>45952</v>
      </c>
      <c r="D5350" t="inlineStr">
        <is>
          <t>VÄSTRA GÖTALANDS LÄN</t>
        </is>
      </c>
      <c r="E5350" t="inlineStr">
        <is>
          <t>UDDEVALLA</t>
        </is>
      </c>
      <c r="F5350" t="inlineStr">
        <is>
          <t>Kommuner</t>
        </is>
      </c>
      <c r="G5350" t="n">
        <v>3.7</v>
      </c>
      <c r="H5350" t="n">
        <v>0</v>
      </c>
      <c r="I5350" t="n">
        <v>0</v>
      </c>
      <c r="J5350" t="n">
        <v>0</v>
      </c>
      <c r="K5350" t="n">
        <v>0</v>
      </c>
      <c r="L5350" t="n">
        <v>0</v>
      </c>
      <c r="M5350" t="n">
        <v>0</v>
      </c>
      <c r="N5350" t="n">
        <v>0</v>
      </c>
      <c r="O5350" t="n">
        <v>0</v>
      </c>
      <c r="P5350" t="n">
        <v>0</v>
      </c>
      <c r="Q5350" t="n">
        <v>0</v>
      </c>
      <c r="R5350" s="2" t="inlineStr"/>
    </row>
    <row r="5351" ht="15" customHeight="1">
      <c r="A5351" t="inlineStr">
        <is>
          <t>A 1068-2023</t>
        </is>
      </c>
      <c r="B5351" s="1" t="n">
        <v>44935</v>
      </c>
      <c r="C5351" s="1" t="n">
        <v>45952</v>
      </c>
      <c r="D5351" t="inlineStr">
        <is>
          <t>VÄSTRA GÖTALANDS LÄN</t>
        </is>
      </c>
      <c r="E5351" t="inlineStr">
        <is>
          <t>MARK</t>
        </is>
      </c>
      <c r="G5351" t="n">
        <v>26.5</v>
      </c>
      <c r="H5351" t="n">
        <v>0</v>
      </c>
      <c r="I5351" t="n">
        <v>0</v>
      </c>
      <c r="J5351" t="n">
        <v>0</v>
      </c>
      <c r="K5351" t="n">
        <v>0</v>
      </c>
      <c r="L5351" t="n">
        <v>0</v>
      </c>
      <c r="M5351" t="n">
        <v>0</v>
      </c>
      <c r="N5351" t="n">
        <v>0</v>
      </c>
      <c r="O5351" t="n">
        <v>0</v>
      </c>
      <c r="P5351" t="n">
        <v>0</v>
      </c>
      <c r="Q5351" t="n">
        <v>0</v>
      </c>
      <c r="R5351" s="2" t="inlineStr"/>
    </row>
    <row r="5352" ht="15" customHeight="1">
      <c r="A5352" t="inlineStr">
        <is>
          <t>A 29564-2024</t>
        </is>
      </c>
      <c r="B5352" s="1" t="n">
        <v>45484.5425462963</v>
      </c>
      <c r="C5352" s="1" t="n">
        <v>45952</v>
      </c>
      <c r="D5352" t="inlineStr">
        <is>
          <t>VÄSTRA GÖTALANDS LÄN</t>
        </is>
      </c>
      <c r="E5352" t="inlineStr">
        <is>
          <t>TRANEMO</t>
        </is>
      </c>
      <c r="G5352" t="n">
        <v>3.1</v>
      </c>
      <c r="H5352" t="n">
        <v>0</v>
      </c>
      <c r="I5352" t="n">
        <v>0</v>
      </c>
      <c r="J5352" t="n">
        <v>0</v>
      </c>
      <c r="K5352" t="n">
        <v>0</v>
      </c>
      <c r="L5352" t="n">
        <v>0</v>
      </c>
      <c r="M5352" t="n">
        <v>0</v>
      </c>
      <c r="N5352" t="n">
        <v>0</v>
      </c>
      <c r="O5352" t="n">
        <v>0</v>
      </c>
      <c r="P5352" t="n">
        <v>0</v>
      </c>
      <c r="Q5352" t="n">
        <v>0</v>
      </c>
      <c r="R5352" s="2" t="inlineStr"/>
    </row>
    <row r="5353" ht="15" customHeight="1">
      <c r="A5353" t="inlineStr">
        <is>
          <t>A 29598-2024</t>
        </is>
      </c>
      <c r="B5353" s="1" t="n">
        <v>45484.59119212963</v>
      </c>
      <c r="C5353" s="1" t="n">
        <v>45952</v>
      </c>
      <c r="D5353" t="inlineStr">
        <is>
          <t>VÄSTRA GÖTALANDS LÄN</t>
        </is>
      </c>
      <c r="E5353" t="inlineStr">
        <is>
          <t>ULRICEHAMN</t>
        </is>
      </c>
      <c r="G5353" t="n">
        <v>0.9</v>
      </c>
      <c r="H5353" t="n">
        <v>0</v>
      </c>
      <c r="I5353" t="n">
        <v>0</v>
      </c>
      <c r="J5353" t="n">
        <v>0</v>
      </c>
      <c r="K5353" t="n">
        <v>0</v>
      </c>
      <c r="L5353" t="n">
        <v>0</v>
      </c>
      <c r="M5353" t="n">
        <v>0</v>
      </c>
      <c r="N5353" t="n">
        <v>0</v>
      </c>
      <c r="O5353" t="n">
        <v>0</v>
      </c>
      <c r="P5353" t="n">
        <v>0</v>
      </c>
      <c r="Q5353" t="n">
        <v>0</v>
      </c>
      <c r="R5353" s="2" t="inlineStr"/>
    </row>
    <row r="5354" ht="15" customHeight="1">
      <c r="A5354" t="inlineStr">
        <is>
          <t>A 29612-2024</t>
        </is>
      </c>
      <c r="B5354" s="1" t="n">
        <v>45484.64434027778</v>
      </c>
      <c r="C5354" s="1" t="n">
        <v>45952</v>
      </c>
      <c r="D5354" t="inlineStr">
        <is>
          <t>VÄSTRA GÖTALANDS LÄN</t>
        </is>
      </c>
      <c r="E5354" t="inlineStr">
        <is>
          <t>MARK</t>
        </is>
      </c>
      <c r="G5354" t="n">
        <v>4.6</v>
      </c>
      <c r="H5354" t="n">
        <v>0</v>
      </c>
      <c r="I5354" t="n">
        <v>0</v>
      </c>
      <c r="J5354" t="n">
        <v>0</v>
      </c>
      <c r="K5354" t="n">
        <v>0</v>
      </c>
      <c r="L5354" t="n">
        <v>0</v>
      </c>
      <c r="M5354" t="n">
        <v>0</v>
      </c>
      <c r="N5354" t="n">
        <v>0</v>
      </c>
      <c r="O5354" t="n">
        <v>0</v>
      </c>
      <c r="P5354" t="n">
        <v>0</v>
      </c>
      <c r="Q5354" t="n">
        <v>0</v>
      </c>
      <c r="R5354" s="2" t="inlineStr"/>
    </row>
    <row r="5355" ht="15" customHeight="1">
      <c r="A5355" t="inlineStr">
        <is>
          <t>A 61642-2022</t>
        </is>
      </c>
      <c r="B5355" s="1" t="n">
        <v>44916</v>
      </c>
      <c r="C5355" s="1" t="n">
        <v>45952</v>
      </c>
      <c r="D5355" t="inlineStr">
        <is>
          <t>VÄSTRA GÖTALANDS LÄN</t>
        </is>
      </c>
      <c r="E5355" t="inlineStr">
        <is>
          <t>FÄRGELANDA</t>
        </is>
      </c>
      <c r="G5355" t="n">
        <v>9.4</v>
      </c>
      <c r="H5355" t="n">
        <v>0</v>
      </c>
      <c r="I5355" t="n">
        <v>0</v>
      </c>
      <c r="J5355" t="n">
        <v>0</v>
      </c>
      <c r="K5355" t="n">
        <v>0</v>
      </c>
      <c r="L5355" t="n">
        <v>0</v>
      </c>
      <c r="M5355" t="n">
        <v>0</v>
      </c>
      <c r="N5355" t="n">
        <v>0</v>
      </c>
      <c r="O5355" t="n">
        <v>0</v>
      </c>
      <c r="P5355" t="n">
        <v>0</v>
      </c>
      <c r="Q5355" t="n">
        <v>0</v>
      </c>
      <c r="R5355" s="2" t="inlineStr"/>
    </row>
    <row r="5356" ht="15" customHeight="1">
      <c r="A5356" t="inlineStr">
        <is>
          <t>A 43924-2022</t>
        </is>
      </c>
      <c r="B5356" s="1" t="n">
        <v>44838.5358449074</v>
      </c>
      <c r="C5356" s="1" t="n">
        <v>45952</v>
      </c>
      <c r="D5356" t="inlineStr">
        <is>
          <t>VÄSTRA GÖTALANDS LÄN</t>
        </is>
      </c>
      <c r="E5356" t="inlineStr">
        <is>
          <t>GRÄSTORP</t>
        </is>
      </c>
      <c r="G5356" t="n">
        <v>2</v>
      </c>
      <c r="H5356" t="n">
        <v>0</v>
      </c>
      <c r="I5356" t="n">
        <v>0</v>
      </c>
      <c r="J5356" t="n">
        <v>0</v>
      </c>
      <c r="K5356" t="n">
        <v>0</v>
      </c>
      <c r="L5356" t="n">
        <v>0</v>
      </c>
      <c r="M5356" t="n">
        <v>0</v>
      </c>
      <c r="N5356" t="n">
        <v>0</v>
      </c>
      <c r="O5356" t="n">
        <v>0</v>
      </c>
      <c r="P5356" t="n">
        <v>0</v>
      </c>
      <c r="Q5356" t="n">
        <v>0</v>
      </c>
      <c r="R5356" s="2" t="inlineStr"/>
    </row>
    <row r="5357" ht="15" customHeight="1">
      <c r="A5357" t="inlineStr">
        <is>
          <t>A 57958-2022</t>
        </is>
      </c>
      <c r="B5357" s="1" t="n">
        <v>44900.43143518519</v>
      </c>
      <c r="C5357" s="1" t="n">
        <v>45952</v>
      </c>
      <c r="D5357" t="inlineStr">
        <is>
          <t>VÄSTRA GÖTALANDS LÄN</t>
        </is>
      </c>
      <c r="E5357" t="inlineStr">
        <is>
          <t>TIDAHOLM</t>
        </is>
      </c>
      <c r="F5357" t="inlineStr">
        <is>
          <t>Sveaskog</t>
        </is>
      </c>
      <c r="G5357" t="n">
        <v>3.3</v>
      </c>
      <c r="H5357" t="n">
        <v>0</v>
      </c>
      <c r="I5357" t="n">
        <v>0</v>
      </c>
      <c r="J5357" t="n">
        <v>0</v>
      </c>
      <c r="K5357" t="n">
        <v>0</v>
      </c>
      <c r="L5357" t="n">
        <v>0</v>
      </c>
      <c r="M5357" t="n">
        <v>0</v>
      </c>
      <c r="N5357" t="n">
        <v>0</v>
      </c>
      <c r="O5357" t="n">
        <v>0</v>
      </c>
      <c r="P5357" t="n">
        <v>0</v>
      </c>
      <c r="Q5357" t="n">
        <v>0</v>
      </c>
      <c r="R5357" s="2" t="inlineStr"/>
    </row>
    <row r="5358" ht="15" customHeight="1">
      <c r="A5358" t="inlineStr">
        <is>
          <t>A 31779-2024</t>
        </is>
      </c>
      <c r="B5358" s="1" t="n">
        <v>45509.48347222222</v>
      </c>
      <c r="C5358" s="1" t="n">
        <v>45952</v>
      </c>
      <c r="D5358" t="inlineStr">
        <is>
          <t>VÄSTRA GÖTALANDS LÄN</t>
        </is>
      </c>
      <c r="E5358" t="inlineStr">
        <is>
          <t>SVENLJUNGA</t>
        </is>
      </c>
      <c r="G5358" t="n">
        <v>2.9</v>
      </c>
      <c r="H5358" t="n">
        <v>0</v>
      </c>
      <c r="I5358" t="n">
        <v>0</v>
      </c>
      <c r="J5358" t="n">
        <v>0</v>
      </c>
      <c r="K5358" t="n">
        <v>0</v>
      </c>
      <c r="L5358" t="n">
        <v>0</v>
      </c>
      <c r="M5358" t="n">
        <v>0</v>
      </c>
      <c r="N5358" t="n">
        <v>0</v>
      </c>
      <c r="O5358" t="n">
        <v>0</v>
      </c>
      <c r="P5358" t="n">
        <v>0</v>
      </c>
      <c r="Q5358" t="n">
        <v>0</v>
      </c>
      <c r="R5358" s="2" t="inlineStr"/>
    </row>
    <row r="5359" ht="15" customHeight="1">
      <c r="A5359" t="inlineStr">
        <is>
          <t>A 57779-2024</t>
        </is>
      </c>
      <c r="B5359" s="1" t="n">
        <v>45631.27377314815</v>
      </c>
      <c r="C5359" s="1" t="n">
        <v>45952</v>
      </c>
      <c r="D5359" t="inlineStr">
        <is>
          <t>VÄSTRA GÖTALANDS LÄN</t>
        </is>
      </c>
      <c r="E5359" t="inlineStr">
        <is>
          <t>MARK</t>
        </is>
      </c>
      <c r="G5359" t="n">
        <v>1.6</v>
      </c>
      <c r="H5359" t="n">
        <v>0</v>
      </c>
      <c r="I5359" t="n">
        <v>0</v>
      </c>
      <c r="J5359" t="n">
        <v>0</v>
      </c>
      <c r="K5359" t="n">
        <v>0</v>
      </c>
      <c r="L5359" t="n">
        <v>0</v>
      </c>
      <c r="M5359" t="n">
        <v>0</v>
      </c>
      <c r="N5359" t="n">
        <v>0</v>
      </c>
      <c r="O5359" t="n">
        <v>0</v>
      </c>
      <c r="P5359" t="n">
        <v>0</v>
      </c>
      <c r="Q5359" t="n">
        <v>0</v>
      </c>
      <c r="R5359" s="2" t="inlineStr"/>
    </row>
    <row r="5360" ht="15" customHeight="1">
      <c r="A5360" t="inlineStr">
        <is>
          <t>A 14787-2024</t>
        </is>
      </c>
      <c r="B5360" s="1" t="n">
        <v>45397.7650462963</v>
      </c>
      <c r="C5360" s="1" t="n">
        <v>45952</v>
      </c>
      <c r="D5360" t="inlineStr">
        <is>
          <t>VÄSTRA GÖTALANDS LÄN</t>
        </is>
      </c>
      <c r="E5360" t="inlineStr">
        <is>
          <t>VÅRGÅRDA</t>
        </is>
      </c>
      <c r="G5360" t="n">
        <v>0.7</v>
      </c>
      <c r="H5360" t="n">
        <v>0</v>
      </c>
      <c r="I5360" t="n">
        <v>0</v>
      </c>
      <c r="J5360" t="n">
        <v>0</v>
      </c>
      <c r="K5360" t="n">
        <v>0</v>
      </c>
      <c r="L5360" t="n">
        <v>0</v>
      </c>
      <c r="M5360" t="n">
        <v>0</v>
      </c>
      <c r="N5360" t="n">
        <v>0</v>
      </c>
      <c r="O5360" t="n">
        <v>0</v>
      </c>
      <c r="P5360" t="n">
        <v>0</v>
      </c>
      <c r="Q5360" t="n">
        <v>0</v>
      </c>
      <c r="R5360" s="2" t="inlineStr"/>
    </row>
    <row r="5361" ht="15" customHeight="1">
      <c r="A5361" t="inlineStr">
        <is>
          <t>A 14789-2024</t>
        </is>
      </c>
      <c r="B5361" s="1" t="n">
        <v>45397.81939814815</v>
      </c>
      <c r="C5361" s="1" t="n">
        <v>45952</v>
      </c>
      <c r="D5361" t="inlineStr">
        <is>
          <t>VÄSTRA GÖTALANDS LÄN</t>
        </is>
      </c>
      <c r="E5361" t="inlineStr">
        <is>
          <t>VÅRGÅRDA</t>
        </is>
      </c>
      <c r="G5361" t="n">
        <v>1.1</v>
      </c>
      <c r="H5361" t="n">
        <v>0</v>
      </c>
      <c r="I5361" t="n">
        <v>0</v>
      </c>
      <c r="J5361" t="n">
        <v>0</v>
      </c>
      <c r="K5361" t="n">
        <v>0</v>
      </c>
      <c r="L5361" t="n">
        <v>0</v>
      </c>
      <c r="M5361" t="n">
        <v>0</v>
      </c>
      <c r="N5361" t="n">
        <v>0</v>
      </c>
      <c r="O5361" t="n">
        <v>0</v>
      </c>
      <c r="P5361" t="n">
        <v>0</v>
      </c>
      <c r="Q5361" t="n">
        <v>0</v>
      </c>
      <c r="R5361" s="2" t="inlineStr"/>
    </row>
    <row r="5362" ht="15" customHeight="1">
      <c r="A5362" t="inlineStr">
        <is>
          <t>A 16007-2024</t>
        </is>
      </c>
      <c r="B5362" s="1" t="n">
        <v>45405.63997685185</v>
      </c>
      <c r="C5362" s="1" t="n">
        <v>45952</v>
      </c>
      <c r="D5362" t="inlineStr">
        <is>
          <t>VÄSTRA GÖTALANDS LÄN</t>
        </is>
      </c>
      <c r="E5362" t="inlineStr">
        <is>
          <t>TÖREBODA</t>
        </is>
      </c>
      <c r="G5362" t="n">
        <v>1.6</v>
      </c>
      <c r="H5362" t="n">
        <v>0</v>
      </c>
      <c r="I5362" t="n">
        <v>0</v>
      </c>
      <c r="J5362" t="n">
        <v>0</v>
      </c>
      <c r="K5362" t="n">
        <v>0</v>
      </c>
      <c r="L5362" t="n">
        <v>0</v>
      </c>
      <c r="M5362" t="n">
        <v>0</v>
      </c>
      <c r="N5362" t="n">
        <v>0</v>
      </c>
      <c r="O5362" t="n">
        <v>0</v>
      </c>
      <c r="P5362" t="n">
        <v>0</v>
      </c>
      <c r="Q5362" t="n">
        <v>0</v>
      </c>
      <c r="R5362" s="2" t="inlineStr"/>
    </row>
    <row r="5363" ht="15" customHeight="1">
      <c r="A5363" t="inlineStr">
        <is>
          <t>A 44267-2024</t>
        </is>
      </c>
      <c r="B5363" s="1" t="n">
        <v>45573.4730324074</v>
      </c>
      <c r="C5363" s="1" t="n">
        <v>45952</v>
      </c>
      <c r="D5363" t="inlineStr">
        <is>
          <t>VÄSTRA GÖTALANDS LÄN</t>
        </is>
      </c>
      <c r="E5363" t="inlineStr">
        <is>
          <t>MUNKEDAL</t>
        </is>
      </c>
      <c r="G5363" t="n">
        <v>4.6</v>
      </c>
      <c r="H5363" t="n">
        <v>0</v>
      </c>
      <c r="I5363" t="n">
        <v>0</v>
      </c>
      <c r="J5363" t="n">
        <v>0</v>
      </c>
      <c r="K5363" t="n">
        <v>0</v>
      </c>
      <c r="L5363" t="n">
        <v>0</v>
      </c>
      <c r="M5363" t="n">
        <v>0</v>
      </c>
      <c r="N5363" t="n">
        <v>0</v>
      </c>
      <c r="O5363" t="n">
        <v>0</v>
      </c>
      <c r="P5363" t="n">
        <v>0</v>
      </c>
      <c r="Q5363" t="n">
        <v>0</v>
      </c>
      <c r="R5363" s="2" t="inlineStr"/>
    </row>
    <row r="5364" ht="15" customHeight="1">
      <c r="A5364" t="inlineStr">
        <is>
          <t>A 1331-2025</t>
        </is>
      </c>
      <c r="B5364" s="1" t="n">
        <v>45667.57825231482</v>
      </c>
      <c r="C5364" s="1" t="n">
        <v>45952</v>
      </c>
      <c r="D5364" t="inlineStr">
        <is>
          <t>VÄSTRA GÖTALANDS LÄN</t>
        </is>
      </c>
      <c r="E5364" t="inlineStr">
        <is>
          <t>UDDEVALLA</t>
        </is>
      </c>
      <c r="G5364" t="n">
        <v>3.1</v>
      </c>
      <c r="H5364" t="n">
        <v>0</v>
      </c>
      <c r="I5364" t="n">
        <v>0</v>
      </c>
      <c r="J5364" t="n">
        <v>0</v>
      </c>
      <c r="K5364" t="n">
        <v>0</v>
      </c>
      <c r="L5364" t="n">
        <v>0</v>
      </c>
      <c r="M5364" t="n">
        <v>0</v>
      </c>
      <c r="N5364" t="n">
        <v>0</v>
      </c>
      <c r="O5364" t="n">
        <v>0</v>
      </c>
      <c r="P5364" t="n">
        <v>0</v>
      </c>
      <c r="Q5364" t="n">
        <v>0</v>
      </c>
      <c r="R5364" s="2" t="inlineStr"/>
    </row>
    <row r="5365" ht="15" customHeight="1">
      <c r="A5365" t="inlineStr">
        <is>
          <t>A 2082-2025</t>
        </is>
      </c>
      <c r="B5365" s="1" t="n">
        <v>45672.58420138889</v>
      </c>
      <c r="C5365" s="1" t="n">
        <v>45952</v>
      </c>
      <c r="D5365" t="inlineStr">
        <is>
          <t>VÄSTRA GÖTALANDS LÄN</t>
        </is>
      </c>
      <c r="E5365" t="inlineStr">
        <is>
          <t>DALS-ED</t>
        </is>
      </c>
      <c r="G5365" t="n">
        <v>0.6</v>
      </c>
      <c r="H5365" t="n">
        <v>0</v>
      </c>
      <c r="I5365" t="n">
        <v>0</v>
      </c>
      <c r="J5365" t="n">
        <v>0</v>
      </c>
      <c r="K5365" t="n">
        <v>0</v>
      </c>
      <c r="L5365" t="n">
        <v>0</v>
      </c>
      <c r="M5365" t="n">
        <v>0</v>
      </c>
      <c r="N5365" t="n">
        <v>0</v>
      </c>
      <c r="O5365" t="n">
        <v>0</v>
      </c>
      <c r="P5365" t="n">
        <v>0</v>
      </c>
      <c r="Q5365" t="n">
        <v>0</v>
      </c>
      <c r="R5365" s="2" t="inlineStr"/>
    </row>
    <row r="5366" ht="15" customHeight="1">
      <c r="A5366" t="inlineStr">
        <is>
          <t>A 2086-2025</t>
        </is>
      </c>
      <c r="B5366" s="1" t="n">
        <v>45672.59024305556</v>
      </c>
      <c r="C5366" s="1" t="n">
        <v>45952</v>
      </c>
      <c r="D5366" t="inlineStr">
        <is>
          <t>VÄSTRA GÖTALANDS LÄN</t>
        </is>
      </c>
      <c r="E5366" t="inlineStr">
        <is>
          <t>LIDKÖPING</t>
        </is>
      </c>
      <c r="G5366" t="n">
        <v>1.3</v>
      </c>
      <c r="H5366" t="n">
        <v>0</v>
      </c>
      <c r="I5366" t="n">
        <v>0</v>
      </c>
      <c r="J5366" t="n">
        <v>0</v>
      </c>
      <c r="K5366" t="n">
        <v>0</v>
      </c>
      <c r="L5366" t="n">
        <v>0</v>
      </c>
      <c r="M5366" t="n">
        <v>0</v>
      </c>
      <c r="N5366" t="n">
        <v>0</v>
      </c>
      <c r="O5366" t="n">
        <v>0</v>
      </c>
      <c r="P5366" t="n">
        <v>0</v>
      </c>
      <c r="Q5366" t="n">
        <v>0</v>
      </c>
      <c r="R5366" s="2" t="inlineStr"/>
    </row>
    <row r="5367" ht="15" customHeight="1">
      <c r="A5367" t="inlineStr">
        <is>
          <t>A 22607-2023</t>
        </is>
      </c>
      <c r="B5367" s="1" t="n">
        <v>45071.53923611111</v>
      </c>
      <c r="C5367" s="1" t="n">
        <v>45952</v>
      </c>
      <c r="D5367" t="inlineStr">
        <is>
          <t>VÄSTRA GÖTALANDS LÄN</t>
        </is>
      </c>
      <c r="E5367" t="inlineStr">
        <is>
          <t>BENGTSFORS</t>
        </is>
      </c>
      <c r="G5367" t="n">
        <v>1.8</v>
      </c>
      <c r="H5367" t="n">
        <v>0</v>
      </c>
      <c r="I5367" t="n">
        <v>0</v>
      </c>
      <c r="J5367" t="n">
        <v>0</v>
      </c>
      <c r="K5367" t="n">
        <v>0</v>
      </c>
      <c r="L5367" t="n">
        <v>0</v>
      </c>
      <c r="M5367" t="n">
        <v>0</v>
      </c>
      <c r="N5367" t="n">
        <v>0</v>
      </c>
      <c r="O5367" t="n">
        <v>0</v>
      </c>
      <c r="P5367" t="n">
        <v>0</v>
      </c>
      <c r="Q5367" t="n">
        <v>0</v>
      </c>
      <c r="R5367" s="2" t="inlineStr"/>
    </row>
    <row r="5368" ht="15" customHeight="1">
      <c r="A5368" t="inlineStr">
        <is>
          <t>A 28263-2023</t>
        </is>
      </c>
      <c r="B5368" s="1" t="n">
        <v>45099</v>
      </c>
      <c r="C5368" s="1" t="n">
        <v>45952</v>
      </c>
      <c r="D5368" t="inlineStr">
        <is>
          <t>VÄSTRA GÖTALANDS LÄN</t>
        </is>
      </c>
      <c r="E5368" t="inlineStr">
        <is>
          <t>VÄNERSBORG</t>
        </is>
      </c>
      <c r="G5368" t="n">
        <v>0.6</v>
      </c>
      <c r="H5368" t="n">
        <v>0</v>
      </c>
      <c r="I5368" t="n">
        <v>0</v>
      </c>
      <c r="J5368" t="n">
        <v>0</v>
      </c>
      <c r="K5368" t="n">
        <v>0</v>
      </c>
      <c r="L5368" t="n">
        <v>0</v>
      </c>
      <c r="M5368" t="n">
        <v>0</v>
      </c>
      <c r="N5368" t="n">
        <v>0</v>
      </c>
      <c r="O5368" t="n">
        <v>0</v>
      </c>
      <c r="P5368" t="n">
        <v>0</v>
      </c>
      <c r="Q5368" t="n">
        <v>0</v>
      </c>
      <c r="R5368" s="2" t="inlineStr"/>
    </row>
    <row r="5369" ht="15" customHeight="1">
      <c r="A5369" t="inlineStr">
        <is>
          <t>A 2122-2025</t>
        </is>
      </c>
      <c r="B5369" s="1" t="n">
        <v>45672.64579861111</v>
      </c>
      <c r="C5369" s="1" t="n">
        <v>45952</v>
      </c>
      <c r="D5369" t="inlineStr">
        <is>
          <t>VÄSTRA GÖTALANDS LÄN</t>
        </is>
      </c>
      <c r="E5369" t="inlineStr">
        <is>
          <t>LYSEKIL</t>
        </is>
      </c>
      <c r="G5369" t="n">
        <v>1.2</v>
      </c>
      <c r="H5369" t="n">
        <v>0</v>
      </c>
      <c r="I5369" t="n">
        <v>0</v>
      </c>
      <c r="J5369" t="n">
        <v>0</v>
      </c>
      <c r="K5369" t="n">
        <v>0</v>
      </c>
      <c r="L5369" t="n">
        <v>0</v>
      </c>
      <c r="M5369" t="n">
        <v>0</v>
      </c>
      <c r="N5369" t="n">
        <v>0</v>
      </c>
      <c r="O5369" t="n">
        <v>0</v>
      </c>
      <c r="P5369" t="n">
        <v>0</v>
      </c>
      <c r="Q5369" t="n">
        <v>0</v>
      </c>
      <c r="R5369" s="2" t="inlineStr"/>
    </row>
    <row r="5370" ht="15" customHeight="1">
      <c r="A5370" t="inlineStr">
        <is>
          <t>A 2146-2025</t>
        </is>
      </c>
      <c r="B5370" s="1" t="n">
        <v>45672.69664351852</v>
      </c>
      <c r="C5370" s="1" t="n">
        <v>45952</v>
      </c>
      <c r="D5370" t="inlineStr">
        <is>
          <t>VÄSTRA GÖTALANDS LÄN</t>
        </is>
      </c>
      <c r="E5370" t="inlineStr">
        <is>
          <t>VÄNERSBORG</t>
        </is>
      </c>
      <c r="G5370" t="n">
        <v>0.6</v>
      </c>
      <c r="H5370" t="n">
        <v>0</v>
      </c>
      <c r="I5370" t="n">
        <v>0</v>
      </c>
      <c r="J5370" t="n">
        <v>0</v>
      </c>
      <c r="K5370" t="n">
        <v>0</v>
      </c>
      <c r="L5370" t="n">
        <v>0</v>
      </c>
      <c r="M5370" t="n">
        <v>0</v>
      </c>
      <c r="N5370" t="n">
        <v>0</v>
      </c>
      <c r="O5370" t="n">
        <v>0</v>
      </c>
      <c r="P5370" t="n">
        <v>0</v>
      </c>
      <c r="Q5370" t="n">
        <v>0</v>
      </c>
      <c r="R5370" s="2" t="inlineStr"/>
    </row>
    <row r="5371" ht="15" customHeight="1">
      <c r="A5371" t="inlineStr">
        <is>
          <t>A 8124-2021</t>
        </is>
      </c>
      <c r="B5371" s="1" t="n">
        <v>44243</v>
      </c>
      <c r="C5371" s="1" t="n">
        <v>45952</v>
      </c>
      <c r="D5371" t="inlineStr">
        <is>
          <t>VÄSTRA GÖTALANDS LÄN</t>
        </is>
      </c>
      <c r="E5371" t="inlineStr">
        <is>
          <t>GÖTENE</t>
        </is>
      </c>
      <c r="G5371" t="n">
        <v>0.8</v>
      </c>
      <c r="H5371" t="n">
        <v>0</v>
      </c>
      <c r="I5371" t="n">
        <v>0</v>
      </c>
      <c r="J5371" t="n">
        <v>0</v>
      </c>
      <c r="K5371" t="n">
        <v>0</v>
      </c>
      <c r="L5371" t="n">
        <v>0</v>
      </c>
      <c r="M5371" t="n">
        <v>0</v>
      </c>
      <c r="N5371" t="n">
        <v>0</v>
      </c>
      <c r="O5371" t="n">
        <v>0</v>
      </c>
      <c r="P5371" t="n">
        <v>0</v>
      </c>
      <c r="Q5371" t="n">
        <v>0</v>
      </c>
      <c r="R5371" s="2" t="inlineStr"/>
    </row>
    <row r="5372" ht="15" customHeight="1">
      <c r="A5372" t="inlineStr">
        <is>
          <t>A 27390-2024</t>
        </is>
      </c>
      <c r="B5372" s="1" t="n">
        <v>45474.31899305555</v>
      </c>
      <c r="C5372" s="1" t="n">
        <v>45952</v>
      </c>
      <c r="D5372" t="inlineStr">
        <is>
          <t>VÄSTRA GÖTALANDS LÄN</t>
        </is>
      </c>
      <c r="E5372" t="inlineStr">
        <is>
          <t>ULRICEHAMN</t>
        </is>
      </c>
      <c r="G5372" t="n">
        <v>3.2</v>
      </c>
      <c r="H5372" t="n">
        <v>0</v>
      </c>
      <c r="I5372" t="n">
        <v>0</v>
      </c>
      <c r="J5372" t="n">
        <v>0</v>
      </c>
      <c r="K5372" t="n">
        <v>0</v>
      </c>
      <c r="L5372" t="n">
        <v>0</v>
      </c>
      <c r="M5372" t="n">
        <v>0</v>
      </c>
      <c r="N5372" t="n">
        <v>0</v>
      </c>
      <c r="O5372" t="n">
        <v>0</v>
      </c>
      <c r="P5372" t="n">
        <v>0</v>
      </c>
      <c r="Q5372" t="n">
        <v>0</v>
      </c>
      <c r="R5372" s="2" t="inlineStr"/>
    </row>
    <row r="5373" ht="15" customHeight="1">
      <c r="A5373" t="inlineStr">
        <is>
          <t>A 57974-2022</t>
        </is>
      </c>
      <c r="B5373" s="1" t="n">
        <v>44900.45856481481</v>
      </c>
      <c r="C5373" s="1" t="n">
        <v>45952</v>
      </c>
      <c r="D5373" t="inlineStr">
        <is>
          <t>VÄSTRA GÖTALANDS LÄN</t>
        </is>
      </c>
      <c r="E5373" t="inlineStr">
        <is>
          <t>TÖREBODA</t>
        </is>
      </c>
      <c r="G5373" t="n">
        <v>2.3</v>
      </c>
      <c r="H5373" t="n">
        <v>0</v>
      </c>
      <c r="I5373" t="n">
        <v>0</v>
      </c>
      <c r="J5373" t="n">
        <v>0</v>
      </c>
      <c r="K5373" t="n">
        <v>0</v>
      </c>
      <c r="L5373" t="n">
        <v>0</v>
      </c>
      <c r="M5373" t="n">
        <v>0</v>
      </c>
      <c r="N5373" t="n">
        <v>0</v>
      </c>
      <c r="O5373" t="n">
        <v>0</v>
      </c>
      <c r="P5373" t="n">
        <v>0</v>
      </c>
      <c r="Q5373" t="n">
        <v>0</v>
      </c>
      <c r="R5373" s="2" t="inlineStr"/>
    </row>
    <row r="5374" ht="15" customHeight="1">
      <c r="A5374" t="inlineStr">
        <is>
          <t>A 8926-2022</t>
        </is>
      </c>
      <c r="B5374" s="1" t="n">
        <v>44614</v>
      </c>
      <c r="C5374" s="1" t="n">
        <v>45952</v>
      </c>
      <c r="D5374" t="inlineStr">
        <is>
          <t>VÄSTRA GÖTALANDS LÄN</t>
        </is>
      </c>
      <c r="E5374" t="inlineStr">
        <is>
          <t>GULLSPÅNG</t>
        </is>
      </c>
      <c r="F5374" t="inlineStr">
        <is>
          <t>Kyrkan</t>
        </is>
      </c>
      <c r="G5374" t="n">
        <v>1.2</v>
      </c>
      <c r="H5374" t="n">
        <v>0</v>
      </c>
      <c r="I5374" t="n">
        <v>0</v>
      </c>
      <c r="J5374" t="n">
        <v>0</v>
      </c>
      <c r="K5374" t="n">
        <v>0</v>
      </c>
      <c r="L5374" t="n">
        <v>0</v>
      </c>
      <c r="M5374" t="n">
        <v>0</v>
      </c>
      <c r="N5374" t="n">
        <v>0</v>
      </c>
      <c r="O5374" t="n">
        <v>0</v>
      </c>
      <c r="P5374" t="n">
        <v>0</v>
      </c>
      <c r="Q5374" t="n">
        <v>0</v>
      </c>
      <c r="R5374" s="2" t="inlineStr"/>
    </row>
    <row r="5375" ht="15" customHeight="1">
      <c r="A5375" t="inlineStr">
        <is>
          <t>A 35526-2023</t>
        </is>
      </c>
      <c r="B5375" s="1" t="n">
        <v>45147</v>
      </c>
      <c r="C5375" s="1" t="n">
        <v>45952</v>
      </c>
      <c r="D5375" t="inlineStr">
        <is>
          <t>VÄSTRA GÖTALANDS LÄN</t>
        </is>
      </c>
      <c r="E5375" t="inlineStr">
        <is>
          <t>BOLLEBYGD</t>
        </is>
      </c>
      <c r="G5375" t="n">
        <v>2.2</v>
      </c>
      <c r="H5375" t="n">
        <v>0</v>
      </c>
      <c r="I5375" t="n">
        <v>0</v>
      </c>
      <c r="J5375" t="n">
        <v>0</v>
      </c>
      <c r="K5375" t="n">
        <v>0</v>
      </c>
      <c r="L5375" t="n">
        <v>0</v>
      </c>
      <c r="M5375" t="n">
        <v>0</v>
      </c>
      <c r="N5375" t="n">
        <v>0</v>
      </c>
      <c r="O5375" t="n">
        <v>0</v>
      </c>
      <c r="P5375" t="n">
        <v>0</v>
      </c>
      <c r="Q5375" t="n">
        <v>0</v>
      </c>
      <c r="R5375" s="2" t="inlineStr"/>
    </row>
    <row r="5376" ht="15" customHeight="1">
      <c r="A5376" t="inlineStr">
        <is>
          <t>A 9181-2022</t>
        </is>
      </c>
      <c r="B5376" s="1" t="n">
        <v>44615.82409722222</v>
      </c>
      <c r="C5376" s="1" t="n">
        <v>45952</v>
      </c>
      <c r="D5376" t="inlineStr">
        <is>
          <t>VÄSTRA GÖTALANDS LÄN</t>
        </is>
      </c>
      <c r="E5376" t="inlineStr">
        <is>
          <t>ALINGSÅS</t>
        </is>
      </c>
      <c r="G5376" t="n">
        <v>5.5</v>
      </c>
      <c r="H5376" t="n">
        <v>0</v>
      </c>
      <c r="I5376" t="n">
        <v>0</v>
      </c>
      <c r="J5376" t="n">
        <v>0</v>
      </c>
      <c r="K5376" t="n">
        <v>0</v>
      </c>
      <c r="L5376" t="n">
        <v>0</v>
      </c>
      <c r="M5376" t="n">
        <v>0</v>
      </c>
      <c r="N5376" t="n">
        <v>0</v>
      </c>
      <c r="O5376" t="n">
        <v>0</v>
      </c>
      <c r="P5376" t="n">
        <v>0</v>
      </c>
      <c r="Q5376" t="n">
        <v>0</v>
      </c>
      <c r="R5376" s="2" t="inlineStr"/>
    </row>
    <row r="5377" ht="15" customHeight="1">
      <c r="A5377" t="inlineStr">
        <is>
          <t>A 62525-2021</t>
        </is>
      </c>
      <c r="B5377" s="1" t="n">
        <v>44503</v>
      </c>
      <c r="C5377" s="1" t="n">
        <v>45952</v>
      </c>
      <c r="D5377" t="inlineStr">
        <is>
          <t>VÄSTRA GÖTALANDS LÄN</t>
        </is>
      </c>
      <c r="E5377" t="inlineStr">
        <is>
          <t>MUNKEDAL</t>
        </is>
      </c>
      <c r="G5377" t="n">
        <v>14.5</v>
      </c>
      <c r="H5377" t="n">
        <v>0</v>
      </c>
      <c r="I5377" t="n">
        <v>0</v>
      </c>
      <c r="J5377" t="n">
        <v>0</v>
      </c>
      <c r="K5377" t="n">
        <v>0</v>
      </c>
      <c r="L5377" t="n">
        <v>0</v>
      </c>
      <c r="M5377" t="n">
        <v>0</v>
      </c>
      <c r="N5377" t="n">
        <v>0</v>
      </c>
      <c r="O5377" t="n">
        <v>0</v>
      </c>
      <c r="P5377" t="n">
        <v>0</v>
      </c>
      <c r="Q5377" t="n">
        <v>0</v>
      </c>
      <c r="R5377" s="2" t="inlineStr"/>
    </row>
    <row r="5378" ht="15" customHeight="1">
      <c r="A5378" t="inlineStr">
        <is>
          <t>A 62527-2021</t>
        </is>
      </c>
      <c r="B5378" s="1" t="n">
        <v>44503</v>
      </c>
      <c r="C5378" s="1" t="n">
        <v>45952</v>
      </c>
      <c r="D5378" t="inlineStr">
        <is>
          <t>VÄSTRA GÖTALANDS LÄN</t>
        </is>
      </c>
      <c r="E5378" t="inlineStr">
        <is>
          <t>LIDKÖPING</t>
        </is>
      </c>
      <c r="G5378" t="n">
        <v>22.6</v>
      </c>
      <c r="H5378" t="n">
        <v>0</v>
      </c>
      <c r="I5378" t="n">
        <v>0</v>
      </c>
      <c r="J5378" t="n">
        <v>0</v>
      </c>
      <c r="K5378" t="n">
        <v>0</v>
      </c>
      <c r="L5378" t="n">
        <v>0</v>
      </c>
      <c r="M5378" t="n">
        <v>0</v>
      </c>
      <c r="N5378" t="n">
        <v>0</v>
      </c>
      <c r="O5378" t="n">
        <v>0</v>
      </c>
      <c r="P5378" t="n">
        <v>0</v>
      </c>
      <c r="Q5378" t="n">
        <v>0</v>
      </c>
      <c r="R5378" s="2" t="inlineStr"/>
    </row>
    <row r="5379" ht="15" customHeight="1">
      <c r="A5379" t="inlineStr">
        <is>
          <t>A 4029-2025</t>
        </is>
      </c>
      <c r="B5379" s="1" t="n">
        <v>45684.59584490741</v>
      </c>
      <c r="C5379" s="1" t="n">
        <v>45952</v>
      </c>
      <c r="D5379" t="inlineStr">
        <is>
          <t>VÄSTRA GÖTALANDS LÄN</t>
        </is>
      </c>
      <c r="E5379" t="inlineStr">
        <is>
          <t>MUNKEDAL</t>
        </is>
      </c>
      <c r="F5379" t="inlineStr">
        <is>
          <t>Kommuner</t>
        </is>
      </c>
      <c r="G5379" t="n">
        <v>0.4</v>
      </c>
      <c r="H5379" t="n">
        <v>0</v>
      </c>
      <c r="I5379" t="n">
        <v>0</v>
      </c>
      <c r="J5379" t="n">
        <v>0</v>
      </c>
      <c r="K5379" t="n">
        <v>0</v>
      </c>
      <c r="L5379" t="n">
        <v>0</v>
      </c>
      <c r="M5379" t="n">
        <v>0</v>
      </c>
      <c r="N5379" t="n">
        <v>0</v>
      </c>
      <c r="O5379" t="n">
        <v>0</v>
      </c>
      <c r="P5379" t="n">
        <v>0</v>
      </c>
      <c r="Q5379" t="n">
        <v>0</v>
      </c>
      <c r="R5379" s="2" t="inlineStr"/>
    </row>
    <row r="5380" ht="15" customHeight="1">
      <c r="A5380" t="inlineStr">
        <is>
          <t>A 9118-2025</t>
        </is>
      </c>
      <c r="B5380" s="1" t="n">
        <v>45713.80175925926</v>
      </c>
      <c r="C5380" s="1" t="n">
        <v>45952</v>
      </c>
      <c r="D5380" t="inlineStr">
        <is>
          <t>VÄSTRA GÖTALANDS LÄN</t>
        </is>
      </c>
      <c r="E5380" t="inlineStr">
        <is>
          <t>SKARA</t>
        </is>
      </c>
      <c r="G5380" t="n">
        <v>2.7</v>
      </c>
      <c r="H5380" t="n">
        <v>0</v>
      </c>
      <c r="I5380" t="n">
        <v>0</v>
      </c>
      <c r="J5380" t="n">
        <v>0</v>
      </c>
      <c r="K5380" t="n">
        <v>0</v>
      </c>
      <c r="L5380" t="n">
        <v>0</v>
      </c>
      <c r="M5380" t="n">
        <v>0</v>
      </c>
      <c r="N5380" t="n">
        <v>0</v>
      </c>
      <c r="O5380" t="n">
        <v>0</v>
      </c>
      <c r="P5380" t="n">
        <v>0</v>
      </c>
      <c r="Q5380" t="n">
        <v>0</v>
      </c>
      <c r="R5380" s="2" t="inlineStr"/>
    </row>
    <row r="5381" ht="15" customHeight="1">
      <c r="A5381" t="inlineStr">
        <is>
          <t>A 12767-2024</t>
        </is>
      </c>
      <c r="B5381" s="1" t="n">
        <v>45384</v>
      </c>
      <c r="C5381" s="1" t="n">
        <v>45952</v>
      </c>
      <c r="D5381" t="inlineStr">
        <is>
          <t>VÄSTRA GÖTALANDS LÄN</t>
        </is>
      </c>
      <c r="E5381" t="inlineStr">
        <is>
          <t>MARIESTAD</t>
        </is>
      </c>
      <c r="G5381" t="n">
        <v>3.3</v>
      </c>
      <c r="H5381" t="n">
        <v>0</v>
      </c>
      <c r="I5381" t="n">
        <v>0</v>
      </c>
      <c r="J5381" t="n">
        <v>0</v>
      </c>
      <c r="K5381" t="n">
        <v>0</v>
      </c>
      <c r="L5381" t="n">
        <v>0</v>
      </c>
      <c r="M5381" t="n">
        <v>0</v>
      </c>
      <c r="N5381" t="n">
        <v>0</v>
      </c>
      <c r="O5381" t="n">
        <v>0</v>
      </c>
      <c r="P5381" t="n">
        <v>0</v>
      </c>
      <c r="Q5381" t="n">
        <v>0</v>
      </c>
      <c r="R5381" s="2" t="inlineStr"/>
    </row>
    <row r="5382" ht="15" customHeight="1">
      <c r="A5382" t="inlineStr">
        <is>
          <t>A 61094-2022</t>
        </is>
      </c>
      <c r="B5382" s="1" t="n">
        <v>44915.39818287037</v>
      </c>
      <c r="C5382" s="1" t="n">
        <v>45952</v>
      </c>
      <c r="D5382" t="inlineStr">
        <is>
          <t>VÄSTRA GÖTALANDS LÄN</t>
        </is>
      </c>
      <c r="E5382" t="inlineStr">
        <is>
          <t>SVENLJUNGA</t>
        </is>
      </c>
      <c r="G5382" t="n">
        <v>5.9</v>
      </c>
      <c r="H5382" t="n">
        <v>0</v>
      </c>
      <c r="I5382" t="n">
        <v>0</v>
      </c>
      <c r="J5382" t="n">
        <v>0</v>
      </c>
      <c r="K5382" t="n">
        <v>0</v>
      </c>
      <c r="L5382" t="n">
        <v>0</v>
      </c>
      <c r="M5382" t="n">
        <v>0</v>
      </c>
      <c r="N5382" t="n">
        <v>0</v>
      </c>
      <c r="O5382" t="n">
        <v>0</v>
      </c>
      <c r="P5382" t="n">
        <v>0</v>
      </c>
      <c r="Q5382" t="n">
        <v>0</v>
      </c>
      <c r="R5382" s="2" t="inlineStr"/>
    </row>
    <row r="5383" ht="15" customHeight="1">
      <c r="A5383" t="inlineStr">
        <is>
          <t>A 33131-2023</t>
        </is>
      </c>
      <c r="B5383" s="1" t="n">
        <v>45126</v>
      </c>
      <c r="C5383" s="1" t="n">
        <v>45952</v>
      </c>
      <c r="D5383" t="inlineStr">
        <is>
          <t>VÄSTRA GÖTALANDS LÄN</t>
        </is>
      </c>
      <c r="E5383" t="inlineStr">
        <is>
          <t>STRÖMSTAD</t>
        </is>
      </c>
      <c r="G5383" t="n">
        <v>2</v>
      </c>
      <c r="H5383" t="n">
        <v>0</v>
      </c>
      <c r="I5383" t="n">
        <v>0</v>
      </c>
      <c r="J5383" t="n">
        <v>0</v>
      </c>
      <c r="K5383" t="n">
        <v>0</v>
      </c>
      <c r="L5383" t="n">
        <v>0</v>
      </c>
      <c r="M5383" t="n">
        <v>0</v>
      </c>
      <c r="N5383" t="n">
        <v>0</v>
      </c>
      <c r="O5383" t="n">
        <v>0</v>
      </c>
      <c r="P5383" t="n">
        <v>0</v>
      </c>
      <c r="Q5383" t="n">
        <v>0</v>
      </c>
      <c r="R5383" s="2" t="inlineStr"/>
    </row>
    <row r="5384" ht="15" customHeight="1">
      <c r="A5384" t="inlineStr">
        <is>
          <t>A 9361-2022</t>
        </is>
      </c>
      <c r="B5384" s="1" t="n">
        <v>44616</v>
      </c>
      <c r="C5384" s="1" t="n">
        <v>45952</v>
      </c>
      <c r="D5384" t="inlineStr">
        <is>
          <t>VÄSTRA GÖTALANDS LÄN</t>
        </is>
      </c>
      <c r="E5384" t="inlineStr">
        <is>
          <t>SVENLJUNGA</t>
        </is>
      </c>
      <c r="G5384" t="n">
        <v>1.5</v>
      </c>
      <c r="H5384" t="n">
        <v>0</v>
      </c>
      <c r="I5384" t="n">
        <v>0</v>
      </c>
      <c r="J5384" t="n">
        <v>0</v>
      </c>
      <c r="K5384" t="n">
        <v>0</v>
      </c>
      <c r="L5384" t="n">
        <v>0</v>
      </c>
      <c r="M5384" t="n">
        <v>0</v>
      </c>
      <c r="N5384" t="n">
        <v>0</v>
      </c>
      <c r="O5384" t="n">
        <v>0</v>
      </c>
      <c r="P5384" t="n">
        <v>0</v>
      </c>
      <c r="Q5384" t="n">
        <v>0</v>
      </c>
      <c r="R5384" s="2" t="inlineStr"/>
    </row>
    <row r="5385" ht="15" customHeight="1">
      <c r="A5385" t="inlineStr">
        <is>
          <t>A 49071-2021</t>
        </is>
      </c>
      <c r="B5385" s="1" t="n">
        <v>44453.61770833333</v>
      </c>
      <c r="C5385" s="1" t="n">
        <v>45952</v>
      </c>
      <c r="D5385" t="inlineStr">
        <is>
          <t>VÄSTRA GÖTALANDS LÄN</t>
        </is>
      </c>
      <c r="E5385" t="inlineStr">
        <is>
          <t>SVENLJUNGA</t>
        </is>
      </c>
      <c r="G5385" t="n">
        <v>1.1</v>
      </c>
      <c r="H5385" t="n">
        <v>0</v>
      </c>
      <c r="I5385" t="n">
        <v>0</v>
      </c>
      <c r="J5385" t="n">
        <v>0</v>
      </c>
      <c r="K5385" t="n">
        <v>0</v>
      </c>
      <c r="L5385" t="n">
        <v>0</v>
      </c>
      <c r="M5385" t="n">
        <v>0</v>
      </c>
      <c r="N5385" t="n">
        <v>0</v>
      </c>
      <c r="O5385" t="n">
        <v>0</v>
      </c>
      <c r="P5385" t="n">
        <v>0</v>
      </c>
      <c r="Q5385" t="n">
        <v>0</v>
      </c>
      <c r="R5385" s="2" t="inlineStr"/>
    </row>
    <row r="5386" ht="15" customHeight="1">
      <c r="A5386" t="inlineStr">
        <is>
          <t>A 52375-2024</t>
        </is>
      </c>
      <c r="B5386" s="1" t="n">
        <v>45609.40024305556</v>
      </c>
      <c r="C5386" s="1" t="n">
        <v>45952</v>
      </c>
      <c r="D5386" t="inlineStr">
        <is>
          <t>VÄSTRA GÖTALANDS LÄN</t>
        </is>
      </c>
      <c r="E5386" t="inlineStr">
        <is>
          <t>SVENLJUNGA</t>
        </is>
      </c>
      <c r="G5386" t="n">
        <v>2.5</v>
      </c>
      <c r="H5386" t="n">
        <v>0</v>
      </c>
      <c r="I5386" t="n">
        <v>0</v>
      </c>
      <c r="J5386" t="n">
        <v>0</v>
      </c>
      <c r="K5386" t="n">
        <v>0</v>
      </c>
      <c r="L5386" t="n">
        <v>0</v>
      </c>
      <c r="M5386" t="n">
        <v>0</v>
      </c>
      <c r="N5386" t="n">
        <v>0</v>
      </c>
      <c r="O5386" t="n">
        <v>0</v>
      </c>
      <c r="P5386" t="n">
        <v>0</v>
      </c>
      <c r="Q5386" t="n">
        <v>0</v>
      </c>
      <c r="R5386" s="2" t="inlineStr"/>
    </row>
    <row r="5387" ht="15" customHeight="1">
      <c r="A5387" t="inlineStr">
        <is>
          <t>A 52384-2024</t>
        </is>
      </c>
      <c r="B5387" s="1" t="n">
        <v>45609.41439814815</v>
      </c>
      <c r="C5387" s="1" t="n">
        <v>45952</v>
      </c>
      <c r="D5387" t="inlineStr">
        <is>
          <t>VÄSTRA GÖTALANDS LÄN</t>
        </is>
      </c>
      <c r="E5387" t="inlineStr">
        <is>
          <t>ÅMÅL</t>
        </is>
      </c>
      <c r="G5387" t="n">
        <v>3</v>
      </c>
      <c r="H5387" t="n">
        <v>0</v>
      </c>
      <c r="I5387" t="n">
        <v>0</v>
      </c>
      <c r="J5387" t="n">
        <v>0</v>
      </c>
      <c r="K5387" t="n">
        <v>0</v>
      </c>
      <c r="L5387" t="n">
        <v>0</v>
      </c>
      <c r="M5387" t="n">
        <v>0</v>
      </c>
      <c r="N5387" t="n">
        <v>0</v>
      </c>
      <c r="O5387" t="n">
        <v>0</v>
      </c>
      <c r="P5387" t="n">
        <v>0</v>
      </c>
      <c r="Q5387" t="n">
        <v>0</v>
      </c>
      <c r="R5387" s="2" t="inlineStr"/>
    </row>
    <row r="5388" ht="15" customHeight="1">
      <c r="A5388" t="inlineStr">
        <is>
          <t>A 62086-2022</t>
        </is>
      </c>
      <c r="B5388" s="1" t="n">
        <v>44919.46138888889</v>
      </c>
      <c r="C5388" s="1" t="n">
        <v>45952</v>
      </c>
      <c r="D5388" t="inlineStr">
        <is>
          <t>VÄSTRA GÖTALANDS LÄN</t>
        </is>
      </c>
      <c r="E5388" t="inlineStr">
        <is>
          <t>ORUST</t>
        </is>
      </c>
      <c r="G5388" t="n">
        <v>2</v>
      </c>
      <c r="H5388" t="n">
        <v>0</v>
      </c>
      <c r="I5388" t="n">
        <v>0</v>
      </c>
      <c r="J5388" t="n">
        <v>0</v>
      </c>
      <c r="K5388" t="n">
        <v>0</v>
      </c>
      <c r="L5388" t="n">
        <v>0</v>
      </c>
      <c r="M5388" t="n">
        <v>0</v>
      </c>
      <c r="N5388" t="n">
        <v>0</v>
      </c>
      <c r="O5388" t="n">
        <v>0</v>
      </c>
      <c r="P5388" t="n">
        <v>0</v>
      </c>
      <c r="Q5388" t="n">
        <v>0</v>
      </c>
      <c r="R5388" s="2" t="inlineStr"/>
    </row>
    <row r="5389" ht="15" customHeight="1">
      <c r="A5389" t="inlineStr">
        <is>
          <t>A 39428-2024</t>
        </is>
      </c>
      <c r="B5389" s="1" t="n">
        <v>45551.58702546296</v>
      </c>
      <c r="C5389" s="1" t="n">
        <v>45952</v>
      </c>
      <c r="D5389" t="inlineStr">
        <is>
          <t>VÄSTRA GÖTALANDS LÄN</t>
        </is>
      </c>
      <c r="E5389" t="inlineStr">
        <is>
          <t>TRANEMO</t>
        </is>
      </c>
      <c r="G5389" t="n">
        <v>0.7</v>
      </c>
      <c r="H5389" t="n">
        <v>0</v>
      </c>
      <c r="I5389" t="n">
        <v>0</v>
      </c>
      <c r="J5389" t="n">
        <v>0</v>
      </c>
      <c r="K5389" t="n">
        <v>0</v>
      </c>
      <c r="L5389" t="n">
        <v>0</v>
      </c>
      <c r="M5389" t="n">
        <v>0</v>
      </c>
      <c r="N5389" t="n">
        <v>0</v>
      </c>
      <c r="O5389" t="n">
        <v>0</v>
      </c>
      <c r="P5389" t="n">
        <v>0</v>
      </c>
      <c r="Q5389" t="n">
        <v>0</v>
      </c>
      <c r="R5389" s="2" t="inlineStr"/>
    </row>
    <row r="5390" ht="15" customHeight="1">
      <c r="A5390" t="inlineStr">
        <is>
          <t>A 39431-2024</t>
        </is>
      </c>
      <c r="B5390" s="1" t="n">
        <v>45551.59837962963</v>
      </c>
      <c r="C5390" s="1" t="n">
        <v>45952</v>
      </c>
      <c r="D5390" t="inlineStr">
        <is>
          <t>VÄSTRA GÖTALANDS LÄN</t>
        </is>
      </c>
      <c r="E5390" t="inlineStr">
        <is>
          <t>UDDEVALLA</t>
        </is>
      </c>
      <c r="G5390" t="n">
        <v>2.2</v>
      </c>
      <c r="H5390" t="n">
        <v>0</v>
      </c>
      <c r="I5390" t="n">
        <v>0</v>
      </c>
      <c r="J5390" t="n">
        <v>0</v>
      </c>
      <c r="K5390" t="n">
        <v>0</v>
      </c>
      <c r="L5390" t="n">
        <v>0</v>
      </c>
      <c r="M5390" t="n">
        <v>0</v>
      </c>
      <c r="N5390" t="n">
        <v>0</v>
      </c>
      <c r="O5390" t="n">
        <v>0</v>
      </c>
      <c r="P5390" t="n">
        <v>0</v>
      </c>
      <c r="Q5390" t="n">
        <v>0</v>
      </c>
      <c r="R5390" s="2" t="inlineStr"/>
    </row>
    <row r="5391" ht="15" customHeight="1">
      <c r="A5391" t="inlineStr">
        <is>
          <t>A 59662-2022</t>
        </is>
      </c>
      <c r="B5391" s="1" t="n">
        <v>44908</v>
      </c>
      <c r="C5391" s="1" t="n">
        <v>45952</v>
      </c>
      <c r="D5391" t="inlineStr">
        <is>
          <t>VÄSTRA GÖTALANDS LÄN</t>
        </is>
      </c>
      <c r="E5391" t="inlineStr">
        <is>
          <t>MARK</t>
        </is>
      </c>
      <c r="G5391" t="n">
        <v>1</v>
      </c>
      <c r="H5391" t="n">
        <v>0</v>
      </c>
      <c r="I5391" t="n">
        <v>0</v>
      </c>
      <c r="J5391" t="n">
        <v>0</v>
      </c>
      <c r="K5391" t="n">
        <v>0</v>
      </c>
      <c r="L5391" t="n">
        <v>0</v>
      </c>
      <c r="M5391" t="n">
        <v>0</v>
      </c>
      <c r="N5391" t="n">
        <v>0</v>
      </c>
      <c r="O5391" t="n">
        <v>0</v>
      </c>
      <c r="P5391" t="n">
        <v>0</v>
      </c>
      <c r="Q5391" t="n">
        <v>0</v>
      </c>
      <c r="R5391" s="2" t="inlineStr"/>
    </row>
    <row r="5392" ht="15" customHeight="1">
      <c r="A5392" t="inlineStr">
        <is>
          <t>A 57234-2023</t>
        </is>
      </c>
      <c r="B5392" s="1" t="n">
        <v>45245.54103009259</v>
      </c>
      <c r="C5392" s="1" t="n">
        <v>45952</v>
      </c>
      <c r="D5392" t="inlineStr">
        <is>
          <t>VÄSTRA GÖTALANDS LÄN</t>
        </is>
      </c>
      <c r="E5392" t="inlineStr">
        <is>
          <t>TRANEMO</t>
        </is>
      </c>
      <c r="G5392" t="n">
        <v>4</v>
      </c>
      <c r="H5392" t="n">
        <v>0</v>
      </c>
      <c r="I5392" t="n">
        <v>0</v>
      </c>
      <c r="J5392" t="n">
        <v>0</v>
      </c>
      <c r="K5392" t="n">
        <v>0</v>
      </c>
      <c r="L5392" t="n">
        <v>0</v>
      </c>
      <c r="M5392" t="n">
        <v>0</v>
      </c>
      <c r="N5392" t="n">
        <v>0</v>
      </c>
      <c r="O5392" t="n">
        <v>0</v>
      </c>
      <c r="P5392" t="n">
        <v>0</v>
      </c>
      <c r="Q5392" t="n">
        <v>0</v>
      </c>
      <c r="R5392" s="2" t="inlineStr"/>
    </row>
    <row r="5393" ht="15" customHeight="1">
      <c r="A5393" t="inlineStr">
        <is>
          <t>A 37032-2025</t>
        </is>
      </c>
      <c r="B5393" s="1" t="n">
        <v>45874.96774305555</v>
      </c>
      <c r="C5393" s="1" t="n">
        <v>45952</v>
      </c>
      <c r="D5393" t="inlineStr">
        <is>
          <t>VÄSTRA GÖTALANDS LÄN</t>
        </is>
      </c>
      <c r="E5393" t="inlineStr">
        <is>
          <t>SKARA</t>
        </is>
      </c>
      <c r="G5393" t="n">
        <v>5.9</v>
      </c>
      <c r="H5393" t="n">
        <v>0</v>
      </c>
      <c r="I5393" t="n">
        <v>0</v>
      </c>
      <c r="J5393" t="n">
        <v>0</v>
      </c>
      <c r="K5393" t="n">
        <v>0</v>
      </c>
      <c r="L5393" t="n">
        <v>0</v>
      </c>
      <c r="M5393" t="n">
        <v>0</v>
      </c>
      <c r="N5393" t="n">
        <v>0</v>
      </c>
      <c r="O5393" t="n">
        <v>0</v>
      </c>
      <c r="P5393" t="n">
        <v>0</v>
      </c>
      <c r="Q5393" t="n">
        <v>0</v>
      </c>
      <c r="R5393" s="2" t="inlineStr"/>
    </row>
    <row r="5394" ht="15" customHeight="1">
      <c r="A5394" t="inlineStr">
        <is>
          <t>A 50282-2023</t>
        </is>
      </c>
      <c r="B5394" s="1" t="n">
        <v>45216</v>
      </c>
      <c r="C5394" s="1" t="n">
        <v>45952</v>
      </c>
      <c r="D5394" t="inlineStr">
        <is>
          <t>VÄSTRA GÖTALANDS LÄN</t>
        </is>
      </c>
      <c r="E5394" t="inlineStr">
        <is>
          <t>BORÅS</t>
        </is>
      </c>
      <c r="G5394" t="n">
        <v>0.9</v>
      </c>
      <c r="H5394" t="n">
        <v>0</v>
      </c>
      <c r="I5394" t="n">
        <v>0</v>
      </c>
      <c r="J5394" t="n">
        <v>0</v>
      </c>
      <c r="K5394" t="n">
        <v>0</v>
      </c>
      <c r="L5394" t="n">
        <v>0</v>
      </c>
      <c r="M5394" t="n">
        <v>0</v>
      </c>
      <c r="N5394" t="n">
        <v>0</v>
      </c>
      <c r="O5394" t="n">
        <v>0</v>
      </c>
      <c r="P5394" t="n">
        <v>0</v>
      </c>
      <c r="Q5394" t="n">
        <v>0</v>
      </c>
      <c r="R5394" s="2" t="inlineStr"/>
    </row>
    <row r="5395" ht="15" customHeight="1">
      <c r="A5395" t="inlineStr">
        <is>
          <t>A 37653-2023</t>
        </is>
      </c>
      <c r="B5395" s="1" t="n">
        <v>45159.51601851852</v>
      </c>
      <c r="C5395" s="1" t="n">
        <v>45952</v>
      </c>
      <c r="D5395" t="inlineStr">
        <is>
          <t>VÄSTRA GÖTALANDS LÄN</t>
        </is>
      </c>
      <c r="E5395" t="inlineStr">
        <is>
          <t>VÅRGÅRDA</t>
        </is>
      </c>
      <c r="G5395" t="n">
        <v>0.9</v>
      </c>
      <c r="H5395" t="n">
        <v>0</v>
      </c>
      <c r="I5395" t="n">
        <v>0</v>
      </c>
      <c r="J5395" t="n">
        <v>0</v>
      </c>
      <c r="K5395" t="n">
        <v>0</v>
      </c>
      <c r="L5395" t="n">
        <v>0</v>
      </c>
      <c r="M5395" t="n">
        <v>0</v>
      </c>
      <c r="N5395" t="n">
        <v>0</v>
      </c>
      <c r="O5395" t="n">
        <v>0</v>
      </c>
      <c r="P5395" t="n">
        <v>0</v>
      </c>
      <c r="Q5395" t="n">
        <v>0</v>
      </c>
      <c r="R5395" s="2" t="inlineStr"/>
    </row>
    <row r="5396" ht="15" customHeight="1">
      <c r="A5396" t="inlineStr">
        <is>
          <t>A 26790-2024</t>
        </is>
      </c>
      <c r="B5396" s="1" t="n">
        <v>45470.49233796296</v>
      </c>
      <c r="C5396" s="1" t="n">
        <v>45952</v>
      </c>
      <c r="D5396" t="inlineStr">
        <is>
          <t>VÄSTRA GÖTALANDS LÄN</t>
        </is>
      </c>
      <c r="E5396" t="inlineStr">
        <is>
          <t>MARIESTAD</t>
        </is>
      </c>
      <c r="F5396" t="inlineStr">
        <is>
          <t>Kyrkan</t>
        </is>
      </c>
      <c r="G5396" t="n">
        <v>3</v>
      </c>
      <c r="H5396" t="n">
        <v>0</v>
      </c>
      <c r="I5396" t="n">
        <v>0</v>
      </c>
      <c r="J5396" t="n">
        <v>0</v>
      </c>
      <c r="K5396" t="n">
        <v>0</v>
      </c>
      <c r="L5396" t="n">
        <v>0</v>
      </c>
      <c r="M5396" t="n">
        <v>0</v>
      </c>
      <c r="N5396" t="n">
        <v>0</v>
      </c>
      <c r="O5396" t="n">
        <v>0</v>
      </c>
      <c r="P5396" t="n">
        <v>0</v>
      </c>
      <c r="Q5396" t="n">
        <v>0</v>
      </c>
      <c r="R5396" s="2" t="inlineStr"/>
    </row>
    <row r="5397" ht="15" customHeight="1">
      <c r="A5397" t="inlineStr">
        <is>
          <t>A 8447-2024</t>
        </is>
      </c>
      <c r="B5397" s="1" t="n">
        <v>45354.64714120371</v>
      </c>
      <c r="C5397" s="1" t="n">
        <v>45952</v>
      </c>
      <c r="D5397" t="inlineStr">
        <is>
          <t>VÄSTRA GÖTALANDS LÄN</t>
        </is>
      </c>
      <c r="E5397" t="inlineStr">
        <is>
          <t>SVENLJUNGA</t>
        </is>
      </c>
      <c r="G5397" t="n">
        <v>2</v>
      </c>
      <c r="H5397" t="n">
        <v>0</v>
      </c>
      <c r="I5397" t="n">
        <v>0</v>
      </c>
      <c r="J5397" t="n">
        <v>0</v>
      </c>
      <c r="K5397" t="n">
        <v>0</v>
      </c>
      <c r="L5397" t="n">
        <v>0</v>
      </c>
      <c r="M5397" t="n">
        <v>0</v>
      </c>
      <c r="N5397" t="n">
        <v>0</v>
      </c>
      <c r="O5397" t="n">
        <v>0</v>
      </c>
      <c r="P5397" t="n">
        <v>0</v>
      </c>
      <c r="Q5397" t="n">
        <v>0</v>
      </c>
      <c r="R5397" s="2" t="inlineStr"/>
    </row>
    <row r="5398" ht="15" customHeight="1">
      <c r="A5398" t="inlineStr">
        <is>
          <t>A 7272-2023</t>
        </is>
      </c>
      <c r="B5398" s="1" t="n">
        <v>44970.65201388889</v>
      </c>
      <c r="C5398" s="1" t="n">
        <v>45952</v>
      </c>
      <c r="D5398" t="inlineStr">
        <is>
          <t>VÄSTRA GÖTALANDS LÄN</t>
        </is>
      </c>
      <c r="E5398" t="inlineStr">
        <is>
          <t>LERUM</t>
        </is>
      </c>
      <c r="G5398" t="n">
        <v>0.8</v>
      </c>
      <c r="H5398" t="n">
        <v>0</v>
      </c>
      <c r="I5398" t="n">
        <v>0</v>
      </c>
      <c r="J5398" t="n">
        <v>0</v>
      </c>
      <c r="K5398" t="n">
        <v>0</v>
      </c>
      <c r="L5398" t="n">
        <v>0</v>
      </c>
      <c r="M5398" t="n">
        <v>0</v>
      </c>
      <c r="N5398" t="n">
        <v>0</v>
      </c>
      <c r="O5398" t="n">
        <v>0</v>
      </c>
      <c r="P5398" t="n">
        <v>0</v>
      </c>
      <c r="Q5398" t="n">
        <v>0</v>
      </c>
      <c r="R5398" s="2" t="inlineStr"/>
    </row>
    <row r="5399" ht="15" customHeight="1">
      <c r="A5399" t="inlineStr">
        <is>
          <t>A 7323-2025</t>
        </is>
      </c>
      <c r="B5399" s="1" t="n">
        <v>45702</v>
      </c>
      <c r="C5399" s="1" t="n">
        <v>45952</v>
      </c>
      <c r="D5399" t="inlineStr">
        <is>
          <t>VÄSTRA GÖTALANDS LÄN</t>
        </is>
      </c>
      <c r="E5399" t="inlineStr">
        <is>
          <t>GULLSPÅNG</t>
        </is>
      </c>
      <c r="G5399" t="n">
        <v>2.2</v>
      </c>
      <c r="H5399" t="n">
        <v>0</v>
      </c>
      <c r="I5399" t="n">
        <v>0</v>
      </c>
      <c r="J5399" t="n">
        <v>0</v>
      </c>
      <c r="K5399" t="n">
        <v>0</v>
      </c>
      <c r="L5399" t="n">
        <v>0</v>
      </c>
      <c r="M5399" t="n">
        <v>0</v>
      </c>
      <c r="N5399" t="n">
        <v>0</v>
      </c>
      <c r="O5399" t="n">
        <v>0</v>
      </c>
      <c r="P5399" t="n">
        <v>0</v>
      </c>
      <c r="Q5399" t="n">
        <v>0</v>
      </c>
      <c r="R5399" s="2" t="inlineStr"/>
    </row>
    <row r="5400" ht="15" customHeight="1">
      <c r="A5400" t="inlineStr">
        <is>
          <t>A 10511-2023</t>
        </is>
      </c>
      <c r="B5400" s="1" t="n">
        <v>44987.74418981482</v>
      </c>
      <c r="C5400" s="1" t="n">
        <v>45952</v>
      </c>
      <c r="D5400" t="inlineStr">
        <is>
          <t>VÄSTRA GÖTALANDS LÄN</t>
        </is>
      </c>
      <c r="E5400" t="inlineStr">
        <is>
          <t>FALKÖPING</t>
        </is>
      </c>
      <c r="G5400" t="n">
        <v>1.6</v>
      </c>
      <c r="H5400" t="n">
        <v>0</v>
      </c>
      <c r="I5400" t="n">
        <v>0</v>
      </c>
      <c r="J5400" t="n">
        <v>0</v>
      </c>
      <c r="K5400" t="n">
        <v>0</v>
      </c>
      <c r="L5400" t="n">
        <v>0</v>
      </c>
      <c r="M5400" t="n">
        <v>0</v>
      </c>
      <c r="N5400" t="n">
        <v>0</v>
      </c>
      <c r="O5400" t="n">
        <v>0</v>
      </c>
      <c r="P5400" t="n">
        <v>0</v>
      </c>
      <c r="Q5400" t="n">
        <v>0</v>
      </c>
      <c r="R5400" s="2" t="inlineStr"/>
    </row>
    <row r="5401" ht="15" customHeight="1">
      <c r="A5401" t="inlineStr">
        <is>
          <t>A 10517-2023</t>
        </is>
      </c>
      <c r="B5401" s="1" t="n">
        <v>44987.8475462963</v>
      </c>
      <c r="C5401" s="1" t="n">
        <v>45952</v>
      </c>
      <c r="D5401" t="inlineStr">
        <is>
          <t>VÄSTRA GÖTALANDS LÄN</t>
        </is>
      </c>
      <c r="E5401" t="inlineStr">
        <is>
          <t>SVENLJUNGA</t>
        </is>
      </c>
      <c r="G5401" t="n">
        <v>9.9</v>
      </c>
      <c r="H5401" t="n">
        <v>0</v>
      </c>
      <c r="I5401" t="n">
        <v>0</v>
      </c>
      <c r="J5401" t="n">
        <v>0</v>
      </c>
      <c r="K5401" t="n">
        <v>0</v>
      </c>
      <c r="L5401" t="n">
        <v>0</v>
      </c>
      <c r="M5401" t="n">
        <v>0</v>
      </c>
      <c r="N5401" t="n">
        <v>0</v>
      </c>
      <c r="O5401" t="n">
        <v>0</v>
      </c>
      <c r="P5401" t="n">
        <v>0</v>
      </c>
      <c r="Q5401" t="n">
        <v>0</v>
      </c>
      <c r="R5401" s="2" t="inlineStr"/>
    </row>
    <row r="5402" ht="15" customHeight="1">
      <c r="A5402" t="inlineStr">
        <is>
          <t>A 37383-2022</t>
        </is>
      </c>
      <c r="B5402" s="1" t="n">
        <v>44809.40762731482</v>
      </c>
      <c r="C5402" s="1" t="n">
        <v>45952</v>
      </c>
      <c r="D5402" t="inlineStr">
        <is>
          <t>VÄSTRA GÖTALANDS LÄN</t>
        </is>
      </c>
      <c r="E5402" t="inlineStr">
        <is>
          <t>KARLSBORG</t>
        </is>
      </c>
      <c r="F5402" t="inlineStr">
        <is>
          <t>Sveaskog</t>
        </is>
      </c>
      <c r="G5402" t="n">
        <v>0.8</v>
      </c>
      <c r="H5402" t="n">
        <v>0</v>
      </c>
      <c r="I5402" t="n">
        <v>0</v>
      </c>
      <c r="J5402" t="n">
        <v>0</v>
      </c>
      <c r="K5402" t="n">
        <v>0</v>
      </c>
      <c r="L5402" t="n">
        <v>0</v>
      </c>
      <c r="M5402" t="n">
        <v>0</v>
      </c>
      <c r="N5402" t="n">
        <v>0</v>
      </c>
      <c r="O5402" t="n">
        <v>0</v>
      </c>
      <c r="P5402" t="n">
        <v>0</v>
      </c>
      <c r="Q5402" t="n">
        <v>0</v>
      </c>
      <c r="R5402" s="2" t="inlineStr"/>
    </row>
    <row r="5403" ht="15" customHeight="1">
      <c r="A5403" t="inlineStr">
        <is>
          <t>A 56495-2023</t>
        </is>
      </c>
      <c r="B5403" s="1" t="n">
        <v>45243.52725694444</v>
      </c>
      <c r="C5403" s="1" t="n">
        <v>45952</v>
      </c>
      <c r="D5403" t="inlineStr">
        <is>
          <t>VÄSTRA GÖTALANDS LÄN</t>
        </is>
      </c>
      <c r="E5403" t="inlineStr">
        <is>
          <t>KARLSBORG</t>
        </is>
      </c>
      <c r="G5403" t="n">
        <v>1.1</v>
      </c>
      <c r="H5403" t="n">
        <v>0</v>
      </c>
      <c r="I5403" t="n">
        <v>0</v>
      </c>
      <c r="J5403" t="n">
        <v>0</v>
      </c>
      <c r="K5403" t="n">
        <v>0</v>
      </c>
      <c r="L5403" t="n">
        <v>0</v>
      </c>
      <c r="M5403" t="n">
        <v>0</v>
      </c>
      <c r="N5403" t="n">
        <v>0</v>
      </c>
      <c r="O5403" t="n">
        <v>0</v>
      </c>
      <c r="P5403" t="n">
        <v>0</v>
      </c>
      <c r="Q5403" t="n">
        <v>0</v>
      </c>
      <c r="R5403" s="2" t="inlineStr"/>
    </row>
    <row r="5404" ht="15" customHeight="1">
      <c r="A5404" t="inlineStr">
        <is>
          <t>A 29526-2024</t>
        </is>
      </c>
      <c r="B5404" s="1" t="n">
        <v>45484.46217592592</v>
      </c>
      <c r="C5404" s="1" t="n">
        <v>45952</v>
      </c>
      <c r="D5404" t="inlineStr">
        <is>
          <t>VÄSTRA GÖTALANDS LÄN</t>
        </is>
      </c>
      <c r="E5404" t="inlineStr">
        <is>
          <t>UDDEVALLA</t>
        </is>
      </c>
      <c r="G5404" t="n">
        <v>3.3</v>
      </c>
      <c r="H5404" t="n">
        <v>0</v>
      </c>
      <c r="I5404" t="n">
        <v>0</v>
      </c>
      <c r="J5404" t="n">
        <v>0</v>
      </c>
      <c r="K5404" t="n">
        <v>0</v>
      </c>
      <c r="L5404" t="n">
        <v>0</v>
      </c>
      <c r="M5404" t="n">
        <v>0</v>
      </c>
      <c r="N5404" t="n">
        <v>0</v>
      </c>
      <c r="O5404" t="n">
        <v>0</v>
      </c>
      <c r="P5404" t="n">
        <v>0</v>
      </c>
      <c r="Q5404" t="n">
        <v>0</v>
      </c>
      <c r="R5404" s="2" t="inlineStr"/>
    </row>
    <row r="5405" ht="15" customHeight="1">
      <c r="A5405" t="inlineStr">
        <is>
          <t>A 35919-2023</t>
        </is>
      </c>
      <c r="B5405" s="1" t="n">
        <v>45148.64981481482</v>
      </c>
      <c r="C5405" s="1" t="n">
        <v>45952</v>
      </c>
      <c r="D5405" t="inlineStr">
        <is>
          <t>VÄSTRA GÖTALANDS LÄN</t>
        </is>
      </c>
      <c r="E5405" t="inlineStr">
        <is>
          <t>SKÖVDE</t>
        </is>
      </c>
      <c r="G5405" t="n">
        <v>6.6</v>
      </c>
      <c r="H5405" t="n">
        <v>0</v>
      </c>
      <c r="I5405" t="n">
        <v>0</v>
      </c>
      <c r="J5405" t="n">
        <v>0</v>
      </c>
      <c r="K5405" t="n">
        <v>0</v>
      </c>
      <c r="L5405" t="n">
        <v>0</v>
      </c>
      <c r="M5405" t="n">
        <v>0</v>
      </c>
      <c r="N5405" t="n">
        <v>0</v>
      </c>
      <c r="O5405" t="n">
        <v>0</v>
      </c>
      <c r="P5405" t="n">
        <v>0</v>
      </c>
      <c r="Q5405" t="n">
        <v>0</v>
      </c>
      <c r="R5405" s="2" t="inlineStr"/>
    </row>
    <row r="5406" ht="15" customHeight="1">
      <c r="A5406" t="inlineStr">
        <is>
          <t>A 49134-2021</t>
        </is>
      </c>
      <c r="B5406" s="1" t="n">
        <v>44453</v>
      </c>
      <c r="C5406" s="1" t="n">
        <v>45952</v>
      </c>
      <c r="D5406" t="inlineStr">
        <is>
          <t>VÄSTRA GÖTALANDS LÄN</t>
        </is>
      </c>
      <c r="E5406" t="inlineStr">
        <is>
          <t>ORUST</t>
        </is>
      </c>
      <c r="F5406" t="inlineStr">
        <is>
          <t>Kommuner</t>
        </is>
      </c>
      <c r="G5406" t="n">
        <v>1.8</v>
      </c>
      <c r="H5406" t="n">
        <v>0</v>
      </c>
      <c r="I5406" t="n">
        <v>0</v>
      </c>
      <c r="J5406" t="n">
        <v>0</v>
      </c>
      <c r="K5406" t="n">
        <v>0</v>
      </c>
      <c r="L5406" t="n">
        <v>0</v>
      </c>
      <c r="M5406" t="n">
        <v>0</v>
      </c>
      <c r="N5406" t="n">
        <v>0</v>
      </c>
      <c r="O5406" t="n">
        <v>0</v>
      </c>
      <c r="P5406" t="n">
        <v>0</v>
      </c>
      <c r="Q5406" t="n">
        <v>0</v>
      </c>
      <c r="R5406" s="2" t="inlineStr"/>
    </row>
    <row r="5407" ht="15" customHeight="1">
      <c r="A5407" t="inlineStr">
        <is>
          <t>A 49191-2021</t>
        </is>
      </c>
      <c r="B5407" s="1" t="n">
        <v>44454.33140046296</v>
      </c>
      <c r="C5407" s="1" t="n">
        <v>45952</v>
      </c>
      <c r="D5407" t="inlineStr">
        <is>
          <t>VÄSTRA GÖTALANDS LÄN</t>
        </is>
      </c>
      <c r="E5407" t="inlineStr">
        <is>
          <t>BORÅS</t>
        </is>
      </c>
      <c r="G5407" t="n">
        <v>5.9</v>
      </c>
      <c r="H5407" t="n">
        <v>0</v>
      </c>
      <c r="I5407" t="n">
        <v>0</v>
      </c>
      <c r="J5407" t="n">
        <v>0</v>
      </c>
      <c r="K5407" t="n">
        <v>0</v>
      </c>
      <c r="L5407" t="n">
        <v>0</v>
      </c>
      <c r="M5407" t="n">
        <v>0</v>
      </c>
      <c r="N5407" t="n">
        <v>0</v>
      </c>
      <c r="O5407" t="n">
        <v>0</v>
      </c>
      <c r="P5407" t="n">
        <v>0</v>
      </c>
      <c r="Q5407" t="n">
        <v>0</v>
      </c>
      <c r="R5407" s="2" t="inlineStr"/>
    </row>
    <row r="5408" ht="15" customHeight="1">
      <c r="A5408" t="inlineStr">
        <is>
          <t>A 9802-2021</t>
        </is>
      </c>
      <c r="B5408" s="1" t="n">
        <v>44252.70211805555</v>
      </c>
      <c r="C5408" s="1" t="n">
        <v>45952</v>
      </c>
      <c r="D5408" t="inlineStr">
        <is>
          <t>VÄSTRA GÖTALANDS LÄN</t>
        </is>
      </c>
      <c r="E5408" t="inlineStr">
        <is>
          <t>VÅRGÅRDA</t>
        </is>
      </c>
      <c r="G5408" t="n">
        <v>2.4</v>
      </c>
      <c r="H5408" t="n">
        <v>0</v>
      </c>
      <c r="I5408" t="n">
        <v>0</v>
      </c>
      <c r="J5408" t="n">
        <v>0</v>
      </c>
      <c r="K5408" t="n">
        <v>0</v>
      </c>
      <c r="L5408" t="n">
        <v>0</v>
      </c>
      <c r="M5408" t="n">
        <v>0</v>
      </c>
      <c r="N5408" t="n">
        <v>0</v>
      </c>
      <c r="O5408" t="n">
        <v>0</v>
      </c>
      <c r="P5408" t="n">
        <v>0</v>
      </c>
      <c r="Q5408" t="n">
        <v>0</v>
      </c>
      <c r="R5408" s="2" t="inlineStr"/>
    </row>
    <row r="5409" ht="15" customHeight="1">
      <c r="A5409" t="inlineStr">
        <is>
          <t>A 20190-2022</t>
        </is>
      </c>
      <c r="B5409" s="1" t="n">
        <v>44698</v>
      </c>
      <c r="C5409" s="1" t="n">
        <v>45952</v>
      </c>
      <c r="D5409" t="inlineStr">
        <is>
          <t>VÄSTRA GÖTALANDS LÄN</t>
        </is>
      </c>
      <c r="E5409" t="inlineStr">
        <is>
          <t>TANUM</t>
        </is>
      </c>
      <c r="G5409" t="n">
        <v>1.1</v>
      </c>
      <c r="H5409" t="n">
        <v>0</v>
      </c>
      <c r="I5409" t="n">
        <v>0</v>
      </c>
      <c r="J5409" t="n">
        <v>0</v>
      </c>
      <c r="K5409" t="n">
        <v>0</v>
      </c>
      <c r="L5409" t="n">
        <v>0</v>
      </c>
      <c r="M5409" t="n">
        <v>0</v>
      </c>
      <c r="N5409" t="n">
        <v>0</v>
      </c>
      <c r="O5409" t="n">
        <v>0</v>
      </c>
      <c r="P5409" t="n">
        <v>0</v>
      </c>
      <c r="Q5409" t="n">
        <v>0</v>
      </c>
      <c r="R5409" s="2" t="inlineStr"/>
    </row>
    <row r="5410" ht="15" customHeight="1">
      <c r="A5410" t="inlineStr">
        <is>
          <t>A 9292-2024</t>
        </is>
      </c>
      <c r="B5410" s="1" t="n">
        <v>45358.67704861111</v>
      </c>
      <c r="C5410" s="1" t="n">
        <v>45952</v>
      </c>
      <c r="D5410" t="inlineStr">
        <is>
          <t>VÄSTRA GÖTALANDS LÄN</t>
        </is>
      </c>
      <c r="E5410" t="inlineStr">
        <is>
          <t>DALS-ED</t>
        </is>
      </c>
      <c r="F5410" t="inlineStr">
        <is>
          <t>Övriga Aktiebolag</t>
        </is>
      </c>
      <c r="G5410" t="n">
        <v>26.4</v>
      </c>
      <c r="H5410" t="n">
        <v>0</v>
      </c>
      <c r="I5410" t="n">
        <v>0</v>
      </c>
      <c r="J5410" t="n">
        <v>0</v>
      </c>
      <c r="K5410" t="n">
        <v>0</v>
      </c>
      <c r="L5410" t="n">
        <v>0</v>
      </c>
      <c r="M5410" t="n">
        <v>0</v>
      </c>
      <c r="N5410" t="n">
        <v>0</v>
      </c>
      <c r="O5410" t="n">
        <v>0</v>
      </c>
      <c r="P5410" t="n">
        <v>0</v>
      </c>
      <c r="Q5410" t="n">
        <v>0</v>
      </c>
      <c r="R5410" s="2" t="inlineStr"/>
    </row>
    <row r="5411" ht="15" customHeight="1">
      <c r="A5411" t="inlineStr">
        <is>
          <t>A 9299-2024</t>
        </is>
      </c>
      <c r="B5411" s="1" t="n">
        <v>45358.72425925926</v>
      </c>
      <c r="C5411" s="1" t="n">
        <v>45952</v>
      </c>
      <c r="D5411" t="inlineStr">
        <is>
          <t>VÄSTRA GÖTALANDS LÄN</t>
        </is>
      </c>
      <c r="E5411" t="inlineStr">
        <is>
          <t>SVENLJUNGA</t>
        </is>
      </c>
      <c r="G5411" t="n">
        <v>2.5</v>
      </c>
      <c r="H5411" t="n">
        <v>0</v>
      </c>
      <c r="I5411" t="n">
        <v>0</v>
      </c>
      <c r="J5411" t="n">
        <v>0</v>
      </c>
      <c r="K5411" t="n">
        <v>0</v>
      </c>
      <c r="L5411" t="n">
        <v>0</v>
      </c>
      <c r="M5411" t="n">
        <v>0</v>
      </c>
      <c r="N5411" t="n">
        <v>0</v>
      </c>
      <c r="O5411" t="n">
        <v>0</v>
      </c>
      <c r="P5411" t="n">
        <v>0</v>
      </c>
      <c r="Q5411" t="n">
        <v>0</v>
      </c>
      <c r="R5411" s="2" t="inlineStr"/>
    </row>
    <row r="5412" ht="15" customHeight="1">
      <c r="A5412" t="inlineStr">
        <is>
          <t>A 8965-2025</t>
        </is>
      </c>
      <c r="B5412" s="1" t="n">
        <v>45713.49025462963</v>
      </c>
      <c r="C5412" s="1" t="n">
        <v>45952</v>
      </c>
      <c r="D5412" t="inlineStr">
        <is>
          <t>VÄSTRA GÖTALANDS LÄN</t>
        </is>
      </c>
      <c r="E5412" t="inlineStr">
        <is>
          <t>TÖREBODA</t>
        </is>
      </c>
      <c r="G5412" t="n">
        <v>0.9</v>
      </c>
      <c r="H5412" t="n">
        <v>0</v>
      </c>
      <c r="I5412" t="n">
        <v>0</v>
      </c>
      <c r="J5412" t="n">
        <v>0</v>
      </c>
      <c r="K5412" t="n">
        <v>0</v>
      </c>
      <c r="L5412" t="n">
        <v>0</v>
      </c>
      <c r="M5412" t="n">
        <v>0</v>
      </c>
      <c r="N5412" t="n">
        <v>0</v>
      </c>
      <c r="O5412" t="n">
        <v>0</v>
      </c>
      <c r="P5412" t="n">
        <v>0</v>
      </c>
      <c r="Q5412" t="n">
        <v>0</v>
      </c>
      <c r="R5412" s="2" t="inlineStr"/>
    </row>
    <row r="5413" ht="15" customHeight="1">
      <c r="A5413" t="inlineStr">
        <is>
          <t>A 406-2024</t>
        </is>
      </c>
      <c r="B5413" s="1" t="n">
        <v>45296</v>
      </c>
      <c r="C5413" s="1" t="n">
        <v>45952</v>
      </c>
      <c r="D5413" t="inlineStr">
        <is>
          <t>VÄSTRA GÖTALANDS LÄN</t>
        </is>
      </c>
      <c r="E5413" t="inlineStr">
        <is>
          <t>LILLA EDET</t>
        </is>
      </c>
      <c r="G5413" t="n">
        <v>4.8</v>
      </c>
      <c r="H5413" t="n">
        <v>0</v>
      </c>
      <c r="I5413" t="n">
        <v>0</v>
      </c>
      <c r="J5413" t="n">
        <v>0</v>
      </c>
      <c r="K5413" t="n">
        <v>0</v>
      </c>
      <c r="L5413" t="n">
        <v>0</v>
      </c>
      <c r="M5413" t="n">
        <v>0</v>
      </c>
      <c r="N5413" t="n">
        <v>0</v>
      </c>
      <c r="O5413" t="n">
        <v>0</v>
      </c>
      <c r="P5413" t="n">
        <v>0</v>
      </c>
      <c r="Q5413" t="n">
        <v>0</v>
      </c>
      <c r="R5413" s="2" t="inlineStr"/>
    </row>
    <row r="5414" ht="15" customHeight="1">
      <c r="A5414" t="inlineStr">
        <is>
          <t>A 59311-2024</t>
        </is>
      </c>
      <c r="B5414" s="1" t="n">
        <v>45637.6818287037</v>
      </c>
      <c r="C5414" s="1" t="n">
        <v>45952</v>
      </c>
      <c r="D5414" t="inlineStr">
        <is>
          <t>VÄSTRA GÖTALANDS LÄN</t>
        </is>
      </c>
      <c r="E5414" t="inlineStr">
        <is>
          <t>GRÄSTORP</t>
        </is>
      </c>
      <c r="G5414" t="n">
        <v>0.3</v>
      </c>
      <c r="H5414" t="n">
        <v>0</v>
      </c>
      <c r="I5414" t="n">
        <v>0</v>
      </c>
      <c r="J5414" t="n">
        <v>0</v>
      </c>
      <c r="K5414" t="n">
        <v>0</v>
      </c>
      <c r="L5414" t="n">
        <v>0</v>
      </c>
      <c r="M5414" t="n">
        <v>0</v>
      </c>
      <c r="N5414" t="n">
        <v>0</v>
      </c>
      <c r="O5414" t="n">
        <v>0</v>
      </c>
      <c r="P5414" t="n">
        <v>0</v>
      </c>
      <c r="Q5414" t="n">
        <v>0</v>
      </c>
      <c r="R5414" s="2" t="inlineStr"/>
    </row>
    <row r="5415" ht="15" customHeight="1">
      <c r="A5415" t="inlineStr">
        <is>
          <t>A 37073-2023</t>
        </is>
      </c>
      <c r="B5415" s="1" t="n">
        <v>45154</v>
      </c>
      <c r="C5415" s="1" t="n">
        <v>45952</v>
      </c>
      <c r="D5415" t="inlineStr">
        <is>
          <t>VÄSTRA GÖTALANDS LÄN</t>
        </is>
      </c>
      <c r="E5415" t="inlineStr">
        <is>
          <t>TANUM</t>
        </is>
      </c>
      <c r="G5415" t="n">
        <v>1.2</v>
      </c>
      <c r="H5415" t="n">
        <v>0</v>
      </c>
      <c r="I5415" t="n">
        <v>0</v>
      </c>
      <c r="J5415" t="n">
        <v>0</v>
      </c>
      <c r="K5415" t="n">
        <v>0</v>
      </c>
      <c r="L5415" t="n">
        <v>0</v>
      </c>
      <c r="M5415" t="n">
        <v>0</v>
      </c>
      <c r="N5415" t="n">
        <v>0</v>
      </c>
      <c r="O5415" t="n">
        <v>0</v>
      </c>
      <c r="P5415" t="n">
        <v>0</v>
      </c>
      <c r="Q5415" t="n">
        <v>0</v>
      </c>
      <c r="R5415" s="2" t="inlineStr"/>
    </row>
    <row r="5416" ht="15" customHeight="1">
      <c r="A5416" t="inlineStr">
        <is>
          <t>A 28320-2021</t>
        </is>
      </c>
      <c r="B5416" s="1" t="n">
        <v>44356.34621527778</v>
      </c>
      <c r="C5416" s="1" t="n">
        <v>45952</v>
      </c>
      <c r="D5416" t="inlineStr">
        <is>
          <t>VÄSTRA GÖTALANDS LÄN</t>
        </is>
      </c>
      <c r="E5416" t="inlineStr">
        <is>
          <t>BENGTSFORS</t>
        </is>
      </c>
      <c r="G5416" t="n">
        <v>1.3</v>
      </c>
      <c r="H5416" t="n">
        <v>0</v>
      </c>
      <c r="I5416" t="n">
        <v>0</v>
      </c>
      <c r="J5416" t="n">
        <v>0</v>
      </c>
      <c r="K5416" t="n">
        <v>0</v>
      </c>
      <c r="L5416" t="n">
        <v>0</v>
      </c>
      <c r="M5416" t="n">
        <v>0</v>
      </c>
      <c r="N5416" t="n">
        <v>0</v>
      </c>
      <c r="O5416" t="n">
        <v>0</v>
      </c>
      <c r="P5416" t="n">
        <v>0</v>
      </c>
      <c r="Q5416" t="n">
        <v>0</v>
      </c>
      <c r="R5416" s="2" t="inlineStr"/>
    </row>
    <row r="5417" ht="15" customHeight="1">
      <c r="A5417" t="inlineStr">
        <is>
          <t>A 56335-2024</t>
        </is>
      </c>
      <c r="B5417" s="1" t="n">
        <v>45624.80724537037</v>
      </c>
      <c r="C5417" s="1" t="n">
        <v>45952</v>
      </c>
      <c r="D5417" t="inlineStr">
        <is>
          <t>VÄSTRA GÖTALANDS LÄN</t>
        </is>
      </c>
      <c r="E5417" t="inlineStr">
        <is>
          <t>BOLLEBYGD</t>
        </is>
      </c>
      <c r="G5417" t="n">
        <v>1</v>
      </c>
      <c r="H5417" t="n">
        <v>0</v>
      </c>
      <c r="I5417" t="n">
        <v>0</v>
      </c>
      <c r="J5417" t="n">
        <v>0</v>
      </c>
      <c r="K5417" t="n">
        <v>0</v>
      </c>
      <c r="L5417" t="n">
        <v>0</v>
      </c>
      <c r="M5417" t="n">
        <v>0</v>
      </c>
      <c r="N5417" t="n">
        <v>0</v>
      </c>
      <c r="O5417" t="n">
        <v>0</v>
      </c>
      <c r="P5417" t="n">
        <v>0</v>
      </c>
      <c r="Q5417" t="n">
        <v>0</v>
      </c>
      <c r="R5417" s="2" t="inlineStr"/>
    </row>
    <row r="5418" ht="15" customHeight="1">
      <c r="A5418" t="inlineStr">
        <is>
          <t>A 49718-2024</t>
        </is>
      </c>
      <c r="B5418" s="1" t="n">
        <v>45596.72018518519</v>
      </c>
      <c r="C5418" s="1" t="n">
        <v>45952</v>
      </c>
      <c r="D5418" t="inlineStr">
        <is>
          <t>VÄSTRA GÖTALANDS LÄN</t>
        </is>
      </c>
      <c r="E5418" t="inlineStr">
        <is>
          <t>UDDEVALLA</t>
        </is>
      </c>
      <c r="G5418" t="n">
        <v>0.6</v>
      </c>
      <c r="H5418" t="n">
        <v>0</v>
      </c>
      <c r="I5418" t="n">
        <v>0</v>
      </c>
      <c r="J5418" t="n">
        <v>0</v>
      </c>
      <c r="K5418" t="n">
        <v>0</v>
      </c>
      <c r="L5418" t="n">
        <v>0</v>
      </c>
      <c r="M5418" t="n">
        <v>0</v>
      </c>
      <c r="N5418" t="n">
        <v>0</v>
      </c>
      <c r="O5418" t="n">
        <v>0</v>
      </c>
      <c r="P5418" t="n">
        <v>0</v>
      </c>
      <c r="Q5418" t="n">
        <v>0</v>
      </c>
      <c r="R5418" s="2" t="inlineStr"/>
    </row>
    <row r="5419" ht="15" customHeight="1">
      <c r="A5419" t="inlineStr">
        <is>
          <t>A 40617-2024</t>
        </is>
      </c>
      <c r="B5419" s="1" t="n">
        <v>45557</v>
      </c>
      <c r="C5419" s="1" t="n">
        <v>45952</v>
      </c>
      <c r="D5419" t="inlineStr">
        <is>
          <t>VÄSTRA GÖTALANDS LÄN</t>
        </is>
      </c>
      <c r="E5419" t="inlineStr">
        <is>
          <t>HERRLJUNGA</t>
        </is>
      </c>
      <c r="G5419" t="n">
        <v>1.6</v>
      </c>
      <c r="H5419" t="n">
        <v>0</v>
      </c>
      <c r="I5419" t="n">
        <v>0</v>
      </c>
      <c r="J5419" t="n">
        <v>0</v>
      </c>
      <c r="K5419" t="n">
        <v>0</v>
      </c>
      <c r="L5419" t="n">
        <v>0</v>
      </c>
      <c r="M5419" t="n">
        <v>0</v>
      </c>
      <c r="N5419" t="n">
        <v>0</v>
      </c>
      <c r="O5419" t="n">
        <v>0</v>
      </c>
      <c r="P5419" t="n">
        <v>0</v>
      </c>
      <c r="Q5419" t="n">
        <v>0</v>
      </c>
      <c r="R5419" s="2" t="inlineStr"/>
    </row>
    <row r="5420" ht="15" customHeight="1">
      <c r="A5420" t="inlineStr">
        <is>
          <t>A 17522-2025</t>
        </is>
      </c>
      <c r="B5420" s="1" t="n">
        <v>45757.57973379629</v>
      </c>
      <c r="C5420" s="1" t="n">
        <v>45952</v>
      </c>
      <c r="D5420" t="inlineStr">
        <is>
          <t>VÄSTRA GÖTALANDS LÄN</t>
        </is>
      </c>
      <c r="E5420" t="inlineStr">
        <is>
          <t>TANUM</t>
        </is>
      </c>
      <c r="G5420" t="n">
        <v>5</v>
      </c>
      <c r="H5420" t="n">
        <v>0</v>
      </c>
      <c r="I5420" t="n">
        <v>0</v>
      </c>
      <c r="J5420" t="n">
        <v>0</v>
      </c>
      <c r="K5420" t="n">
        <v>0</v>
      </c>
      <c r="L5420" t="n">
        <v>0</v>
      </c>
      <c r="M5420" t="n">
        <v>0</v>
      </c>
      <c r="N5420" t="n">
        <v>0</v>
      </c>
      <c r="O5420" t="n">
        <v>0</v>
      </c>
      <c r="P5420" t="n">
        <v>0</v>
      </c>
      <c r="Q5420" t="n">
        <v>0</v>
      </c>
      <c r="R5420" s="2" t="inlineStr"/>
    </row>
    <row r="5421" ht="15" customHeight="1">
      <c r="A5421" t="inlineStr">
        <is>
          <t>A 48758-2022</t>
        </is>
      </c>
      <c r="B5421" s="1" t="n">
        <v>44859.58251157407</v>
      </c>
      <c r="C5421" s="1" t="n">
        <v>45952</v>
      </c>
      <c r="D5421" t="inlineStr">
        <is>
          <t>VÄSTRA GÖTALANDS LÄN</t>
        </is>
      </c>
      <c r="E5421" t="inlineStr">
        <is>
          <t>SVENLJUNGA</t>
        </is>
      </c>
      <c r="G5421" t="n">
        <v>1.3</v>
      </c>
      <c r="H5421" t="n">
        <v>0</v>
      </c>
      <c r="I5421" t="n">
        <v>0</v>
      </c>
      <c r="J5421" t="n">
        <v>0</v>
      </c>
      <c r="K5421" t="n">
        <v>0</v>
      </c>
      <c r="L5421" t="n">
        <v>0</v>
      </c>
      <c r="M5421" t="n">
        <v>0</v>
      </c>
      <c r="N5421" t="n">
        <v>0</v>
      </c>
      <c r="O5421" t="n">
        <v>0</v>
      </c>
      <c r="P5421" t="n">
        <v>0</v>
      </c>
      <c r="Q5421" t="n">
        <v>0</v>
      </c>
      <c r="R5421" s="2" t="inlineStr"/>
    </row>
    <row r="5422" ht="15" customHeight="1">
      <c r="A5422" t="inlineStr">
        <is>
          <t>A 17542-2025</t>
        </is>
      </c>
      <c r="B5422" s="1" t="n">
        <v>45757.60574074074</v>
      </c>
      <c r="C5422" s="1" t="n">
        <v>45952</v>
      </c>
      <c r="D5422" t="inlineStr">
        <is>
          <t>VÄSTRA GÖTALANDS LÄN</t>
        </is>
      </c>
      <c r="E5422" t="inlineStr">
        <is>
          <t>VARA</t>
        </is>
      </c>
      <c r="G5422" t="n">
        <v>2.7</v>
      </c>
      <c r="H5422" t="n">
        <v>0</v>
      </c>
      <c r="I5422" t="n">
        <v>0</v>
      </c>
      <c r="J5422" t="n">
        <v>0</v>
      </c>
      <c r="K5422" t="n">
        <v>0</v>
      </c>
      <c r="L5422" t="n">
        <v>0</v>
      </c>
      <c r="M5422" t="n">
        <v>0</v>
      </c>
      <c r="N5422" t="n">
        <v>0</v>
      </c>
      <c r="O5422" t="n">
        <v>0</v>
      </c>
      <c r="P5422" t="n">
        <v>0</v>
      </c>
      <c r="Q5422" t="n">
        <v>0</v>
      </c>
      <c r="R5422" s="2" t="inlineStr"/>
    </row>
    <row r="5423" ht="15" customHeight="1">
      <c r="A5423" t="inlineStr">
        <is>
          <t>A 60624-2021</t>
        </is>
      </c>
      <c r="B5423" s="1" t="n">
        <v>44496.59633101852</v>
      </c>
      <c r="C5423" s="1" t="n">
        <v>45952</v>
      </c>
      <c r="D5423" t="inlineStr">
        <is>
          <t>VÄSTRA GÖTALANDS LÄN</t>
        </is>
      </c>
      <c r="E5423" t="inlineStr">
        <is>
          <t>TANUM</t>
        </is>
      </c>
      <c r="G5423" t="n">
        <v>2.5</v>
      </c>
      <c r="H5423" t="n">
        <v>0</v>
      </c>
      <c r="I5423" t="n">
        <v>0</v>
      </c>
      <c r="J5423" t="n">
        <v>0</v>
      </c>
      <c r="K5423" t="n">
        <v>0</v>
      </c>
      <c r="L5423" t="n">
        <v>0</v>
      </c>
      <c r="M5423" t="n">
        <v>0</v>
      </c>
      <c r="N5423" t="n">
        <v>0</v>
      </c>
      <c r="O5423" t="n">
        <v>0</v>
      </c>
      <c r="P5423" t="n">
        <v>0</v>
      </c>
      <c r="Q5423" t="n">
        <v>0</v>
      </c>
      <c r="R5423" s="2" t="inlineStr"/>
    </row>
    <row r="5424" ht="15" customHeight="1">
      <c r="A5424" t="inlineStr">
        <is>
          <t>A 11916-2023</t>
        </is>
      </c>
      <c r="B5424" s="1" t="n">
        <v>44995.46620370371</v>
      </c>
      <c r="C5424" s="1" t="n">
        <v>45952</v>
      </c>
      <c r="D5424" t="inlineStr">
        <is>
          <t>VÄSTRA GÖTALANDS LÄN</t>
        </is>
      </c>
      <c r="E5424" t="inlineStr">
        <is>
          <t>ÅMÅL</t>
        </is>
      </c>
      <c r="G5424" t="n">
        <v>1.1</v>
      </c>
      <c r="H5424" t="n">
        <v>0</v>
      </c>
      <c r="I5424" t="n">
        <v>0</v>
      </c>
      <c r="J5424" t="n">
        <v>0</v>
      </c>
      <c r="K5424" t="n">
        <v>0</v>
      </c>
      <c r="L5424" t="n">
        <v>0</v>
      </c>
      <c r="M5424" t="n">
        <v>0</v>
      </c>
      <c r="N5424" t="n">
        <v>0</v>
      </c>
      <c r="O5424" t="n">
        <v>0</v>
      </c>
      <c r="P5424" t="n">
        <v>0</v>
      </c>
      <c r="Q5424" t="n">
        <v>0</v>
      </c>
      <c r="R5424" s="2" t="inlineStr"/>
    </row>
    <row r="5425" ht="15" customHeight="1">
      <c r="A5425" t="inlineStr">
        <is>
          <t>A 18175-2025</t>
        </is>
      </c>
      <c r="B5425" s="1" t="n">
        <v>45761.65313657407</v>
      </c>
      <c r="C5425" s="1" t="n">
        <v>45952</v>
      </c>
      <c r="D5425" t="inlineStr">
        <is>
          <t>VÄSTRA GÖTALANDS LÄN</t>
        </is>
      </c>
      <c r="E5425" t="inlineStr">
        <is>
          <t>FÄRGELANDA</t>
        </is>
      </c>
      <c r="G5425" t="n">
        <v>20.5</v>
      </c>
      <c r="H5425" t="n">
        <v>0</v>
      </c>
      <c r="I5425" t="n">
        <v>0</v>
      </c>
      <c r="J5425" t="n">
        <v>0</v>
      </c>
      <c r="K5425" t="n">
        <v>0</v>
      </c>
      <c r="L5425" t="n">
        <v>0</v>
      </c>
      <c r="M5425" t="n">
        <v>0</v>
      </c>
      <c r="N5425" t="n">
        <v>0</v>
      </c>
      <c r="O5425" t="n">
        <v>0</v>
      </c>
      <c r="P5425" t="n">
        <v>0</v>
      </c>
      <c r="Q5425" t="n">
        <v>0</v>
      </c>
      <c r="R5425" s="2" t="inlineStr"/>
    </row>
    <row r="5426" ht="15" customHeight="1">
      <c r="A5426" t="inlineStr">
        <is>
          <t>A 52242-2023</t>
        </is>
      </c>
      <c r="B5426" s="1" t="n">
        <v>45224</v>
      </c>
      <c r="C5426" s="1" t="n">
        <v>45952</v>
      </c>
      <c r="D5426" t="inlineStr">
        <is>
          <t>VÄSTRA GÖTALANDS LÄN</t>
        </is>
      </c>
      <c r="E5426" t="inlineStr">
        <is>
          <t>MARK</t>
        </is>
      </c>
      <c r="G5426" t="n">
        <v>0.8</v>
      </c>
      <c r="H5426" t="n">
        <v>0</v>
      </c>
      <c r="I5426" t="n">
        <v>0</v>
      </c>
      <c r="J5426" t="n">
        <v>0</v>
      </c>
      <c r="K5426" t="n">
        <v>0</v>
      </c>
      <c r="L5426" t="n">
        <v>0</v>
      </c>
      <c r="M5426" t="n">
        <v>0</v>
      </c>
      <c r="N5426" t="n">
        <v>0</v>
      </c>
      <c r="O5426" t="n">
        <v>0</v>
      </c>
      <c r="P5426" t="n">
        <v>0</v>
      </c>
      <c r="Q5426" t="n">
        <v>0</v>
      </c>
      <c r="R5426" s="2" t="inlineStr"/>
    </row>
    <row r="5427" ht="15" customHeight="1">
      <c r="A5427" t="inlineStr">
        <is>
          <t>A 26623-2024</t>
        </is>
      </c>
      <c r="B5427" s="1" t="n">
        <v>45469.75761574074</v>
      </c>
      <c r="C5427" s="1" t="n">
        <v>45952</v>
      </c>
      <c r="D5427" t="inlineStr">
        <is>
          <t>VÄSTRA GÖTALANDS LÄN</t>
        </is>
      </c>
      <c r="E5427" t="inlineStr">
        <is>
          <t>TANUM</t>
        </is>
      </c>
      <c r="G5427" t="n">
        <v>1</v>
      </c>
      <c r="H5427" t="n">
        <v>0</v>
      </c>
      <c r="I5427" t="n">
        <v>0</v>
      </c>
      <c r="J5427" t="n">
        <v>0</v>
      </c>
      <c r="K5427" t="n">
        <v>0</v>
      </c>
      <c r="L5427" t="n">
        <v>0</v>
      </c>
      <c r="M5427" t="n">
        <v>0</v>
      </c>
      <c r="N5427" t="n">
        <v>0</v>
      </c>
      <c r="O5427" t="n">
        <v>0</v>
      </c>
      <c r="P5427" t="n">
        <v>0</v>
      </c>
      <c r="Q5427" t="n">
        <v>0</v>
      </c>
      <c r="R5427" s="2" t="inlineStr"/>
    </row>
    <row r="5428" ht="15" customHeight="1">
      <c r="A5428" t="inlineStr">
        <is>
          <t>A 26699-2022</t>
        </is>
      </c>
      <c r="B5428" s="1" t="n">
        <v>44739.72042824074</v>
      </c>
      <c r="C5428" s="1" t="n">
        <v>45952</v>
      </c>
      <c r="D5428" t="inlineStr">
        <is>
          <t>VÄSTRA GÖTALANDS LÄN</t>
        </is>
      </c>
      <c r="E5428" t="inlineStr">
        <is>
          <t>SKÖVDE</t>
        </is>
      </c>
      <c r="G5428" t="n">
        <v>2.8</v>
      </c>
      <c r="H5428" t="n">
        <v>0</v>
      </c>
      <c r="I5428" t="n">
        <v>0</v>
      </c>
      <c r="J5428" t="n">
        <v>0</v>
      </c>
      <c r="K5428" t="n">
        <v>0</v>
      </c>
      <c r="L5428" t="n">
        <v>0</v>
      </c>
      <c r="M5428" t="n">
        <v>0</v>
      </c>
      <c r="N5428" t="n">
        <v>0</v>
      </c>
      <c r="O5428" t="n">
        <v>0</v>
      </c>
      <c r="P5428" t="n">
        <v>0</v>
      </c>
      <c r="Q5428" t="n">
        <v>0</v>
      </c>
      <c r="R5428" s="2" t="inlineStr"/>
    </row>
    <row r="5429" ht="15" customHeight="1">
      <c r="A5429" t="inlineStr">
        <is>
          <t>A 61943-2022</t>
        </is>
      </c>
      <c r="B5429" s="1" t="n">
        <v>44918.32068287037</v>
      </c>
      <c r="C5429" s="1" t="n">
        <v>45952</v>
      </c>
      <c r="D5429" t="inlineStr">
        <is>
          <t>VÄSTRA GÖTALANDS LÄN</t>
        </is>
      </c>
      <c r="E5429" t="inlineStr">
        <is>
          <t>BENGTSFORS</t>
        </is>
      </c>
      <c r="G5429" t="n">
        <v>0.7</v>
      </c>
      <c r="H5429" t="n">
        <v>0</v>
      </c>
      <c r="I5429" t="n">
        <v>0</v>
      </c>
      <c r="J5429" t="n">
        <v>0</v>
      </c>
      <c r="K5429" t="n">
        <v>0</v>
      </c>
      <c r="L5429" t="n">
        <v>0</v>
      </c>
      <c r="M5429" t="n">
        <v>0</v>
      </c>
      <c r="N5429" t="n">
        <v>0</v>
      </c>
      <c r="O5429" t="n">
        <v>0</v>
      </c>
      <c r="P5429" t="n">
        <v>0</v>
      </c>
      <c r="Q5429" t="n">
        <v>0</v>
      </c>
      <c r="R5429" s="2" t="inlineStr"/>
    </row>
    <row r="5430" ht="15" customHeight="1">
      <c r="A5430" t="inlineStr">
        <is>
          <t>A 8545-2025</t>
        </is>
      </c>
      <c r="B5430" s="1" t="n">
        <v>45709.60859953704</v>
      </c>
      <c r="C5430" s="1" t="n">
        <v>45952</v>
      </c>
      <c r="D5430" t="inlineStr">
        <is>
          <t>VÄSTRA GÖTALANDS LÄN</t>
        </is>
      </c>
      <c r="E5430" t="inlineStr">
        <is>
          <t>TIDAHOLM</t>
        </is>
      </c>
      <c r="G5430" t="n">
        <v>4.1</v>
      </c>
      <c r="H5430" t="n">
        <v>0</v>
      </c>
      <c r="I5430" t="n">
        <v>0</v>
      </c>
      <c r="J5430" t="n">
        <v>0</v>
      </c>
      <c r="K5430" t="n">
        <v>0</v>
      </c>
      <c r="L5430" t="n">
        <v>0</v>
      </c>
      <c r="M5430" t="n">
        <v>0</v>
      </c>
      <c r="N5430" t="n">
        <v>0</v>
      </c>
      <c r="O5430" t="n">
        <v>0</v>
      </c>
      <c r="P5430" t="n">
        <v>0</v>
      </c>
      <c r="Q5430" t="n">
        <v>0</v>
      </c>
      <c r="R5430" s="2" t="inlineStr"/>
    </row>
    <row r="5431" ht="15" customHeight="1">
      <c r="A5431" t="inlineStr">
        <is>
          <t>A 19683-2023</t>
        </is>
      </c>
      <c r="B5431" s="1" t="n">
        <v>45051.42228009259</v>
      </c>
      <c r="C5431" s="1" t="n">
        <v>45952</v>
      </c>
      <c r="D5431" t="inlineStr">
        <is>
          <t>VÄSTRA GÖTALANDS LÄN</t>
        </is>
      </c>
      <c r="E5431" t="inlineStr">
        <is>
          <t>GÖTENE</t>
        </is>
      </c>
      <c r="G5431" t="n">
        <v>2.3</v>
      </c>
      <c r="H5431" t="n">
        <v>0</v>
      </c>
      <c r="I5431" t="n">
        <v>0</v>
      </c>
      <c r="J5431" t="n">
        <v>0</v>
      </c>
      <c r="K5431" t="n">
        <v>0</v>
      </c>
      <c r="L5431" t="n">
        <v>0</v>
      </c>
      <c r="M5431" t="n">
        <v>0</v>
      </c>
      <c r="N5431" t="n">
        <v>0</v>
      </c>
      <c r="O5431" t="n">
        <v>0</v>
      </c>
      <c r="P5431" t="n">
        <v>0</v>
      </c>
      <c r="Q5431" t="n">
        <v>0</v>
      </c>
      <c r="R5431" s="2" t="inlineStr"/>
    </row>
    <row r="5432" ht="15" customHeight="1">
      <c r="A5432" t="inlineStr">
        <is>
          <t>A 43435-2024</t>
        </is>
      </c>
      <c r="B5432" s="1" t="n">
        <v>45568.64648148148</v>
      </c>
      <c r="C5432" s="1" t="n">
        <v>45952</v>
      </c>
      <c r="D5432" t="inlineStr">
        <is>
          <t>VÄSTRA GÖTALANDS LÄN</t>
        </is>
      </c>
      <c r="E5432" t="inlineStr">
        <is>
          <t>ALINGSÅS</t>
        </is>
      </c>
      <c r="G5432" t="n">
        <v>4.8</v>
      </c>
      <c r="H5432" t="n">
        <v>0</v>
      </c>
      <c r="I5432" t="n">
        <v>0</v>
      </c>
      <c r="J5432" t="n">
        <v>0</v>
      </c>
      <c r="K5432" t="n">
        <v>0</v>
      </c>
      <c r="L5432" t="n">
        <v>0</v>
      </c>
      <c r="M5432" t="n">
        <v>0</v>
      </c>
      <c r="N5432" t="n">
        <v>0</v>
      </c>
      <c r="O5432" t="n">
        <v>0</v>
      </c>
      <c r="P5432" t="n">
        <v>0</v>
      </c>
      <c r="Q5432" t="n">
        <v>0</v>
      </c>
      <c r="R5432" s="2" t="inlineStr"/>
    </row>
    <row r="5433" ht="15" customHeight="1">
      <c r="A5433" t="inlineStr">
        <is>
          <t>A 20284-2022</t>
        </is>
      </c>
      <c r="B5433" s="1" t="n">
        <v>44698.75375</v>
      </c>
      <c r="C5433" s="1" t="n">
        <v>45952</v>
      </c>
      <c r="D5433" t="inlineStr">
        <is>
          <t>VÄSTRA GÖTALANDS LÄN</t>
        </is>
      </c>
      <c r="E5433" t="inlineStr">
        <is>
          <t>BENGTSFORS</t>
        </is>
      </c>
      <c r="G5433" t="n">
        <v>1</v>
      </c>
      <c r="H5433" t="n">
        <v>0</v>
      </c>
      <c r="I5433" t="n">
        <v>0</v>
      </c>
      <c r="J5433" t="n">
        <v>0</v>
      </c>
      <c r="K5433" t="n">
        <v>0</v>
      </c>
      <c r="L5433" t="n">
        <v>0</v>
      </c>
      <c r="M5433" t="n">
        <v>0</v>
      </c>
      <c r="N5433" t="n">
        <v>0</v>
      </c>
      <c r="O5433" t="n">
        <v>0</v>
      </c>
      <c r="P5433" t="n">
        <v>0</v>
      </c>
      <c r="Q5433" t="n">
        <v>0</v>
      </c>
      <c r="R5433" s="2" t="inlineStr"/>
    </row>
    <row r="5434" ht="15" customHeight="1">
      <c r="A5434" t="inlineStr">
        <is>
          <t>A 15952-2025</t>
        </is>
      </c>
      <c r="B5434" s="1" t="n">
        <v>45749.50174768519</v>
      </c>
      <c r="C5434" s="1" t="n">
        <v>45952</v>
      </c>
      <c r="D5434" t="inlineStr">
        <is>
          <t>VÄSTRA GÖTALANDS LÄN</t>
        </is>
      </c>
      <c r="E5434" t="inlineStr">
        <is>
          <t>SKÖVDE</t>
        </is>
      </c>
      <c r="F5434" t="inlineStr">
        <is>
          <t>Kommuner</t>
        </is>
      </c>
      <c r="G5434" t="n">
        <v>0.7</v>
      </c>
      <c r="H5434" t="n">
        <v>0</v>
      </c>
      <c r="I5434" t="n">
        <v>0</v>
      </c>
      <c r="J5434" t="n">
        <v>0</v>
      </c>
      <c r="K5434" t="n">
        <v>0</v>
      </c>
      <c r="L5434" t="n">
        <v>0</v>
      </c>
      <c r="M5434" t="n">
        <v>0</v>
      </c>
      <c r="N5434" t="n">
        <v>0</v>
      </c>
      <c r="O5434" t="n">
        <v>0</v>
      </c>
      <c r="P5434" t="n">
        <v>0</v>
      </c>
      <c r="Q5434" t="n">
        <v>0</v>
      </c>
      <c r="R5434" s="2" t="inlineStr"/>
    </row>
    <row r="5435" ht="15" customHeight="1">
      <c r="A5435" t="inlineStr">
        <is>
          <t>A 15966-2025</t>
        </is>
      </c>
      <c r="B5435" s="1" t="n">
        <v>45749.54398148148</v>
      </c>
      <c r="C5435" s="1" t="n">
        <v>45952</v>
      </c>
      <c r="D5435" t="inlineStr">
        <is>
          <t>VÄSTRA GÖTALANDS LÄN</t>
        </is>
      </c>
      <c r="E5435" t="inlineStr">
        <is>
          <t>BORÅS</t>
        </is>
      </c>
      <c r="G5435" t="n">
        <v>0.5</v>
      </c>
      <c r="H5435" t="n">
        <v>0</v>
      </c>
      <c r="I5435" t="n">
        <v>0</v>
      </c>
      <c r="J5435" t="n">
        <v>0</v>
      </c>
      <c r="K5435" t="n">
        <v>0</v>
      </c>
      <c r="L5435" t="n">
        <v>0</v>
      </c>
      <c r="M5435" t="n">
        <v>0</v>
      </c>
      <c r="N5435" t="n">
        <v>0</v>
      </c>
      <c r="O5435" t="n">
        <v>0</v>
      </c>
      <c r="P5435" t="n">
        <v>0</v>
      </c>
      <c r="Q5435" t="n">
        <v>0</v>
      </c>
      <c r="R5435" s="2" t="inlineStr"/>
    </row>
    <row r="5436" ht="15" customHeight="1">
      <c r="A5436" t="inlineStr">
        <is>
          <t>A 9159-2024</t>
        </is>
      </c>
      <c r="B5436" s="1" t="n">
        <v>45358.39443287037</v>
      </c>
      <c r="C5436" s="1" t="n">
        <v>45952</v>
      </c>
      <c r="D5436" t="inlineStr">
        <is>
          <t>VÄSTRA GÖTALANDS LÄN</t>
        </is>
      </c>
      <c r="E5436" t="inlineStr">
        <is>
          <t>BOLLEBYGD</t>
        </is>
      </c>
      <c r="G5436" t="n">
        <v>0.5</v>
      </c>
      <c r="H5436" t="n">
        <v>0</v>
      </c>
      <c r="I5436" t="n">
        <v>0</v>
      </c>
      <c r="J5436" t="n">
        <v>0</v>
      </c>
      <c r="K5436" t="n">
        <v>0</v>
      </c>
      <c r="L5436" t="n">
        <v>0</v>
      </c>
      <c r="M5436" t="n">
        <v>0</v>
      </c>
      <c r="N5436" t="n">
        <v>0</v>
      </c>
      <c r="O5436" t="n">
        <v>0</v>
      </c>
      <c r="P5436" t="n">
        <v>0</v>
      </c>
      <c r="Q5436" t="n">
        <v>0</v>
      </c>
      <c r="R5436" s="2" t="inlineStr"/>
    </row>
    <row r="5437" ht="15" customHeight="1">
      <c r="A5437" t="inlineStr">
        <is>
          <t>A 8959-2024</t>
        </is>
      </c>
      <c r="B5437" s="1" t="n">
        <v>45357</v>
      </c>
      <c r="C5437" s="1" t="n">
        <v>45952</v>
      </c>
      <c r="D5437" t="inlineStr">
        <is>
          <t>VÄSTRA GÖTALANDS LÄN</t>
        </is>
      </c>
      <c r="E5437" t="inlineStr">
        <is>
          <t>HERRLJUNGA</t>
        </is>
      </c>
      <c r="F5437" t="inlineStr">
        <is>
          <t>Kyrkan</t>
        </is>
      </c>
      <c r="G5437" t="n">
        <v>6.3</v>
      </c>
      <c r="H5437" t="n">
        <v>0</v>
      </c>
      <c r="I5437" t="n">
        <v>0</v>
      </c>
      <c r="J5437" t="n">
        <v>0</v>
      </c>
      <c r="K5437" t="n">
        <v>0</v>
      </c>
      <c r="L5437" t="n">
        <v>0</v>
      </c>
      <c r="M5437" t="n">
        <v>0</v>
      </c>
      <c r="N5437" t="n">
        <v>0</v>
      </c>
      <c r="O5437" t="n">
        <v>0</v>
      </c>
      <c r="P5437" t="n">
        <v>0</v>
      </c>
      <c r="Q5437" t="n">
        <v>0</v>
      </c>
      <c r="R5437" s="2" t="inlineStr"/>
    </row>
    <row r="5438" ht="15" customHeight="1">
      <c r="A5438" t="inlineStr">
        <is>
          <t>A 8982-2024</t>
        </is>
      </c>
      <c r="B5438" s="1" t="n">
        <v>45357.52773148148</v>
      </c>
      <c r="C5438" s="1" t="n">
        <v>45952</v>
      </c>
      <c r="D5438" t="inlineStr">
        <is>
          <t>VÄSTRA GÖTALANDS LÄN</t>
        </is>
      </c>
      <c r="E5438" t="inlineStr">
        <is>
          <t>ULRICEHAMN</t>
        </is>
      </c>
      <c r="F5438" t="inlineStr">
        <is>
          <t>Sveaskog</t>
        </is>
      </c>
      <c r="G5438" t="n">
        <v>1.8</v>
      </c>
      <c r="H5438" t="n">
        <v>0</v>
      </c>
      <c r="I5438" t="n">
        <v>0</v>
      </c>
      <c r="J5438" t="n">
        <v>0</v>
      </c>
      <c r="K5438" t="n">
        <v>0</v>
      </c>
      <c r="L5438" t="n">
        <v>0</v>
      </c>
      <c r="M5438" t="n">
        <v>0</v>
      </c>
      <c r="N5438" t="n">
        <v>0</v>
      </c>
      <c r="O5438" t="n">
        <v>0</v>
      </c>
      <c r="P5438" t="n">
        <v>0</v>
      </c>
      <c r="Q5438" t="n">
        <v>0</v>
      </c>
      <c r="R5438" s="2" t="inlineStr"/>
    </row>
    <row r="5439" ht="15" customHeight="1">
      <c r="A5439" t="inlineStr">
        <is>
          <t>A 14007-2025</t>
        </is>
      </c>
      <c r="B5439" s="1" t="n">
        <v>45740.30517361111</v>
      </c>
      <c r="C5439" s="1" t="n">
        <v>45952</v>
      </c>
      <c r="D5439" t="inlineStr">
        <is>
          <t>VÄSTRA GÖTALANDS LÄN</t>
        </is>
      </c>
      <c r="E5439" t="inlineStr">
        <is>
          <t>TRANEMO</t>
        </is>
      </c>
      <c r="G5439" t="n">
        <v>1</v>
      </c>
      <c r="H5439" t="n">
        <v>0</v>
      </c>
      <c r="I5439" t="n">
        <v>0</v>
      </c>
      <c r="J5439" t="n">
        <v>0</v>
      </c>
      <c r="K5439" t="n">
        <v>0</v>
      </c>
      <c r="L5439" t="n">
        <v>0</v>
      </c>
      <c r="M5439" t="n">
        <v>0</v>
      </c>
      <c r="N5439" t="n">
        <v>0</v>
      </c>
      <c r="O5439" t="n">
        <v>0</v>
      </c>
      <c r="P5439" t="n">
        <v>0</v>
      </c>
      <c r="Q5439" t="n">
        <v>0</v>
      </c>
      <c r="R5439" s="2" t="inlineStr"/>
    </row>
    <row r="5440" ht="15" customHeight="1">
      <c r="A5440" t="inlineStr">
        <is>
          <t>A 14012-2025</t>
        </is>
      </c>
      <c r="B5440" s="1" t="n">
        <v>45740.31439814815</v>
      </c>
      <c r="C5440" s="1" t="n">
        <v>45952</v>
      </c>
      <c r="D5440" t="inlineStr">
        <is>
          <t>VÄSTRA GÖTALANDS LÄN</t>
        </is>
      </c>
      <c r="E5440" t="inlineStr">
        <is>
          <t>SVENLJUNGA</t>
        </is>
      </c>
      <c r="G5440" t="n">
        <v>1.2</v>
      </c>
      <c r="H5440" t="n">
        <v>0</v>
      </c>
      <c r="I5440" t="n">
        <v>0</v>
      </c>
      <c r="J5440" t="n">
        <v>0</v>
      </c>
      <c r="K5440" t="n">
        <v>0</v>
      </c>
      <c r="L5440" t="n">
        <v>0</v>
      </c>
      <c r="M5440" t="n">
        <v>0</v>
      </c>
      <c r="N5440" t="n">
        <v>0</v>
      </c>
      <c r="O5440" t="n">
        <v>0</v>
      </c>
      <c r="P5440" t="n">
        <v>0</v>
      </c>
      <c r="Q5440" t="n">
        <v>0</v>
      </c>
      <c r="R5440" s="2" t="inlineStr"/>
    </row>
    <row r="5441" ht="15" customHeight="1">
      <c r="A5441" t="inlineStr">
        <is>
          <t>A 14018-2025</t>
        </is>
      </c>
      <c r="B5441" s="1" t="n">
        <v>45740.319375</v>
      </c>
      <c r="C5441" s="1" t="n">
        <v>45952</v>
      </c>
      <c r="D5441" t="inlineStr">
        <is>
          <t>VÄSTRA GÖTALANDS LÄN</t>
        </is>
      </c>
      <c r="E5441" t="inlineStr">
        <is>
          <t>FÄRGELANDA</t>
        </is>
      </c>
      <c r="G5441" t="n">
        <v>1.3</v>
      </c>
      <c r="H5441" t="n">
        <v>0</v>
      </c>
      <c r="I5441" t="n">
        <v>0</v>
      </c>
      <c r="J5441" t="n">
        <v>0</v>
      </c>
      <c r="K5441" t="n">
        <v>0</v>
      </c>
      <c r="L5441" t="n">
        <v>0</v>
      </c>
      <c r="M5441" t="n">
        <v>0</v>
      </c>
      <c r="N5441" t="n">
        <v>0</v>
      </c>
      <c r="O5441" t="n">
        <v>0</v>
      </c>
      <c r="P5441" t="n">
        <v>0</v>
      </c>
      <c r="Q5441" t="n">
        <v>0</v>
      </c>
      <c r="R5441" s="2" t="inlineStr"/>
    </row>
    <row r="5442" ht="15" customHeight="1">
      <c r="A5442" t="inlineStr">
        <is>
          <t>A 38514-2024</t>
        </is>
      </c>
      <c r="B5442" s="1" t="n">
        <v>45546.55621527778</v>
      </c>
      <c r="C5442" s="1" t="n">
        <v>45952</v>
      </c>
      <c r="D5442" t="inlineStr">
        <is>
          <t>VÄSTRA GÖTALANDS LÄN</t>
        </is>
      </c>
      <c r="E5442" t="inlineStr">
        <is>
          <t>HERRLJUNGA</t>
        </is>
      </c>
      <c r="G5442" t="n">
        <v>1.9</v>
      </c>
      <c r="H5442" t="n">
        <v>0</v>
      </c>
      <c r="I5442" t="n">
        <v>0</v>
      </c>
      <c r="J5442" t="n">
        <v>0</v>
      </c>
      <c r="K5442" t="n">
        <v>0</v>
      </c>
      <c r="L5442" t="n">
        <v>0</v>
      </c>
      <c r="M5442" t="n">
        <v>0</v>
      </c>
      <c r="N5442" t="n">
        <v>0</v>
      </c>
      <c r="O5442" t="n">
        <v>0</v>
      </c>
      <c r="P5442" t="n">
        <v>0</v>
      </c>
      <c r="Q5442" t="n">
        <v>0</v>
      </c>
      <c r="R5442" s="2" t="inlineStr"/>
    </row>
    <row r="5443" ht="15" customHeight="1">
      <c r="A5443" t="inlineStr">
        <is>
          <t>A 24514-2024</t>
        </is>
      </c>
      <c r="B5443" s="1" t="n">
        <v>45458</v>
      </c>
      <c r="C5443" s="1" t="n">
        <v>45952</v>
      </c>
      <c r="D5443" t="inlineStr">
        <is>
          <t>VÄSTRA GÖTALANDS LÄN</t>
        </is>
      </c>
      <c r="E5443" t="inlineStr">
        <is>
          <t>STRÖMSTAD</t>
        </is>
      </c>
      <c r="G5443" t="n">
        <v>1.8</v>
      </c>
      <c r="H5443" t="n">
        <v>0</v>
      </c>
      <c r="I5443" t="n">
        <v>0</v>
      </c>
      <c r="J5443" t="n">
        <v>0</v>
      </c>
      <c r="K5443" t="n">
        <v>0</v>
      </c>
      <c r="L5443" t="n">
        <v>0</v>
      </c>
      <c r="M5443" t="n">
        <v>0</v>
      </c>
      <c r="N5443" t="n">
        <v>0</v>
      </c>
      <c r="O5443" t="n">
        <v>0</v>
      </c>
      <c r="P5443" t="n">
        <v>0</v>
      </c>
      <c r="Q5443" t="n">
        <v>0</v>
      </c>
      <c r="R5443" s="2" t="inlineStr"/>
    </row>
    <row r="5444" ht="15" customHeight="1">
      <c r="A5444" t="inlineStr">
        <is>
          <t>A 24869-2023</t>
        </is>
      </c>
      <c r="B5444" s="1" t="n">
        <v>45085</v>
      </c>
      <c r="C5444" s="1" t="n">
        <v>45952</v>
      </c>
      <c r="D5444" t="inlineStr">
        <is>
          <t>VÄSTRA GÖTALANDS LÄN</t>
        </is>
      </c>
      <c r="E5444" t="inlineStr">
        <is>
          <t>FALKÖPING</t>
        </is>
      </c>
      <c r="G5444" t="n">
        <v>1.3</v>
      </c>
      <c r="H5444" t="n">
        <v>0</v>
      </c>
      <c r="I5444" t="n">
        <v>0</v>
      </c>
      <c r="J5444" t="n">
        <v>0</v>
      </c>
      <c r="K5444" t="n">
        <v>0</v>
      </c>
      <c r="L5444" t="n">
        <v>0</v>
      </c>
      <c r="M5444" t="n">
        <v>0</v>
      </c>
      <c r="N5444" t="n">
        <v>0</v>
      </c>
      <c r="O5444" t="n">
        <v>0</v>
      </c>
      <c r="P5444" t="n">
        <v>0</v>
      </c>
      <c r="Q5444" t="n">
        <v>0</v>
      </c>
      <c r="R5444" s="2" t="inlineStr"/>
    </row>
    <row r="5445" ht="15" customHeight="1">
      <c r="A5445" t="inlineStr">
        <is>
          <t>A 24880-2023</t>
        </is>
      </c>
      <c r="B5445" s="1" t="n">
        <v>45085</v>
      </c>
      <c r="C5445" s="1" t="n">
        <v>45952</v>
      </c>
      <c r="D5445" t="inlineStr">
        <is>
          <t>VÄSTRA GÖTALANDS LÄN</t>
        </is>
      </c>
      <c r="E5445" t="inlineStr">
        <is>
          <t>TANUM</t>
        </is>
      </c>
      <c r="G5445" t="n">
        <v>0.7</v>
      </c>
      <c r="H5445" t="n">
        <v>0</v>
      </c>
      <c r="I5445" t="n">
        <v>0</v>
      </c>
      <c r="J5445" t="n">
        <v>0</v>
      </c>
      <c r="K5445" t="n">
        <v>0</v>
      </c>
      <c r="L5445" t="n">
        <v>0</v>
      </c>
      <c r="M5445" t="n">
        <v>0</v>
      </c>
      <c r="N5445" t="n">
        <v>0</v>
      </c>
      <c r="O5445" t="n">
        <v>0</v>
      </c>
      <c r="P5445" t="n">
        <v>0</v>
      </c>
      <c r="Q5445" t="n">
        <v>0</v>
      </c>
      <c r="R5445" s="2" t="inlineStr"/>
    </row>
    <row r="5446" ht="15" customHeight="1">
      <c r="A5446" t="inlineStr">
        <is>
          <t>A 9762-2025</t>
        </is>
      </c>
      <c r="B5446" s="1" t="n">
        <v>45716.47924768519</v>
      </c>
      <c r="C5446" s="1" t="n">
        <v>45952</v>
      </c>
      <c r="D5446" t="inlineStr">
        <is>
          <t>VÄSTRA GÖTALANDS LÄN</t>
        </is>
      </c>
      <c r="E5446" t="inlineStr">
        <is>
          <t>GÖTENE</t>
        </is>
      </c>
      <c r="F5446" t="inlineStr">
        <is>
          <t>Sveaskog</t>
        </is>
      </c>
      <c r="G5446" t="n">
        <v>2.3</v>
      </c>
      <c r="H5446" t="n">
        <v>0</v>
      </c>
      <c r="I5446" t="n">
        <v>0</v>
      </c>
      <c r="J5446" t="n">
        <v>0</v>
      </c>
      <c r="K5446" t="n">
        <v>0</v>
      </c>
      <c r="L5446" t="n">
        <v>0</v>
      </c>
      <c r="M5446" t="n">
        <v>0</v>
      </c>
      <c r="N5446" t="n">
        <v>0</v>
      </c>
      <c r="O5446" t="n">
        <v>0</v>
      </c>
      <c r="P5446" t="n">
        <v>0</v>
      </c>
      <c r="Q5446" t="n">
        <v>0</v>
      </c>
      <c r="R5446" s="2" t="inlineStr"/>
    </row>
    <row r="5447" ht="15" customHeight="1">
      <c r="A5447" t="inlineStr">
        <is>
          <t>A 9764-2025</t>
        </is>
      </c>
      <c r="B5447" s="1" t="n">
        <v>45716.47998842593</v>
      </c>
      <c r="C5447" s="1" t="n">
        <v>45952</v>
      </c>
      <c r="D5447" t="inlineStr">
        <is>
          <t>VÄSTRA GÖTALANDS LÄN</t>
        </is>
      </c>
      <c r="E5447" t="inlineStr">
        <is>
          <t>TANUM</t>
        </is>
      </c>
      <c r="G5447" t="n">
        <v>1.3</v>
      </c>
      <c r="H5447" t="n">
        <v>0</v>
      </c>
      <c r="I5447" t="n">
        <v>0</v>
      </c>
      <c r="J5447" t="n">
        <v>0</v>
      </c>
      <c r="K5447" t="n">
        <v>0</v>
      </c>
      <c r="L5447" t="n">
        <v>0</v>
      </c>
      <c r="M5447" t="n">
        <v>0</v>
      </c>
      <c r="N5447" t="n">
        <v>0</v>
      </c>
      <c r="O5447" t="n">
        <v>0</v>
      </c>
      <c r="P5447" t="n">
        <v>0</v>
      </c>
      <c r="Q5447" t="n">
        <v>0</v>
      </c>
      <c r="R5447" s="2" t="inlineStr"/>
    </row>
    <row r="5448" ht="15" customHeight="1">
      <c r="A5448" t="inlineStr">
        <is>
          <t>A 11153-2023</t>
        </is>
      </c>
      <c r="B5448" s="1" t="n">
        <v>44992.52275462963</v>
      </c>
      <c r="C5448" s="1" t="n">
        <v>45952</v>
      </c>
      <c r="D5448" t="inlineStr">
        <is>
          <t>VÄSTRA GÖTALANDS LÄN</t>
        </is>
      </c>
      <c r="E5448" t="inlineStr">
        <is>
          <t>BORÅS</t>
        </is>
      </c>
      <c r="G5448" t="n">
        <v>0.6</v>
      </c>
      <c r="H5448" t="n">
        <v>0</v>
      </c>
      <c r="I5448" t="n">
        <v>0</v>
      </c>
      <c r="J5448" t="n">
        <v>0</v>
      </c>
      <c r="K5448" t="n">
        <v>0</v>
      </c>
      <c r="L5448" t="n">
        <v>0</v>
      </c>
      <c r="M5448" t="n">
        <v>0</v>
      </c>
      <c r="N5448" t="n">
        <v>0</v>
      </c>
      <c r="O5448" t="n">
        <v>0</v>
      </c>
      <c r="P5448" t="n">
        <v>0</v>
      </c>
      <c r="Q5448" t="n">
        <v>0</v>
      </c>
      <c r="R5448" s="2" t="inlineStr"/>
    </row>
    <row r="5449" ht="15" customHeight="1">
      <c r="A5449" t="inlineStr">
        <is>
          <t>A 60252-2023</t>
        </is>
      </c>
      <c r="B5449" s="1" t="n">
        <v>45258.65349537037</v>
      </c>
      <c r="C5449" s="1" t="n">
        <v>45952</v>
      </c>
      <c r="D5449" t="inlineStr">
        <is>
          <t>VÄSTRA GÖTALANDS LÄN</t>
        </is>
      </c>
      <c r="E5449" t="inlineStr">
        <is>
          <t>TIDAHOLM</t>
        </is>
      </c>
      <c r="G5449" t="n">
        <v>0.6</v>
      </c>
      <c r="H5449" t="n">
        <v>0</v>
      </c>
      <c r="I5449" t="n">
        <v>0</v>
      </c>
      <c r="J5449" t="n">
        <v>0</v>
      </c>
      <c r="K5449" t="n">
        <v>0</v>
      </c>
      <c r="L5449" t="n">
        <v>0</v>
      </c>
      <c r="M5449" t="n">
        <v>0</v>
      </c>
      <c r="N5449" t="n">
        <v>0</v>
      </c>
      <c r="O5449" t="n">
        <v>0</v>
      </c>
      <c r="P5449" t="n">
        <v>0</v>
      </c>
      <c r="Q5449" t="n">
        <v>0</v>
      </c>
      <c r="R5449" s="2" t="inlineStr"/>
    </row>
    <row r="5450" ht="15" customHeight="1">
      <c r="A5450" t="inlineStr">
        <is>
          <t>A 4757-2025</t>
        </is>
      </c>
      <c r="B5450" s="1" t="n">
        <v>45688.47015046296</v>
      </c>
      <c r="C5450" s="1" t="n">
        <v>45952</v>
      </c>
      <c r="D5450" t="inlineStr">
        <is>
          <t>VÄSTRA GÖTALANDS LÄN</t>
        </is>
      </c>
      <c r="E5450" t="inlineStr">
        <is>
          <t>BORÅS</t>
        </is>
      </c>
      <c r="G5450" t="n">
        <v>0.5</v>
      </c>
      <c r="H5450" t="n">
        <v>0</v>
      </c>
      <c r="I5450" t="n">
        <v>0</v>
      </c>
      <c r="J5450" t="n">
        <v>0</v>
      </c>
      <c r="K5450" t="n">
        <v>0</v>
      </c>
      <c r="L5450" t="n">
        <v>0</v>
      </c>
      <c r="M5450" t="n">
        <v>0</v>
      </c>
      <c r="N5450" t="n">
        <v>0</v>
      </c>
      <c r="O5450" t="n">
        <v>0</v>
      </c>
      <c r="P5450" t="n">
        <v>0</v>
      </c>
      <c r="Q5450" t="n">
        <v>0</v>
      </c>
      <c r="R5450" s="2" t="inlineStr"/>
    </row>
    <row r="5451" ht="15" customHeight="1">
      <c r="A5451" t="inlineStr">
        <is>
          <t>A 42865-2022</t>
        </is>
      </c>
      <c r="B5451" s="1" t="n">
        <v>44832.74553240741</v>
      </c>
      <c r="C5451" s="1" t="n">
        <v>45952</v>
      </c>
      <c r="D5451" t="inlineStr">
        <is>
          <t>VÄSTRA GÖTALANDS LÄN</t>
        </is>
      </c>
      <c r="E5451" t="inlineStr">
        <is>
          <t>ALINGSÅS</t>
        </is>
      </c>
      <c r="G5451" t="n">
        <v>0.8</v>
      </c>
      <c r="H5451" t="n">
        <v>0</v>
      </c>
      <c r="I5451" t="n">
        <v>0</v>
      </c>
      <c r="J5451" t="n">
        <v>0</v>
      </c>
      <c r="K5451" t="n">
        <v>0</v>
      </c>
      <c r="L5451" t="n">
        <v>0</v>
      </c>
      <c r="M5451" t="n">
        <v>0</v>
      </c>
      <c r="N5451" t="n">
        <v>0</v>
      </c>
      <c r="O5451" t="n">
        <v>0</v>
      </c>
      <c r="P5451" t="n">
        <v>0</v>
      </c>
      <c r="Q5451" t="n">
        <v>0</v>
      </c>
      <c r="R5451" s="2" t="inlineStr"/>
    </row>
    <row r="5452" ht="15" customHeight="1">
      <c r="A5452" t="inlineStr">
        <is>
          <t>A 14291-2024</t>
        </is>
      </c>
      <c r="B5452" s="1" t="n">
        <v>45393.63282407408</v>
      </c>
      <c r="C5452" s="1" t="n">
        <v>45952</v>
      </c>
      <c r="D5452" t="inlineStr">
        <is>
          <t>VÄSTRA GÖTALANDS LÄN</t>
        </is>
      </c>
      <c r="E5452" t="inlineStr">
        <is>
          <t>MARIESTAD</t>
        </is>
      </c>
      <c r="G5452" t="n">
        <v>4.4</v>
      </c>
      <c r="H5452" t="n">
        <v>0</v>
      </c>
      <c r="I5452" t="n">
        <v>0</v>
      </c>
      <c r="J5452" t="n">
        <v>0</v>
      </c>
      <c r="K5452" t="n">
        <v>0</v>
      </c>
      <c r="L5452" t="n">
        <v>0</v>
      </c>
      <c r="M5452" t="n">
        <v>0</v>
      </c>
      <c r="N5452" t="n">
        <v>0</v>
      </c>
      <c r="O5452" t="n">
        <v>0</v>
      </c>
      <c r="P5452" t="n">
        <v>0</v>
      </c>
      <c r="Q5452" t="n">
        <v>0</v>
      </c>
      <c r="R5452" s="2" t="inlineStr"/>
    </row>
    <row r="5453" ht="15" customHeight="1">
      <c r="A5453" t="inlineStr">
        <is>
          <t>A 14309-2024</t>
        </is>
      </c>
      <c r="B5453" s="1" t="n">
        <v>45393.66581018519</v>
      </c>
      <c r="C5453" s="1" t="n">
        <v>45952</v>
      </c>
      <c r="D5453" t="inlineStr">
        <is>
          <t>VÄSTRA GÖTALANDS LÄN</t>
        </is>
      </c>
      <c r="E5453" t="inlineStr">
        <is>
          <t>GULLSPÅNG</t>
        </is>
      </c>
      <c r="F5453" t="inlineStr">
        <is>
          <t>Kommuner</t>
        </is>
      </c>
      <c r="G5453" t="n">
        <v>6</v>
      </c>
      <c r="H5453" t="n">
        <v>0</v>
      </c>
      <c r="I5453" t="n">
        <v>0</v>
      </c>
      <c r="J5453" t="n">
        <v>0</v>
      </c>
      <c r="K5453" t="n">
        <v>0</v>
      </c>
      <c r="L5453" t="n">
        <v>0</v>
      </c>
      <c r="M5453" t="n">
        <v>0</v>
      </c>
      <c r="N5453" t="n">
        <v>0</v>
      </c>
      <c r="O5453" t="n">
        <v>0</v>
      </c>
      <c r="P5453" t="n">
        <v>0</v>
      </c>
      <c r="Q5453" t="n">
        <v>0</v>
      </c>
      <c r="R5453" s="2" t="inlineStr"/>
    </row>
    <row r="5454" ht="15" customHeight="1">
      <c r="A5454" t="inlineStr">
        <is>
          <t>A 2128-2024</t>
        </is>
      </c>
      <c r="B5454" s="1" t="n">
        <v>45309</v>
      </c>
      <c r="C5454" s="1" t="n">
        <v>45952</v>
      </c>
      <c r="D5454" t="inlineStr">
        <is>
          <t>VÄSTRA GÖTALANDS LÄN</t>
        </is>
      </c>
      <c r="E5454" t="inlineStr">
        <is>
          <t>TÖREBODA</t>
        </is>
      </c>
      <c r="G5454" t="n">
        <v>2.5</v>
      </c>
      <c r="H5454" t="n">
        <v>0</v>
      </c>
      <c r="I5454" t="n">
        <v>0</v>
      </c>
      <c r="J5454" t="n">
        <v>0</v>
      </c>
      <c r="K5454" t="n">
        <v>0</v>
      </c>
      <c r="L5454" t="n">
        <v>0</v>
      </c>
      <c r="M5454" t="n">
        <v>0</v>
      </c>
      <c r="N5454" t="n">
        <v>0</v>
      </c>
      <c r="O5454" t="n">
        <v>0</v>
      </c>
      <c r="P5454" t="n">
        <v>0</v>
      </c>
      <c r="Q5454" t="n">
        <v>0</v>
      </c>
      <c r="R5454" s="2" t="inlineStr"/>
    </row>
    <row r="5455" ht="15" customHeight="1">
      <c r="A5455" t="inlineStr">
        <is>
          <t>A 66945-2021</t>
        </is>
      </c>
      <c r="B5455" s="1" t="n">
        <v>44522</v>
      </c>
      <c r="C5455" s="1" t="n">
        <v>45952</v>
      </c>
      <c r="D5455" t="inlineStr">
        <is>
          <t>VÄSTRA GÖTALANDS LÄN</t>
        </is>
      </c>
      <c r="E5455" t="inlineStr">
        <is>
          <t>TANUM</t>
        </is>
      </c>
      <c r="G5455" t="n">
        <v>0.8</v>
      </c>
      <c r="H5455" t="n">
        <v>0</v>
      </c>
      <c r="I5455" t="n">
        <v>0</v>
      </c>
      <c r="J5455" t="n">
        <v>0</v>
      </c>
      <c r="K5455" t="n">
        <v>0</v>
      </c>
      <c r="L5455" t="n">
        <v>0</v>
      </c>
      <c r="M5455" t="n">
        <v>0</v>
      </c>
      <c r="N5455" t="n">
        <v>0</v>
      </c>
      <c r="O5455" t="n">
        <v>0</v>
      </c>
      <c r="P5455" t="n">
        <v>0</v>
      </c>
      <c r="Q5455" t="n">
        <v>0</v>
      </c>
      <c r="R5455" s="2" t="inlineStr"/>
    </row>
    <row r="5456" ht="15" customHeight="1">
      <c r="A5456" t="inlineStr">
        <is>
          <t>A 28702-2024</t>
        </is>
      </c>
      <c r="B5456" s="1" t="n">
        <v>45478.5044212963</v>
      </c>
      <c r="C5456" s="1" t="n">
        <v>45952</v>
      </c>
      <c r="D5456" t="inlineStr">
        <is>
          <t>VÄSTRA GÖTALANDS LÄN</t>
        </is>
      </c>
      <c r="E5456" t="inlineStr">
        <is>
          <t>FÄRGELANDA</t>
        </is>
      </c>
      <c r="G5456" t="n">
        <v>5.2</v>
      </c>
      <c r="H5456" t="n">
        <v>0</v>
      </c>
      <c r="I5456" t="n">
        <v>0</v>
      </c>
      <c r="J5456" t="n">
        <v>0</v>
      </c>
      <c r="K5456" t="n">
        <v>0</v>
      </c>
      <c r="L5456" t="n">
        <v>0</v>
      </c>
      <c r="M5456" t="n">
        <v>0</v>
      </c>
      <c r="N5456" t="n">
        <v>0</v>
      </c>
      <c r="O5456" t="n">
        <v>0</v>
      </c>
      <c r="P5456" t="n">
        <v>0</v>
      </c>
      <c r="Q5456" t="n">
        <v>0</v>
      </c>
      <c r="R5456" s="2" t="inlineStr"/>
    </row>
    <row r="5457" ht="15" customHeight="1">
      <c r="A5457" t="inlineStr">
        <is>
          <t>A 10560-2025</t>
        </is>
      </c>
      <c r="B5457" s="1" t="n">
        <v>45721.5255787037</v>
      </c>
      <c r="C5457" s="1" t="n">
        <v>45952</v>
      </c>
      <c r="D5457" t="inlineStr">
        <is>
          <t>VÄSTRA GÖTALANDS LÄN</t>
        </is>
      </c>
      <c r="E5457" t="inlineStr">
        <is>
          <t>SKÖVDE</t>
        </is>
      </c>
      <c r="G5457" t="n">
        <v>1.6</v>
      </c>
      <c r="H5457" t="n">
        <v>0</v>
      </c>
      <c r="I5457" t="n">
        <v>0</v>
      </c>
      <c r="J5457" t="n">
        <v>0</v>
      </c>
      <c r="K5457" t="n">
        <v>0</v>
      </c>
      <c r="L5457" t="n">
        <v>0</v>
      </c>
      <c r="M5457" t="n">
        <v>0</v>
      </c>
      <c r="N5457" t="n">
        <v>0</v>
      </c>
      <c r="O5457" t="n">
        <v>0</v>
      </c>
      <c r="P5457" t="n">
        <v>0</v>
      </c>
      <c r="Q5457" t="n">
        <v>0</v>
      </c>
      <c r="R5457" s="2" t="inlineStr"/>
    </row>
    <row r="5458" ht="15" customHeight="1">
      <c r="A5458" t="inlineStr">
        <is>
          <t>A 19319-2025</t>
        </is>
      </c>
      <c r="B5458" s="1" t="n">
        <v>45769.57847222222</v>
      </c>
      <c r="C5458" s="1" t="n">
        <v>45952</v>
      </c>
      <c r="D5458" t="inlineStr">
        <is>
          <t>VÄSTRA GÖTALANDS LÄN</t>
        </is>
      </c>
      <c r="E5458" t="inlineStr">
        <is>
          <t>VÅRGÅRDA</t>
        </is>
      </c>
      <c r="G5458" t="n">
        <v>0.9</v>
      </c>
      <c r="H5458" t="n">
        <v>0</v>
      </c>
      <c r="I5458" t="n">
        <v>0</v>
      </c>
      <c r="J5458" t="n">
        <v>0</v>
      </c>
      <c r="K5458" t="n">
        <v>0</v>
      </c>
      <c r="L5458" t="n">
        <v>0</v>
      </c>
      <c r="M5458" t="n">
        <v>0</v>
      </c>
      <c r="N5458" t="n">
        <v>0</v>
      </c>
      <c r="O5458" t="n">
        <v>0</v>
      </c>
      <c r="P5458" t="n">
        <v>0</v>
      </c>
      <c r="Q5458" t="n">
        <v>0</v>
      </c>
      <c r="R5458" s="2" t="inlineStr"/>
    </row>
    <row r="5459" ht="15" customHeight="1">
      <c r="A5459" t="inlineStr">
        <is>
          <t>A 15024-2023</t>
        </is>
      </c>
      <c r="B5459" s="1" t="n">
        <v>45015.62293981481</v>
      </c>
      <c r="C5459" s="1" t="n">
        <v>45952</v>
      </c>
      <c r="D5459" t="inlineStr">
        <is>
          <t>VÄSTRA GÖTALANDS LÄN</t>
        </is>
      </c>
      <c r="E5459" t="inlineStr">
        <is>
          <t>BORÅS</t>
        </is>
      </c>
      <c r="G5459" t="n">
        <v>1.1</v>
      </c>
      <c r="H5459" t="n">
        <v>0</v>
      </c>
      <c r="I5459" t="n">
        <v>0</v>
      </c>
      <c r="J5459" t="n">
        <v>0</v>
      </c>
      <c r="K5459" t="n">
        <v>0</v>
      </c>
      <c r="L5459" t="n">
        <v>0</v>
      </c>
      <c r="M5459" t="n">
        <v>0</v>
      </c>
      <c r="N5459" t="n">
        <v>0</v>
      </c>
      <c r="O5459" t="n">
        <v>0</v>
      </c>
      <c r="P5459" t="n">
        <v>0</v>
      </c>
      <c r="Q5459" t="n">
        <v>0</v>
      </c>
      <c r="R5459" s="2" t="inlineStr"/>
    </row>
    <row r="5460" ht="15" customHeight="1">
      <c r="A5460" t="inlineStr">
        <is>
          <t>A 51666-2024</t>
        </is>
      </c>
      <c r="B5460" s="1" t="n">
        <v>45606.8416087963</v>
      </c>
      <c r="C5460" s="1" t="n">
        <v>45952</v>
      </c>
      <c r="D5460" t="inlineStr">
        <is>
          <t>VÄSTRA GÖTALANDS LÄN</t>
        </is>
      </c>
      <c r="E5460" t="inlineStr">
        <is>
          <t>ULRICEHAMN</t>
        </is>
      </c>
      <c r="G5460" t="n">
        <v>0.2</v>
      </c>
      <c r="H5460" t="n">
        <v>0</v>
      </c>
      <c r="I5460" t="n">
        <v>0</v>
      </c>
      <c r="J5460" t="n">
        <v>0</v>
      </c>
      <c r="K5460" t="n">
        <v>0</v>
      </c>
      <c r="L5460" t="n">
        <v>0</v>
      </c>
      <c r="M5460" t="n">
        <v>0</v>
      </c>
      <c r="N5460" t="n">
        <v>0</v>
      </c>
      <c r="O5460" t="n">
        <v>0</v>
      </c>
      <c r="P5460" t="n">
        <v>0</v>
      </c>
      <c r="Q5460" t="n">
        <v>0</v>
      </c>
      <c r="R5460" s="2" t="inlineStr"/>
    </row>
    <row r="5461" ht="15" customHeight="1">
      <c r="A5461" t="inlineStr">
        <is>
          <t>A 40505-2023</t>
        </is>
      </c>
      <c r="B5461" s="1" t="n">
        <v>45170.40601851852</v>
      </c>
      <c r="C5461" s="1" t="n">
        <v>45952</v>
      </c>
      <c r="D5461" t="inlineStr">
        <is>
          <t>VÄSTRA GÖTALANDS LÄN</t>
        </is>
      </c>
      <c r="E5461" t="inlineStr">
        <is>
          <t>GULLSPÅNG</t>
        </is>
      </c>
      <c r="G5461" t="n">
        <v>0.8</v>
      </c>
      <c r="H5461" t="n">
        <v>0</v>
      </c>
      <c r="I5461" t="n">
        <v>0</v>
      </c>
      <c r="J5461" t="n">
        <v>0</v>
      </c>
      <c r="K5461" t="n">
        <v>0</v>
      </c>
      <c r="L5461" t="n">
        <v>0</v>
      </c>
      <c r="M5461" t="n">
        <v>0</v>
      </c>
      <c r="N5461" t="n">
        <v>0</v>
      </c>
      <c r="O5461" t="n">
        <v>0</v>
      </c>
      <c r="P5461" t="n">
        <v>0</v>
      </c>
      <c r="Q5461" t="n">
        <v>0</v>
      </c>
      <c r="R5461" s="2" t="inlineStr"/>
    </row>
    <row r="5462" ht="15" customHeight="1">
      <c r="A5462" t="inlineStr">
        <is>
          <t>A 47630-2022</t>
        </is>
      </c>
      <c r="B5462" s="1" t="n">
        <v>44852</v>
      </c>
      <c r="C5462" s="1" t="n">
        <v>45952</v>
      </c>
      <c r="D5462" t="inlineStr">
        <is>
          <t>VÄSTRA GÖTALANDS LÄN</t>
        </is>
      </c>
      <c r="E5462" t="inlineStr">
        <is>
          <t>VÄNERSBORG</t>
        </is>
      </c>
      <c r="G5462" t="n">
        <v>3.7</v>
      </c>
      <c r="H5462" t="n">
        <v>0</v>
      </c>
      <c r="I5462" t="n">
        <v>0</v>
      </c>
      <c r="J5462" t="n">
        <v>0</v>
      </c>
      <c r="K5462" t="n">
        <v>0</v>
      </c>
      <c r="L5462" t="n">
        <v>0</v>
      </c>
      <c r="M5462" t="n">
        <v>0</v>
      </c>
      <c r="N5462" t="n">
        <v>0</v>
      </c>
      <c r="O5462" t="n">
        <v>0</v>
      </c>
      <c r="P5462" t="n">
        <v>0</v>
      </c>
      <c r="Q5462" t="n">
        <v>0</v>
      </c>
      <c r="R5462" s="2" t="inlineStr"/>
    </row>
    <row r="5463" ht="15" customHeight="1">
      <c r="A5463" t="inlineStr">
        <is>
          <t>A 6217-2025</t>
        </is>
      </c>
      <c r="B5463" s="1" t="n">
        <v>45696</v>
      </c>
      <c r="C5463" s="1" t="n">
        <v>45952</v>
      </c>
      <c r="D5463" t="inlineStr">
        <is>
          <t>VÄSTRA GÖTALANDS LÄN</t>
        </is>
      </c>
      <c r="E5463" t="inlineStr">
        <is>
          <t>MUNKEDAL</t>
        </is>
      </c>
      <c r="G5463" t="n">
        <v>2.6</v>
      </c>
      <c r="H5463" t="n">
        <v>0</v>
      </c>
      <c r="I5463" t="n">
        <v>0</v>
      </c>
      <c r="J5463" t="n">
        <v>0</v>
      </c>
      <c r="K5463" t="n">
        <v>0</v>
      </c>
      <c r="L5463" t="n">
        <v>0</v>
      </c>
      <c r="M5463" t="n">
        <v>0</v>
      </c>
      <c r="N5463" t="n">
        <v>0</v>
      </c>
      <c r="O5463" t="n">
        <v>0</v>
      </c>
      <c r="P5463" t="n">
        <v>0</v>
      </c>
      <c r="Q5463" t="n">
        <v>0</v>
      </c>
      <c r="R5463" s="2" t="inlineStr"/>
    </row>
    <row r="5464" ht="15" customHeight="1">
      <c r="A5464" t="inlineStr">
        <is>
          <t>A 7725-2024</t>
        </is>
      </c>
      <c r="B5464" s="1" t="n">
        <v>45349</v>
      </c>
      <c r="C5464" s="1" t="n">
        <v>45952</v>
      </c>
      <c r="D5464" t="inlineStr">
        <is>
          <t>VÄSTRA GÖTALANDS LÄN</t>
        </is>
      </c>
      <c r="E5464" t="inlineStr">
        <is>
          <t>UDDEVALLA</t>
        </is>
      </c>
      <c r="G5464" t="n">
        <v>1.8</v>
      </c>
      <c r="H5464" t="n">
        <v>0</v>
      </c>
      <c r="I5464" t="n">
        <v>0</v>
      </c>
      <c r="J5464" t="n">
        <v>0</v>
      </c>
      <c r="K5464" t="n">
        <v>0</v>
      </c>
      <c r="L5464" t="n">
        <v>0</v>
      </c>
      <c r="M5464" t="n">
        <v>0</v>
      </c>
      <c r="N5464" t="n">
        <v>0</v>
      </c>
      <c r="O5464" t="n">
        <v>0</v>
      </c>
      <c r="P5464" t="n">
        <v>0</v>
      </c>
      <c r="Q5464" t="n">
        <v>0</v>
      </c>
      <c r="R5464" s="2" t="inlineStr"/>
    </row>
    <row r="5465" ht="15" customHeight="1">
      <c r="A5465" t="inlineStr">
        <is>
          <t>A 47195-2023</t>
        </is>
      </c>
      <c r="B5465" s="1" t="n">
        <v>45202</v>
      </c>
      <c r="C5465" s="1" t="n">
        <v>45952</v>
      </c>
      <c r="D5465" t="inlineStr">
        <is>
          <t>VÄSTRA GÖTALANDS LÄN</t>
        </is>
      </c>
      <c r="E5465" t="inlineStr">
        <is>
          <t>BENGTSFORS</t>
        </is>
      </c>
      <c r="G5465" t="n">
        <v>5.3</v>
      </c>
      <c r="H5465" t="n">
        <v>0</v>
      </c>
      <c r="I5465" t="n">
        <v>0</v>
      </c>
      <c r="J5465" t="n">
        <v>0</v>
      </c>
      <c r="K5465" t="n">
        <v>0</v>
      </c>
      <c r="L5465" t="n">
        <v>0</v>
      </c>
      <c r="M5465" t="n">
        <v>0</v>
      </c>
      <c r="N5465" t="n">
        <v>0</v>
      </c>
      <c r="O5465" t="n">
        <v>0</v>
      </c>
      <c r="P5465" t="n">
        <v>0</v>
      </c>
      <c r="Q5465" t="n">
        <v>0</v>
      </c>
      <c r="R5465" s="2" t="inlineStr"/>
    </row>
    <row r="5466" ht="15" customHeight="1">
      <c r="A5466" t="inlineStr">
        <is>
          <t>A 16181-2025</t>
        </is>
      </c>
      <c r="B5466" s="1" t="n">
        <v>45750.5753587963</v>
      </c>
      <c r="C5466" s="1" t="n">
        <v>45952</v>
      </c>
      <c r="D5466" t="inlineStr">
        <is>
          <t>VÄSTRA GÖTALANDS LÄN</t>
        </is>
      </c>
      <c r="E5466" t="inlineStr">
        <is>
          <t>BENGTSFORS</t>
        </is>
      </c>
      <c r="G5466" t="n">
        <v>2.5</v>
      </c>
      <c r="H5466" t="n">
        <v>0</v>
      </c>
      <c r="I5466" t="n">
        <v>0</v>
      </c>
      <c r="J5466" t="n">
        <v>0</v>
      </c>
      <c r="K5466" t="n">
        <v>0</v>
      </c>
      <c r="L5466" t="n">
        <v>0</v>
      </c>
      <c r="M5466" t="n">
        <v>0</v>
      </c>
      <c r="N5466" t="n">
        <v>0</v>
      </c>
      <c r="O5466" t="n">
        <v>0</v>
      </c>
      <c r="P5466" t="n">
        <v>0</v>
      </c>
      <c r="Q5466" t="n">
        <v>0</v>
      </c>
      <c r="R5466" s="2" t="inlineStr"/>
    </row>
    <row r="5467" ht="15" customHeight="1">
      <c r="A5467" t="inlineStr">
        <is>
          <t>A 13298-2023</t>
        </is>
      </c>
      <c r="B5467" s="1" t="n">
        <v>45005</v>
      </c>
      <c r="C5467" s="1" t="n">
        <v>45952</v>
      </c>
      <c r="D5467" t="inlineStr">
        <is>
          <t>VÄSTRA GÖTALANDS LÄN</t>
        </is>
      </c>
      <c r="E5467" t="inlineStr">
        <is>
          <t>HERRLJUNGA</t>
        </is>
      </c>
      <c r="G5467" t="n">
        <v>2.5</v>
      </c>
      <c r="H5467" t="n">
        <v>0</v>
      </c>
      <c r="I5467" t="n">
        <v>0</v>
      </c>
      <c r="J5467" t="n">
        <v>0</v>
      </c>
      <c r="K5467" t="n">
        <v>0</v>
      </c>
      <c r="L5467" t="n">
        <v>0</v>
      </c>
      <c r="M5467" t="n">
        <v>0</v>
      </c>
      <c r="N5467" t="n">
        <v>0</v>
      </c>
      <c r="O5467" t="n">
        <v>0</v>
      </c>
      <c r="P5467" t="n">
        <v>0</v>
      </c>
      <c r="Q5467" t="n">
        <v>0</v>
      </c>
      <c r="R5467" s="2" t="inlineStr"/>
    </row>
    <row r="5468" ht="15" customHeight="1">
      <c r="A5468" t="inlineStr">
        <is>
          <t>A 30990-2023</t>
        </is>
      </c>
      <c r="B5468" s="1" t="n">
        <v>45113</v>
      </c>
      <c r="C5468" s="1" t="n">
        <v>45952</v>
      </c>
      <c r="D5468" t="inlineStr">
        <is>
          <t>VÄSTRA GÖTALANDS LÄN</t>
        </is>
      </c>
      <c r="E5468" t="inlineStr">
        <is>
          <t>ÅMÅL</t>
        </is>
      </c>
      <c r="G5468" t="n">
        <v>4.4</v>
      </c>
      <c r="H5468" t="n">
        <v>0</v>
      </c>
      <c r="I5468" t="n">
        <v>0</v>
      </c>
      <c r="J5468" t="n">
        <v>0</v>
      </c>
      <c r="K5468" t="n">
        <v>0</v>
      </c>
      <c r="L5468" t="n">
        <v>0</v>
      </c>
      <c r="M5468" t="n">
        <v>0</v>
      </c>
      <c r="N5468" t="n">
        <v>0</v>
      </c>
      <c r="O5468" t="n">
        <v>0</v>
      </c>
      <c r="P5468" t="n">
        <v>0</v>
      </c>
      <c r="Q5468" t="n">
        <v>0</v>
      </c>
      <c r="R5468" s="2" t="inlineStr"/>
    </row>
    <row r="5469" ht="15" customHeight="1">
      <c r="A5469" t="inlineStr">
        <is>
          <t>A 38705-2025</t>
        </is>
      </c>
      <c r="B5469" s="1" t="n">
        <v>45885.44560185185</v>
      </c>
      <c r="C5469" s="1" t="n">
        <v>45952</v>
      </c>
      <c r="D5469" t="inlineStr">
        <is>
          <t>VÄSTRA GÖTALANDS LÄN</t>
        </is>
      </c>
      <c r="E5469" t="inlineStr">
        <is>
          <t>TÖREBODA</t>
        </is>
      </c>
      <c r="G5469" t="n">
        <v>0.9</v>
      </c>
      <c r="H5469" t="n">
        <v>0</v>
      </c>
      <c r="I5469" t="n">
        <v>0</v>
      </c>
      <c r="J5469" t="n">
        <v>0</v>
      </c>
      <c r="K5469" t="n">
        <v>0</v>
      </c>
      <c r="L5469" t="n">
        <v>0</v>
      </c>
      <c r="M5469" t="n">
        <v>0</v>
      </c>
      <c r="N5469" t="n">
        <v>0</v>
      </c>
      <c r="O5469" t="n">
        <v>0</v>
      </c>
      <c r="P5469" t="n">
        <v>0</v>
      </c>
      <c r="Q5469" t="n">
        <v>0</v>
      </c>
      <c r="R5469" s="2" t="inlineStr"/>
    </row>
    <row r="5470" ht="15" customHeight="1">
      <c r="A5470" t="inlineStr">
        <is>
          <t>A 10837-2024</t>
        </is>
      </c>
      <c r="B5470" s="1" t="n">
        <v>45369.79299768519</v>
      </c>
      <c r="C5470" s="1" t="n">
        <v>45952</v>
      </c>
      <c r="D5470" t="inlineStr">
        <is>
          <t>VÄSTRA GÖTALANDS LÄN</t>
        </is>
      </c>
      <c r="E5470" t="inlineStr">
        <is>
          <t>ÅMÅL</t>
        </is>
      </c>
      <c r="G5470" t="n">
        <v>9</v>
      </c>
      <c r="H5470" t="n">
        <v>0</v>
      </c>
      <c r="I5470" t="n">
        <v>0</v>
      </c>
      <c r="J5470" t="n">
        <v>0</v>
      </c>
      <c r="K5470" t="n">
        <v>0</v>
      </c>
      <c r="L5470" t="n">
        <v>0</v>
      </c>
      <c r="M5470" t="n">
        <v>0</v>
      </c>
      <c r="N5470" t="n">
        <v>0</v>
      </c>
      <c r="O5470" t="n">
        <v>0</v>
      </c>
      <c r="P5470" t="n">
        <v>0</v>
      </c>
      <c r="Q5470" t="n">
        <v>0</v>
      </c>
      <c r="R5470" s="2" t="inlineStr"/>
    </row>
    <row r="5471" ht="15" customHeight="1">
      <c r="A5471" t="inlineStr">
        <is>
          <t>A 63178-2023</t>
        </is>
      </c>
      <c r="B5471" s="1" t="n">
        <v>45273.5790625</v>
      </c>
      <c r="C5471" s="1" t="n">
        <v>45952</v>
      </c>
      <c r="D5471" t="inlineStr">
        <is>
          <t>VÄSTRA GÖTALANDS LÄN</t>
        </is>
      </c>
      <c r="E5471" t="inlineStr">
        <is>
          <t>BORÅS</t>
        </is>
      </c>
      <c r="G5471" t="n">
        <v>2</v>
      </c>
      <c r="H5471" t="n">
        <v>0</v>
      </c>
      <c r="I5471" t="n">
        <v>0</v>
      </c>
      <c r="J5471" t="n">
        <v>0</v>
      </c>
      <c r="K5471" t="n">
        <v>0</v>
      </c>
      <c r="L5471" t="n">
        <v>0</v>
      </c>
      <c r="M5471" t="n">
        <v>0</v>
      </c>
      <c r="N5471" t="n">
        <v>0</v>
      </c>
      <c r="O5471" t="n">
        <v>0</v>
      </c>
      <c r="P5471" t="n">
        <v>0</v>
      </c>
      <c r="Q5471" t="n">
        <v>0</v>
      </c>
      <c r="R5471" s="2" t="inlineStr"/>
    </row>
    <row r="5472" ht="15" customHeight="1">
      <c r="A5472" t="inlineStr">
        <is>
          <t>A 25164-2023</t>
        </is>
      </c>
      <c r="B5472" s="1" t="n">
        <v>45086.51556712963</v>
      </c>
      <c r="C5472" s="1" t="n">
        <v>45952</v>
      </c>
      <c r="D5472" t="inlineStr">
        <is>
          <t>VÄSTRA GÖTALANDS LÄN</t>
        </is>
      </c>
      <c r="E5472" t="inlineStr">
        <is>
          <t>ULRICEHAMN</t>
        </is>
      </c>
      <c r="G5472" t="n">
        <v>0.5</v>
      </c>
      <c r="H5472" t="n">
        <v>0</v>
      </c>
      <c r="I5472" t="n">
        <v>0</v>
      </c>
      <c r="J5472" t="n">
        <v>0</v>
      </c>
      <c r="K5472" t="n">
        <v>0</v>
      </c>
      <c r="L5472" t="n">
        <v>0</v>
      </c>
      <c r="M5472" t="n">
        <v>0</v>
      </c>
      <c r="N5472" t="n">
        <v>0</v>
      </c>
      <c r="O5472" t="n">
        <v>0</v>
      </c>
      <c r="P5472" t="n">
        <v>0</v>
      </c>
      <c r="Q5472" t="n">
        <v>0</v>
      </c>
      <c r="R5472" s="2" t="inlineStr"/>
    </row>
    <row r="5473" ht="15" customHeight="1">
      <c r="A5473" t="inlineStr">
        <is>
          <t>A 11208-2025</t>
        </is>
      </c>
      <c r="B5473" s="1" t="n">
        <v>45726.32662037037</v>
      </c>
      <c r="C5473" s="1" t="n">
        <v>45952</v>
      </c>
      <c r="D5473" t="inlineStr">
        <is>
          <t>VÄSTRA GÖTALANDS LÄN</t>
        </is>
      </c>
      <c r="E5473" t="inlineStr">
        <is>
          <t>SVENLJUNGA</t>
        </is>
      </c>
      <c r="G5473" t="n">
        <v>4.9</v>
      </c>
      <c r="H5473" t="n">
        <v>0</v>
      </c>
      <c r="I5473" t="n">
        <v>0</v>
      </c>
      <c r="J5473" t="n">
        <v>0</v>
      </c>
      <c r="K5473" t="n">
        <v>0</v>
      </c>
      <c r="L5473" t="n">
        <v>0</v>
      </c>
      <c r="M5473" t="n">
        <v>0</v>
      </c>
      <c r="N5473" t="n">
        <v>0</v>
      </c>
      <c r="O5473" t="n">
        <v>0</v>
      </c>
      <c r="P5473" t="n">
        <v>0</v>
      </c>
      <c r="Q5473" t="n">
        <v>0</v>
      </c>
      <c r="R5473" s="2" t="inlineStr"/>
    </row>
    <row r="5474" ht="15" customHeight="1">
      <c r="A5474" t="inlineStr">
        <is>
          <t>A 25746-2024</t>
        </is>
      </c>
      <c r="B5474" s="1" t="n">
        <v>45465.44144675926</v>
      </c>
      <c r="C5474" s="1" t="n">
        <v>45952</v>
      </c>
      <c r="D5474" t="inlineStr">
        <is>
          <t>VÄSTRA GÖTALANDS LÄN</t>
        </is>
      </c>
      <c r="E5474" t="inlineStr">
        <is>
          <t>ALINGSÅS</t>
        </is>
      </c>
      <c r="G5474" t="n">
        <v>1.2</v>
      </c>
      <c r="H5474" t="n">
        <v>0</v>
      </c>
      <c r="I5474" t="n">
        <v>0</v>
      </c>
      <c r="J5474" t="n">
        <v>0</v>
      </c>
      <c r="K5474" t="n">
        <v>0</v>
      </c>
      <c r="L5474" t="n">
        <v>0</v>
      </c>
      <c r="M5474" t="n">
        <v>0</v>
      </c>
      <c r="N5474" t="n">
        <v>0</v>
      </c>
      <c r="O5474" t="n">
        <v>0</v>
      </c>
      <c r="P5474" t="n">
        <v>0</v>
      </c>
      <c r="Q5474" t="n">
        <v>0</v>
      </c>
      <c r="R5474" s="2" t="inlineStr"/>
    </row>
    <row r="5475" ht="15" customHeight="1">
      <c r="A5475" t="inlineStr">
        <is>
          <t>A 5190-2023</t>
        </is>
      </c>
      <c r="B5475" s="1" t="n">
        <v>44959.34690972222</v>
      </c>
      <c r="C5475" s="1" t="n">
        <v>45952</v>
      </c>
      <c r="D5475" t="inlineStr">
        <is>
          <t>VÄSTRA GÖTALANDS LÄN</t>
        </is>
      </c>
      <c r="E5475" t="inlineStr">
        <is>
          <t>ULRICEHAMN</t>
        </is>
      </c>
      <c r="G5475" t="n">
        <v>0.9</v>
      </c>
      <c r="H5475" t="n">
        <v>0</v>
      </c>
      <c r="I5475" t="n">
        <v>0</v>
      </c>
      <c r="J5475" t="n">
        <v>0</v>
      </c>
      <c r="K5475" t="n">
        <v>0</v>
      </c>
      <c r="L5475" t="n">
        <v>0</v>
      </c>
      <c r="M5475" t="n">
        <v>0</v>
      </c>
      <c r="N5475" t="n">
        <v>0</v>
      </c>
      <c r="O5475" t="n">
        <v>0</v>
      </c>
      <c r="P5475" t="n">
        <v>0</v>
      </c>
      <c r="Q5475" t="n">
        <v>0</v>
      </c>
      <c r="R5475" s="2" t="inlineStr"/>
    </row>
    <row r="5476" ht="15" customHeight="1">
      <c r="A5476" t="inlineStr">
        <is>
          <t>A 27451-2023</t>
        </is>
      </c>
      <c r="B5476" s="1" t="n">
        <v>45097.42556712963</v>
      </c>
      <c r="C5476" s="1" t="n">
        <v>45952</v>
      </c>
      <c r="D5476" t="inlineStr">
        <is>
          <t>VÄSTRA GÖTALANDS LÄN</t>
        </is>
      </c>
      <c r="E5476" t="inlineStr">
        <is>
          <t>MARIESTAD</t>
        </is>
      </c>
      <c r="G5476" t="n">
        <v>0.9</v>
      </c>
      <c r="H5476" t="n">
        <v>0</v>
      </c>
      <c r="I5476" t="n">
        <v>0</v>
      </c>
      <c r="J5476" t="n">
        <v>0</v>
      </c>
      <c r="K5476" t="n">
        <v>0</v>
      </c>
      <c r="L5476" t="n">
        <v>0</v>
      </c>
      <c r="M5476" t="n">
        <v>0</v>
      </c>
      <c r="N5476" t="n">
        <v>0</v>
      </c>
      <c r="O5476" t="n">
        <v>0</v>
      </c>
      <c r="P5476" t="n">
        <v>0</v>
      </c>
      <c r="Q5476" t="n">
        <v>0</v>
      </c>
      <c r="R5476" s="2" t="inlineStr"/>
    </row>
    <row r="5477" ht="15" customHeight="1">
      <c r="A5477" t="inlineStr">
        <is>
          <t>A 45952-2024</t>
        </is>
      </c>
      <c r="B5477" s="1" t="n">
        <v>45580.56090277778</v>
      </c>
      <c r="C5477" s="1" t="n">
        <v>45952</v>
      </c>
      <c r="D5477" t="inlineStr">
        <is>
          <t>VÄSTRA GÖTALANDS LÄN</t>
        </is>
      </c>
      <c r="E5477" t="inlineStr">
        <is>
          <t>TANUM</t>
        </is>
      </c>
      <c r="G5477" t="n">
        <v>1.1</v>
      </c>
      <c r="H5477" t="n">
        <v>0</v>
      </c>
      <c r="I5477" t="n">
        <v>0</v>
      </c>
      <c r="J5477" t="n">
        <v>0</v>
      </c>
      <c r="K5477" t="n">
        <v>0</v>
      </c>
      <c r="L5477" t="n">
        <v>0</v>
      </c>
      <c r="M5477" t="n">
        <v>0</v>
      </c>
      <c r="N5477" t="n">
        <v>0</v>
      </c>
      <c r="O5477" t="n">
        <v>0</v>
      </c>
      <c r="P5477" t="n">
        <v>0</v>
      </c>
      <c r="Q5477" t="n">
        <v>0</v>
      </c>
      <c r="R5477" s="2" t="inlineStr"/>
    </row>
    <row r="5478" ht="15" customHeight="1">
      <c r="A5478" t="inlineStr">
        <is>
          <t>A 63265-2023</t>
        </is>
      </c>
      <c r="B5478" s="1" t="n">
        <v>45273.73775462963</v>
      </c>
      <c r="C5478" s="1" t="n">
        <v>45952</v>
      </c>
      <c r="D5478" t="inlineStr">
        <is>
          <t>VÄSTRA GÖTALANDS LÄN</t>
        </is>
      </c>
      <c r="E5478" t="inlineStr">
        <is>
          <t>ULRICEHAMN</t>
        </is>
      </c>
      <c r="G5478" t="n">
        <v>1</v>
      </c>
      <c r="H5478" t="n">
        <v>0</v>
      </c>
      <c r="I5478" t="n">
        <v>0</v>
      </c>
      <c r="J5478" t="n">
        <v>0</v>
      </c>
      <c r="K5478" t="n">
        <v>0</v>
      </c>
      <c r="L5478" t="n">
        <v>0</v>
      </c>
      <c r="M5478" t="n">
        <v>0</v>
      </c>
      <c r="N5478" t="n">
        <v>0</v>
      </c>
      <c r="O5478" t="n">
        <v>0</v>
      </c>
      <c r="P5478" t="n">
        <v>0</v>
      </c>
      <c r="Q5478" t="n">
        <v>0</v>
      </c>
      <c r="R5478" s="2" t="inlineStr"/>
    </row>
    <row r="5479" ht="15" customHeight="1">
      <c r="A5479" t="inlineStr">
        <is>
          <t>A 58929-2022</t>
        </is>
      </c>
      <c r="B5479" s="1" t="n">
        <v>44903</v>
      </c>
      <c r="C5479" s="1" t="n">
        <v>45952</v>
      </c>
      <c r="D5479" t="inlineStr">
        <is>
          <t>VÄSTRA GÖTALANDS LÄN</t>
        </is>
      </c>
      <c r="E5479" t="inlineStr">
        <is>
          <t>SKÖVDE</t>
        </is>
      </c>
      <c r="F5479" t="inlineStr">
        <is>
          <t>Kommuner</t>
        </is>
      </c>
      <c r="G5479" t="n">
        <v>0.4</v>
      </c>
      <c r="H5479" t="n">
        <v>0</v>
      </c>
      <c r="I5479" t="n">
        <v>0</v>
      </c>
      <c r="J5479" t="n">
        <v>0</v>
      </c>
      <c r="K5479" t="n">
        <v>0</v>
      </c>
      <c r="L5479" t="n">
        <v>0</v>
      </c>
      <c r="M5479" t="n">
        <v>0</v>
      </c>
      <c r="N5479" t="n">
        <v>0</v>
      </c>
      <c r="O5479" t="n">
        <v>0</v>
      </c>
      <c r="P5479" t="n">
        <v>0</v>
      </c>
      <c r="Q5479" t="n">
        <v>0</v>
      </c>
      <c r="R5479" s="2" t="inlineStr"/>
    </row>
    <row r="5480" ht="15" customHeight="1">
      <c r="A5480" t="inlineStr">
        <is>
          <t>A 8402-2024</t>
        </is>
      </c>
      <c r="B5480" s="1" t="n">
        <v>45352.78115740741</v>
      </c>
      <c r="C5480" s="1" t="n">
        <v>45952</v>
      </c>
      <c r="D5480" t="inlineStr">
        <is>
          <t>VÄSTRA GÖTALANDS LÄN</t>
        </is>
      </c>
      <c r="E5480" t="inlineStr">
        <is>
          <t>TÖREBODA</t>
        </is>
      </c>
      <c r="G5480" t="n">
        <v>2.7</v>
      </c>
      <c r="H5480" t="n">
        <v>0</v>
      </c>
      <c r="I5480" t="n">
        <v>0</v>
      </c>
      <c r="J5480" t="n">
        <v>0</v>
      </c>
      <c r="K5480" t="n">
        <v>0</v>
      </c>
      <c r="L5480" t="n">
        <v>0</v>
      </c>
      <c r="M5480" t="n">
        <v>0</v>
      </c>
      <c r="N5480" t="n">
        <v>0</v>
      </c>
      <c r="O5480" t="n">
        <v>0</v>
      </c>
      <c r="P5480" t="n">
        <v>0</v>
      </c>
      <c r="Q5480" t="n">
        <v>0</v>
      </c>
      <c r="R5480" s="2" t="inlineStr"/>
    </row>
    <row r="5481" ht="15" customHeight="1">
      <c r="A5481" t="inlineStr">
        <is>
          <t>A 31130-2022</t>
        </is>
      </c>
      <c r="B5481" s="1" t="n">
        <v>44770</v>
      </c>
      <c r="C5481" s="1" t="n">
        <v>45952</v>
      </c>
      <c r="D5481" t="inlineStr">
        <is>
          <t>VÄSTRA GÖTALANDS LÄN</t>
        </is>
      </c>
      <c r="E5481" t="inlineStr">
        <is>
          <t>TRANEMO</t>
        </is>
      </c>
      <c r="G5481" t="n">
        <v>0.9</v>
      </c>
      <c r="H5481" t="n">
        <v>0</v>
      </c>
      <c r="I5481" t="n">
        <v>0</v>
      </c>
      <c r="J5481" t="n">
        <v>0</v>
      </c>
      <c r="K5481" t="n">
        <v>0</v>
      </c>
      <c r="L5481" t="n">
        <v>0</v>
      </c>
      <c r="M5481" t="n">
        <v>0</v>
      </c>
      <c r="N5481" t="n">
        <v>0</v>
      </c>
      <c r="O5481" t="n">
        <v>0</v>
      </c>
      <c r="P5481" t="n">
        <v>0</v>
      </c>
      <c r="Q5481" t="n">
        <v>0</v>
      </c>
      <c r="R5481" s="2" t="inlineStr"/>
    </row>
    <row r="5482" ht="15" customHeight="1">
      <c r="A5482" t="inlineStr">
        <is>
          <t>A 25141-2022</t>
        </is>
      </c>
      <c r="B5482" s="1" t="n">
        <v>44729.53085648148</v>
      </c>
      <c r="C5482" s="1" t="n">
        <v>45952</v>
      </c>
      <c r="D5482" t="inlineStr">
        <is>
          <t>VÄSTRA GÖTALANDS LÄN</t>
        </is>
      </c>
      <c r="E5482" t="inlineStr">
        <is>
          <t>ALINGSÅS</t>
        </is>
      </c>
      <c r="G5482" t="n">
        <v>7.7</v>
      </c>
      <c r="H5482" t="n">
        <v>0</v>
      </c>
      <c r="I5482" t="n">
        <v>0</v>
      </c>
      <c r="J5482" t="n">
        <v>0</v>
      </c>
      <c r="K5482" t="n">
        <v>0</v>
      </c>
      <c r="L5482" t="n">
        <v>0</v>
      </c>
      <c r="M5482" t="n">
        <v>0</v>
      </c>
      <c r="N5482" t="n">
        <v>0</v>
      </c>
      <c r="O5482" t="n">
        <v>0</v>
      </c>
      <c r="P5482" t="n">
        <v>0</v>
      </c>
      <c r="Q5482" t="n">
        <v>0</v>
      </c>
      <c r="R5482" s="2" t="inlineStr"/>
    </row>
    <row r="5483" ht="15" customHeight="1">
      <c r="A5483" t="inlineStr">
        <is>
          <t>A 849-2023</t>
        </is>
      </c>
      <c r="B5483" s="1" t="n">
        <v>44931.57689814815</v>
      </c>
      <c r="C5483" s="1" t="n">
        <v>45952</v>
      </c>
      <c r="D5483" t="inlineStr">
        <is>
          <t>VÄSTRA GÖTALANDS LÄN</t>
        </is>
      </c>
      <c r="E5483" t="inlineStr">
        <is>
          <t>GÖTENE</t>
        </is>
      </c>
      <c r="G5483" t="n">
        <v>3.9</v>
      </c>
      <c r="H5483" t="n">
        <v>0</v>
      </c>
      <c r="I5483" t="n">
        <v>0</v>
      </c>
      <c r="J5483" t="n">
        <v>0</v>
      </c>
      <c r="K5483" t="n">
        <v>0</v>
      </c>
      <c r="L5483" t="n">
        <v>0</v>
      </c>
      <c r="M5483" t="n">
        <v>0</v>
      </c>
      <c r="N5483" t="n">
        <v>0</v>
      </c>
      <c r="O5483" t="n">
        <v>0</v>
      </c>
      <c r="P5483" t="n">
        <v>0</v>
      </c>
      <c r="Q5483" t="n">
        <v>0</v>
      </c>
      <c r="R5483" s="2" t="inlineStr"/>
    </row>
    <row r="5484" ht="15" customHeight="1">
      <c r="A5484" t="inlineStr">
        <is>
          <t>A 19862-2023</t>
        </is>
      </c>
      <c r="B5484" s="1" t="n">
        <v>45053.91832175926</v>
      </c>
      <c r="C5484" s="1" t="n">
        <v>45952</v>
      </c>
      <c r="D5484" t="inlineStr">
        <is>
          <t>VÄSTRA GÖTALANDS LÄN</t>
        </is>
      </c>
      <c r="E5484" t="inlineStr">
        <is>
          <t>BORÅS</t>
        </is>
      </c>
      <c r="G5484" t="n">
        <v>1.2</v>
      </c>
      <c r="H5484" t="n">
        <v>0</v>
      </c>
      <c r="I5484" t="n">
        <v>0</v>
      </c>
      <c r="J5484" t="n">
        <v>0</v>
      </c>
      <c r="K5484" t="n">
        <v>0</v>
      </c>
      <c r="L5484" t="n">
        <v>0</v>
      </c>
      <c r="M5484" t="n">
        <v>0</v>
      </c>
      <c r="N5484" t="n">
        <v>0</v>
      </c>
      <c r="O5484" t="n">
        <v>0</v>
      </c>
      <c r="P5484" t="n">
        <v>0</v>
      </c>
      <c r="Q5484" t="n">
        <v>0</v>
      </c>
      <c r="R5484" s="2" t="inlineStr"/>
    </row>
    <row r="5485" ht="15" customHeight="1">
      <c r="A5485" t="inlineStr">
        <is>
          <t>A 11770-2025</t>
        </is>
      </c>
      <c r="B5485" s="1" t="n">
        <v>45727.68160879629</v>
      </c>
      <c r="C5485" s="1" t="n">
        <v>45952</v>
      </c>
      <c r="D5485" t="inlineStr">
        <is>
          <t>VÄSTRA GÖTALANDS LÄN</t>
        </is>
      </c>
      <c r="E5485" t="inlineStr">
        <is>
          <t>BORÅS</t>
        </is>
      </c>
      <c r="F5485" t="inlineStr">
        <is>
          <t>Kyrkan</t>
        </is>
      </c>
      <c r="G5485" t="n">
        <v>0.7</v>
      </c>
      <c r="H5485" t="n">
        <v>0</v>
      </c>
      <c r="I5485" t="n">
        <v>0</v>
      </c>
      <c r="J5485" t="n">
        <v>0</v>
      </c>
      <c r="K5485" t="n">
        <v>0</v>
      </c>
      <c r="L5485" t="n">
        <v>0</v>
      </c>
      <c r="M5485" t="n">
        <v>0</v>
      </c>
      <c r="N5485" t="n">
        <v>0</v>
      </c>
      <c r="O5485" t="n">
        <v>0</v>
      </c>
      <c r="P5485" t="n">
        <v>0</v>
      </c>
      <c r="Q5485" t="n">
        <v>0</v>
      </c>
      <c r="R5485" s="2" t="inlineStr"/>
    </row>
    <row r="5486" ht="15" customHeight="1">
      <c r="A5486" t="inlineStr">
        <is>
          <t>A 2204-2023</t>
        </is>
      </c>
      <c r="B5486" s="1" t="n">
        <v>44942.38228009259</v>
      </c>
      <c r="C5486" s="1" t="n">
        <v>45952</v>
      </c>
      <c r="D5486" t="inlineStr">
        <is>
          <t>VÄSTRA GÖTALANDS LÄN</t>
        </is>
      </c>
      <c r="E5486" t="inlineStr">
        <is>
          <t>HERRLJUNGA</t>
        </is>
      </c>
      <c r="G5486" t="n">
        <v>2.8</v>
      </c>
      <c r="H5486" t="n">
        <v>0</v>
      </c>
      <c r="I5486" t="n">
        <v>0</v>
      </c>
      <c r="J5486" t="n">
        <v>0</v>
      </c>
      <c r="K5486" t="n">
        <v>0</v>
      </c>
      <c r="L5486" t="n">
        <v>0</v>
      </c>
      <c r="M5486" t="n">
        <v>0</v>
      </c>
      <c r="N5486" t="n">
        <v>0</v>
      </c>
      <c r="O5486" t="n">
        <v>0</v>
      </c>
      <c r="P5486" t="n">
        <v>0</v>
      </c>
      <c r="Q5486" t="n">
        <v>0</v>
      </c>
      <c r="R5486" s="2" t="inlineStr"/>
    </row>
    <row r="5487" ht="15" customHeight="1">
      <c r="A5487" t="inlineStr">
        <is>
          <t>A 34162-2023</t>
        </is>
      </c>
      <c r="B5487" s="1" t="n">
        <v>45137</v>
      </c>
      <c r="C5487" s="1" t="n">
        <v>45952</v>
      </c>
      <c r="D5487" t="inlineStr">
        <is>
          <t>VÄSTRA GÖTALANDS LÄN</t>
        </is>
      </c>
      <c r="E5487" t="inlineStr">
        <is>
          <t>MARK</t>
        </is>
      </c>
      <c r="G5487" t="n">
        <v>9.300000000000001</v>
      </c>
      <c r="H5487" t="n">
        <v>0</v>
      </c>
      <c r="I5487" t="n">
        <v>0</v>
      </c>
      <c r="J5487" t="n">
        <v>0</v>
      </c>
      <c r="K5487" t="n">
        <v>0</v>
      </c>
      <c r="L5487" t="n">
        <v>0</v>
      </c>
      <c r="M5487" t="n">
        <v>0</v>
      </c>
      <c r="N5487" t="n">
        <v>0</v>
      </c>
      <c r="O5487" t="n">
        <v>0</v>
      </c>
      <c r="P5487" t="n">
        <v>0</v>
      </c>
      <c r="Q5487" t="n">
        <v>0</v>
      </c>
      <c r="R5487" s="2" t="inlineStr"/>
    </row>
    <row r="5488" ht="15" customHeight="1">
      <c r="A5488" t="inlineStr">
        <is>
          <t>A 31388-2022</t>
        </is>
      </c>
      <c r="B5488" s="1" t="n">
        <v>44774.62195601852</v>
      </c>
      <c r="C5488" s="1" t="n">
        <v>45952</v>
      </c>
      <c r="D5488" t="inlineStr">
        <is>
          <t>VÄSTRA GÖTALANDS LÄN</t>
        </is>
      </c>
      <c r="E5488" t="inlineStr">
        <is>
          <t>STRÖMSTAD</t>
        </is>
      </c>
      <c r="G5488" t="n">
        <v>3.5</v>
      </c>
      <c r="H5488" t="n">
        <v>0</v>
      </c>
      <c r="I5488" t="n">
        <v>0</v>
      </c>
      <c r="J5488" t="n">
        <v>0</v>
      </c>
      <c r="K5488" t="n">
        <v>0</v>
      </c>
      <c r="L5488" t="n">
        <v>0</v>
      </c>
      <c r="M5488" t="n">
        <v>0</v>
      </c>
      <c r="N5488" t="n">
        <v>0</v>
      </c>
      <c r="O5488" t="n">
        <v>0</v>
      </c>
      <c r="P5488" t="n">
        <v>0</v>
      </c>
      <c r="Q5488" t="n">
        <v>0</v>
      </c>
      <c r="R5488" s="2" t="inlineStr"/>
    </row>
    <row r="5489" ht="15" customHeight="1">
      <c r="A5489" t="inlineStr">
        <is>
          <t>A 34183-2023</t>
        </is>
      </c>
      <c r="B5489" s="1" t="n">
        <v>45138</v>
      </c>
      <c r="C5489" s="1" t="n">
        <v>45952</v>
      </c>
      <c r="D5489" t="inlineStr">
        <is>
          <t>VÄSTRA GÖTALANDS LÄN</t>
        </is>
      </c>
      <c r="E5489" t="inlineStr">
        <is>
          <t>VÄNERSBORG</t>
        </is>
      </c>
      <c r="G5489" t="n">
        <v>5.2</v>
      </c>
      <c r="H5489" t="n">
        <v>0</v>
      </c>
      <c r="I5489" t="n">
        <v>0</v>
      </c>
      <c r="J5489" t="n">
        <v>0</v>
      </c>
      <c r="K5489" t="n">
        <v>0</v>
      </c>
      <c r="L5489" t="n">
        <v>0</v>
      </c>
      <c r="M5489" t="n">
        <v>0</v>
      </c>
      <c r="N5489" t="n">
        <v>0</v>
      </c>
      <c r="O5489" t="n">
        <v>0</v>
      </c>
      <c r="P5489" t="n">
        <v>0</v>
      </c>
      <c r="Q5489" t="n">
        <v>0</v>
      </c>
      <c r="R5489" s="2" t="inlineStr"/>
    </row>
    <row r="5490" ht="15" customHeight="1">
      <c r="A5490" t="inlineStr">
        <is>
          <t>A 13303-2023</t>
        </is>
      </c>
      <c r="B5490" s="1" t="n">
        <v>45005</v>
      </c>
      <c r="C5490" s="1" t="n">
        <v>45952</v>
      </c>
      <c r="D5490" t="inlineStr">
        <is>
          <t>VÄSTRA GÖTALANDS LÄN</t>
        </is>
      </c>
      <c r="E5490" t="inlineStr">
        <is>
          <t>MUNKEDAL</t>
        </is>
      </c>
      <c r="G5490" t="n">
        <v>1.5</v>
      </c>
      <c r="H5490" t="n">
        <v>0</v>
      </c>
      <c r="I5490" t="n">
        <v>0</v>
      </c>
      <c r="J5490" t="n">
        <v>0</v>
      </c>
      <c r="K5490" t="n">
        <v>0</v>
      </c>
      <c r="L5490" t="n">
        <v>0</v>
      </c>
      <c r="M5490" t="n">
        <v>0</v>
      </c>
      <c r="N5490" t="n">
        <v>0</v>
      </c>
      <c r="O5490" t="n">
        <v>0</v>
      </c>
      <c r="P5490" t="n">
        <v>0</v>
      </c>
      <c r="Q5490" t="n">
        <v>0</v>
      </c>
      <c r="R5490" s="2" t="inlineStr"/>
    </row>
    <row r="5491" ht="15" customHeight="1">
      <c r="A5491" t="inlineStr">
        <is>
          <t>A 8152-2023</t>
        </is>
      </c>
      <c r="B5491" s="1" t="n">
        <v>44974</v>
      </c>
      <c r="C5491" s="1" t="n">
        <v>45952</v>
      </c>
      <c r="D5491" t="inlineStr">
        <is>
          <t>VÄSTRA GÖTALANDS LÄN</t>
        </is>
      </c>
      <c r="E5491" t="inlineStr">
        <is>
          <t>MELLERUD</t>
        </is>
      </c>
      <c r="G5491" t="n">
        <v>1.4</v>
      </c>
      <c r="H5491" t="n">
        <v>0</v>
      </c>
      <c r="I5491" t="n">
        <v>0</v>
      </c>
      <c r="J5491" t="n">
        <v>0</v>
      </c>
      <c r="K5491" t="n">
        <v>0</v>
      </c>
      <c r="L5491" t="n">
        <v>0</v>
      </c>
      <c r="M5491" t="n">
        <v>0</v>
      </c>
      <c r="N5491" t="n">
        <v>0</v>
      </c>
      <c r="O5491" t="n">
        <v>0</v>
      </c>
      <c r="P5491" t="n">
        <v>0</v>
      </c>
      <c r="Q5491" t="n">
        <v>0</v>
      </c>
      <c r="R5491" s="2" t="inlineStr"/>
    </row>
    <row r="5492" ht="15" customHeight="1">
      <c r="A5492" t="inlineStr">
        <is>
          <t>A 2693-2023</t>
        </is>
      </c>
      <c r="B5492" s="1" t="n">
        <v>44944.47947916666</v>
      </c>
      <c r="C5492" s="1" t="n">
        <v>45952</v>
      </c>
      <c r="D5492" t="inlineStr">
        <is>
          <t>VÄSTRA GÖTALANDS LÄN</t>
        </is>
      </c>
      <c r="E5492" t="inlineStr">
        <is>
          <t>ULRICEHAMN</t>
        </is>
      </c>
      <c r="G5492" t="n">
        <v>6.6</v>
      </c>
      <c r="H5492" t="n">
        <v>0</v>
      </c>
      <c r="I5492" t="n">
        <v>0</v>
      </c>
      <c r="J5492" t="n">
        <v>0</v>
      </c>
      <c r="K5492" t="n">
        <v>0</v>
      </c>
      <c r="L5492" t="n">
        <v>0</v>
      </c>
      <c r="M5492" t="n">
        <v>0</v>
      </c>
      <c r="N5492" t="n">
        <v>0</v>
      </c>
      <c r="O5492" t="n">
        <v>0</v>
      </c>
      <c r="P5492" t="n">
        <v>0</v>
      </c>
      <c r="Q5492" t="n">
        <v>0</v>
      </c>
      <c r="R5492" s="2" t="inlineStr"/>
    </row>
    <row r="5493" ht="15" customHeight="1">
      <c r="A5493" t="inlineStr">
        <is>
          <t>A 43594-2023</t>
        </is>
      </c>
      <c r="B5493" s="1" t="n">
        <v>45184</v>
      </c>
      <c r="C5493" s="1" t="n">
        <v>45952</v>
      </c>
      <c r="D5493" t="inlineStr">
        <is>
          <t>VÄSTRA GÖTALANDS LÄN</t>
        </is>
      </c>
      <c r="E5493" t="inlineStr">
        <is>
          <t>TANUM</t>
        </is>
      </c>
      <c r="G5493" t="n">
        <v>1.1</v>
      </c>
      <c r="H5493" t="n">
        <v>0</v>
      </c>
      <c r="I5493" t="n">
        <v>0</v>
      </c>
      <c r="J5493" t="n">
        <v>0</v>
      </c>
      <c r="K5493" t="n">
        <v>0</v>
      </c>
      <c r="L5493" t="n">
        <v>0</v>
      </c>
      <c r="M5493" t="n">
        <v>0</v>
      </c>
      <c r="N5493" t="n">
        <v>0</v>
      </c>
      <c r="O5493" t="n">
        <v>0</v>
      </c>
      <c r="P5493" t="n">
        <v>0</v>
      </c>
      <c r="Q5493" t="n">
        <v>0</v>
      </c>
      <c r="R5493" s="2" t="inlineStr"/>
    </row>
    <row r="5494" ht="15" customHeight="1">
      <c r="A5494" t="inlineStr">
        <is>
          <t>A 19557-2023</t>
        </is>
      </c>
      <c r="B5494" s="1" t="n">
        <v>45050</v>
      </c>
      <c r="C5494" s="1" t="n">
        <v>45952</v>
      </c>
      <c r="D5494" t="inlineStr">
        <is>
          <t>VÄSTRA GÖTALANDS LÄN</t>
        </is>
      </c>
      <c r="E5494" t="inlineStr">
        <is>
          <t>BENGTSFORS</t>
        </is>
      </c>
      <c r="G5494" t="n">
        <v>0.7</v>
      </c>
      <c r="H5494" t="n">
        <v>0</v>
      </c>
      <c r="I5494" t="n">
        <v>0</v>
      </c>
      <c r="J5494" t="n">
        <v>0</v>
      </c>
      <c r="K5494" t="n">
        <v>0</v>
      </c>
      <c r="L5494" t="n">
        <v>0</v>
      </c>
      <c r="M5494" t="n">
        <v>0</v>
      </c>
      <c r="N5494" t="n">
        <v>0</v>
      </c>
      <c r="O5494" t="n">
        <v>0</v>
      </c>
      <c r="P5494" t="n">
        <v>0</v>
      </c>
      <c r="Q5494" t="n">
        <v>0</v>
      </c>
      <c r="R5494" s="2" t="inlineStr"/>
    </row>
    <row r="5495" ht="15" customHeight="1">
      <c r="A5495" t="inlineStr">
        <is>
          <t>A 48886-2022</t>
        </is>
      </c>
      <c r="B5495" s="1" t="n">
        <v>44859</v>
      </c>
      <c r="C5495" s="1" t="n">
        <v>45952</v>
      </c>
      <c r="D5495" t="inlineStr">
        <is>
          <t>VÄSTRA GÖTALANDS LÄN</t>
        </is>
      </c>
      <c r="E5495" t="inlineStr">
        <is>
          <t>BORÅS</t>
        </is>
      </c>
      <c r="G5495" t="n">
        <v>2.1</v>
      </c>
      <c r="H5495" t="n">
        <v>0</v>
      </c>
      <c r="I5495" t="n">
        <v>0</v>
      </c>
      <c r="J5495" t="n">
        <v>0</v>
      </c>
      <c r="K5495" t="n">
        <v>0</v>
      </c>
      <c r="L5495" t="n">
        <v>0</v>
      </c>
      <c r="M5495" t="n">
        <v>0</v>
      </c>
      <c r="N5495" t="n">
        <v>0</v>
      </c>
      <c r="O5495" t="n">
        <v>0</v>
      </c>
      <c r="P5495" t="n">
        <v>0</v>
      </c>
      <c r="Q5495" t="n">
        <v>0</v>
      </c>
      <c r="R5495" s="2" t="inlineStr"/>
    </row>
    <row r="5496" ht="15" customHeight="1">
      <c r="A5496" t="inlineStr">
        <is>
          <t>A 23859-2023</t>
        </is>
      </c>
      <c r="B5496" s="1" t="n">
        <v>45075</v>
      </c>
      <c r="C5496" s="1" t="n">
        <v>45952</v>
      </c>
      <c r="D5496" t="inlineStr">
        <is>
          <t>VÄSTRA GÖTALANDS LÄN</t>
        </is>
      </c>
      <c r="E5496" t="inlineStr">
        <is>
          <t>DALS-ED</t>
        </is>
      </c>
      <c r="G5496" t="n">
        <v>2</v>
      </c>
      <c r="H5496" t="n">
        <v>0</v>
      </c>
      <c r="I5496" t="n">
        <v>0</v>
      </c>
      <c r="J5496" t="n">
        <v>0</v>
      </c>
      <c r="K5496" t="n">
        <v>0</v>
      </c>
      <c r="L5496" t="n">
        <v>0</v>
      </c>
      <c r="M5496" t="n">
        <v>0</v>
      </c>
      <c r="N5496" t="n">
        <v>0</v>
      </c>
      <c r="O5496" t="n">
        <v>0</v>
      </c>
      <c r="P5496" t="n">
        <v>0</v>
      </c>
      <c r="Q5496" t="n">
        <v>0</v>
      </c>
      <c r="R5496" s="2" t="inlineStr"/>
    </row>
    <row r="5497" ht="15" customHeight="1">
      <c r="A5497" t="inlineStr">
        <is>
          <t>A 38706-2025</t>
        </is>
      </c>
      <c r="B5497" s="1" t="n">
        <v>45885.4540162037</v>
      </c>
      <c r="C5497" s="1" t="n">
        <v>45952</v>
      </c>
      <c r="D5497" t="inlineStr">
        <is>
          <t>VÄSTRA GÖTALANDS LÄN</t>
        </is>
      </c>
      <c r="E5497" t="inlineStr">
        <is>
          <t>TÖREBODA</t>
        </is>
      </c>
      <c r="G5497" t="n">
        <v>1.2</v>
      </c>
      <c r="H5497" t="n">
        <v>0</v>
      </c>
      <c r="I5497" t="n">
        <v>0</v>
      </c>
      <c r="J5497" t="n">
        <v>0</v>
      </c>
      <c r="K5497" t="n">
        <v>0</v>
      </c>
      <c r="L5497" t="n">
        <v>0</v>
      </c>
      <c r="M5497" t="n">
        <v>0</v>
      </c>
      <c r="N5497" t="n">
        <v>0</v>
      </c>
      <c r="O5497" t="n">
        <v>0</v>
      </c>
      <c r="P5497" t="n">
        <v>0</v>
      </c>
      <c r="Q5497" t="n">
        <v>0</v>
      </c>
      <c r="R5497" s="2" t="inlineStr"/>
    </row>
    <row r="5498" ht="15" customHeight="1">
      <c r="A5498" t="inlineStr">
        <is>
          <t>A 44404-2025</t>
        </is>
      </c>
      <c r="B5498" s="1" t="n">
        <v>45916.51296296297</v>
      </c>
      <c r="C5498" s="1" t="n">
        <v>45952</v>
      </c>
      <c r="D5498" t="inlineStr">
        <is>
          <t>VÄSTRA GÖTALANDS LÄN</t>
        </is>
      </c>
      <c r="E5498" t="inlineStr">
        <is>
          <t>MARIESTAD</t>
        </is>
      </c>
      <c r="G5498" t="n">
        <v>12.1</v>
      </c>
      <c r="H5498" t="n">
        <v>0</v>
      </c>
      <c r="I5498" t="n">
        <v>0</v>
      </c>
      <c r="J5498" t="n">
        <v>0</v>
      </c>
      <c r="K5498" t="n">
        <v>0</v>
      </c>
      <c r="L5498" t="n">
        <v>0</v>
      </c>
      <c r="M5498" t="n">
        <v>0</v>
      </c>
      <c r="N5498" t="n">
        <v>0</v>
      </c>
      <c r="O5498" t="n">
        <v>0</v>
      </c>
      <c r="P5498" t="n">
        <v>0</v>
      </c>
      <c r="Q5498" t="n">
        <v>0</v>
      </c>
      <c r="R5498" s="2" t="inlineStr"/>
    </row>
    <row r="5499" ht="15" customHeight="1">
      <c r="A5499" t="inlineStr">
        <is>
          <t>A 4982-2025</t>
        </is>
      </c>
      <c r="B5499" s="1" t="n">
        <v>45689</v>
      </c>
      <c r="C5499" s="1" t="n">
        <v>45952</v>
      </c>
      <c r="D5499" t="inlineStr">
        <is>
          <t>VÄSTRA GÖTALANDS LÄN</t>
        </is>
      </c>
      <c r="E5499" t="inlineStr">
        <is>
          <t>GULLSPÅNG</t>
        </is>
      </c>
      <c r="G5499" t="n">
        <v>2.2</v>
      </c>
      <c r="H5499" t="n">
        <v>0</v>
      </c>
      <c r="I5499" t="n">
        <v>0</v>
      </c>
      <c r="J5499" t="n">
        <v>0</v>
      </c>
      <c r="K5499" t="n">
        <v>0</v>
      </c>
      <c r="L5499" t="n">
        <v>0</v>
      </c>
      <c r="M5499" t="n">
        <v>0</v>
      </c>
      <c r="N5499" t="n">
        <v>0</v>
      </c>
      <c r="O5499" t="n">
        <v>0</v>
      </c>
      <c r="P5499" t="n">
        <v>0</v>
      </c>
      <c r="Q5499" t="n">
        <v>0</v>
      </c>
      <c r="R5499" s="2" t="inlineStr"/>
    </row>
    <row r="5500" ht="15" customHeight="1">
      <c r="A5500" t="inlineStr">
        <is>
          <t>A 50327-2024</t>
        </is>
      </c>
      <c r="B5500" s="1" t="n">
        <v>45600.69061342593</v>
      </c>
      <c r="C5500" s="1" t="n">
        <v>45952</v>
      </c>
      <c r="D5500" t="inlineStr">
        <is>
          <t>VÄSTRA GÖTALANDS LÄN</t>
        </is>
      </c>
      <c r="E5500" t="inlineStr">
        <is>
          <t>MARIESTAD</t>
        </is>
      </c>
      <c r="G5500" t="n">
        <v>0.8</v>
      </c>
      <c r="H5500" t="n">
        <v>0</v>
      </c>
      <c r="I5500" t="n">
        <v>0</v>
      </c>
      <c r="J5500" t="n">
        <v>0</v>
      </c>
      <c r="K5500" t="n">
        <v>0</v>
      </c>
      <c r="L5500" t="n">
        <v>0</v>
      </c>
      <c r="M5500" t="n">
        <v>0</v>
      </c>
      <c r="N5500" t="n">
        <v>0</v>
      </c>
      <c r="O5500" t="n">
        <v>0</v>
      </c>
      <c r="P5500" t="n">
        <v>0</v>
      </c>
      <c r="Q5500" t="n">
        <v>0</v>
      </c>
      <c r="R5500" s="2" t="inlineStr"/>
    </row>
    <row r="5501" ht="15" customHeight="1">
      <c r="A5501" t="inlineStr">
        <is>
          <t>A 41689-2023</t>
        </is>
      </c>
      <c r="B5501" s="1" t="n">
        <v>45176</v>
      </c>
      <c r="C5501" s="1" t="n">
        <v>45952</v>
      </c>
      <c r="D5501" t="inlineStr">
        <is>
          <t>VÄSTRA GÖTALANDS LÄN</t>
        </is>
      </c>
      <c r="E5501" t="inlineStr">
        <is>
          <t>KARLSBORG</t>
        </is>
      </c>
      <c r="G5501" t="n">
        <v>3</v>
      </c>
      <c r="H5501" t="n">
        <v>0</v>
      </c>
      <c r="I5501" t="n">
        <v>0</v>
      </c>
      <c r="J5501" t="n">
        <v>0</v>
      </c>
      <c r="K5501" t="n">
        <v>0</v>
      </c>
      <c r="L5501" t="n">
        <v>0</v>
      </c>
      <c r="M5501" t="n">
        <v>0</v>
      </c>
      <c r="N5501" t="n">
        <v>0</v>
      </c>
      <c r="O5501" t="n">
        <v>0</v>
      </c>
      <c r="P5501" t="n">
        <v>0</v>
      </c>
      <c r="Q5501" t="n">
        <v>0</v>
      </c>
      <c r="R5501" s="2" t="inlineStr"/>
    </row>
    <row r="5502" ht="15" customHeight="1">
      <c r="A5502" t="inlineStr">
        <is>
          <t>A 7770-2023</t>
        </is>
      </c>
      <c r="B5502" s="1" t="n">
        <v>44973</v>
      </c>
      <c r="C5502" s="1" t="n">
        <v>45952</v>
      </c>
      <c r="D5502" t="inlineStr">
        <is>
          <t>VÄSTRA GÖTALANDS LÄN</t>
        </is>
      </c>
      <c r="E5502" t="inlineStr">
        <is>
          <t>UDDEVALLA</t>
        </is>
      </c>
      <c r="G5502" t="n">
        <v>1.5</v>
      </c>
      <c r="H5502" t="n">
        <v>0</v>
      </c>
      <c r="I5502" t="n">
        <v>0</v>
      </c>
      <c r="J5502" t="n">
        <v>0</v>
      </c>
      <c r="K5502" t="n">
        <v>0</v>
      </c>
      <c r="L5502" t="n">
        <v>0</v>
      </c>
      <c r="M5502" t="n">
        <v>0</v>
      </c>
      <c r="N5502" t="n">
        <v>0</v>
      </c>
      <c r="O5502" t="n">
        <v>0</v>
      </c>
      <c r="P5502" t="n">
        <v>0</v>
      </c>
      <c r="Q5502" t="n">
        <v>0</v>
      </c>
      <c r="R5502" s="2" t="inlineStr"/>
    </row>
    <row r="5503" ht="15" customHeight="1">
      <c r="A5503" t="inlineStr">
        <is>
          <t>A 14544-2025</t>
        </is>
      </c>
      <c r="B5503" s="1" t="n">
        <v>45741.69476851852</v>
      </c>
      <c r="C5503" s="1" t="n">
        <v>45952</v>
      </c>
      <c r="D5503" t="inlineStr">
        <is>
          <t>VÄSTRA GÖTALANDS LÄN</t>
        </is>
      </c>
      <c r="E5503" t="inlineStr">
        <is>
          <t>TANUM</t>
        </is>
      </c>
      <c r="G5503" t="n">
        <v>1.1</v>
      </c>
      <c r="H5503" t="n">
        <v>0</v>
      </c>
      <c r="I5503" t="n">
        <v>0</v>
      </c>
      <c r="J5503" t="n">
        <v>0</v>
      </c>
      <c r="K5503" t="n">
        <v>0</v>
      </c>
      <c r="L5503" t="n">
        <v>0</v>
      </c>
      <c r="M5503" t="n">
        <v>0</v>
      </c>
      <c r="N5503" t="n">
        <v>0</v>
      </c>
      <c r="O5503" t="n">
        <v>0</v>
      </c>
      <c r="P5503" t="n">
        <v>0</v>
      </c>
      <c r="Q5503" t="n">
        <v>0</v>
      </c>
      <c r="R5503" s="2" t="inlineStr"/>
    </row>
    <row r="5504" ht="15" customHeight="1">
      <c r="A5504" t="inlineStr">
        <is>
          <t>A 14139-2025</t>
        </is>
      </c>
      <c r="B5504" s="1" t="n">
        <v>45740.47939814815</v>
      </c>
      <c r="C5504" s="1" t="n">
        <v>45952</v>
      </c>
      <c r="D5504" t="inlineStr">
        <is>
          <t>VÄSTRA GÖTALANDS LÄN</t>
        </is>
      </c>
      <c r="E5504" t="inlineStr">
        <is>
          <t>MARK</t>
        </is>
      </c>
      <c r="G5504" t="n">
        <v>1.8</v>
      </c>
      <c r="H5504" t="n">
        <v>0</v>
      </c>
      <c r="I5504" t="n">
        <v>0</v>
      </c>
      <c r="J5504" t="n">
        <v>0</v>
      </c>
      <c r="K5504" t="n">
        <v>0</v>
      </c>
      <c r="L5504" t="n">
        <v>0</v>
      </c>
      <c r="M5504" t="n">
        <v>0</v>
      </c>
      <c r="N5504" t="n">
        <v>0</v>
      </c>
      <c r="O5504" t="n">
        <v>0</v>
      </c>
      <c r="P5504" t="n">
        <v>0</v>
      </c>
      <c r="Q5504" t="n">
        <v>0</v>
      </c>
      <c r="R5504" s="2" t="inlineStr"/>
    </row>
    <row r="5505" ht="15" customHeight="1">
      <c r="A5505" t="inlineStr">
        <is>
          <t>A 37508-2023</t>
        </is>
      </c>
      <c r="B5505" s="1" t="n">
        <v>45158.42202546296</v>
      </c>
      <c r="C5505" s="1" t="n">
        <v>45952</v>
      </c>
      <c r="D5505" t="inlineStr">
        <is>
          <t>VÄSTRA GÖTALANDS LÄN</t>
        </is>
      </c>
      <c r="E5505" t="inlineStr">
        <is>
          <t>LILLA EDET</t>
        </is>
      </c>
      <c r="G5505" t="n">
        <v>6.9</v>
      </c>
      <c r="H5505" t="n">
        <v>0</v>
      </c>
      <c r="I5505" t="n">
        <v>0</v>
      </c>
      <c r="J5505" t="n">
        <v>0</v>
      </c>
      <c r="K5505" t="n">
        <v>0</v>
      </c>
      <c r="L5505" t="n">
        <v>0</v>
      </c>
      <c r="M5505" t="n">
        <v>0</v>
      </c>
      <c r="N5505" t="n">
        <v>0</v>
      </c>
      <c r="O5505" t="n">
        <v>0</v>
      </c>
      <c r="P5505" t="n">
        <v>0</v>
      </c>
      <c r="Q5505" t="n">
        <v>0</v>
      </c>
      <c r="R5505" s="2" t="inlineStr"/>
    </row>
    <row r="5506" ht="15" customHeight="1">
      <c r="A5506" t="inlineStr">
        <is>
          <t>A 37509-2023</t>
        </is>
      </c>
      <c r="B5506" s="1" t="n">
        <v>45158.43357638889</v>
      </c>
      <c r="C5506" s="1" t="n">
        <v>45952</v>
      </c>
      <c r="D5506" t="inlineStr">
        <is>
          <t>VÄSTRA GÖTALANDS LÄN</t>
        </is>
      </c>
      <c r="E5506" t="inlineStr">
        <is>
          <t>LILLA EDET</t>
        </is>
      </c>
      <c r="G5506" t="n">
        <v>0.9</v>
      </c>
      <c r="H5506" t="n">
        <v>0</v>
      </c>
      <c r="I5506" t="n">
        <v>0</v>
      </c>
      <c r="J5506" t="n">
        <v>0</v>
      </c>
      <c r="K5506" t="n">
        <v>0</v>
      </c>
      <c r="L5506" t="n">
        <v>0</v>
      </c>
      <c r="M5506" t="n">
        <v>0</v>
      </c>
      <c r="N5506" t="n">
        <v>0</v>
      </c>
      <c r="O5506" t="n">
        <v>0</v>
      </c>
      <c r="P5506" t="n">
        <v>0</v>
      </c>
      <c r="Q5506" t="n">
        <v>0</v>
      </c>
      <c r="R5506" s="2" t="inlineStr"/>
    </row>
    <row r="5507" ht="15" customHeight="1">
      <c r="A5507" t="inlineStr">
        <is>
          <t>A 2556-2024</t>
        </is>
      </c>
      <c r="B5507" s="1" t="n">
        <v>45313.60317129629</v>
      </c>
      <c r="C5507" s="1" t="n">
        <v>45952</v>
      </c>
      <c r="D5507" t="inlineStr">
        <is>
          <t>VÄSTRA GÖTALANDS LÄN</t>
        </is>
      </c>
      <c r="E5507" t="inlineStr">
        <is>
          <t>VÄNERSBORG</t>
        </is>
      </c>
      <c r="G5507" t="n">
        <v>2.9</v>
      </c>
      <c r="H5507" t="n">
        <v>0</v>
      </c>
      <c r="I5507" t="n">
        <v>0</v>
      </c>
      <c r="J5507" t="n">
        <v>0</v>
      </c>
      <c r="K5507" t="n">
        <v>0</v>
      </c>
      <c r="L5507" t="n">
        <v>0</v>
      </c>
      <c r="M5507" t="n">
        <v>0</v>
      </c>
      <c r="N5507" t="n">
        <v>0</v>
      </c>
      <c r="O5507" t="n">
        <v>0</v>
      </c>
      <c r="P5507" t="n">
        <v>0</v>
      </c>
      <c r="Q5507" t="n">
        <v>0</v>
      </c>
      <c r="R5507" s="2" t="inlineStr"/>
    </row>
    <row r="5508" ht="15" customHeight="1">
      <c r="A5508" t="inlineStr">
        <is>
          <t>A 39285-2023</t>
        </is>
      </c>
      <c r="B5508" s="1" t="n">
        <v>45166</v>
      </c>
      <c r="C5508" s="1" t="n">
        <v>45952</v>
      </c>
      <c r="D5508" t="inlineStr">
        <is>
          <t>VÄSTRA GÖTALANDS LÄN</t>
        </is>
      </c>
      <c r="E5508" t="inlineStr">
        <is>
          <t>KARLSBORG</t>
        </is>
      </c>
      <c r="G5508" t="n">
        <v>0.5</v>
      </c>
      <c r="H5508" t="n">
        <v>0</v>
      </c>
      <c r="I5508" t="n">
        <v>0</v>
      </c>
      <c r="J5508" t="n">
        <v>0</v>
      </c>
      <c r="K5508" t="n">
        <v>0</v>
      </c>
      <c r="L5508" t="n">
        <v>0</v>
      </c>
      <c r="M5508" t="n">
        <v>0</v>
      </c>
      <c r="N5508" t="n">
        <v>0</v>
      </c>
      <c r="O5508" t="n">
        <v>0</v>
      </c>
      <c r="P5508" t="n">
        <v>0</v>
      </c>
      <c r="Q5508" t="n">
        <v>0</v>
      </c>
      <c r="R5508" s="2" t="inlineStr"/>
    </row>
    <row r="5509" ht="15" customHeight="1">
      <c r="A5509" t="inlineStr">
        <is>
          <t>A 39287-2023</t>
        </is>
      </c>
      <c r="B5509" s="1" t="n">
        <v>45166</v>
      </c>
      <c r="C5509" s="1" t="n">
        <v>45952</v>
      </c>
      <c r="D5509" t="inlineStr">
        <is>
          <t>VÄSTRA GÖTALANDS LÄN</t>
        </is>
      </c>
      <c r="E5509" t="inlineStr">
        <is>
          <t>KARLSBORG</t>
        </is>
      </c>
      <c r="G5509" t="n">
        <v>2</v>
      </c>
      <c r="H5509" t="n">
        <v>0</v>
      </c>
      <c r="I5509" t="n">
        <v>0</v>
      </c>
      <c r="J5509" t="n">
        <v>0</v>
      </c>
      <c r="K5509" t="n">
        <v>0</v>
      </c>
      <c r="L5509" t="n">
        <v>0</v>
      </c>
      <c r="M5509" t="n">
        <v>0</v>
      </c>
      <c r="N5509" t="n">
        <v>0</v>
      </c>
      <c r="O5509" t="n">
        <v>0</v>
      </c>
      <c r="P5509" t="n">
        <v>0</v>
      </c>
      <c r="Q5509" t="n">
        <v>0</v>
      </c>
      <c r="R5509" s="2" t="inlineStr"/>
    </row>
    <row r="5510" ht="15" customHeight="1">
      <c r="A5510" t="inlineStr">
        <is>
          <t>A 45060-2021</t>
        </is>
      </c>
      <c r="B5510" s="1" t="n">
        <v>44439</v>
      </c>
      <c r="C5510" s="1" t="n">
        <v>45952</v>
      </c>
      <c r="D5510" t="inlineStr">
        <is>
          <t>VÄSTRA GÖTALANDS LÄN</t>
        </is>
      </c>
      <c r="E5510" t="inlineStr">
        <is>
          <t>MELLERUD</t>
        </is>
      </c>
      <c r="G5510" t="n">
        <v>1.9</v>
      </c>
      <c r="H5510" t="n">
        <v>0</v>
      </c>
      <c r="I5510" t="n">
        <v>0</v>
      </c>
      <c r="J5510" t="n">
        <v>0</v>
      </c>
      <c r="K5510" t="n">
        <v>0</v>
      </c>
      <c r="L5510" t="n">
        <v>0</v>
      </c>
      <c r="M5510" t="n">
        <v>0</v>
      </c>
      <c r="N5510" t="n">
        <v>0</v>
      </c>
      <c r="O5510" t="n">
        <v>0</v>
      </c>
      <c r="P5510" t="n">
        <v>0</v>
      </c>
      <c r="Q5510" t="n">
        <v>0</v>
      </c>
      <c r="R5510" s="2" t="inlineStr"/>
    </row>
    <row r="5511" ht="15" customHeight="1">
      <c r="A5511" t="inlineStr">
        <is>
          <t>A 45068-2021</t>
        </is>
      </c>
      <c r="B5511" s="1" t="n">
        <v>44439.36196759259</v>
      </c>
      <c r="C5511" s="1" t="n">
        <v>45952</v>
      </c>
      <c r="D5511" t="inlineStr">
        <is>
          <t>VÄSTRA GÖTALANDS LÄN</t>
        </is>
      </c>
      <c r="E5511" t="inlineStr">
        <is>
          <t>TANUM</t>
        </is>
      </c>
      <c r="G5511" t="n">
        <v>15.2</v>
      </c>
      <c r="H5511" t="n">
        <v>0</v>
      </c>
      <c r="I5511" t="n">
        <v>0</v>
      </c>
      <c r="J5511" t="n">
        <v>0</v>
      </c>
      <c r="K5511" t="n">
        <v>0</v>
      </c>
      <c r="L5511" t="n">
        <v>0</v>
      </c>
      <c r="M5511" t="n">
        <v>0</v>
      </c>
      <c r="N5511" t="n">
        <v>0</v>
      </c>
      <c r="O5511" t="n">
        <v>0</v>
      </c>
      <c r="P5511" t="n">
        <v>0</v>
      </c>
      <c r="Q5511" t="n">
        <v>0</v>
      </c>
      <c r="R5511" s="2" t="inlineStr"/>
    </row>
    <row r="5512" ht="15" customHeight="1">
      <c r="A5512" t="inlineStr">
        <is>
          <t>A 18932-2024</t>
        </is>
      </c>
      <c r="B5512" s="1" t="n">
        <v>45427.43978009259</v>
      </c>
      <c r="C5512" s="1" t="n">
        <v>45952</v>
      </c>
      <c r="D5512" t="inlineStr">
        <is>
          <t>VÄSTRA GÖTALANDS LÄN</t>
        </is>
      </c>
      <c r="E5512" t="inlineStr">
        <is>
          <t>FÄRGELANDA</t>
        </is>
      </c>
      <c r="G5512" t="n">
        <v>1</v>
      </c>
      <c r="H5512" t="n">
        <v>0</v>
      </c>
      <c r="I5512" t="n">
        <v>0</v>
      </c>
      <c r="J5512" t="n">
        <v>0</v>
      </c>
      <c r="K5512" t="n">
        <v>0</v>
      </c>
      <c r="L5512" t="n">
        <v>0</v>
      </c>
      <c r="M5512" t="n">
        <v>0</v>
      </c>
      <c r="N5512" t="n">
        <v>0</v>
      </c>
      <c r="O5512" t="n">
        <v>0</v>
      </c>
      <c r="P5512" t="n">
        <v>0</v>
      </c>
      <c r="Q5512" t="n">
        <v>0</v>
      </c>
      <c r="R5512" s="2" t="inlineStr"/>
    </row>
    <row r="5513" ht="15" customHeight="1">
      <c r="A5513" t="inlineStr">
        <is>
          <t>A 60976-2024</t>
        </is>
      </c>
      <c r="B5513" s="1" t="n">
        <v>45645.4093287037</v>
      </c>
      <c r="C5513" s="1" t="n">
        <v>45952</v>
      </c>
      <c r="D5513" t="inlineStr">
        <is>
          <t>VÄSTRA GÖTALANDS LÄN</t>
        </is>
      </c>
      <c r="E5513" t="inlineStr">
        <is>
          <t>ULRICEHAMN</t>
        </is>
      </c>
      <c r="G5513" t="n">
        <v>2.9</v>
      </c>
      <c r="H5513" t="n">
        <v>0</v>
      </c>
      <c r="I5513" t="n">
        <v>0</v>
      </c>
      <c r="J5513" t="n">
        <v>0</v>
      </c>
      <c r="K5513" t="n">
        <v>0</v>
      </c>
      <c r="L5513" t="n">
        <v>0</v>
      </c>
      <c r="M5513" t="n">
        <v>0</v>
      </c>
      <c r="N5513" t="n">
        <v>0</v>
      </c>
      <c r="O5513" t="n">
        <v>0</v>
      </c>
      <c r="P5513" t="n">
        <v>0</v>
      </c>
      <c r="Q5513" t="n">
        <v>0</v>
      </c>
      <c r="R5513" s="2" t="inlineStr"/>
    </row>
    <row r="5514" ht="15" customHeight="1">
      <c r="A5514" t="inlineStr">
        <is>
          <t>A 9249-2022</t>
        </is>
      </c>
      <c r="B5514" s="1" t="n">
        <v>44616</v>
      </c>
      <c r="C5514" s="1" t="n">
        <v>45952</v>
      </c>
      <c r="D5514" t="inlineStr">
        <is>
          <t>VÄSTRA GÖTALANDS LÄN</t>
        </is>
      </c>
      <c r="E5514" t="inlineStr">
        <is>
          <t>FALKÖPING</t>
        </is>
      </c>
      <c r="G5514" t="n">
        <v>13.4</v>
      </c>
      <c r="H5514" t="n">
        <v>0</v>
      </c>
      <c r="I5514" t="n">
        <v>0</v>
      </c>
      <c r="J5514" t="n">
        <v>0</v>
      </c>
      <c r="K5514" t="n">
        <v>0</v>
      </c>
      <c r="L5514" t="n">
        <v>0</v>
      </c>
      <c r="M5514" t="n">
        <v>0</v>
      </c>
      <c r="N5514" t="n">
        <v>0</v>
      </c>
      <c r="O5514" t="n">
        <v>0</v>
      </c>
      <c r="P5514" t="n">
        <v>0</v>
      </c>
      <c r="Q5514" t="n">
        <v>0</v>
      </c>
      <c r="R5514" s="2" t="inlineStr"/>
    </row>
    <row r="5515" ht="15" customHeight="1">
      <c r="A5515" t="inlineStr">
        <is>
          <t>A 41716-2024</t>
        </is>
      </c>
      <c r="B5515" s="1" t="n">
        <v>45560.74233796296</v>
      </c>
      <c r="C5515" s="1" t="n">
        <v>45952</v>
      </c>
      <c r="D5515" t="inlineStr">
        <is>
          <t>VÄSTRA GÖTALANDS LÄN</t>
        </is>
      </c>
      <c r="E5515" t="inlineStr">
        <is>
          <t>MUNKEDAL</t>
        </is>
      </c>
      <c r="G5515" t="n">
        <v>0.9</v>
      </c>
      <c r="H5515" t="n">
        <v>0</v>
      </c>
      <c r="I5515" t="n">
        <v>0</v>
      </c>
      <c r="J5515" t="n">
        <v>0</v>
      </c>
      <c r="K5515" t="n">
        <v>0</v>
      </c>
      <c r="L5515" t="n">
        <v>0</v>
      </c>
      <c r="M5515" t="n">
        <v>0</v>
      </c>
      <c r="N5515" t="n">
        <v>0</v>
      </c>
      <c r="O5515" t="n">
        <v>0</v>
      </c>
      <c r="P5515" t="n">
        <v>0</v>
      </c>
      <c r="Q5515" t="n">
        <v>0</v>
      </c>
      <c r="R5515" s="2" t="inlineStr"/>
    </row>
    <row r="5516" ht="15" customHeight="1">
      <c r="A5516" t="inlineStr">
        <is>
          <t>A 41722-2024</t>
        </is>
      </c>
      <c r="B5516" s="1" t="n">
        <v>45560</v>
      </c>
      <c r="C5516" s="1" t="n">
        <v>45952</v>
      </c>
      <c r="D5516" t="inlineStr">
        <is>
          <t>VÄSTRA GÖTALANDS LÄN</t>
        </is>
      </c>
      <c r="E5516" t="inlineStr">
        <is>
          <t>SKÖVDE</t>
        </is>
      </c>
      <c r="G5516" t="n">
        <v>10.1</v>
      </c>
      <c r="H5516" t="n">
        <v>0</v>
      </c>
      <c r="I5516" t="n">
        <v>0</v>
      </c>
      <c r="J5516" t="n">
        <v>0</v>
      </c>
      <c r="K5516" t="n">
        <v>0</v>
      </c>
      <c r="L5516" t="n">
        <v>0</v>
      </c>
      <c r="M5516" t="n">
        <v>0</v>
      </c>
      <c r="N5516" t="n">
        <v>0</v>
      </c>
      <c r="O5516" t="n">
        <v>0</v>
      </c>
      <c r="P5516" t="n">
        <v>0</v>
      </c>
      <c r="Q5516" t="n">
        <v>0</v>
      </c>
      <c r="R5516" s="2" t="inlineStr"/>
    </row>
    <row r="5517" ht="15" customHeight="1">
      <c r="A5517" t="inlineStr">
        <is>
          <t>A 8357-2023</t>
        </is>
      </c>
      <c r="B5517" s="1" t="n">
        <v>44977</v>
      </c>
      <c r="C5517" s="1" t="n">
        <v>45952</v>
      </c>
      <c r="D5517" t="inlineStr">
        <is>
          <t>VÄSTRA GÖTALANDS LÄN</t>
        </is>
      </c>
      <c r="E5517" t="inlineStr">
        <is>
          <t>TRANEMO</t>
        </is>
      </c>
      <c r="G5517" t="n">
        <v>0.7</v>
      </c>
      <c r="H5517" t="n">
        <v>0</v>
      </c>
      <c r="I5517" t="n">
        <v>0</v>
      </c>
      <c r="J5517" t="n">
        <v>0</v>
      </c>
      <c r="K5517" t="n">
        <v>0</v>
      </c>
      <c r="L5517" t="n">
        <v>0</v>
      </c>
      <c r="M5517" t="n">
        <v>0</v>
      </c>
      <c r="N5517" t="n">
        <v>0</v>
      </c>
      <c r="O5517" t="n">
        <v>0</v>
      </c>
      <c r="P5517" t="n">
        <v>0</v>
      </c>
      <c r="Q5517" t="n">
        <v>0</v>
      </c>
      <c r="R5517" s="2" t="inlineStr"/>
    </row>
    <row r="5518" ht="15" customHeight="1">
      <c r="A5518" t="inlineStr">
        <is>
          <t>A 6064-2025</t>
        </is>
      </c>
      <c r="B5518" s="1" t="n">
        <v>45696.28527777778</v>
      </c>
      <c r="C5518" s="1" t="n">
        <v>45952</v>
      </c>
      <c r="D5518" t="inlineStr">
        <is>
          <t>VÄSTRA GÖTALANDS LÄN</t>
        </is>
      </c>
      <c r="E5518" t="inlineStr">
        <is>
          <t>BOLLEBYGD</t>
        </is>
      </c>
      <c r="G5518" t="n">
        <v>1</v>
      </c>
      <c r="H5518" t="n">
        <v>0</v>
      </c>
      <c r="I5518" t="n">
        <v>0</v>
      </c>
      <c r="J5518" t="n">
        <v>0</v>
      </c>
      <c r="K5518" t="n">
        <v>0</v>
      </c>
      <c r="L5518" t="n">
        <v>0</v>
      </c>
      <c r="M5518" t="n">
        <v>0</v>
      </c>
      <c r="N5518" t="n">
        <v>0</v>
      </c>
      <c r="O5518" t="n">
        <v>0</v>
      </c>
      <c r="P5518" t="n">
        <v>0</v>
      </c>
      <c r="Q5518" t="n">
        <v>0</v>
      </c>
      <c r="R5518" s="2" t="inlineStr"/>
    </row>
    <row r="5519" ht="15" customHeight="1">
      <c r="A5519" t="inlineStr">
        <is>
          <t>A 9954-2025</t>
        </is>
      </c>
      <c r="B5519" s="1" t="n">
        <v>45719.35216435185</v>
      </c>
      <c r="C5519" s="1" t="n">
        <v>45952</v>
      </c>
      <c r="D5519" t="inlineStr">
        <is>
          <t>VÄSTRA GÖTALANDS LÄN</t>
        </is>
      </c>
      <c r="E5519" t="inlineStr">
        <is>
          <t>TIBRO</t>
        </is>
      </c>
      <c r="G5519" t="n">
        <v>1</v>
      </c>
      <c r="H5519" t="n">
        <v>0</v>
      </c>
      <c r="I5519" t="n">
        <v>0</v>
      </c>
      <c r="J5519" t="n">
        <v>0</v>
      </c>
      <c r="K5519" t="n">
        <v>0</v>
      </c>
      <c r="L5519" t="n">
        <v>0</v>
      </c>
      <c r="M5519" t="n">
        <v>0</v>
      </c>
      <c r="N5519" t="n">
        <v>0</v>
      </c>
      <c r="O5519" t="n">
        <v>0</v>
      </c>
      <c r="P5519" t="n">
        <v>0</v>
      </c>
      <c r="Q5519" t="n">
        <v>0</v>
      </c>
      <c r="R5519" s="2" t="inlineStr"/>
    </row>
    <row r="5520" ht="15" customHeight="1">
      <c r="A5520" t="inlineStr">
        <is>
          <t>A 6684-2025</t>
        </is>
      </c>
      <c r="B5520" s="1" t="n">
        <v>45700.48887731481</v>
      </c>
      <c r="C5520" s="1" t="n">
        <v>45952</v>
      </c>
      <c r="D5520" t="inlineStr">
        <is>
          <t>VÄSTRA GÖTALANDS LÄN</t>
        </is>
      </c>
      <c r="E5520" t="inlineStr">
        <is>
          <t>TRANEMO</t>
        </is>
      </c>
      <c r="G5520" t="n">
        <v>5.3</v>
      </c>
      <c r="H5520" t="n">
        <v>0</v>
      </c>
      <c r="I5520" t="n">
        <v>0</v>
      </c>
      <c r="J5520" t="n">
        <v>0</v>
      </c>
      <c r="K5520" t="n">
        <v>0</v>
      </c>
      <c r="L5520" t="n">
        <v>0</v>
      </c>
      <c r="M5520" t="n">
        <v>0</v>
      </c>
      <c r="N5520" t="n">
        <v>0</v>
      </c>
      <c r="O5520" t="n">
        <v>0</v>
      </c>
      <c r="P5520" t="n">
        <v>0</v>
      </c>
      <c r="Q5520" t="n">
        <v>0</v>
      </c>
      <c r="R5520" s="2" t="inlineStr"/>
    </row>
    <row r="5521" ht="15" customHeight="1">
      <c r="A5521" t="inlineStr">
        <is>
          <t>A 10379-2025</t>
        </is>
      </c>
      <c r="B5521" s="1" t="n">
        <v>45720.56641203703</v>
      </c>
      <c r="C5521" s="1" t="n">
        <v>45952</v>
      </c>
      <c r="D5521" t="inlineStr">
        <is>
          <t>VÄSTRA GÖTALANDS LÄN</t>
        </is>
      </c>
      <c r="E5521" t="inlineStr">
        <is>
          <t>SVENLJUNGA</t>
        </is>
      </c>
      <c r="G5521" t="n">
        <v>0.8</v>
      </c>
      <c r="H5521" t="n">
        <v>0</v>
      </c>
      <c r="I5521" t="n">
        <v>0</v>
      </c>
      <c r="J5521" t="n">
        <v>0</v>
      </c>
      <c r="K5521" t="n">
        <v>0</v>
      </c>
      <c r="L5521" t="n">
        <v>0</v>
      </c>
      <c r="M5521" t="n">
        <v>0</v>
      </c>
      <c r="N5521" t="n">
        <v>0</v>
      </c>
      <c r="O5521" t="n">
        <v>0</v>
      </c>
      <c r="P5521" t="n">
        <v>0</v>
      </c>
      <c r="Q5521" t="n">
        <v>0</v>
      </c>
      <c r="R5521" s="2" t="inlineStr"/>
    </row>
    <row r="5522" ht="15" customHeight="1">
      <c r="A5522" t="inlineStr">
        <is>
          <t>A 8962-2022</t>
        </is>
      </c>
      <c r="B5522" s="1" t="n">
        <v>44614.89315972223</v>
      </c>
      <c r="C5522" s="1" t="n">
        <v>45952</v>
      </c>
      <c r="D5522" t="inlineStr">
        <is>
          <t>VÄSTRA GÖTALANDS LÄN</t>
        </is>
      </c>
      <c r="E5522" t="inlineStr">
        <is>
          <t>SVENLJUNGA</t>
        </is>
      </c>
      <c r="G5522" t="n">
        <v>1.2</v>
      </c>
      <c r="H5522" t="n">
        <v>0</v>
      </c>
      <c r="I5522" t="n">
        <v>0</v>
      </c>
      <c r="J5522" t="n">
        <v>0</v>
      </c>
      <c r="K5522" t="n">
        <v>0</v>
      </c>
      <c r="L5522" t="n">
        <v>0</v>
      </c>
      <c r="M5522" t="n">
        <v>0</v>
      </c>
      <c r="N5522" t="n">
        <v>0</v>
      </c>
      <c r="O5522" t="n">
        <v>0</v>
      </c>
      <c r="P5522" t="n">
        <v>0</v>
      </c>
      <c r="Q5522" t="n">
        <v>0</v>
      </c>
      <c r="R5522" s="2" t="inlineStr"/>
    </row>
    <row r="5523" ht="15" customHeight="1">
      <c r="A5523" t="inlineStr">
        <is>
          <t>A 6723-2025</t>
        </is>
      </c>
      <c r="B5523" s="1" t="n">
        <v>45700.58284722222</v>
      </c>
      <c r="C5523" s="1" t="n">
        <v>45952</v>
      </c>
      <c r="D5523" t="inlineStr">
        <is>
          <t>VÄSTRA GÖTALANDS LÄN</t>
        </is>
      </c>
      <c r="E5523" t="inlineStr">
        <is>
          <t>MUNKEDAL</t>
        </is>
      </c>
      <c r="G5523" t="n">
        <v>3.3</v>
      </c>
      <c r="H5523" t="n">
        <v>0</v>
      </c>
      <c r="I5523" t="n">
        <v>0</v>
      </c>
      <c r="J5523" t="n">
        <v>0</v>
      </c>
      <c r="K5523" t="n">
        <v>0</v>
      </c>
      <c r="L5523" t="n">
        <v>0</v>
      </c>
      <c r="M5523" t="n">
        <v>0</v>
      </c>
      <c r="N5523" t="n">
        <v>0</v>
      </c>
      <c r="O5523" t="n">
        <v>0</v>
      </c>
      <c r="P5523" t="n">
        <v>0</v>
      </c>
      <c r="Q5523" t="n">
        <v>0</v>
      </c>
      <c r="R5523" s="2" t="inlineStr"/>
    </row>
    <row r="5524" ht="15" customHeight="1">
      <c r="A5524" t="inlineStr">
        <is>
          <t>A 37737-2022</t>
        </is>
      </c>
      <c r="B5524" s="1" t="n">
        <v>44810</v>
      </c>
      <c r="C5524" s="1" t="n">
        <v>45952</v>
      </c>
      <c r="D5524" t="inlineStr">
        <is>
          <t>VÄSTRA GÖTALANDS LÄN</t>
        </is>
      </c>
      <c r="E5524" t="inlineStr">
        <is>
          <t>MARK</t>
        </is>
      </c>
      <c r="G5524" t="n">
        <v>1.1</v>
      </c>
      <c r="H5524" t="n">
        <v>0</v>
      </c>
      <c r="I5524" t="n">
        <v>0</v>
      </c>
      <c r="J5524" t="n">
        <v>0</v>
      </c>
      <c r="K5524" t="n">
        <v>0</v>
      </c>
      <c r="L5524" t="n">
        <v>0</v>
      </c>
      <c r="M5524" t="n">
        <v>0</v>
      </c>
      <c r="N5524" t="n">
        <v>0</v>
      </c>
      <c r="O5524" t="n">
        <v>0</v>
      </c>
      <c r="P5524" t="n">
        <v>0</v>
      </c>
      <c r="Q5524" t="n">
        <v>0</v>
      </c>
      <c r="R5524" s="2" t="inlineStr"/>
    </row>
    <row r="5525" ht="15" customHeight="1">
      <c r="A5525" t="inlineStr">
        <is>
          <t>A 7805-2025</t>
        </is>
      </c>
      <c r="B5525" s="1" t="n">
        <v>45706.60927083333</v>
      </c>
      <c r="C5525" s="1" t="n">
        <v>45952</v>
      </c>
      <c r="D5525" t="inlineStr">
        <is>
          <t>VÄSTRA GÖTALANDS LÄN</t>
        </is>
      </c>
      <c r="E5525" t="inlineStr">
        <is>
          <t>ALINGSÅS</t>
        </is>
      </c>
      <c r="G5525" t="n">
        <v>1.5</v>
      </c>
      <c r="H5525" t="n">
        <v>0</v>
      </c>
      <c r="I5525" t="n">
        <v>0</v>
      </c>
      <c r="J5525" t="n">
        <v>0</v>
      </c>
      <c r="K5525" t="n">
        <v>0</v>
      </c>
      <c r="L5525" t="n">
        <v>0</v>
      </c>
      <c r="M5525" t="n">
        <v>0</v>
      </c>
      <c r="N5525" t="n">
        <v>0</v>
      </c>
      <c r="O5525" t="n">
        <v>0</v>
      </c>
      <c r="P5525" t="n">
        <v>0</v>
      </c>
      <c r="Q5525" t="n">
        <v>0</v>
      </c>
      <c r="R5525" s="2" t="inlineStr"/>
    </row>
    <row r="5526" ht="15" customHeight="1">
      <c r="A5526" t="inlineStr">
        <is>
          <t>A 16061-2025</t>
        </is>
      </c>
      <c r="B5526" s="1" t="n">
        <v>45749.65101851852</v>
      </c>
      <c r="C5526" s="1" t="n">
        <v>45952</v>
      </c>
      <c r="D5526" t="inlineStr">
        <is>
          <t>VÄSTRA GÖTALANDS LÄN</t>
        </is>
      </c>
      <c r="E5526" t="inlineStr">
        <is>
          <t>SVENLJUNGA</t>
        </is>
      </c>
      <c r="G5526" t="n">
        <v>1.9</v>
      </c>
      <c r="H5526" t="n">
        <v>0</v>
      </c>
      <c r="I5526" t="n">
        <v>0</v>
      </c>
      <c r="J5526" t="n">
        <v>0</v>
      </c>
      <c r="K5526" t="n">
        <v>0</v>
      </c>
      <c r="L5526" t="n">
        <v>0</v>
      </c>
      <c r="M5526" t="n">
        <v>0</v>
      </c>
      <c r="N5526" t="n">
        <v>0</v>
      </c>
      <c r="O5526" t="n">
        <v>0</v>
      </c>
      <c r="P5526" t="n">
        <v>0</v>
      </c>
      <c r="Q5526" t="n">
        <v>0</v>
      </c>
      <c r="R5526" s="2" t="inlineStr"/>
    </row>
    <row r="5527" ht="15" customHeight="1">
      <c r="A5527" t="inlineStr">
        <is>
          <t>A 7870-2025</t>
        </is>
      </c>
      <c r="B5527" s="1" t="n">
        <v>45706</v>
      </c>
      <c r="C5527" s="1" t="n">
        <v>45952</v>
      </c>
      <c r="D5527" t="inlineStr">
        <is>
          <t>VÄSTRA GÖTALANDS LÄN</t>
        </is>
      </c>
      <c r="E5527" t="inlineStr">
        <is>
          <t>SKÖVDE</t>
        </is>
      </c>
      <c r="G5527" t="n">
        <v>2.1</v>
      </c>
      <c r="H5527" t="n">
        <v>0</v>
      </c>
      <c r="I5527" t="n">
        <v>0</v>
      </c>
      <c r="J5527" t="n">
        <v>0</v>
      </c>
      <c r="K5527" t="n">
        <v>0</v>
      </c>
      <c r="L5527" t="n">
        <v>0</v>
      </c>
      <c r="M5527" t="n">
        <v>0</v>
      </c>
      <c r="N5527" t="n">
        <v>0</v>
      </c>
      <c r="O5527" t="n">
        <v>0</v>
      </c>
      <c r="P5527" t="n">
        <v>0</v>
      </c>
      <c r="Q5527" t="n">
        <v>0</v>
      </c>
      <c r="R5527" s="2" t="inlineStr"/>
    </row>
    <row r="5528" ht="15" customHeight="1">
      <c r="A5528" t="inlineStr">
        <is>
          <t>A 16087-2025</t>
        </is>
      </c>
      <c r="B5528" s="1" t="n">
        <v>45749.82695601852</v>
      </c>
      <c r="C5528" s="1" t="n">
        <v>45952</v>
      </c>
      <c r="D5528" t="inlineStr">
        <is>
          <t>VÄSTRA GÖTALANDS LÄN</t>
        </is>
      </c>
      <c r="E5528" t="inlineStr">
        <is>
          <t>ALINGSÅS</t>
        </is>
      </c>
      <c r="G5528" t="n">
        <v>3.6</v>
      </c>
      <c r="H5528" t="n">
        <v>0</v>
      </c>
      <c r="I5528" t="n">
        <v>0</v>
      </c>
      <c r="J5528" t="n">
        <v>0</v>
      </c>
      <c r="K5528" t="n">
        <v>0</v>
      </c>
      <c r="L5528" t="n">
        <v>0</v>
      </c>
      <c r="M5528" t="n">
        <v>0</v>
      </c>
      <c r="N5528" t="n">
        <v>0</v>
      </c>
      <c r="O5528" t="n">
        <v>0</v>
      </c>
      <c r="P5528" t="n">
        <v>0</v>
      </c>
      <c r="Q5528" t="n">
        <v>0</v>
      </c>
      <c r="R5528" s="2" t="inlineStr"/>
    </row>
    <row r="5529" ht="15" customHeight="1">
      <c r="A5529" t="inlineStr">
        <is>
          <t>A 11897-2025</t>
        </is>
      </c>
      <c r="B5529" s="1" t="n">
        <v>45728.46913194445</v>
      </c>
      <c r="C5529" s="1" t="n">
        <v>45952</v>
      </c>
      <c r="D5529" t="inlineStr">
        <is>
          <t>VÄSTRA GÖTALANDS LÄN</t>
        </is>
      </c>
      <c r="E5529" t="inlineStr">
        <is>
          <t>STRÖMSTAD</t>
        </is>
      </c>
      <c r="G5529" t="n">
        <v>1.9</v>
      </c>
      <c r="H5529" t="n">
        <v>0</v>
      </c>
      <c r="I5529" t="n">
        <v>0</v>
      </c>
      <c r="J5529" t="n">
        <v>0</v>
      </c>
      <c r="K5529" t="n">
        <v>0</v>
      </c>
      <c r="L5529" t="n">
        <v>0</v>
      </c>
      <c r="M5529" t="n">
        <v>0</v>
      </c>
      <c r="N5529" t="n">
        <v>0</v>
      </c>
      <c r="O5529" t="n">
        <v>0</v>
      </c>
      <c r="P5529" t="n">
        <v>0</v>
      </c>
      <c r="Q5529" t="n">
        <v>0</v>
      </c>
      <c r="R5529" s="2" t="inlineStr"/>
    </row>
    <row r="5530" ht="15" customHeight="1">
      <c r="A5530" t="inlineStr">
        <is>
          <t>A 49114-2022</t>
        </is>
      </c>
      <c r="B5530" s="1" t="n">
        <v>44860</v>
      </c>
      <c r="C5530" s="1" t="n">
        <v>45952</v>
      </c>
      <c r="D5530" t="inlineStr">
        <is>
          <t>VÄSTRA GÖTALANDS LÄN</t>
        </is>
      </c>
      <c r="E5530" t="inlineStr">
        <is>
          <t>TIDAHOLM</t>
        </is>
      </c>
      <c r="G5530" t="n">
        <v>3</v>
      </c>
      <c r="H5530" t="n">
        <v>0</v>
      </c>
      <c r="I5530" t="n">
        <v>0</v>
      </c>
      <c r="J5530" t="n">
        <v>0</v>
      </c>
      <c r="K5530" t="n">
        <v>0</v>
      </c>
      <c r="L5530" t="n">
        <v>0</v>
      </c>
      <c r="M5530" t="n">
        <v>0</v>
      </c>
      <c r="N5530" t="n">
        <v>0</v>
      </c>
      <c r="O5530" t="n">
        <v>0</v>
      </c>
      <c r="P5530" t="n">
        <v>0</v>
      </c>
      <c r="Q5530" t="n">
        <v>0</v>
      </c>
      <c r="R5530" s="2" t="inlineStr"/>
    </row>
    <row r="5531" ht="15" customHeight="1">
      <c r="A5531" t="inlineStr">
        <is>
          <t>A 11955-2025</t>
        </is>
      </c>
      <c r="B5531" s="1" t="n">
        <v>45728.56789351852</v>
      </c>
      <c r="C5531" s="1" t="n">
        <v>45952</v>
      </c>
      <c r="D5531" t="inlineStr">
        <is>
          <t>VÄSTRA GÖTALANDS LÄN</t>
        </is>
      </c>
      <c r="E5531" t="inlineStr">
        <is>
          <t>TANUM</t>
        </is>
      </c>
      <c r="G5531" t="n">
        <v>1.3</v>
      </c>
      <c r="H5531" t="n">
        <v>0</v>
      </c>
      <c r="I5531" t="n">
        <v>0</v>
      </c>
      <c r="J5531" t="n">
        <v>0</v>
      </c>
      <c r="K5531" t="n">
        <v>0</v>
      </c>
      <c r="L5531" t="n">
        <v>0</v>
      </c>
      <c r="M5531" t="n">
        <v>0</v>
      </c>
      <c r="N5531" t="n">
        <v>0</v>
      </c>
      <c r="O5531" t="n">
        <v>0</v>
      </c>
      <c r="P5531" t="n">
        <v>0</v>
      </c>
      <c r="Q5531" t="n">
        <v>0</v>
      </c>
      <c r="R5531" s="2" t="inlineStr"/>
    </row>
    <row r="5532" ht="15" customHeight="1">
      <c r="A5532" t="inlineStr">
        <is>
          <t>A 11439-2022</t>
        </is>
      </c>
      <c r="B5532" s="1" t="n">
        <v>44630.62471064815</v>
      </c>
      <c r="C5532" s="1" t="n">
        <v>45952</v>
      </c>
      <c r="D5532" t="inlineStr">
        <is>
          <t>VÄSTRA GÖTALANDS LÄN</t>
        </is>
      </c>
      <c r="E5532" t="inlineStr">
        <is>
          <t>VÄNERSBORG</t>
        </is>
      </c>
      <c r="G5532" t="n">
        <v>10.6</v>
      </c>
      <c r="H5532" t="n">
        <v>0</v>
      </c>
      <c r="I5532" t="n">
        <v>0</v>
      </c>
      <c r="J5532" t="n">
        <v>0</v>
      </c>
      <c r="K5532" t="n">
        <v>0</v>
      </c>
      <c r="L5532" t="n">
        <v>0</v>
      </c>
      <c r="M5532" t="n">
        <v>0</v>
      </c>
      <c r="N5532" t="n">
        <v>0</v>
      </c>
      <c r="O5532" t="n">
        <v>0</v>
      </c>
      <c r="P5532" t="n">
        <v>0</v>
      </c>
      <c r="Q5532" t="n">
        <v>0</v>
      </c>
      <c r="R5532" s="2" t="inlineStr"/>
    </row>
    <row r="5533" ht="15" customHeight="1">
      <c r="A5533" t="inlineStr">
        <is>
          <t>A 38970-2025</t>
        </is>
      </c>
      <c r="B5533" s="1" t="n">
        <v>45887.71134259259</v>
      </c>
      <c r="C5533" s="1" t="n">
        <v>45952</v>
      </c>
      <c r="D5533" t="inlineStr">
        <is>
          <t>VÄSTRA GÖTALANDS LÄN</t>
        </is>
      </c>
      <c r="E5533" t="inlineStr">
        <is>
          <t>ALINGSÅS</t>
        </is>
      </c>
      <c r="G5533" t="n">
        <v>3.8</v>
      </c>
      <c r="H5533" t="n">
        <v>0</v>
      </c>
      <c r="I5533" t="n">
        <v>0</v>
      </c>
      <c r="J5533" t="n">
        <v>0</v>
      </c>
      <c r="K5533" t="n">
        <v>0</v>
      </c>
      <c r="L5533" t="n">
        <v>0</v>
      </c>
      <c r="M5533" t="n">
        <v>0</v>
      </c>
      <c r="N5533" t="n">
        <v>0</v>
      </c>
      <c r="O5533" t="n">
        <v>0</v>
      </c>
      <c r="P5533" t="n">
        <v>0</v>
      </c>
      <c r="Q5533" t="n">
        <v>0</v>
      </c>
      <c r="R5533" s="2" t="inlineStr"/>
    </row>
    <row r="5534" ht="15" customHeight="1">
      <c r="A5534" t="inlineStr">
        <is>
          <t>A 12024-2025</t>
        </is>
      </c>
      <c r="B5534" s="1" t="n">
        <v>45728.63600694444</v>
      </c>
      <c r="C5534" s="1" t="n">
        <v>45952</v>
      </c>
      <c r="D5534" t="inlineStr">
        <is>
          <t>VÄSTRA GÖTALANDS LÄN</t>
        </is>
      </c>
      <c r="E5534" t="inlineStr">
        <is>
          <t>BORÅS</t>
        </is>
      </c>
      <c r="G5534" t="n">
        <v>0.5</v>
      </c>
      <c r="H5534" t="n">
        <v>0</v>
      </c>
      <c r="I5534" t="n">
        <v>0</v>
      </c>
      <c r="J5534" t="n">
        <v>0</v>
      </c>
      <c r="K5534" t="n">
        <v>0</v>
      </c>
      <c r="L5534" t="n">
        <v>0</v>
      </c>
      <c r="M5534" t="n">
        <v>0</v>
      </c>
      <c r="N5534" t="n">
        <v>0</v>
      </c>
      <c r="O5534" t="n">
        <v>0</v>
      </c>
      <c r="P5534" t="n">
        <v>0</v>
      </c>
      <c r="Q5534" t="n">
        <v>0</v>
      </c>
      <c r="R5534" s="2" t="inlineStr"/>
    </row>
    <row r="5535" ht="15" customHeight="1">
      <c r="A5535" t="inlineStr">
        <is>
          <t>A 26467-2021</t>
        </is>
      </c>
      <c r="B5535" s="1" t="n">
        <v>44348.39732638889</v>
      </c>
      <c r="C5535" s="1" t="n">
        <v>45952</v>
      </c>
      <c r="D5535" t="inlineStr">
        <is>
          <t>VÄSTRA GÖTALANDS LÄN</t>
        </is>
      </c>
      <c r="E5535" t="inlineStr">
        <is>
          <t>KARLSBORG</t>
        </is>
      </c>
      <c r="F5535" t="inlineStr">
        <is>
          <t>Kommuner</t>
        </is>
      </c>
      <c r="G5535" t="n">
        <v>2.1</v>
      </c>
      <c r="H5535" t="n">
        <v>0</v>
      </c>
      <c r="I5535" t="n">
        <v>0</v>
      </c>
      <c r="J5535" t="n">
        <v>0</v>
      </c>
      <c r="K5535" t="n">
        <v>0</v>
      </c>
      <c r="L5535" t="n">
        <v>0</v>
      </c>
      <c r="M5535" t="n">
        <v>0</v>
      </c>
      <c r="N5535" t="n">
        <v>0</v>
      </c>
      <c r="O5535" t="n">
        <v>0</v>
      </c>
      <c r="P5535" t="n">
        <v>0</v>
      </c>
      <c r="Q5535" t="n">
        <v>0</v>
      </c>
      <c r="R5535" s="2" t="inlineStr"/>
    </row>
    <row r="5536" ht="15" customHeight="1">
      <c r="A5536" t="inlineStr">
        <is>
          <t>A 73226-2021</t>
        </is>
      </c>
      <c r="B5536" s="1" t="n">
        <v>44550</v>
      </c>
      <c r="C5536" s="1" t="n">
        <v>45952</v>
      </c>
      <c r="D5536" t="inlineStr">
        <is>
          <t>VÄSTRA GÖTALANDS LÄN</t>
        </is>
      </c>
      <c r="E5536" t="inlineStr">
        <is>
          <t>VÄNERSBORG</t>
        </is>
      </c>
      <c r="G5536" t="n">
        <v>3.1</v>
      </c>
      <c r="H5536" t="n">
        <v>0</v>
      </c>
      <c r="I5536" t="n">
        <v>0</v>
      </c>
      <c r="J5536" t="n">
        <v>0</v>
      </c>
      <c r="K5536" t="n">
        <v>0</v>
      </c>
      <c r="L5536" t="n">
        <v>0</v>
      </c>
      <c r="M5536" t="n">
        <v>0</v>
      </c>
      <c r="N5536" t="n">
        <v>0</v>
      </c>
      <c r="O5536" t="n">
        <v>0</v>
      </c>
      <c r="P5536" t="n">
        <v>0</v>
      </c>
      <c r="Q5536" t="n">
        <v>0</v>
      </c>
      <c r="R5536" s="2" t="inlineStr"/>
    </row>
    <row r="5537" ht="15" customHeight="1">
      <c r="A5537" t="inlineStr">
        <is>
          <t>A 2450-2023</t>
        </is>
      </c>
      <c r="B5537" s="1" t="n">
        <v>44943</v>
      </c>
      <c r="C5537" s="1" t="n">
        <v>45952</v>
      </c>
      <c r="D5537" t="inlineStr">
        <is>
          <t>VÄSTRA GÖTALANDS LÄN</t>
        </is>
      </c>
      <c r="E5537" t="inlineStr">
        <is>
          <t>LERUM</t>
        </is>
      </c>
      <c r="G5537" t="n">
        <v>2.2</v>
      </c>
      <c r="H5537" t="n">
        <v>0</v>
      </c>
      <c r="I5537" t="n">
        <v>0</v>
      </c>
      <c r="J5537" t="n">
        <v>0</v>
      </c>
      <c r="K5537" t="n">
        <v>0</v>
      </c>
      <c r="L5537" t="n">
        <v>0</v>
      </c>
      <c r="M5537" t="n">
        <v>0</v>
      </c>
      <c r="N5537" t="n">
        <v>0</v>
      </c>
      <c r="O5537" t="n">
        <v>0</v>
      </c>
      <c r="P5537" t="n">
        <v>0</v>
      </c>
      <c r="Q5537" t="n">
        <v>0</v>
      </c>
      <c r="R5537" s="2" t="inlineStr"/>
    </row>
    <row r="5538" ht="15" customHeight="1">
      <c r="A5538" t="inlineStr">
        <is>
          <t>A 9231-2024</t>
        </is>
      </c>
      <c r="B5538" s="1" t="n">
        <v>45358</v>
      </c>
      <c r="C5538" s="1" t="n">
        <v>45952</v>
      </c>
      <c r="D5538" t="inlineStr">
        <is>
          <t>VÄSTRA GÖTALANDS LÄN</t>
        </is>
      </c>
      <c r="E5538" t="inlineStr">
        <is>
          <t>TIDAHOLM</t>
        </is>
      </c>
      <c r="G5538" t="n">
        <v>2.7</v>
      </c>
      <c r="H5538" t="n">
        <v>0</v>
      </c>
      <c r="I5538" t="n">
        <v>0</v>
      </c>
      <c r="J5538" t="n">
        <v>0</v>
      </c>
      <c r="K5538" t="n">
        <v>0</v>
      </c>
      <c r="L5538" t="n">
        <v>0</v>
      </c>
      <c r="M5538" t="n">
        <v>0</v>
      </c>
      <c r="N5538" t="n">
        <v>0</v>
      </c>
      <c r="O5538" t="n">
        <v>0</v>
      </c>
      <c r="P5538" t="n">
        <v>0</v>
      </c>
      <c r="Q5538" t="n">
        <v>0</v>
      </c>
      <c r="R5538" s="2" t="inlineStr"/>
    </row>
    <row r="5539" ht="15" customHeight="1">
      <c r="A5539" t="inlineStr">
        <is>
          <t>A 9872-2024</t>
        </is>
      </c>
      <c r="B5539" s="1" t="n">
        <v>45363.44333333334</v>
      </c>
      <c r="C5539" s="1" t="n">
        <v>45952</v>
      </c>
      <c r="D5539" t="inlineStr">
        <is>
          <t>VÄSTRA GÖTALANDS LÄN</t>
        </is>
      </c>
      <c r="E5539" t="inlineStr">
        <is>
          <t>TRANEMO</t>
        </is>
      </c>
      <c r="G5539" t="n">
        <v>1.5</v>
      </c>
      <c r="H5539" t="n">
        <v>0</v>
      </c>
      <c r="I5539" t="n">
        <v>0</v>
      </c>
      <c r="J5539" t="n">
        <v>0</v>
      </c>
      <c r="K5539" t="n">
        <v>0</v>
      </c>
      <c r="L5539" t="n">
        <v>0</v>
      </c>
      <c r="M5539" t="n">
        <v>0</v>
      </c>
      <c r="N5539" t="n">
        <v>0</v>
      </c>
      <c r="O5539" t="n">
        <v>0</v>
      </c>
      <c r="P5539" t="n">
        <v>0</v>
      </c>
      <c r="Q5539" t="n">
        <v>0</v>
      </c>
      <c r="R5539" s="2" t="inlineStr"/>
    </row>
    <row r="5540" ht="15" customHeight="1">
      <c r="A5540" t="inlineStr">
        <is>
          <t>A 9881-2024</t>
        </is>
      </c>
      <c r="B5540" s="1" t="n">
        <v>45363.45472222222</v>
      </c>
      <c r="C5540" s="1" t="n">
        <v>45952</v>
      </c>
      <c r="D5540" t="inlineStr">
        <is>
          <t>VÄSTRA GÖTALANDS LÄN</t>
        </is>
      </c>
      <c r="E5540" t="inlineStr">
        <is>
          <t>ULRICEHAMN</t>
        </is>
      </c>
      <c r="G5540" t="n">
        <v>1.1</v>
      </c>
      <c r="H5540" t="n">
        <v>0</v>
      </c>
      <c r="I5540" t="n">
        <v>0</v>
      </c>
      <c r="J5540" t="n">
        <v>0</v>
      </c>
      <c r="K5540" t="n">
        <v>0</v>
      </c>
      <c r="L5540" t="n">
        <v>0</v>
      </c>
      <c r="M5540" t="n">
        <v>0</v>
      </c>
      <c r="N5540" t="n">
        <v>0</v>
      </c>
      <c r="O5540" t="n">
        <v>0</v>
      </c>
      <c r="P5540" t="n">
        <v>0</v>
      </c>
      <c r="Q5540" t="n">
        <v>0</v>
      </c>
      <c r="R5540" s="2" t="inlineStr"/>
    </row>
    <row r="5541" ht="15" customHeight="1">
      <c r="A5541" t="inlineStr">
        <is>
          <t>A 9898-2024</t>
        </is>
      </c>
      <c r="B5541" s="1" t="n">
        <v>45363</v>
      </c>
      <c r="C5541" s="1" t="n">
        <v>45952</v>
      </c>
      <c r="D5541" t="inlineStr">
        <is>
          <t>VÄSTRA GÖTALANDS LÄN</t>
        </is>
      </c>
      <c r="E5541" t="inlineStr">
        <is>
          <t>VÅRGÅRDA</t>
        </is>
      </c>
      <c r="G5541" t="n">
        <v>0.4</v>
      </c>
      <c r="H5541" t="n">
        <v>0</v>
      </c>
      <c r="I5541" t="n">
        <v>0</v>
      </c>
      <c r="J5541" t="n">
        <v>0</v>
      </c>
      <c r="K5541" t="n">
        <v>0</v>
      </c>
      <c r="L5541" t="n">
        <v>0</v>
      </c>
      <c r="M5541" t="n">
        <v>0</v>
      </c>
      <c r="N5541" t="n">
        <v>0</v>
      </c>
      <c r="O5541" t="n">
        <v>0</v>
      </c>
      <c r="P5541" t="n">
        <v>0</v>
      </c>
      <c r="Q5541" t="n">
        <v>0</v>
      </c>
      <c r="R5541" s="2" t="inlineStr"/>
    </row>
    <row r="5542" ht="15" customHeight="1">
      <c r="A5542" t="inlineStr">
        <is>
          <t>A 9236-2024</t>
        </is>
      </c>
      <c r="B5542" s="1" t="n">
        <v>45358</v>
      </c>
      <c r="C5542" s="1" t="n">
        <v>45952</v>
      </c>
      <c r="D5542" t="inlineStr">
        <is>
          <t>VÄSTRA GÖTALANDS LÄN</t>
        </is>
      </c>
      <c r="E5542" t="inlineStr">
        <is>
          <t>TIDAHOLM</t>
        </is>
      </c>
      <c r="G5542" t="n">
        <v>2.9</v>
      </c>
      <c r="H5542" t="n">
        <v>0</v>
      </c>
      <c r="I5542" t="n">
        <v>0</v>
      </c>
      <c r="J5542" t="n">
        <v>0</v>
      </c>
      <c r="K5542" t="n">
        <v>0</v>
      </c>
      <c r="L5542" t="n">
        <v>0</v>
      </c>
      <c r="M5542" t="n">
        <v>0</v>
      </c>
      <c r="N5542" t="n">
        <v>0</v>
      </c>
      <c r="O5542" t="n">
        <v>0</v>
      </c>
      <c r="P5542" t="n">
        <v>0</v>
      </c>
      <c r="Q5542" t="n">
        <v>0</v>
      </c>
      <c r="R5542" s="2" t="inlineStr"/>
    </row>
    <row r="5543" ht="15" customHeight="1">
      <c r="A5543" t="inlineStr">
        <is>
          <t>A 31746-2023</t>
        </is>
      </c>
      <c r="B5543" s="1" t="n">
        <v>45117</v>
      </c>
      <c r="C5543" s="1" t="n">
        <v>45952</v>
      </c>
      <c r="D5543" t="inlineStr">
        <is>
          <t>VÄSTRA GÖTALANDS LÄN</t>
        </is>
      </c>
      <c r="E5543" t="inlineStr">
        <is>
          <t>BOLLEBYGD</t>
        </is>
      </c>
      <c r="G5543" t="n">
        <v>1.2</v>
      </c>
      <c r="H5543" t="n">
        <v>0</v>
      </c>
      <c r="I5543" t="n">
        <v>0</v>
      </c>
      <c r="J5543" t="n">
        <v>0</v>
      </c>
      <c r="K5543" t="n">
        <v>0</v>
      </c>
      <c r="L5543" t="n">
        <v>0</v>
      </c>
      <c r="M5543" t="n">
        <v>0</v>
      </c>
      <c r="N5543" t="n">
        <v>0</v>
      </c>
      <c r="O5543" t="n">
        <v>0</v>
      </c>
      <c r="P5543" t="n">
        <v>0</v>
      </c>
      <c r="Q5543" t="n">
        <v>0</v>
      </c>
      <c r="R5543" s="2" t="inlineStr"/>
    </row>
    <row r="5544" ht="15" customHeight="1">
      <c r="A5544" t="inlineStr">
        <is>
          <t>A 5117-2025</t>
        </is>
      </c>
      <c r="B5544" s="1" t="n">
        <v>45691.55537037037</v>
      </c>
      <c r="C5544" s="1" t="n">
        <v>45952</v>
      </c>
      <c r="D5544" t="inlineStr">
        <is>
          <t>VÄSTRA GÖTALANDS LÄN</t>
        </is>
      </c>
      <c r="E5544" t="inlineStr">
        <is>
          <t>ULRICEHAMN</t>
        </is>
      </c>
      <c r="G5544" t="n">
        <v>0.3</v>
      </c>
      <c r="H5544" t="n">
        <v>0</v>
      </c>
      <c r="I5544" t="n">
        <v>0</v>
      </c>
      <c r="J5544" t="n">
        <v>0</v>
      </c>
      <c r="K5544" t="n">
        <v>0</v>
      </c>
      <c r="L5544" t="n">
        <v>0</v>
      </c>
      <c r="M5544" t="n">
        <v>0</v>
      </c>
      <c r="N5544" t="n">
        <v>0</v>
      </c>
      <c r="O5544" t="n">
        <v>0</v>
      </c>
      <c r="P5544" t="n">
        <v>0</v>
      </c>
      <c r="Q5544" t="n">
        <v>0</v>
      </c>
      <c r="R5544" s="2" t="inlineStr"/>
    </row>
    <row r="5545" ht="15" customHeight="1">
      <c r="A5545" t="inlineStr">
        <is>
          <t>A 13082-2024</t>
        </is>
      </c>
      <c r="B5545" s="1" t="n">
        <v>45385</v>
      </c>
      <c r="C5545" s="1" t="n">
        <v>45952</v>
      </c>
      <c r="D5545" t="inlineStr">
        <is>
          <t>VÄSTRA GÖTALANDS LÄN</t>
        </is>
      </c>
      <c r="E5545" t="inlineStr">
        <is>
          <t>ULRICEHAMN</t>
        </is>
      </c>
      <c r="G5545" t="n">
        <v>1.1</v>
      </c>
      <c r="H5545" t="n">
        <v>0</v>
      </c>
      <c r="I5545" t="n">
        <v>0</v>
      </c>
      <c r="J5545" t="n">
        <v>0</v>
      </c>
      <c r="K5545" t="n">
        <v>0</v>
      </c>
      <c r="L5545" t="n">
        <v>0</v>
      </c>
      <c r="M5545" t="n">
        <v>0</v>
      </c>
      <c r="N5545" t="n">
        <v>0</v>
      </c>
      <c r="O5545" t="n">
        <v>0</v>
      </c>
      <c r="P5545" t="n">
        <v>0</v>
      </c>
      <c r="Q5545" t="n">
        <v>0</v>
      </c>
      <c r="R5545" s="2" t="inlineStr"/>
    </row>
    <row r="5546" ht="15" customHeight="1">
      <c r="A5546" t="inlineStr">
        <is>
          <t>A 13156-2024</t>
        </is>
      </c>
      <c r="B5546" s="1" t="n">
        <v>45386.3653587963</v>
      </c>
      <c r="C5546" s="1" t="n">
        <v>45952</v>
      </c>
      <c r="D5546" t="inlineStr">
        <is>
          <t>VÄSTRA GÖTALANDS LÄN</t>
        </is>
      </c>
      <c r="E5546" t="inlineStr">
        <is>
          <t>LERUM</t>
        </is>
      </c>
      <c r="G5546" t="n">
        <v>0.5</v>
      </c>
      <c r="H5546" t="n">
        <v>0</v>
      </c>
      <c r="I5546" t="n">
        <v>0</v>
      </c>
      <c r="J5546" t="n">
        <v>0</v>
      </c>
      <c r="K5546" t="n">
        <v>0</v>
      </c>
      <c r="L5546" t="n">
        <v>0</v>
      </c>
      <c r="M5546" t="n">
        <v>0</v>
      </c>
      <c r="N5546" t="n">
        <v>0</v>
      </c>
      <c r="O5546" t="n">
        <v>0</v>
      </c>
      <c r="P5546" t="n">
        <v>0</v>
      </c>
      <c r="Q5546" t="n">
        <v>0</v>
      </c>
      <c r="R5546" s="2" t="inlineStr"/>
    </row>
    <row r="5547" ht="15" customHeight="1">
      <c r="A5547" t="inlineStr">
        <is>
          <t>A 14012-2023</t>
        </is>
      </c>
      <c r="B5547" s="1" t="n">
        <v>45008</v>
      </c>
      <c r="C5547" s="1" t="n">
        <v>45952</v>
      </c>
      <c r="D5547" t="inlineStr">
        <is>
          <t>VÄSTRA GÖTALANDS LÄN</t>
        </is>
      </c>
      <c r="E5547" t="inlineStr">
        <is>
          <t>DALS-ED</t>
        </is>
      </c>
      <c r="G5547" t="n">
        <v>0.5</v>
      </c>
      <c r="H5547" t="n">
        <v>0</v>
      </c>
      <c r="I5547" t="n">
        <v>0</v>
      </c>
      <c r="J5547" t="n">
        <v>0</v>
      </c>
      <c r="K5547" t="n">
        <v>0</v>
      </c>
      <c r="L5547" t="n">
        <v>0</v>
      </c>
      <c r="M5547" t="n">
        <v>0</v>
      </c>
      <c r="N5547" t="n">
        <v>0</v>
      </c>
      <c r="O5547" t="n">
        <v>0</v>
      </c>
      <c r="P5547" t="n">
        <v>0</v>
      </c>
      <c r="Q5547" t="n">
        <v>0</v>
      </c>
      <c r="R5547" s="2" t="inlineStr"/>
    </row>
    <row r="5548" ht="15" customHeight="1">
      <c r="A5548" t="inlineStr">
        <is>
          <t>A 39084-2022</t>
        </is>
      </c>
      <c r="B5548" s="1" t="n">
        <v>44817.40947916666</v>
      </c>
      <c r="C5548" s="1" t="n">
        <v>45952</v>
      </c>
      <c r="D5548" t="inlineStr">
        <is>
          <t>VÄSTRA GÖTALANDS LÄN</t>
        </is>
      </c>
      <c r="E5548" t="inlineStr">
        <is>
          <t>UDDEVALLA</t>
        </is>
      </c>
      <c r="G5548" t="n">
        <v>2.8</v>
      </c>
      <c r="H5548" t="n">
        <v>0</v>
      </c>
      <c r="I5548" t="n">
        <v>0</v>
      </c>
      <c r="J5548" t="n">
        <v>0</v>
      </c>
      <c r="K5548" t="n">
        <v>0</v>
      </c>
      <c r="L5548" t="n">
        <v>0</v>
      </c>
      <c r="M5548" t="n">
        <v>0</v>
      </c>
      <c r="N5548" t="n">
        <v>0</v>
      </c>
      <c r="O5548" t="n">
        <v>0</v>
      </c>
      <c r="P5548" t="n">
        <v>0</v>
      </c>
      <c r="Q5548" t="n">
        <v>0</v>
      </c>
      <c r="R5548" s="2" t="inlineStr"/>
    </row>
    <row r="5549" ht="15" customHeight="1">
      <c r="A5549" t="inlineStr">
        <is>
          <t>A 17064-2025</t>
        </is>
      </c>
      <c r="B5549" s="1" t="n">
        <v>45755.61197916666</v>
      </c>
      <c r="C5549" s="1" t="n">
        <v>45952</v>
      </c>
      <c r="D5549" t="inlineStr">
        <is>
          <t>VÄSTRA GÖTALANDS LÄN</t>
        </is>
      </c>
      <c r="E5549" t="inlineStr">
        <is>
          <t>MELLERUD</t>
        </is>
      </c>
      <c r="G5549" t="n">
        <v>1.8</v>
      </c>
      <c r="H5549" t="n">
        <v>0</v>
      </c>
      <c r="I5549" t="n">
        <v>0</v>
      </c>
      <c r="J5549" t="n">
        <v>0</v>
      </c>
      <c r="K5549" t="n">
        <v>0</v>
      </c>
      <c r="L5549" t="n">
        <v>0</v>
      </c>
      <c r="M5549" t="n">
        <v>0</v>
      </c>
      <c r="N5549" t="n">
        <v>0</v>
      </c>
      <c r="O5549" t="n">
        <v>0</v>
      </c>
      <c r="P5549" t="n">
        <v>0</v>
      </c>
      <c r="Q5549" t="n">
        <v>0</v>
      </c>
      <c r="R5549" s="2" t="inlineStr"/>
    </row>
    <row r="5550" ht="15" customHeight="1">
      <c r="A5550" t="inlineStr">
        <is>
          <t>A 14039-2023</t>
        </is>
      </c>
      <c r="B5550" s="1" t="n">
        <v>45008</v>
      </c>
      <c r="C5550" s="1" t="n">
        <v>45952</v>
      </c>
      <c r="D5550" t="inlineStr">
        <is>
          <t>VÄSTRA GÖTALANDS LÄN</t>
        </is>
      </c>
      <c r="E5550" t="inlineStr">
        <is>
          <t>ULRICEHAMN</t>
        </is>
      </c>
      <c r="G5550" t="n">
        <v>0.8</v>
      </c>
      <c r="H5550" t="n">
        <v>0</v>
      </c>
      <c r="I5550" t="n">
        <v>0</v>
      </c>
      <c r="J5550" t="n">
        <v>0</v>
      </c>
      <c r="K5550" t="n">
        <v>0</v>
      </c>
      <c r="L5550" t="n">
        <v>0</v>
      </c>
      <c r="M5550" t="n">
        <v>0</v>
      </c>
      <c r="N5550" t="n">
        <v>0</v>
      </c>
      <c r="O5550" t="n">
        <v>0</v>
      </c>
      <c r="P5550" t="n">
        <v>0</v>
      </c>
      <c r="Q5550" t="n">
        <v>0</v>
      </c>
      <c r="R5550" s="2" t="inlineStr"/>
    </row>
    <row r="5551" ht="15" customHeight="1">
      <c r="A5551" t="inlineStr">
        <is>
          <t>A 61508-2023</t>
        </is>
      </c>
      <c r="B5551" s="1" t="n">
        <v>45265.27542824074</v>
      </c>
      <c r="C5551" s="1" t="n">
        <v>45952</v>
      </c>
      <c r="D5551" t="inlineStr">
        <is>
          <t>VÄSTRA GÖTALANDS LÄN</t>
        </is>
      </c>
      <c r="E5551" t="inlineStr">
        <is>
          <t>ULRICEHAMN</t>
        </is>
      </c>
      <c r="G5551" t="n">
        <v>1.3</v>
      </c>
      <c r="H5551" t="n">
        <v>0</v>
      </c>
      <c r="I5551" t="n">
        <v>0</v>
      </c>
      <c r="J5551" t="n">
        <v>0</v>
      </c>
      <c r="K5551" t="n">
        <v>0</v>
      </c>
      <c r="L5551" t="n">
        <v>0</v>
      </c>
      <c r="M5551" t="n">
        <v>0</v>
      </c>
      <c r="N5551" t="n">
        <v>0</v>
      </c>
      <c r="O5551" t="n">
        <v>0</v>
      </c>
      <c r="P5551" t="n">
        <v>0</v>
      </c>
      <c r="Q5551" t="n">
        <v>0</v>
      </c>
      <c r="R5551" s="2" t="inlineStr"/>
    </row>
    <row r="5552" ht="15" customHeight="1">
      <c r="A5552" t="inlineStr">
        <is>
          <t>A 61512-2023</t>
        </is>
      </c>
      <c r="B5552" s="1" t="n">
        <v>45265.31153935185</v>
      </c>
      <c r="C5552" s="1" t="n">
        <v>45952</v>
      </c>
      <c r="D5552" t="inlineStr">
        <is>
          <t>VÄSTRA GÖTALANDS LÄN</t>
        </is>
      </c>
      <c r="E5552" t="inlineStr">
        <is>
          <t>ULRICEHAMN</t>
        </is>
      </c>
      <c r="G5552" t="n">
        <v>1.8</v>
      </c>
      <c r="H5552" t="n">
        <v>0</v>
      </c>
      <c r="I5552" t="n">
        <v>0</v>
      </c>
      <c r="J5552" t="n">
        <v>0</v>
      </c>
      <c r="K5552" t="n">
        <v>0</v>
      </c>
      <c r="L5552" t="n">
        <v>0</v>
      </c>
      <c r="M5552" t="n">
        <v>0</v>
      </c>
      <c r="N5552" t="n">
        <v>0</v>
      </c>
      <c r="O5552" t="n">
        <v>0</v>
      </c>
      <c r="P5552" t="n">
        <v>0</v>
      </c>
      <c r="Q5552" t="n">
        <v>0</v>
      </c>
      <c r="R5552" s="2" t="inlineStr"/>
    </row>
    <row r="5553" ht="15" customHeight="1">
      <c r="A5553" t="inlineStr">
        <is>
          <t>A 7095-2025</t>
        </is>
      </c>
      <c r="B5553" s="1" t="n">
        <v>45701.7716087963</v>
      </c>
      <c r="C5553" s="1" t="n">
        <v>45952</v>
      </c>
      <c r="D5553" t="inlineStr">
        <is>
          <t>VÄSTRA GÖTALANDS LÄN</t>
        </is>
      </c>
      <c r="E5553" t="inlineStr">
        <is>
          <t>BORÅS</t>
        </is>
      </c>
      <c r="G5553" t="n">
        <v>0.7</v>
      </c>
      <c r="H5553" t="n">
        <v>0</v>
      </c>
      <c r="I5553" t="n">
        <v>0</v>
      </c>
      <c r="J5553" t="n">
        <v>0</v>
      </c>
      <c r="K5553" t="n">
        <v>0</v>
      </c>
      <c r="L5553" t="n">
        <v>0</v>
      </c>
      <c r="M5553" t="n">
        <v>0</v>
      </c>
      <c r="N5553" t="n">
        <v>0</v>
      </c>
      <c r="O5553" t="n">
        <v>0</v>
      </c>
      <c r="P5553" t="n">
        <v>0</v>
      </c>
      <c r="Q5553" t="n">
        <v>0</v>
      </c>
      <c r="R5553" s="2" t="inlineStr"/>
    </row>
    <row r="5554" ht="15" customHeight="1">
      <c r="A5554" t="inlineStr">
        <is>
          <t>A 53022-2024</t>
        </is>
      </c>
      <c r="B5554" s="1" t="n">
        <v>45611.41010416667</v>
      </c>
      <c r="C5554" s="1" t="n">
        <v>45952</v>
      </c>
      <c r="D5554" t="inlineStr">
        <is>
          <t>VÄSTRA GÖTALANDS LÄN</t>
        </is>
      </c>
      <c r="E5554" t="inlineStr">
        <is>
          <t>MARK</t>
        </is>
      </c>
      <c r="G5554" t="n">
        <v>1.4</v>
      </c>
      <c r="H5554" t="n">
        <v>0</v>
      </c>
      <c r="I5554" t="n">
        <v>0</v>
      </c>
      <c r="J5554" t="n">
        <v>0</v>
      </c>
      <c r="K5554" t="n">
        <v>0</v>
      </c>
      <c r="L5554" t="n">
        <v>0</v>
      </c>
      <c r="M5554" t="n">
        <v>0</v>
      </c>
      <c r="N5554" t="n">
        <v>0</v>
      </c>
      <c r="O5554" t="n">
        <v>0</v>
      </c>
      <c r="P5554" t="n">
        <v>0</v>
      </c>
      <c r="Q5554" t="n">
        <v>0</v>
      </c>
      <c r="R5554" s="2" t="inlineStr"/>
    </row>
    <row r="5555" ht="15" customHeight="1">
      <c r="A5555" t="inlineStr">
        <is>
          <t>A 5681-2021</t>
        </is>
      </c>
      <c r="B5555" s="1" t="n">
        <v>44230</v>
      </c>
      <c r="C5555" s="1" t="n">
        <v>45952</v>
      </c>
      <c r="D5555" t="inlineStr">
        <is>
          <t>VÄSTRA GÖTALANDS LÄN</t>
        </is>
      </c>
      <c r="E5555" t="inlineStr">
        <is>
          <t>BOLLEBYGD</t>
        </is>
      </c>
      <c r="G5555" t="n">
        <v>0.9</v>
      </c>
      <c r="H5555" t="n">
        <v>0</v>
      </c>
      <c r="I5555" t="n">
        <v>0</v>
      </c>
      <c r="J5555" t="n">
        <v>0</v>
      </c>
      <c r="K5555" t="n">
        <v>0</v>
      </c>
      <c r="L5555" t="n">
        <v>0</v>
      </c>
      <c r="M5555" t="n">
        <v>0</v>
      </c>
      <c r="N5555" t="n">
        <v>0</v>
      </c>
      <c r="O5555" t="n">
        <v>0</v>
      </c>
      <c r="P5555" t="n">
        <v>0</v>
      </c>
      <c r="Q5555" t="n">
        <v>0</v>
      </c>
      <c r="R5555" s="2" t="inlineStr"/>
    </row>
    <row r="5556" ht="15" customHeight="1">
      <c r="A5556" t="inlineStr">
        <is>
          <t>A 7149-2025</t>
        </is>
      </c>
      <c r="B5556" s="1" t="n">
        <v>45702.37914351852</v>
      </c>
      <c r="C5556" s="1" t="n">
        <v>45952</v>
      </c>
      <c r="D5556" t="inlineStr">
        <is>
          <t>VÄSTRA GÖTALANDS LÄN</t>
        </is>
      </c>
      <c r="E5556" t="inlineStr">
        <is>
          <t>LYSEKIL</t>
        </is>
      </c>
      <c r="G5556" t="n">
        <v>8</v>
      </c>
      <c r="H5556" t="n">
        <v>0</v>
      </c>
      <c r="I5556" t="n">
        <v>0</v>
      </c>
      <c r="J5556" t="n">
        <v>0</v>
      </c>
      <c r="K5556" t="n">
        <v>0</v>
      </c>
      <c r="L5556" t="n">
        <v>0</v>
      </c>
      <c r="M5556" t="n">
        <v>0</v>
      </c>
      <c r="N5556" t="n">
        <v>0</v>
      </c>
      <c r="O5556" t="n">
        <v>0</v>
      </c>
      <c r="P5556" t="n">
        <v>0</v>
      </c>
      <c r="Q5556" t="n">
        <v>0</v>
      </c>
      <c r="R5556" s="2" t="inlineStr"/>
    </row>
    <row r="5557" ht="15" customHeight="1">
      <c r="A5557" t="inlineStr">
        <is>
          <t>A 16601-2025</t>
        </is>
      </c>
      <c r="B5557" s="1" t="n">
        <v>45753.53189814815</v>
      </c>
      <c r="C5557" s="1" t="n">
        <v>45952</v>
      </c>
      <c r="D5557" t="inlineStr">
        <is>
          <t>VÄSTRA GÖTALANDS LÄN</t>
        </is>
      </c>
      <c r="E5557" t="inlineStr">
        <is>
          <t>ALE</t>
        </is>
      </c>
      <c r="G5557" t="n">
        <v>1.7</v>
      </c>
      <c r="H5557" t="n">
        <v>0</v>
      </c>
      <c r="I5557" t="n">
        <v>0</v>
      </c>
      <c r="J5557" t="n">
        <v>0</v>
      </c>
      <c r="K5557" t="n">
        <v>0</v>
      </c>
      <c r="L5557" t="n">
        <v>0</v>
      </c>
      <c r="M5557" t="n">
        <v>0</v>
      </c>
      <c r="N5557" t="n">
        <v>0</v>
      </c>
      <c r="O5557" t="n">
        <v>0</v>
      </c>
      <c r="P5557" t="n">
        <v>0</v>
      </c>
      <c r="Q5557" t="n">
        <v>0</v>
      </c>
      <c r="R5557" s="2" t="inlineStr"/>
    </row>
    <row r="5558" ht="15" customHeight="1">
      <c r="A5558" t="inlineStr">
        <is>
          <t>A 5755-2021</t>
        </is>
      </c>
      <c r="B5558" s="1" t="n">
        <v>44230</v>
      </c>
      <c r="C5558" s="1" t="n">
        <v>45952</v>
      </c>
      <c r="D5558" t="inlineStr">
        <is>
          <t>VÄSTRA GÖTALANDS LÄN</t>
        </is>
      </c>
      <c r="E5558" t="inlineStr">
        <is>
          <t>VARA</t>
        </is>
      </c>
      <c r="G5558" t="n">
        <v>4.9</v>
      </c>
      <c r="H5558" t="n">
        <v>0</v>
      </c>
      <c r="I5558" t="n">
        <v>0</v>
      </c>
      <c r="J5558" t="n">
        <v>0</v>
      </c>
      <c r="K5558" t="n">
        <v>0</v>
      </c>
      <c r="L5558" t="n">
        <v>0</v>
      </c>
      <c r="M5558" t="n">
        <v>0</v>
      </c>
      <c r="N5558" t="n">
        <v>0</v>
      </c>
      <c r="O5558" t="n">
        <v>0</v>
      </c>
      <c r="P5558" t="n">
        <v>0</v>
      </c>
      <c r="Q5558" t="n">
        <v>0</v>
      </c>
      <c r="R5558" s="2" t="inlineStr"/>
    </row>
    <row r="5559" ht="15" customHeight="1">
      <c r="A5559" t="inlineStr">
        <is>
          <t>A 4696-2024</t>
        </is>
      </c>
      <c r="B5559" s="1" t="n">
        <v>45328</v>
      </c>
      <c r="C5559" s="1" t="n">
        <v>45952</v>
      </c>
      <c r="D5559" t="inlineStr">
        <is>
          <t>VÄSTRA GÖTALANDS LÄN</t>
        </is>
      </c>
      <c r="E5559" t="inlineStr">
        <is>
          <t>ÅMÅL</t>
        </is>
      </c>
      <c r="G5559" t="n">
        <v>1.5</v>
      </c>
      <c r="H5559" t="n">
        <v>0</v>
      </c>
      <c r="I5559" t="n">
        <v>0</v>
      </c>
      <c r="J5559" t="n">
        <v>0</v>
      </c>
      <c r="K5559" t="n">
        <v>0</v>
      </c>
      <c r="L5559" t="n">
        <v>0</v>
      </c>
      <c r="M5559" t="n">
        <v>0</v>
      </c>
      <c r="N5559" t="n">
        <v>0</v>
      </c>
      <c r="O5559" t="n">
        <v>0</v>
      </c>
      <c r="P5559" t="n">
        <v>0</v>
      </c>
      <c r="Q5559" t="n">
        <v>0</v>
      </c>
      <c r="R5559" s="2" t="inlineStr"/>
    </row>
    <row r="5560" ht="15" customHeight="1">
      <c r="A5560" t="inlineStr">
        <is>
          <t>A 40995-2022</t>
        </is>
      </c>
      <c r="B5560" s="1" t="n">
        <v>44825.49869212963</v>
      </c>
      <c r="C5560" s="1" t="n">
        <v>45952</v>
      </c>
      <c r="D5560" t="inlineStr">
        <is>
          <t>VÄSTRA GÖTALANDS LÄN</t>
        </is>
      </c>
      <c r="E5560" t="inlineStr">
        <is>
          <t>SKÖVDE</t>
        </is>
      </c>
      <c r="G5560" t="n">
        <v>3.2</v>
      </c>
      <c r="H5560" t="n">
        <v>0</v>
      </c>
      <c r="I5560" t="n">
        <v>0</v>
      </c>
      <c r="J5560" t="n">
        <v>0</v>
      </c>
      <c r="K5560" t="n">
        <v>0</v>
      </c>
      <c r="L5560" t="n">
        <v>0</v>
      </c>
      <c r="M5560" t="n">
        <v>0</v>
      </c>
      <c r="N5560" t="n">
        <v>0</v>
      </c>
      <c r="O5560" t="n">
        <v>0</v>
      </c>
      <c r="P5560" t="n">
        <v>0</v>
      </c>
      <c r="Q5560" t="n">
        <v>0</v>
      </c>
      <c r="R5560" s="2" t="inlineStr"/>
    </row>
    <row r="5561" ht="15" customHeight="1">
      <c r="A5561" t="inlineStr">
        <is>
          <t>A 9958-2024</t>
        </is>
      </c>
      <c r="B5561" s="1" t="n">
        <v>45363.63673611111</v>
      </c>
      <c r="C5561" s="1" t="n">
        <v>45952</v>
      </c>
      <c r="D5561" t="inlineStr">
        <is>
          <t>VÄSTRA GÖTALANDS LÄN</t>
        </is>
      </c>
      <c r="E5561" t="inlineStr">
        <is>
          <t>FALKÖPING</t>
        </is>
      </c>
      <c r="G5561" t="n">
        <v>1.3</v>
      </c>
      <c r="H5561" t="n">
        <v>0</v>
      </c>
      <c r="I5561" t="n">
        <v>0</v>
      </c>
      <c r="J5561" t="n">
        <v>0</v>
      </c>
      <c r="K5561" t="n">
        <v>0</v>
      </c>
      <c r="L5561" t="n">
        <v>0</v>
      </c>
      <c r="M5561" t="n">
        <v>0</v>
      </c>
      <c r="N5561" t="n">
        <v>0</v>
      </c>
      <c r="O5561" t="n">
        <v>0</v>
      </c>
      <c r="P5561" t="n">
        <v>0</v>
      </c>
      <c r="Q5561" t="n">
        <v>0</v>
      </c>
      <c r="R5561" s="2" t="inlineStr"/>
    </row>
    <row r="5562" ht="15" customHeight="1">
      <c r="A5562" t="inlineStr">
        <is>
          <t>A 62042-2024</t>
        </is>
      </c>
      <c r="B5562" s="1" t="n">
        <v>45656.35608796297</v>
      </c>
      <c r="C5562" s="1" t="n">
        <v>45952</v>
      </c>
      <c r="D5562" t="inlineStr">
        <is>
          <t>VÄSTRA GÖTALANDS LÄN</t>
        </is>
      </c>
      <c r="E5562" t="inlineStr">
        <is>
          <t>UDDEVALLA</t>
        </is>
      </c>
      <c r="F5562" t="inlineStr">
        <is>
          <t>Kommuner</t>
        </is>
      </c>
      <c r="G5562" t="n">
        <v>9.6</v>
      </c>
      <c r="H5562" t="n">
        <v>0</v>
      </c>
      <c r="I5562" t="n">
        <v>0</v>
      </c>
      <c r="J5562" t="n">
        <v>0</v>
      </c>
      <c r="K5562" t="n">
        <v>0</v>
      </c>
      <c r="L5562" t="n">
        <v>0</v>
      </c>
      <c r="M5562" t="n">
        <v>0</v>
      </c>
      <c r="N5562" t="n">
        <v>0</v>
      </c>
      <c r="O5562" t="n">
        <v>0</v>
      </c>
      <c r="P5562" t="n">
        <v>0</v>
      </c>
      <c r="Q5562" t="n">
        <v>0</v>
      </c>
      <c r="R5562" s="2" t="inlineStr"/>
    </row>
    <row r="5563" ht="15" customHeight="1">
      <c r="A5563" t="inlineStr">
        <is>
          <t>A 25073-2023</t>
        </is>
      </c>
      <c r="B5563" s="1" t="n">
        <v>45086</v>
      </c>
      <c r="C5563" s="1" t="n">
        <v>45952</v>
      </c>
      <c r="D5563" t="inlineStr">
        <is>
          <t>VÄSTRA GÖTALANDS LÄN</t>
        </is>
      </c>
      <c r="E5563" t="inlineStr">
        <is>
          <t>ULRICEHAMN</t>
        </is>
      </c>
      <c r="G5563" t="n">
        <v>4.5</v>
      </c>
      <c r="H5563" t="n">
        <v>0</v>
      </c>
      <c r="I5563" t="n">
        <v>0</v>
      </c>
      <c r="J5563" t="n">
        <v>0</v>
      </c>
      <c r="K5563" t="n">
        <v>0</v>
      </c>
      <c r="L5563" t="n">
        <v>0</v>
      </c>
      <c r="M5563" t="n">
        <v>0</v>
      </c>
      <c r="N5563" t="n">
        <v>0</v>
      </c>
      <c r="O5563" t="n">
        <v>0</v>
      </c>
      <c r="P5563" t="n">
        <v>0</v>
      </c>
      <c r="Q5563" t="n">
        <v>0</v>
      </c>
      <c r="R5563" s="2" t="inlineStr"/>
    </row>
    <row r="5564" ht="15" customHeight="1">
      <c r="A5564" t="inlineStr">
        <is>
          <t>A 7154-2024</t>
        </is>
      </c>
      <c r="B5564" s="1" t="n">
        <v>45344</v>
      </c>
      <c r="C5564" s="1" t="n">
        <v>45952</v>
      </c>
      <c r="D5564" t="inlineStr">
        <is>
          <t>VÄSTRA GÖTALANDS LÄN</t>
        </is>
      </c>
      <c r="E5564" t="inlineStr">
        <is>
          <t>MELLERUD</t>
        </is>
      </c>
      <c r="G5564" t="n">
        <v>0.9</v>
      </c>
      <c r="H5564" t="n">
        <v>0</v>
      </c>
      <c r="I5564" t="n">
        <v>0</v>
      </c>
      <c r="J5564" t="n">
        <v>0</v>
      </c>
      <c r="K5564" t="n">
        <v>0</v>
      </c>
      <c r="L5564" t="n">
        <v>0</v>
      </c>
      <c r="M5564" t="n">
        <v>0</v>
      </c>
      <c r="N5564" t="n">
        <v>0</v>
      </c>
      <c r="O5564" t="n">
        <v>0</v>
      </c>
      <c r="P5564" t="n">
        <v>0</v>
      </c>
      <c r="Q5564" t="n">
        <v>0</v>
      </c>
      <c r="R5564" s="2" t="inlineStr"/>
    </row>
    <row r="5565" ht="15" customHeight="1">
      <c r="A5565" t="inlineStr">
        <is>
          <t>A 47892-2022</t>
        </is>
      </c>
      <c r="B5565" s="1" t="n">
        <v>44855</v>
      </c>
      <c r="C5565" s="1" t="n">
        <v>45952</v>
      </c>
      <c r="D5565" t="inlineStr">
        <is>
          <t>VÄSTRA GÖTALANDS LÄN</t>
        </is>
      </c>
      <c r="E5565" t="inlineStr">
        <is>
          <t>BENGTSFORS</t>
        </is>
      </c>
      <c r="G5565" t="n">
        <v>1.2</v>
      </c>
      <c r="H5565" t="n">
        <v>0</v>
      </c>
      <c r="I5565" t="n">
        <v>0</v>
      </c>
      <c r="J5565" t="n">
        <v>0</v>
      </c>
      <c r="K5565" t="n">
        <v>0</v>
      </c>
      <c r="L5565" t="n">
        <v>0</v>
      </c>
      <c r="M5565" t="n">
        <v>0</v>
      </c>
      <c r="N5565" t="n">
        <v>0</v>
      </c>
      <c r="O5565" t="n">
        <v>0</v>
      </c>
      <c r="P5565" t="n">
        <v>0</v>
      </c>
      <c r="Q5565" t="n">
        <v>0</v>
      </c>
      <c r="R5565" s="2" t="inlineStr"/>
    </row>
    <row r="5566" ht="15" customHeight="1">
      <c r="A5566" t="inlineStr">
        <is>
          <t>A 302-2024</t>
        </is>
      </c>
      <c r="B5566" s="1" t="n">
        <v>45295</v>
      </c>
      <c r="C5566" s="1" t="n">
        <v>45952</v>
      </c>
      <c r="D5566" t="inlineStr">
        <is>
          <t>VÄSTRA GÖTALANDS LÄN</t>
        </is>
      </c>
      <c r="E5566" t="inlineStr">
        <is>
          <t>LILLA EDET</t>
        </is>
      </c>
      <c r="F5566" t="inlineStr">
        <is>
          <t>Kyrkan</t>
        </is>
      </c>
      <c r="G5566" t="n">
        <v>2.3</v>
      </c>
      <c r="H5566" t="n">
        <v>0</v>
      </c>
      <c r="I5566" t="n">
        <v>0</v>
      </c>
      <c r="J5566" t="n">
        <v>0</v>
      </c>
      <c r="K5566" t="n">
        <v>0</v>
      </c>
      <c r="L5566" t="n">
        <v>0</v>
      </c>
      <c r="M5566" t="n">
        <v>0</v>
      </c>
      <c r="N5566" t="n">
        <v>0</v>
      </c>
      <c r="O5566" t="n">
        <v>0</v>
      </c>
      <c r="P5566" t="n">
        <v>0</v>
      </c>
      <c r="Q5566" t="n">
        <v>0</v>
      </c>
      <c r="R5566" s="2" t="inlineStr"/>
    </row>
    <row r="5567" ht="15" customHeight="1">
      <c r="A5567" t="inlineStr">
        <is>
          <t>A 53909-2023</t>
        </is>
      </c>
      <c r="B5567" s="1" t="n">
        <v>45231.55700231482</v>
      </c>
      <c r="C5567" s="1" t="n">
        <v>45952</v>
      </c>
      <c r="D5567" t="inlineStr">
        <is>
          <t>VÄSTRA GÖTALANDS LÄN</t>
        </is>
      </c>
      <c r="E5567" t="inlineStr">
        <is>
          <t>KARLSBORG</t>
        </is>
      </c>
      <c r="G5567" t="n">
        <v>2.6</v>
      </c>
      <c r="H5567" t="n">
        <v>0</v>
      </c>
      <c r="I5567" t="n">
        <v>0</v>
      </c>
      <c r="J5567" t="n">
        <v>0</v>
      </c>
      <c r="K5567" t="n">
        <v>0</v>
      </c>
      <c r="L5567" t="n">
        <v>0</v>
      </c>
      <c r="M5567" t="n">
        <v>0</v>
      </c>
      <c r="N5567" t="n">
        <v>0</v>
      </c>
      <c r="O5567" t="n">
        <v>0</v>
      </c>
      <c r="P5567" t="n">
        <v>0</v>
      </c>
      <c r="Q5567" t="n">
        <v>0</v>
      </c>
      <c r="R5567" s="2" t="inlineStr"/>
    </row>
    <row r="5568" ht="15" customHeight="1">
      <c r="A5568" t="inlineStr">
        <is>
          <t>A 20891-2023</t>
        </is>
      </c>
      <c r="B5568" s="1" t="n">
        <v>45059</v>
      </c>
      <c r="C5568" s="1" t="n">
        <v>45952</v>
      </c>
      <c r="D5568" t="inlineStr">
        <is>
          <t>VÄSTRA GÖTALANDS LÄN</t>
        </is>
      </c>
      <c r="E5568" t="inlineStr">
        <is>
          <t>ULRICEHAMN</t>
        </is>
      </c>
      <c r="G5568" t="n">
        <v>2</v>
      </c>
      <c r="H5568" t="n">
        <v>0</v>
      </c>
      <c r="I5568" t="n">
        <v>0</v>
      </c>
      <c r="J5568" t="n">
        <v>0</v>
      </c>
      <c r="K5568" t="n">
        <v>0</v>
      </c>
      <c r="L5568" t="n">
        <v>0</v>
      </c>
      <c r="M5568" t="n">
        <v>0</v>
      </c>
      <c r="N5568" t="n">
        <v>0</v>
      </c>
      <c r="O5568" t="n">
        <v>0</v>
      </c>
      <c r="P5568" t="n">
        <v>0</v>
      </c>
      <c r="Q5568" t="n">
        <v>0</v>
      </c>
      <c r="R5568" s="2" t="inlineStr"/>
    </row>
    <row r="5569" ht="15" customHeight="1">
      <c r="A5569" t="inlineStr">
        <is>
          <t>A 20891-2023</t>
        </is>
      </c>
      <c r="B5569" s="1" t="n">
        <v>45059</v>
      </c>
      <c r="C5569" s="1" t="n">
        <v>45952</v>
      </c>
      <c r="D5569" t="inlineStr">
        <is>
          <t>VÄSTRA GÖTALANDS LÄN</t>
        </is>
      </c>
      <c r="E5569" t="inlineStr">
        <is>
          <t>ULRICEHAMN</t>
        </is>
      </c>
      <c r="G5569" t="n">
        <v>1.1</v>
      </c>
      <c r="H5569" t="n">
        <v>0</v>
      </c>
      <c r="I5569" t="n">
        <v>0</v>
      </c>
      <c r="J5569" t="n">
        <v>0</v>
      </c>
      <c r="K5569" t="n">
        <v>0</v>
      </c>
      <c r="L5569" t="n">
        <v>0</v>
      </c>
      <c r="M5569" t="n">
        <v>0</v>
      </c>
      <c r="N5569" t="n">
        <v>0</v>
      </c>
      <c r="O5569" t="n">
        <v>0</v>
      </c>
      <c r="P5569" t="n">
        <v>0</v>
      </c>
      <c r="Q5569" t="n">
        <v>0</v>
      </c>
      <c r="R5569" s="2" t="inlineStr"/>
    </row>
    <row r="5570" ht="15" customHeight="1">
      <c r="A5570" t="inlineStr">
        <is>
          <t>A 57957-2023</t>
        </is>
      </c>
      <c r="B5570" s="1" t="n">
        <v>45247</v>
      </c>
      <c r="C5570" s="1" t="n">
        <v>45952</v>
      </c>
      <c r="D5570" t="inlineStr">
        <is>
          <t>VÄSTRA GÖTALANDS LÄN</t>
        </is>
      </c>
      <c r="E5570" t="inlineStr">
        <is>
          <t>ÅMÅL</t>
        </is>
      </c>
      <c r="G5570" t="n">
        <v>8</v>
      </c>
      <c r="H5570" t="n">
        <v>0</v>
      </c>
      <c r="I5570" t="n">
        <v>0</v>
      </c>
      <c r="J5570" t="n">
        <v>0</v>
      </c>
      <c r="K5570" t="n">
        <v>0</v>
      </c>
      <c r="L5570" t="n">
        <v>0</v>
      </c>
      <c r="M5570" t="n">
        <v>0</v>
      </c>
      <c r="N5570" t="n">
        <v>0</v>
      </c>
      <c r="O5570" t="n">
        <v>0</v>
      </c>
      <c r="P5570" t="n">
        <v>0</v>
      </c>
      <c r="Q5570" t="n">
        <v>0</v>
      </c>
      <c r="R5570" s="2" t="inlineStr"/>
    </row>
    <row r="5571" ht="15" customHeight="1">
      <c r="A5571" t="inlineStr">
        <is>
          <t>A 15159-2023</t>
        </is>
      </c>
      <c r="B5571" s="1" t="n">
        <v>45016.58609953704</v>
      </c>
      <c r="C5571" s="1" t="n">
        <v>45952</v>
      </c>
      <c r="D5571" t="inlineStr">
        <is>
          <t>VÄSTRA GÖTALANDS LÄN</t>
        </is>
      </c>
      <c r="E5571" t="inlineStr">
        <is>
          <t>LILLA EDET</t>
        </is>
      </c>
      <c r="F5571" t="inlineStr">
        <is>
          <t>Kommuner</t>
        </is>
      </c>
      <c r="G5571" t="n">
        <v>0.9</v>
      </c>
      <c r="H5571" t="n">
        <v>0</v>
      </c>
      <c r="I5571" t="n">
        <v>0</v>
      </c>
      <c r="J5571" t="n">
        <v>0</v>
      </c>
      <c r="K5571" t="n">
        <v>0</v>
      </c>
      <c r="L5571" t="n">
        <v>0</v>
      </c>
      <c r="M5571" t="n">
        <v>0</v>
      </c>
      <c r="N5571" t="n">
        <v>0</v>
      </c>
      <c r="O5571" t="n">
        <v>0</v>
      </c>
      <c r="P5571" t="n">
        <v>0</v>
      </c>
      <c r="Q5571" t="n">
        <v>0</v>
      </c>
      <c r="R5571" s="2" t="inlineStr"/>
    </row>
    <row r="5572" ht="15" customHeight="1">
      <c r="A5572" t="inlineStr">
        <is>
          <t>A 44308-2023</t>
        </is>
      </c>
      <c r="B5572" s="1" t="n">
        <v>45188.64850694445</v>
      </c>
      <c r="C5572" s="1" t="n">
        <v>45952</v>
      </c>
      <c r="D5572" t="inlineStr">
        <is>
          <t>VÄSTRA GÖTALANDS LÄN</t>
        </is>
      </c>
      <c r="E5572" t="inlineStr">
        <is>
          <t>LIDKÖPING</t>
        </is>
      </c>
      <c r="G5572" t="n">
        <v>0.7</v>
      </c>
      <c r="H5572" t="n">
        <v>0</v>
      </c>
      <c r="I5572" t="n">
        <v>0</v>
      </c>
      <c r="J5572" t="n">
        <v>0</v>
      </c>
      <c r="K5572" t="n">
        <v>0</v>
      </c>
      <c r="L5572" t="n">
        <v>0</v>
      </c>
      <c r="M5572" t="n">
        <v>0</v>
      </c>
      <c r="N5572" t="n">
        <v>0</v>
      </c>
      <c r="O5572" t="n">
        <v>0</v>
      </c>
      <c r="P5572" t="n">
        <v>0</v>
      </c>
      <c r="Q5572" t="n">
        <v>0</v>
      </c>
      <c r="R5572" s="2" t="inlineStr"/>
    </row>
    <row r="5573" ht="15" customHeight="1">
      <c r="A5573" t="inlineStr">
        <is>
          <t>A 42712-2023</t>
        </is>
      </c>
      <c r="B5573" s="1" t="n">
        <v>45181.61869212963</v>
      </c>
      <c r="C5573" s="1" t="n">
        <v>45952</v>
      </c>
      <c r="D5573" t="inlineStr">
        <is>
          <t>VÄSTRA GÖTALANDS LÄN</t>
        </is>
      </c>
      <c r="E5573" t="inlineStr">
        <is>
          <t>ORUST</t>
        </is>
      </c>
      <c r="G5573" t="n">
        <v>1.2</v>
      </c>
      <c r="H5573" t="n">
        <v>0</v>
      </c>
      <c r="I5573" t="n">
        <v>0</v>
      </c>
      <c r="J5573" t="n">
        <v>0</v>
      </c>
      <c r="K5573" t="n">
        <v>0</v>
      </c>
      <c r="L5573" t="n">
        <v>0</v>
      </c>
      <c r="M5573" t="n">
        <v>0</v>
      </c>
      <c r="N5573" t="n">
        <v>0</v>
      </c>
      <c r="O5573" t="n">
        <v>0</v>
      </c>
      <c r="P5573" t="n">
        <v>0</v>
      </c>
      <c r="Q5573" t="n">
        <v>0</v>
      </c>
      <c r="R5573" s="2" t="inlineStr"/>
    </row>
    <row r="5574" ht="15" customHeight="1">
      <c r="A5574" t="inlineStr">
        <is>
          <t>A 15853-2023</t>
        </is>
      </c>
      <c r="B5574" s="1" t="n">
        <v>45022.36556712963</v>
      </c>
      <c r="C5574" s="1" t="n">
        <v>45952</v>
      </c>
      <c r="D5574" t="inlineStr">
        <is>
          <t>VÄSTRA GÖTALANDS LÄN</t>
        </is>
      </c>
      <c r="E5574" t="inlineStr">
        <is>
          <t>MUNKEDAL</t>
        </is>
      </c>
      <c r="G5574" t="n">
        <v>1.1</v>
      </c>
      <c r="H5574" t="n">
        <v>0</v>
      </c>
      <c r="I5574" t="n">
        <v>0</v>
      </c>
      <c r="J5574" t="n">
        <v>0</v>
      </c>
      <c r="K5574" t="n">
        <v>0</v>
      </c>
      <c r="L5574" t="n">
        <v>0</v>
      </c>
      <c r="M5574" t="n">
        <v>0</v>
      </c>
      <c r="N5574" t="n">
        <v>0</v>
      </c>
      <c r="O5574" t="n">
        <v>0</v>
      </c>
      <c r="P5574" t="n">
        <v>0</v>
      </c>
      <c r="Q5574" t="n">
        <v>0</v>
      </c>
      <c r="R5574" s="2" t="inlineStr"/>
    </row>
    <row r="5575" ht="15" customHeight="1">
      <c r="A5575" t="inlineStr">
        <is>
          <t>A 15864-2023</t>
        </is>
      </c>
      <c r="B5575" s="1" t="n">
        <v>45022.38005787037</v>
      </c>
      <c r="C5575" s="1" t="n">
        <v>45952</v>
      </c>
      <c r="D5575" t="inlineStr">
        <is>
          <t>VÄSTRA GÖTALANDS LÄN</t>
        </is>
      </c>
      <c r="E5575" t="inlineStr">
        <is>
          <t>MARK</t>
        </is>
      </c>
      <c r="G5575" t="n">
        <v>2.5</v>
      </c>
      <c r="H5575" t="n">
        <v>0</v>
      </c>
      <c r="I5575" t="n">
        <v>0</v>
      </c>
      <c r="J5575" t="n">
        <v>0</v>
      </c>
      <c r="K5575" t="n">
        <v>0</v>
      </c>
      <c r="L5575" t="n">
        <v>0</v>
      </c>
      <c r="M5575" t="n">
        <v>0</v>
      </c>
      <c r="N5575" t="n">
        <v>0</v>
      </c>
      <c r="O5575" t="n">
        <v>0</v>
      </c>
      <c r="P5575" t="n">
        <v>0</v>
      </c>
      <c r="Q5575" t="n">
        <v>0</v>
      </c>
      <c r="R5575" s="2" t="inlineStr"/>
    </row>
    <row r="5576" ht="15" customHeight="1">
      <c r="A5576" t="inlineStr">
        <is>
          <t>A 48338-2024</t>
        </is>
      </c>
      <c r="B5576" s="1" t="n">
        <v>45590.54170138889</v>
      </c>
      <c r="C5576" s="1" t="n">
        <v>45952</v>
      </c>
      <c r="D5576" t="inlineStr">
        <is>
          <t>VÄSTRA GÖTALANDS LÄN</t>
        </is>
      </c>
      <c r="E5576" t="inlineStr">
        <is>
          <t>SKÖVDE</t>
        </is>
      </c>
      <c r="G5576" t="n">
        <v>0.8</v>
      </c>
      <c r="H5576" t="n">
        <v>0</v>
      </c>
      <c r="I5576" t="n">
        <v>0</v>
      </c>
      <c r="J5576" t="n">
        <v>0</v>
      </c>
      <c r="K5576" t="n">
        <v>0</v>
      </c>
      <c r="L5576" t="n">
        <v>0</v>
      </c>
      <c r="M5576" t="n">
        <v>0</v>
      </c>
      <c r="N5576" t="n">
        <v>0</v>
      </c>
      <c r="O5576" t="n">
        <v>0</v>
      </c>
      <c r="P5576" t="n">
        <v>0</v>
      </c>
      <c r="Q5576" t="n">
        <v>0</v>
      </c>
      <c r="R5576" s="2" t="inlineStr"/>
    </row>
    <row r="5577" ht="15" customHeight="1">
      <c r="A5577" t="inlineStr">
        <is>
          <t>A 21373-2023</t>
        </is>
      </c>
      <c r="B5577" s="1" t="n">
        <v>45063.31554398148</v>
      </c>
      <c r="C5577" s="1" t="n">
        <v>45952</v>
      </c>
      <c r="D5577" t="inlineStr">
        <is>
          <t>VÄSTRA GÖTALANDS LÄN</t>
        </is>
      </c>
      <c r="E5577" t="inlineStr">
        <is>
          <t>BENGTSFORS</t>
        </is>
      </c>
      <c r="G5577" t="n">
        <v>4.4</v>
      </c>
      <c r="H5577" t="n">
        <v>0</v>
      </c>
      <c r="I5577" t="n">
        <v>0</v>
      </c>
      <c r="J5577" t="n">
        <v>0</v>
      </c>
      <c r="K5577" t="n">
        <v>0</v>
      </c>
      <c r="L5577" t="n">
        <v>0</v>
      </c>
      <c r="M5577" t="n">
        <v>0</v>
      </c>
      <c r="N5577" t="n">
        <v>0</v>
      </c>
      <c r="O5577" t="n">
        <v>0</v>
      </c>
      <c r="P5577" t="n">
        <v>0</v>
      </c>
      <c r="Q5577" t="n">
        <v>0</v>
      </c>
      <c r="R5577" s="2" t="inlineStr"/>
    </row>
    <row r="5578" ht="15" customHeight="1">
      <c r="A5578" t="inlineStr">
        <is>
          <t>A 56614-2022</t>
        </is>
      </c>
      <c r="B5578" s="1" t="n">
        <v>44893.58832175926</v>
      </c>
      <c r="C5578" s="1" t="n">
        <v>45952</v>
      </c>
      <c r="D5578" t="inlineStr">
        <is>
          <t>VÄSTRA GÖTALANDS LÄN</t>
        </is>
      </c>
      <c r="E5578" t="inlineStr">
        <is>
          <t>FÄRGELANDA</t>
        </is>
      </c>
      <c r="G5578" t="n">
        <v>5.6</v>
      </c>
      <c r="H5578" t="n">
        <v>0</v>
      </c>
      <c r="I5578" t="n">
        <v>0</v>
      </c>
      <c r="J5578" t="n">
        <v>0</v>
      </c>
      <c r="K5578" t="n">
        <v>0</v>
      </c>
      <c r="L5578" t="n">
        <v>0</v>
      </c>
      <c r="M5578" t="n">
        <v>0</v>
      </c>
      <c r="N5578" t="n">
        <v>0</v>
      </c>
      <c r="O5578" t="n">
        <v>0</v>
      </c>
      <c r="P5578" t="n">
        <v>0</v>
      </c>
      <c r="Q5578" t="n">
        <v>0</v>
      </c>
      <c r="R5578" s="2" t="inlineStr"/>
    </row>
    <row r="5579" ht="15" customHeight="1">
      <c r="A5579" t="inlineStr">
        <is>
          <t>A 30159-2022</t>
        </is>
      </c>
      <c r="B5579" s="1" t="n">
        <v>44757.52935185185</v>
      </c>
      <c r="C5579" s="1" t="n">
        <v>45952</v>
      </c>
      <c r="D5579" t="inlineStr">
        <is>
          <t>VÄSTRA GÖTALANDS LÄN</t>
        </is>
      </c>
      <c r="E5579" t="inlineStr">
        <is>
          <t>HERRLJUNGA</t>
        </is>
      </c>
      <c r="G5579" t="n">
        <v>2</v>
      </c>
      <c r="H5579" t="n">
        <v>0</v>
      </c>
      <c r="I5579" t="n">
        <v>0</v>
      </c>
      <c r="J5579" t="n">
        <v>0</v>
      </c>
      <c r="K5579" t="n">
        <v>0</v>
      </c>
      <c r="L5579" t="n">
        <v>0</v>
      </c>
      <c r="M5579" t="n">
        <v>0</v>
      </c>
      <c r="N5579" t="n">
        <v>0</v>
      </c>
      <c r="O5579" t="n">
        <v>0</v>
      </c>
      <c r="P5579" t="n">
        <v>0</v>
      </c>
      <c r="Q5579" t="n">
        <v>0</v>
      </c>
      <c r="R5579" s="2" t="inlineStr"/>
    </row>
    <row r="5580" ht="15" customHeight="1">
      <c r="A5580" t="inlineStr">
        <is>
          <t>A 18247-2023</t>
        </is>
      </c>
      <c r="B5580" s="1" t="n">
        <v>45041.47372685185</v>
      </c>
      <c r="C5580" s="1" t="n">
        <v>45952</v>
      </c>
      <c r="D5580" t="inlineStr">
        <is>
          <t>VÄSTRA GÖTALANDS LÄN</t>
        </is>
      </c>
      <c r="E5580" t="inlineStr">
        <is>
          <t>TIDAHOLM</t>
        </is>
      </c>
      <c r="G5580" t="n">
        <v>1.4</v>
      </c>
      <c r="H5580" t="n">
        <v>0</v>
      </c>
      <c r="I5580" t="n">
        <v>0</v>
      </c>
      <c r="J5580" t="n">
        <v>0</v>
      </c>
      <c r="K5580" t="n">
        <v>0</v>
      </c>
      <c r="L5580" t="n">
        <v>0</v>
      </c>
      <c r="M5580" t="n">
        <v>0</v>
      </c>
      <c r="N5580" t="n">
        <v>0</v>
      </c>
      <c r="O5580" t="n">
        <v>0</v>
      </c>
      <c r="P5580" t="n">
        <v>0</v>
      </c>
      <c r="Q5580" t="n">
        <v>0</v>
      </c>
      <c r="R5580" s="2" t="inlineStr"/>
    </row>
    <row r="5581" ht="15" customHeight="1">
      <c r="A5581" t="inlineStr">
        <is>
          <t>A 30801-2023</t>
        </is>
      </c>
      <c r="B5581" s="1" t="n">
        <v>45112.78192129629</v>
      </c>
      <c r="C5581" s="1" t="n">
        <v>45952</v>
      </c>
      <c r="D5581" t="inlineStr">
        <is>
          <t>VÄSTRA GÖTALANDS LÄN</t>
        </is>
      </c>
      <c r="E5581" t="inlineStr">
        <is>
          <t>BOLLEBYGD</t>
        </is>
      </c>
      <c r="G5581" t="n">
        <v>2.6</v>
      </c>
      <c r="H5581" t="n">
        <v>0</v>
      </c>
      <c r="I5581" t="n">
        <v>0</v>
      </c>
      <c r="J5581" t="n">
        <v>0</v>
      </c>
      <c r="K5581" t="n">
        <v>0</v>
      </c>
      <c r="L5581" t="n">
        <v>0</v>
      </c>
      <c r="M5581" t="n">
        <v>0</v>
      </c>
      <c r="N5581" t="n">
        <v>0</v>
      </c>
      <c r="O5581" t="n">
        <v>0</v>
      </c>
      <c r="P5581" t="n">
        <v>0</v>
      </c>
      <c r="Q5581" t="n">
        <v>0</v>
      </c>
      <c r="R5581" s="2" t="inlineStr"/>
    </row>
    <row r="5582" ht="15" customHeight="1">
      <c r="A5582" t="inlineStr">
        <is>
          <t>A 42675-2023</t>
        </is>
      </c>
      <c r="B5582" s="1" t="n">
        <v>45181.56914351852</v>
      </c>
      <c r="C5582" s="1" t="n">
        <v>45952</v>
      </c>
      <c r="D5582" t="inlineStr">
        <is>
          <t>VÄSTRA GÖTALANDS LÄN</t>
        </is>
      </c>
      <c r="E5582" t="inlineStr">
        <is>
          <t>ULRICEHAMN</t>
        </is>
      </c>
      <c r="G5582" t="n">
        <v>0.3</v>
      </c>
      <c r="H5582" t="n">
        <v>0</v>
      </c>
      <c r="I5582" t="n">
        <v>0</v>
      </c>
      <c r="J5582" t="n">
        <v>0</v>
      </c>
      <c r="K5582" t="n">
        <v>0</v>
      </c>
      <c r="L5582" t="n">
        <v>0</v>
      </c>
      <c r="M5582" t="n">
        <v>0</v>
      </c>
      <c r="N5582" t="n">
        <v>0</v>
      </c>
      <c r="O5582" t="n">
        <v>0</v>
      </c>
      <c r="P5582" t="n">
        <v>0</v>
      </c>
      <c r="Q5582" t="n">
        <v>0</v>
      </c>
      <c r="R5582" s="2" t="inlineStr"/>
    </row>
    <row r="5583" ht="15" customHeight="1">
      <c r="A5583" t="inlineStr">
        <is>
          <t>A 36679-2023</t>
        </is>
      </c>
      <c r="B5583" s="1" t="n">
        <v>45153.60082175926</v>
      </c>
      <c r="C5583" s="1" t="n">
        <v>45952</v>
      </c>
      <c r="D5583" t="inlineStr">
        <is>
          <t>VÄSTRA GÖTALANDS LÄN</t>
        </is>
      </c>
      <c r="E5583" t="inlineStr">
        <is>
          <t>HERRLJUNGA</t>
        </is>
      </c>
      <c r="G5583" t="n">
        <v>1.1</v>
      </c>
      <c r="H5583" t="n">
        <v>0</v>
      </c>
      <c r="I5583" t="n">
        <v>0</v>
      </c>
      <c r="J5583" t="n">
        <v>0</v>
      </c>
      <c r="K5583" t="n">
        <v>0</v>
      </c>
      <c r="L5583" t="n">
        <v>0</v>
      </c>
      <c r="M5583" t="n">
        <v>0</v>
      </c>
      <c r="N5583" t="n">
        <v>0</v>
      </c>
      <c r="O5583" t="n">
        <v>0</v>
      </c>
      <c r="P5583" t="n">
        <v>0</v>
      </c>
      <c r="Q5583" t="n">
        <v>0</v>
      </c>
      <c r="R5583" s="2" t="inlineStr"/>
    </row>
    <row r="5584" ht="15" customHeight="1">
      <c r="A5584" t="inlineStr">
        <is>
          <t>A 4287-2025</t>
        </is>
      </c>
      <c r="B5584" s="1" t="n">
        <v>45685.65405092593</v>
      </c>
      <c r="C5584" s="1" t="n">
        <v>45952</v>
      </c>
      <c r="D5584" t="inlineStr">
        <is>
          <t>VÄSTRA GÖTALANDS LÄN</t>
        </is>
      </c>
      <c r="E5584" t="inlineStr">
        <is>
          <t>HERRLJUNGA</t>
        </is>
      </c>
      <c r="G5584" t="n">
        <v>2.1</v>
      </c>
      <c r="H5584" t="n">
        <v>0</v>
      </c>
      <c r="I5584" t="n">
        <v>0</v>
      </c>
      <c r="J5584" t="n">
        <v>0</v>
      </c>
      <c r="K5584" t="n">
        <v>0</v>
      </c>
      <c r="L5584" t="n">
        <v>0</v>
      </c>
      <c r="M5584" t="n">
        <v>0</v>
      </c>
      <c r="N5584" t="n">
        <v>0</v>
      </c>
      <c r="O5584" t="n">
        <v>0</v>
      </c>
      <c r="P5584" t="n">
        <v>0</v>
      </c>
      <c r="Q5584" t="n">
        <v>0</v>
      </c>
      <c r="R5584" s="2" t="inlineStr"/>
    </row>
    <row r="5585" ht="15" customHeight="1">
      <c r="A5585" t="inlineStr">
        <is>
          <t>A 36693-2023</t>
        </is>
      </c>
      <c r="B5585" s="1" t="n">
        <v>45153.62331018518</v>
      </c>
      <c r="C5585" s="1" t="n">
        <v>45952</v>
      </c>
      <c r="D5585" t="inlineStr">
        <is>
          <t>VÄSTRA GÖTALANDS LÄN</t>
        </is>
      </c>
      <c r="E5585" t="inlineStr">
        <is>
          <t>ULRICEHAMN</t>
        </is>
      </c>
      <c r="G5585" t="n">
        <v>1</v>
      </c>
      <c r="H5585" t="n">
        <v>0</v>
      </c>
      <c r="I5585" t="n">
        <v>0</v>
      </c>
      <c r="J5585" t="n">
        <v>0</v>
      </c>
      <c r="K5585" t="n">
        <v>0</v>
      </c>
      <c r="L5585" t="n">
        <v>0</v>
      </c>
      <c r="M5585" t="n">
        <v>0</v>
      </c>
      <c r="N5585" t="n">
        <v>0</v>
      </c>
      <c r="O5585" t="n">
        <v>0</v>
      </c>
      <c r="P5585" t="n">
        <v>0</v>
      </c>
      <c r="Q5585" t="n">
        <v>0</v>
      </c>
      <c r="R5585" s="2" t="inlineStr"/>
    </row>
    <row r="5586" ht="15" customHeight="1">
      <c r="A5586" t="inlineStr">
        <is>
          <t>A 13949-2025</t>
        </is>
      </c>
      <c r="B5586" s="1" t="n">
        <v>45737.73592592592</v>
      </c>
      <c r="C5586" s="1" t="n">
        <v>45952</v>
      </c>
      <c r="D5586" t="inlineStr">
        <is>
          <t>VÄSTRA GÖTALANDS LÄN</t>
        </is>
      </c>
      <c r="E5586" t="inlineStr">
        <is>
          <t>SVENLJUNGA</t>
        </is>
      </c>
      <c r="G5586" t="n">
        <v>7</v>
      </c>
      <c r="H5586" t="n">
        <v>0</v>
      </c>
      <c r="I5586" t="n">
        <v>0</v>
      </c>
      <c r="J5586" t="n">
        <v>0</v>
      </c>
      <c r="K5586" t="n">
        <v>0</v>
      </c>
      <c r="L5586" t="n">
        <v>0</v>
      </c>
      <c r="M5586" t="n">
        <v>0</v>
      </c>
      <c r="N5586" t="n">
        <v>0</v>
      </c>
      <c r="O5586" t="n">
        <v>0</v>
      </c>
      <c r="P5586" t="n">
        <v>0</v>
      </c>
      <c r="Q5586" t="n">
        <v>0</v>
      </c>
      <c r="R5586" s="2" t="inlineStr"/>
    </row>
    <row r="5587" ht="15" customHeight="1">
      <c r="A5587" t="inlineStr">
        <is>
          <t>A 47304-2022</t>
        </is>
      </c>
      <c r="B5587" s="1" t="n">
        <v>44853</v>
      </c>
      <c r="C5587" s="1" t="n">
        <v>45952</v>
      </c>
      <c r="D5587" t="inlineStr">
        <is>
          <t>VÄSTRA GÖTALANDS LÄN</t>
        </is>
      </c>
      <c r="E5587" t="inlineStr">
        <is>
          <t>LYSEKIL</t>
        </is>
      </c>
      <c r="G5587" t="n">
        <v>2.8</v>
      </c>
      <c r="H5587" t="n">
        <v>0</v>
      </c>
      <c r="I5587" t="n">
        <v>0</v>
      </c>
      <c r="J5587" t="n">
        <v>0</v>
      </c>
      <c r="K5587" t="n">
        <v>0</v>
      </c>
      <c r="L5587" t="n">
        <v>0</v>
      </c>
      <c r="M5587" t="n">
        <v>0</v>
      </c>
      <c r="N5587" t="n">
        <v>0</v>
      </c>
      <c r="O5587" t="n">
        <v>0</v>
      </c>
      <c r="P5587" t="n">
        <v>0</v>
      </c>
      <c r="Q5587" t="n">
        <v>0</v>
      </c>
      <c r="R5587" s="2" t="inlineStr"/>
    </row>
    <row r="5588" ht="15" customHeight="1">
      <c r="A5588" t="inlineStr">
        <is>
          <t>A 4416-2025</t>
        </is>
      </c>
      <c r="B5588" s="1" t="n">
        <v>45686.46358796296</v>
      </c>
      <c r="C5588" s="1" t="n">
        <v>45952</v>
      </c>
      <c r="D5588" t="inlineStr">
        <is>
          <t>VÄSTRA GÖTALANDS LÄN</t>
        </is>
      </c>
      <c r="E5588" t="inlineStr">
        <is>
          <t>MELLERUD</t>
        </is>
      </c>
      <c r="G5588" t="n">
        <v>0.5</v>
      </c>
      <c r="H5588" t="n">
        <v>0</v>
      </c>
      <c r="I5588" t="n">
        <v>0</v>
      </c>
      <c r="J5588" t="n">
        <v>0</v>
      </c>
      <c r="K5588" t="n">
        <v>0</v>
      </c>
      <c r="L5588" t="n">
        <v>0</v>
      </c>
      <c r="M5588" t="n">
        <v>0</v>
      </c>
      <c r="N5588" t="n">
        <v>0</v>
      </c>
      <c r="O5588" t="n">
        <v>0</v>
      </c>
      <c r="P5588" t="n">
        <v>0</v>
      </c>
      <c r="Q5588" t="n">
        <v>0</v>
      </c>
      <c r="R5588" s="2" t="inlineStr"/>
    </row>
    <row r="5589" ht="15" customHeight="1">
      <c r="A5589" t="inlineStr">
        <is>
          <t>A 66771-2021</t>
        </is>
      </c>
      <c r="B5589" s="1" t="n">
        <v>44521</v>
      </c>
      <c r="C5589" s="1" t="n">
        <v>45952</v>
      </c>
      <c r="D5589" t="inlineStr">
        <is>
          <t>VÄSTRA GÖTALANDS LÄN</t>
        </is>
      </c>
      <c r="E5589" t="inlineStr">
        <is>
          <t>MARIESTAD</t>
        </is>
      </c>
      <c r="G5589" t="n">
        <v>5.6</v>
      </c>
      <c r="H5589" t="n">
        <v>0</v>
      </c>
      <c r="I5589" t="n">
        <v>0</v>
      </c>
      <c r="J5589" t="n">
        <v>0</v>
      </c>
      <c r="K5589" t="n">
        <v>0</v>
      </c>
      <c r="L5589" t="n">
        <v>0</v>
      </c>
      <c r="M5589" t="n">
        <v>0</v>
      </c>
      <c r="N5589" t="n">
        <v>0</v>
      </c>
      <c r="O5589" t="n">
        <v>0</v>
      </c>
      <c r="P5589" t="n">
        <v>0</v>
      </c>
      <c r="Q5589" t="n">
        <v>0</v>
      </c>
      <c r="R5589" s="2" t="inlineStr"/>
    </row>
    <row r="5590" ht="15" customHeight="1">
      <c r="A5590" t="inlineStr">
        <is>
          <t>A 18090-2024</t>
        </is>
      </c>
      <c r="B5590" s="1" t="n">
        <v>45420.46322916666</v>
      </c>
      <c r="C5590" s="1" t="n">
        <v>45952</v>
      </c>
      <c r="D5590" t="inlineStr">
        <is>
          <t>VÄSTRA GÖTALANDS LÄN</t>
        </is>
      </c>
      <c r="E5590" t="inlineStr">
        <is>
          <t>SVENLJUNGA</t>
        </is>
      </c>
      <c r="G5590" t="n">
        <v>1.3</v>
      </c>
      <c r="H5590" t="n">
        <v>0</v>
      </c>
      <c r="I5590" t="n">
        <v>0</v>
      </c>
      <c r="J5590" t="n">
        <v>0</v>
      </c>
      <c r="K5590" t="n">
        <v>0</v>
      </c>
      <c r="L5590" t="n">
        <v>0</v>
      </c>
      <c r="M5590" t="n">
        <v>0</v>
      </c>
      <c r="N5590" t="n">
        <v>0</v>
      </c>
      <c r="O5590" t="n">
        <v>0</v>
      </c>
      <c r="P5590" t="n">
        <v>0</v>
      </c>
      <c r="Q5590" t="n">
        <v>0</v>
      </c>
      <c r="R5590" s="2" t="inlineStr"/>
    </row>
    <row r="5591" ht="15" customHeight="1">
      <c r="A5591" t="inlineStr">
        <is>
          <t>A 40065-2023</t>
        </is>
      </c>
      <c r="B5591" s="1" t="n">
        <v>45168</v>
      </c>
      <c r="C5591" s="1" t="n">
        <v>45952</v>
      </c>
      <c r="D5591" t="inlineStr">
        <is>
          <t>VÄSTRA GÖTALANDS LÄN</t>
        </is>
      </c>
      <c r="E5591" t="inlineStr">
        <is>
          <t>MELLERUD</t>
        </is>
      </c>
      <c r="G5591" t="n">
        <v>2.7</v>
      </c>
      <c r="H5591" t="n">
        <v>0</v>
      </c>
      <c r="I5591" t="n">
        <v>0</v>
      </c>
      <c r="J5591" t="n">
        <v>0</v>
      </c>
      <c r="K5591" t="n">
        <v>0</v>
      </c>
      <c r="L5591" t="n">
        <v>0</v>
      </c>
      <c r="M5591" t="n">
        <v>0</v>
      </c>
      <c r="N5591" t="n">
        <v>0</v>
      </c>
      <c r="O5591" t="n">
        <v>0</v>
      </c>
      <c r="P5591" t="n">
        <v>0</v>
      </c>
      <c r="Q5591" t="n">
        <v>0</v>
      </c>
      <c r="R5591" s="2" t="inlineStr"/>
    </row>
    <row r="5592" ht="15" customHeight="1">
      <c r="A5592" t="inlineStr">
        <is>
          <t>A 18691-2023</t>
        </is>
      </c>
      <c r="B5592" s="1" t="n">
        <v>45043.61253472222</v>
      </c>
      <c r="C5592" s="1" t="n">
        <v>45952</v>
      </c>
      <c r="D5592" t="inlineStr">
        <is>
          <t>VÄSTRA GÖTALANDS LÄN</t>
        </is>
      </c>
      <c r="E5592" t="inlineStr">
        <is>
          <t>VARA</t>
        </is>
      </c>
      <c r="G5592" t="n">
        <v>0.8</v>
      </c>
      <c r="H5592" t="n">
        <v>0</v>
      </c>
      <c r="I5592" t="n">
        <v>0</v>
      </c>
      <c r="J5592" t="n">
        <v>0</v>
      </c>
      <c r="K5592" t="n">
        <v>0</v>
      </c>
      <c r="L5592" t="n">
        <v>0</v>
      </c>
      <c r="M5592" t="n">
        <v>0</v>
      </c>
      <c r="N5592" t="n">
        <v>0</v>
      </c>
      <c r="O5592" t="n">
        <v>0</v>
      </c>
      <c r="P5592" t="n">
        <v>0</v>
      </c>
      <c r="Q5592" t="n">
        <v>0</v>
      </c>
      <c r="R5592" s="2" t="inlineStr"/>
    </row>
    <row r="5593" ht="15" customHeight="1">
      <c r="A5593" t="inlineStr">
        <is>
          <t>A 46798-2024</t>
        </is>
      </c>
      <c r="B5593" s="1" t="n">
        <v>45583</v>
      </c>
      <c r="C5593" s="1" t="n">
        <v>45952</v>
      </c>
      <c r="D5593" t="inlineStr">
        <is>
          <t>VÄSTRA GÖTALANDS LÄN</t>
        </is>
      </c>
      <c r="E5593" t="inlineStr">
        <is>
          <t>HÄRRYDA</t>
        </is>
      </c>
      <c r="G5593" t="n">
        <v>6.3</v>
      </c>
      <c r="H5593" t="n">
        <v>0</v>
      </c>
      <c r="I5593" t="n">
        <v>0</v>
      </c>
      <c r="J5593" t="n">
        <v>0</v>
      </c>
      <c r="K5593" t="n">
        <v>0</v>
      </c>
      <c r="L5593" t="n">
        <v>0</v>
      </c>
      <c r="M5593" t="n">
        <v>0</v>
      </c>
      <c r="N5593" t="n">
        <v>0</v>
      </c>
      <c r="O5593" t="n">
        <v>0</v>
      </c>
      <c r="P5593" t="n">
        <v>0</v>
      </c>
      <c r="Q5593" t="n">
        <v>0</v>
      </c>
      <c r="R5593" s="2" t="inlineStr"/>
    </row>
    <row r="5594" ht="15" customHeight="1">
      <c r="A5594" t="inlineStr">
        <is>
          <t>A 42640-2021</t>
        </is>
      </c>
      <c r="B5594" s="1" t="n">
        <v>44428.45159722222</v>
      </c>
      <c r="C5594" s="1" t="n">
        <v>45952</v>
      </c>
      <c r="D5594" t="inlineStr">
        <is>
          <t>VÄSTRA GÖTALANDS LÄN</t>
        </is>
      </c>
      <c r="E5594" t="inlineStr">
        <is>
          <t>BENGTSFORS</t>
        </is>
      </c>
      <c r="G5594" t="n">
        <v>5.8</v>
      </c>
      <c r="H5594" t="n">
        <v>0</v>
      </c>
      <c r="I5594" t="n">
        <v>0</v>
      </c>
      <c r="J5594" t="n">
        <v>0</v>
      </c>
      <c r="K5594" t="n">
        <v>0</v>
      </c>
      <c r="L5594" t="n">
        <v>0</v>
      </c>
      <c r="M5594" t="n">
        <v>0</v>
      </c>
      <c r="N5594" t="n">
        <v>0</v>
      </c>
      <c r="O5594" t="n">
        <v>0</v>
      </c>
      <c r="P5594" t="n">
        <v>0</v>
      </c>
      <c r="Q5594" t="n">
        <v>0</v>
      </c>
      <c r="R5594" s="2" t="inlineStr"/>
    </row>
    <row r="5595" ht="15" customHeight="1">
      <c r="A5595" t="inlineStr">
        <is>
          <t>A 25317-2024</t>
        </is>
      </c>
      <c r="B5595" s="1" t="n">
        <v>45462.70604166666</v>
      </c>
      <c r="C5595" s="1" t="n">
        <v>45952</v>
      </c>
      <c r="D5595" t="inlineStr">
        <is>
          <t>VÄSTRA GÖTALANDS LÄN</t>
        </is>
      </c>
      <c r="E5595" t="inlineStr">
        <is>
          <t>BORÅS</t>
        </is>
      </c>
      <c r="G5595" t="n">
        <v>1.2</v>
      </c>
      <c r="H5595" t="n">
        <v>0</v>
      </c>
      <c r="I5595" t="n">
        <v>0</v>
      </c>
      <c r="J5595" t="n">
        <v>0</v>
      </c>
      <c r="K5595" t="n">
        <v>0</v>
      </c>
      <c r="L5595" t="n">
        <v>0</v>
      </c>
      <c r="M5595" t="n">
        <v>0</v>
      </c>
      <c r="N5595" t="n">
        <v>0</v>
      </c>
      <c r="O5595" t="n">
        <v>0</v>
      </c>
      <c r="P5595" t="n">
        <v>0</v>
      </c>
      <c r="Q5595" t="n">
        <v>0</v>
      </c>
      <c r="R5595" s="2" t="inlineStr"/>
    </row>
    <row r="5596" ht="15" customHeight="1">
      <c r="A5596" t="inlineStr">
        <is>
          <t>A 40493-2022</t>
        </is>
      </c>
      <c r="B5596" s="1" t="n">
        <v>44819</v>
      </c>
      <c r="C5596" s="1" t="n">
        <v>45952</v>
      </c>
      <c r="D5596" t="inlineStr">
        <is>
          <t>VÄSTRA GÖTALANDS LÄN</t>
        </is>
      </c>
      <c r="E5596" t="inlineStr">
        <is>
          <t>ÅMÅL</t>
        </is>
      </c>
      <c r="G5596" t="n">
        <v>1.8</v>
      </c>
      <c r="H5596" t="n">
        <v>0</v>
      </c>
      <c r="I5596" t="n">
        <v>0</v>
      </c>
      <c r="J5596" t="n">
        <v>0</v>
      </c>
      <c r="K5596" t="n">
        <v>0</v>
      </c>
      <c r="L5596" t="n">
        <v>0</v>
      </c>
      <c r="M5596" t="n">
        <v>0</v>
      </c>
      <c r="N5596" t="n">
        <v>0</v>
      </c>
      <c r="O5596" t="n">
        <v>0</v>
      </c>
      <c r="P5596" t="n">
        <v>0</v>
      </c>
      <c r="Q5596" t="n">
        <v>0</v>
      </c>
      <c r="R5596" s="2" t="inlineStr"/>
    </row>
    <row r="5597" ht="15" customHeight="1">
      <c r="A5597" t="inlineStr">
        <is>
          <t>A 10297-2024</t>
        </is>
      </c>
      <c r="B5597" s="1" t="n">
        <v>45365.49547453703</v>
      </c>
      <c r="C5597" s="1" t="n">
        <v>45952</v>
      </c>
      <c r="D5597" t="inlineStr">
        <is>
          <t>VÄSTRA GÖTALANDS LÄN</t>
        </is>
      </c>
      <c r="E5597" t="inlineStr">
        <is>
          <t>HERRLJUNGA</t>
        </is>
      </c>
      <c r="G5597" t="n">
        <v>1</v>
      </c>
      <c r="H5597" t="n">
        <v>0</v>
      </c>
      <c r="I5597" t="n">
        <v>0</v>
      </c>
      <c r="J5597" t="n">
        <v>0</v>
      </c>
      <c r="K5597" t="n">
        <v>0</v>
      </c>
      <c r="L5597" t="n">
        <v>0</v>
      </c>
      <c r="M5597" t="n">
        <v>0</v>
      </c>
      <c r="N5597" t="n">
        <v>0</v>
      </c>
      <c r="O5597" t="n">
        <v>0</v>
      </c>
      <c r="P5597" t="n">
        <v>0</v>
      </c>
      <c r="Q5597" t="n">
        <v>0</v>
      </c>
      <c r="R5597" s="2" t="inlineStr"/>
    </row>
    <row r="5598" ht="15" customHeight="1">
      <c r="A5598" t="inlineStr">
        <is>
          <t>A 31604-2024</t>
        </is>
      </c>
      <c r="B5598" s="1" t="n">
        <v>45506.41831018519</v>
      </c>
      <c r="C5598" s="1" t="n">
        <v>45952</v>
      </c>
      <c r="D5598" t="inlineStr">
        <is>
          <t>VÄSTRA GÖTALANDS LÄN</t>
        </is>
      </c>
      <c r="E5598" t="inlineStr">
        <is>
          <t>TANUM</t>
        </is>
      </c>
      <c r="G5598" t="n">
        <v>1.5</v>
      </c>
      <c r="H5598" t="n">
        <v>0</v>
      </c>
      <c r="I5598" t="n">
        <v>0</v>
      </c>
      <c r="J5598" t="n">
        <v>0</v>
      </c>
      <c r="K5598" t="n">
        <v>0</v>
      </c>
      <c r="L5598" t="n">
        <v>0</v>
      </c>
      <c r="M5598" t="n">
        <v>0</v>
      </c>
      <c r="N5598" t="n">
        <v>0</v>
      </c>
      <c r="O5598" t="n">
        <v>0</v>
      </c>
      <c r="P5598" t="n">
        <v>0</v>
      </c>
      <c r="Q5598" t="n">
        <v>0</v>
      </c>
      <c r="R5598" s="2" t="inlineStr"/>
    </row>
    <row r="5599" ht="15" customHeight="1">
      <c r="A5599" t="inlineStr">
        <is>
          <t>A 31613-2024</t>
        </is>
      </c>
      <c r="B5599" s="1" t="n">
        <v>45506.43997685185</v>
      </c>
      <c r="C5599" s="1" t="n">
        <v>45952</v>
      </c>
      <c r="D5599" t="inlineStr">
        <is>
          <t>VÄSTRA GÖTALANDS LÄN</t>
        </is>
      </c>
      <c r="E5599" t="inlineStr">
        <is>
          <t>TANUM</t>
        </is>
      </c>
      <c r="G5599" t="n">
        <v>11.9</v>
      </c>
      <c r="H5599" t="n">
        <v>0</v>
      </c>
      <c r="I5599" t="n">
        <v>0</v>
      </c>
      <c r="J5599" t="n">
        <v>0</v>
      </c>
      <c r="K5599" t="n">
        <v>0</v>
      </c>
      <c r="L5599" t="n">
        <v>0</v>
      </c>
      <c r="M5599" t="n">
        <v>0</v>
      </c>
      <c r="N5599" t="n">
        <v>0</v>
      </c>
      <c r="O5599" t="n">
        <v>0</v>
      </c>
      <c r="P5599" t="n">
        <v>0</v>
      </c>
      <c r="Q5599" t="n">
        <v>0</v>
      </c>
      <c r="R5599" s="2" t="inlineStr"/>
    </row>
    <row r="5600" ht="15" customHeight="1">
      <c r="A5600" t="inlineStr">
        <is>
          <t>A 37201-2023</t>
        </is>
      </c>
      <c r="B5600" s="1" t="n">
        <v>45155</v>
      </c>
      <c r="C5600" s="1" t="n">
        <v>45952</v>
      </c>
      <c r="D5600" t="inlineStr">
        <is>
          <t>VÄSTRA GÖTALANDS LÄN</t>
        </is>
      </c>
      <c r="E5600" t="inlineStr">
        <is>
          <t>HÄRRYDA</t>
        </is>
      </c>
      <c r="G5600" t="n">
        <v>1.2</v>
      </c>
      <c r="H5600" t="n">
        <v>0</v>
      </c>
      <c r="I5600" t="n">
        <v>0</v>
      </c>
      <c r="J5600" t="n">
        <v>0</v>
      </c>
      <c r="K5600" t="n">
        <v>0</v>
      </c>
      <c r="L5600" t="n">
        <v>0</v>
      </c>
      <c r="M5600" t="n">
        <v>0</v>
      </c>
      <c r="N5600" t="n">
        <v>0</v>
      </c>
      <c r="O5600" t="n">
        <v>0</v>
      </c>
      <c r="P5600" t="n">
        <v>0</v>
      </c>
      <c r="Q5600" t="n">
        <v>0</v>
      </c>
      <c r="R5600" s="2" t="inlineStr"/>
    </row>
    <row r="5601" ht="15" customHeight="1">
      <c r="A5601" t="inlineStr">
        <is>
          <t>A 43922-2023</t>
        </is>
      </c>
      <c r="B5601" s="1" t="n">
        <v>45187.73872685185</v>
      </c>
      <c r="C5601" s="1" t="n">
        <v>45952</v>
      </c>
      <c r="D5601" t="inlineStr">
        <is>
          <t>VÄSTRA GÖTALANDS LÄN</t>
        </is>
      </c>
      <c r="E5601" t="inlineStr">
        <is>
          <t>TIDAHOLM</t>
        </is>
      </c>
      <c r="G5601" t="n">
        <v>6.3</v>
      </c>
      <c r="H5601" t="n">
        <v>0</v>
      </c>
      <c r="I5601" t="n">
        <v>0</v>
      </c>
      <c r="J5601" t="n">
        <v>0</v>
      </c>
      <c r="K5601" t="n">
        <v>0</v>
      </c>
      <c r="L5601" t="n">
        <v>0</v>
      </c>
      <c r="M5601" t="n">
        <v>0</v>
      </c>
      <c r="N5601" t="n">
        <v>0</v>
      </c>
      <c r="O5601" t="n">
        <v>0</v>
      </c>
      <c r="P5601" t="n">
        <v>0</v>
      </c>
      <c r="Q5601" t="n">
        <v>0</v>
      </c>
      <c r="R5601" s="2" t="inlineStr"/>
    </row>
    <row r="5602" ht="15" customHeight="1">
      <c r="A5602" t="inlineStr">
        <is>
          <t>A 40029-2023</t>
        </is>
      </c>
      <c r="B5602" s="1" t="n">
        <v>45168.65719907408</v>
      </c>
      <c r="C5602" s="1" t="n">
        <v>45952</v>
      </c>
      <c r="D5602" t="inlineStr">
        <is>
          <t>VÄSTRA GÖTALANDS LÄN</t>
        </is>
      </c>
      <c r="E5602" t="inlineStr">
        <is>
          <t>HERRLJUNGA</t>
        </is>
      </c>
      <c r="G5602" t="n">
        <v>4.2</v>
      </c>
      <c r="H5602" t="n">
        <v>0</v>
      </c>
      <c r="I5602" t="n">
        <v>0</v>
      </c>
      <c r="J5602" t="n">
        <v>0</v>
      </c>
      <c r="K5602" t="n">
        <v>0</v>
      </c>
      <c r="L5602" t="n">
        <v>0</v>
      </c>
      <c r="M5602" t="n">
        <v>0</v>
      </c>
      <c r="N5602" t="n">
        <v>0</v>
      </c>
      <c r="O5602" t="n">
        <v>0</v>
      </c>
      <c r="P5602" t="n">
        <v>0</v>
      </c>
      <c r="Q5602" t="n">
        <v>0</v>
      </c>
      <c r="R5602" s="2" t="inlineStr"/>
    </row>
    <row r="5603" ht="15" customHeight="1">
      <c r="A5603" t="inlineStr">
        <is>
          <t>A 40031-2023</t>
        </is>
      </c>
      <c r="B5603" s="1" t="n">
        <v>45168</v>
      </c>
      <c r="C5603" s="1" t="n">
        <v>45952</v>
      </c>
      <c r="D5603" t="inlineStr">
        <is>
          <t>VÄSTRA GÖTALANDS LÄN</t>
        </is>
      </c>
      <c r="E5603" t="inlineStr">
        <is>
          <t>ULRICEHAMN</t>
        </is>
      </c>
      <c r="G5603" t="n">
        <v>0.1</v>
      </c>
      <c r="H5603" t="n">
        <v>0</v>
      </c>
      <c r="I5603" t="n">
        <v>0</v>
      </c>
      <c r="J5603" t="n">
        <v>0</v>
      </c>
      <c r="K5603" t="n">
        <v>0</v>
      </c>
      <c r="L5603" t="n">
        <v>0</v>
      </c>
      <c r="M5603" t="n">
        <v>0</v>
      </c>
      <c r="N5603" t="n">
        <v>0</v>
      </c>
      <c r="O5603" t="n">
        <v>0</v>
      </c>
      <c r="P5603" t="n">
        <v>0</v>
      </c>
      <c r="Q5603" t="n">
        <v>0</v>
      </c>
      <c r="R5603" s="2" t="inlineStr"/>
    </row>
    <row r="5604" ht="15" customHeight="1">
      <c r="A5604" t="inlineStr">
        <is>
          <t>A 40035-2023</t>
        </is>
      </c>
      <c r="B5604" s="1" t="n">
        <v>45168</v>
      </c>
      <c r="C5604" s="1" t="n">
        <v>45952</v>
      </c>
      <c r="D5604" t="inlineStr">
        <is>
          <t>VÄSTRA GÖTALANDS LÄN</t>
        </is>
      </c>
      <c r="E5604" t="inlineStr">
        <is>
          <t>ULRICEHAMN</t>
        </is>
      </c>
      <c r="G5604" t="n">
        <v>0.1</v>
      </c>
      <c r="H5604" t="n">
        <v>0</v>
      </c>
      <c r="I5604" t="n">
        <v>0</v>
      </c>
      <c r="J5604" t="n">
        <v>0</v>
      </c>
      <c r="K5604" t="n">
        <v>0</v>
      </c>
      <c r="L5604" t="n">
        <v>0</v>
      </c>
      <c r="M5604" t="n">
        <v>0</v>
      </c>
      <c r="N5604" t="n">
        <v>0</v>
      </c>
      <c r="O5604" t="n">
        <v>0</v>
      </c>
      <c r="P5604" t="n">
        <v>0</v>
      </c>
      <c r="Q5604" t="n">
        <v>0</v>
      </c>
      <c r="R5604" s="2" t="inlineStr"/>
    </row>
    <row r="5605" ht="15" customHeight="1">
      <c r="A5605" t="inlineStr">
        <is>
          <t>A 47860-2022</t>
        </is>
      </c>
      <c r="B5605" s="1" t="n">
        <v>44855.41949074074</v>
      </c>
      <c r="C5605" s="1" t="n">
        <v>45952</v>
      </c>
      <c r="D5605" t="inlineStr">
        <is>
          <t>VÄSTRA GÖTALANDS LÄN</t>
        </is>
      </c>
      <c r="E5605" t="inlineStr">
        <is>
          <t>SVENLJUNGA</t>
        </is>
      </c>
      <c r="G5605" t="n">
        <v>4.3</v>
      </c>
      <c r="H5605" t="n">
        <v>0</v>
      </c>
      <c r="I5605" t="n">
        <v>0</v>
      </c>
      <c r="J5605" t="n">
        <v>0</v>
      </c>
      <c r="K5605" t="n">
        <v>0</v>
      </c>
      <c r="L5605" t="n">
        <v>0</v>
      </c>
      <c r="M5605" t="n">
        <v>0</v>
      </c>
      <c r="N5605" t="n">
        <v>0</v>
      </c>
      <c r="O5605" t="n">
        <v>0</v>
      </c>
      <c r="P5605" t="n">
        <v>0</v>
      </c>
      <c r="Q5605" t="n">
        <v>0</v>
      </c>
      <c r="R5605" s="2" t="inlineStr"/>
    </row>
    <row r="5606" ht="15" customHeight="1">
      <c r="A5606" t="inlineStr">
        <is>
          <t>A 24064-2022</t>
        </is>
      </c>
      <c r="B5606" s="1" t="n">
        <v>44725.32741898148</v>
      </c>
      <c r="C5606" s="1" t="n">
        <v>45952</v>
      </c>
      <c r="D5606" t="inlineStr">
        <is>
          <t>VÄSTRA GÖTALANDS LÄN</t>
        </is>
      </c>
      <c r="E5606" t="inlineStr">
        <is>
          <t>VÅRGÅRDA</t>
        </is>
      </c>
      <c r="G5606" t="n">
        <v>0.7</v>
      </c>
      <c r="H5606" t="n">
        <v>0</v>
      </c>
      <c r="I5606" t="n">
        <v>0</v>
      </c>
      <c r="J5606" t="n">
        <v>0</v>
      </c>
      <c r="K5606" t="n">
        <v>0</v>
      </c>
      <c r="L5606" t="n">
        <v>0</v>
      </c>
      <c r="M5606" t="n">
        <v>0</v>
      </c>
      <c r="N5606" t="n">
        <v>0</v>
      </c>
      <c r="O5606" t="n">
        <v>0</v>
      </c>
      <c r="P5606" t="n">
        <v>0</v>
      </c>
      <c r="Q5606" t="n">
        <v>0</v>
      </c>
      <c r="R5606" s="2" t="inlineStr"/>
    </row>
    <row r="5607" ht="15" customHeight="1">
      <c r="A5607" t="inlineStr">
        <is>
          <t>A 12675-2021</t>
        </is>
      </c>
      <c r="B5607" s="1" t="n">
        <v>44270.53107638889</v>
      </c>
      <c r="C5607" s="1" t="n">
        <v>45952</v>
      </c>
      <c r="D5607" t="inlineStr">
        <is>
          <t>VÄSTRA GÖTALANDS LÄN</t>
        </is>
      </c>
      <c r="E5607" t="inlineStr">
        <is>
          <t>VARA</t>
        </is>
      </c>
      <c r="G5607" t="n">
        <v>0.8</v>
      </c>
      <c r="H5607" t="n">
        <v>0</v>
      </c>
      <c r="I5607" t="n">
        <v>0</v>
      </c>
      <c r="J5607" t="n">
        <v>0</v>
      </c>
      <c r="K5607" t="n">
        <v>0</v>
      </c>
      <c r="L5607" t="n">
        <v>0</v>
      </c>
      <c r="M5607" t="n">
        <v>0</v>
      </c>
      <c r="N5607" t="n">
        <v>0</v>
      </c>
      <c r="O5607" t="n">
        <v>0</v>
      </c>
      <c r="P5607" t="n">
        <v>0</v>
      </c>
      <c r="Q5607" t="n">
        <v>0</v>
      </c>
      <c r="R5607" s="2" t="inlineStr"/>
    </row>
    <row r="5608" ht="15" customHeight="1">
      <c r="A5608" t="inlineStr">
        <is>
          <t>A 17111-2025</t>
        </is>
      </c>
      <c r="B5608" s="1" t="n">
        <v>45755</v>
      </c>
      <c r="C5608" s="1" t="n">
        <v>45952</v>
      </c>
      <c r="D5608" t="inlineStr">
        <is>
          <t>VÄSTRA GÖTALANDS LÄN</t>
        </is>
      </c>
      <c r="E5608" t="inlineStr">
        <is>
          <t>BORÅS</t>
        </is>
      </c>
      <c r="F5608" t="inlineStr">
        <is>
          <t>Kommuner</t>
        </is>
      </c>
      <c r="G5608" t="n">
        <v>3.2</v>
      </c>
      <c r="H5608" t="n">
        <v>0</v>
      </c>
      <c r="I5608" t="n">
        <v>0</v>
      </c>
      <c r="J5608" t="n">
        <v>0</v>
      </c>
      <c r="K5608" t="n">
        <v>0</v>
      </c>
      <c r="L5608" t="n">
        <v>0</v>
      </c>
      <c r="M5608" t="n">
        <v>0</v>
      </c>
      <c r="N5608" t="n">
        <v>0</v>
      </c>
      <c r="O5608" t="n">
        <v>0</v>
      </c>
      <c r="P5608" t="n">
        <v>0</v>
      </c>
      <c r="Q5608" t="n">
        <v>0</v>
      </c>
      <c r="R5608" s="2" t="inlineStr"/>
    </row>
    <row r="5609" ht="15" customHeight="1">
      <c r="A5609" t="inlineStr">
        <is>
          <t>A 29300-2024</t>
        </is>
      </c>
      <c r="B5609" s="1" t="n">
        <v>45483</v>
      </c>
      <c r="C5609" s="1" t="n">
        <v>45952</v>
      </c>
      <c r="D5609" t="inlineStr">
        <is>
          <t>VÄSTRA GÖTALANDS LÄN</t>
        </is>
      </c>
      <c r="E5609" t="inlineStr">
        <is>
          <t>TROLLHÄTTAN</t>
        </is>
      </c>
      <c r="G5609" t="n">
        <v>0.8</v>
      </c>
      <c r="H5609" t="n">
        <v>0</v>
      </c>
      <c r="I5609" t="n">
        <v>0</v>
      </c>
      <c r="J5609" t="n">
        <v>0</v>
      </c>
      <c r="K5609" t="n">
        <v>0</v>
      </c>
      <c r="L5609" t="n">
        <v>0</v>
      </c>
      <c r="M5609" t="n">
        <v>0</v>
      </c>
      <c r="N5609" t="n">
        <v>0</v>
      </c>
      <c r="O5609" t="n">
        <v>0</v>
      </c>
      <c r="P5609" t="n">
        <v>0</v>
      </c>
      <c r="Q5609" t="n">
        <v>0</v>
      </c>
      <c r="R5609" s="2" t="inlineStr"/>
    </row>
    <row r="5610" ht="15" customHeight="1">
      <c r="A5610" t="inlineStr">
        <is>
          <t>A 29329-2024</t>
        </is>
      </c>
      <c r="B5610" s="1" t="n">
        <v>45483.44387731481</v>
      </c>
      <c r="C5610" s="1" t="n">
        <v>45952</v>
      </c>
      <c r="D5610" t="inlineStr">
        <is>
          <t>VÄSTRA GÖTALANDS LÄN</t>
        </is>
      </c>
      <c r="E5610" t="inlineStr">
        <is>
          <t>STRÖMSTAD</t>
        </is>
      </c>
      <c r="G5610" t="n">
        <v>4.1</v>
      </c>
      <c r="H5610" t="n">
        <v>0</v>
      </c>
      <c r="I5610" t="n">
        <v>0</v>
      </c>
      <c r="J5610" t="n">
        <v>0</v>
      </c>
      <c r="K5610" t="n">
        <v>0</v>
      </c>
      <c r="L5610" t="n">
        <v>0</v>
      </c>
      <c r="M5610" t="n">
        <v>0</v>
      </c>
      <c r="N5610" t="n">
        <v>0</v>
      </c>
      <c r="O5610" t="n">
        <v>0</v>
      </c>
      <c r="P5610" t="n">
        <v>0</v>
      </c>
      <c r="Q5610" t="n">
        <v>0</v>
      </c>
      <c r="R5610" s="2" t="inlineStr"/>
    </row>
    <row r="5611" ht="15" customHeight="1">
      <c r="A5611" t="inlineStr">
        <is>
          <t>A 46574-2022</t>
        </is>
      </c>
      <c r="B5611" s="1" t="n">
        <v>44848</v>
      </c>
      <c r="C5611" s="1" t="n">
        <v>45952</v>
      </c>
      <c r="D5611" t="inlineStr">
        <is>
          <t>VÄSTRA GÖTALANDS LÄN</t>
        </is>
      </c>
      <c r="E5611" t="inlineStr">
        <is>
          <t>BORÅS</t>
        </is>
      </c>
      <c r="G5611" t="n">
        <v>1.6</v>
      </c>
      <c r="H5611" t="n">
        <v>0</v>
      </c>
      <c r="I5611" t="n">
        <v>0</v>
      </c>
      <c r="J5611" t="n">
        <v>0</v>
      </c>
      <c r="K5611" t="n">
        <v>0</v>
      </c>
      <c r="L5611" t="n">
        <v>0</v>
      </c>
      <c r="M5611" t="n">
        <v>0</v>
      </c>
      <c r="N5611" t="n">
        <v>0</v>
      </c>
      <c r="O5611" t="n">
        <v>0</v>
      </c>
      <c r="P5611" t="n">
        <v>0</v>
      </c>
      <c r="Q5611" t="n">
        <v>0</v>
      </c>
      <c r="R5611" s="2" t="inlineStr"/>
    </row>
    <row r="5612" ht="15" customHeight="1">
      <c r="A5612" t="inlineStr">
        <is>
          <t>A 50812-2023</t>
        </is>
      </c>
      <c r="B5612" s="1" t="n">
        <v>45217.75505787037</v>
      </c>
      <c r="C5612" s="1" t="n">
        <v>45952</v>
      </c>
      <c r="D5612" t="inlineStr">
        <is>
          <t>VÄSTRA GÖTALANDS LÄN</t>
        </is>
      </c>
      <c r="E5612" t="inlineStr">
        <is>
          <t>VARA</t>
        </is>
      </c>
      <c r="G5612" t="n">
        <v>1</v>
      </c>
      <c r="H5612" t="n">
        <v>0</v>
      </c>
      <c r="I5612" t="n">
        <v>0</v>
      </c>
      <c r="J5612" t="n">
        <v>0</v>
      </c>
      <c r="K5612" t="n">
        <v>0</v>
      </c>
      <c r="L5612" t="n">
        <v>0</v>
      </c>
      <c r="M5612" t="n">
        <v>0</v>
      </c>
      <c r="N5612" t="n">
        <v>0</v>
      </c>
      <c r="O5612" t="n">
        <v>0</v>
      </c>
      <c r="P5612" t="n">
        <v>0</v>
      </c>
      <c r="Q5612" t="n">
        <v>0</v>
      </c>
      <c r="R5612" s="2" t="inlineStr"/>
    </row>
    <row r="5613" ht="15" customHeight="1">
      <c r="A5613" t="inlineStr">
        <is>
          <t>A 11827-2025</t>
        </is>
      </c>
      <c r="B5613" s="1" t="n">
        <v>45728.33512731481</v>
      </c>
      <c r="C5613" s="1" t="n">
        <v>45952</v>
      </c>
      <c r="D5613" t="inlineStr">
        <is>
          <t>VÄSTRA GÖTALANDS LÄN</t>
        </is>
      </c>
      <c r="E5613" t="inlineStr">
        <is>
          <t>GULLSPÅNG</t>
        </is>
      </c>
      <c r="G5613" t="n">
        <v>2.7</v>
      </c>
      <c r="H5613" t="n">
        <v>0</v>
      </c>
      <c r="I5613" t="n">
        <v>0</v>
      </c>
      <c r="J5613" t="n">
        <v>0</v>
      </c>
      <c r="K5613" t="n">
        <v>0</v>
      </c>
      <c r="L5613" t="n">
        <v>0</v>
      </c>
      <c r="M5613" t="n">
        <v>0</v>
      </c>
      <c r="N5613" t="n">
        <v>0</v>
      </c>
      <c r="O5613" t="n">
        <v>0</v>
      </c>
      <c r="P5613" t="n">
        <v>0</v>
      </c>
      <c r="Q5613" t="n">
        <v>0</v>
      </c>
      <c r="R5613" s="2" t="inlineStr"/>
    </row>
    <row r="5614" ht="15" customHeight="1">
      <c r="A5614" t="inlineStr">
        <is>
          <t>A 6841-2023</t>
        </is>
      </c>
      <c r="B5614" s="1" t="n">
        <v>44964</v>
      </c>
      <c r="C5614" s="1" t="n">
        <v>45952</v>
      </c>
      <c r="D5614" t="inlineStr">
        <is>
          <t>VÄSTRA GÖTALANDS LÄN</t>
        </is>
      </c>
      <c r="E5614" t="inlineStr">
        <is>
          <t>TANUM</t>
        </is>
      </c>
      <c r="G5614" t="n">
        <v>1</v>
      </c>
      <c r="H5614" t="n">
        <v>0</v>
      </c>
      <c r="I5614" t="n">
        <v>0</v>
      </c>
      <c r="J5614" t="n">
        <v>0</v>
      </c>
      <c r="K5614" t="n">
        <v>0</v>
      </c>
      <c r="L5614" t="n">
        <v>0</v>
      </c>
      <c r="M5614" t="n">
        <v>0</v>
      </c>
      <c r="N5614" t="n">
        <v>0</v>
      </c>
      <c r="O5614" t="n">
        <v>0</v>
      </c>
      <c r="P5614" t="n">
        <v>0</v>
      </c>
      <c r="Q5614" t="n">
        <v>0</v>
      </c>
      <c r="R5614" s="2" t="inlineStr"/>
    </row>
    <row r="5615" ht="15" customHeight="1">
      <c r="A5615" t="inlineStr">
        <is>
          <t>A 6875-2023</t>
        </is>
      </c>
      <c r="B5615" s="1" t="n">
        <v>44964</v>
      </c>
      <c r="C5615" s="1" t="n">
        <v>45952</v>
      </c>
      <c r="D5615" t="inlineStr">
        <is>
          <t>VÄSTRA GÖTALANDS LÄN</t>
        </is>
      </c>
      <c r="E5615" t="inlineStr">
        <is>
          <t>SVENLJUNGA</t>
        </is>
      </c>
      <c r="F5615" t="inlineStr">
        <is>
          <t>Kyrkan</t>
        </is>
      </c>
      <c r="G5615" t="n">
        <v>2.4</v>
      </c>
      <c r="H5615" t="n">
        <v>0</v>
      </c>
      <c r="I5615" t="n">
        <v>0</v>
      </c>
      <c r="J5615" t="n">
        <v>0</v>
      </c>
      <c r="K5615" t="n">
        <v>0</v>
      </c>
      <c r="L5615" t="n">
        <v>0</v>
      </c>
      <c r="M5615" t="n">
        <v>0</v>
      </c>
      <c r="N5615" t="n">
        <v>0</v>
      </c>
      <c r="O5615" t="n">
        <v>0</v>
      </c>
      <c r="P5615" t="n">
        <v>0</v>
      </c>
      <c r="Q5615" t="n">
        <v>0</v>
      </c>
      <c r="R5615" s="2" t="inlineStr"/>
    </row>
    <row r="5616" ht="15" customHeight="1">
      <c r="A5616" t="inlineStr">
        <is>
          <t>A 6887-2023</t>
        </is>
      </c>
      <c r="B5616" s="1" t="n">
        <v>44967</v>
      </c>
      <c r="C5616" s="1" t="n">
        <v>45952</v>
      </c>
      <c r="D5616" t="inlineStr">
        <is>
          <t>VÄSTRA GÖTALANDS LÄN</t>
        </is>
      </c>
      <c r="E5616" t="inlineStr">
        <is>
          <t>UDDEVALLA</t>
        </is>
      </c>
      <c r="G5616" t="n">
        <v>5.3</v>
      </c>
      <c r="H5616" t="n">
        <v>0</v>
      </c>
      <c r="I5616" t="n">
        <v>0</v>
      </c>
      <c r="J5616" t="n">
        <v>0</v>
      </c>
      <c r="K5616" t="n">
        <v>0</v>
      </c>
      <c r="L5616" t="n">
        <v>0</v>
      </c>
      <c r="M5616" t="n">
        <v>0</v>
      </c>
      <c r="N5616" t="n">
        <v>0</v>
      </c>
      <c r="O5616" t="n">
        <v>0</v>
      </c>
      <c r="P5616" t="n">
        <v>0</v>
      </c>
      <c r="Q5616" t="n">
        <v>0</v>
      </c>
      <c r="R5616" s="2" t="inlineStr"/>
    </row>
    <row r="5617" ht="15" customHeight="1">
      <c r="A5617" t="inlineStr">
        <is>
          <t>A 59175-2024</t>
        </is>
      </c>
      <c r="B5617" s="1" t="n">
        <v>45637.50040509259</v>
      </c>
      <c r="C5617" s="1" t="n">
        <v>45952</v>
      </c>
      <c r="D5617" t="inlineStr">
        <is>
          <t>VÄSTRA GÖTALANDS LÄN</t>
        </is>
      </c>
      <c r="E5617" t="inlineStr">
        <is>
          <t>MARK</t>
        </is>
      </c>
      <c r="G5617" t="n">
        <v>2.7</v>
      </c>
      <c r="H5617" t="n">
        <v>0</v>
      </c>
      <c r="I5617" t="n">
        <v>0</v>
      </c>
      <c r="J5617" t="n">
        <v>0</v>
      </c>
      <c r="K5617" t="n">
        <v>0</v>
      </c>
      <c r="L5617" t="n">
        <v>0</v>
      </c>
      <c r="M5617" t="n">
        <v>0</v>
      </c>
      <c r="N5617" t="n">
        <v>0</v>
      </c>
      <c r="O5617" t="n">
        <v>0</v>
      </c>
      <c r="P5617" t="n">
        <v>0</v>
      </c>
      <c r="Q5617" t="n">
        <v>0</v>
      </c>
      <c r="R5617" s="2" t="inlineStr"/>
    </row>
    <row r="5618" ht="15" customHeight="1">
      <c r="A5618" t="inlineStr">
        <is>
          <t>A 59182-2024</t>
        </is>
      </c>
      <c r="B5618" s="1" t="n">
        <v>45637.52162037037</v>
      </c>
      <c r="C5618" s="1" t="n">
        <v>45952</v>
      </c>
      <c r="D5618" t="inlineStr">
        <is>
          <t>VÄSTRA GÖTALANDS LÄN</t>
        </is>
      </c>
      <c r="E5618" t="inlineStr">
        <is>
          <t>MARK</t>
        </is>
      </c>
      <c r="G5618" t="n">
        <v>6.3</v>
      </c>
      <c r="H5618" t="n">
        <v>0</v>
      </c>
      <c r="I5618" t="n">
        <v>0</v>
      </c>
      <c r="J5618" t="n">
        <v>0</v>
      </c>
      <c r="K5618" t="n">
        <v>0</v>
      </c>
      <c r="L5618" t="n">
        <v>0</v>
      </c>
      <c r="M5618" t="n">
        <v>0</v>
      </c>
      <c r="N5618" t="n">
        <v>0</v>
      </c>
      <c r="O5618" t="n">
        <v>0</v>
      </c>
      <c r="P5618" t="n">
        <v>0</v>
      </c>
      <c r="Q5618" t="n">
        <v>0</v>
      </c>
      <c r="R5618" s="2" t="inlineStr"/>
    </row>
    <row r="5619" ht="15" customHeight="1">
      <c r="A5619" t="inlineStr">
        <is>
          <t>A 6913-2023</t>
        </is>
      </c>
      <c r="B5619" s="1" t="n">
        <v>44967</v>
      </c>
      <c r="C5619" s="1" t="n">
        <v>45952</v>
      </c>
      <c r="D5619" t="inlineStr">
        <is>
          <t>VÄSTRA GÖTALANDS LÄN</t>
        </is>
      </c>
      <c r="E5619" t="inlineStr">
        <is>
          <t>LIDKÖPING</t>
        </is>
      </c>
      <c r="G5619" t="n">
        <v>1.4</v>
      </c>
      <c r="H5619" t="n">
        <v>0</v>
      </c>
      <c r="I5619" t="n">
        <v>0</v>
      </c>
      <c r="J5619" t="n">
        <v>0</v>
      </c>
      <c r="K5619" t="n">
        <v>0</v>
      </c>
      <c r="L5619" t="n">
        <v>0</v>
      </c>
      <c r="M5619" t="n">
        <v>0</v>
      </c>
      <c r="N5619" t="n">
        <v>0</v>
      </c>
      <c r="O5619" t="n">
        <v>0</v>
      </c>
      <c r="P5619" t="n">
        <v>0</v>
      </c>
      <c r="Q5619" t="n">
        <v>0</v>
      </c>
      <c r="R5619" s="2" t="inlineStr"/>
    </row>
    <row r="5620" ht="15" customHeight="1">
      <c r="A5620" t="inlineStr">
        <is>
          <t>A 49427-2022</t>
        </is>
      </c>
      <c r="B5620" s="1" t="n">
        <v>44861.65153935185</v>
      </c>
      <c r="C5620" s="1" t="n">
        <v>45952</v>
      </c>
      <c r="D5620" t="inlineStr">
        <is>
          <t>VÄSTRA GÖTALANDS LÄN</t>
        </is>
      </c>
      <c r="E5620" t="inlineStr">
        <is>
          <t>BENGTSFORS</t>
        </is>
      </c>
      <c r="G5620" t="n">
        <v>2.6</v>
      </c>
      <c r="H5620" t="n">
        <v>0</v>
      </c>
      <c r="I5620" t="n">
        <v>0</v>
      </c>
      <c r="J5620" t="n">
        <v>0</v>
      </c>
      <c r="K5620" t="n">
        <v>0</v>
      </c>
      <c r="L5620" t="n">
        <v>0</v>
      </c>
      <c r="M5620" t="n">
        <v>0</v>
      </c>
      <c r="N5620" t="n">
        <v>0</v>
      </c>
      <c r="O5620" t="n">
        <v>0</v>
      </c>
      <c r="P5620" t="n">
        <v>0</v>
      </c>
      <c r="Q5620" t="n">
        <v>0</v>
      </c>
      <c r="R5620" s="2" t="inlineStr"/>
    </row>
    <row r="5621" ht="15" customHeight="1">
      <c r="A5621" t="inlineStr">
        <is>
          <t>A 29195-2024</t>
        </is>
      </c>
      <c r="B5621" s="1" t="n">
        <v>45482</v>
      </c>
      <c r="C5621" s="1" t="n">
        <v>45952</v>
      </c>
      <c r="D5621" t="inlineStr">
        <is>
          <t>VÄSTRA GÖTALANDS LÄN</t>
        </is>
      </c>
      <c r="E5621" t="inlineStr">
        <is>
          <t>STRÖMSTAD</t>
        </is>
      </c>
      <c r="G5621" t="n">
        <v>2</v>
      </c>
      <c r="H5621" t="n">
        <v>0</v>
      </c>
      <c r="I5621" t="n">
        <v>0</v>
      </c>
      <c r="J5621" t="n">
        <v>0</v>
      </c>
      <c r="K5621" t="n">
        <v>0</v>
      </c>
      <c r="L5621" t="n">
        <v>0</v>
      </c>
      <c r="M5621" t="n">
        <v>0</v>
      </c>
      <c r="N5621" t="n">
        <v>0</v>
      </c>
      <c r="O5621" t="n">
        <v>0</v>
      </c>
      <c r="P5621" t="n">
        <v>0</v>
      </c>
      <c r="Q5621" t="n">
        <v>0</v>
      </c>
      <c r="R5621" s="2" t="inlineStr"/>
    </row>
    <row r="5622" ht="15" customHeight="1">
      <c r="A5622" t="inlineStr">
        <is>
          <t>A 6041-2025</t>
        </is>
      </c>
      <c r="B5622" s="1" t="n">
        <v>45695.66287037037</v>
      </c>
      <c r="C5622" s="1" t="n">
        <v>45952</v>
      </c>
      <c r="D5622" t="inlineStr">
        <is>
          <t>VÄSTRA GÖTALANDS LÄN</t>
        </is>
      </c>
      <c r="E5622" t="inlineStr">
        <is>
          <t>KUNGÄLV</t>
        </is>
      </c>
      <c r="G5622" t="n">
        <v>8.800000000000001</v>
      </c>
      <c r="H5622" t="n">
        <v>0</v>
      </c>
      <c r="I5622" t="n">
        <v>0</v>
      </c>
      <c r="J5622" t="n">
        <v>0</v>
      </c>
      <c r="K5622" t="n">
        <v>0</v>
      </c>
      <c r="L5622" t="n">
        <v>0</v>
      </c>
      <c r="M5622" t="n">
        <v>0</v>
      </c>
      <c r="N5622" t="n">
        <v>0</v>
      </c>
      <c r="O5622" t="n">
        <v>0</v>
      </c>
      <c r="P5622" t="n">
        <v>0</v>
      </c>
      <c r="Q5622" t="n">
        <v>0</v>
      </c>
      <c r="R5622" s="2" t="inlineStr"/>
    </row>
    <row r="5623" ht="15" customHeight="1">
      <c r="A5623" t="inlineStr">
        <is>
          <t>A 59193-2024</t>
        </is>
      </c>
      <c r="B5623" s="1" t="n">
        <v>45636</v>
      </c>
      <c r="C5623" s="1" t="n">
        <v>45952</v>
      </c>
      <c r="D5623" t="inlineStr">
        <is>
          <t>VÄSTRA GÖTALANDS LÄN</t>
        </is>
      </c>
      <c r="E5623" t="inlineStr">
        <is>
          <t>GULLSPÅNG</t>
        </is>
      </c>
      <c r="G5623" t="n">
        <v>0.7</v>
      </c>
      <c r="H5623" t="n">
        <v>0</v>
      </c>
      <c r="I5623" t="n">
        <v>0</v>
      </c>
      <c r="J5623" t="n">
        <v>0</v>
      </c>
      <c r="K5623" t="n">
        <v>0</v>
      </c>
      <c r="L5623" t="n">
        <v>0</v>
      </c>
      <c r="M5623" t="n">
        <v>0</v>
      </c>
      <c r="N5623" t="n">
        <v>0</v>
      </c>
      <c r="O5623" t="n">
        <v>0</v>
      </c>
      <c r="P5623" t="n">
        <v>0</v>
      </c>
      <c r="Q5623" t="n">
        <v>0</v>
      </c>
      <c r="R5623" s="2" t="inlineStr"/>
    </row>
    <row r="5624" ht="15" customHeight="1">
      <c r="A5624" t="inlineStr">
        <is>
          <t>A 47374-2024</t>
        </is>
      </c>
      <c r="B5624" s="1" t="n">
        <v>45587.45049768518</v>
      </c>
      <c r="C5624" s="1" t="n">
        <v>45952</v>
      </c>
      <c r="D5624" t="inlineStr">
        <is>
          <t>VÄSTRA GÖTALANDS LÄN</t>
        </is>
      </c>
      <c r="E5624" t="inlineStr">
        <is>
          <t>HERRLJUNGA</t>
        </is>
      </c>
      <c r="G5624" t="n">
        <v>5.2</v>
      </c>
      <c r="H5624" t="n">
        <v>0</v>
      </c>
      <c r="I5624" t="n">
        <v>0</v>
      </c>
      <c r="J5624" t="n">
        <v>0</v>
      </c>
      <c r="K5624" t="n">
        <v>0</v>
      </c>
      <c r="L5624" t="n">
        <v>0</v>
      </c>
      <c r="M5624" t="n">
        <v>0</v>
      </c>
      <c r="N5624" t="n">
        <v>0</v>
      </c>
      <c r="O5624" t="n">
        <v>0</v>
      </c>
      <c r="P5624" t="n">
        <v>0</v>
      </c>
      <c r="Q5624" t="n">
        <v>0</v>
      </c>
      <c r="R5624" s="2" t="inlineStr"/>
    </row>
    <row r="5625" ht="15" customHeight="1">
      <c r="A5625" t="inlineStr">
        <is>
          <t>A 4218-2023</t>
        </is>
      </c>
      <c r="B5625" s="1" t="n">
        <v>44951</v>
      </c>
      <c r="C5625" s="1" t="n">
        <v>45952</v>
      </c>
      <c r="D5625" t="inlineStr">
        <is>
          <t>VÄSTRA GÖTALANDS LÄN</t>
        </is>
      </c>
      <c r="E5625" t="inlineStr">
        <is>
          <t>TÖREBODA</t>
        </is>
      </c>
      <c r="G5625" t="n">
        <v>2</v>
      </c>
      <c r="H5625" t="n">
        <v>0</v>
      </c>
      <c r="I5625" t="n">
        <v>0</v>
      </c>
      <c r="J5625" t="n">
        <v>0</v>
      </c>
      <c r="K5625" t="n">
        <v>0</v>
      </c>
      <c r="L5625" t="n">
        <v>0</v>
      </c>
      <c r="M5625" t="n">
        <v>0</v>
      </c>
      <c r="N5625" t="n">
        <v>0</v>
      </c>
      <c r="O5625" t="n">
        <v>0</v>
      </c>
      <c r="P5625" t="n">
        <v>0</v>
      </c>
      <c r="Q5625" t="n">
        <v>0</v>
      </c>
      <c r="R5625" s="2" t="inlineStr"/>
    </row>
    <row r="5626" ht="15" customHeight="1">
      <c r="A5626" t="inlineStr">
        <is>
          <t>A 47398-2024</t>
        </is>
      </c>
      <c r="B5626" s="1" t="n">
        <v>45587.47180555556</v>
      </c>
      <c r="C5626" s="1" t="n">
        <v>45952</v>
      </c>
      <c r="D5626" t="inlineStr">
        <is>
          <t>VÄSTRA GÖTALANDS LÄN</t>
        </is>
      </c>
      <c r="E5626" t="inlineStr">
        <is>
          <t>LERUM</t>
        </is>
      </c>
      <c r="G5626" t="n">
        <v>0.9</v>
      </c>
      <c r="H5626" t="n">
        <v>0</v>
      </c>
      <c r="I5626" t="n">
        <v>0</v>
      </c>
      <c r="J5626" t="n">
        <v>0</v>
      </c>
      <c r="K5626" t="n">
        <v>0</v>
      </c>
      <c r="L5626" t="n">
        <v>0</v>
      </c>
      <c r="M5626" t="n">
        <v>0</v>
      </c>
      <c r="N5626" t="n">
        <v>0</v>
      </c>
      <c r="O5626" t="n">
        <v>0</v>
      </c>
      <c r="P5626" t="n">
        <v>0</v>
      </c>
      <c r="Q5626" t="n">
        <v>0</v>
      </c>
      <c r="R5626" s="2" t="inlineStr"/>
    </row>
    <row r="5627" ht="15" customHeight="1">
      <c r="A5627" t="inlineStr">
        <is>
          <t>A 26345-2024</t>
        </is>
      </c>
      <c r="B5627" s="1" t="n">
        <v>45469.35059027778</v>
      </c>
      <c r="C5627" s="1" t="n">
        <v>45952</v>
      </c>
      <c r="D5627" t="inlineStr">
        <is>
          <t>VÄSTRA GÖTALANDS LÄN</t>
        </is>
      </c>
      <c r="E5627" t="inlineStr">
        <is>
          <t>MARIESTAD</t>
        </is>
      </c>
      <c r="G5627" t="n">
        <v>1.8</v>
      </c>
      <c r="H5627" t="n">
        <v>0</v>
      </c>
      <c r="I5627" t="n">
        <v>0</v>
      </c>
      <c r="J5627" t="n">
        <v>0</v>
      </c>
      <c r="K5627" t="n">
        <v>0</v>
      </c>
      <c r="L5627" t="n">
        <v>0</v>
      </c>
      <c r="M5627" t="n">
        <v>0</v>
      </c>
      <c r="N5627" t="n">
        <v>0</v>
      </c>
      <c r="O5627" t="n">
        <v>0</v>
      </c>
      <c r="P5627" t="n">
        <v>0</v>
      </c>
      <c r="Q5627" t="n">
        <v>0</v>
      </c>
      <c r="R5627" s="2" t="inlineStr"/>
    </row>
    <row r="5628" ht="15" customHeight="1">
      <c r="A5628" t="inlineStr">
        <is>
          <t>A 34610-2023</t>
        </is>
      </c>
      <c r="B5628" s="1" t="n">
        <v>45140</v>
      </c>
      <c r="C5628" s="1" t="n">
        <v>45952</v>
      </c>
      <c r="D5628" t="inlineStr">
        <is>
          <t>VÄSTRA GÖTALANDS LÄN</t>
        </is>
      </c>
      <c r="E5628" t="inlineStr">
        <is>
          <t>BORÅS</t>
        </is>
      </c>
      <c r="G5628" t="n">
        <v>4.5</v>
      </c>
      <c r="H5628" t="n">
        <v>0</v>
      </c>
      <c r="I5628" t="n">
        <v>0</v>
      </c>
      <c r="J5628" t="n">
        <v>0</v>
      </c>
      <c r="K5628" t="n">
        <v>0</v>
      </c>
      <c r="L5628" t="n">
        <v>0</v>
      </c>
      <c r="M5628" t="n">
        <v>0</v>
      </c>
      <c r="N5628" t="n">
        <v>0</v>
      </c>
      <c r="O5628" t="n">
        <v>0</v>
      </c>
      <c r="P5628" t="n">
        <v>0</v>
      </c>
      <c r="Q5628" t="n">
        <v>0</v>
      </c>
      <c r="R5628" s="2" t="inlineStr"/>
    </row>
    <row r="5629" ht="15" customHeight="1">
      <c r="A5629" t="inlineStr">
        <is>
          <t>A 4241-2023</t>
        </is>
      </c>
      <c r="B5629" s="1" t="n">
        <v>44953</v>
      </c>
      <c r="C5629" s="1" t="n">
        <v>45952</v>
      </c>
      <c r="D5629" t="inlineStr">
        <is>
          <t>VÄSTRA GÖTALANDS LÄN</t>
        </is>
      </c>
      <c r="E5629" t="inlineStr">
        <is>
          <t>TIBRO</t>
        </is>
      </c>
      <c r="G5629" t="n">
        <v>2.9</v>
      </c>
      <c r="H5629" t="n">
        <v>0</v>
      </c>
      <c r="I5629" t="n">
        <v>0</v>
      </c>
      <c r="J5629" t="n">
        <v>0</v>
      </c>
      <c r="K5629" t="n">
        <v>0</v>
      </c>
      <c r="L5629" t="n">
        <v>0</v>
      </c>
      <c r="M5629" t="n">
        <v>0</v>
      </c>
      <c r="N5629" t="n">
        <v>0</v>
      </c>
      <c r="O5629" t="n">
        <v>0</v>
      </c>
      <c r="P5629" t="n">
        <v>0</v>
      </c>
      <c r="Q5629" t="n">
        <v>0</v>
      </c>
      <c r="R5629" s="2" t="inlineStr"/>
    </row>
    <row r="5630" ht="15" customHeight="1">
      <c r="A5630" t="inlineStr">
        <is>
          <t>A 4242-2023</t>
        </is>
      </c>
      <c r="B5630" s="1" t="n">
        <v>44953</v>
      </c>
      <c r="C5630" s="1" t="n">
        <v>45952</v>
      </c>
      <c r="D5630" t="inlineStr">
        <is>
          <t>VÄSTRA GÖTALANDS LÄN</t>
        </is>
      </c>
      <c r="E5630" t="inlineStr">
        <is>
          <t>TIBRO</t>
        </is>
      </c>
      <c r="G5630" t="n">
        <v>2.6</v>
      </c>
      <c r="H5630" t="n">
        <v>0</v>
      </c>
      <c r="I5630" t="n">
        <v>0</v>
      </c>
      <c r="J5630" t="n">
        <v>0</v>
      </c>
      <c r="K5630" t="n">
        <v>0</v>
      </c>
      <c r="L5630" t="n">
        <v>0</v>
      </c>
      <c r="M5630" t="n">
        <v>0</v>
      </c>
      <c r="N5630" t="n">
        <v>0</v>
      </c>
      <c r="O5630" t="n">
        <v>0</v>
      </c>
      <c r="P5630" t="n">
        <v>0</v>
      </c>
      <c r="Q5630" t="n">
        <v>0</v>
      </c>
      <c r="R5630" s="2" t="inlineStr"/>
    </row>
    <row r="5631" ht="15" customHeight="1">
      <c r="A5631" t="inlineStr">
        <is>
          <t>A 4272-2023</t>
        </is>
      </c>
      <c r="B5631" s="1" t="n">
        <v>44951</v>
      </c>
      <c r="C5631" s="1" t="n">
        <v>45952</v>
      </c>
      <c r="D5631" t="inlineStr">
        <is>
          <t>VÄSTRA GÖTALANDS LÄN</t>
        </is>
      </c>
      <c r="E5631" t="inlineStr">
        <is>
          <t>HJO</t>
        </is>
      </c>
      <c r="G5631" t="n">
        <v>1.8</v>
      </c>
      <c r="H5631" t="n">
        <v>0</v>
      </c>
      <c r="I5631" t="n">
        <v>0</v>
      </c>
      <c r="J5631" t="n">
        <v>0</v>
      </c>
      <c r="K5631" t="n">
        <v>0</v>
      </c>
      <c r="L5631" t="n">
        <v>0</v>
      </c>
      <c r="M5631" t="n">
        <v>0</v>
      </c>
      <c r="N5631" t="n">
        <v>0</v>
      </c>
      <c r="O5631" t="n">
        <v>0</v>
      </c>
      <c r="P5631" t="n">
        <v>0</v>
      </c>
      <c r="Q5631" t="n">
        <v>0</v>
      </c>
      <c r="R5631" s="2" t="inlineStr"/>
    </row>
    <row r="5632" ht="15" customHeight="1">
      <c r="A5632" t="inlineStr">
        <is>
          <t>A 14420-2024</t>
        </is>
      </c>
      <c r="B5632" s="1" t="n">
        <v>45394</v>
      </c>
      <c r="C5632" s="1" t="n">
        <v>45952</v>
      </c>
      <c r="D5632" t="inlineStr">
        <is>
          <t>VÄSTRA GÖTALANDS LÄN</t>
        </is>
      </c>
      <c r="E5632" t="inlineStr">
        <is>
          <t>TRANEMO</t>
        </is>
      </c>
      <c r="G5632" t="n">
        <v>2.7</v>
      </c>
      <c r="H5632" t="n">
        <v>0</v>
      </c>
      <c r="I5632" t="n">
        <v>0</v>
      </c>
      <c r="J5632" t="n">
        <v>0</v>
      </c>
      <c r="K5632" t="n">
        <v>0</v>
      </c>
      <c r="L5632" t="n">
        <v>0</v>
      </c>
      <c r="M5632" t="n">
        <v>0</v>
      </c>
      <c r="N5632" t="n">
        <v>0</v>
      </c>
      <c r="O5632" t="n">
        <v>0</v>
      </c>
      <c r="P5632" t="n">
        <v>0</v>
      </c>
      <c r="Q5632" t="n">
        <v>0</v>
      </c>
      <c r="R5632" s="2" t="inlineStr"/>
    </row>
    <row r="5633" ht="15" customHeight="1">
      <c r="A5633" t="inlineStr">
        <is>
          <t>A 46523-2022</t>
        </is>
      </c>
      <c r="B5633" s="1" t="n">
        <v>44847</v>
      </c>
      <c r="C5633" s="1" t="n">
        <v>45952</v>
      </c>
      <c r="D5633" t="inlineStr">
        <is>
          <t>VÄSTRA GÖTALANDS LÄN</t>
        </is>
      </c>
      <c r="E5633" t="inlineStr">
        <is>
          <t>MARIESTAD</t>
        </is>
      </c>
      <c r="G5633" t="n">
        <v>4.2</v>
      </c>
      <c r="H5633" t="n">
        <v>0</v>
      </c>
      <c r="I5633" t="n">
        <v>0</v>
      </c>
      <c r="J5633" t="n">
        <v>0</v>
      </c>
      <c r="K5633" t="n">
        <v>0</v>
      </c>
      <c r="L5633" t="n">
        <v>0</v>
      </c>
      <c r="M5633" t="n">
        <v>0</v>
      </c>
      <c r="N5633" t="n">
        <v>0</v>
      </c>
      <c r="O5633" t="n">
        <v>0</v>
      </c>
      <c r="P5633" t="n">
        <v>0</v>
      </c>
      <c r="Q5633" t="n">
        <v>0</v>
      </c>
      <c r="R5633" s="2" t="inlineStr"/>
    </row>
    <row r="5634" ht="15" customHeight="1">
      <c r="A5634" t="inlineStr">
        <is>
          <t>A 15947-2024</t>
        </is>
      </c>
      <c r="B5634" s="1" t="n">
        <v>45405</v>
      </c>
      <c r="C5634" s="1" t="n">
        <v>45952</v>
      </c>
      <c r="D5634" t="inlineStr">
        <is>
          <t>VÄSTRA GÖTALANDS LÄN</t>
        </is>
      </c>
      <c r="E5634" t="inlineStr">
        <is>
          <t>BENGTSFORS</t>
        </is>
      </c>
      <c r="G5634" t="n">
        <v>2.9</v>
      </c>
      <c r="H5634" t="n">
        <v>0</v>
      </c>
      <c r="I5634" t="n">
        <v>0</v>
      </c>
      <c r="J5634" t="n">
        <v>0</v>
      </c>
      <c r="K5634" t="n">
        <v>0</v>
      </c>
      <c r="L5634" t="n">
        <v>0</v>
      </c>
      <c r="M5634" t="n">
        <v>0</v>
      </c>
      <c r="N5634" t="n">
        <v>0</v>
      </c>
      <c r="O5634" t="n">
        <v>0</v>
      </c>
      <c r="P5634" t="n">
        <v>0</v>
      </c>
      <c r="Q5634" t="n">
        <v>0</v>
      </c>
      <c r="R5634" s="2" t="inlineStr"/>
    </row>
    <row r="5635" ht="15" customHeight="1">
      <c r="A5635" t="inlineStr">
        <is>
          <t>A 32241-2023</t>
        </is>
      </c>
      <c r="B5635" s="1" t="n">
        <v>45119</v>
      </c>
      <c r="C5635" s="1" t="n">
        <v>45952</v>
      </c>
      <c r="D5635" t="inlineStr">
        <is>
          <t>VÄSTRA GÖTALANDS LÄN</t>
        </is>
      </c>
      <c r="E5635" t="inlineStr">
        <is>
          <t>BORÅS</t>
        </is>
      </c>
      <c r="G5635" t="n">
        <v>2.6</v>
      </c>
      <c r="H5635" t="n">
        <v>0</v>
      </c>
      <c r="I5635" t="n">
        <v>0</v>
      </c>
      <c r="J5635" t="n">
        <v>0</v>
      </c>
      <c r="K5635" t="n">
        <v>0</v>
      </c>
      <c r="L5635" t="n">
        <v>0</v>
      </c>
      <c r="M5635" t="n">
        <v>0</v>
      </c>
      <c r="N5635" t="n">
        <v>0</v>
      </c>
      <c r="O5635" t="n">
        <v>0</v>
      </c>
      <c r="P5635" t="n">
        <v>0</v>
      </c>
      <c r="Q5635" t="n">
        <v>0</v>
      </c>
      <c r="R5635" s="2" t="inlineStr"/>
    </row>
    <row r="5636" ht="15" customHeight="1">
      <c r="A5636" t="inlineStr">
        <is>
          <t>A 15971-2024</t>
        </is>
      </c>
      <c r="B5636" s="1" t="n">
        <v>45405.56321759259</v>
      </c>
      <c r="C5636" s="1" t="n">
        <v>45952</v>
      </c>
      <c r="D5636" t="inlineStr">
        <is>
          <t>VÄSTRA GÖTALANDS LÄN</t>
        </is>
      </c>
      <c r="E5636" t="inlineStr">
        <is>
          <t>FALKÖPING</t>
        </is>
      </c>
      <c r="G5636" t="n">
        <v>2</v>
      </c>
      <c r="H5636" t="n">
        <v>0</v>
      </c>
      <c r="I5636" t="n">
        <v>0</v>
      </c>
      <c r="J5636" t="n">
        <v>0</v>
      </c>
      <c r="K5636" t="n">
        <v>0</v>
      </c>
      <c r="L5636" t="n">
        <v>0</v>
      </c>
      <c r="M5636" t="n">
        <v>0</v>
      </c>
      <c r="N5636" t="n">
        <v>0</v>
      </c>
      <c r="O5636" t="n">
        <v>0</v>
      </c>
      <c r="P5636" t="n">
        <v>0</v>
      </c>
      <c r="Q5636" t="n">
        <v>0</v>
      </c>
      <c r="R5636" s="2" t="inlineStr"/>
    </row>
    <row r="5637" ht="15" customHeight="1">
      <c r="A5637" t="inlineStr">
        <is>
          <t>A 16017-2024</t>
        </is>
      </c>
      <c r="B5637" s="1" t="n">
        <v>45405.66837962963</v>
      </c>
      <c r="C5637" s="1" t="n">
        <v>45952</v>
      </c>
      <c r="D5637" t="inlineStr">
        <is>
          <t>VÄSTRA GÖTALANDS LÄN</t>
        </is>
      </c>
      <c r="E5637" t="inlineStr">
        <is>
          <t>BENGTSFORS</t>
        </is>
      </c>
      <c r="G5637" t="n">
        <v>2.1</v>
      </c>
      <c r="H5637" t="n">
        <v>0</v>
      </c>
      <c r="I5637" t="n">
        <v>0</v>
      </c>
      <c r="J5637" t="n">
        <v>0</v>
      </c>
      <c r="K5637" t="n">
        <v>0</v>
      </c>
      <c r="L5637" t="n">
        <v>0</v>
      </c>
      <c r="M5637" t="n">
        <v>0</v>
      </c>
      <c r="N5637" t="n">
        <v>0</v>
      </c>
      <c r="O5637" t="n">
        <v>0</v>
      </c>
      <c r="P5637" t="n">
        <v>0</v>
      </c>
      <c r="Q5637" t="n">
        <v>0</v>
      </c>
      <c r="R5637" s="2" t="inlineStr"/>
    </row>
    <row r="5638" ht="15" customHeight="1">
      <c r="A5638" t="inlineStr">
        <is>
          <t>A 20360-2025</t>
        </is>
      </c>
      <c r="B5638" s="1" t="n">
        <v>45775.39715277778</v>
      </c>
      <c r="C5638" s="1" t="n">
        <v>45952</v>
      </c>
      <c r="D5638" t="inlineStr">
        <is>
          <t>VÄSTRA GÖTALANDS LÄN</t>
        </is>
      </c>
      <c r="E5638" t="inlineStr">
        <is>
          <t>FALKÖPING</t>
        </is>
      </c>
      <c r="G5638" t="n">
        <v>1.1</v>
      </c>
      <c r="H5638" t="n">
        <v>0</v>
      </c>
      <c r="I5638" t="n">
        <v>0</v>
      </c>
      <c r="J5638" t="n">
        <v>0</v>
      </c>
      <c r="K5638" t="n">
        <v>0</v>
      </c>
      <c r="L5638" t="n">
        <v>0</v>
      </c>
      <c r="M5638" t="n">
        <v>0</v>
      </c>
      <c r="N5638" t="n">
        <v>0</v>
      </c>
      <c r="O5638" t="n">
        <v>0</v>
      </c>
      <c r="P5638" t="n">
        <v>0</v>
      </c>
      <c r="Q5638" t="n">
        <v>0</v>
      </c>
      <c r="R5638" s="2" t="inlineStr"/>
    </row>
    <row r="5639" ht="15" customHeight="1">
      <c r="A5639" t="inlineStr">
        <is>
          <t>A 20363-2025</t>
        </is>
      </c>
      <c r="B5639" s="1" t="n">
        <v>45775.40270833333</v>
      </c>
      <c r="C5639" s="1" t="n">
        <v>45952</v>
      </c>
      <c r="D5639" t="inlineStr">
        <is>
          <t>VÄSTRA GÖTALANDS LÄN</t>
        </is>
      </c>
      <c r="E5639" t="inlineStr">
        <is>
          <t>TÖREBODA</t>
        </is>
      </c>
      <c r="F5639" t="inlineStr">
        <is>
          <t>Sveaskog</t>
        </is>
      </c>
      <c r="G5639" t="n">
        <v>2.6</v>
      </c>
      <c r="H5639" t="n">
        <v>0</v>
      </c>
      <c r="I5639" t="n">
        <v>0</v>
      </c>
      <c r="J5639" t="n">
        <v>0</v>
      </c>
      <c r="K5639" t="n">
        <v>0</v>
      </c>
      <c r="L5639" t="n">
        <v>0</v>
      </c>
      <c r="M5639" t="n">
        <v>0</v>
      </c>
      <c r="N5639" t="n">
        <v>0</v>
      </c>
      <c r="O5639" t="n">
        <v>0</v>
      </c>
      <c r="P5639" t="n">
        <v>0</v>
      </c>
      <c r="Q5639" t="n">
        <v>0</v>
      </c>
      <c r="R5639" s="2" t="inlineStr"/>
    </row>
    <row r="5640" ht="15" customHeight="1">
      <c r="A5640" t="inlineStr">
        <is>
          <t>A 45002-2024</t>
        </is>
      </c>
      <c r="B5640" s="1" t="n">
        <v>45575.48587962963</v>
      </c>
      <c r="C5640" s="1" t="n">
        <v>45952</v>
      </c>
      <c r="D5640" t="inlineStr">
        <is>
          <t>VÄSTRA GÖTALANDS LÄN</t>
        </is>
      </c>
      <c r="E5640" t="inlineStr">
        <is>
          <t>GULLSPÅNG</t>
        </is>
      </c>
      <c r="G5640" t="n">
        <v>3.2</v>
      </c>
      <c r="H5640" t="n">
        <v>0</v>
      </c>
      <c r="I5640" t="n">
        <v>0</v>
      </c>
      <c r="J5640" t="n">
        <v>0</v>
      </c>
      <c r="K5640" t="n">
        <v>0</v>
      </c>
      <c r="L5640" t="n">
        <v>0</v>
      </c>
      <c r="M5640" t="n">
        <v>0</v>
      </c>
      <c r="N5640" t="n">
        <v>0</v>
      </c>
      <c r="O5640" t="n">
        <v>0</v>
      </c>
      <c r="P5640" t="n">
        <v>0</v>
      </c>
      <c r="Q5640" t="n">
        <v>0</v>
      </c>
      <c r="R5640" s="2" t="inlineStr"/>
    </row>
    <row r="5641" ht="15" customHeight="1">
      <c r="A5641" t="inlineStr">
        <is>
          <t>A 16123-2024</t>
        </is>
      </c>
      <c r="B5641" s="1" t="n">
        <v>45406.50541666667</v>
      </c>
      <c r="C5641" s="1" t="n">
        <v>45952</v>
      </c>
      <c r="D5641" t="inlineStr">
        <is>
          <t>VÄSTRA GÖTALANDS LÄN</t>
        </is>
      </c>
      <c r="E5641" t="inlineStr">
        <is>
          <t>MARK</t>
        </is>
      </c>
      <c r="G5641" t="n">
        <v>2.7</v>
      </c>
      <c r="H5641" t="n">
        <v>0</v>
      </c>
      <c r="I5641" t="n">
        <v>0</v>
      </c>
      <c r="J5641" t="n">
        <v>0</v>
      </c>
      <c r="K5641" t="n">
        <v>0</v>
      </c>
      <c r="L5641" t="n">
        <v>0</v>
      </c>
      <c r="M5641" t="n">
        <v>0</v>
      </c>
      <c r="N5641" t="n">
        <v>0</v>
      </c>
      <c r="O5641" t="n">
        <v>0</v>
      </c>
      <c r="P5641" t="n">
        <v>0</v>
      </c>
      <c r="Q5641" t="n">
        <v>0</v>
      </c>
      <c r="R5641" s="2" t="inlineStr"/>
    </row>
    <row r="5642" ht="15" customHeight="1">
      <c r="A5642" t="inlineStr">
        <is>
          <t>A 61731-2024</t>
        </is>
      </c>
      <c r="B5642" s="1" t="n">
        <v>45649.34305555555</v>
      </c>
      <c r="C5642" s="1" t="n">
        <v>45952</v>
      </c>
      <c r="D5642" t="inlineStr">
        <is>
          <t>VÄSTRA GÖTALANDS LÄN</t>
        </is>
      </c>
      <c r="E5642" t="inlineStr">
        <is>
          <t>VÄNERSBORG</t>
        </is>
      </c>
      <c r="G5642" t="n">
        <v>2.1</v>
      </c>
      <c r="H5642" t="n">
        <v>0</v>
      </c>
      <c r="I5642" t="n">
        <v>0</v>
      </c>
      <c r="J5642" t="n">
        <v>0</v>
      </c>
      <c r="K5642" t="n">
        <v>0</v>
      </c>
      <c r="L5642" t="n">
        <v>0</v>
      </c>
      <c r="M5642" t="n">
        <v>0</v>
      </c>
      <c r="N5642" t="n">
        <v>0</v>
      </c>
      <c r="O5642" t="n">
        <v>0</v>
      </c>
      <c r="P5642" t="n">
        <v>0</v>
      </c>
      <c r="Q5642" t="n">
        <v>0</v>
      </c>
      <c r="R5642" s="2" t="inlineStr"/>
    </row>
    <row r="5643" ht="15" customHeight="1">
      <c r="A5643" t="inlineStr">
        <is>
          <t>A 46954-2025</t>
        </is>
      </c>
      <c r="B5643" s="1" t="n">
        <v>45929.48041666667</v>
      </c>
      <c r="C5643" s="1" t="n">
        <v>45952</v>
      </c>
      <c r="D5643" t="inlineStr">
        <is>
          <t>VÄSTRA GÖTALANDS LÄN</t>
        </is>
      </c>
      <c r="E5643" t="inlineStr">
        <is>
          <t>GÖTENE</t>
        </is>
      </c>
      <c r="G5643" t="n">
        <v>1</v>
      </c>
      <c r="H5643" t="n">
        <v>0</v>
      </c>
      <c r="I5643" t="n">
        <v>0</v>
      </c>
      <c r="J5643" t="n">
        <v>0</v>
      </c>
      <c r="K5643" t="n">
        <v>0</v>
      </c>
      <c r="L5643" t="n">
        <v>0</v>
      </c>
      <c r="M5643" t="n">
        <v>0</v>
      </c>
      <c r="N5643" t="n">
        <v>0</v>
      </c>
      <c r="O5643" t="n">
        <v>0</v>
      </c>
      <c r="P5643" t="n">
        <v>0</v>
      </c>
      <c r="Q5643" t="n">
        <v>0</v>
      </c>
      <c r="R5643" s="2" t="inlineStr"/>
    </row>
    <row r="5644" ht="15" customHeight="1">
      <c r="A5644" t="inlineStr">
        <is>
          <t>A 59171-2022</t>
        </is>
      </c>
      <c r="B5644" s="1" t="n">
        <v>44897</v>
      </c>
      <c r="C5644" s="1" t="n">
        <v>45952</v>
      </c>
      <c r="D5644" t="inlineStr">
        <is>
          <t>VÄSTRA GÖTALANDS LÄN</t>
        </is>
      </c>
      <c r="E5644" t="inlineStr">
        <is>
          <t>MUNKEDAL</t>
        </is>
      </c>
      <c r="F5644" t="inlineStr">
        <is>
          <t>Kyrkan</t>
        </is>
      </c>
      <c r="G5644" t="n">
        <v>0.5</v>
      </c>
      <c r="H5644" t="n">
        <v>0</v>
      </c>
      <c r="I5644" t="n">
        <v>0</v>
      </c>
      <c r="J5644" t="n">
        <v>0</v>
      </c>
      <c r="K5644" t="n">
        <v>0</v>
      </c>
      <c r="L5644" t="n">
        <v>0</v>
      </c>
      <c r="M5644" t="n">
        <v>0</v>
      </c>
      <c r="N5644" t="n">
        <v>0</v>
      </c>
      <c r="O5644" t="n">
        <v>0</v>
      </c>
      <c r="P5644" t="n">
        <v>0</v>
      </c>
      <c r="Q5644" t="n">
        <v>0</v>
      </c>
      <c r="R5644" s="2" t="inlineStr"/>
    </row>
    <row r="5645" ht="15" customHeight="1">
      <c r="A5645" t="inlineStr">
        <is>
          <t>A 17870-2023</t>
        </is>
      </c>
      <c r="B5645" s="1" t="n">
        <v>45038.59851851852</v>
      </c>
      <c r="C5645" s="1" t="n">
        <v>45952</v>
      </c>
      <c r="D5645" t="inlineStr">
        <is>
          <t>VÄSTRA GÖTALANDS LÄN</t>
        </is>
      </c>
      <c r="E5645" t="inlineStr">
        <is>
          <t>ULRICEHAMN</t>
        </is>
      </c>
      <c r="G5645" t="n">
        <v>2.3</v>
      </c>
      <c r="H5645" t="n">
        <v>0</v>
      </c>
      <c r="I5645" t="n">
        <v>0</v>
      </c>
      <c r="J5645" t="n">
        <v>0</v>
      </c>
      <c r="K5645" t="n">
        <v>0</v>
      </c>
      <c r="L5645" t="n">
        <v>0</v>
      </c>
      <c r="M5645" t="n">
        <v>0</v>
      </c>
      <c r="N5645" t="n">
        <v>0</v>
      </c>
      <c r="O5645" t="n">
        <v>0</v>
      </c>
      <c r="P5645" t="n">
        <v>0</v>
      </c>
      <c r="Q5645" t="n">
        <v>0</v>
      </c>
      <c r="R5645" s="2" t="inlineStr"/>
    </row>
    <row r="5646" ht="15" customHeight="1">
      <c r="A5646" t="inlineStr">
        <is>
          <t>A 58647-2022</t>
        </is>
      </c>
      <c r="B5646" s="1" t="n">
        <v>44902.64207175926</v>
      </c>
      <c r="C5646" s="1" t="n">
        <v>45952</v>
      </c>
      <c r="D5646" t="inlineStr">
        <is>
          <t>VÄSTRA GÖTALANDS LÄN</t>
        </is>
      </c>
      <c r="E5646" t="inlineStr">
        <is>
          <t>TRANEMO</t>
        </is>
      </c>
      <c r="G5646" t="n">
        <v>0.9</v>
      </c>
      <c r="H5646" t="n">
        <v>0</v>
      </c>
      <c r="I5646" t="n">
        <v>0</v>
      </c>
      <c r="J5646" t="n">
        <v>0</v>
      </c>
      <c r="K5646" t="n">
        <v>0</v>
      </c>
      <c r="L5646" t="n">
        <v>0</v>
      </c>
      <c r="M5646" t="n">
        <v>0</v>
      </c>
      <c r="N5646" t="n">
        <v>0</v>
      </c>
      <c r="O5646" t="n">
        <v>0</v>
      </c>
      <c r="P5646" t="n">
        <v>0</v>
      </c>
      <c r="Q5646" t="n">
        <v>0</v>
      </c>
      <c r="R5646" s="2" t="inlineStr"/>
    </row>
    <row r="5647" ht="15" customHeight="1">
      <c r="A5647" t="inlineStr">
        <is>
          <t>A 18999-2025</t>
        </is>
      </c>
      <c r="B5647" s="1" t="n">
        <v>45764.57859953704</v>
      </c>
      <c r="C5647" s="1" t="n">
        <v>45952</v>
      </c>
      <c r="D5647" t="inlineStr">
        <is>
          <t>VÄSTRA GÖTALANDS LÄN</t>
        </is>
      </c>
      <c r="E5647" t="inlineStr">
        <is>
          <t>MARK</t>
        </is>
      </c>
      <c r="G5647" t="n">
        <v>2</v>
      </c>
      <c r="H5647" t="n">
        <v>0</v>
      </c>
      <c r="I5647" t="n">
        <v>0</v>
      </c>
      <c r="J5647" t="n">
        <v>0</v>
      </c>
      <c r="K5647" t="n">
        <v>0</v>
      </c>
      <c r="L5647" t="n">
        <v>0</v>
      </c>
      <c r="M5647" t="n">
        <v>0</v>
      </c>
      <c r="N5647" t="n">
        <v>0</v>
      </c>
      <c r="O5647" t="n">
        <v>0</v>
      </c>
      <c r="P5647" t="n">
        <v>0</v>
      </c>
      <c r="Q5647" t="n">
        <v>0</v>
      </c>
      <c r="R5647" s="2" t="inlineStr"/>
    </row>
    <row r="5648" ht="15" customHeight="1">
      <c r="A5648" t="inlineStr">
        <is>
          <t>A 19093-2025</t>
        </is>
      </c>
      <c r="B5648" s="1" t="n">
        <v>45767.49024305555</v>
      </c>
      <c r="C5648" s="1" t="n">
        <v>45952</v>
      </c>
      <c r="D5648" t="inlineStr">
        <is>
          <t>VÄSTRA GÖTALANDS LÄN</t>
        </is>
      </c>
      <c r="E5648" t="inlineStr">
        <is>
          <t>GÖTENE</t>
        </is>
      </c>
      <c r="G5648" t="n">
        <v>1.6</v>
      </c>
      <c r="H5648" t="n">
        <v>0</v>
      </c>
      <c r="I5648" t="n">
        <v>0</v>
      </c>
      <c r="J5648" t="n">
        <v>0</v>
      </c>
      <c r="K5648" t="n">
        <v>0</v>
      </c>
      <c r="L5648" t="n">
        <v>0</v>
      </c>
      <c r="M5648" t="n">
        <v>0</v>
      </c>
      <c r="N5648" t="n">
        <v>0</v>
      </c>
      <c r="O5648" t="n">
        <v>0</v>
      </c>
      <c r="P5648" t="n">
        <v>0</v>
      </c>
      <c r="Q5648" t="n">
        <v>0</v>
      </c>
      <c r="R5648" s="2" t="inlineStr"/>
    </row>
    <row r="5649" ht="15" customHeight="1">
      <c r="A5649" t="inlineStr">
        <is>
          <t>A 17497-2025</t>
        </is>
      </c>
      <c r="B5649" s="1" t="n">
        <v>45757.54159722223</v>
      </c>
      <c r="C5649" s="1" t="n">
        <v>45952</v>
      </c>
      <c r="D5649" t="inlineStr">
        <is>
          <t>VÄSTRA GÖTALANDS LÄN</t>
        </is>
      </c>
      <c r="E5649" t="inlineStr">
        <is>
          <t>TÖREBODA</t>
        </is>
      </c>
      <c r="G5649" t="n">
        <v>49.4</v>
      </c>
      <c r="H5649" t="n">
        <v>0</v>
      </c>
      <c r="I5649" t="n">
        <v>0</v>
      </c>
      <c r="J5649" t="n">
        <v>0</v>
      </c>
      <c r="K5649" t="n">
        <v>0</v>
      </c>
      <c r="L5649" t="n">
        <v>0</v>
      </c>
      <c r="M5649" t="n">
        <v>0</v>
      </c>
      <c r="N5649" t="n">
        <v>0</v>
      </c>
      <c r="O5649" t="n">
        <v>0</v>
      </c>
      <c r="P5649" t="n">
        <v>0</v>
      </c>
      <c r="Q5649" t="n">
        <v>0</v>
      </c>
      <c r="R5649" s="2" t="inlineStr"/>
    </row>
    <row r="5650" ht="15" customHeight="1">
      <c r="A5650" t="inlineStr">
        <is>
          <t>A 12681-2021</t>
        </is>
      </c>
      <c r="B5650" s="1" t="n">
        <v>44267</v>
      </c>
      <c r="C5650" s="1" t="n">
        <v>45952</v>
      </c>
      <c r="D5650" t="inlineStr">
        <is>
          <t>VÄSTRA GÖTALANDS LÄN</t>
        </is>
      </c>
      <c r="E5650" t="inlineStr">
        <is>
          <t>ULRICEHAMN</t>
        </is>
      </c>
      <c r="F5650" t="inlineStr">
        <is>
          <t>Kyrkan</t>
        </is>
      </c>
      <c r="G5650" t="n">
        <v>17</v>
      </c>
      <c r="H5650" t="n">
        <v>0</v>
      </c>
      <c r="I5650" t="n">
        <v>0</v>
      </c>
      <c r="J5650" t="n">
        <v>0</v>
      </c>
      <c r="K5650" t="n">
        <v>0</v>
      </c>
      <c r="L5650" t="n">
        <v>0</v>
      </c>
      <c r="M5650" t="n">
        <v>0</v>
      </c>
      <c r="N5650" t="n">
        <v>0</v>
      </c>
      <c r="O5650" t="n">
        <v>0</v>
      </c>
      <c r="P5650" t="n">
        <v>0</v>
      </c>
      <c r="Q5650" t="n">
        <v>0</v>
      </c>
      <c r="R5650" s="2" t="inlineStr"/>
    </row>
    <row r="5651" ht="15" customHeight="1">
      <c r="A5651" t="inlineStr">
        <is>
          <t>A 10251-2025</t>
        </is>
      </c>
      <c r="B5651" s="1" t="n">
        <v>45720.3642824074</v>
      </c>
      <c r="C5651" s="1" t="n">
        <v>45952</v>
      </c>
      <c r="D5651" t="inlineStr">
        <is>
          <t>VÄSTRA GÖTALANDS LÄN</t>
        </is>
      </c>
      <c r="E5651" t="inlineStr">
        <is>
          <t>ESSUNGA</t>
        </is>
      </c>
      <c r="G5651" t="n">
        <v>2.2</v>
      </c>
      <c r="H5651" t="n">
        <v>0</v>
      </c>
      <c r="I5651" t="n">
        <v>0</v>
      </c>
      <c r="J5651" t="n">
        <v>0</v>
      </c>
      <c r="K5651" t="n">
        <v>0</v>
      </c>
      <c r="L5651" t="n">
        <v>0</v>
      </c>
      <c r="M5651" t="n">
        <v>0</v>
      </c>
      <c r="N5651" t="n">
        <v>0</v>
      </c>
      <c r="O5651" t="n">
        <v>0</v>
      </c>
      <c r="P5651" t="n">
        <v>0</v>
      </c>
      <c r="Q5651" t="n">
        <v>0</v>
      </c>
      <c r="R5651" s="2" t="inlineStr"/>
    </row>
    <row r="5652" ht="15" customHeight="1">
      <c r="A5652" t="inlineStr">
        <is>
          <t>A 23326-2022</t>
        </is>
      </c>
      <c r="B5652" s="1" t="n">
        <v>44720.50216435185</v>
      </c>
      <c r="C5652" s="1" t="n">
        <v>45952</v>
      </c>
      <c r="D5652" t="inlineStr">
        <is>
          <t>VÄSTRA GÖTALANDS LÄN</t>
        </is>
      </c>
      <c r="E5652" t="inlineStr">
        <is>
          <t>MARK</t>
        </is>
      </c>
      <c r="G5652" t="n">
        <v>1.7</v>
      </c>
      <c r="H5652" t="n">
        <v>0</v>
      </c>
      <c r="I5652" t="n">
        <v>0</v>
      </c>
      <c r="J5652" t="n">
        <v>0</v>
      </c>
      <c r="K5652" t="n">
        <v>0</v>
      </c>
      <c r="L5652" t="n">
        <v>0</v>
      </c>
      <c r="M5652" t="n">
        <v>0</v>
      </c>
      <c r="N5652" t="n">
        <v>0</v>
      </c>
      <c r="O5652" t="n">
        <v>0</v>
      </c>
      <c r="P5652" t="n">
        <v>0</v>
      </c>
      <c r="Q5652" t="n">
        <v>0</v>
      </c>
      <c r="R5652" s="2" t="inlineStr"/>
    </row>
    <row r="5653" ht="15" customHeight="1">
      <c r="A5653" t="inlineStr">
        <is>
          <t>A 2446-2022</t>
        </is>
      </c>
      <c r="B5653" s="1" t="n">
        <v>44579.571875</v>
      </c>
      <c r="C5653" s="1" t="n">
        <v>45952</v>
      </c>
      <c r="D5653" t="inlineStr">
        <is>
          <t>VÄSTRA GÖTALANDS LÄN</t>
        </is>
      </c>
      <c r="E5653" t="inlineStr">
        <is>
          <t>MARK</t>
        </is>
      </c>
      <c r="F5653" t="inlineStr">
        <is>
          <t>Kommuner</t>
        </is>
      </c>
      <c r="G5653" t="n">
        <v>5.9</v>
      </c>
      <c r="H5653" t="n">
        <v>0</v>
      </c>
      <c r="I5653" t="n">
        <v>0</v>
      </c>
      <c r="J5653" t="n">
        <v>0</v>
      </c>
      <c r="K5653" t="n">
        <v>0</v>
      </c>
      <c r="L5653" t="n">
        <v>0</v>
      </c>
      <c r="M5653" t="n">
        <v>0</v>
      </c>
      <c r="N5653" t="n">
        <v>0</v>
      </c>
      <c r="O5653" t="n">
        <v>0</v>
      </c>
      <c r="P5653" t="n">
        <v>0</v>
      </c>
      <c r="Q5653" t="n">
        <v>0</v>
      </c>
      <c r="R5653" s="2" t="inlineStr"/>
    </row>
    <row r="5654" ht="15" customHeight="1">
      <c r="A5654" t="inlineStr">
        <is>
          <t>A 18186-2024</t>
        </is>
      </c>
      <c r="B5654" s="1" t="n">
        <v>45420.65344907407</v>
      </c>
      <c r="C5654" s="1" t="n">
        <v>45952</v>
      </c>
      <c r="D5654" t="inlineStr">
        <is>
          <t>VÄSTRA GÖTALANDS LÄN</t>
        </is>
      </c>
      <c r="E5654" t="inlineStr">
        <is>
          <t>FÄRGELANDA</t>
        </is>
      </c>
      <c r="G5654" t="n">
        <v>1.3</v>
      </c>
      <c r="H5654" t="n">
        <v>0</v>
      </c>
      <c r="I5654" t="n">
        <v>0</v>
      </c>
      <c r="J5654" t="n">
        <v>0</v>
      </c>
      <c r="K5654" t="n">
        <v>0</v>
      </c>
      <c r="L5654" t="n">
        <v>0</v>
      </c>
      <c r="M5654" t="n">
        <v>0</v>
      </c>
      <c r="N5654" t="n">
        <v>0</v>
      </c>
      <c r="O5654" t="n">
        <v>0</v>
      </c>
      <c r="P5654" t="n">
        <v>0</v>
      </c>
      <c r="Q5654" t="n">
        <v>0</v>
      </c>
      <c r="R5654" s="2" t="inlineStr"/>
    </row>
    <row r="5655" ht="15" customHeight="1">
      <c r="A5655" t="inlineStr">
        <is>
          <t>A 18248-2024</t>
        </is>
      </c>
      <c r="B5655" s="1" t="n">
        <v>45421.43105324074</v>
      </c>
      <c r="C5655" s="1" t="n">
        <v>45952</v>
      </c>
      <c r="D5655" t="inlineStr">
        <is>
          <t>VÄSTRA GÖTALANDS LÄN</t>
        </is>
      </c>
      <c r="E5655" t="inlineStr">
        <is>
          <t>BORÅS</t>
        </is>
      </c>
      <c r="G5655" t="n">
        <v>2.3</v>
      </c>
      <c r="H5655" t="n">
        <v>0</v>
      </c>
      <c r="I5655" t="n">
        <v>0</v>
      </c>
      <c r="J5655" t="n">
        <v>0</v>
      </c>
      <c r="K5655" t="n">
        <v>0</v>
      </c>
      <c r="L5655" t="n">
        <v>0</v>
      </c>
      <c r="M5655" t="n">
        <v>0</v>
      </c>
      <c r="N5655" t="n">
        <v>0</v>
      </c>
      <c r="O5655" t="n">
        <v>0</v>
      </c>
      <c r="P5655" t="n">
        <v>0</v>
      </c>
      <c r="Q5655" t="n">
        <v>0</v>
      </c>
      <c r="R5655" s="2" t="inlineStr"/>
    </row>
    <row r="5656" ht="15" customHeight="1">
      <c r="A5656" t="inlineStr">
        <is>
          <t>A 57955-2024</t>
        </is>
      </c>
      <c r="B5656" s="1" t="n">
        <v>45631.56939814815</v>
      </c>
      <c r="C5656" s="1" t="n">
        <v>45952</v>
      </c>
      <c r="D5656" t="inlineStr">
        <is>
          <t>VÄSTRA GÖTALANDS LÄN</t>
        </is>
      </c>
      <c r="E5656" t="inlineStr">
        <is>
          <t>TJÖRN</t>
        </is>
      </c>
      <c r="G5656" t="n">
        <v>0.9</v>
      </c>
      <c r="H5656" t="n">
        <v>0</v>
      </c>
      <c r="I5656" t="n">
        <v>0</v>
      </c>
      <c r="J5656" t="n">
        <v>0</v>
      </c>
      <c r="K5656" t="n">
        <v>0</v>
      </c>
      <c r="L5656" t="n">
        <v>0</v>
      </c>
      <c r="M5656" t="n">
        <v>0</v>
      </c>
      <c r="N5656" t="n">
        <v>0</v>
      </c>
      <c r="O5656" t="n">
        <v>0</v>
      </c>
      <c r="P5656" t="n">
        <v>0</v>
      </c>
      <c r="Q5656" t="n">
        <v>0</v>
      </c>
      <c r="R5656" s="2" t="inlineStr"/>
    </row>
    <row r="5657" ht="15" customHeight="1">
      <c r="A5657" t="inlineStr">
        <is>
          <t>A 18290-2024</t>
        </is>
      </c>
      <c r="B5657" s="1" t="n">
        <v>45422.39239583333</v>
      </c>
      <c r="C5657" s="1" t="n">
        <v>45952</v>
      </c>
      <c r="D5657" t="inlineStr">
        <is>
          <t>VÄSTRA GÖTALANDS LÄN</t>
        </is>
      </c>
      <c r="E5657" t="inlineStr">
        <is>
          <t>BENGTSFORS</t>
        </is>
      </c>
      <c r="G5657" t="n">
        <v>2.8</v>
      </c>
      <c r="H5657" t="n">
        <v>0</v>
      </c>
      <c r="I5657" t="n">
        <v>0</v>
      </c>
      <c r="J5657" t="n">
        <v>0</v>
      </c>
      <c r="K5657" t="n">
        <v>0</v>
      </c>
      <c r="L5657" t="n">
        <v>0</v>
      </c>
      <c r="M5657" t="n">
        <v>0</v>
      </c>
      <c r="N5657" t="n">
        <v>0</v>
      </c>
      <c r="O5657" t="n">
        <v>0</v>
      </c>
      <c r="P5657" t="n">
        <v>0</v>
      </c>
      <c r="Q5657" t="n">
        <v>0</v>
      </c>
      <c r="R5657" s="2" t="inlineStr"/>
    </row>
    <row r="5658" ht="15" customHeight="1">
      <c r="A5658" t="inlineStr">
        <is>
          <t>A 25223-2023</t>
        </is>
      </c>
      <c r="B5658" s="1" t="n">
        <v>45086</v>
      </c>
      <c r="C5658" s="1" t="n">
        <v>45952</v>
      </c>
      <c r="D5658" t="inlineStr">
        <is>
          <t>VÄSTRA GÖTALANDS LÄN</t>
        </is>
      </c>
      <c r="E5658" t="inlineStr">
        <is>
          <t>FÄRGELANDA</t>
        </is>
      </c>
      <c r="G5658" t="n">
        <v>3.7</v>
      </c>
      <c r="H5658" t="n">
        <v>0</v>
      </c>
      <c r="I5658" t="n">
        <v>0</v>
      </c>
      <c r="J5658" t="n">
        <v>0</v>
      </c>
      <c r="K5658" t="n">
        <v>0</v>
      </c>
      <c r="L5658" t="n">
        <v>0</v>
      </c>
      <c r="M5658" t="n">
        <v>0</v>
      </c>
      <c r="N5658" t="n">
        <v>0</v>
      </c>
      <c r="O5658" t="n">
        <v>0</v>
      </c>
      <c r="P5658" t="n">
        <v>0</v>
      </c>
      <c r="Q5658" t="n">
        <v>0</v>
      </c>
      <c r="R5658" s="2" t="inlineStr"/>
    </row>
    <row r="5659" ht="15" customHeight="1">
      <c r="A5659" t="inlineStr">
        <is>
          <t>A 63169-2023</t>
        </is>
      </c>
      <c r="B5659" s="1" t="n">
        <v>45273.56533564815</v>
      </c>
      <c r="C5659" s="1" t="n">
        <v>45952</v>
      </c>
      <c r="D5659" t="inlineStr">
        <is>
          <t>VÄSTRA GÖTALANDS LÄN</t>
        </is>
      </c>
      <c r="E5659" t="inlineStr">
        <is>
          <t>BORÅS</t>
        </is>
      </c>
      <c r="G5659" t="n">
        <v>2.5</v>
      </c>
      <c r="H5659" t="n">
        <v>0</v>
      </c>
      <c r="I5659" t="n">
        <v>0</v>
      </c>
      <c r="J5659" t="n">
        <v>0</v>
      </c>
      <c r="K5659" t="n">
        <v>0</v>
      </c>
      <c r="L5659" t="n">
        <v>0</v>
      </c>
      <c r="M5659" t="n">
        <v>0</v>
      </c>
      <c r="N5659" t="n">
        <v>0</v>
      </c>
      <c r="O5659" t="n">
        <v>0</v>
      </c>
      <c r="P5659" t="n">
        <v>0</v>
      </c>
      <c r="Q5659" t="n">
        <v>0</v>
      </c>
      <c r="R5659" s="2" t="inlineStr"/>
    </row>
    <row r="5660" ht="15" customHeight="1">
      <c r="A5660" t="inlineStr">
        <is>
          <t>A 62782-2023</t>
        </is>
      </c>
      <c r="B5660" s="1" t="n">
        <v>45268</v>
      </c>
      <c r="C5660" s="1" t="n">
        <v>45952</v>
      </c>
      <c r="D5660" t="inlineStr">
        <is>
          <t>VÄSTRA GÖTALANDS LÄN</t>
        </is>
      </c>
      <c r="E5660" t="inlineStr">
        <is>
          <t>TÖREBODA</t>
        </is>
      </c>
      <c r="G5660" t="n">
        <v>1</v>
      </c>
      <c r="H5660" t="n">
        <v>0</v>
      </c>
      <c r="I5660" t="n">
        <v>0</v>
      </c>
      <c r="J5660" t="n">
        <v>0</v>
      </c>
      <c r="K5660" t="n">
        <v>0</v>
      </c>
      <c r="L5660" t="n">
        <v>0</v>
      </c>
      <c r="M5660" t="n">
        <v>0</v>
      </c>
      <c r="N5660" t="n">
        <v>0</v>
      </c>
      <c r="O5660" t="n">
        <v>0</v>
      </c>
      <c r="P5660" t="n">
        <v>0</v>
      </c>
      <c r="Q5660" t="n">
        <v>0</v>
      </c>
      <c r="R5660" s="2" t="inlineStr"/>
    </row>
    <row r="5661" ht="15" customHeight="1">
      <c r="A5661" t="inlineStr">
        <is>
          <t>A 62804-2023</t>
        </is>
      </c>
      <c r="B5661" s="1" t="n">
        <v>45271</v>
      </c>
      <c r="C5661" s="1" t="n">
        <v>45952</v>
      </c>
      <c r="D5661" t="inlineStr">
        <is>
          <t>VÄSTRA GÖTALANDS LÄN</t>
        </is>
      </c>
      <c r="E5661" t="inlineStr">
        <is>
          <t>MÖLNDAL</t>
        </is>
      </c>
      <c r="G5661" t="n">
        <v>0.6</v>
      </c>
      <c r="H5661" t="n">
        <v>0</v>
      </c>
      <c r="I5661" t="n">
        <v>0</v>
      </c>
      <c r="J5661" t="n">
        <v>0</v>
      </c>
      <c r="K5661" t="n">
        <v>0</v>
      </c>
      <c r="L5661" t="n">
        <v>0</v>
      </c>
      <c r="M5661" t="n">
        <v>0</v>
      </c>
      <c r="N5661" t="n">
        <v>0</v>
      </c>
      <c r="O5661" t="n">
        <v>0</v>
      </c>
      <c r="P5661" t="n">
        <v>0</v>
      </c>
      <c r="Q5661" t="n">
        <v>0</v>
      </c>
      <c r="R5661" s="2" t="inlineStr"/>
    </row>
    <row r="5662" ht="15" customHeight="1">
      <c r="A5662" t="inlineStr">
        <is>
          <t>A 40065-2021</t>
        </is>
      </c>
      <c r="B5662" s="1" t="n">
        <v>44418</v>
      </c>
      <c r="C5662" s="1" t="n">
        <v>45952</v>
      </c>
      <c r="D5662" t="inlineStr">
        <is>
          <t>VÄSTRA GÖTALANDS LÄN</t>
        </is>
      </c>
      <c r="E5662" t="inlineStr">
        <is>
          <t>FALKÖPING</t>
        </is>
      </c>
      <c r="G5662" t="n">
        <v>1</v>
      </c>
      <c r="H5662" t="n">
        <v>0</v>
      </c>
      <c r="I5662" t="n">
        <v>0</v>
      </c>
      <c r="J5662" t="n">
        <v>0</v>
      </c>
      <c r="K5662" t="n">
        <v>0</v>
      </c>
      <c r="L5662" t="n">
        <v>0</v>
      </c>
      <c r="M5662" t="n">
        <v>0</v>
      </c>
      <c r="N5662" t="n">
        <v>0</v>
      </c>
      <c r="O5662" t="n">
        <v>0</v>
      </c>
      <c r="P5662" t="n">
        <v>0</v>
      </c>
      <c r="Q5662" t="n">
        <v>0</v>
      </c>
      <c r="R5662" s="2" t="inlineStr"/>
    </row>
    <row r="5663" ht="15" customHeight="1">
      <c r="A5663" t="inlineStr">
        <is>
          <t>A 40161-2021</t>
        </is>
      </c>
      <c r="B5663" s="1" t="n">
        <v>44418</v>
      </c>
      <c r="C5663" s="1" t="n">
        <v>45952</v>
      </c>
      <c r="D5663" t="inlineStr">
        <is>
          <t>VÄSTRA GÖTALANDS LÄN</t>
        </is>
      </c>
      <c r="E5663" t="inlineStr">
        <is>
          <t>ÅMÅL</t>
        </is>
      </c>
      <c r="F5663" t="inlineStr">
        <is>
          <t>Bergvik skog väst AB</t>
        </is>
      </c>
      <c r="G5663" t="n">
        <v>1.5</v>
      </c>
      <c r="H5663" t="n">
        <v>0</v>
      </c>
      <c r="I5663" t="n">
        <v>0</v>
      </c>
      <c r="J5663" t="n">
        <v>0</v>
      </c>
      <c r="K5663" t="n">
        <v>0</v>
      </c>
      <c r="L5663" t="n">
        <v>0</v>
      </c>
      <c r="M5663" t="n">
        <v>0</v>
      </c>
      <c r="N5663" t="n">
        <v>0</v>
      </c>
      <c r="O5663" t="n">
        <v>0</v>
      </c>
      <c r="P5663" t="n">
        <v>0</v>
      </c>
      <c r="Q5663" t="n">
        <v>0</v>
      </c>
      <c r="R5663" s="2" t="inlineStr"/>
    </row>
    <row r="5664" ht="15" customHeight="1">
      <c r="A5664" t="inlineStr">
        <is>
          <t>A 46966-2025</t>
        </is>
      </c>
      <c r="B5664" s="1" t="n">
        <v>45929.49510416666</v>
      </c>
      <c r="C5664" s="1" t="n">
        <v>45952</v>
      </c>
      <c r="D5664" t="inlineStr">
        <is>
          <t>VÄSTRA GÖTALANDS LÄN</t>
        </is>
      </c>
      <c r="E5664" t="inlineStr">
        <is>
          <t>BORÅS</t>
        </is>
      </c>
      <c r="G5664" t="n">
        <v>1.8</v>
      </c>
      <c r="H5664" t="n">
        <v>0</v>
      </c>
      <c r="I5664" t="n">
        <v>0</v>
      </c>
      <c r="J5664" t="n">
        <v>0</v>
      </c>
      <c r="K5664" t="n">
        <v>0</v>
      </c>
      <c r="L5664" t="n">
        <v>0</v>
      </c>
      <c r="M5664" t="n">
        <v>0</v>
      </c>
      <c r="N5664" t="n">
        <v>0</v>
      </c>
      <c r="O5664" t="n">
        <v>0</v>
      </c>
      <c r="P5664" t="n">
        <v>0</v>
      </c>
      <c r="Q5664" t="n">
        <v>0</v>
      </c>
      <c r="R5664" s="2" t="inlineStr"/>
    </row>
    <row r="5665" ht="15" customHeight="1">
      <c r="A5665" t="inlineStr">
        <is>
          <t>A 35034-2022</t>
        </is>
      </c>
      <c r="B5665" s="1" t="n">
        <v>44797</v>
      </c>
      <c r="C5665" s="1" t="n">
        <v>45952</v>
      </c>
      <c r="D5665" t="inlineStr">
        <is>
          <t>VÄSTRA GÖTALANDS LÄN</t>
        </is>
      </c>
      <c r="E5665" t="inlineStr">
        <is>
          <t>SVENLJUNGA</t>
        </is>
      </c>
      <c r="G5665" t="n">
        <v>1.4</v>
      </c>
      <c r="H5665" t="n">
        <v>0</v>
      </c>
      <c r="I5665" t="n">
        <v>0</v>
      </c>
      <c r="J5665" t="n">
        <v>0</v>
      </c>
      <c r="K5665" t="n">
        <v>0</v>
      </c>
      <c r="L5665" t="n">
        <v>0</v>
      </c>
      <c r="M5665" t="n">
        <v>0</v>
      </c>
      <c r="N5665" t="n">
        <v>0</v>
      </c>
      <c r="O5665" t="n">
        <v>0</v>
      </c>
      <c r="P5665" t="n">
        <v>0</v>
      </c>
      <c r="Q5665" t="n">
        <v>0</v>
      </c>
      <c r="R5665" s="2" t="inlineStr"/>
    </row>
    <row r="5666" ht="15" customHeight="1">
      <c r="A5666" t="inlineStr">
        <is>
          <t>A 45583-2023</t>
        </is>
      </c>
      <c r="B5666" s="1" t="n">
        <v>45194.61690972222</v>
      </c>
      <c r="C5666" s="1" t="n">
        <v>45952</v>
      </c>
      <c r="D5666" t="inlineStr">
        <is>
          <t>VÄSTRA GÖTALANDS LÄN</t>
        </is>
      </c>
      <c r="E5666" t="inlineStr">
        <is>
          <t>MARK</t>
        </is>
      </c>
      <c r="G5666" t="n">
        <v>3.2</v>
      </c>
      <c r="H5666" t="n">
        <v>0</v>
      </c>
      <c r="I5666" t="n">
        <v>0</v>
      </c>
      <c r="J5666" t="n">
        <v>0</v>
      </c>
      <c r="K5666" t="n">
        <v>0</v>
      </c>
      <c r="L5666" t="n">
        <v>0</v>
      </c>
      <c r="M5666" t="n">
        <v>0</v>
      </c>
      <c r="N5666" t="n">
        <v>0</v>
      </c>
      <c r="O5666" t="n">
        <v>0</v>
      </c>
      <c r="P5666" t="n">
        <v>0</v>
      </c>
      <c r="Q5666" t="n">
        <v>0</v>
      </c>
      <c r="R5666" s="2" t="inlineStr"/>
    </row>
    <row r="5667" ht="15" customHeight="1">
      <c r="A5667" t="inlineStr">
        <is>
          <t>A 47530-2024</t>
        </is>
      </c>
      <c r="B5667" s="1" t="n">
        <v>45587.64105324074</v>
      </c>
      <c r="C5667" s="1" t="n">
        <v>45952</v>
      </c>
      <c r="D5667" t="inlineStr">
        <is>
          <t>VÄSTRA GÖTALANDS LÄN</t>
        </is>
      </c>
      <c r="E5667" t="inlineStr">
        <is>
          <t>FÄRGELANDA</t>
        </is>
      </c>
      <c r="G5667" t="n">
        <v>3.7</v>
      </c>
      <c r="H5667" t="n">
        <v>0</v>
      </c>
      <c r="I5667" t="n">
        <v>0</v>
      </c>
      <c r="J5667" t="n">
        <v>0</v>
      </c>
      <c r="K5667" t="n">
        <v>0</v>
      </c>
      <c r="L5667" t="n">
        <v>0</v>
      </c>
      <c r="M5667" t="n">
        <v>0</v>
      </c>
      <c r="N5667" t="n">
        <v>0</v>
      </c>
      <c r="O5667" t="n">
        <v>0</v>
      </c>
      <c r="P5667" t="n">
        <v>0</v>
      </c>
      <c r="Q5667" t="n">
        <v>0</v>
      </c>
      <c r="R5667" s="2" t="inlineStr"/>
    </row>
    <row r="5668" ht="15" customHeight="1">
      <c r="A5668" t="inlineStr">
        <is>
          <t>A 5983-2023</t>
        </is>
      </c>
      <c r="B5668" s="1" t="n">
        <v>44964</v>
      </c>
      <c r="C5668" s="1" t="n">
        <v>45952</v>
      </c>
      <c r="D5668" t="inlineStr">
        <is>
          <t>VÄSTRA GÖTALANDS LÄN</t>
        </is>
      </c>
      <c r="E5668" t="inlineStr">
        <is>
          <t>SVENLJUNGA</t>
        </is>
      </c>
      <c r="G5668" t="n">
        <v>1</v>
      </c>
      <c r="H5668" t="n">
        <v>0</v>
      </c>
      <c r="I5668" t="n">
        <v>0</v>
      </c>
      <c r="J5668" t="n">
        <v>0</v>
      </c>
      <c r="K5668" t="n">
        <v>0</v>
      </c>
      <c r="L5668" t="n">
        <v>0</v>
      </c>
      <c r="M5668" t="n">
        <v>0</v>
      </c>
      <c r="N5668" t="n">
        <v>0</v>
      </c>
      <c r="O5668" t="n">
        <v>0</v>
      </c>
      <c r="P5668" t="n">
        <v>0</v>
      </c>
      <c r="Q5668" t="n">
        <v>0</v>
      </c>
      <c r="R5668" s="2" t="inlineStr"/>
    </row>
    <row r="5669" ht="15" customHeight="1">
      <c r="A5669" t="inlineStr">
        <is>
          <t>A 51553-2023</t>
        </is>
      </c>
      <c r="B5669" s="1" t="n">
        <v>45222</v>
      </c>
      <c r="C5669" s="1" t="n">
        <v>45952</v>
      </c>
      <c r="D5669" t="inlineStr">
        <is>
          <t>VÄSTRA GÖTALANDS LÄN</t>
        </is>
      </c>
      <c r="E5669" t="inlineStr">
        <is>
          <t>MARK</t>
        </is>
      </c>
      <c r="G5669" t="n">
        <v>0.6</v>
      </c>
      <c r="H5669" t="n">
        <v>0</v>
      </c>
      <c r="I5669" t="n">
        <v>0</v>
      </c>
      <c r="J5669" t="n">
        <v>0</v>
      </c>
      <c r="K5669" t="n">
        <v>0</v>
      </c>
      <c r="L5669" t="n">
        <v>0</v>
      </c>
      <c r="M5669" t="n">
        <v>0</v>
      </c>
      <c r="N5669" t="n">
        <v>0</v>
      </c>
      <c r="O5669" t="n">
        <v>0</v>
      </c>
      <c r="P5669" t="n">
        <v>0</v>
      </c>
      <c r="Q5669" t="n">
        <v>0</v>
      </c>
      <c r="R5669" s="2" t="inlineStr"/>
    </row>
    <row r="5670" ht="15" customHeight="1">
      <c r="A5670" t="inlineStr">
        <is>
          <t>A 59985-2022</t>
        </is>
      </c>
      <c r="B5670" s="1" t="n">
        <v>44909.4491087963</v>
      </c>
      <c r="C5670" s="1" t="n">
        <v>45952</v>
      </c>
      <c r="D5670" t="inlineStr">
        <is>
          <t>VÄSTRA GÖTALANDS LÄN</t>
        </is>
      </c>
      <c r="E5670" t="inlineStr">
        <is>
          <t>ULRICEHAMN</t>
        </is>
      </c>
      <c r="G5670" t="n">
        <v>3.3</v>
      </c>
      <c r="H5670" t="n">
        <v>0</v>
      </c>
      <c r="I5670" t="n">
        <v>0</v>
      </c>
      <c r="J5670" t="n">
        <v>0</v>
      </c>
      <c r="K5670" t="n">
        <v>0</v>
      </c>
      <c r="L5670" t="n">
        <v>0</v>
      </c>
      <c r="M5670" t="n">
        <v>0</v>
      </c>
      <c r="N5670" t="n">
        <v>0</v>
      </c>
      <c r="O5670" t="n">
        <v>0</v>
      </c>
      <c r="P5670" t="n">
        <v>0</v>
      </c>
      <c r="Q5670" t="n">
        <v>0</v>
      </c>
      <c r="R5670" s="2" t="inlineStr"/>
    </row>
    <row r="5671" ht="15" customHeight="1">
      <c r="A5671" t="inlineStr">
        <is>
          <t>A 50372-2023</t>
        </is>
      </c>
      <c r="B5671" s="1" t="n">
        <v>45209</v>
      </c>
      <c r="C5671" s="1" t="n">
        <v>45952</v>
      </c>
      <c r="D5671" t="inlineStr">
        <is>
          <t>VÄSTRA GÖTALANDS LÄN</t>
        </is>
      </c>
      <c r="E5671" t="inlineStr">
        <is>
          <t>TANUM</t>
        </is>
      </c>
      <c r="G5671" t="n">
        <v>2.5</v>
      </c>
      <c r="H5671" t="n">
        <v>0</v>
      </c>
      <c r="I5671" t="n">
        <v>0</v>
      </c>
      <c r="J5671" t="n">
        <v>0</v>
      </c>
      <c r="K5671" t="n">
        <v>0</v>
      </c>
      <c r="L5671" t="n">
        <v>0</v>
      </c>
      <c r="M5671" t="n">
        <v>0</v>
      </c>
      <c r="N5671" t="n">
        <v>0</v>
      </c>
      <c r="O5671" t="n">
        <v>0</v>
      </c>
      <c r="P5671" t="n">
        <v>0</v>
      </c>
      <c r="Q5671" t="n">
        <v>0</v>
      </c>
      <c r="R5671" s="2" t="inlineStr"/>
    </row>
    <row r="5672" ht="15" customHeight="1">
      <c r="A5672" t="inlineStr">
        <is>
          <t>A 50383-2023</t>
        </is>
      </c>
      <c r="B5672" s="1" t="n">
        <v>45210</v>
      </c>
      <c r="C5672" s="1" t="n">
        <v>45952</v>
      </c>
      <c r="D5672" t="inlineStr">
        <is>
          <t>VÄSTRA GÖTALANDS LÄN</t>
        </is>
      </c>
      <c r="E5672" t="inlineStr">
        <is>
          <t>TANUM</t>
        </is>
      </c>
      <c r="G5672" t="n">
        <v>0.5</v>
      </c>
      <c r="H5672" t="n">
        <v>0</v>
      </c>
      <c r="I5672" t="n">
        <v>0</v>
      </c>
      <c r="J5672" t="n">
        <v>0</v>
      </c>
      <c r="K5672" t="n">
        <v>0</v>
      </c>
      <c r="L5672" t="n">
        <v>0</v>
      </c>
      <c r="M5672" t="n">
        <v>0</v>
      </c>
      <c r="N5672" t="n">
        <v>0</v>
      </c>
      <c r="O5672" t="n">
        <v>0</v>
      </c>
      <c r="P5672" t="n">
        <v>0</v>
      </c>
      <c r="Q5672" t="n">
        <v>0</v>
      </c>
      <c r="R5672" s="2" t="inlineStr"/>
    </row>
    <row r="5673" ht="15" customHeight="1">
      <c r="A5673" t="inlineStr">
        <is>
          <t>A 12342-2021</t>
        </is>
      </c>
      <c r="B5673" s="1" t="n">
        <v>44267.43596064814</v>
      </c>
      <c r="C5673" s="1" t="n">
        <v>45952</v>
      </c>
      <c r="D5673" t="inlineStr">
        <is>
          <t>VÄSTRA GÖTALANDS LÄN</t>
        </is>
      </c>
      <c r="E5673" t="inlineStr">
        <is>
          <t>VÅRGÅRDA</t>
        </is>
      </c>
      <c r="G5673" t="n">
        <v>1.6</v>
      </c>
      <c r="H5673" t="n">
        <v>0</v>
      </c>
      <c r="I5673" t="n">
        <v>0</v>
      </c>
      <c r="J5673" t="n">
        <v>0</v>
      </c>
      <c r="K5673" t="n">
        <v>0</v>
      </c>
      <c r="L5673" t="n">
        <v>0</v>
      </c>
      <c r="M5673" t="n">
        <v>0</v>
      </c>
      <c r="N5673" t="n">
        <v>0</v>
      </c>
      <c r="O5673" t="n">
        <v>0</v>
      </c>
      <c r="P5673" t="n">
        <v>0</v>
      </c>
      <c r="Q5673" t="n">
        <v>0</v>
      </c>
      <c r="R5673" s="2" t="inlineStr"/>
    </row>
    <row r="5674" ht="15" customHeight="1">
      <c r="A5674" t="inlineStr">
        <is>
          <t>A 13325-2022</t>
        </is>
      </c>
      <c r="B5674" s="1" t="n">
        <v>44645.34487268519</v>
      </c>
      <c r="C5674" s="1" t="n">
        <v>45952</v>
      </c>
      <c r="D5674" t="inlineStr">
        <is>
          <t>VÄSTRA GÖTALANDS LÄN</t>
        </is>
      </c>
      <c r="E5674" t="inlineStr">
        <is>
          <t>STRÖMSTAD</t>
        </is>
      </c>
      <c r="G5674" t="n">
        <v>3.7</v>
      </c>
      <c r="H5674" t="n">
        <v>0</v>
      </c>
      <c r="I5674" t="n">
        <v>0</v>
      </c>
      <c r="J5674" t="n">
        <v>0</v>
      </c>
      <c r="K5674" t="n">
        <v>0</v>
      </c>
      <c r="L5674" t="n">
        <v>0</v>
      </c>
      <c r="M5674" t="n">
        <v>0</v>
      </c>
      <c r="N5674" t="n">
        <v>0</v>
      </c>
      <c r="O5674" t="n">
        <v>0</v>
      </c>
      <c r="P5674" t="n">
        <v>0</v>
      </c>
      <c r="Q5674" t="n">
        <v>0</v>
      </c>
      <c r="R5674" s="2" t="inlineStr"/>
    </row>
    <row r="5675" ht="15" customHeight="1">
      <c r="A5675" t="inlineStr">
        <is>
          <t>A 11119-2024</t>
        </is>
      </c>
      <c r="B5675" s="1" t="n">
        <v>45371.38420138889</v>
      </c>
      <c r="C5675" s="1" t="n">
        <v>45952</v>
      </c>
      <c r="D5675" t="inlineStr">
        <is>
          <t>VÄSTRA GÖTALANDS LÄN</t>
        </is>
      </c>
      <c r="E5675" t="inlineStr">
        <is>
          <t>ALINGSÅS</t>
        </is>
      </c>
      <c r="G5675" t="n">
        <v>1.7</v>
      </c>
      <c r="H5675" t="n">
        <v>0</v>
      </c>
      <c r="I5675" t="n">
        <v>0</v>
      </c>
      <c r="J5675" t="n">
        <v>0</v>
      </c>
      <c r="K5675" t="n">
        <v>0</v>
      </c>
      <c r="L5675" t="n">
        <v>0</v>
      </c>
      <c r="M5675" t="n">
        <v>0</v>
      </c>
      <c r="N5675" t="n">
        <v>0</v>
      </c>
      <c r="O5675" t="n">
        <v>0</v>
      </c>
      <c r="P5675" t="n">
        <v>0</v>
      </c>
      <c r="Q5675" t="n">
        <v>0</v>
      </c>
      <c r="R5675" s="2" t="inlineStr"/>
    </row>
    <row r="5676" ht="15" customHeight="1">
      <c r="A5676" t="inlineStr">
        <is>
          <t>A 1555-2022</t>
        </is>
      </c>
      <c r="B5676" s="1" t="n">
        <v>44573.62219907407</v>
      </c>
      <c r="C5676" s="1" t="n">
        <v>45952</v>
      </c>
      <c r="D5676" t="inlineStr">
        <is>
          <t>VÄSTRA GÖTALANDS LÄN</t>
        </is>
      </c>
      <c r="E5676" t="inlineStr">
        <is>
          <t>TANUM</t>
        </is>
      </c>
      <c r="G5676" t="n">
        <v>2.5</v>
      </c>
      <c r="H5676" t="n">
        <v>0</v>
      </c>
      <c r="I5676" t="n">
        <v>0</v>
      </c>
      <c r="J5676" t="n">
        <v>0</v>
      </c>
      <c r="K5676" t="n">
        <v>0</v>
      </c>
      <c r="L5676" t="n">
        <v>0</v>
      </c>
      <c r="M5676" t="n">
        <v>0</v>
      </c>
      <c r="N5676" t="n">
        <v>0</v>
      </c>
      <c r="O5676" t="n">
        <v>0</v>
      </c>
      <c r="P5676" t="n">
        <v>0</v>
      </c>
      <c r="Q5676" t="n">
        <v>0</v>
      </c>
      <c r="R5676" s="2" t="inlineStr"/>
    </row>
    <row r="5677" ht="15" customHeight="1">
      <c r="A5677" t="inlineStr">
        <is>
          <t>A 5437-2022</t>
        </is>
      </c>
      <c r="B5677" s="1" t="n">
        <v>44595.42708333334</v>
      </c>
      <c r="C5677" s="1" t="n">
        <v>45952</v>
      </c>
      <c r="D5677" t="inlineStr">
        <is>
          <t>VÄSTRA GÖTALANDS LÄN</t>
        </is>
      </c>
      <c r="E5677" t="inlineStr">
        <is>
          <t>FÄRGELANDA</t>
        </is>
      </c>
      <c r="G5677" t="n">
        <v>1</v>
      </c>
      <c r="H5677" t="n">
        <v>0</v>
      </c>
      <c r="I5677" t="n">
        <v>0</v>
      </c>
      <c r="J5677" t="n">
        <v>0</v>
      </c>
      <c r="K5677" t="n">
        <v>0</v>
      </c>
      <c r="L5677" t="n">
        <v>0</v>
      </c>
      <c r="M5677" t="n">
        <v>0</v>
      </c>
      <c r="N5677" t="n">
        <v>0</v>
      </c>
      <c r="O5677" t="n">
        <v>0</v>
      </c>
      <c r="P5677" t="n">
        <v>0</v>
      </c>
      <c r="Q5677" t="n">
        <v>0</v>
      </c>
      <c r="R5677" s="2" t="inlineStr"/>
    </row>
    <row r="5678" ht="15" customHeight="1">
      <c r="A5678" t="inlineStr">
        <is>
          <t>A 61252-2024</t>
        </is>
      </c>
      <c r="B5678" s="1" t="n">
        <v>45645.69790509259</v>
      </c>
      <c r="C5678" s="1" t="n">
        <v>45952</v>
      </c>
      <c r="D5678" t="inlineStr">
        <is>
          <t>VÄSTRA GÖTALANDS LÄN</t>
        </is>
      </c>
      <c r="E5678" t="inlineStr">
        <is>
          <t>STRÖMSTAD</t>
        </is>
      </c>
      <c r="G5678" t="n">
        <v>1.1</v>
      </c>
      <c r="H5678" t="n">
        <v>0</v>
      </c>
      <c r="I5678" t="n">
        <v>0</v>
      </c>
      <c r="J5678" t="n">
        <v>0</v>
      </c>
      <c r="K5678" t="n">
        <v>0</v>
      </c>
      <c r="L5678" t="n">
        <v>0</v>
      </c>
      <c r="M5678" t="n">
        <v>0</v>
      </c>
      <c r="N5678" t="n">
        <v>0</v>
      </c>
      <c r="O5678" t="n">
        <v>0</v>
      </c>
      <c r="P5678" t="n">
        <v>0</v>
      </c>
      <c r="Q5678" t="n">
        <v>0</v>
      </c>
      <c r="R5678" s="2" t="inlineStr"/>
    </row>
    <row r="5679" ht="15" customHeight="1">
      <c r="A5679" t="inlineStr">
        <is>
          <t>A 64990-2021</t>
        </is>
      </c>
      <c r="B5679" s="1" t="n">
        <v>44514.44543981482</v>
      </c>
      <c r="C5679" s="1" t="n">
        <v>45952</v>
      </c>
      <c r="D5679" t="inlineStr">
        <is>
          <t>VÄSTRA GÖTALANDS LÄN</t>
        </is>
      </c>
      <c r="E5679" t="inlineStr">
        <is>
          <t>TANUM</t>
        </is>
      </c>
      <c r="G5679" t="n">
        <v>2.5</v>
      </c>
      <c r="H5679" t="n">
        <v>0</v>
      </c>
      <c r="I5679" t="n">
        <v>0</v>
      </c>
      <c r="J5679" t="n">
        <v>0</v>
      </c>
      <c r="K5679" t="n">
        <v>0</v>
      </c>
      <c r="L5679" t="n">
        <v>0</v>
      </c>
      <c r="M5679" t="n">
        <v>0</v>
      </c>
      <c r="N5679" t="n">
        <v>0</v>
      </c>
      <c r="O5679" t="n">
        <v>0</v>
      </c>
      <c r="P5679" t="n">
        <v>0</v>
      </c>
      <c r="Q5679" t="n">
        <v>0</v>
      </c>
      <c r="R5679" s="2" t="inlineStr"/>
    </row>
    <row r="5680" ht="15" customHeight="1">
      <c r="A5680" t="inlineStr">
        <is>
          <t>A 6598-2022</t>
        </is>
      </c>
      <c r="B5680" s="1" t="n">
        <v>44601</v>
      </c>
      <c r="C5680" s="1" t="n">
        <v>45952</v>
      </c>
      <c r="D5680" t="inlineStr">
        <is>
          <t>VÄSTRA GÖTALANDS LÄN</t>
        </is>
      </c>
      <c r="E5680" t="inlineStr">
        <is>
          <t>SKÖVDE</t>
        </is>
      </c>
      <c r="F5680" t="inlineStr">
        <is>
          <t>Kommuner</t>
        </is>
      </c>
      <c r="G5680" t="n">
        <v>0.3</v>
      </c>
      <c r="H5680" t="n">
        <v>0</v>
      </c>
      <c r="I5680" t="n">
        <v>0</v>
      </c>
      <c r="J5680" t="n">
        <v>0</v>
      </c>
      <c r="K5680" t="n">
        <v>0</v>
      </c>
      <c r="L5680" t="n">
        <v>0</v>
      </c>
      <c r="M5680" t="n">
        <v>0</v>
      </c>
      <c r="N5680" t="n">
        <v>0</v>
      </c>
      <c r="O5680" t="n">
        <v>0</v>
      </c>
      <c r="P5680" t="n">
        <v>0</v>
      </c>
      <c r="Q5680" t="n">
        <v>0</v>
      </c>
      <c r="R5680" s="2" t="inlineStr"/>
    </row>
    <row r="5681" ht="15" customHeight="1">
      <c r="A5681" t="inlineStr">
        <is>
          <t>A 25743-2024</t>
        </is>
      </c>
      <c r="B5681" s="1" t="n">
        <v>45465.42688657407</v>
      </c>
      <c r="C5681" s="1" t="n">
        <v>45952</v>
      </c>
      <c r="D5681" t="inlineStr">
        <is>
          <t>VÄSTRA GÖTALANDS LÄN</t>
        </is>
      </c>
      <c r="E5681" t="inlineStr">
        <is>
          <t>ALINGSÅS</t>
        </is>
      </c>
      <c r="G5681" t="n">
        <v>0.5</v>
      </c>
      <c r="H5681" t="n">
        <v>0</v>
      </c>
      <c r="I5681" t="n">
        <v>0</v>
      </c>
      <c r="J5681" t="n">
        <v>0</v>
      </c>
      <c r="K5681" t="n">
        <v>0</v>
      </c>
      <c r="L5681" t="n">
        <v>0</v>
      </c>
      <c r="M5681" t="n">
        <v>0</v>
      </c>
      <c r="N5681" t="n">
        <v>0</v>
      </c>
      <c r="O5681" t="n">
        <v>0</v>
      </c>
      <c r="P5681" t="n">
        <v>0</v>
      </c>
      <c r="Q5681" t="n">
        <v>0</v>
      </c>
      <c r="R5681" s="2" t="inlineStr"/>
    </row>
    <row r="5682" ht="15" customHeight="1">
      <c r="A5682" t="inlineStr">
        <is>
          <t>A 37854-2024</t>
        </is>
      </c>
      <c r="B5682" s="1" t="n">
        <v>45544.38148148148</v>
      </c>
      <c r="C5682" s="1" t="n">
        <v>45952</v>
      </c>
      <c r="D5682" t="inlineStr">
        <is>
          <t>VÄSTRA GÖTALANDS LÄN</t>
        </is>
      </c>
      <c r="E5682" t="inlineStr">
        <is>
          <t>TRANEMO</t>
        </is>
      </c>
      <c r="F5682" t="inlineStr">
        <is>
          <t>Kyrkan</t>
        </is>
      </c>
      <c r="G5682" t="n">
        <v>2.6</v>
      </c>
      <c r="H5682" t="n">
        <v>0</v>
      </c>
      <c r="I5682" t="n">
        <v>0</v>
      </c>
      <c r="J5682" t="n">
        <v>0</v>
      </c>
      <c r="K5682" t="n">
        <v>0</v>
      </c>
      <c r="L5682" t="n">
        <v>0</v>
      </c>
      <c r="M5682" t="n">
        <v>0</v>
      </c>
      <c r="N5682" t="n">
        <v>0</v>
      </c>
      <c r="O5682" t="n">
        <v>0</v>
      </c>
      <c r="P5682" t="n">
        <v>0</v>
      </c>
      <c r="Q5682" t="n">
        <v>0</v>
      </c>
      <c r="R5682" s="2" t="inlineStr"/>
    </row>
    <row r="5683" ht="15" customHeight="1">
      <c r="A5683" t="inlineStr">
        <is>
          <t>A 37907-2024</t>
        </is>
      </c>
      <c r="B5683" s="1" t="n">
        <v>45544</v>
      </c>
      <c r="C5683" s="1" t="n">
        <v>45952</v>
      </c>
      <c r="D5683" t="inlineStr">
        <is>
          <t>VÄSTRA GÖTALANDS LÄN</t>
        </is>
      </c>
      <c r="E5683" t="inlineStr">
        <is>
          <t>SVENLJUNGA</t>
        </is>
      </c>
      <c r="G5683" t="n">
        <v>2.4</v>
      </c>
      <c r="H5683" t="n">
        <v>0</v>
      </c>
      <c r="I5683" t="n">
        <v>0</v>
      </c>
      <c r="J5683" t="n">
        <v>0</v>
      </c>
      <c r="K5683" t="n">
        <v>0</v>
      </c>
      <c r="L5683" t="n">
        <v>0</v>
      </c>
      <c r="M5683" t="n">
        <v>0</v>
      </c>
      <c r="N5683" t="n">
        <v>0</v>
      </c>
      <c r="O5683" t="n">
        <v>0</v>
      </c>
      <c r="P5683" t="n">
        <v>0</v>
      </c>
      <c r="Q5683" t="n">
        <v>0</v>
      </c>
      <c r="R5683" s="2" t="inlineStr"/>
    </row>
    <row r="5684" ht="15" customHeight="1">
      <c r="A5684" t="inlineStr">
        <is>
          <t>A 6336-2022</t>
        </is>
      </c>
      <c r="B5684" s="1" t="n">
        <v>44600.57196759259</v>
      </c>
      <c r="C5684" s="1" t="n">
        <v>45952</v>
      </c>
      <c r="D5684" t="inlineStr">
        <is>
          <t>VÄSTRA GÖTALANDS LÄN</t>
        </is>
      </c>
      <c r="E5684" t="inlineStr">
        <is>
          <t>VARA</t>
        </is>
      </c>
      <c r="G5684" t="n">
        <v>2.1</v>
      </c>
      <c r="H5684" t="n">
        <v>0</v>
      </c>
      <c r="I5684" t="n">
        <v>0</v>
      </c>
      <c r="J5684" t="n">
        <v>0</v>
      </c>
      <c r="K5684" t="n">
        <v>0</v>
      </c>
      <c r="L5684" t="n">
        <v>0</v>
      </c>
      <c r="M5684" t="n">
        <v>0</v>
      </c>
      <c r="N5684" t="n">
        <v>0</v>
      </c>
      <c r="O5684" t="n">
        <v>0</v>
      </c>
      <c r="P5684" t="n">
        <v>0</v>
      </c>
      <c r="Q5684" t="n">
        <v>0</v>
      </c>
      <c r="R5684" s="2" t="inlineStr"/>
    </row>
    <row r="5685" ht="15" customHeight="1">
      <c r="A5685" t="inlineStr">
        <is>
          <t>A 8920-2023</t>
        </is>
      </c>
      <c r="B5685" s="1" t="n">
        <v>44973</v>
      </c>
      <c r="C5685" s="1" t="n">
        <v>45952</v>
      </c>
      <c r="D5685" t="inlineStr">
        <is>
          <t>VÄSTRA GÖTALANDS LÄN</t>
        </is>
      </c>
      <c r="E5685" t="inlineStr">
        <is>
          <t>MARK</t>
        </is>
      </c>
      <c r="G5685" t="n">
        <v>0.4</v>
      </c>
      <c r="H5685" t="n">
        <v>0</v>
      </c>
      <c r="I5685" t="n">
        <v>0</v>
      </c>
      <c r="J5685" t="n">
        <v>0</v>
      </c>
      <c r="K5685" t="n">
        <v>0</v>
      </c>
      <c r="L5685" t="n">
        <v>0</v>
      </c>
      <c r="M5685" t="n">
        <v>0</v>
      </c>
      <c r="N5685" t="n">
        <v>0</v>
      </c>
      <c r="O5685" t="n">
        <v>0</v>
      </c>
      <c r="P5685" t="n">
        <v>0</v>
      </c>
      <c r="Q5685" t="n">
        <v>0</v>
      </c>
      <c r="R5685" s="2" t="inlineStr"/>
    </row>
    <row r="5686" ht="15" customHeight="1">
      <c r="A5686" t="inlineStr">
        <is>
          <t>A 55739-2024</t>
        </is>
      </c>
      <c r="B5686" s="1" t="n">
        <v>45623.2665162037</v>
      </c>
      <c r="C5686" s="1" t="n">
        <v>45952</v>
      </c>
      <c r="D5686" t="inlineStr">
        <is>
          <t>VÄSTRA GÖTALANDS LÄN</t>
        </is>
      </c>
      <c r="E5686" t="inlineStr">
        <is>
          <t>FALKÖPING</t>
        </is>
      </c>
      <c r="G5686" t="n">
        <v>0.7</v>
      </c>
      <c r="H5686" t="n">
        <v>0</v>
      </c>
      <c r="I5686" t="n">
        <v>0</v>
      </c>
      <c r="J5686" t="n">
        <v>0</v>
      </c>
      <c r="K5686" t="n">
        <v>0</v>
      </c>
      <c r="L5686" t="n">
        <v>0</v>
      </c>
      <c r="M5686" t="n">
        <v>0</v>
      </c>
      <c r="N5686" t="n">
        <v>0</v>
      </c>
      <c r="O5686" t="n">
        <v>0</v>
      </c>
      <c r="P5686" t="n">
        <v>0</v>
      </c>
      <c r="Q5686" t="n">
        <v>0</v>
      </c>
      <c r="R5686" s="2" t="inlineStr"/>
    </row>
    <row r="5687" ht="15" customHeight="1">
      <c r="A5687" t="inlineStr">
        <is>
          <t>A 55312-2022</t>
        </is>
      </c>
      <c r="B5687" s="1" t="n">
        <v>44882</v>
      </c>
      <c r="C5687" s="1" t="n">
        <v>45952</v>
      </c>
      <c r="D5687" t="inlineStr">
        <is>
          <t>VÄSTRA GÖTALANDS LÄN</t>
        </is>
      </c>
      <c r="E5687" t="inlineStr">
        <is>
          <t>FALKÖPING</t>
        </is>
      </c>
      <c r="G5687" t="n">
        <v>2.9</v>
      </c>
      <c r="H5687" t="n">
        <v>0</v>
      </c>
      <c r="I5687" t="n">
        <v>0</v>
      </c>
      <c r="J5687" t="n">
        <v>0</v>
      </c>
      <c r="K5687" t="n">
        <v>0</v>
      </c>
      <c r="L5687" t="n">
        <v>0</v>
      </c>
      <c r="M5687" t="n">
        <v>0</v>
      </c>
      <c r="N5687" t="n">
        <v>0</v>
      </c>
      <c r="O5687" t="n">
        <v>0</v>
      </c>
      <c r="P5687" t="n">
        <v>0</v>
      </c>
      <c r="Q5687" t="n">
        <v>0</v>
      </c>
      <c r="R5687" s="2" t="inlineStr"/>
    </row>
    <row r="5688" ht="15" customHeight="1">
      <c r="A5688" t="inlineStr">
        <is>
          <t>A 16113-2021</t>
        </is>
      </c>
      <c r="B5688" s="1" t="n">
        <v>44291.42980324074</v>
      </c>
      <c r="C5688" s="1" t="n">
        <v>45952</v>
      </c>
      <c r="D5688" t="inlineStr">
        <is>
          <t>VÄSTRA GÖTALANDS LÄN</t>
        </is>
      </c>
      <c r="E5688" t="inlineStr">
        <is>
          <t>SKÖVDE</t>
        </is>
      </c>
      <c r="G5688" t="n">
        <v>2.9</v>
      </c>
      <c r="H5688" t="n">
        <v>0</v>
      </c>
      <c r="I5688" t="n">
        <v>0</v>
      </c>
      <c r="J5688" t="n">
        <v>0</v>
      </c>
      <c r="K5688" t="n">
        <v>0</v>
      </c>
      <c r="L5688" t="n">
        <v>0</v>
      </c>
      <c r="M5688" t="n">
        <v>0</v>
      </c>
      <c r="N5688" t="n">
        <v>0</v>
      </c>
      <c r="O5688" t="n">
        <v>0</v>
      </c>
      <c r="P5688" t="n">
        <v>0</v>
      </c>
      <c r="Q5688" t="n">
        <v>0</v>
      </c>
      <c r="R5688" s="2" t="inlineStr"/>
    </row>
    <row r="5689" ht="15" customHeight="1">
      <c r="A5689" t="inlineStr">
        <is>
          <t>A 2110-2024</t>
        </is>
      </c>
      <c r="B5689" s="1" t="n">
        <v>45309.47417824074</v>
      </c>
      <c r="C5689" s="1" t="n">
        <v>45952</v>
      </c>
      <c r="D5689" t="inlineStr">
        <is>
          <t>VÄSTRA GÖTALANDS LÄN</t>
        </is>
      </c>
      <c r="E5689" t="inlineStr">
        <is>
          <t>SKARA</t>
        </is>
      </c>
      <c r="G5689" t="n">
        <v>4.2</v>
      </c>
      <c r="H5689" t="n">
        <v>0</v>
      </c>
      <c r="I5689" t="n">
        <v>0</v>
      </c>
      <c r="J5689" t="n">
        <v>0</v>
      </c>
      <c r="K5689" t="n">
        <v>0</v>
      </c>
      <c r="L5689" t="n">
        <v>0</v>
      </c>
      <c r="M5689" t="n">
        <v>0</v>
      </c>
      <c r="N5689" t="n">
        <v>0</v>
      </c>
      <c r="O5689" t="n">
        <v>0</v>
      </c>
      <c r="P5689" t="n">
        <v>0</v>
      </c>
      <c r="Q5689" t="n">
        <v>0</v>
      </c>
      <c r="R5689" s="2" t="inlineStr"/>
    </row>
    <row r="5690" ht="15" customHeight="1">
      <c r="A5690" t="inlineStr">
        <is>
          <t>A 55256-2024</t>
        </is>
      </c>
      <c r="B5690" s="1" t="n">
        <v>45620</v>
      </c>
      <c r="C5690" s="1" t="n">
        <v>45952</v>
      </c>
      <c r="D5690" t="inlineStr">
        <is>
          <t>VÄSTRA GÖTALANDS LÄN</t>
        </is>
      </c>
      <c r="E5690" t="inlineStr">
        <is>
          <t>ÅMÅL</t>
        </is>
      </c>
      <c r="G5690" t="n">
        <v>1.2</v>
      </c>
      <c r="H5690" t="n">
        <v>0</v>
      </c>
      <c r="I5690" t="n">
        <v>0</v>
      </c>
      <c r="J5690" t="n">
        <v>0</v>
      </c>
      <c r="K5690" t="n">
        <v>0</v>
      </c>
      <c r="L5690" t="n">
        <v>0</v>
      </c>
      <c r="M5690" t="n">
        <v>0</v>
      </c>
      <c r="N5690" t="n">
        <v>0</v>
      </c>
      <c r="O5690" t="n">
        <v>0</v>
      </c>
      <c r="P5690" t="n">
        <v>0</v>
      </c>
      <c r="Q5690" t="n">
        <v>0</v>
      </c>
      <c r="R5690" s="2" t="inlineStr"/>
    </row>
    <row r="5691" ht="15" customHeight="1">
      <c r="A5691" t="inlineStr">
        <is>
          <t>A 120-2024</t>
        </is>
      </c>
      <c r="B5691" s="1" t="n">
        <v>45294.3707175926</v>
      </c>
      <c r="C5691" s="1" t="n">
        <v>45952</v>
      </c>
      <c r="D5691" t="inlineStr">
        <is>
          <t>VÄSTRA GÖTALANDS LÄN</t>
        </is>
      </c>
      <c r="E5691" t="inlineStr">
        <is>
          <t>VÄNERSBORG</t>
        </is>
      </c>
      <c r="G5691" t="n">
        <v>4.1</v>
      </c>
      <c r="H5691" t="n">
        <v>0</v>
      </c>
      <c r="I5691" t="n">
        <v>0</v>
      </c>
      <c r="J5691" t="n">
        <v>0</v>
      </c>
      <c r="K5691" t="n">
        <v>0</v>
      </c>
      <c r="L5691" t="n">
        <v>0</v>
      </c>
      <c r="M5691" t="n">
        <v>0</v>
      </c>
      <c r="N5691" t="n">
        <v>0</v>
      </c>
      <c r="O5691" t="n">
        <v>0</v>
      </c>
      <c r="P5691" t="n">
        <v>0</v>
      </c>
      <c r="Q5691" t="n">
        <v>0</v>
      </c>
      <c r="R5691" s="2" t="inlineStr"/>
    </row>
    <row r="5692" ht="15" customHeight="1">
      <c r="A5692" t="inlineStr">
        <is>
          <t>A 55258-2024</t>
        </is>
      </c>
      <c r="B5692" s="1" t="n">
        <v>45621.60280092592</v>
      </c>
      <c r="C5692" s="1" t="n">
        <v>45952</v>
      </c>
      <c r="D5692" t="inlineStr">
        <is>
          <t>VÄSTRA GÖTALANDS LÄN</t>
        </is>
      </c>
      <c r="E5692" t="inlineStr">
        <is>
          <t>TANUM</t>
        </is>
      </c>
      <c r="G5692" t="n">
        <v>1.3</v>
      </c>
      <c r="H5692" t="n">
        <v>0</v>
      </c>
      <c r="I5692" t="n">
        <v>0</v>
      </c>
      <c r="J5692" t="n">
        <v>0</v>
      </c>
      <c r="K5692" t="n">
        <v>0</v>
      </c>
      <c r="L5692" t="n">
        <v>0</v>
      </c>
      <c r="M5692" t="n">
        <v>0</v>
      </c>
      <c r="N5692" t="n">
        <v>0</v>
      </c>
      <c r="O5692" t="n">
        <v>0</v>
      </c>
      <c r="P5692" t="n">
        <v>0</v>
      </c>
      <c r="Q5692" t="n">
        <v>0</v>
      </c>
      <c r="R5692" s="2" t="inlineStr"/>
    </row>
    <row r="5693" ht="15" customHeight="1">
      <c r="A5693" t="inlineStr">
        <is>
          <t>A 1152-2023</t>
        </is>
      </c>
      <c r="B5693" s="1" t="n">
        <v>44935.64951388889</v>
      </c>
      <c r="C5693" s="1" t="n">
        <v>45952</v>
      </c>
      <c r="D5693" t="inlineStr">
        <is>
          <t>VÄSTRA GÖTALANDS LÄN</t>
        </is>
      </c>
      <c r="E5693" t="inlineStr">
        <is>
          <t>VARA</t>
        </is>
      </c>
      <c r="G5693" t="n">
        <v>0.4</v>
      </c>
      <c r="H5693" t="n">
        <v>0</v>
      </c>
      <c r="I5693" t="n">
        <v>0</v>
      </c>
      <c r="J5693" t="n">
        <v>0</v>
      </c>
      <c r="K5693" t="n">
        <v>0</v>
      </c>
      <c r="L5693" t="n">
        <v>0</v>
      </c>
      <c r="M5693" t="n">
        <v>0</v>
      </c>
      <c r="N5693" t="n">
        <v>0</v>
      </c>
      <c r="O5693" t="n">
        <v>0</v>
      </c>
      <c r="P5693" t="n">
        <v>0</v>
      </c>
      <c r="Q5693" t="n">
        <v>0</v>
      </c>
      <c r="R5693" s="2" t="inlineStr"/>
    </row>
    <row r="5694" ht="15" customHeight="1">
      <c r="A5694" t="inlineStr">
        <is>
          <t>A 1176-2023</t>
        </is>
      </c>
      <c r="B5694" s="1" t="n">
        <v>44935</v>
      </c>
      <c r="C5694" s="1" t="n">
        <v>45952</v>
      </c>
      <c r="D5694" t="inlineStr">
        <is>
          <t>VÄSTRA GÖTALANDS LÄN</t>
        </is>
      </c>
      <c r="E5694" t="inlineStr">
        <is>
          <t>MARK</t>
        </is>
      </c>
      <c r="G5694" t="n">
        <v>1.4</v>
      </c>
      <c r="H5694" t="n">
        <v>0</v>
      </c>
      <c r="I5694" t="n">
        <v>0</v>
      </c>
      <c r="J5694" t="n">
        <v>0</v>
      </c>
      <c r="K5694" t="n">
        <v>0</v>
      </c>
      <c r="L5694" t="n">
        <v>0</v>
      </c>
      <c r="M5694" t="n">
        <v>0</v>
      </c>
      <c r="N5694" t="n">
        <v>0</v>
      </c>
      <c r="O5694" t="n">
        <v>0</v>
      </c>
      <c r="P5694" t="n">
        <v>0</v>
      </c>
      <c r="Q5694" t="n">
        <v>0</v>
      </c>
      <c r="R5694" s="2" t="inlineStr"/>
    </row>
    <row r="5695" ht="15" customHeight="1">
      <c r="A5695" t="inlineStr">
        <is>
          <t>A 447-2024</t>
        </is>
      </c>
      <c r="B5695" s="1" t="n">
        <v>45296</v>
      </c>
      <c r="C5695" s="1" t="n">
        <v>45952</v>
      </c>
      <c r="D5695" t="inlineStr">
        <is>
          <t>VÄSTRA GÖTALANDS LÄN</t>
        </is>
      </c>
      <c r="E5695" t="inlineStr">
        <is>
          <t>MUNKEDAL</t>
        </is>
      </c>
      <c r="F5695" t="inlineStr">
        <is>
          <t>Kyrkan</t>
        </is>
      </c>
      <c r="G5695" t="n">
        <v>4.8</v>
      </c>
      <c r="H5695" t="n">
        <v>0</v>
      </c>
      <c r="I5695" t="n">
        <v>0</v>
      </c>
      <c r="J5695" t="n">
        <v>0</v>
      </c>
      <c r="K5695" t="n">
        <v>0</v>
      </c>
      <c r="L5695" t="n">
        <v>0</v>
      </c>
      <c r="M5695" t="n">
        <v>0</v>
      </c>
      <c r="N5695" t="n">
        <v>0</v>
      </c>
      <c r="O5695" t="n">
        <v>0</v>
      </c>
      <c r="P5695" t="n">
        <v>0</v>
      </c>
      <c r="Q5695" t="n">
        <v>0</v>
      </c>
      <c r="R5695" s="2" t="inlineStr"/>
    </row>
    <row r="5696" ht="15" customHeight="1">
      <c r="A5696" t="inlineStr">
        <is>
          <t>A 53406-2022</t>
        </is>
      </c>
      <c r="B5696" s="1" t="n">
        <v>44879</v>
      </c>
      <c r="C5696" s="1" t="n">
        <v>45952</v>
      </c>
      <c r="D5696" t="inlineStr">
        <is>
          <t>VÄSTRA GÖTALANDS LÄN</t>
        </is>
      </c>
      <c r="E5696" t="inlineStr">
        <is>
          <t>TANUM</t>
        </is>
      </c>
      <c r="G5696" t="n">
        <v>6.1</v>
      </c>
      <c r="H5696" t="n">
        <v>0</v>
      </c>
      <c r="I5696" t="n">
        <v>0</v>
      </c>
      <c r="J5696" t="n">
        <v>0</v>
      </c>
      <c r="K5696" t="n">
        <v>0</v>
      </c>
      <c r="L5696" t="n">
        <v>0</v>
      </c>
      <c r="M5696" t="n">
        <v>0</v>
      </c>
      <c r="N5696" t="n">
        <v>0</v>
      </c>
      <c r="O5696" t="n">
        <v>0</v>
      </c>
      <c r="P5696" t="n">
        <v>0</v>
      </c>
      <c r="Q5696" t="n">
        <v>0</v>
      </c>
      <c r="R5696" s="2" t="inlineStr"/>
    </row>
    <row r="5697" ht="15" customHeight="1">
      <c r="A5697" t="inlineStr">
        <is>
          <t>A 53429-2022</t>
        </is>
      </c>
      <c r="B5697" s="1" t="n">
        <v>44879</v>
      </c>
      <c r="C5697" s="1" t="n">
        <v>45952</v>
      </c>
      <c r="D5697" t="inlineStr">
        <is>
          <t>VÄSTRA GÖTALANDS LÄN</t>
        </is>
      </c>
      <c r="E5697" t="inlineStr">
        <is>
          <t>TROLLHÄTTAN</t>
        </is>
      </c>
      <c r="G5697" t="n">
        <v>4.2</v>
      </c>
      <c r="H5697" t="n">
        <v>0</v>
      </c>
      <c r="I5697" t="n">
        <v>0</v>
      </c>
      <c r="J5697" t="n">
        <v>0</v>
      </c>
      <c r="K5697" t="n">
        <v>0</v>
      </c>
      <c r="L5697" t="n">
        <v>0</v>
      </c>
      <c r="M5697" t="n">
        <v>0</v>
      </c>
      <c r="N5697" t="n">
        <v>0</v>
      </c>
      <c r="O5697" t="n">
        <v>0</v>
      </c>
      <c r="P5697" t="n">
        <v>0</v>
      </c>
      <c r="Q5697" t="n">
        <v>0</v>
      </c>
      <c r="R5697" s="2" t="inlineStr"/>
    </row>
    <row r="5698" ht="15" customHeight="1">
      <c r="A5698" t="inlineStr">
        <is>
          <t>A 45276-2024</t>
        </is>
      </c>
      <c r="B5698" s="1" t="n">
        <v>45576.3666087963</v>
      </c>
      <c r="C5698" s="1" t="n">
        <v>45952</v>
      </c>
      <c r="D5698" t="inlineStr">
        <is>
          <t>VÄSTRA GÖTALANDS LÄN</t>
        </is>
      </c>
      <c r="E5698" t="inlineStr">
        <is>
          <t>TIDAHOLM</t>
        </is>
      </c>
      <c r="G5698" t="n">
        <v>3.7</v>
      </c>
      <c r="H5698" t="n">
        <v>0</v>
      </c>
      <c r="I5698" t="n">
        <v>0</v>
      </c>
      <c r="J5698" t="n">
        <v>0</v>
      </c>
      <c r="K5698" t="n">
        <v>0</v>
      </c>
      <c r="L5698" t="n">
        <v>0</v>
      </c>
      <c r="M5698" t="n">
        <v>0</v>
      </c>
      <c r="N5698" t="n">
        <v>0</v>
      </c>
      <c r="O5698" t="n">
        <v>0</v>
      </c>
      <c r="P5698" t="n">
        <v>0</v>
      </c>
      <c r="Q5698" t="n">
        <v>0</v>
      </c>
      <c r="R5698" s="2" t="inlineStr"/>
    </row>
    <row r="5699" ht="15" customHeight="1">
      <c r="A5699" t="inlineStr">
        <is>
          <t>A 12844-2024</t>
        </is>
      </c>
      <c r="B5699" s="1" t="n">
        <v>45384.79944444444</v>
      </c>
      <c r="C5699" s="1" t="n">
        <v>45952</v>
      </c>
      <c r="D5699" t="inlineStr">
        <is>
          <t>VÄSTRA GÖTALANDS LÄN</t>
        </is>
      </c>
      <c r="E5699" t="inlineStr">
        <is>
          <t>DALS-ED</t>
        </is>
      </c>
      <c r="G5699" t="n">
        <v>1.9</v>
      </c>
      <c r="H5699" t="n">
        <v>0</v>
      </c>
      <c r="I5699" t="n">
        <v>0</v>
      </c>
      <c r="J5699" t="n">
        <v>0</v>
      </c>
      <c r="K5699" t="n">
        <v>0</v>
      </c>
      <c r="L5699" t="n">
        <v>0</v>
      </c>
      <c r="M5699" t="n">
        <v>0</v>
      </c>
      <c r="N5699" t="n">
        <v>0</v>
      </c>
      <c r="O5699" t="n">
        <v>0</v>
      </c>
      <c r="P5699" t="n">
        <v>0</v>
      </c>
      <c r="Q5699" t="n">
        <v>0</v>
      </c>
      <c r="R5699" s="2" t="inlineStr"/>
    </row>
    <row r="5700" ht="15" customHeight="1">
      <c r="A5700" t="inlineStr">
        <is>
          <t>A 36891-2023</t>
        </is>
      </c>
      <c r="B5700" s="1" t="n">
        <v>45154.62202546297</v>
      </c>
      <c r="C5700" s="1" t="n">
        <v>45952</v>
      </c>
      <c r="D5700" t="inlineStr">
        <is>
          <t>VÄSTRA GÖTALANDS LÄN</t>
        </is>
      </c>
      <c r="E5700" t="inlineStr">
        <is>
          <t>MUNKEDAL</t>
        </is>
      </c>
      <c r="G5700" t="n">
        <v>0.6</v>
      </c>
      <c r="H5700" t="n">
        <v>0</v>
      </c>
      <c r="I5700" t="n">
        <v>0</v>
      </c>
      <c r="J5700" t="n">
        <v>0</v>
      </c>
      <c r="K5700" t="n">
        <v>0</v>
      </c>
      <c r="L5700" t="n">
        <v>0</v>
      </c>
      <c r="M5700" t="n">
        <v>0</v>
      </c>
      <c r="N5700" t="n">
        <v>0</v>
      </c>
      <c r="O5700" t="n">
        <v>0</v>
      </c>
      <c r="P5700" t="n">
        <v>0</v>
      </c>
      <c r="Q5700" t="n">
        <v>0</v>
      </c>
      <c r="R5700" s="2" t="inlineStr"/>
    </row>
    <row r="5701" ht="15" customHeight="1">
      <c r="A5701" t="inlineStr">
        <is>
          <t>A 12853-2024</t>
        </is>
      </c>
      <c r="B5701" s="1" t="n">
        <v>45384.90856481482</v>
      </c>
      <c r="C5701" s="1" t="n">
        <v>45952</v>
      </c>
      <c r="D5701" t="inlineStr">
        <is>
          <t>VÄSTRA GÖTALANDS LÄN</t>
        </is>
      </c>
      <c r="E5701" t="inlineStr">
        <is>
          <t>TANUM</t>
        </is>
      </c>
      <c r="G5701" t="n">
        <v>10.7</v>
      </c>
      <c r="H5701" t="n">
        <v>0</v>
      </c>
      <c r="I5701" t="n">
        <v>0</v>
      </c>
      <c r="J5701" t="n">
        <v>0</v>
      </c>
      <c r="K5701" t="n">
        <v>0</v>
      </c>
      <c r="L5701" t="n">
        <v>0</v>
      </c>
      <c r="M5701" t="n">
        <v>0</v>
      </c>
      <c r="N5701" t="n">
        <v>0</v>
      </c>
      <c r="O5701" t="n">
        <v>0</v>
      </c>
      <c r="P5701" t="n">
        <v>0</v>
      </c>
      <c r="Q5701" t="n">
        <v>0</v>
      </c>
      <c r="R5701" s="2" t="inlineStr"/>
    </row>
    <row r="5702" ht="15" customHeight="1">
      <c r="A5702" t="inlineStr">
        <is>
          <t>A 3237-2023</t>
        </is>
      </c>
      <c r="B5702" s="1" t="n">
        <v>44946.84690972222</v>
      </c>
      <c r="C5702" s="1" t="n">
        <v>45952</v>
      </c>
      <c r="D5702" t="inlineStr">
        <is>
          <t>VÄSTRA GÖTALANDS LÄN</t>
        </is>
      </c>
      <c r="E5702" t="inlineStr">
        <is>
          <t>BOLLEBYGD</t>
        </is>
      </c>
      <c r="G5702" t="n">
        <v>0.7</v>
      </c>
      <c r="H5702" t="n">
        <v>0</v>
      </c>
      <c r="I5702" t="n">
        <v>0</v>
      </c>
      <c r="J5702" t="n">
        <v>0</v>
      </c>
      <c r="K5702" t="n">
        <v>0</v>
      </c>
      <c r="L5702" t="n">
        <v>0</v>
      </c>
      <c r="M5702" t="n">
        <v>0</v>
      </c>
      <c r="N5702" t="n">
        <v>0</v>
      </c>
      <c r="O5702" t="n">
        <v>0</v>
      </c>
      <c r="P5702" t="n">
        <v>0</v>
      </c>
      <c r="Q5702" t="n">
        <v>0</v>
      </c>
      <c r="R5702" s="2" t="inlineStr"/>
    </row>
    <row r="5703" ht="15" customHeight="1">
      <c r="A5703" t="inlineStr">
        <is>
          <t>A 21190-2023</t>
        </is>
      </c>
      <c r="B5703" s="1" t="n">
        <v>45062.47752314815</v>
      </c>
      <c r="C5703" s="1" t="n">
        <v>45952</v>
      </c>
      <c r="D5703" t="inlineStr">
        <is>
          <t>VÄSTRA GÖTALANDS LÄN</t>
        </is>
      </c>
      <c r="E5703" t="inlineStr">
        <is>
          <t>TRANEMO</t>
        </is>
      </c>
      <c r="G5703" t="n">
        <v>5.8</v>
      </c>
      <c r="H5703" t="n">
        <v>0</v>
      </c>
      <c r="I5703" t="n">
        <v>0</v>
      </c>
      <c r="J5703" t="n">
        <v>0</v>
      </c>
      <c r="K5703" t="n">
        <v>0</v>
      </c>
      <c r="L5703" t="n">
        <v>0</v>
      </c>
      <c r="M5703" t="n">
        <v>0</v>
      </c>
      <c r="N5703" t="n">
        <v>0</v>
      </c>
      <c r="O5703" t="n">
        <v>0</v>
      </c>
      <c r="P5703" t="n">
        <v>0</v>
      </c>
      <c r="Q5703" t="n">
        <v>0</v>
      </c>
      <c r="R5703" s="2" t="inlineStr"/>
    </row>
    <row r="5704" ht="15" customHeight="1">
      <c r="A5704" t="inlineStr">
        <is>
          <t>A 41067-2023</t>
        </is>
      </c>
      <c r="B5704" s="1" t="n">
        <v>45170</v>
      </c>
      <c r="C5704" s="1" t="n">
        <v>45952</v>
      </c>
      <c r="D5704" t="inlineStr">
        <is>
          <t>VÄSTRA GÖTALANDS LÄN</t>
        </is>
      </c>
      <c r="E5704" t="inlineStr">
        <is>
          <t>TANUM</t>
        </is>
      </c>
      <c r="G5704" t="n">
        <v>1.7</v>
      </c>
      <c r="H5704" t="n">
        <v>0</v>
      </c>
      <c r="I5704" t="n">
        <v>0</v>
      </c>
      <c r="J5704" t="n">
        <v>0</v>
      </c>
      <c r="K5704" t="n">
        <v>0</v>
      </c>
      <c r="L5704" t="n">
        <v>0</v>
      </c>
      <c r="M5704" t="n">
        <v>0</v>
      </c>
      <c r="N5704" t="n">
        <v>0</v>
      </c>
      <c r="O5704" t="n">
        <v>0</v>
      </c>
      <c r="P5704" t="n">
        <v>0</v>
      </c>
      <c r="Q5704" t="n">
        <v>0</v>
      </c>
      <c r="R5704" s="2" t="inlineStr"/>
    </row>
    <row r="5705" ht="15" customHeight="1">
      <c r="A5705" t="inlineStr">
        <is>
          <t>A 72046-2021</t>
        </is>
      </c>
      <c r="B5705" s="1" t="n">
        <v>44544.4646412037</v>
      </c>
      <c r="C5705" s="1" t="n">
        <v>45952</v>
      </c>
      <c r="D5705" t="inlineStr">
        <is>
          <t>VÄSTRA GÖTALANDS LÄN</t>
        </is>
      </c>
      <c r="E5705" t="inlineStr">
        <is>
          <t>BENGTSFORS</t>
        </is>
      </c>
      <c r="G5705" t="n">
        <v>7</v>
      </c>
      <c r="H5705" t="n">
        <v>0</v>
      </c>
      <c r="I5705" t="n">
        <v>0</v>
      </c>
      <c r="J5705" t="n">
        <v>0</v>
      </c>
      <c r="K5705" t="n">
        <v>0</v>
      </c>
      <c r="L5705" t="n">
        <v>0</v>
      </c>
      <c r="M5705" t="n">
        <v>0</v>
      </c>
      <c r="N5705" t="n">
        <v>0</v>
      </c>
      <c r="O5705" t="n">
        <v>0</v>
      </c>
      <c r="P5705" t="n">
        <v>0</v>
      </c>
      <c r="Q5705" t="n">
        <v>0</v>
      </c>
      <c r="R5705" s="2" t="inlineStr"/>
    </row>
    <row r="5706" ht="15" customHeight="1">
      <c r="A5706" t="inlineStr">
        <is>
          <t>A 4760-2022</t>
        </is>
      </c>
      <c r="B5706" s="1" t="n">
        <v>44592.59158564815</v>
      </c>
      <c r="C5706" s="1" t="n">
        <v>45952</v>
      </c>
      <c r="D5706" t="inlineStr">
        <is>
          <t>VÄSTRA GÖTALANDS LÄN</t>
        </is>
      </c>
      <c r="E5706" t="inlineStr">
        <is>
          <t>BENGTSFORS</t>
        </is>
      </c>
      <c r="G5706" t="n">
        <v>1.8</v>
      </c>
      <c r="H5706" t="n">
        <v>0</v>
      </c>
      <c r="I5706" t="n">
        <v>0</v>
      </c>
      <c r="J5706" t="n">
        <v>0</v>
      </c>
      <c r="K5706" t="n">
        <v>0</v>
      </c>
      <c r="L5706" t="n">
        <v>0</v>
      </c>
      <c r="M5706" t="n">
        <v>0</v>
      </c>
      <c r="N5706" t="n">
        <v>0</v>
      </c>
      <c r="O5706" t="n">
        <v>0</v>
      </c>
      <c r="P5706" t="n">
        <v>0</v>
      </c>
      <c r="Q5706" t="n">
        <v>0</v>
      </c>
      <c r="R5706" s="2" t="inlineStr"/>
    </row>
    <row r="5707" ht="15" customHeight="1">
      <c r="A5707" t="inlineStr">
        <is>
          <t>A 42832-2024</t>
        </is>
      </c>
      <c r="B5707" s="1" t="n">
        <v>45566.61230324074</v>
      </c>
      <c r="C5707" s="1" t="n">
        <v>45952</v>
      </c>
      <c r="D5707" t="inlineStr">
        <is>
          <t>VÄSTRA GÖTALANDS LÄN</t>
        </is>
      </c>
      <c r="E5707" t="inlineStr">
        <is>
          <t>TRANEMO</t>
        </is>
      </c>
      <c r="G5707" t="n">
        <v>5.1</v>
      </c>
      <c r="H5707" t="n">
        <v>0</v>
      </c>
      <c r="I5707" t="n">
        <v>0</v>
      </c>
      <c r="J5707" t="n">
        <v>0</v>
      </c>
      <c r="K5707" t="n">
        <v>0</v>
      </c>
      <c r="L5707" t="n">
        <v>0</v>
      </c>
      <c r="M5707" t="n">
        <v>0</v>
      </c>
      <c r="N5707" t="n">
        <v>0</v>
      </c>
      <c r="O5707" t="n">
        <v>0</v>
      </c>
      <c r="P5707" t="n">
        <v>0</v>
      </c>
      <c r="Q5707" t="n">
        <v>0</v>
      </c>
      <c r="R5707" s="2" t="inlineStr"/>
    </row>
    <row r="5708" ht="15" customHeight="1">
      <c r="A5708" t="inlineStr">
        <is>
          <t>A 47699-2024</t>
        </is>
      </c>
      <c r="B5708" s="1" t="n">
        <v>45588.46224537037</v>
      </c>
      <c r="C5708" s="1" t="n">
        <v>45952</v>
      </c>
      <c r="D5708" t="inlineStr">
        <is>
          <t>VÄSTRA GÖTALANDS LÄN</t>
        </is>
      </c>
      <c r="E5708" t="inlineStr">
        <is>
          <t>ÅMÅL</t>
        </is>
      </c>
      <c r="G5708" t="n">
        <v>2.9</v>
      </c>
      <c r="H5708" t="n">
        <v>0</v>
      </c>
      <c r="I5708" t="n">
        <v>0</v>
      </c>
      <c r="J5708" t="n">
        <v>0</v>
      </c>
      <c r="K5708" t="n">
        <v>0</v>
      </c>
      <c r="L5708" t="n">
        <v>0</v>
      </c>
      <c r="M5708" t="n">
        <v>0</v>
      </c>
      <c r="N5708" t="n">
        <v>0</v>
      </c>
      <c r="O5708" t="n">
        <v>0</v>
      </c>
      <c r="P5708" t="n">
        <v>0</v>
      </c>
      <c r="Q5708" t="n">
        <v>0</v>
      </c>
      <c r="R5708" s="2" t="inlineStr"/>
    </row>
    <row r="5709" ht="15" customHeight="1">
      <c r="A5709" t="inlineStr">
        <is>
          <t>A 70708-2021</t>
        </is>
      </c>
      <c r="B5709" s="1" t="n">
        <v>44537</v>
      </c>
      <c r="C5709" s="1" t="n">
        <v>45952</v>
      </c>
      <c r="D5709" t="inlineStr">
        <is>
          <t>VÄSTRA GÖTALANDS LÄN</t>
        </is>
      </c>
      <c r="E5709" t="inlineStr">
        <is>
          <t>BOLLEBYGD</t>
        </is>
      </c>
      <c r="G5709" t="n">
        <v>4.6</v>
      </c>
      <c r="H5709" t="n">
        <v>0</v>
      </c>
      <c r="I5709" t="n">
        <v>0</v>
      </c>
      <c r="J5709" t="n">
        <v>0</v>
      </c>
      <c r="K5709" t="n">
        <v>0</v>
      </c>
      <c r="L5709" t="n">
        <v>0</v>
      </c>
      <c r="M5709" t="n">
        <v>0</v>
      </c>
      <c r="N5709" t="n">
        <v>0</v>
      </c>
      <c r="O5709" t="n">
        <v>0</v>
      </c>
      <c r="P5709" t="n">
        <v>0</v>
      </c>
      <c r="Q5709" t="n">
        <v>0</v>
      </c>
      <c r="R5709" s="2" t="inlineStr"/>
    </row>
    <row r="5710" ht="15" customHeight="1">
      <c r="A5710" t="inlineStr">
        <is>
          <t>A 32748-2024</t>
        </is>
      </c>
      <c r="B5710" s="1" t="n">
        <v>45516.45503472222</v>
      </c>
      <c r="C5710" s="1" t="n">
        <v>45952</v>
      </c>
      <c r="D5710" t="inlineStr">
        <is>
          <t>VÄSTRA GÖTALANDS LÄN</t>
        </is>
      </c>
      <c r="E5710" t="inlineStr">
        <is>
          <t>SVENLJUNGA</t>
        </is>
      </c>
      <c r="F5710" t="inlineStr">
        <is>
          <t>Kommuner</t>
        </is>
      </c>
      <c r="G5710" t="n">
        <v>0.3</v>
      </c>
      <c r="H5710" t="n">
        <v>0</v>
      </c>
      <c r="I5710" t="n">
        <v>0</v>
      </c>
      <c r="J5710" t="n">
        <v>0</v>
      </c>
      <c r="K5710" t="n">
        <v>0</v>
      </c>
      <c r="L5710" t="n">
        <v>0</v>
      </c>
      <c r="M5710" t="n">
        <v>0</v>
      </c>
      <c r="N5710" t="n">
        <v>0</v>
      </c>
      <c r="O5710" t="n">
        <v>0</v>
      </c>
      <c r="P5710" t="n">
        <v>0</v>
      </c>
      <c r="Q5710" t="n">
        <v>0</v>
      </c>
      <c r="R5710" s="2" t="inlineStr"/>
    </row>
    <row r="5711" ht="15" customHeight="1">
      <c r="A5711" t="inlineStr">
        <is>
          <t>A 32794-2024</t>
        </is>
      </c>
      <c r="B5711" s="1" t="n">
        <v>45516.55818287037</v>
      </c>
      <c r="C5711" s="1" t="n">
        <v>45952</v>
      </c>
      <c r="D5711" t="inlineStr">
        <is>
          <t>VÄSTRA GÖTALANDS LÄN</t>
        </is>
      </c>
      <c r="E5711" t="inlineStr">
        <is>
          <t>MARIESTAD</t>
        </is>
      </c>
      <c r="G5711" t="n">
        <v>1.6</v>
      </c>
      <c r="H5711" t="n">
        <v>0</v>
      </c>
      <c r="I5711" t="n">
        <v>0</v>
      </c>
      <c r="J5711" t="n">
        <v>0</v>
      </c>
      <c r="K5711" t="n">
        <v>0</v>
      </c>
      <c r="L5711" t="n">
        <v>0</v>
      </c>
      <c r="M5711" t="n">
        <v>0</v>
      </c>
      <c r="N5711" t="n">
        <v>0</v>
      </c>
      <c r="O5711" t="n">
        <v>0</v>
      </c>
      <c r="P5711" t="n">
        <v>0</v>
      </c>
      <c r="Q5711" t="n">
        <v>0</v>
      </c>
      <c r="R5711" s="2" t="inlineStr"/>
    </row>
    <row r="5712" ht="15" customHeight="1">
      <c r="A5712" t="inlineStr">
        <is>
          <t>A 53362-2024</t>
        </is>
      </c>
      <c r="B5712" s="1" t="n">
        <v>45614</v>
      </c>
      <c r="C5712" s="1" t="n">
        <v>45952</v>
      </c>
      <c r="D5712" t="inlineStr">
        <is>
          <t>VÄSTRA GÖTALANDS LÄN</t>
        </is>
      </c>
      <c r="E5712" t="inlineStr">
        <is>
          <t>LIDKÖPING</t>
        </is>
      </c>
      <c r="G5712" t="n">
        <v>1.4</v>
      </c>
      <c r="H5712" t="n">
        <v>0</v>
      </c>
      <c r="I5712" t="n">
        <v>0</v>
      </c>
      <c r="J5712" t="n">
        <v>0</v>
      </c>
      <c r="K5712" t="n">
        <v>0</v>
      </c>
      <c r="L5712" t="n">
        <v>0</v>
      </c>
      <c r="M5712" t="n">
        <v>0</v>
      </c>
      <c r="N5712" t="n">
        <v>0</v>
      </c>
      <c r="O5712" t="n">
        <v>0</v>
      </c>
      <c r="P5712" t="n">
        <v>0</v>
      </c>
      <c r="Q5712" t="n">
        <v>0</v>
      </c>
      <c r="R5712" s="2" t="inlineStr"/>
    </row>
    <row r="5713" ht="15" customHeight="1">
      <c r="A5713" t="inlineStr">
        <is>
          <t>A 8479-2021</t>
        </is>
      </c>
      <c r="B5713" s="1" t="n">
        <v>44245</v>
      </c>
      <c r="C5713" s="1" t="n">
        <v>45952</v>
      </c>
      <c r="D5713" t="inlineStr">
        <is>
          <t>VÄSTRA GÖTALANDS LÄN</t>
        </is>
      </c>
      <c r="E5713" t="inlineStr">
        <is>
          <t>ÅMÅL</t>
        </is>
      </c>
      <c r="G5713" t="n">
        <v>3.7</v>
      </c>
      <c r="H5713" t="n">
        <v>0</v>
      </c>
      <c r="I5713" t="n">
        <v>0</v>
      </c>
      <c r="J5713" t="n">
        <v>0</v>
      </c>
      <c r="K5713" t="n">
        <v>0</v>
      </c>
      <c r="L5713" t="n">
        <v>0</v>
      </c>
      <c r="M5713" t="n">
        <v>0</v>
      </c>
      <c r="N5713" t="n">
        <v>0</v>
      </c>
      <c r="O5713" t="n">
        <v>0</v>
      </c>
      <c r="P5713" t="n">
        <v>0</v>
      </c>
      <c r="Q5713" t="n">
        <v>0</v>
      </c>
      <c r="R5713" s="2" t="inlineStr"/>
    </row>
    <row r="5714" ht="15" customHeight="1">
      <c r="A5714" t="inlineStr">
        <is>
          <t>A 4362-2022</t>
        </is>
      </c>
      <c r="B5714" s="1" t="n">
        <v>44589</v>
      </c>
      <c r="C5714" s="1" t="n">
        <v>45952</v>
      </c>
      <c r="D5714" t="inlineStr">
        <is>
          <t>VÄSTRA GÖTALANDS LÄN</t>
        </is>
      </c>
      <c r="E5714" t="inlineStr">
        <is>
          <t>BORÅS</t>
        </is>
      </c>
      <c r="G5714" t="n">
        <v>3.7</v>
      </c>
      <c r="H5714" t="n">
        <v>0</v>
      </c>
      <c r="I5714" t="n">
        <v>0</v>
      </c>
      <c r="J5714" t="n">
        <v>0</v>
      </c>
      <c r="K5714" t="n">
        <v>0</v>
      </c>
      <c r="L5714" t="n">
        <v>0</v>
      </c>
      <c r="M5714" t="n">
        <v>0</v>
      </c>
      <c r="N5714" t="n">
        <v>0</v>
      </c>
      <c r="O5714" t="n">
        <v>0</v>
      </c>
      <c r="P5714" t="n">
        <v>0</v>
      </c>
      <c r="Q5714" t="n">
        <v>0</v>
      </c>
      <c r="R5714" s="2" t="inlineStr"/>
    </row>
    <row r="5715" ht="15" customHeight="1">
      <c r="A5715" t="inlineStr">
        <is>
          <t>A 542-2025</t>
        </is>
      </c>
      <c r="B5715" s="1" t="n">
        <v>45664.52055555556</v>
      </c>
      <c r="C5715" s="1" t="n">
        <v>45952</v>
      </c>
      <c r="D5715" t="inlineStr">
        <is>
          <t>VÄSTRA GÖTALANDS LÄN</t>
        </is>
      </c>
      <c r="E5715" t="inlineStr">
        <is>
          <t>TRANEMO</t>
        </is>
      </c>
      <c r="G5715" t="n">
        <v>1.5</v>
      </c>
      <c r="H5715" t="n">
        <v>0</v>
      </c>
      <c r="I5715" t="n">
        <v>0</v>
      </c>
      <c r="J5715" t="n">
        <v>0</v>
      </c>
      <c r="K5715" t="n">
        <v>0</v>
      </c>
      <c r="L5715" t="n">
        <v>0</v>
      </c>
      <c r="M5715" t="n">
        <v>0</v>
      </c>
      <c r="N5715" t="n">
        <v>0</v>
      </c>
      <c r="O5715" t="n">
        <v>0</v>
      </c>
      <c r="P5715" t="n">
        <v>0</v>
      </c>
      <c r="Q5715" t="n">
        <v>0</v>
      </c>
      <c r="R5715" s="2" t="inlineStr"/>
    </row>
    <row r="5716" ht="15" customHeight="1">
      <c r="A5716" t="inlineStr">
        <is>
          <t>A 16471-2023</t>
        </is>
      </c>
      <c r="B5716" s="1" t="n">
        <v>45026</v>
      </c>
      <c r="C5716" s="1" t="n">
        <v>45952</v>
      </c>
      <c r="D5716" t="inlineStr">
        <is>
          <t>VÄSTRA GÖTALANDS LÄN</t>
        </is>
      </c>
      <c r="E5716" t="inlineStr">
        <is>
          <t>TANUM</t>
        </is>
      </c>
      <c r="G5716" t="n">
        <v>0.9</v>
      </c>
      <c r="H5716" t="n">
        <v>0</v>
      </c>
      <c r="I5716" t="n">
        <v>0</v>
      </c>
      <c r="J5716" t="n">
        <v>0</v>
      </c>
      <c r="K5716" t="n">
        <v>0</v>
      </c>
      <c r="L5716" t="n">
        <v>0</v>
      </c>
      <c r="M5716" t="n">
        <v>0</v>
      </c>
      <c r="N5716" t="n">
        <v>0</v>
      </c>
      <c r="O5716" t="n">
        <v>0</v>
      </c>
      <c r="P5716" t="n">
        <v>0</v>
      </c>
      <c r="Q5716" t="n">
        <v>0</v>
      </c>
      <c r="R5716" s="2" t="inlineStr"/>
    </row>
    <row r="5717" ht="15" customHeight="1">
      <c r="A5717" t="inlineStr">
        <is>
          <t>A 37299-2023</t>
        </is>
      </c>
      <c r="B5717" s="1" t="n">
        <v>45156.34189814814</v>
      </c>
      <c r="C5717" s="1" t="n">
        <v>45952</v>
      </c>
      <c r="D5717" t="inlineStr">
        <is>
          <t>VÄSTRA GÖTALANDS LÄN</t>
        </is>
      </c>
      <c r="E5717" t="inlineStr">
        <is>
          <t>TIDAHOLM</t>
        </is>
      </c>
      <c r="G5717" t="n">
        <v>0.3</v>
      </c>
      <c r="H5717" t="n">
        <v>0</v>
      </c>
      <c r="I5717" t="n">
        <v>0</v>
      </c>
      <c r="J5717" t="n">
        <v>0</v>
      </c>
      <c r="K5717" t="n">
        <v>0</v>
      </c>
      <c r="L5717" t="n">
        <v>0</v>
      </c>
      <c r="M5717" t="n">
        <v>0</v>
      </c>
      <c r="N5717" t="n">
        <v>0</v>
      </c>
      <c r="O5717" t="n">
        <v>0</v>
      </c>
      <c r="P5717" t="n">
        <v>0</v>
      </c>
      <c r="Q5717" t="n">
        <v>0</v>
      </c>
      <c r="R5717" s="2" t="inlineStr"/>
    </row>
    <row r="5718" ht="15" customHeight="1">
      <c r="A5718" t="inlineStr">
        <is>
          <t>A 63725-2023</t>
        </is>
      </c>
      <c r="B5718" s="1" t="n">
        <v>45276</v>
      </c>
      <c r="C5718" s="1" t="n">
        <v>45952</v>
      </c>
      <c r="D5718" t="inlineStr">
        <is>
          <t>VÄSTRA GÖTALANDS LÄN</t>
        </is>
      </c>
      <c r="E5718" t="inlineStr">
        <is>
          <t>BOLLEBYGD</t>
        </is>
      </c>
      <c r="G5718" t="n">
        <v>1.1</v>
      </c>
      <c r="H5718" t="n">
        <v>0</v>
      </c>
      <c r="I5718" t="n">
        <v>0</v>
      </c>
      <c r="J5718" t="n">
        <v>0</v>
      </c>
      <c r="K5718" t="n">
        <v>0</v>
      </c>
      <c r="L5718" t="n">
        <v>0</v>
      </c>
      <c r="M5718" t="n">
        <v>0</v>
      </c>
      <c r="N5718" t="n">
        <v>0</v>
      </c>
      <c r="O5718" t="n">
        <v>0</v>
      </c>
      <c r="P5718" t="n">
        <v>0</v>
      </c>
      <c r="Q5718" t="n">
        <v>0</v>
      </c>
      <c r="R5718" s="2" t="inlineStr"/>
    </row>
    <row r="5719" ht="15" customHeight="1">
      <c r="A5719" t="inlineStr">
        <is>
          <t>A 16021-2024</t>
        </is>
      </c>
      <c r="B5719" s="1" t="n">
        <v>45405.67314814815</v>
      </c>
      <c r="C5719" s="1" t="n">
        <v>45952</v>
      </c>
      <c r="D5719" t="inlineStr">
        <is>
          <t>VÄSTRA GÖTALANDS LÄN</t>
        </is>
      </c>
      <c r="E5719" t="inlineStr">
        <is>
          <t>BENGTSFORS</t>
        </is>
      </c>
      <c r="G5719" t="n">
        <v>1.1</v>
      </c>
      <c r="H5719" t="n">
        <v>0</v>
      </c>
      <c r="I5719" t="n">
        <v>0</v>
      </c>
      <c r="J5719" t="n">
        <v>0</v>
      </c>
      <c r="K5719" t="n">
        <v>0</v>
      </c>
      <c r="L5719" t="n">
        <v>0</v>
      </c>
      <c r="M5719" t="n">
        <v>0</v>
      </c>
      <c r="N5719" t="n">
        <v>0</v>
      </c>
      <c r="O5719" t="n">
        <v>0</v>
      </c>
      <c r="P5719" t="n">
        <v>0</v>
      </c>
      <c r="Q5719" t="n">
        <v>0</v>
      </c>
      <c r="R5719" s="2" t="inlineStr"/>
    </row>
    <row r="5720" ht="15" customHeight="1">
      <c r="A5720" t="inlineStr">
        <is>
          <t>A 60230-2024</t>
        </is>
      </c>
      <c r="B5720" s="1" t="n">
        <v>45640</v>
      </c>
      <c r="C5720" s="1" t="n">
        <v>45952</v>
      </c>
      <c r="D5720" t="inlineStr">
        <is>
          <t>VÄSTRA GÖTALANDS LÄN</t>
        </is>
      </c>
      <c r="E5720" t="inlineStr">
        <is>
          <t>MUNKEDAL</t>
        </is>
      </c>
      <c r="G5720" t="n">
        <v>2.5</v>
      </c>
      <c r="H5720" t="n">
        <v>0</v>
      </c>
      <c r="I5720" t="n">
        <v>0</v>
      </c>
      <c r="J5720" t="n">
        <v>0</v>
      </c>
      <c r="K5720" t="n">
        <v>0</v>
      </c>
      <c r="L5720" t="n">
        <v>0</v>
      </c>
      <c r="M5720" t="n">
        <v>0</v>
      </c>
      <c r="N5720" t="n">
        <v>0</v>
      </c>
      <c r="O5720" t="n">
        <v>0</v>
      </c>
      <c r="P5720" t="n">
        <v>0</v>
      </c>
      <c r="Q5720" t="n">
        <v>0</v>
      </c>
      <c r="R5720" s="2" t="inlineStr"/>
    </row>
    <row r="5721" ht="15" customHeight="1">
      <c r="A5721" t="inlineStr">
        <is>
          <t>A 60236-2024</t>
        </is>
      </c>
      <c r="B5721" s="1" t="n">
        <v>45642.76790509259</v>
      </c>
      <c r="C5721" s="1" t="n">
        <v>45952</v>
      </c>
      <c r="D5721" t="inlineStr">
        <is>
          <t>VÄSTRA GÖTALANDS LÄN</t>
        </is>
      </c>
      <c r="E5721" t="inlineStr">
        <is>
          <t>GRÄSTORP</t>
        </is>
      </c>
      <c r="G5721" t="n">
        <v>1.2</v>
      </c>
      <c r="H5721" t="n">
        <v>0</v>
      </c>
      <c r="I5721" t="n">
        <v>0</v>
      </c>
      <c r="J5721" t="n">
        <v>0</v>
      </c>
      <c r="K5721" t="n">
        <v>0</v>
      </c>
      <c r="L5721" t="n">
        <v>0</v>
      </c>
      <c r="M5721" t="n">
        <v>0</v>
      </c>
      <c r="N5721" t="n">
        <v>0</v>
      </c>
      <c r="O5721" t="n">
        <v>0</v>
      </c>
      <c r="P5721" t="n">
        <v>0</v>
      </c>
      <c r="Q5721" t="n">
        <v>0</v>
      </c>
      <c r="R5721" s="2" t="inlineStr"/>
    </row>
    <row r="5722" ht="15" customHeight="1">
      <c r="A5722" t="inlineStr">
        <is>
          <t>A 60254-2024</t>
        </is>
      </c>
      <c r="B5722" s="1" t="n">
        <v>45642</v>
      </c>
      <c r="C5722" s="1" t="n">
        <v>45952</v>
      </c>
      <c r="D5722" t="inlineStr">
        <is>
          <t>VÄSTRA GÖTALANDS LÄN</t>
        </is>
      </c>
      <c r="E5722" t="inlineStr">
        <is>
          <t>TIBRO</t>
        </is>
      </c>
      <c r="G5722" t="n">
        <v>13.4</v>
      </c>
      <c r="H5722" t="n">
        <v>0</v>
      </c>
      <c r="I5722" t="n">
        <v>0</v>
      </c>
      <c r="J5722" t="n">
        <v>0</v>
      </c>
      <c r="K5722" t="n">
        <v>0</v>
      </c>
      <c r="L5722" t="n">
        <v>0</v>
      </c>
      <c r="M5722" t="n">
        <v>0</v>
      </c>
      <c r="N5722" t="n">
        <v>0</v>
      </c>
      <c r="O5722" t="n">
        <v>0</v>
      </c>
      <c r="P5722" t="n">
        <v>0</v>
      </c>
      <c r="Q5722" t="n">
        <v>0</v>
      </c>
      <c r="R5722" s="2" t="inlineStr"/>
    </row>
    <row r="5723" ht="15" customHeight="1">
      <c r="A5723" t="inlineStr">
        <is>
          <t>A 60260-2024</t>
        </is>
      </c>
      <c r="B5723" s="1" t="n">
        <v>45642</v>
      </c>
      <c r="C5723" s="1" t="n">
        <v>45952</v>
      </c>
      <c r="D5723" t="inlineStr">
        <is>
          <t>VÄSTRA GÖTALANDS LÄN</t>
        </is>
      </c>
      <c r="E5723" t="inlineStr">
        <is>
          <t>TIBRO</t>
        </is>
      </c>
      <c r="G5723" t="n">
        <v>4.7</v>
      </c>
      <c r="H5723" t="n">
        <v>0</v>
      </c>
      <c r="I5723" t="n">
        <v>0</v>
      </c>
      <c r="J5723" t="n">
        <v>0</v>
      </c>
      <c r="K5723" t="n">
        <v>0</v>
      </c>
      <c r="L5723" t="n">
        <v>0</v>
      </c>
      <c r="M5723" t="n">
        <v>0</v>
      </c>
      <c r="N5723" t="n">
        <v>0</v>
      </c>
      <c r="O5723" t="n">
        <v>0</v>
      </c>
      <c r="P5723" t="n">
        <v>0</v>
      </c>
      <c r="Q5723" t="n">
        <v>0</v>
      </c>
      <c r="R5723" s="2" t="inlineStr"/>
    </row>
    <row r="5724" ht="15" customHeight="1">
      <c r="A5724" t="inlineStr">
        <is>
          <t>A 60290-2024</t>
        </is>
      </c>
      <c r="B5724" s="1" t="n">
        <v>45642.97949074074</v>
      </c>
      <c r="C5724" s="1" t="n">
        <v>45952</v>
      </c>
      <c r="D5724" t="inlineStr">
        <is>
          <t>VÄSTRA GÖTALANDS LÄN</t>
        </is>
      </c>
      <c r="E5724" t="inlineStr">
        <is>
          <t>LIDKÖPING</t>
        </is>
      </c>
      <c r="G5724" t="n">
        <v>1.6</v>
      </c>
      <c r="H5724" t="n">
        <v>0</v>
      </c>
      <c r="I5724" t="n">
        <v>0</v>
      </c>
      <c r="J5724" t="n">
        <v>0</v>
      </c>
      <c r="K5724" t="n">
        <v>0</v>
      </c>
      <c r="L5724" t="n">
        <v>0</v>
      </c>
      <c r="M5724" t="n">
        <v>0</v>
      </c>
      <c r="N5724" t="n">
        <v>0</v>
      </c>
      <c r="O5724" t="n">
        <v>0</v>
      </c>
      <c r="P5724" t="n">
        <v>0</v>
      </c>
      <c r="Q5724" t="n">
        <v>0</v>
      </c>
      <c r="R5724" s="2" t="inlineStr"/>
    </row>
    <row r="5725" ht="15" customHeight="1">
      <c r="A5725" t="inlineStr">
        <is>
          <t>A 44708-2023</t>
        </is>
      </c>
      <c r="B5725" s="1" t="n">
        <v>45190.32966435186</v>
      </c>
      <c r="C5725" s="1" t="n">
        <v>45952</v>
      </c>
      <c r="D5725" t="inlineStr">
        <is>
          <t>VÄSTRA GÖTALANDS LÄN</t>
        </is>
      </c>
      <c r="E5725" t="inlineStr">
        <is>
          <t>TROLLHÄTTAN</t>
        </is>
      </c>
      <c r="G5725" t="n">
        <v>3.6</v>
      </c>
      <c r="H5725" t="n">
        <v>0</v>
      </c>
      <c r="I5725" t="n">
        <v>0</v>
      </c>
      <c r="J5725" t="n">
        <v>0</v>
      </c>
      <c r="K5725" t="n">
        <v>0</v>
      </c>
      <c r="L5725" t="n">
        <v>0</v>
      </c>
      <c r="M5725" t="n">
        <v>0</v>
      </c>
      <c r="N5725" t="n">
        <v>0</v>
      </c>
      <c r="O5725" t="n">
        <v>0</v>
      </c>
      <c r="P5725" t="n">
        <v>0</v>
      </c>
      <c r="Q5725" t="n">
        <v>0</v>
      </c>
      <c r="R5725" s="2" t="inlineStr"/>
    </row>
    <row r="5726" ht="15" customHeight="1">
      <c r="A5726" t="inlineStr">
        <is>
          <t>A 52889-2023</t>
        </is>
      </c>
      <c r="B5726" s="1" t="n">
        <v>45226</v>
      </c>
      <c r="C5726" s="1" t="n">
        <v>45952</v>
      </c>
      <c r="D5726" t="inlineStr">
        <is>
          <t>VÄSTRA GÖTALANDS LÄN</t>
        </is>
      </c>
      <c r="E5726" t="inlineStr">
        <is>
          <t>UDDEVALLA</t>
        </is>
      </c>
      <c r="G5726" t="n">
        <v>6</v>
      </c>
      <c r="H5726" t="n">
        <v>0</v>
      </c>
      <c r="I5726" t="n">
        <v>0</v>
      </c>
      <c r="J5726" t="n">
        <v>0</v>
      </c>
      <c r="K5726" t="n">
        <v>0</v>
      </c>
      <c r="L5726" t="n">
        <v>0</v>
      </c>
      <c r="M5726" t="n">
        <v>0</v>
      </c>
      <c r="N5726" t="n">
        <v>0</v>
      </c>
      <c r="O5726" t="n">
        <v>0</v>
      </c>
      <c r="P5726" t="n">
        <v>0</v>
      </c>
      <c r="Q5726" t="n">
        <v>0</v>
      </c>
      <c r="R5726" s="2" t="inlineStr"/>
    </row>
    <row r="5727" ht="15" customHeight="1">
      <c r="A5727" t="inlineStr">
        <is>
          <t>A 8594-2024</t>
        </is>
      </c>
      <c r="B5727" s="1" t="n">
        <v>45355.64226851852</v>
      </c>
      <c r="C5727" s="1" t="n">
        <v>45952</v>
      </c>
      <c r="D5727" t="inlineStr">
        <is>
          <t>VÄSTRA GÖTALANDS LÄN</t>
        </is>
      </c>
      <c r="E5727" t="inlineStr">
        <is>
          <t>FÄRGELANDA</t>
        </is>
      </c>
      <c r="G5727" t="n">
        <v>12.4</v>
      </c>
      <c r="H5727" t="n">
        <v>0</v>
      </c>
      <c r="I5727" t="n">
        <v>0</v>
      </c>
      <c r="J5727" t="n">
        <v>0</v>
      </c>
      <c r="K5727" t="n">
        <v>0</v>
      </c>
      <c r="L5727" t="n">
        <v>0</v>
      </c>
      <c r="M5727" t="n">
        <v>0</v>
      </c>
      <c r="N5727" t="n">
        <v>0</v>
      </c>
      <c r="O5727" t="n">
        <v>0</v>
      </c>
      <c r="P5727" t="n">
        <v>0</v>
      </c>
      <c r="Q5727" t="n">
        <v>0</v>
      </c>
      <c r="R5727" s="2" t="inlineStr"/>
    </row>
    <row r="5728" ht="15" customHeight="1">
      <c r="A5728" t="inlineStr">
        <is>
          <t>A 27308-2022</t>
        </is>
      </c>
      <c r="B5728" s="1" t="n">
        <v>44742.33100694444</v>
      </c>
      <c r="C5728" s="1" t="n">
        <v>45952</v>
      </c>
      <c r="D5728" t="inlineStr">
        <is>
          <t>VÄSTRA GÖTALANDS LÄN</t>
        </is>
      </c>
      <c r="E5728" t="inlineStr">
        <is>
          <t>DALS-ED</t>
        </is>
      </c>
      <c r="G5728" t="n">
        <v>1.3</v>
      </c>
      <c r="H5728" t="n">
        <v>0</v>
      </c>
      <c r="I5728" t="n">
        <v>0</v>
      </c>
      <c r="J5728" t="n">
        <v>0</v>
      </c>
      <c r="K5728" t="n">
        <v>0</v>
      </c>
      <c r="L5728" t="n">
        <v>0</v>
      </c>
      <c r="M5728" t="n">
        <v>0</v>
      </c>
      <c r="N5728" t="n">
        <v>0</v>
      </c>
      <c r="O5728" t="n">
        <v>0</v>
      </c>
      <c r="P5728" t="n">
        <v>0</v>
      </c>
      <c r="Q5728" t="n">
        <v>0</v>
      </c>
      <c r="R5728" s="2" t="inlineStr"/>
    </row>
    <row r="5729" ht="15" customHeight="1">
      <c r="A5729" t="inlineStr">
        <is>
          <t>A 994-2024</t>
        </is>
      </c>
      <c r="B5729" s="1" t="n">
        <v>45301.62427083333</v>
      </c>
      <c r="C5729" s="1" t="n">
        <v>45952</v>
      </c>
      <c r="D5729" t="inlineStr">
        <is>
          <t>VÄSTRA GÖTALANDS LÄN</t>
        </is>
      </c>
      <c r="E5729" t="inlineStr">
        <is>
          <t>STRÖMSTAD</t>
        </is>
      </c>
      <c r="G5729" t="n">
        <v>1.1</v>
      </c>
      <c r="H5729" t="n">
        <v>0</v>
      </c>
      <c r="I5729" t="n">
        <v>0</v>
      </c>
      <c r="J5729" t="n">
        <v>0</v>
      </c>
      <c r="K5729" t="n">
        <v>0</v>
      </c>
      <c r="L5729" t="n">
        <v>0</v>
      </c>
      <c r="M5729" t="n">
        <v>0</v>
      </c>
      <c r="N5729" t="n">
        <v>0</v>
      </c>
      <c r="O5729" t="n">
        <v>0</v>
      </c>
      <c r="P5729" t="n">
        <v>0</v>
      </c>
      <c r="Q5729" t="n">
        <v>0</v>
      </c>
      <c r="R5729" s="2" t="inlineStr"/>
    </row>
    <row r="5730" ht="15" customHeight="1">
      <c r="A5730" t="inlineStr">
        <is>
          <t>A 2053-2025</t>
        </is>
      </c>
      <c r="B5730" s="1" t="n">
        <v>45671</v>
      </c>
      <c r="C5730" s="1" t="n">
        <v>45952</v>
      </c>
      <c r="D5730" t="inlineStr">
        <is>
          <t>VÄSTRA GÖTALANDS LÄN</t>
        </is>
      </c>
      <c r="E5730" t="inlineStr">
        <is>
          <t>LYSEKIL</t>
        </is>
      </c>
      <c r="G5730" t="n">
        <v>0.9</v>
      </c>
      <c r="H5730" t="n">
        <v>0</v>
      </c>
      <c r="I5730" t="n">
        <v>0</v>
      </c>
      <c r="J5730" t="n">
        <v>0</v>
      </c>
      <c r="K5730" t="n">
        <v>0</v>
      </c>
      <c r="L5730" t="n">
        <v>0</v>
      </c>
      <c r="M5730" t="n">
        <v>0</v>
      </c>
      <c r="N5730" t="n">
        <v>0</v>
      </c>
      <c r="O5730" t="n">
        <v>0</v>
      </c>
      <c r="P5730" t="n">
        <v>0</v>
      </c>
      <c r="Q5730" t="n">
        <v>0</v>
      </c>
      <c r="R5730" s="2" t="inlineStr"/>
    </row>
    <row r="5731" ht="15" customHeight="1">
      <c r="A5731" t="inlineStr">
        <is>
          <t>A 18508-2022</t>
        </is>
      </c>
      <c r="B5731" s="1" t="n">
        <v>44686.65185185185</v>
      </c>
      <c r="C5731" s="1" t="n">
        <v>45952</v>
      </c>
      <c r="D5731" t="inlineStr">
        <is>
          <t>VÄSTRA GÖTALANDS LÄN</t>
        </is>
      </c>
      <c r="E5731" t="inlineStr">
        <is>
          <t>HERRLJUNGA</t>
        </is>
      </c>
      <c r="G5731" t="n">
        <v>1</v>
      </c>
      <c r="H5731" t="n">
        <v>0</v>
      </c>
      <c r="I5731" t="n">
        <v>0</v>
      </c>
      <c r="J5731" t="n">
        <v>0</v>
      </c>
      <c r="K5731" t="n">
        <v>0</v>
      </c>
      <c r="L5731" t="n">
        <v>0</v>
      </c>
      <c r="M5731" t="n">
        <v>0</v>
      </c>
      <c r="N5731" t="n">
        <v>0</v>
      </c>
      <c r="O5731" t="n">
        <v>0</v>
      </c>
      <c r="P5731" t="n">
        <v>0</v>
      </c>
      <c r="Q5731" t="n">
        <v>0</v>
      </c>
      <c r="R5731" s="2" t="inlineStr"/>
    </row>
    <row r="5732" ht="15" customHeight="1">
      <c r="A5732" t="inlineStr">
        <is>
          <t>A 73305-2021</t>
        </is>
      </c>
      <c r="B5732" s="1" t="n">
        <v>44551.3184837963</v>
      </c>
      <c r="C5732" s="1" t="n">
        <v>45952</v>
      </c>
      <c r="D5732" t="inlineStr">
        <is>
          <t>VÄSTRA GÖTALANDS LÄN</t>
        </is>
      </c>
      <c r="E5732" t="inlineStr">
        <is>
          <t>VARA</t>
        </is>
      </c>
      <c r="G5732" t="n">
        <v>3.3</v>
      </c>
      <c r="H5732" t="n">
        <v>0</v>
      </c>
      <c r="I5732" t="n">
        <v>0</v>
      </c>
      <c r="J5732" t="n">
        <v>0</v>
      </c>
      <c r="K5732" t="n">
        <v>0</v>
      </c>
      <c r="L5732" t="n">
        <v>0</v>
      </c>
      <c r="M5732" t="n">
        <v>0</v>
      </c>
      <c r="N5732" t="n">
        <v>0</v>
      </c>
      <c r="O5732" t="n">
        <v>0</v>
      </c>
      <c r="P5732" t="n">
        <v>0</v>
      </c>
      <c r="Q5732" t="n">
        <v>0</v>
      </c>
      <c r="R5732" s="2" t="inlineStr"/>
    </row>
    <row r="5733" ht="15" customHeight="1">
      <c r="A5733" t="inlineStr">
        <is>
          <t>A 15057-2025</t>
        </is>
      </c>
      <c r="B5733" s="1" t="n">
        <v>45743.70525462963</v>
      </c>
      <c r="C5733" s="1" t="n">
        <v>45952</v>
      </c>
      <c r="D5733" t="inlineStr">
        <is>
          <t>VÄSTRA GÖTALANDS LÄN</t>
        </is>
      </c>
      <c r="E5733" t="inlineStr">
        <is>
          <t>BENGTSFORS</t>
        </is>
      </c>
      <c r="G5733" t="n">
        <v>0.8</v>
      </c>
      <c r="H5733" t="n">
        <v>0</v>
      </c>
      <c r="I5733" t="n">
        <v>0</v>
      </c>
      <c r="J5733" t="n">
        <v>0</v>
      </c>
      <c r="K5733" t="n">
        <v>0</v>
      </c>
      <c r="L5733" t="n">
        <v>0</v>
      </c>
      <c r="M5733" t="n">
        <v>0</v>
      </c>
      <c r="N5733" t="n">
        <v>0</v>
      </c>
      <c r="O5733" t="n">
        <v>0</v>
      </c>
      <c r="P5733" t="n">
        <v>0</v>
      </c>
      <c r="Q5733" t="n">
        <v>0</v>
      </c>
      <c r="R5733" s="2" t="inlineStr"/>
    </row>
    <row r="5734" ht="15" customHeight="1">
      <c r="A5734" t="inlineStr">
        <is>
          <t>A 2578-2024</t>
        </is>
      </c>
      <c r="B5734" s="1" t="n">
        <v>45313</v>
      </c>
      <c r="C5734" s="1" t="n">
        <v>45952</v>
      </c>
      <c r="D5734" t="inlineStr">
        <is>
          <t>VÄSTRA GÖTALANDS LÄN</t>
        </is>
      </c>
      <c r="E5734" t="inlineStr">
        <is>
          <t>BENGTSFORS</t>
        </is>
      </c>
      <c r="G5734" t="n">
        <v>0.6</v>
      </c>
      <c r="H5734" t="n">
        <v>0</v>
      </c>
      <c r="I5734" t="n">
        <v>0</v>
      </c>
      <c r="J5734" t="n">
        <v>0</v>
      </c>
      <c r="K5734" t="n">
        <v>0</v>
      </c>
      <c r="L5734" t="n">
        <v>0</v>
      </c>
      <c r="M5734" t="n">
        <v>0</v>
      </c>
      <c r="N5734" t="n">
        <v>0</v>
      </c>
      <c r="O5734" t="n">
        <v>0</v>
      </c>
      <c r="P5734" t="n">
        <v>0</v>
      </c>
      <c r="Q5734" t="n">
        <v>0</v>
      </c>
      <c r="R5734" s="2" t="inlineStr"/>
    </row>
    <row r="5735" ht="15" customHeight="1">
      <c r="A5735" t="inlineStr">
        <is>
          <t>A 37328-2024</t>
        </is>
      </c>
      <c r="B5735" s="1" t="n">
        <v>45540.50850694445</v>
      </c>
      <c r="C5735" s="1" t="n">
        <v>45952</v>
      </c>
      <c r="D5735" t="inlineStr">
        <is>
          <t>VÄSTRA GÖTALANDS LÄN</t>
        </is>
      </c>
      <c r="E5735" t="inlineStr">
        <is>
          <t>ULRICEHAMN</t>
        </is>
      </c>
      <c r="G5735" t="n">
        <v>5.1</v>
      </c>
      <c r="H5735" t="n">
        <v>0</v>
      </c>
      <c r="I5735" t="n">
        <v>0</v>
      </c>
      <c r="J5735" t="n">
        <v>0</v>
      </c>
      <c r="K5735" t="n">
        <v>0</v>
      </c>
      <c r="L5735" t="n">
        <v>0</v>
      </c>
      <c r="M5735" t="n">
        <v>0</v>
      </c>
      <c r="N5735" t="n">
        <v>0</v>
      </c>
      <c r="O5735" t="n">
        <v>0</v>
      </c>
      <c r="P5735" t="n">
        <v>0</v>
      </c>
      <c r="Q5735" t="n">
        <v>0</v>
      </c>
      <c r="R5735" s="2" t="inlineStr"/>
    </row>
    <row r="5736" ht="15" customHeight="1">
      <c r="A5736" t="inlineStr">
        <is>
          <t>A 37331-2024</t>
        </is>
      </c>
      <c r="B5736" s="1" t="n">
        <v>45540.51292824074</v>
      </c>
      <c r="C5736" s="1" t="n">
        <v>45952</v>
      </c>
      <c r="D5736" t="inlineStr">
        <is>
          <t>VÄSTRA GÖTALANDS LÄN</t>
        </is>
      </c>
      <c r="E5736" t="inlineStr">
        <is>
          <t>MUNKEDAL</t>
        </is>
      </c>
      <c r="G5736" t="n">
        <v>2.6</v>
      </c>
      <c r="H5736" t="n">
        <v>0</v>
      </c>
      <c r="I5736" t="n">
        <v>0</v>
      </c>
      <c r="J5736" t="n">
        <v>0</v>
      </c>
      <c r="K5736" t="n">
        <v>0</v>
      </c>
      <c r="L5736" t="n">
        <v>0</v>
      </c>
      <c r="M5736" t="n">
        <v>0</v>
      </c>
      <c r="N5736" t="n">
        <v>0</v>
      </c>
      <c r="O5736" t="n">
        <v>0</v>
      </c>
      <c r="P5736" t="n">
        <v>0</v>
      </c>
      <c r="Q5736" t="n">
        <v>0</v>
      </c>
      <c r="R5736" s="2" t="inlineStr"/>
    </row>
    <row r="5737" ht="15" customHeight="1">
      <c r="A5737" t="inlineStr">
        <is>
          <t>A 16303-2024</t>
        </is>
      </c>
      <c r="B5737" s="1" t="n">
        <v>45407.42170138889</v>
      </c>
      <c r="C5737" s="1" t="n">
        <v>45952</v>
      </c>
      <c r="D5737" t="inlineStr">
        <is>
          <t>VÄSTRA GÖTALANDS LÄN</t>
        </is>
      </c>
      <c r="E5737" t="inlineStr">
        <is>
          <t>BENGTSFORS</t>
        </is>
      </c>
      <c r="G5737" t="n">
        <v>3.6</v>
      </c>
      <c r="H5737" t="n">
        <v>0</v>
      </c>
      <c r="I5737" t="n">
        <v>0</v>
      </c>
      <c r="J5737" t="n">
        <v>0</v>
      </c>
      <c r="K5737" t="n">
        <v>0</v>
      </c>
      <c r="L5737" t="n">
        <v>0</v>
      </c>
      <c r="M5737" t="n">
        <v>0</v>
      </c>
      <c r="N5737" t="n">
        <v>0</v>
      </c>
      <c r="O5737" t="n">
        <v>0</v>
      </c>
      <c r="P5737" t="n">
        <v>0</v>
      </c>
      <c r="Q5737" t="n">
        <v>0</v>
      </c>
      <c r="R5737" s="2" t="inlineStr"/>
    </row>
    <row r="5738" ht="15" customHeight="1">
      <c r="A5738" t="inlineStr">
        <is>
          <t>A 37389-2024</t>
        </is>
      </c>
      <c r="B5738" s="1" t="n">
        <v>45540</v>
      </c>
      <c r="C5738" s="1" t="n">
        <v>45952</v>
      </c>
      <c r="D5738" t="inlineStr">
        <is>
          <t>VÄSTRA GÖTALANDS LÄN</t>
        </is>
      </c>
      <c r="E5738" t="inlineStr">
        <is>
          <t>MUNKEDAL</t>
        </is>
      </c>
      <c r="F5738" t="inlineStr">
        <is>
          <t>Övriga Aktiebolag</t>
        </is>
      </c>
      <c r="G5738" t="n">
        <v>0.8</v>
      </c>
      <c r="H5738" t="n">
        <v>0</v>
      </c>
      <c r="I5738" t="n">
        <v>0</v>
      </c>
      <c r="J5738" t="n">
        <v>0</v>
      </c>
      <c r="K5738" t="n">
        <v>0</v>
      </c>
      <c r="L5738" t="n">
        <v>0</v>
      </c>
      <c r="M5738" t="n">
        <v>0</v>
      </c>
      <c r="N5738" t="n">
        <v>0</v>
      </c>
      <c r="O5738" t="n">
        <v>0</v>
      </c>
      <c r="P5738" t="n">
        <v>0</v>
      </c>
      <c r="Q5738" t="n">
        <v>0</v>
      </c>
      <c r="R5738" s="2" t="inlineStr"/>
    </row>
    <row r="5739" ht="15" customHeight="1">
      <c r="A5739" t="inlineStr">
        <is>
          <t>A 18224-2022</t>
        </is>
      </c>
      <c r="B5739" s="1" t="n">
        <v>44685</v>
      </c>
      <c r="C5739" s="1" t="n">
        <v>45952</v>
      </c>
      <c r="D5739" t="inlineStr">
        <is>
          <t>VÄSTRA GÖTALANDS LÄN</t>
        </is>
      </c>
      <c r="E5739" t="inlineStr">
        <is>
          <t>VARA</t>
        </is>
      </c>
      <c r="G5739" t="n">
        <v>1.2</v>
      </c>
      <c r="H5739" t="n">
        <v>0</v>
      </c>
      <c r="I5739" t="n">
        <v>0</v>
      </c>
      <c r="J5739" t="n">
        <v>0</v>
      </c>
      <c r="K5739" t="n">
        <v>0</v>
      </c>
      <c r="L5739" t="n">
        <v>0</v>
      </c>
      <c r="M5739" t="n">
        <v>0</v>
      </c>
      <c r="N5739" t="n">
        <v>0</v>
      </c>
      <c r="O5739" t="n">
        <v>0</v>
      </c>
      <c r="P5739" t="n">
        <v>0</v>
      </c>
      <c r="Q5739" t="n">
        <v>0</v>
      </c>
      <c r="R5739" s="2" t="inlineStr"/>
    </row>
    <row r="5740" ht="15" customHeight="1">
      <c r="A5740" t="inlineStr">
        <is>
          <t>A 48597-2022</t>
        </is>
      </c>
      <c r="B5740" s="1" t="n">
        <v>44854</v>
      </c>
      <c r="C5740" s="1" t="n">
        <v>45952</v>
      </c>
      <c r="D5740" t="inlineStr">
        <is>
          <t>VÄSTRA GÖTALANDS LÄN</t>
        </is>
      </c>
      <c r="E5740" t="inlineStr">
        <is>
          <t>HERRLJUNGA</t>
        </is>
      </c>
      <c r="G5740" t="n">
        <v>1</v>
      </c>
      <c r="H5740" t="n">
        <v>0</v>
      </c>
      <c r="I5740" t="n">
        <v>0</v>
      </c>
      <c r="J5740" t="n">
        <v>0</v>
      </c>
      <c r="K5740" t="n">
        <v>0</v>
      </c>
      <c r="L5740" t="n">
        <v>0</v>
      </c>
      <c r="M5740" t="n">
        <v>0</v>
      </c>
      <c r="N5740" t="n">
        <v>0</v>
      </c>
      <c r="O5740" t="n">
        <v>0</v>
      </c>
      <c r="P5740" t="n">
        <v>0</v>
      </c>
      <c r="Q5740" t="n">
        <v>0</v>
      </c>
      <c r="R5740" s="2" t="inlineStr"/>
    </row>
    <row r="5741" ht="15" customHeight="1">
      <c r="A5741" t="inlineStr">
        <is>
          <t>A 50855-2022</t>
        </is>
      </c>
      <c r="B5741" s="1" t="n">
        <v>44867.55510416667</v>
      </c>
      <c r="C5741" s="1" t="n">
        <v>45952</v>
      </c>
      <c r="D5741" t="inlineStr">
        <is>
          <t>VÄSTRA GÖTALANDS LÄN</t>
        </is>
      </c>
      <c r="E5741" t="inlineStr">
        <is>
          <t>TRANEMO</t>
        </is>
      </c>
      <c r="G5741" t="n">
        <v>8.4</v>
      </c>
      <c r="H5741" t="n">
        <v>0</v>
      </c>
      <c r="I5741" t="n">
        <v>0</v>
      </c>
      <c r="J5741" t="n">
        <v>0</v>
      </c>
      <c r="K5741" t="n">
        <v>0</v>
      </c>
      <c r="L5741" t="n">
        <v>0</v>
      </c>
      <c r="M5741" t="n">
        <v>0</v>
      </c>
      <c r="N5741" t="n">
        <v>0</v>
      </c>
      <c r="O5741" t="n">
        <v>0</v>
      </c>
      <c r="P5741" t="n">
        <v>0</v>
      </c>
      <c r="Q5741" t="n">
        <v>0</v>
      </c>
      <c r="R5741" s="2" t="inlineStr"/>
    </row>
    <row r="5742" ht="15" customHeight="1">
      <c r="A5742" t="inlineStr">
        <is>
          <t>A 33388-2022</t>
        </is>
      </c>
      <c r="B5742" s="1" t="n">
        <v>44788</v>
      </c>
      <c r="C5742" s="1" t="n">
        <v>45952</v>
      </c>
      <c r="D5742" t="inlineStr">
        <is>
          <t>VÄSTRA GÖTALANDS LÄN</t>
        </is>
      </c>
      <c r="E5742" t="inlineStr">
        <is>
          <t>MELLERUD</t>
        </is>
      </c>
      <c r="G5742" t="n">
        <v>8.699999999999999</v>
      </c>
      <c r="H5742" t="n">
        <v>0</v>
      </c>
      <c r="I5742" t="n">
        <v>0</v>
      </c>
      <c r="J5742" t="n">
        <v>0</v>
      </c>
      <c r="K5742" t="n">
        <v>0</v>
      </c>
      <c r="L5742" t="n">
        <v>0</v>
      </c>
      <c r="M5742" t="n">
        <v>0</v>
      </c>
      <c r="N5742" t="n">
        <v>0</v>
      </c>
      <c r="O5742" t="n">
        <v>0</v>
      </c>
      <c r="P5742" t="n">
        <v>0</v>
      </c>
      <c r="Q5742" t="n">
        <v>0</v>
      </c>
      <c r="R5742" s="2" t="inlineStr"/>
    </row>
    <row r="5743" ht="15" customHeight="1">
      <c r="A5743" t="inlineStr">
        <is>
          <t>A 8307-2024</t>
        </is>
      </c>
      <c r="B5743" s="1" t="n">
        <v>45350</v>
      </c>
      <c r="C5743" s="1" t="n">
        <v>45952</v>
      </c>
      <c r="D5743" t="inlineStr">
        <is>
          <t>VÄSTRA GÖTALANDS LÄN</t>
        </is>
      </c>
      <c r="E5743" t="inlineStr">
        <is>
          <t>ÅMÅL</t>
        </is>
      </c>
      <c r="F5743" t="inlineStr">
        <is>
          <t>Bergvik skog väst AB</t>
        </is>
      </c>
      <c r="G5743" t="n">
        <v>1.7</v>
      </c>
      <c r="H5743" t="n">
        <v>0</v>
      </c>
      <c r="I5743" t="n">
        <v>0</v>
      </c>
      <c r="J5743" t="n">
        <v>0</v>
      </c>
      <c r="K5743" t="n">
        <v>0</v>
      </c>
      <c r="L5743" t="n">
        <v>0</v>
      </c>
      <c r="M5743" t="n">
        <v>0</v>
      </c>
      <c r="N5743" t="n">
        <v>0</v>
      </c>
      <c r="O5743" t="n">
        <v>0</v>
      </c>
      <c r="P5743" t="n">
        <v>0</v>
      </c>
      <c r="Q5743" t="n">
        <v>0</v>
      </c>
      <c r="R5743" s="2" t="inlineStr"/>
    </row>
    <row r="5744" ht="15" customHeight="1">
      <c r="A5744" t="inlineStr">
        <is>
          <t>A 36403-2024</t>
        </is>
      </c>
      <c r="B5744" s="1" t="n">
        <v>45535.69445601852</v>
      </c>
      <c r="C5744" s="1" t="n">
        <v>45952</v>
      </c>
      <c r="D5744" t="inlineStr">
        <is>
          <t>VÄSTRA GÖTALANDS LÄN</t>
        </is>
      </c>
      <c r="E5744" t="inlineStr">
        <is>
          <t>ALE</t>
        </is>
      </c>
      <c r="G5744" t="n">
        <v>0.6</v>
      </c>
      <c r="H5744" t="n">
        <v>0</v>
      </c>
      <c r="I5744" t="n">
        <v>0</v>
      </c>
      <c r="J5744" t="n">
        <v>0</v>
      </c>
      <c r="K5744" t="n">
        <v>0</v>
      </c>
      <c r="L5744" t="n">
        <v>0</v>
      </c>
      <c r="M5744" t="n">
        <v>0</v>
      </c>
      <c r="N5744" t="n">
        <v>0</v>
      </c>
      <c r="O5744" t="n">
        <v>0</v>
      </c>
      <c r="P5744" t="n">
        <v>0</v>
      </c>
      <c r="Q5744" t="n">
        <v>0</v>
      </c>
      <c r="R5744" s="2" t="inlineStr"/>
    </row>
    <row r="5745" ht="15" customHeight="1">
      <c r="A5745" t="inlineStr">
        <is>
          <t>A 47142-2025</t>
        </is>
      </c>
      <c r="B5745" s="1" t="n">
        <v>45929.70454861111</v>
      </c>
      <c r="C5745" s="1" t="n">
        <v>45952</v>
      </c>
      <c r="D5745" t="inlineStr">
        <is>
          <t>VÄSTRA GÖTALANDS LÄN</t>
        </is>
      </c>
      <c r="E5745" t="inlineStr">
        <is>
          <t>HERRLJUNGA</t>
        </is>
      </c>
      <c r="G5745" t="n">
        <v>3.1</v>
      </c>
      <c r="H5745" t="n">
        <v>0</v>
      </c>
      <c r="I5745" t="n">
        <v>0</v>
      </c>
      <c r="J5745" t="n">
        <v>0</v>
      </c>
      <c r="K5745" t="n">
        <v>0</v>
      </c>
      <c r="L5745" t="n">
        <v>0</v>
      </c>
      <c r="M5745" t="n">
        <v>0</v>
      </c>
      <c r="N5745" t="n">
        <v>0</v>
      </c>
      <c r="O5745" t="n">
        <v>0</v>
      </c>
      <c r="P5745" t="n">
        <v>0</v>
      </c>
      <c r="Q5745" t="n">
        <v>0</v>
      </c>
      <c r="R5745" s="2" t="inlineStr"/>
    </row>
    <row r="5746" ht="15" customHeight="1">
      <c r="A5746" t="inlineStr">
        <is>
          <t>A 2152-2025</t>
        </is>
      </c>
      <c r="B5746" s="1" t="n">
        <v>45672</v>
      </c>
      <c r="C5746" s="1" t="n">
        <v>45952</v>
      </c>
      <c r="D5746" t="inlineStr">
        <is>
          <t>VÄSTRA GÖTALANDS LÄN</t>
        </is>
      </c>
      <c r="E5746" t="inlineStr">
        <is>
          <t>TIDAHOLM</t>
        </is>
      </c>
      <c r="G5746" t="n">
        <v>2.9</v>
      </c>
      <c r="H5746" t="n">
        <v>0</v>
      </c>
      <c r="I5746" t="n">
        <v>0</v>
      </c>
      <c r="J5746" t="n">
        <v>0</v>
      </c>
      <c r="K5746" t="n">
        <v>0</v>
      </c>
      <c r="L5746" t="n">
        <v>0</v>
      </c>
      <c r="M5746" t="n">
        <v>0</v>
      </c>
      <c r="N5746" t="n">
        <v>0</v>
      </c>
      <c r="O5746" t="n">
        <v>0</v>
      </c>
      <c r="P5746" t="n">
        <v>0</v>
      </c>
      <c r="Q5746" t="n">
        <v>0</v>
      </c>
      <c r="R5746" s="2" t="inlineStr"/>
    </row>
    <row r="5747" ht="15" customHeight="1">
      <c r="A5747" t="inlineStr">
        <is>
          <t>A 2199-2024</t>
        </is>
      </c>
      <c r="B5747" s="1" t="n">
        <v>45309</v>
      </c>
      <c r="C5747" s="1" t="n">
        <v>45952</v>
      </c>
      <c r="D5747" t="inlineStr">
        <is>
          <t>VÄSTRA GÖTALANDS LÄN</t>
        </is>
      </c>
      <c r="E5747" t="inlineStr">
        <is>
          <t>ÅMÅL</t>
        </is>
      </c>
      <c r="G5747" t="n">
        <v>1.5</v>
      </c>
      <c r="H5747" t="n">
        <v>0</v>
      </c>
      <c r="I5747" t="n">
        <v>0</v>
      </c>
      <c r="J5747" t="n">
        <v>0</v>
      </c>
      <c r="K5747" t="n">
        <v>0</v>
      </c>
      <c r="L5747" t="n">
        <v>0</v>
      </c>
      <c r="M5747" t="n">
        <v>0</v>
      </c>
      <c r="N5747" t="n">
        <v>0</v>
      </c>
      <c r="O5747" t="n">
        <v>0</v>
      </c>
      <c r="P5747" t="n">
        <v>0</v>
      </c>
      <c r="Q5747" t="n">
        <v>0</v>
      </c>
      <c r="R5747" s="2" t="inlineStr"/>
    </row>
    <row r="5748" ht="15" customHeight="1">
      <c r="A5748" t="inlineStr">
        <is>
          <t>A 50562-2024</t>
        </is>
      </c>
      <c r="B5748" s="1" t="n">
        <v>45601.59825231481</v>
      </c>
      <c r="C5748" s="1" t="n">
        <v>45952</v>
      </c>
      <c r="D5748" t="inlineStr">
        <is>
          <t>VÄSTRA GÖTALANDS LÄN</t>
        </is>
      </c>
      <c r="E5748" t="inlineStr">
        <is>
          <t>ORUST</t>
        </is>
      </c>
      <c r="G5748" t="n">
        <v>0.9</v>
      </c>
      <c r="H5748" t="n">
        <v>0</v>
      </c>
      <c r="I5748" t="n">
        <v>0</v>
      </c>
      <c r="J5748" t="n">
        <v>0</v>
      </c>
      <c r="K5748" t="n">
        <v>0</v>
      </c>
      <c r="L5748" t="n">
        <v>0</v>
      </c>
      <c r="M5748" t="n">
        <v>0</v>
      </c>
      <c r="N5748" t="n">
        <v>0</v>
      </c>
      <c r="O5748" t="n">
        <v>0</v>
      </c>
      <c r="P5748" t="n">
        <v>0</v>
      </c>
      <c r="Q5748" t="n">
        <v>0</v>
      </c>
      <c r="R5748" s="2" t="inlineStr"/>
    </row>
    <row r="5749" ht="15" customHeight="1">
      <c r="A5749" t="inlineStr">
        <is>
          <t>A 7676-2025</t>
        </is>
      </c>
      <c r="B5749" s="1" t="n">
        <v>45706.35903935185</v>
      </c>
      <c r="C5749" s="1" t="n">
        <v>45952</v>
      </c>
      <c r="D5749" t="inlineStr">
        <is>
          <t>VÄSTRA GÖTALANDS LÄN</t>
        </is>
      </c>
      <c r="E5749" t="inlineStr">
        <is>
          <t>TÖREBODA</t>
        </is>
      </c>
      <c r="G5749" t="n">
        <v>1.5</v>
      </c>
      <c r="H5749" t="n">
        <v>0</v>
      </c>
      <c r="I5749" t="n">
        <v>0</v>
      </c>
      <c r="J5749" t="n">
        <v>0</v>
      </c>
      <c r="K5749" t="n">
        <v>0</v>
      </c>
      <c r="L5749" t="n">
        <v>0</v>
      </c>
      <c r="M5749" t="n">
        <v>0</v>
      </c>
      <c r="N5749" t="n">
        <v>0</v>
      </c>
      <c r="O5749" t="n">
        <v>0</v>
      </c>
      <c r="P5749" t="n">
        <v>0</v>
      </c>
      <c r="Q5749" t="n">
        <v>0</v>
      </c>
      <c r="R5749" s="2" t="inlineStr"/>
    </row>
    <row r="5750" ht="15" customHeight="1">
      <c r="A5750" t="inlineStr">
        <is>
          <t>A 37168-2024</t>
        </is>
      </c>
      <c r="B5750" s="1" t="n">
        <v>45539</v>
      </c>
      <c r="C5750" s="1" t="n">
        <v>45952</v>
      </c>
      <c r="D5750" t="inlineStr">
        <is>
          <t>VÄSTRA GÖTALANDS LÄN</t>
        </is>
      </c>
      <c r="E5750" t="inlineStr">
        <is>
          <t>TIDAHOLM</t>
        </is>
      </c>
      <c r="G5750" t="n">
        <v>1.4</v>
      </c>
      <c r="H5750" t="n">
        <v>0</v>
      </c>
      <c r="I5750" t="n">
        <v>0</v>
      </c>
      <c r="J5750" t="n">
        <v>0</v>
      </c>
      <c r="K5750" t="n">
        <v>0</v>
      </c>
      <c r="L5750" t="n">
        <v>0</v>
      </c>
      <c r="M5750" t="n">
        <v>0</v>
      </c>
      <c r="N5750" t="n">
        <v>0</v>
      </c>
      <c r="O5750" t="n">
        <v>0</v>
      </c>
      <c r="P5750" t="n">
        <v>0</v>
      </c>
      <c r="Q5750" t="n">
        <v>0</v>
      </c>
      <c r="R5750" s="2" t="inlineStr"/>
    </row>
    <row r="5751" ht="15" customHeight="1">
      <c r="A5751" t="inlineStr">
        <is>
          <t>A 10610-2025</t>
        </is>
      </c>
      <c r="B5751" s="1" t="n">
        <v>45721.59978009259</v>
      </c>
      <c r="C5751" s="1" t="n">
        <v>45952</v>
      </c>
      <c r="D5751" t="inlineStr">
        <is>
          <t>VÄSTRA GÖTALANDS LÄN</t>
        </is>
      </c>
      <c r="E5751" t="inlineStr">
        <is>
          <t>BOLLEBYGD</t>
        </is>
      </c>
      <c r="G5751" t="n">
        <v>3</v>
      </c>
      <c r="H5751" t="n">
        <v>0</v>
      </c>
      <c r="I5751" t="n">
        <v>0</v>
      </c>
      <c r="J5751" t="n">
        <v>0</v>
      </c>
      <c r="K5751" t="n">
        <v>0</v>
      </c>
      <c r="L5751" t="n">
        <v>0</v>
      </c>
      <c r="M5751" t="n">
        <v>0</v>
      </c>
      <c r="N5751" t="n">
        <v>0</v>
      </c>
      <c r="O5751" t="n">
        <v>0</v>
      </c>
      <c r="P5751" t="n">
        <v>0</v>
      </c>
      <c r="Q5751" t="n">
        <v>0</v>
      </c>
      <c r="R5751" s="2" t="inlineStr"/>
    </row>
    <row r="5752" ht="15" customHeight="1">
      <c r="A5752" t="inlineStr">
        <is>
          <t>A 9492-2025</t>
        </is>
      </c>
      <c r="B5752" s="1" t="n">
        <v>45715.49974537037</v>
      </c>
      <c r="C5752" s="1" t="n">
        <v>45952</v>
      </c>
      <c r="D5752" t="inlineStr">
        <is>
          <t>VÄSTRA GÖTALANDS LÄN</t>
        </is>
      </c>
      <c r="E5752" t="inlineStr">
        <is>
          <t>HÄRRYDA</t>
        </is>
      </c>
      <c r="G5752" t="n">
        <v>2.2</v>
      </c>
      <c r="H5752" t="n">
        <v>0</v>
      </c>
      <c r="I5752" t="n">
        <v>0</v>
      </c>
      <c r="J5752" t="n">
        <v>0</v>
      </c>
      <c r="K5752" t="n">
        <v>0</v>
      </c>
      <c r="L5752" t="n">
        <v>0</v>
      </c>
      <c r="M5752" t="n">
        <v>0</v>
      </c>
      <c r="N5752" t="n">
        <v>0</v>
      </c>
      <c r="O5752" t="n">
        <v>0</v>
      </c>
      <c r="P5752" t="n">
        <v>0</v>
      </c>
      <c r="Q5752" t="n">
        <v>0</v>
      </c>
      <c r="R5752" s="2" t="inlineStr"/>
    </row>
    <row r="5753" ht="15" customHeight="1">
      <c r="A5753" t="inlineStr">
        <is>
          <t>A 44608-2023</t>
        </is>
      </c>
      <c r="B5753" s="1" t="n">
        <v>45189</v>
      </c>
      <c r="C5753" s="1" t="n">
        <v>45952</v>
      </c>
      <c r="D5753" t="inlineStr">
        <is>
          <t>VÄSTRA GÖTALANDS LÄN</t>
        </is>
      </c>
      <c r="E5753" t="inlineStr">
        <is>
          <t>GÖTENE</t>
        </is>
      </c>
      <c r="G5753" t="n">
        <v>1.1</v>
      </c>
      <c r="H5753" t="n">
        <v>0</v>
      </c>
      <c r="I5753" t="n">
        <v>0</v>
      </c>
      <c r="J5753" t="n">
        <v>0</v>
      </c>
      <c r="K5753" t="n">
        <v>0</v>
      </c>
      <c r="L5753" t="n">
        <v>0</v>
      </c>
      <c r="M5753" t="n">
        <v>0</v>
      </c>
      <c r="N5753" t="n">
        <v>0</v>
      </c>
      <c r="O5753" t="n">
        <v>0</v>
      </c>
      <c r="P5753" t="n">
        <v>0</v>
      </c>
      <c r="Q5753" t="n">
        <v>0</v>
      </c>
      <c r="R5753" s="2" t="inlineStr"/>
    </row>
    <row r="5754" ht="15" customHeight="1">
      <c r="A5754" t="inlineStr">
        <is>
          <t>A 44610-2023</t>
        </is>
      </c>
      <c r="B5754" s="1" t="n">
        <v>45189.63023148148</v>
      </c>
      <c r="C5754" s="1" t="n">
        <v>45952</v>
      </c>
      <c r="D5754" t="inlineStr">
        <is>
          <t>VÄSTRA GÖTALANDS LÄN</t>
        </is>
      </c>
      <c r="E5754" t="inlineStr">
        <is>
          <t>MARK</t>
        </is>
      </c>
      <c r="G5754" t="n">
        <v>2.2</v>
      </c>
      <c r="H5754" t="n">
        <v>0</v>
      </c>
      <c r="I5754" t="n">
        <v>0</v>
      </c>
      <c r="J5754" t="n">
        <v>0</v>
      </c>
      <c r="K5754" t="n">
        <v>0</v>
      </c>
      <c r="L5754" t="n">
        <v>0</v>
      </c>
      <c r="M5754" t="n">
        <v>0</v>
      </c>
      <c r="N5754" t="n">
        <v>0</v>
      </c>
      <c r="O5754" t="n">
        <v>0</v>
      </c>
      <c r="P5754" t="n">
        <v>0</v>
      </c>
      <c r="Q5754" t="n">
        <v>0</v>
      </c>
      <c r="R5754" s="2" t="inlineStr"/>
    </row>
    <row r="5755" ht="15" customHeight="1">
      <c r="A5755" t="inlineStr">
        <is>
          <t>A 25639-2023</t>
        </is>
      </c>
      <c r="B5755" s="1" t="n">
        <v>45089.72844907407</v>
      </c>
      <c r="C5755" s="1" t="n">
        <v>45952</v>
      </c>
      <c r="D5755" t="inlineStr">
        <is>
          <t>VÄSTRA GÖTALANDS LÄN</t>
        </is>
      </c>
      <c r="E5755" t="inlineStr">
        <is>
          <t>BENGTSFORS</t>
        </is>
      </c>
      <c r="G5755" t="n">
        <v>2.8</v>
      </c>
      <c r="H5755" t="n">
        <v>0</v>
      </c>
      <c r="I5755" t="n">
        <v>0</v>
      </c>
      <c r="J5755" t="n">
        <v>0</v>
      </c>
      <c r="K5755" t="n">
        <v>0</v>
      </c>
      <c r="L5755" t="n">
        <v>0</v>
      </c>
      <c r="M5755" t="n">
        <v>0</v>
      </c>
      <c r="N5755" t="n">
        <v>0</v>
      </c>
      <c r="O5755" t="n">
        <v>0</v>
      </c>
      <c r="P5755" t="n">
        <v>0</v>
      </c>
      <c r="Q5755" t="n">
        <v>0</v>
      </c>
      <c r="R5755" s="2" t="inlineStr"/>
    </row>
    <row r="5756" ht="15" customHeight="1">
      <c r="A5756" t="inlineStr">
        <is>
          <t>A 39001-2024</t>
        </is>
      </c>
      <c r="B5756" s="1" t="n">
        <v>45548.42012731481</v>
      </c>
      <c r="C5756" s="1" t="n">
        <v>45952</v>
      </c>
      <c r="D5756" t="inlineStr">
        <is>
          <t>VÄSTRA GÖTALANDS LÄN</t>
        </is>
      </c>
      <c r="E5756" t="inlineStr">
        <is>
          <t>STRÖMSTAD</t>
        </is>
      </c>
      <c r="G5756" t="n">
        <v>3</v>
      </c>
      <c r="H5756" t="n">
        <v>0</v>
      </c>
      <c r="I5756" t="n">
        <v>0</v>
      </c>
      <c r="J5756" t="n">
        <v>0</v>
      </c>
      <c r="K5756" t="n">
        <v>0</v>
      </c>
      <c r="L5756" t="n">
        <v>0</v>
      </c>
      <c r="M5756" t="n">
        <v>0</v>
      </c>
      <c r="N5756" t="n">
        <v>0</v>
      </c>
      <c r="O5756" t="n">
        <v>0</v>
      </c>
      <c r="P5756" t="n">
        <v>0</v>
      </c>
      <c r="Q5756" t="n">
        <v>0</v>
      </c>
      <c r="R5756" s="2" t="inlineStr"/>
    </row>
    <row r="5757" ht="15" customHeight="1">
      <c r="A5757" t="inlineStr">
        <is>
          <t>A 22279-2024</t>
        </is>
      </c>
      <c r="B5757" s="1" t="n">
        <v>45446</v>
      </c>
      <c r="C5757" s="1" t="n">
        <v>45952</v>
      </c>
      <c r="D5757" t="inlineStr">
        <is>
          <t>VÄSTRA GÖTALANDS LÄN</t>
        </is>
      </c>
      <c r="E5757" t="inlineStr">
        <is>
          <t>ESSUNGA</t>
        </is>
      </c>
      <c r="F5757" t="inlineStr">
        <is>
          <t>Allmännings- och besparingsskogar</t>
        </is>
      </c>
      <c r="G5757" t="n">
        <v>3.9</v>
      </c>
      <c r="H5757" t="n">
        <v>0</v>
      </c>
      <c r="I5757" t="n">
        <v>0</v>
      </c>
      <c r="J5757" t="n">
        <v>0</v>
      </c>
      <c r="K5757" t="n">
        <v>0</v>
      </c>
      <c r="L5757" t="n">
        <v>0</v>
      </c>
      <c r="M5757" t="n">
        <v>0</v>
      </c>
      <c r="N5757" t="n">
        <v>0</v>
      </c>
      <c r="O5757" t="n">
        <v>0</v>
      </c>
      <c r="P5757" t="n">
        <v>0</v>
      </c>
      <c r="Q5757" t="n">
        <v>0</v>
      </c>
      <c r="R5757" s="2" t="inlineStr"/>
    </row>
    <row r="5758" ht="15" customHeight="1">
      <c r="A5758" t="inlineStr">
        <is>
          <t>A 22283-2024</t>
        </is>
      </c>
      <c r="B5758" s="1" t="n">
        <v>45446</v>
      </c>
      <c r="C5758" s="1" t="n">
        <v>45952</v>
      </c>
      <c r="D5758" t="inlineStr">
        <is>
          <t>VÄSTRA GÖTALANDS LÄN</t>
        </is>
      </c>
      <c r="E5758" t="inlineStr">
        <is>
          <t>ESSUNGA</t>
        </is>
      </c>
      <c r="F5758" t="inlineStr">
        <is>
          <t>Allmännings- och besparingsskogar</t>
        </is>
      </c>
      <c r="G5758" t="n">
        <v>1.6</v>
      </c>
      <c r="H5758" t="n">
        <v>0</v>
      </c>
      <c r="I5758" t="n">
        <v>0</v>
      </c>
      <c r="J5758" t="n">
        <v>0</v>
      </c>
      <c r="K5758" t="n">
        <v>0</v>
      </c>
      <c r="L5758" t="n">
        <v>0</v>
      </c>
      <c r="M5758" t="n">
        <v>0</v>
      </c>
      <c r="N5758" t="n">
        <v>0</v>
      </c>
      <c r="O5758" t="n">
        <v>0</v>
      </c>
      <c r="P5758" t="n">
        <v>0</v>
      </c>
      <c r="Q5758" t="n">
        <v>0</v>
      </c>
      <c r="R5758" s="2" t="inlineStr"/>
    </row>
    <row r="5759" ht="15" customHeight="1">
      <c r="A5759" t="inlineStr">
        <is>
          <t>A 22290-2024</t>
        </is>
      </c>
      <c r="B5759" s="1" t="n">
        <v>45446</v>
      </c>
      <c r="C5759" s="1" t="n">
        <v>45952</v>
      </c>
      <c r="D5759" t="inlineStr">
        <is>
          <t>VÄSTRA GÖTALANDS LÄN</t>
        </is>
      </c>
      <c r="E5759" t="inlineStr">
        <is>
          <t>HERRLJUNGA</t>
        </is>
      </c>
      <c r="G5759" t="n">
        <v>1.2</v>
      </c>
      <c r="H5759" t="n">
        <v>0</v>
      </c>
      <c r="I5759" t="n">
        <v>0</v>
      </c>
      <c r="J5759" t="n">
        <v>0</v>
      </c>
      <c r="K5759" t="n">
        <v>0</v>
      </c>
      <c r="L5759" t="n">
        <v>0</v>
      </c>
      <c r="M5759" t="n">
        <v>0</v>
      </c>
      <c r="N5759" t="n">
        <v>0</v>
      </c>
      <c r="O5759" t="n">
        <v>0</v>
      </c>
      <c r="P5759" t="n">
        <v>0</v>
      </c>
      <c r="Q5759" t="n">
        <v>0</v>
      </c>
      <c r="R5759" s="2" t="inlineStr"/>
    </row>
    <row r="5760" ht="15" customHeight="1">
      <c r="A5760" t="inlineStr">
        <is>
          <t>A 18244-2022</t>
        </is>
      </c>
      <c r="B5760" s="1" t="n">
        <v>44685</v>
      </c>
      <c r="C5760" s="1" t="n">
        <v>45952</v>
      </c>
      <c r="D5760" t="inlineStr">
        <is>
          <t>VÄSTRA GÖTALANDS LÄN</t>
        </is>
      </c>
      <c r="E5760" t="inlineStr">
        <is>
          <t>VARA</t>
        </is>
      </c>
      <c r="G5760" t="n">
        <v>1.9</v>
      </c>
      <c r="H5760" t="n">
        <v>0</v>
      </c>
      <c r="I5760" t="n">
        <v>0</v>
      </c>
      <c r="J5760" t="n">
        <v>0</v>
      </c>
      <c r="K5760" t="n">
        <v>0</v>
      </c>
      <c r="L5760" t="n">
        <v>0</v>
      </c>
      <c r="M5760" t="n">
        <v>0</v>
      </c>
      <c r="N5760" t="n">
        <v>0</v>
      </c>
      <c r="O5760" t="n">
        <v>0</v>
      </c>
      <c r="P5760" t="n">
        <v>0</v>
      </c>
      <c r="Q5760" t="n">
        <v>0</v>
      </c>
      <c r="R5760" s="2" t="inlineStr"/>
    </row>
    <row r="5761" ht="15" customHeight="1">
      <c r="A5761" t="inlineStr">
        <is>
          <t>A 27606-2023</t>
        </is>
      </c>
      <c r="B5761" s="1" t="n">
        <v>45097</v>
      </c>
      <c r="C5761" s="1" t="n">
        <v>45952</v>
      </c>
      <c r="D5761" t="inlineStr">
        <is>
          <t>VÄSTRA GÖTALANDS LÄN</t>
        </is>
      </c>
      <c r="E5761" t="inlineStr">
        <is>
          <t>FALKÖPING</t>
        </is>
      </c>
      <c r="G5761" t="n">
        <v>1.1</v>
      </c>
      <c r="H5761" t="n">
        <v>0</v>
      </c>
      <c r="I5761" t="n">
        <v>0</v>
      </c>
      <c r="J5761" t="n">
        <v>0</v>
      </c>
      <c r="K5761" t="n">
        <v>0</v>
      </c>
      <c r="L5761" t="n">
        <v>0</v>
      </c>
      <c r="M5761" t="n">
        <v>0</v>
      </c>
      <c r="N5761" t="n">
        <v>0</v>
      </c>
      <c r="O5761" t="n">
        <v>0</v>
      </c>
      <c r="P5761" t="n">
        <v>0</v>
      </c>
      <c r="Q5761" t="n">
        <v>0</v>
      </c>
      <c r="R5761" s="2" t="inlineStr"/>
    </row>
    <row r="5762" ht="15" customHeight="1">
      <c r="A5762" t="inlineStr">
        <is>
          <t>A 8765-2022</t>
        </is>
      </c>
      <c r="B5762" s="1" t="n">
        <v>44614</v>
      </c>
      <c r="C5762" s="1" t="n">
        <v>45952</v>
      </c>
      <c r="D5762" t="inlineStr">
        <is>
          <t>VÄSTRA GÖTALANDS LÄN</t>
        </is>
      </c>
      <c r="E5762" t="inlineStr">
        <is>
          <t>GÖTENE</t>
        </is>
      </c>
      <c r="F5762" t="inlineStr">
        <is>
          <t>Kyrkan</t>
        </is>
      </c>
      <c r="G5762" t="n">
        <v>1.5</v>
      </c>
      <c r="H5762" t="n">
        <v>0</v>
      </c>
      <c r="I5762" t="n">
        <v>0</v>
      </c>
      <c r="J5762" t="n">
        <v>0</v>
      </c>
      <c r="K5762" t="n">
        <v>0</v>
      </c>
      <c r="L5762" t="n">
        <v>0</v>
      </c>
      <c r="M5762" t="n">
        <v>0</v>
      </c>
      <c r="N5762" t="n">
        <v>0</v>
      </c>
      <c r="O5762" t="n">
        <v>0</v>
      </c>
      <c r="P5762" t="n">
        <v>0</v>
      </c>
      <c r="Q5762" t="n">
        <v>0</v>
      </c>
      <c r="R5762" s="2" t="inlineStr"/>
    </row>
    <row r="5763" ht="15" customHeight="1">
      <c r="A5763" t="inlineStr">
        <is>
          <t>A 7289-2023</t>
        </is>
      </c>
      <c r="B5763" s="1" t="n">
        <v>44970.71144675926</v>
      </c>
      <c r="C5763" s="1" t="n">
        <v>45952</v>
      </c>
      <c r="D5763" t="inlineStr">
        <is>
          <t>VÄSTRA GÖTALANDS LÄN</t>
        </is>
      </c>
      <c r="E5763" t="inlineStr">
        <is>
          <t>SVENLJUNGA</t>
        </is>
      </c>
      <c r="G5763" t="n">
        <v>3.7</v>
      </c>
      <c r="H5763" t="n">
        <v>0</v>
      </c>
      <c r="I5763" t="n">
        <v>0</v>
      </c>
      <c r="J5763" t="n">
        <v>0</v>
      </c>
      <c r="K5763" t="n">
        <v>0</v>
      </c>
      <c r="L5763" t="n">
        <v>0</v>
      </c>
      <c r="M5763" t="n">
        <v>0</v>
      </c>
      <c r="N5763" t="n">
        <v>0</v>
      </c>
      <c r="O5763" t="n">
        <v>0</v>
      </c>
      <c r="P5763" t="n">
        <v>0</v>
      </c>
      <c r="Q5763" t="n">
        <v>0</v>
      </c>
      <c r="R5763" s="2" t="inlineStr"/>
    </row>
    <row r="5764" ht="15" customHeight="1">
      <c r="A5764" t="inlineStr">
        <is>
          <t>A 34938-2022</t>
        </is>
      </c>
      <c r="B5764" s="1" t="n">
        <v>44796</v>
      </c>
      <c r="C5764" s="1" t="n">
        <v>45952</v>
      </c>
      <c r="D5764" t="inlineStr">
        <is>
          <t>VÄSTRA GÖTALANDS LÄN</t>
        </is>
      </c>
      <c r="E5764" t="inlineStr">
        <is>
          <t>HÄRRYDA</t>
        </is>
      </c>
      <c r="G5764" t="n">
        <v>2.3</v>
      </c>
      <c r="H5764" t="n">
        <v>0</v>
      </c>
      <c r="I5764" t="n">
        <v>0</v>
      </c>
      <c r="J5764" t="n">
        <v>0</v>
      </c>
      <c r="K5764" t="n">
        <v>0</v>
      </c>
      <c r="L5764" t="n">
        <v>0</v>
      </c>
      <c r="M5764" t="n">
        <v>0</v>
      </c>
      <c r="N5764" t="n">
        <v>0</v>
      </c>
      <c r="O5764" t="n">
        <v>0</v>
      </c>
      <c r="P5764" t="n">
        <v>0</v>
      </c>
      <c r="Q5764" t="n">
        <v>0</v>
      </c>
      <c r="R5764" s="2" t="inlineStr"/>
    </row>
    <row r="5765" ht="15" customHeight="1">
      <c r="A5765" t="inlineStr">
        <is>
          <t>A 37519-2024</t>
        </is>
      </c>
      <c r="B5765" s="1" t="n">
        <v>45541.39113425926</v>
      </c>
      <c r="C5765" s="1" t="n">
        <v>45952</v>
      </c>
      <c r="D5765" t="inlineStr">
        <is>
          <t>VÄSTRA GÖTALANDS LÄN</t>
        </is>
      </c>
      <c r="E5765" t="inlineStr">
        <is>
          <t>KARLSBORG</t>
        </is>
      </c>
      <c r="F5765" t="inlineStr">
        <is>
          <t>Sveaskog</t>
        </is>
      </c>
      <c r="G5765" t="n">
        <v>9.800000000000001</v>
      </c>
      <c r="H5765" t="n">
        <v>0</v>
      </c>
      <c r="I5765" t="n">
        <v>0</v>
      </c>
      <c r="J5765" t="n">
        <v>0</v>
      </c>
      <c r="K5765" t="n">
        <v>0</v>
      </c>
      <c r="L5765" t="n">
        <v>0</v>
      </c>
      <c r="M5765" t="n">
        <v>0</v>
      </c>
      <c r="N5765" t="n">
        <v>0</v>
      </c>
      <c r="O5765" t="n">
        <v>0</v>
      </c>
      <c r="P5765" t="n">
        <v>0</v>
      </c>
      <c r="Q5765" t="n">
        <v>0</v>
      </c>
      <c r="R5765" s="2" t="inlineStr"/>
    </row>
    <row r="5766" ht="15" customHeight="1">
      <c r="A5766" t="inlineStr">
        <is>
          <t>A 37583-2024</t>
        </is>
      </c>
      <c r="B5766" s="1" t="n">
        <v>45541.45914351852</v>
      </c>
      <c r="C5766" s="1" t="n">
        <v>45952</v>
      </c>
      <c r="D5766" t="inlineStr">
        <is>
          <t>VÄSTRA GÖTALANDS LÄN</t>
        </is>
      </c>
      <c r="E5766" t="inlineStr">
        <is>
          <t>LYSEKIL</t>
        </is>
      </c>
      <c r="G5766" t="n">
        <v>0.7</v>
      </c>
      <c r="H5766" t="n">
        <v>0</v>
      </c>
      <c r="I5766" t="n">
        <v>0</v>
      </c>
      <c r="J5766" t="n">
        <v>0</v>
      </c>
      <c r="K5766" t="n">
        <v>0</v>
      </c>
      <c r="L5766" t="n">
        <v>0</v>
      </c>
      <c r="M5766" t="n">
        <v>0</v>
      </c>
      <c r="N5766" t="n">
        <v>0</v>
      </c>
      <c r="O5766" t="n">
        <v>0</v>
      </c>
      <c r="P5766" t="n">
        <v>0</v>
      </c>
      <c r="Q5766" t="n">
        <v>0</v>
      </c>
      <c r="R5766" s="2" t="inlineStr"/>
    </row>
    <row r="5767" ht="15" customHeight="1">
      <c r="A5767" t="inlineStr">
        <is>
          <t>A 49751-2023</t>
        </is>
      </c>
      <c r="B5767" s="1" t="n">
        <v>45212.52082175926</v>
      </c>
      <c r="C5767" s="1" t="n">
        <v>45952</v>
      </c>
      <c r="D5767" t="inlineStr">
        <is>
          <t>VÄSTRA GÖTALANDS LÄN</t>
        </is>
      </c>
      <c r="E5767" t="inlineStr">
        <is>
          <t>VÅRGÅRDA</t>
        </is>
      </c>
      <c r="G5767" t="n">
        <v>11.5</v>
      </c>
      <c r="H5767" t="n">
        <v>0</v>
      </c>
      <c r="I5767" t="n">
        <v>0</v>
      </c>
      <c r="J5767" t="n">
        <v>0</v>
      </c>
      <c r="K5767" t="n">
        <v>0</v>
      </c>
      <c r="L5767" t="n">
        <v>0</v>
      </c>
      <c r="M5767" t="n">
        <v>0</v>
      </c>
      <c r="N5767" t="n">
        <v>0</v>
      </c>
      <c r="O5767" t="n">
        <v>0</v>
      </c>
      <c r="P5767" t="n">
        <v>0</v>
      </c>
      <c r="Q5767" t="n">
        <v>0</v>
      </c>
      <c r="R5767" s="2" t="inlineStr"/>
    </row>
    <row r="5768" ht="15" customHeight="1">
      <c r="A5768" t="inlineStr">
        <is>
          <t>A 57915-2024</t>
        </is>
      </c>
      <c r="B5768" s="1" t="n">
        <v>45631.49766203704</v>
      </c>
      <c r="C5768" s="1" t="n">
        <v>45952</v>
      </c>
      <c r="D5768" t="inlineStr">
        <is>
          <t>VÄSTRA GÖTALANDS LÄN</t>
        </is>
      </c>
      <c r="E5768" t="inlineStr">
        <is>
          <t>KARLSBORG</t>
        </is>
      </c>
      <c r="F5768" t="inlineStr">
        <is>
          <t>Sveaskog</t>
        </is>
      </c>
      <c r="G5768" t="n">
        <v>0.2</v>
      </c>
      <c r="H5768" t="n">
        <v>0</v>
      </c>
      <c r="I5768" t="n">
        <v>0</v>
      </c>
      <c r="J5768" t="n">
        <v>0</v>
      </c>
      <c r="K5768" t="n">
        <v>0</v>
      </c>
      <c r="L5768" t="n">
        <v>0</v>
      </c>
      <c r="M5768" t="n">
        <v>0</v>
      </c>
      <c r="N5768" t="n">
        <v>0</v>
      </c>
      <c r="O5768" t="n">
        <v>0</v>
      </c>
      <c r="P5768" t="n">
        <v>0</v>
      </c>
      <c r="Q5768" t="n">
        <v>0</v>
      </c>
      <c r="R5768" s="2" t="inlineStr"/>
    </row>
    <row r="5769" ht="15" customHeight="1">
      <c r="A5769" t="inlineStr">
        <is>
          <t>A 9693-2021</t>
        </is>
      </c>
      <c r="B5769" s="1" t="n">
        <v>44252</v>
      </c>
      <c r="C5769" s="1" t="n">
        <v>45952</v>
      </c>
      <c r="D5769" t="inlineStr">
        <is>
          <t>VÄSTRA GÖTALANDS LÄN</t>
        </is>
      </c>
      <c r="E5769" t="inlineStr">
        <is>
          <t>HÄRRYDA</t>
        </is>
      </c>
      <c r="G5769" t="n">
        <v>1.2</v>
      </c>
      <c r="H5769" t="n">
        <v>0</v>
      </c>
      <c r="I5769" t="n">
        <v>0</v>
      </c>
      <c r="J5769" t="n">
        <v>0</v>
      </c>
      <c r="K5769" t="n">
        <v>0</v>
      </c>
      <c r="L5769" t="n">
        <v>0</v>
      </c>
      <c r="M5769" t="n">
        <v>0</v>
      </c>
      <c r="N5769" t="n">
        <v>0</v>
      </c>
      <c r="O5769" t="n">
        <v>0</v>
      </c>
      <c r="P5769" t="n">
        <v>0</v>
      </c>
      <c r="Q5769" t="n">
        <v>0</v>
      </c>
      <c r="R5769" s="2" t="inlineStr"/>
    </row>
    <row r="5770" ht="15" customHeight="1">
      <c r="A5770" t="inlineStr">
        <is>
          <t>A 62128-2021</t>
        </is>
      </c>
      <c r="B5770" s="1" t="n">
        <v>44502</v>
      </c>
      <c r="C5770" s="1" t="n">
        <v>45952</v>
      </c>
      <c r="D5770" t="inlineStr">
        <is>
          <t>VÄSTRA GÖTALANDS LÄN</t>
        </is>
      </c>
      <c r="E5770" t="inlineStr">
        <is>
          <t>KUNGÄLV</t>
        </is>
      </c>
      <c r="G5770" t="n">
        <v>1.8</v>
      </c>
      <c r="H5770" t="n">
        <v>0</v>
      </c>
      <c r="I5770" t="n">
        <v>0</v>
      </c>
      <c r="J5770" t="n">
        <v>0</v>
      </c>
      <c r="K5770" t="n">
        <v>0</v>
      </c>
      <c r="L5770" t="n">
        <v>0</v>
      </c>
      <c r="M5770" t="n">
        <v>0</v>
      </c>
      <c r="N5770" t="n">
        <v>0</v>
      </c>
      <c r="O5770" t="n">
        <v>0</v>
      </c>
      <c r="P5770" t="n">
        <v>0</v>
      </c>
      <c r="Q5770" t="n">
        <v>0</v>
      </c>
      <c r="R5770" s="2" t="inlineStr"/>
    </row>
    <row r="5771" ht="15" customHeight="1">
      <c r="A5771" t="inlineStr">
        <is>
          <t>A 60814-2024</t>
        </is>
      </c>
      <c r="B5771" s="1" t="n">
        <v>45644.61975694444</v>
      </c>
      <c r="C5771" s="1" t="n">
        <v>45952</v>
      </c>
      <c r="D5771" t="inlineStr">
        <is>
          <t>VÄSTRA GÖTALANDS LÄN</t>
        </is>
      </c>
      <c r="E5771" t="inlineStr">
        <is>
          <t>VÅRGÅRDA</t>
        </is>
      </c>
      <c r="G5771" t="n">
        <v>1</v>
      </c>
      <c r="H5771" t="n">
        <v>0</v>
      </c>
      <c r="I5771" t="n">
        <v>0</v>
      </c>
      <c r="J5771" t="n">
        <v>0</v>
      </c>
      <c r="K5771" t="n">
        <v>0</v>
      </c>
      <c r="L5771" t="n">
        <v>0</v>
      </c>
      <c r="M5771" t="n">
        <v>0</v>
      </c>
      <c r="N5771" t="n">
        <v>0</v>
      </c>
      <c r="O5771" t="n">
        <v>0</v>
      </c>
      <c r="P5771" t="n">
        <v>0</v>
      </c>
      <c r="Q5771" t="n">
        <v>0</v>
      </c>
      <c r="R5771" s="2" t="inlineStr"/>
    </row>
    <row r="5772" ht="15" customHeight="1">
      <c r="A5772" t="inlineStr">
        <is>
          <t>A 60845-2024</t>
        </is>
      </c>
      <c r="B5772" s="1" t="n">
        <v>45644.65484953704</v>
      </c>
      <c r="C5772" s="1" t="n">
        <v>45952</v>
      </c>
      <c r="D5772" t="inlineStr">
        <is>
          <t>VÄSTRA GÖTALANDS LÄN</t>
        </is>
      </c>
      <c r="E5772" t="inlineStr">
        <is>
          <t>TRANEMO</t>
        </is>
      </c>
      <c r="G5772" t="n">
        <v>0.7</v>
      </c>
      <c r="H5772" t="n">
        <v>0</v>
      </c>
      <c r="I5772" t="n">
        <v>0</v>
      </c>
      <c r="J5772" t="n">
        <v>0</v>
      </c>
      <c r="K5772" t="n">
        <v>0</v>
      </c>
      <c r="L5772" t="n">
        <v>0</v>
      </c>
      <c r="M5772" t="n">
        <v>0</v>
      </c>
      <c r="N5772" t="n">
        <v>0</v>
      </c>
      <c r="O5772" t="n">
        <v>0</v>
      </c>
      <c r="P5772" t="n">
        <v>0</v>
      </c>
      <c r="Q5772" t="n">
        <v>0</v>
      </c>
      <c r="R5772" s="2" t="inlineStr"/>
    </row>
    <row r="5773" ht="15" customHeight="1">
      <c r="A5773" t="inlineStr">
        <is>
          <t>A 19545-2024</t>
        </is>
      </c>
      <c r="B5773" s="1" t="n">
        <v>45429</v>
      </c>
      <c r="C5773" s="1" t="n">
        <v>45952</v>
      </c>
      <c r="D5773" t="inlineStr">
        <is>
          <t>VÄSTRA GÖTALANDS LÄN</t>
        </is>
      </c>
      <c r="E5773" t="inlineStr">
        <is>
          <t>MELLERUD</t>
        </is>
      </c>
      <c r="G5773" t="n">
        <v>0.7</v>
      </c>
      <c r="H5773" t="n">
        <v>0</v>
      </c>
      <c r="I5773" t="n">
        <v>0</v>
      </c>
      <c r="J5773" t="n">
        <v>0</v>
      </c>
      <c r="K5773" t="n">
        <v>0</v>
      </c>
      <c r="L5773" t="n">
        <v>0</v>
      </c>
      <c r="M5773" t="n">
        <v>0</v>
      </c>
      <c r="N5773" t="n">
        <v>0</v>
      </c>
      <c r="O5773" t="n">
        <v>0</v>
      </c>
      <c r="P5773" t="n">
        <v>0</v>
      </c>
      <c r="Q5773" t="n">
        <v>0</v>
      </c>
      <c r="R5773" s="2" t="inlineStr"/>
    </row>
    <row r="5774" ht="15" customHeight="1">
      <c r="A5774" t="inlineStr">
        <is>
          <t>A 60383-2022</t>
        </is>
      </c>
      <c r="B5774" s="1" t="n">
        <v>44910.71126157408</v>
      </c>
      <c r="C5774" s="1" t="n">
        <v>45952</v>
      </c>
      <c r="D5774" t="inlineStr">
        <is>
          <t>VÄSTRA GÖTALANDS LÄN</t>
        </is>
      </c>
      <c r="E5774" t="inlineStr">
        <is>
          <t>BORÅS</t>
        </is>
      </c>
      <c r="G5774" t="n">
        <v>1.4</v>
      </c>
      <c r="H5774" t="n">
        <v>0</v>
      </c>
      <c r="I5774" t="n">
        <v>0</v>
      </c>
      <c r="J5774" t="n">
        <v>0</v>
      </c>
      <c r="K5774" t="n">
        <v>0</v>
      </c>
      <c r="L5774" t="n">
        <v>0</v>
      </c>
      <c r="M5774" t="n">
        <v>0</v>
      </c>
      <c r="N5774" t="n">
        <v>0</v>
      </c>
      <c r="O5774" t="n">
        <v>0</v>
      </c>
      <c r="P5774" t="n">
        <v>0</v>
      </c>
      <c r="Q5774" t="n">
        <v>0</v>
      </c>
      <c r="R5774" s="2" t="inlineStr"/>
    </row>
    <row r="5775" ht="15" customHeight="1">
      <c r="A5775" t="inlineStr">
        <is>
          <t>A 1440-2023</t>
        </is>
      </c>
      <c r="B5775" s="1" t="n">
        <v>44931</v>
      </c>
      <c r="C5775" s="1" t="n">
        <v>45952</v>
      </c>
      <c r="D5775" t="inlineStr">
        <is>
          <t>VÄSTRA GÖTALANDS LÄN</t>
        </is>
      </c>
      <c r="E5775" t="inlineStr">
        <is>
          <t>TRANEMO</t>
        </is>
      </c>
      <c r="G5775" t="n">
        <v>2.9</v>
      </c>
      <c r="H5775" t="n">
        <v>0</v>
      </c>
      <c r="I5775" t="n">
        <v>0</v>
      </c>
      <c r="J5775" t="n">
        <v>0</v>
      </c>
      <c r="K5775" t="n">
        <v>0</v>
      </c>
      <c r="L5775" t="n">
        <v>0</v>
      </c>
      <c r="M5775" t="n">
        <v>0</v>
      </c>
      <c r="N5775" t="n">
        <v>0</v>
      </c>
      <c r="O5775" t="n">
        <v>0</v>
      </c>
      <c r="P5775" t="n">
        <v>0</v>
      </c>
      <c r="Q5775" t="n">
        <v>0</v>
      </c>
      <c r="R5775" s="2" t="inlineStr"/>
    </row>
    <row r="5776" ht="15" customHeight="1">
      <c r="A5776" t="inlineStr">
        <is>
          <t>A 35438-2024</t>
        </is>
      </c>
      <c r="B5776" s="1" t="n">
        <v>45531</v>
      </c>
      <c r="C5776" s="1" t="n">
        <v>45952</v>
      </c>
      <c r="D5776" t="inlineStr">
        <is>
          <t>VÄSTRA GÖTALANDS LÄN</t>
        </is>
      </c>
      <c r="E5776" t="inlineStr">
        <is>
          <t>TÖREBODA</t>
        </is>
      </c>
      <c r="G5776" t="n">
        <v>6.1</v>
      </c>
      <c r="H5776" t="n">
        <v>0</v>
      </c>
      <c r="I5776" t="n">
        <v>0</v>
      </c>
      <c r="J5776" t="n">
        <v>0</v>
      </c>
      <c r="K5776" t="n">
        <v>0</v>
      </c>
      <c r="L5776" t="n">
        <v>0</v>
      </c>
      <c r="M5776" t="n">
        <v>0</v>
      </c>
      <c r="N5776" t="n">
        <v>0</v>
      </c>
      <c r="O5776" t="n">
        <v>0</v>
      </c>
      <c r="P5776" t="n">
        <v>0</v>
      </c>
      <c r="Q5776" t="n">
        <v>0</v>
      </c>
      <c r="R5776" s="2" t="inlineStr"/>
    </row>
    <row r="5777" ht="15" customHeight="1">
      <c r="A5777" t="inlineStr">
        <is>
          <t>A 35441-2024</t>
        </is>
      </c>
      <c r="B5777" s="1" t="n">
        <v>45531.4332175926</v>
      </c>
      <c r="C5777" s="1" t="n">
        <v>45952</v>
      </c>
      <c r="D5777" t="inlineStr">
        <is>
          <t>VÄSTRA GÖTALANDS LÄN</t>
        </is>
      </c>
      <c r="E5777" t="inlineStr">
        <is>
          <t>KARLSBORG</t>
        </is>
      </c>
      <c r="F5777" t="inlineStr">
        <is>
          <t>Sveaskog</t>
        </is>
      </c>
      <c r="G5777" t="n">
        <v>9.800000000000001</v>
      </c>
      <c r="H5777" t="n">
        <v>0</v>
      </c>
      <c r="I5777" t="n">
        <v>0</v>
      </c>
      <c r="J5777" t="n">
        <v>0</v>
      </c>
      <c r="K5777" t="n">
        <v>0</v>
      </c>
      <c r="L5777" t="n">
        <v>0</v>
      </c>
      <c r="M5777" t="n">
        <v>0</v>
      </c>
      <c r="N5777" t="n">
        <v>0</v>
      </c>
      <c r="O5777" t="n">
        <v>0</v>
      </c>
      <c r="P5777" t="n">
        <v>0</v>
      </c>
      <c r="Q5777" t="n">
        <v>0</v>
      </c>
      <c r="R5777" s="2" t="inlineStr"/>
    </row>
    <row r="5778" ht="15" customHeight="1">
      <c r="A5778" t="inlineStr">
        <is>
          <t>A 35443-2024</t>
        </is>
      </c>
      <c r="B5778" s="1" t="n">
        <v>45531.43494212963</v>
      </c>
      <c r="C5778" s="1" t="n">
        <v>45952</v>
      </c>
      <c r="D5778" t="inlineStr">
        <is>
          <t>VÄSTRA GÖTALANDS LÄN</t>
        </is>
      </c>
      <c r="E5778" t="inlineStr">
        <is>
          <t>KARLSBORG</t>
        </is>
      </c>
      <c r="F5778" t="inlineStr">
        <is>
          <t>Sveaskog</t>
        </is>
      </c>
      <c r="G5778" t="n">
        <v>5.7</v>
      </c>
      <c r="H5778" t="n">
        <v>0</v>
      </c>
      <c r="I5778" t="n">
        <v>0</v>
      </c>
      <c r="J5778" t="n">
        <v>0</v>
      </c>
      <c r="K5778" t="n">
        <v>0</v>
      </c>
      <c r="L5778" t="n">
        <v>0</v>
      </c>
      <c r="M5778" t="n">
        <v>0</v>
      </c>
      <c r="N5778" t="n">
        <v>0</v>
      </c>
      <c r="O5778" t="n">
        <v>0</v>
      </c>
      <c r="P5778" t="n">
        <v>0</v>
      </c>
      <c r="Q5778" t="n">
        <v>0</v>
      </c>
      <c r="R5778" s="2" t="inlineStr"/>
    </row>
    <row r="5779" ht="15" customHeight="1">
      <c r="A5779" t="inlineStr">
        <is>
          <t>A 60191-2022</t>
        </is>
      </c>
      <c r="B5779" s="1" t="n">
        <v>44910</v>
      </c>
      <c r="C5779" s="1" t="n">
        <v>45952</v>
      </c>
      <c r="D5779" t="inlineStr">
        <is>
          <t>VÄSTRA GÖTALANDS LÄN</t>
        </is>
      </c>
      <c r="E5779" t="inlineStr">
        <is>
          <t>VÅRGÅRDA</t>
        </is>
      </c>
      <c r="G5779" t="n">
        <v>2.8</v>
      </c>
      <c r="H5779" t="n">
        <v>0</v>
      </c>
      <c r="I5779" t="n">
        <v>0</v>
      </c>
      <c r="J5779" t="n">
        <v>0</v>
      </c>
      <c r="K5779" t="n">
        <v>0</v>
      </c>
      <c r="L5779" t="n">
        <v>0</v>
      </c>
      <c r="M5779" t="n">
        <v>0</v>
      </c>
      <c r="N5779" t="n">
        <v>0</v>
      </c>
      <c r="O5779" t="n">
        <v>0</v>
      </c>
      <c r="P5779" t="n">
        <v>0</v>
      </c>
      <c r="Q5779" t="n">
        <v>0</v>
      </c>
      <c r="R5779" s="2" t="inlineStr"/>
    </row>
    <row r="5780" ht="15" customHeight="1">
      <c r="A5780" t="inlineStr">
        <is>
          <t>A 73168-2021</t>
        </is>
      </c>
      <c r="B5780" s="1" t="n">
        <v>44550</v>
      </c>
      <c r="C5780" s="1" t="n">
        <v>45952</v>
      </c>
      <c r="D5780" t="inlineStr">
        <is>
          <t>VÄSTRA GÖTALANDS LÄN</t>
        </is>
      </c>
      <c r="E5780" t="inlineStr">
        <is>
          <t>VARA</t>
        </is>
      </c>
      <c r="G5780" t="n">
        <v>1.7</v>
      </c>
      <c r="H5780" t="n">
        <v>0</v>
      </c>
      <c r="I5780" t="n">
        <v>0</v>
      </c>
      <c r="J5780" t="n">
        <v>0</v>
      </c>
      <c r="K5780" t="n">
        <v>0</v>
      </c>
      <c r="L5780" t="n">
        <v>0</v>
      </c>
      <c r="M5780" t="n">
        <v>0</v>
      </c>
      <c r="N5780" t="n">
        <v>0</v>
      </c>
      <c r="O5780" t="n">
        <v>0</v>
      </c>
      <c r="P5780" t="n">
        <v>0</v>
      </c>
      <c r="Q5780" t="n">
        <v>0</v>
      </c>
      <c r="R5780" s="2" t="inlineStr"/>
    </row>
    <row r="5781" ht="15" customHeight="1">
      <c r="A5781" t="inlineStr">
        <is>
          <t>A 18095-2024</t>
        </is>
      </c>
      <c r="B5781" s="1" t="n">
        <v>45420</v>
      </c>
      <c r="C5781" s="1" t="n">
        <v>45952</v>
      </c>
      <c r="D5781" t="inlineStr">
        <is>
          <t>VÄSTRA GÖTALANDS LÄN</t>
        </is>
      </c>
      <c r="E5781" t="inlineStr">
        <is>
          <t>TIDAHOLM</t>
        </is>
      </c>
      <c r="G5781" t="n">
        <v>2.2</v>
      </c>
      <c r="H5781" t="n">
        <v>0</v>
      </c>
      <c r="I5781" t="n">
        <v>0</v>
      </c>
      <c r="J5781" t="n">
        <v>0</v>
      </c>
      <c r="K5781" t="n">
        <v>0</v>
      </c>
      <c r="L5781" t="n">
        <v>0</v>
      </c>
      <c r="M5781" t="n">
        <v>0</v>
      </c>
      <c r="N5781" t="n">
        <v>0</v>
      </c>
      <c r="O5781" t="n">
        <v>0</v>
      </c>
      <c r="P5781" t="n">
        <v>0</v>
      </c>
      <c r="Q5781" t="n">
        <v>0</v>
      </c>
      <c r="R5781" s="2" t="inlineStr"/>
    </row>
    <row r="5782" ht="15" customHeight="1">
      <c r="A5782" t="inlineStr">
        <is>
          <t>A 20475-2023</t>
        </is>
      </c>
      <c r="B5782" s="1" t="n">
        <v>45057</v>
      </c>
      <c r="C5782" s="1" t="n">
        <v>45952</v>
      </c>
      <c r="D5782" t="inlineStr">
        <is>
          <t>VÄSTRA GÖTALANDS LÄN</t>
        </is>
      </c>
      <c r="E5782" t="inlineStr">
        <is>
          <t>VÅRGÅRDA</t>
        </is>
      </c>
      <c r="G5782" t="n">
        <v>3.1</v>
      </c>
      <c r="H5782" t="n">
        <v>0</v>
      </c>
      <c r="I5782" t="n">
        <v>0</v>
      </c>
      <c r="J5782" t="n">
        <v>0</v>
      </c>
      <c r="K5782" t="n">
        <v>0</v>
      </c>
      <c r="L5782" t="n">
        <v>0</v>
      </c>
      <c r="M5782" t="n">
        <v>0</v>
      </c>
      <c r="N5782" t="n">
        <v>0</v>
      </c>
      <c r="O5782" t="n">
        <v>0</v>
      </c>
      <c r="P5782" t="n">
        <v>0</v>
      </c>
      <c r="Q5782" t="n">
        <v>0</v>
      </c>
      <c r="R5782" s="2" t="inlineStr"/>
    </row>
    <row r="5783" ht="15" customHeight="1">
      <c r="A5783" t="inlineStr">
        <is>
          <t>A 18878-2023</t>
        </is>
      </c>
      <c r="B5783" s="1" t="n">
        <v>45044</v>
      </c>
      <c r="C5783" s="1" t="n">
        <v>45952</v>
      </c>
      <c r="D5783" t="inlineStr">
        <is>
          <t>VÄSTRA GÖTALANDS LÄN</t>
        </is>
      </c>
      <c r="E5783" t="inlineStr">
        <is>
          <t>TRANEMO</t>
        </is>
      </c>
      <c r="G5783" t="n">
        <v>2</v>
      </c>
      <c r="H5783" t="n">
        <v>0</v>
      </c>
      <c r="I5783" t="n">
        <v>0</v>
      </c>
      <c r="J5783" t="n">
        <v>0</v>
      </c>
      <c r="K5783" t="n">
        <v>0</v>
      </c>
      <c r="L5783" t="n">
        <v>0</v>
      </c>
      <c r="M5783" t="n">
        <v>0</v>
      </c>
      <c r="N5783" t="n">
        <v>0</v>
      </c>
      <c r="O5783" t="n">
        <v>0</v>
      </c>
      <c r="P5783" t="n">
        <v>0</v>
      </c>
      <c r="Q5783" t="n">
        <v>0</v>
      </c>
      <c r="R5783" s="2" t="inlineStr"/>
    </row>
    <row r="5784" ht="15" customHeight="1">
      <c r="A5784" t="inlineStr">
        <is>
          <t>A 15404-2023</t>
        </is>
      </c>
      <c r="B5784" s="1" t="n">
        <v>45019</v>
      </c>
      <c r="C5784" s="1" t="n">
        <v>45952</v>
      </c>
      <c r="D5784" t="inlineStr">
        <is>
          <t>VÄSTRA GÖTALANDS LÄN</t>
        </is>
      </c>
      <c r="E5784" t="inlineStr">
        <is>
          <t>SKÖVDE</t>
        </is>
      </c>
      <c r="G5784" t="n">
        <v>1.7</v>
      </c>
      <c r="H5784" t="n">
        <v>0</v>
      </c>
      <c r="I5784" t="n">
        <v>0</v>
      </c>
      <c r="J5784" t="n">
        <v>0</v>
      </c>
      <c r="K5784" t="n">
        <v>0</v>
      </c>
      <c r="L5784" t="n">
        <v>0</v>
      </c>
      <c r="M5784" t="n">
        <v>0</v>
      </c>
      <c r="N5784" t="n">
        <v>0</v>
      </c>
      <c r="O5784" t="n">
        <v>0</v>
      </c>
      <c r="P5784" t="n">
        <v>0</v>
      </c>
      <c r="Q5784" t="n">
        <v>0</v>
      </c>
      <c r="R5784" s="2" t="inlineStr"/>
    </row>
    <row r="5785" ht="15" customHeight="1">
      <c r="A5785" t="inlineStr">
        <is>
          <t>A 56218-2022</t>
        </is>
      </c>
      <c r="B5785" s="1" t="n">
        <v>44890.46577546297</v>
      </c>
      <c r="C5785" s="1" t="n">
        <v>45952</v>
      </c>
      <c r="D5785" t="inlineStr">
        <is>
          <t>VÄSTRA GÖTALANDS LÄN</t>
        </is>
      </c>
      <c r="E5785" t="inlineStr">
        <is>
          <t>ÅMÅL</t>
        </is>
      </c>
      <c r="G5785" t="n">
        <v>2</v>
      </c>
      <c r="H5785" t="n">
        <v>0</v>
      </c>
      <c r="I5785" t="n">
        <v>0</v>
      </c>
      <c r="J5785" t="n">
        <v>0</v>
      </c>
      <c r="K5785" t="n">
        <v>0</v>
      </c>
      <c r="L5785" t="n">
        <v>0</v>
      </c>
      <c r="M5785" t="n">
        <v>0</v>
      </c>
      <c r="N5785" t="n">
        <v>0</v>
      </c>
      <c r="O5785" t="n">
        <v>0</v>
      </c>
      <c r="P5785" t="n">
        <v>0</v>
      </c>
      <c r="Q5785" t="n">
        <v>0</v>
      </c>
      <c r="R5785" s="2" t="inlineStr"/>
    </row>
    <row r="5786" ht="15" customHeight="1">
      <c r="A5786" t="inlineStr">
        <is>
          <t>A 47692-2024</t>
        </is>
      </c>
      <c r="B5786" s="1" t="n">
        <v>45588.45613425926</v>
      </c>
      <c r="C5786" s="1" t="n">
        <v>45952</v>
      </c>
      <c r="D5786" t="inlineStr">
        <is>
          <t>VÄSTRA GÖTALANDS LÄN</t>
        </is>
      </c>
      <c r="E5786" t="inlineStr">
        <is>
          <t>ÅMÅL</t>
        </is>
      </c>
      <c r="G5786" t="n">
        <v>1.8</v>
      </c>
      <c r="H5786" t="n">
        <v>0</v>
      </c>
      <c r="I5786" t="n">
        <v>0</v>
      </c>
      <c r="J5786" t="n">
        <v>0</v>
      </c>
      <c r="K5786" t="n">
        <v>0</v>
      </c>
      <c r="L5786" t="n">
        <v>0</v>
      </c>
      <c r="M5786" t="n">
        <v>0</v>
      </c>
      <c r="N5786" t="n">
        <v>0</v>
      </c>
      <c r="O5786" t="n">
        <v>0</v>
      </c>
      <c r="P5786" t="n">
        <v>0</v>
      </c>
      <c r="Q5786" t="n">
        <v>0</v>
      </c>
      <c r="R5786" s="2" t="inlineStr"/>
    </row>
    <row r="5787" ht="15" customHeight="1">
      <c r="A5787" t="inlineStr">
        <is>
          <t>A 47707-2024</t>
        </is>
      </c>
      <c r="B5787" s="1" t="n">
        <v>45588.46842592592</v>
      </c>
      <c r="C5787" s="1" t="n">
        <v>45952</v>
      </c>
      <c r="D5787" t="inlineStr">
        <is>
          <t>VÄSTRA GÖTALANDS LÄN</t>
        </is>
      </c>
      <c r="E5787" t="inlineStr">
        <is>
          <t>BENGTSFORS</t>
        </is>
      </c>
      <c r="G5787" t="n">
        <v>3.8</v>
      </c>
      <c r="H5787" t="n">
        <v>0</v>
      </c>
      <c r="I5787" t="n">
        <v>0</v>
      </c>
      <c r="J5787" t="n">
        <v>0</v>
      </c>
      <c r="K5787" t="n">
        <v>0</v>
      </c>
      <c r="L5787" t="n">
        <v>0</v>
      </c>
      <c r="M5787" t="n">
        <v>0</v>
      </c>
      <c r="N5787" t="n">
        <v>0</v>
      </c>
      <c r="O5787" t="n">
        <v>0</v>
      </c>
      <c r="P5787" t="n">
        <v>0</v>
      </c>
      <c r="Q5787" t="n">
        <v>0</v>
      </c>
      <c r="R5787" s="2" t="inlineStr"/>
    </row>
    <row r="5788" ht="15" customHeight="1">
      <c r="A5788" t="inlineStr">
        <is>
          <t>A 24978-2022</t>
        </is>
      </c>
      <c r="B5788" s="1" t="n">
        <v>44728</v>
      </c>
      <c r="C5788" s="1" t="n">
        <v>45952</v>
      </c>
      <c r="D5788" t="inlineStr">
        <is>
          <t>VÄSTRA GÖTALANDS LÄN</t>
        </is>
      </c>
      <c r="E5788" t="inlineStr">
        <is>
          <t>MELLERUD</t>
        </is>
      </c>
      <c r="G5788" t="n">
        <v>2.4</v>
      </c>
      <c r="H5788" t="n">
        <v>0</v>
      </c>
      <c r="I5788" t="n">
        <v>0</v>
      </c>
      <c r="J5788" t="n">
        <v>0</v>
      </c>
      <c r="K5788" t="n">
        <v>0</v>
      </c>
      <c r="L5788" t="n">
        <v>0</v>
      </c>
      <c r="M5788" t="n">
        <v>0</v>
      </c>
      <c r="N5788" t="n">
        <v>0</v>
      </c>
      <c r="O5788" t="n">
        <v>0</v>
      </c>
      <c r="P5788" t="n">
        <v>0</v>
      </c>
      <c r="Q5788" t="n">
        <v>0</v>
      </c>
      <c r="R5788" s="2" t="inlineStr"/>
    </row>
    <row r="5789" ht="15" customHeight="1">
      <c r="A5789" t="inlineStr">
        <is>
          <t>A 57878-2022</t>
        </is>
      </c>
      <c r="B5789" s="1" t="n">
        <v>44899.875625</v>
      </c>
      <c r="C5789" s="1" t="n">
        <v>45952</v>
      </c>
      <c r="D5789" t="inlineStr">
        <is>
          <t>VÄSTRA GÖTALANDS LÄN</t>
        </is>
      </c>
      <c r="E5789" t="inlineStr">
        <is>
          <t>ORUST</t>
        </is>
      </c>
      <c r="G5789" t="n">
        <v>4.6</v>
      </c>
      <c r="H5789" t="n">
        <v>0</v>
      </c>
      <c r="I5789" t="n">
        <v>0</v>
      </c>
      <c r="J5789" t="n">
        <v>0</v>
      </c>
      <c r="K5789" t="n">
        <v>0</v>
      </c>
      <c r="L5789" t="n">
        <v>0</v>
      </c>
      <c r="M5789" t="n">
        <v>0</v>
      </c>
      <c r="N5789" t="n">
        <v>0</v>
      </c>
      <c r="O5789" t="n">
        <v>0</v>
      </c>
      <c r="P5789" t="n">
        <v>0</v>
      </c>
      <c r="Q5789" t="n">
        <v>0</v>
      </c>
      <c r="R5789" s="2" t="inlineStr"/>
    </row>
    <row r="5790" ht="15" customHeight="1">
      <c r="A5790" t="inlineStr">
        <is>
          <t>A 6766-2021</t>
        </is>
      </c>
      <c r="B5790" s="1" t="n">
        <v>44236</v>
      </c>
      <c r="C5790" s="1" t="n">
        <v>45952</v>
      </c>
      <c r="D5790" t="inlineStr">
        <is>
          <t>VÄSTRA GÖTALANDS LÄN</t>
        </is>
      </c>
      <c r="E5790" t="inlineStr">
        <is>
          <t>VÅRGÅRDA</t>
        </is>
      </c>
      <c r="G5790" t="n">
        <v>0.4</v>
      </c>
      <c r="H5790" t="n">
        <v>0</v>
      </c>
      <c r="I5790" t="n">
        <v>0</v>
      </c>
      <c r="J5790" t="n">
        <v>0</v>
      </c>
      <c r="K5790" t="n">
        <v>0</v>
      </c>
      <c r="L5790" t="n">
        <v>0</v>
      </c>
      <c r="M5790" t="n">
        <v>0</v>
      </c>
      <c r="N5790" t="n">
        <v>0</v>
      </c>
      <c r="O5790" t="n">
        <v>0</v>
      </c>
      <c r="P5790" t="n">
        <v>0</v>
      </c>
      <c r="Q5790" t="n">
        <v>0</v>
      </c>
      <c r="R5790" s="2" t="inlineStr"/>
    </row>
    <row r="5791" ht="15" customHeight="1">
      <c r="A5791" t="inlineStr">
        <is>
          <t>A 36456-2023</t>
        </is>
      </c>
      <c r="B5791" s="1" t="n">
        <v>45151</v>
      </c>
      <c r="C5791" s="1" t="n">
        <v>45952</v>
      </c>
      <c r="D5791" t="inlineStr">
        <is>
          <t>VÄSTRA GÖTALANDS LÄN</t>
        </is>
      </c>
      <c r="E5791" t="inlineStr">
        <is>
          <t>DALS-ED</t>
        </is>
      </c>
      <c r="G5791" t="n">
        <v>0.6</v>
      </c>
      <c r="H5791" t="n">
        <v>0</v>
      </c>
      <c r="I5791" t="n">
        <v>0</v>
      </c>
      <c r="J5791" t="n">
        <v>0</v>
      </c>
      <c r="K5791" t="n">
        <v>0</v>
      </c>
      <c r="L5791" t="n">
        <v>0</v>
      </c>
      <c r="M5791" t="n">
        <v>0</v>
      </c>
      <c r="N5791" t="n">
        <v>0</v>
      </c>
      <c r="O5791" t="n">
        <v>0</v>
      </c>
      <c r="P5791" t="n">
        <v>0</v>
      </c>
      <c r="Q5791" t="n">
        <v>0</v>
      </c>
      <c r="R5791" s="2" t="inlineStr"/>
    </row>
    <row r="5792" ht="15" customHeight="1">
      <c r="A5792" t="inlineStr">
        <is>
          <t>A 27671-2025</t>
        </is>
      </c>
      <c r="B5792" s="1" t="n">
        <v>45813</v>
      </c>
      <c r="C5792" s="1" t="n">
        <v>45952</v>
      </c>
      <c r="D5792" t="inlineStr">
        <is>
          <t>VÄSTRA GÖTALANDS LÄN</t>
        </is>
      </c>
      <c r="E5792" t="inlineStr">
        <is>
          <t>TIBRO</t>
        </is>
      </c>
      <c r="G5792" t="n">
        <v>5.7</v>
      </c>
      <c r="H5792" t="n">
        <v>0</v>
      </c>
      <c r="I5792" t="n">
        <v>0</v>
      </c>
      <c r="J5792" t="n">
        <v>0</v>
      </c>
      <c r="K5792" t="n">
        <v>0</v>
      </c>
      <c r="L5792" t="n">
        <v>0</v>
      </c>
      <c r="M5792" t="n">
        <v>0</v>
      </c>
      <c r="N5792" t="n">
        <v>0</v>
      </c>
      <c r="O5792" t="n">
        <v>0</v>
      </c>
      <c r="P5792" t="n">
        <v>0</v>
      </c>
      <c r="Q5792" t="n">
        <v>0</v>
      </c>
      <c r="R5792" s="2" t="inlineStr"/>
    </row>
    <row r="5793" ht="15" customHeight="1">
      <c r="A5793" t="inlineStr">
        <is>
          <t>A 61609-2022</t>
        </is>
      </c>
      <c r="B5793" s="1" t="n">
        <v>44916</v>
      </c>
      <c r="C5793" s="1" t="n">
        <v>45952</v>
      </c>
      <c r="D5793" t="inlineStr">
        <is>
          <t>VÄSTRA GÖTALANDS LÄN</t>
        </is>
      </c>
      <c r="E5793" t="inlineStr">
        <is>
          <t>BORÅS</t>
        </is>
      </c>
      <c r="G5793" t="n">
        <v>1.4</v>
      </c>
      <c r="H5793" t="n">
        <v>0</v>
      </c>
      <c r="I5793" t="n">
        <v>0</v>
      </c>
      <c r="J5793" t="n">
        <v>0</v>
      </c>
      <c r="K5793" t="n">
        <v>0</v>
      </c>
      <c r="L5793" t="n">
        <v>0</v>
      </c>
      <c r="M5793" t="n">
        <v>0</v>
      </c>
      <c r="N5793" t="n">
        <v>0</v>
      </c>
      <c r="O5793" t="n">
        <v>0</v>
      </c>
      <c r="P5793" t="n">
        <v>0</v>
      </c>
      <c r="Q5793" t="n">
        <v>0</v>
      </c>
      <c r="R5793" s="2" t="inlineStr"/>
    </row>
    <row r="5794" ht="15" customHeight="1">
      <c r="A5794" t="inlineStr">
        <is>
          <t>A 61622-2022</t>
        </is>
      </c>
      <c r="B5794" s="1" t="n">
        <v>44916</v>
      </c>
      <c r="C5794" s="1" t="n">
        <v>45952</v>
      </c>
      <c r="D5794" t="inlineStr">
        <is>
          <t>VÄSTRA GÖTALANDS LÄN</t>
        </is>
      </c>
      <c r="E5794" t="inlineStr">
        <is>
          <t>ULRICEHAMN</t>
        </is>
      </c>
      <c r="G5794" t="n">
        <v>3.4</v>
      </c>
      <c r="H5794" t="n">
        <v>0</v>
      </c>
      <c r="I5794" t="n">
        <v>0</v>
      </c>
      <c r="J5794" t="n">
        <v>0</v>
      </c>
      <c r="K5794" t="n">
        <v>0</v>
      </c>
      <c r="L5794" t="n">
        <v>0</v>
      </c>
      <c r="M5794" t="n">
        <v>0</v>
      </c>
      <c r="N5794" t="n">
        <v>0</v>
      </c>
      <c r="O5794" t="n">
        <v>0</v>
      </c>
      <c r="P5794" t="n">
        <v>0</v>
      </c>
      <c r="Q5794" t="n">
        <v>0</v>
      </c>
      <c r="R5794" s="2" t="inlineStr"/>
    </row>
    <row r="5795" ht="15" customHeight="1">
      <c r="A5795" t="inlineStr">
        <is>
          <t>A 61623-2022</t>
        </is>
      </c>
      <c r="B5795" s="1" t="n">
        <v>44916</v>
      </c>
      <c r="C5795" s="1" t="n">
        <v>45952</v>
      </c>
      <c r="D5795" t="inlineStr">
        <is>
          <t>VÄSTRA GÖTALANDS LÄN</t>
        </is>
      </c>
      <c r="E5795" t="inlineStr">
        <is>
          <t>ULRICEHAMN</t>
        </is>
      </c>
      <c r="G5795" t="n">
        <v>0.7</v>
      </c>
      <c r="H5795" t="n">
        <v>0</v>
      </c>
      <c r="I5795" t="n">
        <v>0</v>
      </c>
      <c r="J5795" t="n">
        <v>0</v>
      </c>
      <c r="K5795" t="n">
        <v>0</v>
      </c>
      <c r="L5795" t="n">
        <v>0</v>
      </c>
      <c r="M5795" t="n">
        <v>0</v>
      </c>
      <c r="N5795" t="n">
        <v>0</v>
      </c>
      <c r="O5795" t="n">
        <v>0</v>
      </c>
      <c r="P5795" t="n">
        <v>0</v>
      </c>
      <c r="Q5795" t="n">
        <v>0</v>
      </c>
      <c r="R5795" s="2" t="inlineStr"/>
    </row>
    <row r="5796" ht="15" customHeight="1">
      <c r="A5796" t="inlineStr">
        <is>
          <t>A 31724-2023</t>
        </is>
      </c>
      <c r="B5796" s="1" t="n">
        <v>45117.91390046296</v>
      </c>
      <c r="C5796" s="1" t="n">
        <v>45952</v>
      </c>
      <c r="D5796" t="inlineStr">
        <is>
          <t>VÄSTRA GÖTALANDS LÄN</t>
        </is>
      </c>
      <c r="E5796" t="inlineStr">
        <is>
          <t>BOLLEBYGD</t>
        </is>
      </c>
      <c r="G5796" t="n">
        <v>1.7</v>
      </c>
      <c r="H5796" t="n">
        <v>0</v>
      </c>
      <c r="I5796" t="n">
        <v>0</v>
      </c>
      <c r="J5796" t="n">
        <v>0</v>
      </c>
      <c r="K5796" t="n">
        <v>0</v>
      </c>
      <c r="L5796" t="n">
        <v>0</v>
      </c>
      <c r="M5796" t="n">
        <v>0</v>
      </c>
      <c r="N5796" t="n">
        <v>0</v>
      </c>
      <c r="O5796" t="n">
        <v>0</v>
      </c>
      <c r="P5796" t="n">
        <v>0</v>
      </c>
      <c r="Q5796" t="n">
        <v>0</v>
      </c>
      <c r="R5796" s="2" t="inlineStr"/>
    </row>
    <row r="5797" ht="15" customHeight="1">
      <c r="A5797" t="inlineStr">
        <is>
          <t>A 31726-2023</t>
        </is>
      </c>
      <c r="B5797" s="1" t="n">
        <v>45117.92457175926</v>
      </c>
      <c r="C5797" s="1" t="n">
        <v>45952</v>
      </c>
      <c r="D5797" t="inlineStr">
        <is>
          <t>VÄSTRA GÖTALANDS LÄN</t>
        </is>
      </c>
      <c r="E5797" t="inlineStr">
        <is>
          <t>BOLLEBYGD</t>
        </is>
      </c>
      <c r="G5797" t="n">
        <v>0.7</v>
      </c>
      <c r="H5797" t="n">
        <v>0</v>
      </c>
      <c r="I5797" t="n">
        <v>0</v>
      </c>
      <c r="J5797" t="n">
        <v>0</v>
      </c>
      <c r="K5797" t="n">
        <v>0</v>
      </c>
      <c r="L5797" t="n">
        <v>0</v>
      </c>
      <c r="M5797" t="n">
        <v>0</v>
      </c>
      <c r="N5797" t="n">
        <v>0</v>
      </c>
      <c r="O5797" t="n">
        <v>0</v>
      </c>
      <c r="P5797" t="n">
        <v>0</v>
      </c>
      <c r="Q5797" t="n">
        <v>0</v>
      </c>
      <c r="R5797" s="2" t="inlineStr"/>
    </row>
    <row r="5798" ht="15" customHeight="1">
      <c r="A5798" t="inlineStr">
        <is>
          <t>A 27469-2024</t>
        </is>
      </c>
      <c r="B5798" s="1" t="n">
        <v>45474.46328703704</v>
      </c>
      <c r="C5798" s="1" t="n">
        <v>45952</v>
      </c>
      <c r="D5798" t="inlineStr">
        <is>
          <t>VÄSTRA GÖTALANDS LÄN</t>
        </is>
      </c>
      <c r="E5798" t="inlineStr">
        <is>
          <t>MARK</t>
        </is>
      </c>
      <c r="F5798" t="inlineStr">
        <is>
          <t>Kommuner</t>
        </is>
      </c>
      <c r="G5798" t="n">
        <v>0.2</v>
      </c>
      <c r="H5798" t="n">
        <v>0</v>
      </c>
      <c r="I5798" t="n">
        <v>0</v>
      </c>
      <c r="J5798" t="n">
        <v>0</v>
      </c>
      <c r="K5798" t="n">
        <v>0</v>
      </c>
      <c r="L5798" t="n">
        <v>0</v>
      </c>
      <c r="M5798" t="n">
        <v>0</v>
      </c>
      <c r="N5798" t="n">
        <v>0</v>
      </c>
      <c r="O5798" t="n">
        <v>0</v>
      </c>
      <c r="P5798" t="n">
        <v>0</v>
      </c>
      <c r="Q5798" t="n">
        <v>0</v>
      </c>
      <c r="R5798" s="2" t="inlineStr"/>
    </row>
    <row r="5799" ht="15" customHeight="1">
      <c r="A5799" t="inlineStr">
        <is>
          <t>A 27470-2024</t>
        </is>
      </c>
      <c r="B5799" s="1" t="n">
        <v>45474.46332175926</v>
      </c>
      <c r="C5799" s="1" t="n">
        <v>45952</v>
      </c>
      <c r="D5799" t="inlineStr">
        <is>
          <t>VÄSTRA GÖTALANDS LÄN</t>
        </is>
      </c>
      <c r="E5799" t="inlineStr">
        <is>
          <t>TRANEMO</t>
        </is>
      </c>
      <c r="G5799" t="n">
        <v>8.199999999999999</v>
      </c>
      <c r="H5799" t="n">
        <v>0</v>
      </c>
      <c r="I5799" t="n">
        <v>0</v>
      </c>
      <c r="J5799" t="n">
        <v>0</v>
      </c>
      <c r="K5799" t="n">
        <v>0</v>
      </c>
      <c r="L5799" t="n">
        <v>0</v>
      </c>
      <c r="M5799" t="n">
        <v>0</v>
      </c>
      <c r="N5799" t="n">
        <v>0</v>
      </c>
      <c r="O5799" t="n">
        <v>0</v>
      </c>
      <c r="P5799" t="n">
        <v>0</v>
      </c>
      <c r="Q5799" t="n">
        <v>0</v>
      </c>
      <c r="R5799" s="2" t="inlineStr"/>
    </row>
    <row r="5800" ht="15" customHeight="1">
      <c r="A5800" t="inlineStr">
        <is>
          <t>A 47143-2025</t>
        </is>
      </c>
      <c r="B5800" s="1" t="n">
        <v>45929.7067824074</v>
      </c>
      <c r="C5800" s="1" t="n">
        <v>45952</v>
      </c>
      <c r="D5800" t="inlineStr">
        <is>
          <t>VÄSTRA GÖTALANDS LÄN</t>
        </is>
      </c>
      <c r="E5800" t="inlineStr">
        <is>
          <t>ALINGSÅS</t>
        </is>
      </c>
      <c r="G5800" t="n">
        <v>1.5</v>
      </c>
      <c r="H5800" t="n">
        <v>0</v>
      </c>
      <c r="I5800" t="n">
        <v>0</v>
      </c>
      <c r="J5800" t="n">
        <v>0</v>
      </c>
      <c r="K5800" t="n">
        <v>0</v>
      </c>
      <c r="L5800" t="n">
        <v>0</v>
      </c>
      <c r="M5800" t="n">
        <v>0</v>
      </c>
      <c r="N5800" t="n">
        <v>0</v>
      </c>
      <c r="O5800" t="n">
        <v>0</v>
      </c>
      <c r="P5800" t="n">
        <v>0</v>
      </c>
      <c r="Q5800" t="n">
        <v>0</v>
      </c>
      <c r="R5800" s="2" t="inlineStr"/>
    </row>
    <row r="5801" ht="15" customHeight="1">
      <c r="A5801" t="inlineStr">
        <is>
          <t>A 33898-2023</t>
        </is>
      </c>
      <c r="B5801" s="1" t="n">
        <v>45134.37270833334</v>
      </c>
      <c r="C5801" s="1" t="n">
        <v>45952</v>
      </c>
      <c r="D5801" t="inlineStr">
        <is>
          <t>VÄSTRA GÖTALANDS LÄN</t>
        </is>
      </c>
      <c r="E5801" t="inlineStr">
        <is>
          <t>MARK</t>
        </is>
      </c>
      <c r="G5801" t="n">
        <v>1.2</v>
      </c>
      <c r="H5801" t="n">
        <v>0</v>
      </c>
      <c r="I5801" t="n">
        <v>0</v>
      </c>
      <c r="J5801" t="n">
        <v>0</v>
      </c>
      <c r="K5801" t="n">
        <v>0</v>
      </c>
      <c r="L5801" t="n">
        <v>0</v>
      </c>
      <c r="M5801" t="n">
        <v>0</v>
      </c>
      <c r="N5801" t="n">
        <v>0</v>
      </c>
      <c r="O5801" t="n">
        <v>0</v>
      </c>
      <c r="P5801" t="n">
        <v>0</v>
      </c>
      <c r="Q5801" t="n">
        <v>0</v>
      </c>
      <c r="R5801" s="2" t="inlineStr"/>
    </row>
    <row r="5802" ht="15" customHeight="1">
      <c r="A5802" t="inlineStr">
        <is>
          <t>A 35423-2025</t>
        </is>
      </c>
      <c r="B5802" s="1" t="n">
        <v>45855.4134837963</v>
      </c>
      <c r="C5802" s="1" t="n">
        <v>45952</v>
      </c>
      <c r="D5802" t="inlineStr">
        <is>
          <t>VÄSTRA GÖTALANDS LÄN</t>
        </is>
      </c>
      <c r="E5802" t="inlineStr">
        <is>
          <t>LILLA EDET</t>
        </is>
      </c>
      <c r="G5802" t="n">
        <v>3.4</v>
      </c>
      <c r="H5802" t="n">
        <v>0</v>
      </c>
      <c r="I5802" t="n">
        <v>0</v>
      </c>
      <c r="J5802" t="n">
        <v>0</v>
      </c>
      <c r="K5802" t="n">
        <v>0</v>
      </c>
      <c r="L5802" t="n">
        <v>0</v>
      </c>
      <c r="M5802" t="n">
        <v>0</v>
      </c>
      <c r="N5802" t="n">
        <v>0</v>
      </c>
      <c r="O5802" t="n">
        <v>0</v>
      </c>
      <c r="P5802" t="n">
        <v>0</v>
      </c>
      <c r="Q5802" t="n">
        <v>0</v>
      </c>
      <c r="R5802" s="2" t="inlineStr"/>
    </row>
    <row r="5803" ht="15" customHeight="1">
      <c r="A5803" t="inlineStr">
        <is>
          <t>A 33933-2024</t>
        </is>
      </c>
      <c r="B5803" s="1" t="n">
        <v>45522</v>
      </c>
      <c r="C5803" s="1" t="n">
        <v>45952</v>
      </c>
      <c r="D5803" t="inlineStr">
        <is>
          <t>VÄSTRA GÖTALANDS LÄN</t>
        </is>
      </c>
      <c r="E5803" t="inlineStr">
        <is>
          <t>TANUM</t>
        </is>
      </c>
      <c r="G5803" t="n">
        <v>0.9</v>
      </c>
      <c r="H5803" t="n">
        <v>0</v>
      </c>
      <c r="I5803" t="n">
        <v>0</v>
      </c>
      <c r="J5803" t="n">
        <v>0</v>
      </c>
      <c r="K5803" t="n">
        <v>0</v>
      </c>
      <c r="L5803" t="n">
        <v>0</v>
      </c>
      <c r="M5803" t="n">
        <v>0</v>
      </c>
      <c r="N5803" t="n">
        <v>0</v>
      </c>
      <c r="O5803" t="n">
        <v>0</v>
      </c>
      <c r="P5803" t="n">
        <v>0</v>
      </c>
      <c r="Q5803" t="n">
        <v>0</v>
      </c>
      <c r="R5803" s="2" t="inlineStr"/>
    </row>
    <row r="5804" ht="15" customHeight="1">
      <c r="A5804" t="inlineStr">
        <is>
          <t>A 53740-2023</t>
        </is>
      </c>
      <c r="B5804" s="1" t="n">
        <v>45230</v>
      </c>
      <c r="C5804" s="1" t="n">
        <v>45952</v>
      </c>
      <c r="D5804" t="inlineStr">
        <is>
          <t>VÄSTRA GÖTALANDS LÄN</t>
        </is>
      </c>
      <c r="E5804" t="inlineStr">
        <is>
          <t>SKÖVDE</t>
        </is>
      </c>
      <c r="G5804" t="n">
        <v>3</v>
      </c>
      <c r="H5804" t="n">
        <v>0</v>
      </c>
      <c r="I5804" t="n">
        <v>0</v>
      </c>
      <c r="J5804" t="n">
        <v>0</v>
      </c>
      <c r="K5804" t="n">
        <v>0</v>
      </c>
      <c r="L5804" t="n">
        <v>0</v>
      </c>
      <c r="M5804" t="n">
        <v>0</v>
      </c>
      <c r="N5804" t="n">
        <v>0</v>
      </c>
      <c r="O5804" t="n">
        <v>0</v>
      </c>
      <c r="P5804" t="n">
        <v>0</v>
      </c>
      <c r="Q5804" t="n">
        <v>0</v>
      </c>
      <c r="R5804" s="2" t="inlineStr"/>
    </row>
    <row r="5805" ht="15" customHeight="1">
      <c r="A5805" t="inlineStr">
        <is>
          <t>A 905-2025</t>
        </is>
      </c>
      <c r="B5805" s="1" t="n">
        <v>45664</v>
      </c>
      <c r="C5805" s="1" t="n">
        <v>45952</v>
      </c>
      <c r="D5805" t="inlineStr">
        <is>
          <t>VÄSTRA GÖTALANDS LÄN</t>
        </is>
      </c>
      <c r="E5805" t="inlineStr">
        <is>
          <t>TÖREBODA</t>
        </is>
      </c>
      <c r="G5805" t="n">
        <v>2.7</v>
      </c>
      <c r="H5805" t="n">
        <v>0</v>
      </c>
      <c r="I5805" t="n">
        <v>0</v>
      </c>
      <c r="J5805" t="n">
        <v>0</v>
      </c>
      <c r="K5805" t="n">
        <v>0</v>
      </c>
      <c r="L5805" t="n">
        <v>0</v>
      </c>
      <c r="M5805" t="n">
        <v>0</v>
      </c>
      <c r="N5805" t="n">
        <v>0</v>
      </c>
      <c r="O5805" t="n">
        <v>0</v>
      </c>
      <c r="P5805" t="n">
        <v>0</v>
      </c>
      <c r="Q5805" t="n">
        <v>0</v>
      </c>
      <c r="R5805" s="2" t="inlineStr"/>
    </row>
    <row r="5806" ht="15" customHeight="1">
      <c r="A5806" t="inlineStr">
        <is>
          <t>A 934-2025</t>
        </is>
      </c>
      <c r="B5806" s="1" t="n">
        <v>45666.28506944444</v>
      </c>
      <c r="C5806" s="1" t="n">
        <v>45952</v>
      </c>
      <c r="D5806" t="inlineStr">
        <is>
          <t>VÄSTRA GÖTALANDS LÄN</t>
        </is>
      </c>
      <c r="E5806" t="inlineStr">
        <is>
          <t>BORÅS</t>
        </is>
      </c>
      <c r="F5806" t="inlineStr">
        <is>
          <t>Sveaskog</t>
        </is>
      </c>
      <c r="G5806" t="n">
        <v>4.9</v>
      </c>
      <c r="H5806" t="n">
        <v>0</v>
      </c>
      <c r="I5806" t="n">
        <v>0</v>
      </c>
      <c r="J5806" t="n">
        <v>0</v>
      </c>
      <c r="K5806" t="n">
        <v>0</v>
      </c>
      <c r="L5806" t="n">
        <v>0</v>
      </c>
      <c r="M5806" t="n">
        <v>0</v>
      </c>
      <c r="N5806" t="n">
        <v>0</v>
      </c>
      <c r="O5806" t="n">
        <v>0</v>
      </c>
      <c r="P5806" t="n">
        <v>0</v>
      </c>
      <c r="Q5806" t="n">
        <v>0</v>
      </c>
      <c r="R5806" s="2" t="inlineStr"/>
    </row>
    <row r="5807" ht="15" customHeight="1">
      <c r="A5807" t="inlineStr">
        <is>
          <t>A 49346-2023</t>
        </is>
      </c>
      <c r="B5807" s="1" t="n">
        <v>45211</v>
      </c>
      <c r="C5807" s="1" t="n">
        <v>45952</v>
      </c>
      <c r="D5807" t="inlineStr">
        <is>
          <t>VÄSTRA GÖTALANDS LÄN</t>
        </is>
      </c>
      <c r="E5807" t="inlineStr">
        <is>
          <t>TRANEMO</t>
        </is>
      </c>
      <c r="G5807" t="n">
        <v>1.8</v>
      </c>
      <c r="H5807" t="n">
        <v>0</v>
      </c>
      <c r="I5807" t="n">
        <v>0</v>
      </c>
      <c r="J5807" t="n">
        <v>0</v>
      </c>
      <c r="K5807" t="n">
        <v>0</v>
      </c>
      <c r="L5807" t="n">
        <v>0</v>
      </c>
      <c r="M5807" t="n">
        <v>0</v>
      </c>
      <c r="N5807" t="n">
        <v>0</v>
      </c>
      <c r="O5807" t="n">
        <v>0</v>
      </c>
      <c r="P5807" t="n">
        <v>0</v>
      </c>
      <c r="Q5807" t="n">
        <v>0</v>
      </c>
      <c r="R5807" s="2" t="inlineStr"/>
    </row>
    <row r="5808" ht="15" customHeight="1">
      <c r="A5808" t="inlineStr">
        <is>
          <t>A 52352-2023</t>
        </is>
      </c>
      <c r="B5808" s="1" t="n">
        <v>45224.68096064815</v>
      </c>
      <c r="C5808" s="1" t="n">
        <v>45952</v>
      </c>
      <c r="D5808" t="inlineStr">
        <is>
          <t>VÄSTRA GÖTALANDS LÄN</t>
        </is>
      </c>
      <c r="E5808" t="inlineStr">
        <is>
          <t>GÖTENE</t>
        </is>
      </c>
      <c r="G5808" t="n">
        <v>0.7</v>
      </c>
      <c r="H5808" t="n">
        <v>0</v>
      </c>
      <c r="I5808" t="n">
        <v>0</v>
      </c>
      <c r="J5808" t="n">
        <v>0</v>
      </c>
      <c r="K5808" t="n">
        <v>0</v>
      </c>
      <c r="L5808" t="n">
        <v>0</v>
      </c>
      <c r="M5808" t="n">
        <v>0</v>
      </c>
      <c r="N5808" t="n">
        <v>0</v>
      </c>
      <c r="O5808" t="n">
        <v>0</v>
      </c>
      <c r="P5808" t="n">
        <v>0</v>
      </c>
      <c r="Q5808" t="n">
        <v>0</v>
      </c>
      <c r="R5808" s="2" t="inlineStr"/>
    </row>
    <row r="5809" ht="15" customHeight="1">
      <c r="A5809" t="inlineStr">
        <is>
          <t>A 10235-2023</t>
        </is>
      </c>
      <c r="B5809" s="1" t="n">
        <v>44986.65542824074</v>
      </c>
      <c r="C5809" s="1" t="n">
        <v>45952</v>
      </c>
      <c r="D5809" t="inlineStr">
        <is>
          <t>VÄSTRA GÖTALANDS LÄN</t>
        </is>
      </c>
      <c r="E5809" t="inlineStr">
        <is>
          <t>TIBRO</t>
        </is>
      </c>
      <c r="G5809" t="n">
        <v>2.9</v>
      </c>
      <c r="H5809" t="n">
        <v>0</v>
      </c>
      <c r="I5809" t="n">
        <v>0</v>
      </c>
      <c r="J5809" t="n">
        <v>0</v>
      </c>
      <c r="K5809" t="n">
        <v>0</v>
      </c>
      <c r="L5809" t="n">
        <v>0</v>
      </c>
      <c r="M5809" t="n">
        <v>0</v>
      </c>
      <c r="N5809" t="n">
        <v>0</v>
      </c>
      <c r="O5809" t="n">
        <v>0</v>
      </c>
      <c r="P5809" t="n">
        <v>0</v>
      </c>
      <c r="Q5809" t="n">
        <v>0</v>
      </c>
      <c r="R5809" s="2" t="inlineStr"/>
    </row>
    <row r="5810" ht="15" customHeight="1">
      <c r="A5810" t="inlineStr">
        <is>
          <t>A 53097-2023</t>
        </is>
      </c>
      <c r="B5810" s="1" t="n">
        <v>45227.77196759259</v>
      </c>
      <c r="C5810" s="1" t="n">
        <v>45952</v>
      </c>
      <c r="D5810" t="inlineStr">
        <is>
          <t>VÄSTRA GÖTALANDS LÄN</t>
        </is>
      </c>
      <c r="E5810" t="inlineStr">
        <is>
          <t>ULRICEHAMN</t>
        </is>
      </c>
      <c r="G5810" t="n">
        <v>0.7</v>
      </c>
      <c r="H5810" t="n">
        <v>0</v>
      </c>
      <c r="I5810" t="n">
        <v>0</v>
      </c>
      <c r="J5810" t="n">
        <v>0</v>
      </c>
      <c r="K5810" t="n">
        <v>0</v>
      </c>
      <c r="L5810" t="n">
        <v>0</v>
      </c>
      <c r="M5810" t="n">
        <v>0</v>
      </c>
      <c r="N5810" t="n">
        <v>0</v>
      </c>
      <c r="O5810" t="n">
        <v>0</v>
      </c>
      <c r="P5810" t="n">
        <v>0</v>
      </c>
      <c r="Q5810" t="n">
        <v>0</v>
      </c>
      <c r="R5810" s="2" t="inlineStr"/>
    </row>
    <row r="5811" ht="15" customHeight="1">
      <c r="A5811" t="inlineStr">
        <is>
          <t>A 35112-2024</t>
        </is>
      </c>
      <c r="B5811" s="1" t="n">
        <v>45529.81975694445</v>
      </c>
      <c r="C5811" s="1" t="n">
        <v>45952</v>
      </c>
      <c r="D5811" t="inlineStr">
        <is>
          <t>VÄSTRA GÖTALANDS LÄN</t>
        </is>
      </c>
      <c r="E5811" t="inlineStr">
        <is>
          <t>LIDKÖPING</t>
        </is>
      </c>
      <c r="G5811" t="n">
        <v>1.6</v>
      </c>
      <c r="H5811" t="n">
        <v>0</v>
      </c>
      <c r="I5811" t="n">
        <v>0</v>
      </c>
      <c r="J5811" t="n">
        <v>0</v>
      </c>
      <c r="K5811" t="n">
        <v>0</v>
      </c>
      <c r="L5811" t="n">
        <v>0</v>
      </c>
      <c r="M5811" t="n">
        <v>0</v>
      </c>
      <c r="N5811" t="n">
        <v>0</v>
      </c>
      <c r="O5811" t="n">
        <v>0</v>
      </c>
      <c r="P5811" t="n">
        <v>0</v>
      </c>
      <c r="Q5811" t="n">
        <v>0</v>
      </c>
      <c r="R5811" s="2" t="inlineStr"/>
    </row>
    <row r="5812" ht="15" customHeight="1">
      <c r="A5812" t="inlineStr">
        <is>
          <t>A 59613-2023</t>
        </is>
      </c>
      <c r="B5812" s="1" t="n">
        <v>45254.64126157408</v>
      </c>
      <c r="C5812" s="1" t="n">
        <v>45952</v>
      </c>
      <c r="D5812" t="inlineStr">
        <is>
          <t>VÄSTRA GÖTALANDS LÄN</t>
        </is>
      </c>
      <c r="E5812" t="inlineStr">
        <is>
          <t>BOLLEBYGD</t>
        </is>
      </c>
      <c r="G5812" t="n">
        <v>1.2</v>
      </c>
      <c r="H5812" t="n">
        <v>0</v>
      </c>
      <c r="I5812" t="n">
        <v>0</v>
      </c>
      <c r="J5812" t="n">
        <v>0</v>
      </c>
      <c r="K5812" t="n">
        <v>0</v>
      </c>
      <c r="L5812" t="n">
        <v>0</v>
      </c>
      <c r="M5812" t="n">
        <v>0</v>
      </c>
      <c r="N5812" t="n">
        <v>0</v>
      </c>
      <c r="O5812" t="n">
        <v>0</v>
      </c>
      <c r="P5812" t="n">
        <v>0</v>
      </c>
      <c r="Q5812" t="n">
        <v>0</v>
      </c>
      <c r="R5812" s="2" t="inlineStr"/>
    </row>
    <row r="5813" ht="15" customHeight="1">
      <c r="A5813" t="inlineStr">
        <is>
          <t>A 59625-2023</t>
        </is>
      </c>
      <c r="B5813" s="1" t="n">
        <v>45254</v>
      </c>
      <c r="C5813" s="1" t="n">
        <v>45952</v>
      </c>
      <c r="D5813" t="inlineStr">
        <is>
          <t>VÄSTRA GÖTALANDS LÄN</t>
        </is>
      </c>
      <c r="E5813" t="inlineStr">
        <is>
          <t>TROLLHÄTTAN</t>
        </is>
      </c>
      <c r="G5813" t="n">
        <v>3</v>
      </c>
      <c r="H5813" t="n">
        <v>0</v>
      </c>
      <c r="I5813" t="n">
        <v>0</v>
      </c>
      <c r="J5813" t="n">
        <v>0</v>
      </c>
      <c r="K5813" t="n">
        <v>0</v>
      </c>
      <c r="L5813" t="n">
        <v>0</v>
      </c>
      <c r="M5813" t="n">
        <v>0</v>
      </c>
      <c r="N5813" t="n">
        <v>0</v>
      </c>
      <c r="O5813" t="n">
        <v>0</v>
      </c>
      <c r="P5813" t="n">
        <v>0</v>
      </c>
      <c r="Q5813" t="n">
        <v>0</v>
      </c>
      <c r="R5813" s="2" t="inlineStr"/>
    </row>
    <row r="5814" ht="15" customHeight="1">
      <c r="A5814" t="inlineStr">
        <is>
          <t>A 62356-2022</t>
        </is>
      </c>
      <c r="B5814" s="1" t="n">
        <v>44923</v>
      </c>
      <c r="C5814" s="1" t="n">
        <v>45952</v>
      </c>
      <c r="D5814" t="inlineStr">
        <is>
          <t>VÄSTRA GÖTALANDS LÄN</t>
        </is>
      </c>
      <c r="E5814" t="inlineStr">
        <is>
          <t>TRANEMO</t>
        </is>
      </c>
      <c r="G5814" t="n">
        <v>4.3</v>
      </c>
      <c r="H5814" t="n">
        <v>0</v>
      </c>
      <c r="I5814" t="n">
        <v>0</v>
      </c>
      <c r="J5814" t="n">
        <v>0</v>
      </c>
      <c r="K5814" t="n">
        <v>0</v>
      </c>
      <c r="L5814" t="n">
        <v>0</v>
      </c>
      <c r="M5814" t="n">
        <v>0</v>
      </c>
      <c r="N5814" t="n">
        <v>0</v>
      </c>
      <c r="O5814" t="n">
        <v>0</v>
      </c>
      <c r="P5814" t="n">
        <v>0</v>
      </c>
      <c r="Q5814" t="n">
        <v>0</v>
      </c>
      <c r="R5814" s="2" t="inlineStr"/>
    </row>
    <row r="5815" ht="15" customHeight="1">
      <c r="A5815" t="inlineStr">
        <is>
          <t>A 72655-2021</t>
        </is>
      </c>
      <c r="B5815" s="1" t="n">
        <v>44546</v>
      </c>
      <c r="C5815" s="1" t="n">
        <v>45952</v>
      </c>
      <c r="D5815" t="inlineStr">
        <is>
          <t>VÄSTRA GÖTALANDS LÄN</t>
        </is>
      </c>
      <c r="E5815" t="inlineStr">
        <is>
          <t>FÄRGELANDA</t>
        </is>
      </c>
      <c r="G5815" t="n">
        <v>2.5</v>
      </c>
      <c r="H5815" t="n">
        <v>0</v>
      </c>
      <c r="I5815" t="n">
        <v>0</v>
      </c>
      <c r="J5815" t="n">
        <v>0</v>
      </c>
      <c r="K5815" t="n">
        <v>0</v>
      </c>
      <c r="L5815" t="n">
        <v>0</v>
      </c>
      <c r="M5815" t="n">
        <v>0</v>
      </c>
      <c r="N5815" t="n">
        <v>0</v>
      </c>
      <c r="O5815" t="n">
        <v>0</v>
      </c>
      <c r="P5815" t="n">
        <v>0</v>
      </c>
      <c r="Q5815" t="n">
        <v>0</v>
      </c>
      <c r="R5815" s="2" t="inlineStr"/>
    </row>
    <row r="5816" ht="15" customHeight="1">
      <c r="A5816" t="inlineStr">
        <is>
          <t>A 28332-2023</t>
        </is>
      </c>
      <c r="B5816" s="1" t="n">
        <v>45099.72846064815</v>
      </c>
      <c r="C5816" s="1" t="n">
        <v>45952</v>
      </c>
      <c r="D5816" t="inlineStr">
        <is>
          <t>VÄSTRA GÖTALANDS LÄN</t>
        </is>
      </c>
      <c r="E5816" t="inlineStr">
        <is>
          <t>GÖTENE</t>
        </is>
      </c>
      <c r="G5816" t="n">
        <v>0.8</v>
      </c>
      <c r="H5816" t="n">
        <v>0</v>
      </c>
      <c r="I5816" t="n">
        <v>0</v>
      </c>
      <c r="J5816" t="n">
        <v>0</v>
      </c>
      <c r="K5816" t="n">
        <v>0</v>
      </c>
      <c r="L5816" t="n">
        <v>0</v>
      </c>
      <c r="M5816" t="n">
        <v>0</v>
      </c>
      <c r="N5816" t="n">
        <v>0</v>
      </c>
      <c r="O5816" t="n">
        <v>0</v>
      </c>
      <c r="P5816" t="n">
        <v>0</v>
      </c>
      <c r="Q5816" t="n">
        <v>0</v>
      </c>
      <c r="R5816" s="2" t="inlineStr"/>
    </row>
    <row r="5817" ht="15" customHeight="1">
      <c r="A5817" t="inlineStr">
        <is>
          <t>A 49184-2023</t>
        </is>
      </c>
      <c r="B5817" s="1" t="n">
        <v>45210.57178240741</v>
      </c>
      <c r="C5817" s="1" t="n">
        <v>45952</v>
      </c>
      <c r="D5817" t="inlineStr">
        <is>
          <t>VÄSTRA GÖTALANDS LÄN</t>
        </is>
      </c>
      <c r="E5817" t="inlineStr">
        <is>
          <t>MARIESTAD</t>
        </is>
      </c>
      <c r="G5817" t="n">
        <v>9.1</v>
      </c>
      <c r="H5817" t="n">
        <v>0</v>
      </c>
      <c r="I5817" t="n">
        <v>0</v>
      </c>
      <c r="J5817" t="n">
        <v>0</v>
      </c>
      <c r="K5817" t="n">
        <v>0</v>
      </c>
      <c r="L5817" t="n">
        <v>0</v>
      </c>
      <c r="M5817" t="n">
        <v>0</v>
      </c>
      <c r="N5817" t="n">
        <v>0</v>
      </c>
      <c r="O5817" t="n">
        <v>0</v>
      </c>
      <c r="P5817" t="n">
        <v>0</v>
      </c>
      <c r="Q5817" t="n">
        <v>0</v>
      </c>
      <c r="R5817" s="2" t="inlineStr"/>
    </row>
    <row r="5818" ht="15" customHeight="1">
      <c r="A5818" t="inlineStr">
        <is>
          <t>A 16275-2025</t>
        </is>
      </c>
      <c r="B5818" s="1" t="n">
        <v>45750.98498842592</v>
      </c>
      <c r="C5818" s="1" t="n">
        <v>45952</v>
      </c>
      <c r="D5818" t="inlineStr">
        <is>
          <t>VÄSTRA GÖTALANDS LÄN</t>
        </is>
      </c>
      <c r="E5818" t="inlineStr">
        <is>
          <t>ULRICEHAMN</t>
        </is>
      </c>
      <c r="G5818" t="n">
        <v>0.7</v>
      </c>
      <c r="H5818" t="n">
        <v>0</v>
      </c>
      <c r="I5818" t="n">
        <v>0</v>
      </c>
      <c r="J5818" t="n">
        <v>0</v>
      </c>
      <c r="K5818" t="n">
        <v>0</v>
      </c>
      <c r="L5818" t="n">
        <v>0</v>
      </c>
      <c r="M5818" t="n">
        <v>0</v>
      </c>
      <c r="N5818" t="n">
        <v>0</v>
      </c>
      <c r="O5818" t="n">
        <v>0</v>
      </c>
      <c r="P5818" t="n">
        <v>0</v>
      </c>
      <c r="Q5818" t="n">
        <v>0</v>
      </c>
      <c r="R5818" s="2" t="inlineStr"/>
    </row>
    <row r="5819" ht="15" customHeight="1">
      <c r="A5819" t="inlineStr">
        <is>
          <t>A 24438-2023</t>
        </is>
      </c>
      <c r="B5819" s="1" t="n">
        <v>45082</v>
      </c>
      <c r="C5819" s="1" t="n">
        <v>45952</v>
      </c>
      <c r="D5819" t="inlineStr">
        <is>
          <t>VÄSTRA GÖTALANDS LÄN</t>
        </is>
      </c>
      <c r="E5819" t="inlineStr">
        <is>
          <t>SVENLJUNGA</t>
        </is>
      </c>
      <c r="F5819" t="inlineStr">
        <is>
          <t>Kommuner</t>
        </is>
      </c>
      <c r="G5819" t="n">
        <v>0.5</v>
      </c>
      <c r="H5819" t="n">
        <v>0</v>
      </c>
      <c r="I5819" t="n">
        <v>0</v>
      </c>
      <c r="J5819" t="n">
        <v>0</v>
      </c>
      <c r="K5819" t="n">
        <v>0</v>
      </c>
      <c r="L5819" t="n">
        <v>0</v>
      </c>
      <c r="M5819" t="n">
        <v>0</v>
      </c>
      <c r="N5819" t="n">
        <v>0</v>
      </c>
      <c r="O5819" t="n">
        <v>0</v>
      </c>
      <c r="P5819" t="n">
        <v>0</v>
      </c>
      <c r="Q5819" t="n">
        <v>0</v>
      </c>
      <c r="R5819" s="2" t="inlineStr"/>
    </row>
    <row r="5820" ht="15" customHeight="1">
      <c r="A5820" t="inlineStr">
        <is>
          <t>A 31885-2022</t>
        </is>
      </c>
      <c r="B5820" s="1" t="n">
        <v>44777.45040509259</v>
      </c>
      <c r="C5820" s="1" t="n">
        <v>45952</v>
      </c>
      <c r="D5820" t="inlineStr">
        <is>
          <t>VÄSTRA GÖTALANDS LÄN</t>
        </is>
      </c>
      <c r="E5820" t="inlineStr">
        <is>
          <t>FÄRGELANDA</t>
        </is>
      </c>
      <c r="G5820" t="n">
        <v>0.8</v>
      </c>
      <c r="H5820" t="n">
        <v>0</v>
      </c>
      <c r="I5820" t="n">
        <v>0</v>
      </c>
      <c r="J5820" t="n">
        <v>0</v>
      </c>
      <c r="K5820" t="n">
        <v>0</v>
      </c>
      <c r="L5820" t="n">
        <v>0</v>
      </c>
      <c r="M5820" t="n">
        <v>0</v>
      </c>
      <c r="N5820" t="n">
        <v>0</v>
      </c>
      <c r="O5820" t="n">
        <v>0</v>
      </c>
      <c r="P5820" t="n">
        <v>0</v>
      </c>
      <c r="Q5820" t="n">
        <v>0</v>
      </c>
      <c r="R5820" s="2" t="inlineStr"/>
    </row>
    <row r="5821" ht="15" customHeight="1">
      <c r="A5821" t="inlineStr">
        <is>
          <t>A 49205-2023</t>
        </is>
      </c>
      <c r="B5821" s="1" t="n">
        <v>45210.59508101852</v>
      </c>
      <c r="C5821" s="1" t="n">
        <v>45952</v>
      </c>
      <c r="D5821" t="inlineStr">
        <is>
          <t>VÄSTRA GÖTALANDS LÄN</t>
        </is>
      </c>
      <c r="E5821" t="inlineStr">
        <is>
          <t>MARIESTAD</t>
        </is>
      </c>
      <c r="G5821" t="n">
        <v>1.9</v>
      </c>
      <c r="H5821" t="n">
        <v>0</v>
      </c>
      <c r="I5821" t="n">
        <v>0</v>
      </c>
      <c r="J5821" t="n">
        <v>0</v>
      </c>
      <c r="K5821" t="n">
        <v>0</v>
      </c>
      <c r="L5821" t="n">
        <v>0</v>
      </c>
      <c r="M5821" t="n">
        <v>0</v>
      </c>
      <c r="N5821" t="n">
        <v>0</v>
      </c>
      <c r="O5821" t="n">
        <v>0</v>
      </c>
      <c r="P5821" t="n">
        <v>0</v>
      </c>
      <c r="Q5821" t="n">
        <v>0</v>
      </c>
      <c r="R5821" s="2" t="inlineStr"/>
    </row>
    <row r="5822" ht="15" customHeight="1">
      <c r="A5822" t="inlineStr">
        <is>
          <t>A 54201-2023</t>
        </is>
      </c>
      <c r="B5822" s="1" t="n">
        <v>45232.55328703704</v>
      </c>
      <c r="C5822" s="1" t="n">
        <v>45952</v>
      </c>
      <c r="D5822" t="inlineStr">
        <is>
          <t>VÄSTRA GÖTALANDS LÄN</t>
        </is>
      </c>
      <c r="E5822" t="inlineStr">
        <is>
          <t>VARA</t>
        </is>
      </c>
      <c r="G5822" t="n">
        <v>7.6</v>
      </c>
      <c r="H5822" t="n">
        <v>0</v>
      </c>
      <c r="I5822" t="n">
        <v>0</v>
      </c>
      <c r="J5822" t="n">
        <v>0</v>
      </c>
      <c r="K5822" t="n">
        <v>0</v>
      </c>
      <c r="L5822" t="n">
        <v>0</v>
      </c>
      <c r="M5822" t="n">
        <v>0</v>
      </c>
      <c r="N5822" t="n">
        <v>0</v>
      </c>
      <c r="O5822" t="n">
        <v>0</v>
      </c>
      <c r="P5822" t="n">
        <v>0</v>
      </c>
      <c r="Q5822" t="n">
        <v>0</v>
      </c>
      <c r="R5822" s="2" t="inlineStr"/>
    </row>
    <row r="5823" ht="15" customHeight="1">
      <c r="A5823" t="inlineStr">
        <is>
          <t>A 61017-2020</t>
        </is>
      </c>
      <c r="B5823" s="1" t="n">
        <v>44154</v>
      </c>
      <c r="C5823" s="1" t="n">
        <v>45952</v>
      </c>
      <c r="D5823" t="inlineStr">
        <is>
          <t>VÄSTRA GÖTALANDS LÄN</t>
        </is>
      </c>
      <c r="E5823" t="inlineStr">
        <is>
          <t>BENGTSFORS</t>
        </is>
      </c>
      <c r="G5823" t="n">
        <v>1.1</v>
      </c>
      <c r="H5823" t="n">
        <v>0</v>
      </c>
      <c r="I5823" t="n">
        <v>0</v>
      </c>
      <c r="J5823" t="n">
        <v>0</v>
      </c>
      <c r="K5823" t="n">
        <v>0</v>
      </c>
      <c r="L5823" t="n">
        <v>0</v>
      </c>
      <c r="M5823" t="n">
        <v>0</v>
      </c>
      <c r="N5823" t="n">
        <v>0</v>
      </c>
      <c r="O5823" t="n">
        <v>0</v>
      </c>
      <c r="P5823" t="n">
        <v>0</v>
      </c>
      <c r="Q5823" t="n">
        <v>0</v>
      </c>
      <c r="R5823" s="2" t="inlineStr"/>
    </row>
    <row r="5824" ht="15" customHeight="1">
      <c r="A5824" t="inlineStr">
        <is>
          <t>A 18940-2024</t>
        </is>
      </c>
      <c r="B5824" s="1" t="n">
        <v>45427.46807870371</v>
      </c>
      <c r="C5824" s="1" t="n">
        <v>45952</v>
      </c>
      <c r="D5824" t="inlineStr">
        <is>
          <t>VÄSTRA GÖTALANDS LÄN</t>
        </is>
      </c>
      <c r="E5824" t="inlineStr">
        <is>
          <t>ALINGSÅS</t>
        </is>
      </c>
      <c r="G5824" t="n">
        <v>2.4</v>
      </c>
      <c r="H5824" t="n">
        <v>0</v>
      </c>
      <c r="I5824" t="n">
        <v>0</v>
      </c>
      <c r="J5824" t="n">
        <v>0</v>
      </c>
      <c r="K5824" t="n">
        <v>0</v>
      </c>
      <c r="L5824" t="n">
        <v>0</v>
      </c>
      <c r="M5824" t="n">
        <v>0</v>
      </c>
      <c r="N5824" t="n">
        <v>0</v>
      </c>
      <c r="O5824" t="n">
        <v>0</v>
      </c>
      <c r="P5824" t="n">
        <v>0</v>
      </c>
      <c r="Q5824" t="n">
        <v>0</v>
      </c>
      <c r="R5824" s="2" t="inlineStr"/>
    </row>
    <row r="5825" ht="15" customHeight="1">
      <c r="A5825" t="inlineStr">
        <is>
          <t>A 31712-2023</t>
        </is>
      </c>
      <c r="B5825" s="1" t="n">
        <v>45117.8322337963</v>
      </c>
      <c r="C5825" s="1" t="n">
        <v>45952</v>
      </c>
      <c r="D5825" t="inlineStr">
        <is>
          <t>VÄSTRA GÖTALANDS LÄN</t>
        </is>
      </c>
      <c r="E5825" t="inlineStr">
        <is>
          <t>BOLLEBYGD</t>
        </is>
      </c>
      <c r="G5825" t="n">
        <v>1.2</v>
      </c>
      <c r="H5825" t="n">
        <v>0</v>
      </c>
      <c r="I5825" t="n">
        <v>0</v>
      </c>
      <c r="J5825" t="n">
        <v>0</v>
      </c>
      <c r="K5825" t="n">
        <v>0</v>
      </c>
      <c r="L5825" t="n">
        <v>0</v>
      </c>
      <c r="M5825" t="n">
        <v>0</v>
      </c>
      <c r="N5825" t="n">
        <v>0</v>
      </c>
      <c r="O5825" t="n">
        <v>0</v>
      </c>
      <c r="P5825" t="n">
        <v>0</v>
      </c>
      <c r="Q5825" t="n">
        <v>0</v>
      </c>
      <c r="R5825" s="2" t="inlineStr"/>
    </row>
    <row r="5826" ht="15" customHeight="1">
      <c r="A5826" t="inlineStr">
        <is>
          <t>A 31715-2023</t>
        </is>
      </c>
      <c r="B5826" s="1" t="n">
        <v>45117.84797453704</v>
      </c>
      <c r="C5826" s="1" t="n">
        <v>45952</v>
      </c>
      <c r="D5826" t="inlineStr">
        <is>
          <t>VÄSTRA GÖTALANDS LÄN</t>
        </is>
      </c>
      <c r="E5826" t="inlineStr">
        <is>
          <t>BOLLEBYGD</t>
        </is>
      </c>
      <c r="G5826" t="n">
        <v>12.4</v>
      </c>
      <c r="H5826" t="n">
        <v>0</v>
      </c>
      <c r="I5826" t="n">
        <v>0</v>
      </c>
      <c r="J5826" t="n">
        <v>0</v>
      </c>
      <c r="K5826" t="n">
        <v>0</v>
      </c>
      <c r="L5826" t="n">
        <v>0</v>
      </c>
      <c r="M5826" t="n">
        <v>0</v>
      </c>
      <c r="N5826" t="n">
        <v>0</v>
      </c>
      <c r="O5826" t="n">
        <v>0</v>
      </c>
      <c r="P5826" t="n">
        <v>0</v>
      </c>
      <c r="Q5826" t="n">
        <v>0</v>
      </c>
      <c r="R5826" s="2" t="inlineStr"/>
    </row>
    <row r="5827" ht="15" customHeight="1">
      <c r="A5827" t="inlineStr">
        <is>
          <t>A 33596-2024</t>
        </is>
      </c>
      <c r="B5827" s="1" t="n">
        <v>45520.36324074074</v>
      </c>
      <c r="C5827" s="1" t="n">
        <v>45952</v>
      </c>
      <c r="D5827" t="inlineStr">
        <is>
          <t>VÄSTRA GÖTALANDS LÄN</t>
        </is>
      </c>
      <c r="E5827" t="inlineStr">
        <is>
          <t>DALS-ED</t>
        </is>
      </c>
      <c r="G5827" t="n">
        <v>5.8</v>
      </c>
      <c r="H5827" t="n">
        <v>0</v>
      </c>
      <c r="I5827" t="n">
        <v>0</v>
      </c>
      <c r="J5827" t="n">
        <v>0</v>
      </c>
      <c r="K5827" t="n">
        <v>0</v>
      </c>
      <c r="L5827" t="n">
        <v>0</v>
      </c>
      <c r="M5827" t="n">
        <v>0</v>
      </c>
      <c r="N5827" t="n">
        <v>0</v>
      </c>
      <c r="O5827" t="n">
        <v>0</v>
      </c>
      <c r="P5827" t="n">
        <v>0</v>
      </c>
      <c r="Q5827" t="n">
        <v>0</v>
      </c>
      <c r="R5827" s="2" t="inlineStr"/>
    </row>
    <row r="5828" ht="15" customHeight="1">
      <c r="A5828" t="inlineStr">
        <is>
          <t>A 44133-2021</t>
        </is>
      </c>
      <c r="B5828" s="1" t="n">
        <v>44434</v>
      </c>
      <c r="C5828" s="1" t="n">
        <v>45952</v>
      </c>
      <c r="D5828" t="inlineStr">
        <is>
          <t>VÄSTRA GÖTALANDS LÄN</t>
        </is>
      </c>
      <c r="E5828" t="inlineStr">
        <is>
          <t>TRANEMO</t>
        </is>
      </c>
      <c r="G5828" t="n">
        <v>1.2</v>
      </c>
      <c r="H5828" t="n">
        <v>0</v>
      </c>
      <c r="I5828" t="n">
        <v>0</v>
      </c>
      <c r="J5828" t="n">
        <v>0</v>
      </c>
      <c r="K5828" t="n">
        <v>0</v>
      </c>
      <c r="L5828" t="n">
        <v>0</v>
      </c>
      <c r="M5828" t="n">
        <v>0</v>
      </c>
      <c r="N5828" t="n">
        <v>0</v>
      </c>
      <c r="O5828" t="n">
        <v>0</v>
      </c>
      <c r="P5828" t="n">
        <v>0</v>
      </c>
      <c r="Q5828" t="n">
        <v>0</v>
      </c>
      <c r="R5828" s="2" t="inlineStr"/>
    </row>
    <row r="5829" ht="15" customHeight="1">
      <c r="A5829" t="inlineStr">
        <is>
          <t>A 61247-2023</t>
        </is>
      </c>
      <c r="B5829" s="1" t="n">
        <v>45264.46984953704</v>
      </c>
      <c r="C5829" s="1" t="n">
        <v>45952</v>
      </c>
      <c r="D5829" t="inlineStr">
        <is>
          <t>VÄSTRA GÖTALANDS LÄN</t>
        </is>
      </c>
      <c r="E5829" t="inlineStr">
        <is>
          <t>MARK</t>
        </is>
      </c>
      <c r="G5829" t="n">
        <v>1.1</v>
      </c>
      <c r="H5829" t="n">
        <v>0</v>
      </c>
      <c r="I5829" t="n">
        <v>0</v>
      </c>
      <c r="J5829" t="n">
        <v>0</v>
      </c>
      <c r="K5829" t="n">
        <v>0</v>
      </c>
      <c r="L5829" t="n">
        <v>0</v>
      </c>
      <c r="M5829" t="n">
        <v>0</v>
      </c>
      <c r="N5829" t="n">
        <v>0</v>
      </c>
      <c r="O5829" t="n">
        <v>0</v>
      </c>
      <c r="P5829" t="n">
        <v>0</v>
      </c>
      <c r="Q5829" t="n">
        <v>0</v>
      </c>
      <c r="R5829" s="2" t="inlineStr"/>
    </row>
    <row r="5830" ht="15" customHeight="1">
      <c r="A5830" t="inlineStr">
        <is>
          <t>A 61250-2023</t>
        </is>
      </c>
      <c r="B5830" s="1" t="n">
        <v>45264.47670138889</v>
      </c>
      <c r="C5830" s="1" t="n">
        <v>45952</v>
      </c>
      <c r="D5830" t="inlineStr">
        <is>
          <t>VÄSTRA GÖTALANDS LÄN</t>
        </is>
      </c>
      <c r="E5830" t="inlineStr">
        <is>
          <t>MARK</t>
        </is>
      </c>
      <c r="G5830" t="n">
        <v>2.8</v>
      </c>
      <c r="H5830" t="n">
        <v>0</v>
      </c>
      <c r="I5830" t="n">
        <v>0</v>
      </c>
      <c r="J5830" t="n">
        <v>0</v>
      </c>
      <c r="K5830" t="n">
        <v>0</v>
      </c>
      <c r="L5830" t="n">
        <v>0</v>
      </c>
      <c r="M5830" t="n">
        <v>0</v>
      </c>
      <c r="N5830" t="n">
        <v>0</v>
      </c>
      <c r="O5830" t="n">
        <v>0</v>
      </c>
      <c r="P5830" t="n">
        <v>0</v>
      </c>
      <c r="Q5830" t="n">
        <v>0</v>
      </c>
      <c r="R5830" s="2" t="inlineStr"/>
    </row>
    <row r="5831" ht="15" customHeight="1">
      <c r="A5831" t="inlineStr">
        <is>
          <t>A 46972-2024</t>
        </is>
      </c>
      <c r="B5831" s="1" t="n">
        <v>45583</v>
      </c>
      <c r="C5831" s="1" t="n">
        <v>45952</v>
      </c>
      <c r="D5831" t="inlineStr">
        <is>
          <t>VÄSTRA GÖTALANDS LÄN</t>
        </is>
      </c>
      <c r="E5831" t="inlineStr">
        <is>
          <t>BENGTSFORS</t>
        </is>
      </c>
      <c r="G5831" t="n">
        <v>1.8</v>
      </c>
      <c r="H5831" t="n">
        <v>0</v>
      </c>
      <c r="I5831" t="n">
        <v>0</v>
      </c>
      <c r="J5831" t="n">
        <v>0</v>
      </c>
      <c r="K5831" t="n">
        <v>0</v>
      </c>
      <c r="L5831" t="n">
        <v>0</v>
      </c>
      <c r="M5831" t="n">
        <v>0</v>
      </c>
      <c r="N5831" t="n">
        <v>0</v>
      </c>
      <c r="O5831" t="n">
        <v>0</v>
      </c>
      <c r="P5831" t="n">
        <v>0</v>
      </c>
      <c r="Q5831" t="n">
        <v>0</v>
      </c>
      <c r="R5831" s="2" t="inlineStr"/>
    </row>
    <row r="5832" ht="15" customHeight="1">
      <c r="A5832" t="inlineStr">
        <is>
          <t>A 16385-2025</t>
        </is>
      </c>
      <c r="B5832" s="1" t="n">
        <v>45751.42364583333</v>
      </c>
      <c r="C5832" s="1" t="n">
        <v>45952</v>
      </c>
      <c r="D5832" t="inlineStr">
        <is>
          <t>VÄSTRA GÖTALANDS LÄN</t>
        </is>
      </c>
      <c r="E5832" t="inlineStr">
        <is>
          <t>SVENLJUNGA</t>
        </is>
      </c>
      <c r="G5832" t="n">
        <v>3.1</v>
      </c>
      <c r="H5832" t="n">
        <v>0</v>
      </c>
      <c r="I5832" t="n">
        <v>0</v>
      </c>
      <c r="J5832" t="n">
        <v>0</v>
      </c>
      <c r="K5832" t="n">
        <v>0</v>
      </c>
      <c r="L5832" t="n">
        <v>0</v>
      </c>
      <c r="M5832" t="n">
        <v>0</v>
      </c>
      <c r="N5832" t="n">
        <v>0</v>
      </c>
      <c r="O5832" t="n">
        <v>0</v>
      </c>
      <c r="P5832" t="n">
        <v>0</v>
      </c>
      <c r="Q5832" t="n">
        <v>0</v>
      </c>
      <c r="R5832" s="2" t="inlineStr"/>
    </row>
    <row r="5833" ht="15" customHeight="1">
      <c r="A5833" t="inlineStr">
        <is>
          <t>A 45486-2023</t>
        </is>
      </c>
      <c r="B5833" s="1" t="n">
        <v>45194</v>
      </c>
      <c r="C5833" s="1" t="n">
        <v>45952</v>
      </c>
      <c r="D5833" t="inlineStr">
        <is>
          <t>VÄSTRA GÖTALANDS LÄN</t>
        </is>
      </c>
      <c r="E5833" t="inlineStr">
        <is>
          <t>BORÅS</t>
        </is>
      </c>
      <c r="G5833" t="n">
        <v>11.7</v>
      </c>
      <c r="H5833" t="n">
        <v>0</v>
      </c>
      <c r="I5833" t="n">
        <v>0</v>
      </c>
      <c r="J5833" t="n">
        <v>0</v>
      </c>
      <c r="K5833" t="n">
        <v>0</v>
      </c>
      <c r="L5833" t="n">
        <v>0</v>
      </c>
      <c r="M5833" t="n">
        <v>0</v>
      </c>
      <c r="N5833" t="n">
        <v>0</v>
      </c>
      <c r="O5833" t="n">
        <v>0</v>
      </c>
      <c r="P5833" t="n">
        <v>0</v>
      </c>
      <c r="Q5833" t="n">
        <v>0</v>
      </c>
      <c r="R5833" s="2" t="inlineStr"/>
    </row>
    <row r="5834" ht="15" customHeight="1">
      <c r="A5834" t="inlineStr">
        <is>
          <t>A 25514-2022</t>
        </is>
      </c>
      <c r="B5834" s="1" t="n">
        <v>44732.58395833334</v>
      </c>
      <c r="C5834" s="1" t="n">
        <v>45952</v>
      </c>
      <c r="D5834" t="inlineStr">
        <is>
          <t>VÄSTRA GÖTALANDS LÄN</t>
        </is>
      </c>
      <c r="E5834" t="inlineStr">
        <is>
          <t>TROLLHÄTTAN</t>
        </is>
      </c>
      <c r="G5834" t="n">
        <v>1.5</v>
      </c>
      <c r="H5834" t="n">
        <v>0</v>
      </c>
      <c r="I5834" t="n">
        <v>0</v>
      </c>
      <c r="J5834" t="n">
        <v>0</v>
      </c>
      <c r="K5834" t="n">
        <v>0</v>
      </c>
      <c r="L5834" t="n">
        <v>0</v>
      </c>
      <c r="M5834" t="n">
        <v>0</v>
      </c>
      <c r="N5834" t="n">
        <v>0</v>
      </c>
      <c r="O5834" t="n">
        <v>0</v>
      </c>
      <c r="P5834" t="n">
        <v>0</v>
      </c>
      <c r="Q5834" t="n">
        <v>0</v>
      </c>
      <c r="R5834" s="2" t="inlineStr"/>
    </row>
    <row r="5835" ht="15" customHeight="1">
      <c r="A5835" t="inlineStr">
        <is>
          <t>A 15316-2025</t>
        </is>
      </c>
      <c r="B5835" s="1" t="n">
        <v>45747.30217592593</v>
      </c>
      <c r="C5835" s="1" t="n">
        <v>45952</v>
      </c>
      <c r="D5835" t="inlineStr">
        <is>
          <t>VÄSTRA GÖTALANDS LÄN</t>
        </is>
      </c>
      <c r="E5835" t="inlineStr">
        <is>
          <t>SVENLJUNGA</t>
        </is>
      </c>
      <c r="G5835" t="n">
        <v>1.6</v>
      </c>
      <c r="H5835" t="n">
        <v>0</v>
      </c>
      <c r="I5835" t="n">
        <v>0</v>
      </c>
      <c r="J5835" t="n">
        <v>0</v>
      </c>
      <c r="K5835" t="n">
        <v>0</v>
      </c>
      <c r="L5835" t="n">
        <v>0</v>
      </c>
      <c r="M5835" t="n">
        <v>0</v>
      </c>
      <c r="N5835" t="n">
        <v>0</v>
      </c>
      <c r="O5835" t="n">
        <v>0</v>
      </c>
      <c r="P5835" t="n">
        <v>0</v>
      </c>
      <c r="Q5835" t="n">
        <v>0</v>
      </c>
      <c r="R5835" s="2" t="inlineStr"/>
    </row>
    <row r="5836" ht="15" customHeight="1">
      <c r="A5836" t="inlineStr">
        <is>
          <t>A 61952-2024</t>
        </is>
      </c>
      <c r="B5836" s="1" t="n">
        <v>45653.50980324074</v>
      </c>
      <c r="C5836" s="1" t="n">
        <v>45952</v>
      </c>
      <c r="D5836" t="inlineStr">
        <is>
          <t>VÄSTRA GÖTALANDS LÄN</t>
        </is>
      </c>
      <c r="E5836" t="inlineStr">
        <is>
          <t>LILLA EDET</t>
        </is>
      </c>
      <c r="G5836" t="n">
        <v>4.2</v>
      </c>
      <c r="H5836" t="n">
        <v>0</v>
      </c>
      <c r="I5836" t="n">
        <v>0</v>
      </c>
      <c r="J5836" t="n">
        <v>0</v>
      </c>
      <c r="K5836" t="n">
        <v>0</v>
      </c>
      <c r="L5836" t="n">
        <v>0</v>
      </c>
      <c r="M5836" t="n">
        <v>0</v>
      </c>
      <c r="N5836" t="n">
        <v>0</v>
      </c>
      <c r="O5836" t="n">
        <v>0</v>
      </c>
      <c r="P5836" t="n">
        <v>0</v>
      </c>
      <c r="Q5836" t="n">
        <v>0</v>
      </c>
      <c r="R5836" s="2" t="inlineStr"/>
    </row>
    <row r="5837" ht="15" customHeight="1">
      <c r="A5837" t="inlineStr">
        <is>
          <t>A 38655-2025</t>
        </is>
      </c>
      <c r="B5837" s="1" t="n">
        <v>45884.60351851852</v>
      </c>
      <c r="C5837" s="1" t="n">
        <v>45952</v>
      </c>
      <c r="D5837" t="inlineStr">
        <is>
          <t>VÄSTRA GÖTALANDS LÄN</t>
        </is>
      </c>
      <c r="E5837" t="inlineStr">
        <is>
          <t>MELLERUD</t>
        </is>
      </c>
      <c r="G5837" t="n">
        <v>1.7</v>
      </c>
      <c r="H5837" t="n">
        <v>0</v>
      </c>
      <c r="I5837" t="n">
        <v>0</v>
      </c>
      <c r="J5837" t="n">
        <v>0</v>
      </c>
      <c r="K5837" t="n">
        <v>0</v>
      </c>
      <c r="L5837" t="n">
        <v>0</v>
      </c>
      <c r="M5837" t="n">
        <v>0</v>
      </c>
      <c r="N5837" t="n">
        <v>0</v>
      </c>
      <c r="O5837" t="n">
        <v>0</v>
      </c>
      <c r="P5837" t="n">
        <v>0</v>
      </c>
      <c r="Q5837" t="n">
        <v>0</v>
      </c>
      <c r="R5837" s="2" t="inlineStr"/>
    </row>
    <row r="5838" ht="15" customHeight="1">
      <c r="A5838" t="inlineStr">
        <is>
          <t>A 13530-2023</t>
        </is>
      </c>
      <c r="B5838" s="1" t="n">
        <v>45006.38202546296</v>
      </c>
      <c r="C5838" s="1" t="n">
        <v>45952</v>
      </c>
      <c r="D5838" t="inlineStr">
        <is>
          <t>VÄSTRA GÖTALANDS LÄN</t>
        </is>
      </c>
      <c r="E5838" t="inlineStr">
        <is>
          <t>LIDKÖPING</t>
        </is>
      </c>
      <c r="G5838" t="n">
        <v>0.5</v>
      </c>
      <c r="H5838" t="n">
        <v>0</v>
      </c>
      <c r="I5838" t="n">
        <v>0</v>
      </c>
      <c r="J5838" t="n">
        <v>0</v>
      </c>
      <c r="K5838" t="n">
        <v>0</v>
      </c>
      <c r="L5838" t="n">
        <v>0</v>
      </c>
      <c r="M5838" t="n">
        <v>0</v>
      </c>
      <c r="N5838" t="n">
        <v>0</v>
      </c>
      <c r="O5838" t="n">
        <v>0</v>
      </c>
      <c r="P5838" t="n">
        <v>0</v>
      </c>
      <c r="Q5838" t="n">
        <v>0</v>
      </c>
      <c r="R5838" s="2" t="inlineStr"/>
    </row>
    <row r="5839" ht="15" customHeight="1">
      <c r="A5839" t="inlineStr">
        <is>
          <t>A 13537-2023</t>
        </is>
      </c>
      <c r="B5839" s="1" t="n">
        <v>45006</v>
      </c>
      <c r="C5839" s="1" t="n">
        <v>45952</v>
      </c>
      <c r="D5839" t="inlineStr">
        <is>
          <t>VÄSTRA GÖTALANDS LÄN</t>
        </is>
      </c>
      <c r="E5839" t="inlineStr">
        <is>
          <t>DALS-ED</t>
        </is>
      </c>
      <c r="G5839" t="n">
        <v>1.9</v>
      </c>
      <c r="H5839" t="n">
        <v>0</v>
      </c>
      <c r="I5839" t="n">
        <v>0</v>
      </c>
      <c r="J5839" t="n">
        <v>0</v>
      </c>
      <c r="K5839" t="n">
        <v>0</v>
      </c>
      <c r="L5839" t="n">
        <v>0</v>
      </c>
      <c r="M5839" t="n">
        <v>0</v>
      </c>
      <c r="N5839" t="n">
        <v>0</v>
      </c>
      <c r="O5839" t="n">
        <v>0</v>
      </c>
      <c r="P5839" t="n">
        <v>0</v>
      </c>
      <c r="Q5839" t="n">
        <v>0</v>
      </c>
      <c r="R5839" s="2" t="inlineStr"/>
    </row>
    <row r="5840" ht="15" customHeight="1">
      <c r="A5840" t="inlineStr">
        <is>
          <t>A 18663-2025</t>
        </is>
      </c>
      <c r="B5840" s="1" t="n">
        <v>45763.58878472223</v>
      </c>
      <c r="C5840" s="1" t="n">
        <v>45952</v>
      </c>
      <c r="D5840" t="inlineStr">
        <is>
          <t>VÄSTRA GÖTALANDS LÄN</t>
        </is>
      </c>
      <c r="E5840" t="inlineStr">
        <is>
          <t>SVENLJUNGA</t>
        </is>
      </c>
      <c r="G5840" t="n">
        <v>0.7</v>
      </c>
      <c r="H5840" t="n">
        <v>0</v>
      </c>
      <c r="I5840" t="n">
        <v>0</v>
      </c>
      <c r="J5840" t="n">
        <v>0</v>
      </c>
      <c r="K5840" t="n">
        <v>0</v>
      </c>
      <c r="L5840" t="n">
        <v>0</v>
      </c>
      <c r="M5840" t="n">
        <v>0</v>
      </c>
      <c r="N5840" t="n">
        <v>0</v>
      </c>
      <c r="O5840" t="n">
        <v>0</v>
      </c>
      <c r="P5840" t="n">
        <v>0</v>
      </c>
      <c r="Q5840" t="n">
        <v>0</v>
      </c>
      <c r="R5840" s="2" t="inlineStr"/>
    </row>
    <row r="5841" ht="15" customHeight="1">
      <c r="A5841" t="inlineStr">
        <is>
          <t>A 12512-2025</t>
        </is>
      </c>
      <c r="B5841" s="1" t="n">
        <v>45730.64863425926</v>
      </c>
      <c r="C5841" s="1" t="n">
        <v>45952</v>
      </c>
      <c r="D5841" t="inlineStr">
        <is>
          <t>VÄSTRA GÖTALANDS LÄN</t>
        </is>
      </c>
      <c r="E5841" t="inlineStr">
        <is>
          <t>BORÅS</t>
        </is>
      </c>
      <c r="G5841" t="n">
        <v>1.3</v>
      </c>
      <c r="H5841" t="n">
        <v>0</v>
      </c>
      <c r="I5841" t="n">
        <v>0</v>
      </c>
      <c r="J5841" t="n">
        <v>0</v>
      </c>
      <c r="K5841" t="n">
        <v>0</v>
      </c>
      <c r="L5841" t="n">
        <v>0</v>
      </c>
      <c r="M5841" t="n">
        <v>0</v>
      </c>
      <c r="N5841" t="n">
        <v>0</v>
      </c>
      <c r="O5841" t="n">
        <v>0</v>
      </c>
      <c r="P5841" t="n">
        <v>0</v>
      </c>
      <c r="Q5841" t="n">
        <v>0</v>
      </c>
      <c r="R5841" s="2" t="inlineStr"/>
    </row>
    <row r="5842" ht="15" customHeight="1">
      <c r="A5842" t="inlineStr">
        <is>
          <t>A 29012-2024</t>
        </is>
      </c>
      <c r="B5842" s="1" t="n">
        <v>45478</v>
      </c>
      <c r="C5842" s="1" t="n">
        <v>45952</v>
      </c>
      <c r="D5842" t="inlineStr">
        <is>
          <t>VÄSTRA GÖTALANDS LÄN</t>
        </is>
      </c>
      <c r="E5842" t="inlineStr">
        <is>
          <t>FALKÖPING</t>
        </is>
      </c>
      <c r="G5842" t="n">
        <v>3.8</v>
      </c>
      <c r="H5842" t="n">
        <v>0</v>
      </c>
      <c r="I5842" t="n">
        <v>0</v>
      </c>
      <c r="J5842" t="n">
        <v>0</v>
      </c>
      <c r="K5842" t="n">
        <v>0</v>
      </c>
      <c r="L5842" t="n">
        <v>0</v>
      </c>
      <c r="M5842" t="n">
        <v>0</v>
      </c>
      <c r="N5842" t="n">
        <v>0</v>
      </c>
      <c r="O5842" t="n">
        <v>0</v>
      </c>
      <c r="P5842" t="n">
        <v>0</v>
      </c>
      <c r="Q5842" t="n">
        <v>0</v>
      </c>
      <c r="R5842" s="2" t="inlineStr"/>
    </row>
    <row r="5843" ht="15" customHeight="1">
      <c r="A5843" t="inlineStr">
        <is>
          <t>A 29066-2024</t>
        </is>
      </c>
      <c r="B5843" s="1" t="n">
        <v>45481.69738425926</v>
      </c>
      <c r="C5843" s="1" t="n">
        <v>45952</v>
      </c>
      <c r="D5843" t="inlineStr">
        <is>
          <t>VÄSTRA GÖTALANDS LÄN</t>
        </is>
      </c>
      <c r="E5843" t="inlineStr">
        <is>
          <t>LILLA EDET</t>
        </is>
      </c>
      <c r="G5843" t="n">
        <v>7.9</v>
      </c>
      <c r="H5843" t="n">
        <v>0</v>
      </c>
      <c r="I5843" t="n">
        <v>0</v>
      </c>
      <c r="J5843" t="n">
        <v>0</v>
      </c>
      <c r="K5843" t="n">
        <v>0</v>
      </c>
      <c r="L5843" t="n">
        <v>0</v>
      </c>
      <c r="M5843" t="n">
        <v>0</v>
      </c>
      <c r="N5843" t="n">
        <v>0</v>
      </c>
      <c r="O5843" t="n">
        <v>0</v>
      </c>
      <c r="P5843" t="n">
        <v>0</v>
      </c>
      <c r="Q5843" t="n">
        <v>0</v>
      </c>
      <c r="R5843" s="2" t="inlineStr"/>
    </row>
    <row r="5844" ht="15" customHeight="1">
      <c r="A5844" t="inlineStr">
        <is>
          <t>A 60292-2023</t>
        </is>
      </c>
      <c r="B5844" s="1" t="n">
        <v>45257</v>
      </c>
      <c r="C5844" s="1" t="n">
        <v>45952</v>
      </c>
      <c r="D5844" t="inlineStr">
        <is>
          <t>VÄSTRA GÖTALANDS LÄN</t>
        </is>
      </c>
      <c r="E5844" t="inlineStr">
        <is>
          <t>FALKÖPING</t>
        </is>
      </c>
      <c r="G5844" t="n">
        <v>10.3</v>
      </c>
      <c r="H5844" t="n">
        <v>0</v>
      </c>
      <c r="I5844" t="n">
        <v>0</v>
      </c>
      <c r="J5844" t="n">
        <v>0</v>
      </c>
      <c r="K5844" t="n">
        <v>0</v>
      </c>
      <c r="L5844" t="n">
        <v>0</v>
      </c>
      <c r="M5844" t="n">
        <v>0</v>
      </c>
      <c r="N5844" t="n">
        <v>0</v>
      </c>
      <c r="O5844" t="n">
        <v>0</v>
      </c>
      <c r="P5844" t="n">
        <v>0</v>
      </c>
      <c r="Q5844" t="n">
        <v>0</v>
      </c>
      <c r="R5844" s="2" t="inlineStr"/>
    </row>
    <row r="5845" ht="15" customHeight="1">
      <c r="A5845" t="inlineStr">
        <is>
          <t>A 24675-2023</t>
        </is>
      </c>
      <c r="B5845" s="1" t="n">
        <v>45084.49618055556</v>
      </c>
      <c r="C5845" s="1" t="n">
        <v>45952</v>
      </c>
      <c r="D5845" t="inlineStr">
        <is>
          <t>VÄSTRA GÖTALANDS LÄN</t>
        </is>
      </c>
      <c r="E5845" t="inlineStr">
        <is>
          <t>ULRICEHAMN</t>
        </is>
      </c>
      <c r="F5845" t="inlineStr">
        <is>
          <t>Sveaskog</t>
        </is>
      </c>
      <c r="G5845" t="n">
        <v>13.7</v>
      </c>
      <c r="H5845" t="n">
        <v>0</v>
      </c>
      <c r="I5845" t="n">
        <v>0</v>
      </c>
      <c r="J5845" t="n">
        <v>0</v>
      </c>
      <c r="K5845" t="n">
        <v>0</v>
      </c>
      <c r="L5845" t="n">
        <v>0</v>
      </c>
      <c r="M5845" t="n">
        <v>0</v>
      </c>
      <c r="N5845" t="n">
        <v>0</v>
      </c>
      <c r="O5845" t="n">
        <v>0</v>
      </c>
      <c r="P5845" t="n">
        <v>0</v>
      </c>
      <c r="Q5845" t="n">
        <v>0</v>
      </c>
      <c r="R5845" s="2" t="inlineStr"/>
    </row>
    <row r="5846" ht="15" customHeight="1">
      <c r="A5846" t="inlineStr">
        <is>
          <t>A 15610-2025</t>
        </is>
      </c>
      <c r="B5846" s="1" t="n">
        <v>45748.34873842593</v>
      </c>
      <c r="C5846" s="1" t="n">
        <v>45952</v>
      </c>
      <c r="D5846" t="inlineStr">
        <is>
          <t>VÄSTRA GÖTALANDS LÄN</t>
        </is>
      </c>
      <c r="E5846" t="inlineStr">
        <is>
          <t>MARIESTAD</t>
        </is>
      </c>
      <c r="G5846" t="n">
        <v>3.8</v>
      </c>
      <c r="H5846" t="n">
        <v>0</v>
      </c>
      <c r="I5846" t="n">
        <v>0</v>
      </c>
      <c r="J5846" t="n">
        <v>0</v>
      </c>
      <c r="K5846" t="n">
        <v>0</v>
      </c>
      <c r="L5846" t="n">
        <v>0</v>
      </c>
      <c r="M5846" t="n">
        <v>0</v>
      </c>
      <c r="N5846" t="n">
        <v>0</v>
      </c>
      <c r="O5846" t="n">
        <v>0</v>
      </c>
      <c r="P5846" t="n">
        <v>0</v>
      </c>
      <c r="Q5846" t="n">
        <v>0</v>
      </c>
      <c r="R5846" s="2" t="inlineStr"/>
    </row>
    <row r="5847" ht="15" customHeight="1">
      <c r="A5847" t="inlineStr">
        <is>
          <t>A 29067-2024</t>
        </is>
      </c>
      <c r="B5847" s="1" t="n">
        <v>45481.70640046296</v>
      </c>
      <c r="C5847" s="1" t="n">
        <v>45952</v>
      </c>
      <c r="D5847" t="inlineStr">
        <is>
          <t>VÄSTRA GÖTALANDS LÄN</t>
        </is>
      </c>
      <c r="E5847" t="inlineStr">
        <is>
          <t>LILLA EDET</t>
        </is>
      </c>
      <c r="G5847" t="n">
        <v>10.4</v>
      </c>
      <c r="H5847" t="n">
        <v>0</v>
      </c>
      <c r="I5847" t="n">
        <v>0</v>
      </c>
      <c r="J5847" t="n">
        <v>0</v>
      </c>
      <c r="K5847" t="n">
        <v>0</v>
      </c>
      <c r="L5847" t="n">
        <v>0</v>
      </c>
      <c r="M5847" t="n">
        <v>0</v>
      </c>
      <c r="N5847" t="n">
        <v>0</v>
      </c>
      <c r="O5847" t="n">
        <v>0</v>
      </c>
      <c r="P5847" t="n">
        <v>0</v>
      </c>
      <c r="Q5847" t="n">
        <v>0</v>
      </c>
      <c r="R5847" s="2" t="inlineStr"/>
    </row>
    <row r="5848" ht="15" customHeight="1">
      <c r="A5848" t="inlineStr">
        <is>
          <t>A 29068-2024</t>
        </is>
      </c>
      <c r="B5848" s="1" t="n">
        <v>45481.71290509259</v>
      </c>
      <c r="C5848" s="1" t="n">
        <v>45952</v>
      </c>
      <c r="D5848" t="inlineStr">
        <is>
          <t>VÄSTRA GÖTALANDS LÄN</t>
        </is>
      </c>
      <c r="E5848" t="inlineStr">
        <is>
          <t>LILLA EDET</t>
        </is>
      </c>
      <c r="G5848" t="n">
        <v>1.8</v>
      </c>
      <c r="H5848" t="n">
        <v>0</v>
      </c>
      <c r="I5848" t="n">
        <v>0</v>
      </c>
      <c r="J5848" t="n">
        <v>0</v>
      </c>
      <c r="K5848" t="n">
        <v>0</v>
      </c>
      <c r="L5848" t="n">
        <v>0</v>
      </c>
      <c r="M5848" t="n">
        <v>0</v>
      </c>
      <c r="N5848" t="n">
        <v>0</v>
      </c>
      <c r="O5848" t="n">
        <v>0</v>
      </c>
      <c r="P5848" t="n">
        <v>0</v>
      </c>
      <c r="Q5848" t="n">
        <v>0</v>
      </c>
      <c r="R5848" s="2" t="inlineStr"/>
    </row>
    <row r="5849" ht="15" customHeight="1">
      <c r="A5849" t="inlineStr">
        <is>
          <t>A 59566-2023</t>
        </is>
      </c>
      <c r="B5849" s="1" t="n">
        <v>45254</v>
      </c>
      <c r="C5849" s="1" t="n">
        <v>45952</v>
      </c>
      <c r="D5849" t="inlineStr">
        <is>
          <t>VÄSTRA GÖTALANDS LÄN</t>
        </is>
      </c>
      <c r="E5849" t="inlineStr">
        <is>
          <t>ALINGSÅS</t>
        </is>
      </c>
      <c r="G5849" t="n">
        <v>0.7</v>
      </c>
      <c r="H5849" t="n">
        <v>0</v>
      </c>
      <c r="I5849" t="n">
        <v>0</v>
      </c>
      <c r="J5849" t="n">
        <v>0</v>
      </c>
      <c r="K5849" t="n">
        <v>0</v>
      </c>
      <c r="L5849" t="n">
        <v>0</v>
      </c>
      <c r="M5849" t="n">
        <v>0</v>
      </c>
      <c r="N5849" t="n">
        <v>0</v>
      </c>
      <c r="O5849" t="n">
        <v>0</v>
      </c>
      <c r="P5849" t="n">
        <v>0</v>
      </c>
      <c r="Q5849" t="n">
        <v>0</v>
      </c>
      <c r="R5849" s="2" t="inlineStr"/>
    </row>
    <row r="5850" ht="15" customHeight="1">
      <c r="A5850" t="inlineStr">
        <is>
          <t>A 9265-2024</t>
        </is>
      </c>
      <c r="B5850" s="1" t="n">
        <v>45358.60878472222</v>
      </c>
      <c r="C5850" s="1" t="n">
        <v>45952</v>
      </c>
      <c r="D5850" t="inlineStr">
        <is>
          <t>VÄSTRA GÖTALANDS LÄN</t>
        </is>
      </c>
      <c r="E5850" t="inlineStr">
        <is>
          <t>MARK</t>
        </is>
      </c>
      <c r="G5850" t="n">
        <v>2</v>
      </c>
      <c r="H5850" t="n">
        <v>0</v>
      </c>
      <c r="I5850" t="n">
        <v>0</v>
      </c>
      <c r="J5850" t="n">
        <v>0</v>
      </c>
      <c r="K5850" t="n">
        <v>0</v>
      </c>
      <c r="L5850" t="n">
        <v>0</v>
      </c>
      <c r="M5850" t="n">
        <v>0</v>
      </c>
      <c r="N5850" t="n">
        <v>0</v>
      </c>
      <c r="O5850" t="n">
        <v>0</v>
      </c>
      <c r="P5850" t="n">
        <v>0</v>
      </c>
      <c r="Q5850" t="n">
        <v>0</v>
      </c>
      <c r="R5850" s="2" t="inlineStr"/>
    </row>
    <row r="5851" ht="15" customHeight="1">
      <c r="A5851" t="inlineStr">
        <is>
          <t>A 17640-2025</t>
        </is>
      </c>
      <c r="B5851" s="1" t="n">
        <v>45758.32174768519</v>
      </c>
      <c r="C5851" s="1" t="n">
        <v>45952</v>
      </c>
      <c r="D5851" t="inlineStr">
        <is>
          <t>VÄSTRA GÖTALANDS LÄN</t>
        </is>
      </c>
      <c r="E5851" t="inlineStr">
        <is>
          <t>FÄRGELANDA</t>
        </is>
      </c>
      <c r="G5851" t="n">
        <v>0.7</v>
      </c>
      <c r="H5851" t="n">
        <v>0</v>
      </c>
      <c r="I5851" t="n">
        <v>0</v>
      </c>
      <c r="J5851" t="n">
        <v>0</v>
      </c>
      <c r="K5851" t="n">
        <v>0</v>
      </c>
      <c r="L5851" t="n">
        <v>0</v>
      </c>
      <c r="M5851" t="n">
        <v>0</v>
      </c>
      <c r="N5851" t="n">
        <v>0</v>
      </c>
      <c r="O5851" t="n">
        <v>0</v>
      </c>
      <c r="P5851" t="n">
        <v>0</v>
      </c>
      <c r="Q5851" t="n">
        <v>0</v>
      </c>
      <c r="R5851" s="2" t="inlineStr"/>
    </row>
    <row r="5852" ht="15" customHeight="1">
      <c r="A5852" t="inlineStr">
        <is>
          <t>A 6366-2025</t>
        </is>
      </c>
      <c r="B5852" s="1" t="n">
        <v>45699.38159722222</v>
      </c>
      <c r="C5852" s="1" t="n">
        <v>45952</v>
      </c>
      <c r="D5852" t="inlineStr">
        <is>
          <t>VÄSTRA GÖTALANDS LÄN</t>
        </is>
      </c>
      <c r="E5852" t="inlineStr">
        <is>
          <t>SKARA</t>
        </is>
      </c>
      <c r="F5852" t="inlineStr">
        <is>
          <t>Sveaskog</t>
        </is>
      </c>
      <c r="G5852" t="n">
        <v>2.4</v>
      </c>
      <c r="H5852" t="n">
        <v>0</v>
      </c>
      <c r="I5852" t="n">
        <v>0</v>
      </c>
      <c r="J5852" t="n">
        <v>0</v>
      </c>
      <c r="K5852" t="n">
        <v>0</v>
      </c>
      <c r="L5852" t="n">
        <v>0</v>
      </c>
      <c r="M5852" t="n">
        <v>0</v>
      </c>
      <c r="N5852" t="n">
        <v>0</v>
      </c>
      <c r="O5852" t="n">
        <v>0</v>
      </c>
      <c r="P5852" t="n">
        <v>0</v>
      </c>
      <c r="Q5852" t="n">
        <v>0</v>
      </c>
      <c r="R5852" s="2" t="inlineStr"/>
    </row>
    <row r="5853" ht="15" customHeight="1">
      <c r="A5853" t="inlineStr">
        <is>
          <t>A 52016-2021</t>
        </is>
      </c>
      <c r="B5853" s="1" t="n">
        <v>44463</v>
      </c>
      <c r="C5853" s="1" t="n">
        <v>45952</v>
      </c>
      <c r="D5853" t="inlineStr">
        <is>
          <t>VÄSTRA GÖTALANDS LÄN</t>
        </is>
      </c>
      <c r="E5853" t="inlineStr">
        <is>
          <t>VÅRGÅRDA</t>
        </is>
      </c>
      <c r="G5853" t="n">
        <v>3.2</v>
      </c>
      <c r="H5853" t="n">
        <v>0</v>
      </c>
      <c r="I5853" t="n">
        <v>0</v>
      </c>
      <c r="J5853" t="n">
        <v>0</v>
      </c>
      <c r="K5853" t="n">
        <v>0</v>
      </c>
      <c r="L5853" t="n">
        <v>0</v>
      </c>
      <c r="M5853" t="n">
        <v>0</v>
      </c>
      <c r="N5853" t="n">
        <v>0</v>
      </c>
      <c r="O5853" t="n">
        <v>0</v>
      </c>
      <c r="P5853" t="n">
        <v>0</v>
      </c>
      <c r="Q5853" t="n">
        <v>0</v>
      </c>
      <c r="R5853" s="2" t="inlineStr"/>
    </row>
    <row r="5854" ht="15" customHeight="1">
      <c r="A5854" t="inlineStr">
        <is>
          <t>A 7749-2023</t>
        </is>
      </c>
      <c r="B5854" s="1" t="n">
        <v>44973</v>
      </c>
      <c r="C5854" s="1" t="n">
        <v>45952</v>
      </c>
      <c r="D5854" t="inlineStr">
        <is>
          <t>VÄSTRA GÖTALANDS LÄN</t>
        </is>
      </c>
      <c r="E5854" t="inlineStr">
        <is>
          <t>TIDAHOLM</t>
        </is>
      </c>
      <c r="G5854" t="n">
        <v>2.5</v>
      </c>
      <c r="H5854" t="n">
        <v>0</v>
      </c>
      <c r="I5854" t="n">
        <v>0</v>
      </c>
      <c r="J5854" t="n">
        <v>0</v>
      </c>
      <c r="K5854" t="n">
        <v>0</v>
      </c>
      <c r="L5854" t="n">
        <v>0</v>
      </c>
      <c r="M5854" t="n">
        <v>0</v>
      </c>
      <c r="N5854" t="n">
        <v>0</v>
      </c>
      <c r="O5854" t="n">
        <v>0</v>
      </c>
      <c r="P5854" t="n">
        <v>0</v>
      </c>
      <c r="Q5854" t="n">
        <v>0</v>
      </c>
      <c r="R5854" s="2" t="inlineStr"/>
    </row>
    <row r="5855" ht="15" customHeight="1">
      <c r="A5855" t="inlineStr">
        <is>
          <t>A 60967-2024</t>
        </is>
      </c>
      <c r="B5855" s="1" t="n">
        <v>45645</v>
      </c>
      <c r="C5855" s="1" t="n">
        <v>45952</v>
      </c>
      <c r="D5855" t="inlineStr">
        <is>
          <t>VÄSTRA GÖTALANDS LÄN</t>
        </is>
      </c>
      <c r="E5855" t="inlineStr">
        <is>
          <t>BENGTSFORS</t>
        </is>
      </c>
      <c r="G5855" t="n">
        <v>0.1</v>
      </c>
      <c r="H5855" t="n">
        <v>0</v>
      </c>
      <c r="I5855" t="n">
        <v>0</v>
      </c>
      <c r="J5855" t="n">
        <v>0</v>
      </c>
      <c r="K5855" t="n">
        <v>0</v>
      </c>
      <c r="L5855" t="n">
        <v>0</v>
      </c>
      <c r="M5855" t="n">
        <v>0</v>
      </c>
      <c r="N5855" t="n">
        <v>0</v>
      </c>
      <c r="O5855" t="n">
        <v>0</v>
      </c>
      <c r="P5855" t="n">
        <v>0</v>
      </c>
      <c r="Q5855" t="n">
        <v>0</v>
      </c>
      <c r="R5855" s="2" t="inlineStr"/>
    </row>
    <row r="5856" ht="15" customHeight="1">
      <c r="A5856" t="inlineStr">
        <is>
          <t>A 6842-2025</t>
        </is>
      </c>
      <c r="B5856" s="1" t="n">
        <v>45700.84613425926</v>
      </c>
      <c r="C5856" s="1" t="n">
        <v>45952</v>
      </c>
      <c r="D5856" t="inlineStr">
        <is>
          <t>VÄSTRA GÖTALANDS LÄN</t>
        </is>
      </c>
      <c r="E5856" t="inlineStr">
        <is>
          <t>ALINGSÅS</t>
        </is>
      </c>
      <c r="G5856" t="n">
        <v>4.4</v>
      </c>
      <c r="H5856" t="n">
        <v>0</v>
      </c>
      <c r="I5856" t="n">
        <v>0</v>
      </c>
      <c r="J5856" t="n">
        <v>0</v>
      </c>
      <c r="K5856" t="n">
        <v>0</v>
      </c>
      <c r="L5856" t="n">
        <v>0</v>
      </c>
      <c r="M5856" t="n">
        <v>0</v>
      </c>
      <c r="N5856" t="n">
        <v>0</v>
      </c>
      <c r="O5856" t="n">
        <v>0</v>
      </c>
      <c r="P5856" t="n">
        <v>0</v>
      </c>
      <c r="Q5856" t="n">
        <v>0</v>
      </c>
      <c r="R5856" s="2" t="inlineStr"/>
    </row>
    <row r="5857" ht="15" customHeight="1">
      <c r="A5857" t="inlineStr">
        <is>
          <t>A 41784-2022</t>
        </is>
      </c>
      <c r="B5857" s="1" t="n">
        <v>44827</v>
      </c>
      <c r="C5857" s="1" t="n">
        <v>45952</v>
      </c>
      <c r="D5857" t="inlineStr">
        <is>
          <t>VÄSTRA GÖTALANDS LÄN</t>
        </is>
      </c>
      <c r="E5857" t="inlineStr">
        <is>
          <t>BENGTSFORS</t>
        </is>
      </c>
      <c r="G5857" t="n">
        <v>2.9</v>
      </c>
      <c r="H5857" t="n">
        <v>0</v>
      </c>
      <c r="I5857" t="n">
        <v>0</v>
      </c>
      <c r="J5857" t="n">
        <v>0</v>
      </c>
      <c r="K5857" t="n">
        <v>0</v>
      </c>
      <c r="L5857" t="n">
        <v>0</v>
      </c>
      <c r="M5857" t="n">
        <v>0</v>
      </c>
      <c r="N5857" t="n">
        <v>0</v>
      </c>
      <c r="O5857" t="n">
        <v>0</v>
      </c>
      <c r="P5857" t="n">
        <v>0</v>
      </c>
      <c r="Q5857" t="n">
        <v>0</v>
      </c>
      <c r="R5857" s="2" t="inlineStr"/>
    </row>
    <row r="5858" ht="15" customHeight="1">
      <c r="A5858" t="inlineStr">
        <is>
          <t>A 42532-2022</t>
        </is>
      </c>
      <c r="B5858" s="1" t="n">
        <v>44831</v>
      </c>
      <c r="C5858" s="1" t="n">
        <v>45952</v>
      </c>
      <c r="D5858" t="inlineStr">
        <is>
          <t>VÄSTRA GÖTALANDS LÄN</t>
        </is>
      </c>
      <c r="E5858" t="inlineStr">
        <is>
          <t>BENGTSFORS</t>
        </is>
      </c>
      <c r="G5858" t="n">
        <v>2.4</v>
      </c>
      <c r="H5858" t="n">
        <v>0</v>
      </c>
      <c r="I5858" t="n">
        <v>0</v>
      </c>
      <c r="J5858" t="n">
        <v>0</v>
      </c>
      <c r="K5858" t="n">
        <v>0</v>
      </c>
      <c r="L5858" t="n">
        <v>0</v>
      </c>
      <c r="M5858" t="n">
        <v>0</v>
      </c>
      <c r="N5858" t="n">
        <v>0</v>
      </c>
      <c r="O5858" t="n">
        <v>0</v>
      </c>
      <c r="P5858" t="n">
        <v>0</v>
      </c>
      <c r="Q5858" t="n">
        <v>0</v>
      </c>
      <c r="R5858" s="2" t="inlineStr"/>
    </row>
    <row r="5859" ht="15" customHeight="1">
      <c r="A5859" t="inlineStr">
        <is>
          <t>A 36075-2021</t>
        </is>
      </c>
      <c r="B5859" s="1" t="n">
        <v>44389</v>
      </c>
      <c r="C5859" s="1" t="n">
        <v>45952</v>
      </c>
      <c r="D5859" t="inlineStr">
        <is>
          <t>VÄSTRA GÖTALANDS LÄN</t>
        </is>
      </c>
      <c r="E5859" t="inlineStr">
        <is>
          <t>MELLERUD</t>
        </is>
      </c>
      <c r="G5859" t="n">
        <v>2.5</v>
      </c>
      <c r="H5859" t="n">
        <v>0</v>
      </c>
      <c r="I5859" t="n">
        <v>0</v>
      </c>
      <c r="J5859" t="n">
        <v>0</v>
      </c>
      <c r="K5859" t="n">
        <v>0</v>
      </c>
      <c r="L5859" t="n">
        <v>0</v>
      </c>
      <c r="M5859" t="n">
        <v>0</v>
      </c>
      <c r="N5859" t="n">
        <v>0</v>
      </c>
      <c r="O5859" t="n">
        <v>0</v>
      </c>
      <c r="P5859" t="n">
        <v>0</v>
      </c>
      <c r="Q5859" t="n">
        <v>0</v>
      </c>
      <c r="R5859" s="2" t="inlineStr"/>
    </row>
    <row r="5860" ht="15" customHeight="1">
      <c r="A5860" t="inlineStr">
        <is>
          <t>A 36076-2021</t>
        </is>
      </c>
      <c r="B5860" s="1" t="n">
        <v>44389</v>
      </c>
      <c r="C5860" s="1" t="n">
        <v>45952</v>
      </c>
      <c r="D5860" t="inlineStr">
        <is>
          <t>VÄSTRA GÖTALANDS LÄN</t>
        </is>
      </c>
      <c r="E5860" t="inlineStr">
        <is>
          <t>MELLERUD</t>
        </is>
      </c>
      <c r="G5860" t="n">
        <v>0.9</v>
      </c>
      <c r="H5860" t="n">
        <v>0</v>
      </c>
      <c r="I5860" t="n">
        <v>0</v>
      </c>
      <c r="J5860" t="n">
        <v>0</v>
      </c>
      <c r="K5860" t="n">
        <v>0</v>
      </c>
      <c r="L5860" t="n">
        <v>0</v>
      </c>
      <c r="M5860" t="n">
        <v>0</v>
      </c>
      <c r="N5860" t="n">
        <v>0</v>
      </c>
      <c r="O5860" t="n">
        <v>0</v>
      </c>
      <c r="P5860" t="n">
        <v>0</v>
      </c>
      <c r="Q5860" t="n">
        <v>0</v>
      </c>
      <c r="R5860" s="2" t="inlineStr"/>
    </row>
    <row r="5861" ht="15" customHeight="1">
      <c r="A5861" t="inlineStr">
        <is>
          <t>A 62304-2021</t>
        </is>
      </c>
      <c r="B5861" s="1" t="n">
        <v>44503.38475694445</v>
      </c>
      <c r="C5861" s="1" t="n">
        <v>45952</v>
      </c>
      <c r="D5861" t="inlineStr">
        <is>
          <t>VÄSTRA GÖTALANDS LÄN</t>
        </is>
      </c>
      <c r="E5861" t="inlineStr">
        <is>
          <t>KARLSBORG</t>
        </is>
      </c>
      <c r="F5861" t="inlineStr">
        <is>
          <t>Sveaskog</t>
        </is>
      </c>
      <c r="G5861" t="n">
        <v>1.2</v>
      </c>
      <c r="H5861" t="n">
        <v>0</v>
      </c>
      <c r="I5861" t="n">
        <v>0</v>
      </c>
      <c r="J5861" t="n">
        <v>0</v>
      </c>
      <c r="K5861" t="n">
        <v>0</v>
      </c>
      <c r="L5861" t="n">
        <v>0</v>
      </c>
      <c r="M5861" t="n">
        <v>0</v>
      </c>
      <c r="N5861" t="n">
        <v>0</v>
      </c>
      <c r="O5861" t="n">
        <v>0</v>
      </c>
      <c r="P5861" t="n">
        <v>0</v>
      </c>
      <c r="Q5861" t="n">
        <v>0</v>
      </c>
      <c r="R5861" s="2" t="inlineStr"/>
    </row>
    <row r="5862" ht="15" customHeight="1">
      <c r="A5862" t="inlineStr">
        <is>
          <t>A 57615-2022</t>
        </is>
      </c>
      <c r="B5862" s="1" t="n">
        <v>44897</v>
      </c>
      <c r="C5862" s="1" t="n">
        <v>45952</v>
      </c>
      <c r="D5862" t="inlineStr">
        <is>
          <t>VÄSTRA GÖTALANDS LÄN</t>
        </is>
      </c>
      <c r="E5862" t="inlineStr">
        <is>
          <t>SVENLJUNGA</t>
        </is>
      </c>
      <c r="G5862" t="n">
        <v>1.4</v>
      </c>
      <c r="H5862" t="n">
        <v>0</v>
      </c>
      <c r="I5862" t="n">
        <v>0</v>
      </c>
      <c r="J5862" t="n">
        <v>0</v>
      </c>
      <c r="K5862" t="n">
        <v>0</v>
      </c>
      <c r="L5862" t="n">
        <v>0</v>
      </c>
      <c r="M5862" t="n">
        <v>0</v>
      </c>
      <c r="N5862" t="n">
        <v>0</v>
      </c>
      <c r="O5862" t="n">
        <v>0</v>
      </c>
      <c r="P5862" t="n">
        <v>0</v>
      </c>
      <c r="Q5862" t="n">
        <v>0</v>
      </c>
      <c r="R5862" s="2" t="inlineStr"/>
    </row>
    <row r="5863" ht="15" customHeight="1">
      <c r="A5863" t="inlineStr">
        <is>
          <t>A 55959-2022</t>
        </is>
      </c>
      <c r="B5863" s="1" t="n">
        <v>44889.42746527777</v>
      </c>
      <c r="C5863" s="1" t="n">
        <v>45952</v>
      </c>
      <c r="D5863" t="inlineStr">
        <is>
          <t>VÄSTRA GÖTALANDS LÄN</t>
        </is>
      </c>
      <c r="E5863" t="inlineStr">
        <is>
          <t>BORÅS</t>
        </is>
      </c>
      <c r="F5863" t="inlineStr">
        <is>
          <t>Kyrkan</t>
        </is>
      </c>
      <c r="G5863" t="n">
        <v>6.1</v>
      </c>
      <c r="H5863" t="n">
        <v>0</v>
      </c>
      <c r="I5863" t="n">
        <v>0</v>
      </c>
      <c r="J5863" t="n">
        <v>0</v>
      </c>
      <c r="K5863" t="n">
        <v>0</v>
      </c>
      <c r="L5863" t="n">
        <v>0</v>
      </c>
      <c r="M5863" t="n">
        <v>0</v>
      </c>
      <c r="N5863" t="n">
        <v>0</v>
      </c>
      <c r="O5863" t="n">
        <v>0</v>
      </c>
      <c r="P5863" t="n">
        <v>0</v>
      </c>
      <c r="Q5863" t="n">
        <v>0</v>
      </c>
      <c r="R5863" s="2" t="inlineStr"/>
    </row>
    <row r="5864" ht="15" customHeight="1">
      <c r="A5864" t="inlineStr">
        <is>
          <t>A 55995-2022</t>
        </is>
      </c>
      <c r="B5864" s="1" t="n">
        <v>44887</v>
      </c>
      <c r="C5864" s="1" t="n">
        <v>45952</v>
      </c>
      <c r="D5864" t="inlineStr">
        <is>
          <t>VÄSTRA GÖTALANDS LÄN</t>
        </is>
      </c>
      <c r="E5864" t="inlineStr">
        <is>
          <t>TANUM</t>
        </is>
      </c>
      <c r="G5864" t="n">
        <v>0.8</v>
      </c>
      <c r="H5864" t="n">
        <v>0</v>
      </c>
      <c r="I5864" t="n">
        <v>0</v>
      </c>
      <c r="J5864" t="n">
        <v>0</v>
      </c>
      <c r="K5864" t="n">
        <v>0</v>
      </c>
      <c r="L5864" t="n">
        <v>0</v>
      </c>
      <c r="M5864" t="n">
        <v>0</v>
      </c>
      <c r="N5864" t="n">
        <v>0</v>
      </c>
      <c r="O5864" t="n">
        <v>0</v>
      </c>
      <c r="P5864" t="n">
        <v>0</v>
      </c>
      <c r="Q5864" t="n">
        <v>0</v>
      </c>
      <c r="R5864" s="2" t="inlineStr"/>
    </row>
    <row r="5865" ht="15" customHeight="1">
      <c r="A5865" t="inlineStr">
        <is>
          <t>A 36291-2024</t>
        </is>
      </c>
      <c r="B5865" s="1" t="n">
        <v>45534.59996527778</v>
      </c>
      <c r="C5865" s="1" t="n">
        <v>45952</v>
      </c>
      <c r="D5865" t="inlineStr">
        <is>
          <t>VÄSTRA GÖTALANDS LÄN</t>
        </is>
      </c>
      <c r="E5865" t="inlineStr">
        <is>
          <t>ALINGSÅS</t>
        </is>
      </c>
      <c r="G5865" t="n">
        <v>1.1</v>
      </c>
      <c r="H5865" t="n">
        <v>0</v>
      </c>
      <c r="I5865" t="n">
        <v>0</v>
      </c>
      <c r="J5865" t="n">
        <v>0</v>
      </c>
      <c r="K5865" t="n">
        <v>0</v>
      </c>
      <c r="L5865" t="n">
        <v>0</v>
      </c>
      <c r="M5865" t="n">
        <v>0</v>
      </c>
      <c r="N5865" t="n">
        <v>0</v>
      </c>
      <c r="O5865" t="n">
        <v>0</v>
      </c>
      <c r="P5865" t="n">
        <v>0</v>
      </c>
      <c r="Q5865" t="n">
        <v>0</v>
      </c>
      <c r="R5865" s="2" t="inlineStr"/>
    </row>
    <row r="5866" ht="15" customHeight="1">
      <c r="A5866" t="inlineStr">
        <is>
          <t>A 7429-2024</t>
        </is>
      </c>
      <c r="B5866" s="1" t="n">
        <v>45345</v>
      </c>
      <c r="C5866" s="1" t="n">
        <v>45952</v>
      </c>
      <c r="D5866" t="inlineStr">
        <is>
          <t>VÄSTRA GÖTALANDS LÄN</t>
        </is>
      </c>
      <c r="E5866" t="inlineStr">
        <is>
          <t>LERUM</t>
        </is>
      </c>
      <c r="G5866" t="n">
        <v>1.2</v>
      </c>
      <c r="H5866" t="n">
        <v>0</v>
      </c>
      <c r="I5866" t="n">
        <v>0</v>
      </c>
      <c r="J5866" t="n">
        <v>0</v>
      </c>
      <c r="K5866" t="n">
        <v>0</v>
      </c>
      <c r="L5866" t="n">
        <v>0</v>
      </c>
      <c r="M5866" t="n">
        <v>0</v>
      </c>
      <c r="N5866" t="n">
        <v>0</v>
      </c>
      <c r="O5866" t="n">
        <v>0</v>
      </c>
      <c r="P5866" t="n">
        <v>0</v>
      </c>
      <c r="Q5866" t="n">
        <v>0</v>
      </c>
      <c r="R5866" s="2" t="inlineStr"/>
    </row>
    <row r="5867" ht="15" customHeight="1">
      <c r="A5867" t="inlineStr">
        <is>
          <t>A 7482-2024</t>
        </is>
      </c>
      <c r="B5867" s="1" t="n">
        <v>45346.61512731481</v>
      </c>
      <c r="C5867" s="1" t="n">
        <v>45952</v>
      </c>
      <c r="D5867" t="inlineStr">
        <is>
          <t>VÄSTRA GÖTALANDS LÄN</t>
        </is>
      </c>
      <c r="E5867" t="inlineStr">
        <is>
          <t>DALS-ED</t>
        </is>
      </c>
      <c r="G5867" t="n">
        <v>2.6</v>
      </c>
      <c r="H5867" t="n">
        <v>0</v>
      </c>
      <c r="I5867" t="n">
        <v>0</v>
      </c>
      <c r="J5867" t="n">
        <v>0</v>
      </c>
      <c r="K5867" t="n">
        <v>0</v>
      </c>
      <c r="L5867" t="n">
        <v>0</v>
      </c>
      <c r="M5867" t="n">
        <v>0</v>
      </c>
      <c r="N5867" t="n">
        <v>0</v>
      </c>
      <c r="O5867" t="n">
        <v>0</v>
      </c>
      <c r="P5867" t="n">
        <v>0</v>
      </c>
      <c r="Q5867" t="n">
        <v>0</v>
      </c>
      <c r="R5867" s="2" t="inlineStr"/>
    </row>
    <row r="5868" ht="15" customHeight="1">
      <c r="A5868" t="inlineStr">
        <is>
          <t>A 30701-2022</t>
        </is>
      </c>
      <c r="B5868" s="1" t="n">
        <v>44763</v>
      </c>
      <c r="C5868" s="1" t="n">
        <v>45952</v>
      </c>
      <c r="D5868" t="inlineStr">
        <is>
          <t>VÄSTRA GÖTALANDS LÄN</t>
        </is>
      </c>
      <c r="E5868" t="inlineStr">
        <is>
          <t>STRÖMSTAD</t>
        </is>
      </c>
      <c r="G5868" t="n">
        <v>0.8</v>
      </c>
      <c r="H5868" t="n">
        <v>0</v>
      </c>
      <c r="I5868" t="n">
        <v>0</v>
      </c>
      <c r="J5868" t="n">
        <v>0</v>
      </c>
      <c r="K5868" t="n">
        <v>0</v>
      </c>
      <c r="L5868" t="n">
        <v>0</v>
      </c>
      <c r="M5868" t="n">
        <v>0</v>
      </c>
      <c r="N5868" t="n">
        <v>0</v>
      </c>
      <c r="O5868" t="n">
        <v>0</v>
      </c>
      <c r="P5868" t="n">
        <v>0</v>
      </c>
      <c r="Q5868" t="n">
        <v>0</v>
      </c>
      <c r="R5868" s="2" t="inlineStr"/>
    </row>
    <row r="5869" ht="15" customHeight="1">
      <c r="A5869" t="inlineStr">
        <is>
          <t>A 2830-2024</t>
        </is>
      </c>
      <c r="B5869" s="1" t="n">
        <v>45314</v>
      </c>
      <c r="C5869" s="1" t="n">
        <v>45952</v>
      </c>
      <c r="D5869" t="inlineStr">
        <is>
          <t>VÄSTRA GÖTALANDS LÄN</t>
        </is>
      </c>
      <c r="E5869" t="inlineStr">
        <is>
          <t>TIDAHOLM</t>
        </is>
      </c>
      <c r="G5869" t="n">
        <v>7.9</v>
      </c>
      <c r="H5869" t="n">
        <v>0</v>
      </c>
      <c r="I5869" t="n">
        <v>0</v>
      </c>
      <c r="J5869" t="n">
        <v>0</v>
      </c>
      <c r="K5869" t="n">
        <v>0</v>
      </c>
      <c r="L5869" t="n">
        <v>0</v>
      </c>
      <c r="M5869" t="n">
        <v>0</v>
      </c>
      <c r="N5869" t="n">
        <v>0</v>
      </c>
      <c r="O5869" t="n">
        <v>0</v>
      </c>
      <c r="P5869" t="n">
        <v>0</v>
      </c>
      <c r="Q5869" t="n">
        <v>0</v>
      </c>
      <c r="R5869" s="2" t="inlineStr"/>
    </row>
    <row r="5870" ht="15" customHeight="1">
      <c r="A5870" t="inlineStr">
        <is>
          <t>A 39233-2024</t>
        </is>
      </c>
      <c r="B5870" s="1" t="n">
        <v>45550.69572916667</v>
      </c>
      <c r="C5870" s="1" t="n">
        <v>45952</v>
      </c>
      <c r="D5870" t="inlineStr">
        <is>
          <t>VÄSTRA GÖTALANDS LÄN</t>
        </is>
      </c>
      <c r="E5870" t="inlineStr">
        <is>
          <t>FALKÖPING</t>
        </is>
      </c>
      <c r="G5870" t="n">
        <v>1.2</v>
      </c>
      <c r="H5870" t="n">
        <v>0</v>
      </c>
      <c r="I5870" t="n">
        <v>0</v>
      </c>
      <c r="J5870" t="n">
        <v>0</v>
      </c>
      <c r="K5870" t="n">
        <v>0</v>
      </c>
      <c r="L5870" t="n">
        <v>0</v>
      </c>
      <c r="M5870" t="n">
        <v>0</v>
      </c>
      <c r="N5870" t="n">
        <v>0</v>
      </c>
      <c r="O5870" t="n">
        <v>0</v>
      </c>
      <c r="P5870" t="n">
        <v>0</v>
      </c>
      <c r="Q5870" t="n">
        <v>0</v>
      </c>
      <c r="R5870" s="2" t="inlineStr"/>
    </row>
    <row r="5871" ht="15" customHeight="1">
      <c r="A5871" t="inlineStr">
        <is>
          <t>A 12967-2024</t>
        </is>
      </c>
      <c r="B5871" s="1" t="n">
        <v>45385.50491898148</v>
      </c>
      <c r="C5871" s="1" t="n">
        <v>45952</v>
      </c>
      <c r="D5871" t="inlineStr">
        <is>
          <t>VÄSTRA GÖTALANDS LÄN</t>
        </is>
      </c>
      <c r="E5871" t="inlineStr">
        <is>
          <t>TROLLHÄTTAN</t>
        </is>
      </c>
      <c r="G5871" t="n">
        <v>1.2</v>
      </c>
      <c r="H5871" t="n">
        <v>0</v>
      </c>
      <c r="I5871" t="n">
        <v>0</v>
      </c>
      <c r="J5871" t="n">
        <v>0</v>
      </c>
      <c r="K5871" t="n">
        <v>0</v>
      </c>
      <c r="L5871" t="n">
        <v>0</v>
      </c>
      <c r="M5871" t="n">
        <v>0</v>
      </c>
      <c r="N5871" t="n">
        <v>0</v>
      </c>
      <c r="O5871" t="n">
        <v>0</v>
      </c>
      <c r="P5871" t="n">
        <v>0</v>
      </c>
      <c r="Q5871" t="n">
        <v>0</v>
      </c>
      <c r="R5871" s="2" t="inlineStr"/>
    </row>
    <row r="5872" ht="15" customHeight="1">
      <c r="A5872" t="inlineStr">
        <is>
          <t>A 12990-2024</t>
        </is>
      </c>
      <c r="B5872" s="1" t="n">
        <v>45385.55565972222</v>
      </c>
      <c r="C5872" s="1" t="n">
        <v>45952</v>
      </c>
      <c r="D5872" t="inlineStr">
        <is>
          <t>VÄSTRA GÖTALANDS LÄN</t>
        </is>
      </c>
      <c r="E5872" t="inlineStr">
        <is>
          <t>VÅRGÅRDA</t>
        </is>
      </c>
      <c r="G5872" t="n">
        <v>0.3</v>
      </c>
      <c r="H5872" t="n">
        <v>0</v>
      </c>
      <c r="I5872" t="n">
        <v>0</v>
      </c>
      <c r="J5872" t="n">
        <v>0</v>
      </c>
      <c r="K5872" t="n">
        <v>0</v>
      </c>
      <c r="L5872" t="n">
        <v>0</v>
      </c>
      <c r="M5872" t="n">
        <v>0</v>
      </c>
      <c r="N5872" t="n">
        <v>0</v>
      </c>
      <c r="O5872" t="n">
        <v>0</v>
      </c>
      <c r="P5872" t="n">
        <v>0</v>
      </c>
      <c r="Q5872" t="n">
        <v>0</v>
      </c>
      <c r="R5872" s="2" t="inlineStr"/>
    </row>
    <row r="5873" ht="15" customHeight="1">
      <c r="A5873" t="inlineStr">
        <is>
          <t>A 13949-2021</t>
        </is>
      </c>
      <c r="B5873" s="1" t="n">
        <v>44277.50083333333</v>
      </c>
      <c r="C5873" s="1" t="n">
        <v>45952</v>
      </c>
      <c r="D5873" t="inlineStr">
        <is>
          <t>VÄSTRA GÖTALANDS LÄN</t>
        </is>
      </c>
      <c r="E5873" t="inlineStr">
        <is>
          <t>DALS-ED</t>
        </is>
      </c>
      <c r="F5873" t="inlineStr">
        <is>
          <t>Övriga Aktiebolag</t>
        </is>
      </c>
      <c r="G5873" t="n">
        <v>1.3</v>
      </c>
      <c r="H5873" t="n">
        <v>0</v>
      </c>
      <c r="I5873" t="n">
        <v>0</v>
      </c>
      <c r="J5873" t="n">
        <v>0</v>
      </c>
      <c r="K5873" t="n">
        <v>0</v>
      </c>
      <c r="L5873" t="n">
        <v>0</v>
      </c>
      <c r="M5873" t="n">
        <v>0</v>
      </c>
      <c r="N5873" t="n">
        <v>0</v>
      </c>
      <c r="O5873" t="n">
        <v>0</v>
      </c>
      <c r="P5873" t="n">
        <v>0</v>
      </c>
      <c r="Q5873" t="n">
        <v>0</v>
      </c>
      <c r="R5873" s="2" t="inlineStr"/>
    </row>
    <row r="5874" ht="15" customHeight="1">
      <c r="A5874" t="inlineStr">
        <is>
          <t>A 20683-2024</t>
        </is>
      </c>
      <c r="B5874" s="1" t="n">
        <v>45436.58328703704</v>
      </c>
      <c r="C5874" s="1" t="n">
        <v>45952</v>
      </c>
      <c r="D5874" t="inlineStr">
        <is>
          <t>VÄSTRA GÖTALANDS LÄN</t>
        </is>
      </c>
      <c r="E5874" t="inlineStr">
        <is>
          <t>LYSEKIL</t>
        </is>
      </c>
      <c r="G5874" t="n">
        <v>0.9</v>
      </c>
      <c r="H5874" t="n">
        <v>0</v>
      </c>
      <c r="I5874" t="n">
        <v>0</v>
      </c>
      <c r="J5874" t="n">
        <v>0</v>
      </c>
      <c r="K5874" t="n">
        <v>0</v>
      </c>
      <c r="L5874" t="n">
        <v>0</v>
      </c>
      <c r="M5874" t="n">
        <v>0</v>
      </c>
      <c r="N5874" t="n">
        <v>0</v>
      </c>
      <c r="O5874" t="n">
        <v>0</v>
      </c>
      <c r="P5874" t="n">
        <v>0</v>
      </c>
      <c r="Q5874" t="n">
        <v>0</v>
      </c>
      <c r="R5874" s="2" t="inlineStr"/>
    </row>
    <row r="5875" ht="15" customHeight="1">
      <c r="A5875" t="inlineStr">
        <is>
          <t>A 8567-2023</t>
        </is>
      </c>
      <c r="B5875" s="1" t="n">
        <v>44977.63353009259</v>
      </c>
      <c r="C5875" s="1" t="n">
        <v>45952</v>
      </c>
      <c r="D5875" t="inlineStr">
        <is>
          <t>VÄSTRA GÖTALANDS LÄN</t>
        </is>
      </c>
      <c r="E5875" t="inlineStr">
        <is>
          <t>STENUNGSUND</t>
        </is>
      </c>
      <c r="G5875" t="n">
        <v>0.9</v>
      </c>
      <c r="H5875" t="n">
        <v>0</v>
      </c>
      <c r="I5875" t="n">
        <v>0</v>
      </c>
      <c r="J5875" t="n">
        <v>0</v>
      </c>
      <c r="K5875" t="n">
        <v>0</v>
      </c>
      <c r="L5875" t="n">
        <v>0</v>
      </c>
      <c r="M5875" t="n">
        <v>0</v>
      </c>
      <c r="N5875" t="n">
        <v>0</v>
      </c>
      <c r="O5875" t="n">
        <v>0</v>
      </c>
      <c r="P5875" t="n">
        <v>0</v>
      </c>
      <c r="Q5875" t="n">
        <v>0</v>
      </c>
      <c r="R5875" s="2" t="inlineStr"/>
    </row>
    <row r="5876" ht="15" customHeight="1">
      <c r="A5876" t="inlineStr">
        <is>
          <t>A 15289-2025</t>
        </is>
      </c>
      <c r="B5876" s="1" t="n">
        <v>45745.37030092593</v>
      </c>
      <c r="C5876" s="1" t="n">
        <v>45952</v>
      </c>
      <c r="D5876" t="inlineStr">
        <is>
          <t>VÄSTRA GÖTALANDS LÄN</t>
        </is>
      </c>
      <c r="E5876" t="inlineStr">
        <is>
          <t>ULRICEHAMN</t>
        </is>
      </c>
      <c r="G5876" t="n">
        <v>1.4</v>
      </c>
      <c r="H5876" t="n">
        <v>0</v>
      </c>
      <c r="I5876" t="n">
        <v>0</v>
      </c>
      <c r="J5876" t="n">
        <v>0</v>
      </c>
      <c r="K5876" t="n">
        <v>0</v>
      </c>
      <c r="L5876" t="n">
        <v>0</v>
      </c>
      <c r="M5876" t="n">
        <v>0</v>
      </c>
      <c r="N5876" t="n">
        <v>0</v>
      </c>
      <c r="O5876" t="n">
        <v>0</v>
      </c>
      <c r="P5876" t="n">
        <v>0</v>
      </c>
      <c r="Q5876" t="n">
        <v>0</v>
      </c>
      <c r="R5876" s="2" t="inlineStr"/>
    </row>
    <row r="5877" ht="15" customHeight="1">
      <c r="A5877" t="inlineStr">
        <is>
          <t>A 15336-2025</t>
        </is>
      </c>
      <c r="B5877" s="1" t="n">
        <v>45747.36298611111</v>
      </c>
      <c r="C5877" s="1" t="n">
        <v>45952</v>
      </c>
      <c r="D5877" t="inlineStr">
        <is>
          <t>VÄSTRA GÖTALANDS LÄN</t>
        </is>
      </c>
      <c r="E5877" t="inlineStr">
        <is>
          <t>TRANEMO</t>
        </is>
      </c>
      <c r="G5877" t="n">
        <v>0.8</v>
      </c>
      <c r="H5877" t="n">
        <v>0</v>
      </c>
      <c r="I5877" t="n">
        <v>0</v>
      </c>
      <c r="J5877" t="n">
        <v>0</v>
      </c>
      <c r="K5877" t="n">
        <v>0</v>
      </c>
      <c r="L5877" t="n">
        <v>0</v>
      </c>
      <c r="M5877" t="n">
        <v>0</v>
      </c>
      <c r="N5877" t="n">
        <v>0</v>
      </c>
      <c r="O5877" t="n">
        <v>0</v>
      </c>
      <c r="P5877" t="n">
        <v>0</v>
      </c>
      <c r="Q5877" t="n">
        <v>0</v>
      </c>
      <c r="R5877" s="2" t="inlineStr"/>
    </row>
    <row r="5878" ht="15" customHeight="1">
      <c r="A5878" t="inlineStr">
        <is>
          <t>A 15367-2025</t>
        </is>
      </c>
      <c r="B5878" s="1" t="n">
        <v>45747.40263888889</v>
      </c>
      <c r="C5878" s="1" t="n">
        <v>45952</v>
      </c>
      <c r="D5878" t="inlineStr">
        <is>
          <t>VÄSTRA GÖTALANDS LÄN</t>
        </is>
      </c>
      <c r="E5878" t="inlineStr">
        <is>
          <t>TRANEMO</t>
        </is>
      </c>
      <c r="G5878" t="n">
        <v>3.4</v>
      </c>
      <c r="H5878" t="n">
        <v>0</v>
      </c>
      <c r="I5878" t="n">
        <v>0</v>
      </c>
      <c r="J5878" t="n">
        <v>0</v>
      </c>
      <c r="K5878" t="n">
        <v>0</v>
      </c>
      <c r="L5878" t="n">
        <v>0</v>
      </c>
      <c r="M5878" t="n">
        <v>0</v>
      </c>
      <c r="N5878" t="n">
        <v>0</v>
      </c>
      <c r="O5878" t="n">
        <v>0</v>
      </c>
      <c r="P5878" t="n">
        <v>0</v>
      </c>
      <c r="Q5878" t="n">
        <v>0</v>
      </c>
      <c r="R5878" s="2" t="inlineStr"/>
    </row>
    <row r="5879" ht="15" customHeight="1">
      <c r="A5879" t="inlineStr">
        <is>
          <t>A 15370-2025</t>
        </is>
      </c>
      <c r="B5879" s="1" t="n">
        <v>45747.40377314815</v>
      </c>
      <c r="C5879" s="1" t="n">
        <v>45952</v>
      </c>
      <c r="D5879" t="inlineStr">
        <is>
          <t>VÄSTRA GÖTALANDS LÄN</t>
        </is>
      </c>
      <c r="E5879" t="inlineStr">
        <is>
          <t>TRANEMO</t>
        </is>
      </c>
      <c r="G5879" t="n">
        <v>1.9</v>
      </c>
      <c r="H5879" t="n">
        <v>0</v>
      </c>
      <c r="I5879" t="n">
        <v>0</v>
      </c>
      <c r="J5879" t="n">
        <v>0</v>
      </c>
      <c r="K5879" t="n">
        <v>0</v>
      </c>
      <c r="L5879" t="n">
        <v>0</v>
      </c>
      <c r="M5879" t="n">
        <v>0</v>
      </c>
      <c r="N5879" t="n">
        <v>0</v>
      </c>
      <c r="O5879" t="n">
        <v>0</v>
      </c>
      <c r="P5879" t="n">
        <v>0</v>
      </c>
      <c r="Q5879" t="n">
        <v>0</v>
      </c>
      <c r="R5879" s="2" t="inlineStr"/>
    </row>
    <row r="5880" ht="15" customHeight="1">
      <c r="A5880" t="inlineStr">
        <is>
          <t>A 15384-2025</t>
        </is>
      </c>
      <c r="B5880" s="1" t="n">
        <v>45747.42072916667</v>
      </c>
      <c r="C5880" s="1" t="n">
        <v>45952</v>
      </c>
      <c r="D5880" t="inlineStr">
        <is>
          <t>VÄSTRA GÖTALANDS LÄN</t>
        </is>
      </c>
      <c r="E5880" t="inlineStr">
        <is>
          <t>HERRLJUNGA</t>
        </is>
      </c>
      <c r="G5880" t="n">
        <v>8</v>
      </c>
      <c r="H5880" t="n">
        <v>0</v>
      </c>
      <c r="I5880" t="n">
        <v>0</v>
      </c>
      <c r="J5880" t="n">
        <v>0</v>
      </c>
      <c r="K5880" t="n">
        <v>0</v>
      </c>
      <c r="L5880" t="n">
        <v>0</v>
      </c>
      <c r="M5880" t="n">
        <v>0</v>
      </c>
      <c r="N5880" t="n">
        <v>0</v>
      </c>
      <c r="O5880" t="n">
        <v>0</v>
      </c>
      <c r="P5880" t="n">
        <v>0</v>
      </c>
      <c r="Q5880" t="n">
        <v>0</v>
      </c>
      <c r="R5880" s="2" t="inlineStr"/>
    </row>
    <row r="5881" ht="15" customHeight="1">
      <c r="A5881" t="inlineStr">
        <is>
          <t>A 46917-2022</t>
        </is>
      </c>
      <c r="B5881" s="1" t="n">
        <v>44851.67258101852</v>
      </c>
      <c r="C5881" s="1" t="n">
        <v>45952</v>
      </c>
      <c r="D5881" t="inlineStr">
        <is>
          <t>VÄSTRA GÖTALANDS LÄN</t>
        </is>
      </c>
      <c r="E5881" t="inlineStr">
        <is>
          <t>MELLERUD</t>
        </is>
      </c>
      <c r="G5881" t="n">
        <v>0.8</v>
      </c>
      <c r="H5881" t="n">
        <v>0</v>
      </c>
      <c r="I5881" t="n">
        <v>0</v>
      </c>
      <c r="J5881" t="n">
        <v>0</v>
      </c>
      <c r="K5881" t="n">
        <v>0</v>
      </c>
      <c r="L5881" t="n">
        <v>0</v>
      </c>
      <c r="M5881" t="n">
        <v>0</v>
      </c>
      <c r="N5881" t="n">
        <v>0</v>
      </c>
      <c r="O5881" t="n">
        <v>0</v>
      </c>
      <c r="P5881" t="n">
        <v>0</v>
      </c>
      <c r="Q5881" t="n">
        <v>0</v>
      </c>
      <c r="R5881" s="2" t="inlineStr"/>
    </row>
    <row r="5882" ht="15" customHeight="1">
      <c r="A5882" t="inlineStr">
        <is>
          <t>A 55777-2022</t>
        </is>
      </c>
      <c r="B5882" s="1" t="n">
        <v>44888.61921296296</v>
      </c>
      <c r="C5882" s="1" t="n">
        <v>45952</v>
      </c>
      <c r="D5882" t="inlineStr">
        <is>
          <t>VÄSTRA GÖTALANDS LÄN</t>
        </is>
      </c>
      <c r="E5882" t="inlineStr">
        <is>
          <t>ORUST</t>
        </is>
      </c>
      <c r="G5882" t="n">
        <v>2.5</v>
      </c>
      <c r="H5882" t="n">
        <v>0</v>
      </c>
      <c r="I5882" t="n">
        <v>0</v>
      </c>
      <c r="J5882" t="n">
        <v>0</v>
      </c>
      <c r="K5882" t="n">
        <v>0</v>
      </c>
      <c r="L5882" t="n">
        <v>0</v>
      </c>
      <c r="M5882" t="n">
        <v>0</v>
      </c>
      <c r="N5882" t="n">
        <v>0</v>
      </c>
      <c r="O5882" t="n">
        <v>0</v>
      </c>
      <c r="P5882" t="n">
        <v>0</v>
      </c>
      <c r="Q5882" t="n">
        <v>0</v>
      </c>
      <c r="R5882" s="2" t="inlineStr"/>
    </row>
    <row r="5883" ht="15" customHeight="1">
      <c r="A5883" t="inlineStr">
        <is>
          <t>A 4948-2022</t>
        </is>
      </c>
      <c r="B5883" s="1" t="n">
        <v>44593</v>
      </c>
      <c r="C5883" s="1" t="n">
        <v>45952</v>
      </c>
      <c r="D5883" t="inlineStr">
        <is>
          <t>VÄSTRA GÖTALANDS LÄN</t>
        </is>
      </c>
      <c r="E5883" t="inlineStr">
        <is>
          <t>HERRLJUNGA</t>
        </is>
      </c>
      <c r="G5883" t="n">
        <v>0.6</v>
      </c>
      <c r="H5883" t="n">
        <v>0</v>
      </c>
      <c r="I5883" t="n">
        <v>0</v>
      </c>
      <c r="J5883" t="n">
        <v>0</v>
      </c>
      <c r="K5883" t="n">
        <v>0</v>
      </c>
      <c r="L5883" t="n">
        <v>0</v>
      </c>
      <c r="M5883" t="n">
        <v>0</v>
      </c>
      <c r="N5883" t="n">
        <v>0</v>
      </c>
      <c r="O5883" t="n">
        <v>0</v>
      </c>
      <c r="P5883" t="n">
        <v>0</v>
      </c>
      <c r="Q5883" t="n">
        <v>0</v>
      </c>
      <c r="R5883" s="2" t="inlineStr"/>
    </row>
    <row r="5884" ht="15" customHeight="1">
      <c r="A5884" t="inlineStr">
        <is>
          <t>A 57266-2024</t>
        </is>
      </c>
      <c r="B5884" s="1" t="n">
        <v>45629</v>
      </c>
      <c r="C5884" s="1" t="n">
        <v>45952</v>
      </c>
      <c r="D5884" t="inlineStr">
        <is>
          <t>VÄSTRA GÖTALANDS LÄN</t>
        </is>
      </c>
      <c r="E5884" t="inlineStr">
        <is>
          <t>VARA</t>
        </is>
      </c>
      <c r="G5884" t="n">
        <v>1.5</v>
      </c>
      <c r="H5884" t="n">
        <v>0</v>
      </c>
      <c r="I5884" t="n">
        <v>0</v>
      </c>
      <c r="J5884" t="n">
        <v>0</v>
      </c>
      <c r="K5884" t="n">
        <v>0</v>
      </c>
      <c r="L5884" t="n">
        <v>0</v>
      </c>
      <c r="M5884" t="n">
        <v>0</v>
      </c>
      <c r="N5884" t="n">
        <v>0</v>
      </c>
      <c r="O5884" t="n">
        <v>0</v>
      </c>
      <c r="P5884" t="n">
        <v>0</v>
      </c>
      <c r="Q5884" t="n">
        <v>0</v>
      </c>
      <c r="R5884" s="2" t="inlineStr"/>
    </row>
    <row r="5885" ht="15" customHeight="1">
      <c r="A5885" t="inlineStr">
        <is>
          <t>A 57269-2024</t>
        </is>
      </c>
      <c r="B5885" s="1" t="n">
        <v>45629.57262731482</v>
      </c>
      <c r="C5885" s="1" t="n">
        <v>45952</v>
      </c>
      <c r="D5885" t="inlineStr">
        <is>
          <t>VÄSTRA GÖTALANDS LÄN</t>
        </is>
      </c>
      <c r="E5885" t="inlineStr">
        <is>
          <t>HÄRRYDA</t>
        </is>
      </c>
      <c r="G5885" t="n">
        <v>2.7</v>
      </c>
      <c r="H5885" t="n">
        <v>0</v>
      </c>
      <c r="I5885" t="n">
        <v>0</v>
      </c>
      <c r="J5885" t="n">
        <v>0</v>
      </c>
      <c r="K5885" t="n">
        <v>0</v>
      </c>
      <c r="L5885" t="n">
        <v>0</v>
      </c>
      <c r="M5885" t="n">
        <v>0</v>
      </c>
      <c r="N5885" t="n">
        <v>0</v>
      </c>
      <c r="O5885" t="n">
        <v>0</v>
      </c>
      <c r="P5885" t="n">
        <v>0</v>
      </c>
      <c r="Q5885" t="n">
        <v>0</v>
      </c>
      <c r="R5885" s="2" t="inlineStr"/>
    </row>
    <row r="5886" ht="15" customHeight="1">
      <c r="A5886" t="inlineStr">
        <is>
          <t>A 51609-2024</t>
        </is>
      </c>
      <c r="B5886" s="1" t="n">
        <v>45604.68818287037</v>
      </c>
      <c r="C5886" s="1" t="n">
        <v>45952</v>
      </c>
      <c r="D5886" t="inlineStr">
        <is>
          <t>VÄSTRA GÖTALANDS LÄN</t>
        </is>
      </c>
      <c r="E5886" t="inlineStr">
        <is>
          <t>GRÄSTORP</t>
        </is>
      </c>
      <c r="G5886" t="n">
        <v>2.9</v>
      </c>
      <c r="H5886" t="n">
        <v>0</v>
      </c>
      <c r="I5886" t="n">
        <v>0</v>
      </c>
      <c r="J5886" t="n">
        <v>0</v>
      </c>
      <c r="K5886" t="n">
        <v>0</v>
      </c>
      <c r="L5886" t="n">
        <v>0</v>
      </c>
      <c r="M5886" t="n">
        <v>0</v>
      </c>
      <c r="N5886" t="n">
        <v>0</v>
      </c>
      <c r="O5886" t="n">
        <v>0</v>
      </c>
      <c r="P5886" t="n">
        <v>0</v>
      </c>
      <c r="Q5886" t="n">
        <v>0</v>
      </c>
      <c r="R5886" s="2" t="inlineStr"/>
    </row>
    <row r="5887" ht="15" customHeight="1">
      <c r="A5887" t="inlineStr">
        <is>
          <t>A 51635-2024</t>
        </is>
      </c>
      <c r="B5887" s="1" t="n">
        <v>45605.63666666667</v>
      </c>
      <c r="C5887" s="1" t="n">
        <v>45952</v>
      </c>
      <c r="D5887" t="inlineStr">
        <is>
          <t>VÄSTRA GÖTALANDS LÄN</t>
        </is>
      </c>
      <c r="E5887" t="inlineStr">
        <is>
          <t>ULRICEHAMN</t>
        </is>
      </c>
      <c r="G5887" t="n">
        <v>1.2</v>
      </c>
      <c r="H5887" t="n">
        <v>0</v>
      </c>
      <c r="I5887" t="n">
        <v>0</v>
      </c>
      <c r="J5887" t="n">
        <v>0</v>
      </c>
      <c r="K5887" t="n">
        <v>0</v>
      </c>
      <c r="L5887" t="n">
        <v>0</v>
      </c>
      <c r="M5887" t="n">
        <v>0</v>
      </c>
      <c r="N5887" t="n">
        <v>0</v>
      </c>
      <c r="O5887" t="n">
        <v>0</v>
      </c>
      <c r="P5887" t="n">
        <v>0</v>
      </c>
      <c r="Q5887" t="n">
        <v>0</v>
      </c>
      <c r="R5887" s="2" t="inlineStr"/>
    </row>
    <row r="5888" ht="15" customHeight="1">
      <c r="A5888" t="inlineStr">
        <is>
          <t>A 51639-2024</t>
        </is>
      </c>
      <c r="B5888" s="1" t="n">
        <v>45605.73070601852</v>
      </c>
      <c r="C5888" s="1" t="n">
        <v>45952</v>
      </c>
      <c r="D5888" t="inlineStr">
        <is>
          <t>VÄSTRA GÖTALANDS LÄN</t>
        </is>
      </c>
      <c r="E5888" t="inlineStr">
        <is>
          <t>ULRICEHAMN</t>
        </is>
      </c>
      <c r="G5888" t="n">
        <v>0.5</v>
      </c>
      <c r="H5888" t="n">
        <v>0</v>
      </c>
      <c r="I5888" t="n">
        <v>0</v>
      </c>
      <c r="J5888" t="n">
        <v>0</v>
      </c>
      <c r="K5888" t="n">
        <v>0</v>
      </c>
      <c r="L5888" t="n">
        <v>0</v>
      </c>
      <c r="M5888" t="n">
        <v>0</v>
      </c>
      <c r="N5888" t="n">
        <v>0</v>
      </c>
      <c r="O5888" t="n">
        <v>0</v>
      </c>
      <c r="P5888" t="n">
        <v>0</v>
      </c>
      <c r="Q5888" t="n">
        <v>0</v>
      </c>
      <c r="R5888" s="2" t="inlineStr"/>
    </row>
    <row r="5889" ht="15" customHeight="1">
      <c r="A5889" t="inlineStr">
        <is>
          <t>A 30444-2024</t>
        </is>
      </c>
      <c r="B5889" s="1" t="n">
        <v>45491.88498842593</v>
      </c>
      <c r="C5889" s="1" t="n">
        <v>45952</v>
      </c>
      <c r="D5889" t="inlineStr">
        <is>
          <t>VÄSTRA GÖTALANDS LÄN</t>
        </is>
      </c>
      <c r="E5889" t="inlineStr">
        <is>
          <t>SVENLJUNGA</t>
        </is>
      </c>
      <c r="G5889" t="n">
        <v>0.6</v>
      </c>
      <c r="H5889" t="n">
        <v>0</v>
      </c>
      <c r="I5889" t="n">
        <v>0</v>
      </c>
      <c r="J5889" t="n">
        <v>0</v>
      </c>
      <c r="K5889" t="n">
        <v>0</v>
      </c>
      <c r="L5889" t="n">
        <v>0</v>
      </c>
      <c r="M5889" t="n">
        <v>0</v>
      </c>
      <c r="N5889" t="n">
        <v>0</v>
      </c>
      <c r="O5889" t="n">
        <v>0</v>
      </c>
      <c r="P5889" t="n">
        <v>0</v>
      </c>
      <c r="Q5889" t="n">
        <v>0</v>
      </c>
      <c r="R5889" s="2" t="inlineStr"/>
    </row>
    <row r="5890" ht="15" customHeight="1">
      <c r="A5890" t="inlineStr">
        <is>
          <t>A 37537-2024</t>
        </is>
      </c>
      <c r="B5890" s="1" t="n">
        <v>45541.41628472223</v>
      </c>
      <c r="C5890" s="1" t="n">
        <v>45952</v>
      </c>
      <c r="D5890" t="inlineStr">
        <is>
          <t>VÄSTRA GÖTALANDS LÄN</t>
        </is>
      </c>
      <c r="E5890" t="inlineStr">
        <is>
          <t>ALINGSÅS</t>
        </is>
      </c>
      <c r="G5890" t="n">
        <v>3.5</v>
      </c>
      <c r="H5890" t="n">
        <v>0</v>
      </c>
      <c r="I5890" t="n">
        <v>0</v>
      </c>
      <c r="J5890" t="n">
        <v>0</v>
      </c>
      <c r="K5890" t="n">
        <v>0</v>
      </c>
      <c r="L5890" t="n">
        <v>0</v>
      </c>
      <c r="M5890" t="n">
        <v>0</v>
      </c>
      <c r="N5890" t="n">
        <v>0</v>
      </c>
      <c r="O5890" t="n">
        <v>0</v>
      </c>
      <c r="P5890" t="n">
        <v>0</v>
      </c>
      <c r="Q5890" t="n">
        <v>0</v>
      </c>
      <c r="R5890" s="2" t="inlineStr"/>
    </row>
    <row r="5891" ht="15" customHeight="1">
      <c r="A5891" t="inlineStr">
        <is>
          <t>A 10165-2025</t>
        </is>
      </c>
      <c r="B5891" s="1" t="n">
        <v>45719.65021990741</v>
      </c>
      <c r="C5891" s="1" t="n">
        <v>45952</v>
      </c>
      <c r="D5891" t="inlineStr">
        <is>
          <t>VÄSTRA GÖTALANDS LÄN</t>
        </is>
      </c>
      <c r="E5891" t="inlineStr">
        <is>
          <t>VARA</t>
        </is>
      </c>
      <c r="F5891" t="inlineStr">
        <is>
          <t>Kyrkan</t>
        </is>
      </c>
      <c r="G5891" t="n">
        <v>2</v>
      </c>
      <c r="H5891" t="n">
        <v>0</v>
      </c>
      <c r="I5891" t="n">
        <v>0</v>
      </c>
      <c r="J5891" t="n">
        <v>0</v>
      </c>
      <c r="K5891" t="n">
        <v>0</v>
      </c>
      <c r="L5891" t="n">
        <v>0</v>
      </c>
      <c r="M5891" t="n">
        <v>0</v>
      </c>
      <c r="N5891" t="n">
        <v>0</v>
      </c>
      <c r="O5891" t="n">
        <v>0</v>
      </c>
      <c r="P5891" t="n">
        <v>0</v>
      </c>
      <c r="Q5891" t="n">
        <v>0</v>
      </c>
      <c r="R5891" s="2" t="inlineStr"/>
    </row>
    <row r="5892" ht="15" customHeight="1">
      <c r="A5892" t="inlineStr">
        <is>
          <t>A 55160-2023</t>
        </is>
      </c>
      <c r="B5892" s="1" t="n">
        <v>45237</v>
      </c>
      <c r="C5892" s="1" t="n">
        <v>45952</v>
      </c>
      <c r="D5892" t="inlineStr">
        <is>
          <t>VÄSTRA GÖTALANDS LÄN</t>
        </is>
      </c>
      <c r="E5892" t="inlineStr">
        <is>
          <t>ULRICEHAMN</t>
        </is>
      </c>
      <c r="G5892" t="n">
        <v>4.6</v>
      </c>
      <c r="H5892" t="n">
        <v>0</v>
      </c>
      <c r="I5892" t="n">
        <v>0</v>
      </c>
      <c r="J5892" t="n">
        <v>0</v>
      </c>
      <c r="K5892" t="n">
        <v>0</v>
      </c>
      <c r="L5892" t="n">
        <v>0</v>
      </c>
      <c r="M5892" t="n">
        <v>0</v>
      </c>
      <c r="N5892" t="n">
        <v>0</v>
      </c>
      <c r="O5892" t="n">
        <v>0</v>
      </c>
      <c r="P5892" t="n">
        <v>0</v>
      </c>
      <c r="Q5892" t="n">
        <v>0</v>
      </c>
      <c r="R5892" s="2" t="inlineStr"/>
    </row>
    <row r="5893" ht="15" customHeight="1">
      <c r="A5893" t="inlineStr">
        <is>
          <t>A 22625-2022</t>
        </is>
      </c>
      <c r="B5893" s="1" t="n">
        <v>44714.43248842593</v>
      </c>
      <c r="C5893" s="1" t="n">
        <v>45952</v>
      </c>
      <c r="D5893" t="inlineStr">
        <is>
          <t>VÄSTRA GÖTALANDS LÄN</t>
        </is>
      </c>
      <c r="E5893" t="inlineStr">
        <is>
          <t>MARK</t>
        </is>
      </c>
      <c r="G5893" t="n">
        <v>2.9</v>
      </c>
      <c r="H5893" t="n">
        <v>0</v>
      </c>
      <c r="I5893" t="n">
        <v>0</v>
      </c>
      <c r="J5893" t="n">
        <v>0</v>
      </c>
      <c r="K5893" t="n">
        <v>0</v>
      </c>
      <c r="L5893" t="n">
        <v>0</v>
      </c>
      <c r="M5893" t="n">
        <v>0</v>
      </c>
      <c r="N5893" t="n">
        <v>0</v>
      </c>
      <c r="O5893" t="n">
        <v>0</v>
      </c>
      <c r="P5893" t="n">
        <v>0</v>
      </c>
      <c r="Q5893" t="n">
        <v>0</v>
      </c>
      <c r="R5893" s="2" t="inlineStr"/>
    </row>
    <row r="5894" ht="15" customHeight="1">
      <c r="A5894" t="inlineStr">
        <is>
          <t>A 5392-2025</t>
        </is>
      </c>
      <c r="B5894" s="1" t="n">
        <v>45692.6357175926</v>
      </c>
      <c r="C5894" s="1" t="n">
        <v>45952</v>
      </c>
      <c r="D5894" t="inlineStr">
        <is>
          <t>VÄSTRA GÖTALANDS LÄN</t>
        </is>
      </c>
      <c r="E5894" t="inlineStr">
        <is>
          <t>TANUM</t>
        </is>
      </c>
      <c r="G5894" t="n">
        <v>5.2</v>
      </c>
      <c r="H5894" t="n">
        <v>0</v>
      </c>
      <c r="I5894" t="n">
        <v>0</v>
      </c>
      <c r="J5894" t="n">
        <v>0</v>
      </c>
      <c r="K5894" t="n">
        <v>0</v>
      </c>
      <c r="L5894" t="n">
        <v>0</v>
      </c>
      <c r="M5894" t="n">
        <v>0</v>
      </c>
      <c r="N5894" t="n">
        <v>0</v>
      </c>
      <c r="O5894" t="n">
        <v>0</v>
      </c>
      <c r="P5894" t="n">
        <v>0</v>
      </c>
      <c r="Q5894" t="n">
        <v>0</v>
      </c>
      <c r="R5894" s="2" t="inlineStr"/>
    </row>
    <row r="5895" ht="15" customHeight="1">
      <c r="A5895" t="inlineStr">
        <is>
          <t>A 8650-2025</t>
        </is>
      </c>
      <c r="B5895" s="1" t="n">
        <v>45712.36020833333</v>
      </c>
      <c r="C5895" s="1" t="n">
        <v>45952</v>
      </c>
      <c r="D5895" t="inlineStr">
        <is>
          <t>VÄSTRA GÖTALANDS LÄN</t>
        </is>
      </c>
      <c r="E5895" t="inlineStr">
        <is>
          <t>GRÄSTORP</t>
        </is>
      </c>
      <c r="G5895" t="n">
        <v>0.9</v>
      </c>
      <c r="H5895" t="n">
        <v>0</v>
      </c>
      <c r="I5895" t="n">
        <v>0</v>
      </c>
      <c r="J5895" t="n">
        <v>0</v>
      </c>
      <c r="K5895" t="n">
        <v>0</v>
      </c>
      <c r="L5895" t="n">
        <v>0</v>
      </c>
      <c r="M5895" t="n">
        <v>0</v>
      </c>
      <c r="N5895" t="n">
        <v>0</v>
      </c>
      <c r="O5895" t="n">
        <v>0</v>
      </c>
      <c r="P5895" t="n">
        <v>0</v>
      </c>
      <c r="Q5895" t="n">
        <v>0</v>
      </c>
      <c r="R5895" s="2" t="inlineStr"/>
    </row>
    <row r="5896" ht="15" customHeight="1">
      <c r="A5896" t="inlineStr">
        <is>
          <t>A 12243-2024</t>
        </is>
      </c>
      <c r="B5896" s="1" t="n">
        <v>45378</v>
      </c>
      <c r="C5896" s="1" t="n">
        <v>45952</v>
      </c>
      <c r="D5896" t="inlineStr">
        <is>
          <t>VÄSTRA GÖTALANDS LÄN</t>
        </is>
      </c>
      <c r="E5896" t="inlineStr">
        <is>
          <t>MUNKEDAL</t>
        </is>
      </c>
      <c r="G5896" t="n">
        <v>1</v>
      </c>
      <c r="H5896" t="n">
        <v>0</v>
      </c>
      <c r="I5896" t="n">
        <v>0</v>
      </c>
      <c r="J5896" t="n">
        <v>0</v>
      </c>
      <c r="K5896" t="n">
        <v>0</v>
      </c>
      <c r="L5896" t="n">
        <v>0</v>
      </c>
      <c r="M5896" t="n">
        <v>0</v>
      </c>
      <c r="N5896" t="n">
        <v>0</v>
      </c>
      <c r="O5896" t="n">
        <v>0</v>
      </c>
      <c r="P5896" t="n">
        <v>0</v>
      </c>
      <c r="Q5896" t="n">
        <v>0</v>
      </c>
      <c r="R5896" s="2" t="inlineStr"/>
    </row>
    <row r="5897" ht="15" customHeight="1">
      <c r="A5897" t="inlineStr">
        <is>
          <t>A 57296-2024</t>
        </is>
      </c>
      <c r="B5897" s="1" t="n">
        <v>45629.59741898148</v>
      </c>
      <c r="C5897" s="1" t="n">
        <v>45952</v>
      </c>
      <c r="D5897" t="inlineStr">
        <is>
          <t>VÄSTRA GÖTALANDS LÄN</t>
        </is>
      </c>
      <c r="E5897" t="inlineStr">
        <is>
          <t>ÅMÅL</t>
        </is>
      </c>
      <c r="G5897" t="n">
        <v>1</v>
      </c>
      <c r="H5897" t="n">
        <v>0</v>
      </c>
      <c r="I5897" t="n">
        <v>0</v>
      </c>
      <c r="J5897" t="n">
        <v>0</v>
      </c>
      <c r="K5897" t="n">
        <v>0</v>
      </c>
      <c r="L5897" t="n">
        <v>0</v>
      </c>
      <c r="M5897" t="n">
        <v>0</v>
      </c>
      <c r="N5897" t="n">
        <v>0</v>
      </c>
      <c r="O5897" t="n">
        <v>0</v>
      </c>
      <c r="P5897" t="n">
        <v>0</v>
      </c>
      <c r="Q5897" t="n">
        <v>0</v>
      </c>
      <c r="R5897" s="2" t="inlineStr"/>
    </row>
    <row r="5898" ht="15" customHeight="1">
      <c r="A5898" t="inlineStr">
        <is>
          <t>A 9930-2024</t>
        </is>
      </c>
      <c r="B5898" s="1" t="n">
        <v>45363.57760416667</v>
      </c>
      <c r="C5898" s="1" t="n">
        <v>45952</v>
      </c>
      <c r="D5898" t="inlineStr">
        <is>
          <t>VÄSTRA GÖTALANDS LÄN</t>
        </is>
      </c>
      <c r="E5898" t="inlineStr">
        <is>
          <t>BOLLEBYGD</t>
        </is>
      </c>
      <c r="G5898" t="n">
        <v>4.3</v>
      </c>
      <c r="H5898" t="n">
        <v>0</v>
      </c>
      <c r="I5898" t="n">
        <v>0</v>
      </c>
      <c r="J5898" t="n">
        <v>0</v>
      </c>
      <c r="K5898" t="n">
        <v>0</v>
      </c>
      <c r="L5898" t="n">
        <v>0</v>
      </c>
      <c r="M5898" t="n">
        <v>0</v>
      </c>
      <c r="N5898" t="n">
        <v>0</v>
      </c>
      <c r="O5898" t="n">
        <v>0</v>
      </c>
      <c r="P5898" t="n">
        <v>0</v>
      </c>
      <c r="Q5898" t="n">
        <v>0</v>
      </c>
      <c r="R5898" s="2" t="inlineStr"/>
    </row>
    <row r="5899" ht="15" customHeight="1">
      <c r="A5899" t="inlineStr">
        <is>
          <t>A 13512-2023</t>
        </is>
      </c>
      <c r="B5899" s="1" t="n">
        <v>45006.30878472222</v>
      </c>
      <c r="C5899" s="1" t="n">
        <v>45952</v>
      </c>
      <c r="D5899" t="inlineStr">
        <is>
          <t>VÄSTRA GÖTALANDS LÄN</t>
        </is>
      </c>
      <c r="E5899" t="inlineStr">
        <is>
          <t>ULRICEHAMN</t>
        </is>
      </c>
      <c r="F5899" t="inlineStr">
        <is>
          <t>Kommuner</t>
        </is>
      </c>
      <c r="G5899" t="n">
        <v>2.5</v>
      </c>
      <c r="H5899" t="n">
        <v>0</v>
      </c>
      <c r="I5899" t="n">
        <v>0</v>
      </c>
      <c r="J5899" t="n">
        <v>0</v>
      </c>
      <c r="K5899" t="n">
        <v>0</v>
      </c>
      <c r="L5899" t="n">
        <v>0</v>
      </c>
      <c r="M5899" t="n">
        <v>0</v>
      </c>
      <c r="N5899" t="n">
        <v>0</v>
      </c>
      <c r="O5899" t="n">
        <v>0</v>
      </c>
      <c r="P5899" t="n">
        <v>0</v>
      </c>
      <c r="Q5899" t="n">
        <v>0</v>
      </c>
      <c r="R5899" s="2" t="inlineStr"/>
    </row>
    <row r="5900" ht="15" customHeight="1">
      <c r="A5900" t="inlineStr">
        <is>
          <t>A 13523-2023</t>
        </is>
      </c>
      <c r="B5900" s="1" t="n">
        <v>45006</v>
      </c>
      <c r="C5900" s="1" t="n">
        <v>45952</v>
      </c>
      <c r="D5900" t="inlineStr">
        <is>
          <t>VÄSTRA GÖTALANDS LÄN</t>
        </is>
      </c>
      <c r="E5900" t="inlineStr">
        <is>
          <t>MELLERUD</t>
        </is>
      </c>
      <c r="G5900" t="n">
        <v>0.8</v>
      </c>
      <c r="H5900" t="n">
        <v>0</v>
      </c>
      <c r="I5900" t="n">
        <v>0</v>
      </c>
      <c r="J5900" t="n">
        <v>0</v>
      </c>
      <c r="K5900" t="n">
        <v>0</v>
      </c>
      <c r="L5900" t="n">
        <v>0</v>
      </c>
      <c r="M5900" t="n">
        <v>0</v>
      </c>
      <c r="N5900" t="n">
        <v>0</v>
      </c>
      <c r="O5900" t="n">
        <v>0</v>
      </c>
      <c r="P5900" t="n">
        <v>0</v>
      </c>
      <c r="Q5900" t="n">
        <v>0</v>
      </c>
      <c r="R5900" s="2" t="inlineStr"/>
    </row>
    <row r="5901" ht="15" customHeight="1">
      <c r="A5901" t="inlineStr">
        <is>
          <t>A 13655-2023</t>
        </is>
      </c>
      <c r="B5901" s="1" t="n">
        <v>45006</v>
      </c>
      <c r="C5901" s="1" t="n">
        <v>45952</v>
      </c>
      <c r="D5901" t="inlineStr">
        <is>
          <t>VÄSTRA GÖTALANDS LÄN</t>
        </is>
      </c>
      <c r="E5901" t="inlineStr">
        <is>
          <t>MARIESTAD</t>
        </is>
      </c>
      <c r="G5901" t="n">
        <v>0.1</v>
      </c>
      <c r="H5901" t="n">
        <v>0</v>
      </c>
      <c r="I5901" t="n">
        <v>0</v>
      </c>
      <c r="J5901" t="n">
        <v>0</v>
      </c>
      <c r="K5901" t="n">
        <v>0</v>
      </c>
      <c r="L5901" t="n">
        <v>0</v>
      </c>
      <c r="M5901" t="n">
        <v>0</v>
      </c>
      <c r="N5901" t="n">
        <v>0</v>
      </c>
      <c r="O5901" t="n">
        <v>0</v>
      </c>
      <c r="P5901" t="n">
        <v>0</v>
      </c>
      <c r="Q5901" t="n">
        <v>0</v>
      </c>
      <c r="R5901" s="2" t="inlineStr"/>
    </row>
    <row r="5902" ht="15" customHeight="1">
      <c r="A5902" t="inlineStr">
        <is>
          <t>A 45833-2022</t>
        </is>
      </c>
      <c r="B5902" s="1" t="n">
        <v>44846.49806712963</v>
      </c>
      <c r="C5902" s="1" t="n">
        <v>45952</v>
      </c>
      <c r="D5902" t="inlineStr">
        <is>
          <t>VÄSTRA GÖTALANDS LÄN</t>
        </is>
      </c>
      <c r="E5902" t="inlineStr">
        <is>
          <t>FÄRGELANDA</t>
        </is>
      </c>
      <c r="G5902" t="n">
        <v>8.300000000000001</v>
      </c>
      <c r="H5902" t="n">
        <v>0</v>
      </c>
      <c r="I5902" t="n">
        <v>0</v>
      </c>
      <c r="J5902" t="n">
        <v>0</v>
      </c>
      <c r="K5902" t="n">
        <v>0</v>
      </c>
      <c r="L5902" t="n">
        <v>0</v>
      </c>
      <c r="M5902" t="n">
        <v>0</v>
      </c>
      <c r="N5902" t="n">
        <v>0</v>
      </c>
      <c r="O5902" t="n">
        <v>0</v>
      </c>
      <c r="P5902" t="n">
        <v>0</v>
      </c>
      <c r="Q5902" t="n">
        <v>0</v>
      </c>
      <c r="R5902" s="2" t="inlineStr"/>
    </row>
    <row r="5903" ht="15" customHeight="1">
      <c r="A5903" t="inlineStr">
        <is>
          <t>A 46440-2024</t>
        </is>
      </c>
      <c r="B5903" s="1" t="n">
        <v>45582.48181712963</v>
      </c>
      <c r="C5903" s="1" t="n">
        <v>45952</v>
      </c>
      <c r="D5903" t="inlineStr">
        <is>
          <t>VÄSTRA GÖTALANDS LÄN</t>
        </is>
      </c>
      <c r="E5903" t="inlineStr">
        <is>
          <t>MUNKEDAL</t>
        </is>
      </c>
      <c r="G5903" t="n">
        <v>1</v>
      </c>
      <c r="H5903" t="n">
        <v>0</v>
      </c>
      <c r="I5903" t="n">
        <v>0</v>
      </c>
      <c r="J5903" t="n">
        <v>0</v>
      </c>
      <c r="K5903" t="n">
        <v>0</v>
      </c>
      <c r="L5903" t="n">
        <v>0</v>
      </c>
      <c r="M5903" t="n">
        <v>0</v>
      </c>
      <c r="N5903" t="n">
        <v>0</v>
      </c>
      <c r="O5903" t="n">
        <v>0</v>
      </c>
      <c r="P5903" t="n">
        <v>0</v>
      </c>
      <c r="Q5903" t="n">
        <v>0</v>
      </c>
      <c r="R5903" s="2" t="inlineStr"/>
    </row>
    <row r="5904" ht="15" customHeight="1">
      <c r="A5904" t="inlineStr">
        <is>
          <t>A 30998-2021</t>
        </is>
      </c>
      <c r="B5904" s="1" t="n">
        <v>44366</v>
      </c>
      <c r="C5904" s="1" t="n">
        <v>45952</v>
      </c>
      <c r="D5904" t="inlineStr">
        <is>
          <t>VÄSTRA GÖTALANDS LÄN</t>
        </is>
      </c>
      <c r="E5904" t="inlineStr">
        <is>
          <t>TRANEMO</t>
        </is>
      </c>
      <c r="G5904" t="n">
        <v>1.7</v>
      </c>
      <c r="H5904" t="n">
        <v>0</v>
      </c>
      <c r="I5904" t="n">
        <v>0</v>
      </c>
      <c r="J5904" t="n">
        <v>0</v>
      </c>
      <c r="K5904" t="n">
        <v>0</v>
      </c>
      <c r="L5904" t="n">
        <v>0</v>
      </c>
      <c r="M5904" t="n">
        <v>0</v>
      </c>
      <c r="N5904" t="n">
        <v>0</v>
      </c>
      <c r="O5904" t="n">
        <v>0</v>
      </c>
      <c r="P5904" t="n">
        <v>0</v>
      </c>
      <c r="Q5904" t="n">
        <v>0</v>
      </c>
      <c r="R5904" s="2" t="inlineStr"/>
    </row>
    <row r="5905" ht="15" customHeight="1">
      <c r="A5905" t="inlineStr">
        <is>
          <t>A 44846-2024</t>
        </is>
      </c>
      <c r="B5905" s="1" t="n">
        <v>45574</v>
      </c>
      <c r="C5905" s="1" t="n">
        <v>45952</v>
      </c>
      <c r="D5905" t="inlineStr">
        <is>
          <t>VÄSTRA GÖTALANDS LÄN</t>
        </is>
      </c>
      <c r="E5905" t="inlineStr">
        <is>
          <t>FÄRGELANDA</t>
        </is>
      </c>
      <c r="G5905" t="n">
        <v>0.4</v>
      </c>
      <c r="H5905" t="n">
        <v>0</v>
      </c>
      <c r="I5905" t="n">
        <v>0</v>
      </c>
      <c r="J5905" t="n">
        <v>0</v>
      </c>
      <c r="K5905" t="n">
        <v>0</v>
      </c>
      <c r="L5905" t="n">
        <v>0</v>
      </c>
      <c r="M5905" t="n">
        <v>0</v>
      </c>
      <c r="N5905" t="n">
        <v>0</v>
      </c>
      <c r="O5905" t="n">
        <v>0</v>
      </c>
      <c r="P5905" t="n">
        <v>0</v>
      </c>
      <c r="Q5905" t="n">
        <v>0</v>
      </c>
      <c r="R5905" s="2" t="inlineStr"/>
    </row>
    <row r="5906" ht="15" customHeight="1">
      <c r="A5906" t="inlineStr">
        <is>
          <t>A 15793-2022</t>
        </is>
      </c>
      <c r="B5906" s="1" t="n">
        <v>44663</v>
      </c>
      <c r="C5906" s="1" t="n">
        <v>45952</v>
      </c>
      <c r="D5906" t="inlineStr">
        <is>
          <t>VÄSTRA GÖTALANDS LÄN</t>
        </is>
      </c>
      <c r="E5906" t="inlineStr">
        <is>
          <t>FALKÖPING</t>
        </is>
      </c>
      <c r="G5906" t="n">
        <v>1.6</v>
      </c>
      <c r="H5906" t="n">
        <v>0</v>
      </c>
      <c r="I5906" t="n">
        <v>0</v>
      </c>
      <c r="J5906" t="n">
        <v>0</v>
      </c>
      <c r="K5906" t="n">
        <v>0</v>
      </c>
      <c r="L5906" t="n">
        <v>0</v>
      </c>
      <c r="M5906" t="n">
        <v>0</v>
      </c>
      <c r="N5906" t="n">
        <v>0</v>
      </c>
      <c r="O5906" t="n">
        <v>0</v>
      </c>
      <c r="P5906" t="n">
        <v>0</v>
      </c>
      <c r="Q5906" t="n">
        <v>0</v>
      </c>
      <c r="R5906" s="2" t="inlineStr"/>
    </row>
    <row r="5907" ht="15" customHeight="1">
      <c r="A5907" t="inlineStr">
        <is>
          <t>A 10469-2023</t>
        </is>
      </c>
      <c r="B5907" s="1" t="n">
        <v>44987</v>
      </c>
      <c r="C5907" s="1" t="n">
        <v>45952</v>
      </c>
      <c r="D5907" t="inlineStr">
        <is>
          <t>VÄSTRA GÖTALANDS LÄN</t>
        </is>
      </c>
      <c r="E5907" t="inlineStr">
        <is>
          <t>MARK</t>
        </is>
      </c>
      <c r="G5907" t="n">
        <v>0.9</v>
      </c>
      <c r="H5907" t="n">
        <v>0</v>
      </c>
      <c r="I5907" t="n">
        <v>0</v>
      </c>
      <c r="J5907" t="n">
        <v>0</v>
      </c>
      <c r="K5907" t="n">
        <v>0</v>
      </c>
      <c r="L5907" t="n">
        <v>0</v>
      </c>
      <c r="M5907" t="n">
        <v>0</v>
      </c>
      <c r="N5907" t="n">
        <v>0</v>
      </c>
      <c r="O5907" t="n">
        <v>0</v>
      </c>
      <c r="P5907" t="n">
        <v>0</v>
      </c>
      <c r="Q5907" t="n">
        <v>0</v>
      </c>
      <c r="R5907" s="2" t="inlineStr"/>
    </row>
    <row r="5908" ht="15" customHeight="1">
      <c r="A5908" t="inlineStr">
        <is>
          <t>A 51446-2024</t>
        </is>
      </c>
      <c r="B5908" s="1" t="n">
        <v>45604.48800925926</v>
      </c>
      <c r="C5908" s="1" t="n">
        <v>45952</v>
      </c>
      <c r="D5908" t="inlineStr">
        <is>
          <t>VÄSTRA GÖTALANDS LÄN</t>
        </is>
      </c>
      <c r="E5908" t="inlineStr">
        <is>
          <t>MARK</t>
        </is>
      </c>
      <c r="G5908" t="n">
        <v>0.8</v>
      </c>
      <c r="H5908" t="n">
        <v>0</v>
      </c>
      <c r="I5908" t="n">
        <v>0</v>
      </c>
      <c r="J5908" t="n">
        <v>0</v>
      </c>
      <c r="K5908" t="n">
        <v>0</v>
      </c>
      <c r="L5908" t="n">
        <v>0</v>
      </c>
      <c r="M5908" t="n">
        <v>0</v>
      </c>
      <c r="N5908" t="n">
        <v>0</v>
      </c>
      <c r="O5908" t="n">
        <v>0</v>
      </c>
      <c r="P5908" t="n">
        <v>0</v>
      </c>
      <c r="Q5908" t="n">
        <v>0</v>
      </c>
      <c r="R5908" s="2" t="inlineStr"/>
    </row>
    <row r="5909" ht="15" customHeight="1">
      <c r="A5909" t="inlineStr">
        <is>
          <t>A 16487-2023</t>
        </is>
      </c>
      <c r="B5909" s="1" t="n">
        <v>45029.58181712963</v>
      </c>
      <c r="C5909" s="1" t="n">
        <v>45952</v>
      </c>
      <c r="D5909" t="inlineStr">
        <is>
          <t>VÄSTRA GÖTALANDS LÄN</t>
        </is>
      </c>
      <c r="E5909" t="inlineStr">
        <is>
          <t>TROLLHÄTTAN</t>
        </is>
      </c>
      <c r="G5909" t="n">
        <v>0.9</v>
      </c>
      <c r="H5909" t="n">
        <v>0</v>
      </c>
      <c r="I5909" t="n">
        <v>0</v>
      </c>
      <c r="J5909" t="n">
        <v>0</v>
      </c>
      <c r="K5909" t="n">
        <v>0</v>
      </c>
      <c r="L5909" t="n">
        <v>0</v>
      </c>
      <c r="M5909" t="n">
        <v>0</v>
      </c>
      <c r="N5909" t="n">
        <v>0</v>
      </c>
      <c r="O5909" t="n">
        <v>0</v>
      </c>
      <c r="P5909" t="n">
        <v>0</v>
      </c>
      <c r="Q5909" t="n">
        <v>0</v>
      </c>
      <c r="R5909" s="2" t="inlineStr"/>
    </row>
    <row r="5910" ht="15" customHeight="1">
      <c r="A5910" t="inlineStr">
        <is>
          <t>A 1731-2021</t>
        </is>
      </c>
      <c r="B5910" s="1" t="n">
        <v>44209</v>
      </c>
      <c r="C5910" s="1" t="n">
        <v>45952</v>
      </c>
      <c r="D5910" t="inlineStr">
        <is>
          <t>VÄSTRA GÖTALANDS LÄN</t>
        </is>
      </c>
      <c r="E5910" t="inlineStr">
        <is>
          <t>TIDAHOLM</t>
        </is>
      </c>
      <c r="G5910" t="n">
        <v>7.2</v>
      </c>
      <c r="H5910" t="n">
        <v>0</v>
      </c>
      <c r="I5910" t="n">
        <v>0</v>
      </c>
      <c r="J5910" t="n">
        <v>0</v>
      </c>
      <c r="K5910" t="n">
        <v>0</v>
      </c>
      <c r="L5910" t="n">
        <v>0</v>
      </c>
      <c r="M5910" t="n">
        <v>0</v>
      </c>
      <c r="N5910" t="n">
        <v>0</v>
      </c>
      <c r="O5910" t="n">
        <v>0</v>
      </c>
      <c r="P5910" t="n">
        <v>0</v>
      </c>
      <c r="Q5910" t="n">
        <v>0</v>
      </c>
      <c r="R5910" s="2" t="inlineStr"/>
    </row>
    <row r="5911" ht="15" customHeight="1">
      <c r="A5911" t="inlineStr">
        <is>
          <t>A 10592-2025</t>
        </is>
      </c>
      <c r="B5911" s="1" t="n">
        <v>45721.5662962963</v>
      </c>
      <c r="C5911" s="1" t="n">
        <v>45952</v>
      </c>
      <c r="D5911" t="inlineStr">
        <is>
          <t>VÄSTRA GÖTALANDS LÄN</t>
        </is>
      </c>
      <c r="E5911" t="inlineStr">
        <is>
          <t>TÖREBODA</t>
        </is>
      </c>
      <c r="G5911" t="n">
        <v>2.7</v>
      </c>
      <c r="H5911" t="n">
        <v>0</v>
      </c>
      <c r="I5911" t="n">
        <v>0</v>
      </c>
      <c r="J5911" t="n">
        <v>0</v>
      </c>
      <c r="K5911" t="n">
        <v>0</v>
      </c>
      <c r="L5911" t="n">
        <v>0</v>
      </c>
      <c r="M5911" t="n">
        <v>0</v>
      </c>
      <c r="N5911" t="n">
        <v>0</v>
      </c>
      <c r="O5911" t="n">
        <v>0</v>
      </c>
      <c r="P5911" t="n">
        <v>0</v>
      </c>
      <c r="Q5911" t="n">
        <v>0</v>
      </c>
      <c r="R5911" s="2" t="inlineStr"/>
    </row>
    <row r="5912" ht="15" customHeight="1">
      <c r="A5912" t="inlineStr">
        <is>
          <t>A 7431-2025</t>
        </is>
      </c>
      <c r="B5912" s="1" t="n">
        <v>45705.38988425926</v>
      </c>
      <c r="C5912" s="1" t="n">
        <v>45952</v>
      </c>
      <c r="D5912" t="inlineStr">
        <is>
          <t>VÄSTRA GÖTALANDS LÄN</t>
        </is>
      </c>
      <c r="E5912" t="inlineStr">
        <is>
          <t>HERRLJUNGA</t>
        </is>
      </c>
      <c r="G5912" t="n">
        <v>0.7</v>
      </c>
      <c r="H5912" t="n">
        <v>0</v>
      </c>
      <c r="I5912" t="n">
        <v>0</v>
      </c>
      <c r="J5912" t="n">
        <v>0</v>
      </c>
      <c r="K5912" t="n">
        <v>0</v>
      </c>
      <c r="L5912" t="n">
        <v>0</v>
      </c>
      <c r="M5912" t="n">
        <v>0</v>
      </c>
      <c r="N5912" t="n">
        <v>0</v>
      </c>
      <c r="O5912" t="n">
        <v>0</v>
      </c>
      <c r="P5912" t="n">
        <v>0</v>
      </c>
      <c r="Q5912" t="n">
        <v>0</v>
      </c>
      <c r="R5912" s="2" t="inlineStr"/>
    </row>
    <row r="5913" ht="15" customHeight="1">
      <c r="A5913" t="inlineStr">
        <is>
          <t>A 2560-2025</t>
        </is>
      </c>
      <c r="B5913" s="1" t="n">
        <v>45674.65513888889</v>
      </c>
      <c r="C5913" s="1" t="n">
        <v>45952</v>
      </c>
      <c r="D5913" t="inlineStr">
        <is>
          <t>VÄSTRA GÖTALANDS LÄN</t>
        </is>
      </c>
      <c r="E5913" t="inlineStr">
        <is>
          <t>MUNKEDAL</t>
        </is>
      </c>
      <c r="G5913" t="n">
        <v>1.1</v>
      </c>
      <c r="H5913" t="n">
        <v>0</v>
      </c>
      <c r="I5913" t="n">
        <v>0</v>
      </c>
      <c r="J5913" t="n">
        <v>0</v>
      </c>
      <c r="K5913" t="n">
        <v>0</v>
      </c>
      <c r="L5913" t="n">
        <v>0</v>
      </c>
      <c r="M5913" t="n">
        <v>0</v>
      </c>
      <c r="N5913" t="n">
        <v>0</v>
      </c>
      <c r="O5913" t="n">
        <v>0</v>
      </c>
      <c r="P5913" t="n">
        <v>0</v>
      </c>
      <c r="Q5913" t="n">
        <v>0</v>
      </c>
      <c r="R5913" s="2" t="inlineStr"/>
    </row>
    <row r="5914" ht="15" customHeight="1">
      <c r="A5914" t="inlineStr">
        <is>
          <t>A 32668-2024</t>
        </is>
      </c>
      <c r="B5914" s="1" t="n">
        <v>45514.46949074074</v>
      </c>
      <c r="C5914" s="1" t="n">
        <v>45952</v>
      </c>
      <c r="D5914" t="inlineStr">
        <is>
          <t>VÄSTRA GÖTALANDS LÄN</t>
        </is>
      </c>
      <c r="E5914" t="inlineStr">
        <is>
          <t>SKARA</t>
        </is>
      </c>
      <c r="G5914" t="n">
        <v>1.2</v>
      </c>
      <c r="H5914" t="n">
        <v>0</v>
      </c>
      <c r="I5914" t="n">
        <v>0</v>
      </c>
      <c r="J5914" t="n">
        <v>0</v>
      </c>
      <c r="K5914" t="n">
        <v>0</v>
      </c>
      <c r="L5914" t="n">
        <v>0</v>
      </c>
      <c r="M5914" t="n">
        <v>0</v>
      </c>
      <c r="N5914" t="n">
        <v>0</v>
      </c>
      <c r="O5914" t="n">
        <v>0</v>
      </c>
      <c r="P5914" t="n">
        <v>0</v>
      </c>
      <c r="Q5914" t="n">
        <v>0</v>
      </c>
      <c r="R5914" s="2" t="inlineStr"/>
    </row>
    <row r="5915" ht="15" customHeight="1">
      <c r="A5915" t="inlineStr">
        <is>
          <t>A 7450-2025</t>
        </is>
      </c>
      <c r="B5915" s="1" t="n">
        <v>45705.4209837963</v>
      </c>
      <c r="C5915" s="1" t="n">
        <v>45952</v>
      </c>
      <c r="D5915" t="inlineStr">
        <is>
          <t>VÄSTRA GÖTALANDS LÄN</t>
        </is>
      </c>
      <c r="E5915" t="inlineStr">
        <is>
          <t>MARIESTAD</t>
        </is>
      </c>
      <c r="G5915" t="n">
        <v>3.6</v>
      </c>
      <c r="H5915" t="n">
        <v>0</v>
      </c>
      <c r="I5915" t="n">
        <v>0</v>
      </c>
      <c r="J5915" t="n">
        <v>0</v>
      </c>
      <c r="K5915" t="n">
        <v>0</v>
      </c>
      <c r="L5915" t="n">
        <v>0</v>
      </c>
      <c r="M5915" t="n">
        <v>0</v>
      </c>
      <c r="N5915" t="n">
        <v>0</v>
      </c>
      <c r="O5915" t="n">
        <v>0</v>
      </c>
      <c r="P5915" t="n">
        <v>0</v>
      </c>
      <c r="Q5915" t="n">
        <v>0</v>
      </c>
      <c r="R5915" s="2" t="inlineStr"/>
    </row>
    <row r="5916" ht="15" customHeight="1">
      <c r="A5916" t="inlineStr">
        <is>
          <t>A 28157-2022</t>
        </is>
      </c>
      <c r="B5916" s="1" t="n">
        <v>44746.55107638889</v>
      </c>
      <c r="C5916" s="1" t="n">
        <v>45952</v>
      </c>
      <c r="D5916" t="inlineStr">
        <is>
          <t>VÄSTRA GÖTALANDS LÄN</t>
        </is>
      </c>
      <c r="E5916" t="inlineStr">
        <is>
          <t>LERUM</t>
        </is>
      </c>
      <c r="G5916" t="n">
        <v>5.4</v>
      </c>
      <c r="H5916" t="n">
        <v>0</v>
      </c>
      <c r="I5916" t="n">
        <v>0</v>
      </c>
      <c r="J5916" t="n">
        <v>0</v>
      </c>
      <c r="K5916" t="n">
        <v>0</v>
      </c>
      <c r="L5916" t="n">
        <v>0</v>
      </c>
      <c r="M5916" t="n">
        <v>0</v>
      </c>
      <c r="N5916" t="n">
        <v>0</v>
      </c>
      <c r="O5916" t="n">
        <v>0</v>
      </c>
      <c r="P5916" t="n">
        <v>0</v>
      </c>
      <c r="Q5916" t="n">
        <v>0</v>
      </c>
      <c r="R5916" s="2" t="inlineStr"/>
    </row>
    <row r="5917" ht="15" customHeight="1">
      <c r="A5917" t="inlineStr">
        <is>
          <t>A 28162-2022</t>
        </is>
      </c>
      <c r="B5917" s="1" t="n">
        <v>44746.56627314815</v>
      </c>
      <c r="C5917" s="1" t="n">
        <v>45952</v>
      </c>
      <c r="D5917" t="inlineStr">
        <is>
          <t>VÄSTRA GÖTALANDS LÄN</t>
        </is>
      </c>
      <c r="E5917" t="inlineStr">
        <is>
          <t>MARIESTAD</t>
        </is>
      </c>
      <c r="G5917" t="n">
        <v>3.1</v>
      </c>
      <c r="H5917" t="n">
        <v>0</v>
      </c>
      <c r="I5917" t="n">
        <v>0</v>
      </c>
      <c r="J5917" t="n">
        <v>0</v>
      </c>
      <c r="K5917" t="n">
        <v>0</v>
      </c>
      <c r="L5917" t="n">
        <v>0</v>
      </c>
      <c r="M5917" t="n">
        <v>0</v>
      </c>
      <c r="N5917" t="n">
        <v>0</v>
      </c>
      <c r="O5917" t="n">
        <v>0</v>
      </c>
      <c r="P5917" t="n">
        <v>0</v>
      </c>
      <c r="Q5917" t="n">
        <v>0</v>
      </c>
      <c r="R5917" s="2" t="inlineStr"/>
    </row>
    <row r="5918" ht="15" customHeight="1">
      <c r="A5918" t="inlineStr">
        <is>
          <t>A 54752-2024</t>
        </is>
      </c>
      <c r="B5918" s="1" t="n">
        <v>45618.45256944445</v>
      </c>
      <c r="C5918" s="1" t="n">
        <v>45952</v>
      </c>
      <c r="D5918" t="inlineStr">
        <is>
          <t>VÄSTRA GÖTALANDS LÄN</t>
        </is>
      </c>
      <c r="E5918" t="inlineStr">
        <is>
          <t>ALINGSÅS</t>
        </is>
      </c>
      <c r="G5918" t="n">
        <v>1.9</v>
      </c>
      <c r="H5918" t="n">
        <v>0</v>
      </c>
      <c r="I5918" t="n">
        <v>0</v>
      </c>
      <c r="J5918" t="n">
        <v>0</v>
      </c>
      <c r="K5918" t="n">
        <v>0</v>
      </c>
      <c r="L5918" t="n">
        <v>0</v>
      </c>
      <c r="M5918" t="n">
        <v>0</v>
      </c>
      <c r="N5918" t="n">
        <v>0</v>
      </c>
      <c r="O5918" t="n">
        <v>0</v>
      </c>
      <c r="P5918" t="n">
        <v>0</v>
      </c>
      <c r="Q5918" t="n">
        <v>0</v>
      </c>
      <c r="R5918" s="2" t="inlineStr"/>
    </row>
    <row r="5919" ht="15" customHeight="1">
      <c r="A5919" t="inlineStr">
        <is>
          <t>A 28200-2022</t>
        </is>
      </c>
      <c r="B5919" s="1" t="n">
        <v>44746</v>
      </c>
      <c r="C5919" s="1" t="n">
        <v>45952</v>
      </c>
      <c r="D5919" t="inlineStr">
        <is>
          <t>VÄSTRA GÖTALANDS LÄN</t>
        </is>
      </c>
      <c r="E5919" t="inlineStr">
        <is>
          <t>GULLSPÅNG</t>
        </is>
      </c>
      <c r="G5919" t="n">
        <v>1.6</v>
      </c>
      <c r="H5919" t="n">
        <v>0</v>
      </c>
      <c r="I5919" t="n">
        <v>0</v>
      </c>
      <c r="J5919" t="n">
        <v>0</v>
      </c>
      <c r="K5919" t="n">
        <v>0</v>
      </c>
      <c r="L5919" t="n">
        <v>0</v>
      </c>
      <c r="M5919" t="n">
        <v>0</v>
      </c>
      <c r="N5919" t="n">
        <v>0</v>
      </c>
      <c r="O5919" t="n">
        <v>0</v>
      </c>
      <c r="P5919" t="n">
        <v>0</v>
      </c>
      <c r="Q5919" t="n">
        <v>0</v>
      </c>
      <c r="R5919" s="2" t="inlineStr"/>
    </row>
    <row r="5920" ht="15" customHeight="1">
      <c r="A5920" t="inlineStr">
        <is>
          <t>A 55356-2024</t>
        </is>
      </c>
      <c r="B5920" s="1" t="n">
        <v>45621.80996527777</v>
      </c>
      <c r="C5920" s="1" t="n">
        <v>45952</v>
      </c>
      <c r="D5920" t="inlineStr">
        <is>
          <t>VÄSTRA GÖTALANDS LÄN</t>
        </is>
      </c>
      <c r="E5920" t="inlineStr">
        <is>
          <t>VARA</t>
        </is>
      </c>
      <c r="G5920" t="n">
        <v>1.2</v>
      </c>
      <c r="H5920" t="n">
        <v>0</v>
      </c>
      <c r="I5920" t="n">
        <v>0</v>
      </c>
      <c r="J5920" t="n">
        <v>0</v>
      </c>
      <c r="K5920" t="n">
        <v>0</v>
      </c>
      <c r="L5920" t="n">
        <v>0</v>
      </c>
      <c r="M5920" t="n">
        <v>0</v>
      </c>
      <c r="N5920" t="n">
        <v>0</v>
      </c>
      <c r="O5920" t="n">
        <v>0</v>
      </c>
      <c r="P5920" t="n">
        <v>0</v>
      </c>
      <c r="Q5920" t="n">
        <v>0</v>
      </c>
      <c r="R5920" s="2" t="inlineStr"/>
    </row>
    <row r="5921" ht="15" customHeight="1">
      <c r="A5921" t="inlineStr">
        <is>
          <t>A 60253-2024</t>
        </is>
      </c>
      <c r="B5921" s="1" t="n">
        <v>45642</v>
      </c>
      <c r="C5921" s="1" t="n">
        <v>45952</v>
      </c>
      <c r="D5921" t="inlineStr">
        <is>
          <t>VÄSTRA GÖTALANDS LÄN</t>
        </is>
      </c>
      <c r="E5921" t="inlineStr">
        <is>
          <t>TIBRO</t>
        </is>
      </c>
      <c r="G5921" t="n">
        <v>2.3</v>
      </c>
      <c r="H5921" t="n">
        <v>0</v>
      </c>
      <c r="I5921" t="n">
        <v>0</v>
      </c>
      <c r="J5921" t="n">
        <v>0</v>
      </c>
      <c r="K5921" t="n">
        <v>0</v>
      </c>
      <c r="L5921" t="n">
        <v>0</v>
      </c>
      <c r="M5921" t="n">
        <v>0</v>
      </c>
      <c r="N5921" t="n">
        <v>0</v>
      </c>
      <c r="O5921" t="n">
        <v>0</v>
      </c>
      <c r="P5921" t="n">
        <v>0</v>
      </c>
      <c r="Q5921" t="n">
        <v>0</v>
      </c>
      <c r="R5921" s="2" t="inlineStr"/>
    </row>
    <row r="5922" ht="15" customHeight="1">
      <c r="A5922" t="inlineStr">
        <is>
          <t>A 60255-2024</t>
        </is>
      </c>
      <c r="B5922" s="1" t="n">
        <v>45642</v>
      </c>
      <c r="C5922" s="1" t="n">
        <v>45952</v>
      </c>
      <c r="D5922" t="inlineStr">
        <is>
          <t>VÄSTRA GÖTALANDS LÄN</t>
        </is>
      </c>
      <c r="E5922" t="inlineStr">
        <is>
          <t>LYSEKIL</t>
        </is>
      </c>
      <c r="G5922" t="n">
        <v>1</v>
      </c>
      <c r="H5922" t="n">
        <v>0</v>
      </c>
      <c r="I5922" t="n">
        <v>0</v>
      </c>
      <c r="J5922" t="n">
        <v>0</v>
      </c>
      <c r="K5922" t="n">
        <v>0</v>
      </c>
      <c r="L5922" t="n">
        <v>0</v>
      </c>
      <c r="M5922" t="n">
        <v>0</v>
      </c>
      <c r="N5922" t="n">
        <v>0</v>
      </c>
      <c r="O5922" t="n">
        <v>0</v>
      </c>
      <c r="P5922" t="n">
        <v>0</v>
      </c>
      <c r="Q5922" t="n">
        <v>0</v>
      </c>
      <c r="R5922" s="2" t="inlineStr"/>
    </row>
    <row r="5923" ht="15" customHeight="1">
      <c r="A5923" t="inlineStr">
        <is>
          <t>A 60262-2024</t>
        </is>
      </c>
      <c r="B5923" s="1" t="n">
        <v>45642</v>
      </c>
      <c r="C5923" s="1" t="n">
        <v>45952</v>
      </c>
      <c r="D5923" t="inlineStr">
        <is>
          <t>VÄSTRA GÖTALANDS LÄN</t>
        </is>
      </c>
      <c r="E5923" t="inlineStr">
        <is>
          <t>LYSEKIL</t>
        </is>
      </c>
      <c r="G5923" t="n">
        <v>2</v>
      </c>
      <c r="H5923" t="n">
        <v>0</v>
      </c>
      <c r="I5923" t="n">
        <v>0</v>
      </c>
      <c r="J5923" t="n">
        <v>0</v>
      </c>
      <c r="K5923" t="n">
        <v>0</v>
      </c>
      <c r="L5923" t="n">
        <v>0</v>
      </c>
      <c r="M5923" t="n">
        <v>0</v>
      </c>
      <c r="N5923" t="n">
        <v>0</v>
      </c>
      <c r="O5923" t="n">
        <v>0</v>
      </c>
      <c r="P5923" t="n">
        <v>0</v>
      </c>
      <c r="Q5923" t="n">
        <v>0</v>
      </c>
      <c r="R5923" s="2" t="inlineStr"/>
    </row>
    <row r="5924" ht="15" customHeight="1">
      <c r="A5924" t="inlineStr">
        <is>
          <t>A 2658-2022</t>
        </is>
      </c>
      <c r="B5924" s="1" t="n">
        <v>44580</v>
      </c>
      <c r="C5924" s="1" t="n">
        <v>45952</v>
      </c>
      <c r="D5924" t="inlineStr">
        <is>
          <t>VÄSTRA GÖTALANDS LÄN</t>
        </is>
      </c>
      <c r="E5924" t="inlineStr">
        <is>
          <t>TIDAHOLM</t>
        </is>
      </c>
      <c r="G5924" t="n">
        <v>1.1</v>
      </c>
      <c r="H5924" t="n">
        <v>0</v>
      </c>
      <c r="I5924" t="n">
        <v>0</v>
      </c>
      <c r="J5924" t="n">
        <v>0</v>
      </c>
      <c r="K5924" t="n">
        <v>0</v>
      </c>
      <c r="L5924" t="n">
        <v>0</v>
      </c>
      <c r="M5924" t="n">
        <v>0</v>
      </c>
      <c r="N5924" t="n">
        <v>0</v>
      </c>
      <c r="O5924" t="n">
        <v>0</v>
      </c>
      <c r="P5924" t="n">
        <v>0</v>
      </c>
      <c r="Q5924" t="n">
        <v>0</v>
      </c>
      <c r="R5924" s="2" t="inlineStr"/>
    </row>
    <row r="5925" ht="15" customHeight="1">
      <c r="A5925" t="inlineStr">
        <is>
          <t>A 54919-2024</t>
        </is>
      </c>
      <c r="B5925" s="1" t="n">
        <v>45618.70145833334</v>
      </c>
      <c r="C5925" s="1" t="n">
        <v>45952</v>
      </c>
      <c r="D5925" t="inlineStr">
        <is>
          <t>VÄSTRA GÖTALANDS LÄN</t>
        </is>
      </c>
      <c r="E5925" t="inlineStr">
        <is>
          <t>HERRLJUNGA</t>
        </is>
      </c>
      <c r="G5925" t="n">
        <v>1.8</v>
      </c>
      <c r="H5925" t="n">
        <v>0</v>
      </c>
      <c r="I5925" t="n">
        <v>0</v>
      </c>
      <c r="J5925" t="n">
        <v>0</v>
      </c>
      <c r="K5925" t="n">
        <v>0</v>
      </c>
      <c r="L5925" t="n">
        <v>0</v>
      </c>
      <c r="M5925" t="n">
        <v>0</v>
      </c>
      <c r="N5925" t="n">
        <v>0</v>
      </c>
      <c r="O5925" t="n">
        <v>0</v>
      </c>
      <c r="P5925" t="n">
        <v>0</v>
      </c>
      <c r="Q5925" t="n">
        <v>0</v>
      </c>
      <c r="R5925" s="2" t="inlineStr"/>
    </row>
    <row r="5926" ht="15" customHeight="1">
      <c r="A5926" t="inlineStr">
        <is>
          <t>A 4617-2022</t>
        </is>
      </c>
      <c r="B5926" s="1" t="n">
        <v>44592</v>
      </c>
      <c r="C5926" s="1" t="n">
        <v>45952</v>
      </c>
      <c r="D5926" t="inlineStr">
        <is>
          <t>VÄSTRA GÖTALANDS LÄN</t>
        </is>
      </c>
      <c r="E5926" t="inlineStr">
        <is>
          <t>BORÅS</t>
        </is>
      </c>
      <c r="G5926" t="n">
        <v>1.6</v>
      </c>
      <c r="H5926" t="n">
        <v>0</v>
      </c>
      <c r="I5926" t="n">
        <v>0</v>
      </c>
      <c r="J5926" t="n">
        <v>0</v>
      </c>
      <c r="K5926" t="n">
        <v>0</v>
      </c>
      <c r="L5926" t="n">
        <v>0</v>
      </c>
      <c r="M5926" t="n">
        <v>0</v>
      </c>
      <c r="N5926" t="n">
        <v>0</v>
      </c>
      <c r="O5926" t="n">
        <v>0</v>
      </c>
      <c r="P5926" t="n">
        <v>0</v>
      </c>
      <c r="Q5926" t="n">
        <v>0</v>
      </c>
      <c r="R5926" s="2" t="inlineStr"/>
    </row>
    <row r="5927" ht="15" customHeight="1">
      <c r="A5927" t="inlineStr">
        <is>
          <t>A 2853-2024</t>
        </is>
      </c>
      <c r="B5927" s="1" t="n">
        <v>45315.40715277778</v>
      </c>
      <c r="C5927" s="1" t="n">
        <v>45952</v>
      </c>
      <c r="D5927" t="inlineStr">
        <is>
          <t>VÄSTRA GÖTALANDS LÄN</t>
        </is>
      </c>
      <c r="E5927" t="inlineStr">
        <is>
          <t>HERRLJUNGA</t>
        </is>
      </c>
      <c r="G5927" t="n">
        <v>1.3</v>
      </c>
      <c r="H5927" t="n">
        <v>0</v>
      </c>
      <c r="I5927" t="n">
        <v>0</v>
      </c>
      <c r="J5927" t="n">
        <v>0</v>
      </c>
      <c r="K5927" t="n">
        <v>0</v>
      </c>
      <c r="L5927" t="n">
        <v>0</v>
      </c>
      <c r="M5927" t="n">
        <v>0</v>
      </c>
      <c r="N5927" t="n">
        <v>0</v>
      </c>
      <c r="O5927" t="n">
        <v>0</v>
      </c>
      <c r="P5927" t="n">
        <v>0</v>
      </c>
      <c r="Q5927" t="n">
        <v>0</v>
      </c>
      <c r="R5927" s="2" t="inlineStr"/>
    </row>
    <row r="5928" ht="15" customHeight="1">
      <c r="A5928" t="inlineStr">
        <is>
          <t>A 2875-2024</t>
        </is>
      </c>
      <c r="B5928" s="1" t="n">
        <v>45315.46555555556</v>
      </c>
      <c r="C5928" s="1" t="n">
        <v>45952</v>
      </c>
      <c r="D5928" t="inlineStr">
        <is>
          <t>VÄSTRA GÖTALANDS LÄN</t>
        </is>
      </c>
      <c r="E5928" t="inlineStr">
        <is>
          <t>BORÅS</t>
        </is>
      </c>
      <c r="G5928" t="n">
        <v>1.1</v>
      </c>
      <c r="H5928" t="n">
        <v>0</v>
      </c>
      <c r="I5928" t="n">
        <v>0</v>
      </c>
      <c r="J5928" t="n">
        <v>0</v>
      </c>
      <c r="K5928" t="n">
        <v>0</v>
      </c>
      <c r="L5928" t="n">
        <v>0</v>
      </c>
      <c r="M5928" t="n">
        <v>0</v>
      </c>
      <c r="N5928" t="n">
        <v>0</v>
      </c>
      <c r="O5928" t="n">
        <v>0</v>
      </c>
      <c r="P5928" t="n">
        <v>0</v>
      </c>
      <c r="Q5928" t="n">
        <v>0</v>
      </c>
      <c r="R5928" s="2" t="inlineStr"/>
    </row>
    <row r="5929" ht="15" customHeight="1">
      <c r="A5929" t="inlineStr">
        <is>
          <t>A 2878-2024</t>
        </is>
      </c>
      <c r="B5929" s="1" t="n">
        <v>45315</v>
      </c>
      <c r="C5929" s="1" t="n">
        <v>45952</v>
      </c>
      <c r="D5929" t="inlineStr">
        <is>
          <t>VÄSTRA GÖTALANDS LÄN</t>
        </is>
      </c>
      <c r="E5929" t="inlineStr">
        <is>
          <t>TRANEMO</t>
        </is>
      </c>
      <c r="G5929" t="n">
        <v>6.9</v>
      </c>
      <c r="H5929" t="n">
        <v>0</v>
      </c>
      <c r="I5929" t="n">
        <v>0</v>
      </c>
      <c r="J5929" t="n">
        <v>0</v>
      </c>
      <c r="K5929" t="n">
        <v>0</v>
      </c>
      <c r="L5929" t="n">
        <v>0</v>
      </c>
      <c r="M5929" t="n">
        <v>0</v>
      </c>
      <c r="N5929" t="n">
        <v>0</v>
      </c>
      <c r="O5929" t="n">
        <v>0</v>
      </c>
      <c r="P5929" t="n">
        <v>0</v>
      </c>
      <c r="Q5929" t="n">
        <v>0</v>
      </c>
      <c r="R5929" s="2" t="inlineStr"/>
    </row>
    <row r="5930" ht="15" customHeight="1">
      <c r="A5930" t="inlineStr">
        <is>
          <t>A 2919-2024</t>
        </is>
      </c>
      <c r="B5930" s="1" t="n">
        <v>45315.58561342592</v>
      </c>
      <c r="C5930" s="1" t="n">
        <v>45952</v>
      </c>
      <c r="D5930" t="inlineStr">
        <is>
          <t>VÄSTRA GÖTALANDS LÄN</t>
        </is>
      </c>
      <c r="E5930" t="inlineStr">
        <is>
          <t>TRANEMO</t>
        </is>
      </c>
      <c r="G5930" t="n">
        <v>0.5</v>
      </c>
      <c r="H5930" t="n">
        <v>0</v>
      </c>
      <c r="I5930" t="n">
        <v>0</v>
      </c>
      <c r="J5930" t="n">
        <v>0</v>
      </c>
      <c r="K5930" t="n">
        <v>0</v>
      </c>
      <c r="L5930" t="n">
        <v>0</v>
      </c>
      <c r="M5930" t="n">
        <v>0</v>
      </c>
      <c r="N5930" t="n">
        <v>0</v>
      </c>
      <c r="O5930" t="n">
        <v>0</v>
      </c>
      <c r="P5930" t="n">
        <v>0</v>
      </c>
      <c r="Q5930" t="n">
        <v>0</v>
      </c>
      <c r="R5930" s="2" t="inlineStr"/>
    </row>
    <row r="5931" ht="15" customHeight="1">
      <c r="A5931" t="inlineStr">
        <is>
          <t>A 39163-2023</t>
        </is>
      </c>
      <c r="B5931" s="1" t="n">
        <v>45166.35552083333</v>
      </c>
      <c r="C5931" s="1" t="n">
        <v>45952</v>
      </c>
      <c r="D5931" t="inlineStr">
        <is>
          <t>VÄSTRA GÖTALANDS LÄN</t>
        </is>
      </c>
      <c r="E5931" t="inlineStr">
        <is>
          <t>MUNKEDAL</t>
        </is>
      </c>
      <c r="G5931" t="n">
        <v>1.7</v>
      </c>
      <c r="H5931" t="n">
        <v>0</v>
      </c>
      <c r="I5931" t="n">
        <v>0</v>
      </c>
      <c r="J5931" t="n">
        <v>0</v>
      </c>
      <c r="K5931" t="n">
        <v>0</v>
      </c>
      <c r="L5931" t="n">
        <v>0</v>
      </c>
      <c r="M5931" t="n">
        <v>0</v>
      </c>
      <c r="N5931" t="n">
        <v>0</v>
      </c>
      <c r="O5931" t="n">
        <v>0</v>
      </c>
      <c r="P5931" t="n">
        <v>0</v>
      </c>
      <c r="Q5931" t="n">
        <v>0</v>
      </c>
      <c r="R5931" s="2" t="inlineStr"/>
    </row>
    <row r="5932" ht="15" customHeight="1">
      <c r="A5932" t="inlineStr">
        <is>
          <t>A 6380-2021</t>
        </is>
      </c>
      <c r="B5932" s="1" t="n">
        <v>44235</v>
      </c>
      <c r="C5932" s="1" t="n">
        <v>45952</v>
      </c>
      <c r="D5932" t="inlineStr">
        <is>
          <t>VÄSTRA GÖTALANDS LÄN</t>
        </is>
      </c>
      <c r="E5932" t="inlineStr">
        <is>
          <t>VARA</t>
        </is>
      </c>
      <c r="G5932" t="n">
        <v>5.1</v>
      </c>
      <c r="H5932" t="n">
        <v>0</v>
      </c>
      <c r="I5932" t="n">
        <v>0</v>
      </c>
      <c r="J5932" t="n">
        <v>0</v>
      </c>
      <c r="K5932" t="n">
        <v>0</v>
      </c>
      <c r="L5932" t="n">
        <v>0</v>
      </c>
      <c r="M5932" t="n">
        <v>0</v>
      </c>
      <c r="N5932" t="n">
        <v>0</v>
      </c>
      <c r="O5932" t="n">
        <v>0</v>
      </c>
      <c r="P5932" t="n">
        <v>0</v>
      </c>
      <c r="Q5932" t="n">
        <v>0</v>
      </c>
      <c r="R5932" s="2" t="inlineStr"/>
    </row>
    <row r="5933" ht="15" customHeight="1">
      <c r="A5933" t="inlineStr">
        <is>
          <t>A 23887-2024</t>
        </is>
      </c>
      <c r="B5933" s="1" t="n">
        <v>45455.6478587963</v>
      </c>
      <c r="C5933" s="1" t="n">
        <v>45952</v>
      </c>
      <c r="D5933" t="inlineStr">
        <is>
          <t>VÄSTRA GÖTALANDS LÄN</t>
        </is>
      </c>
      <c r="E5933" t="inlineStr">
        <is>
          <t>UDDEVALLA</t>
        </is>
      </c>
      <c r="G5933" t="n">
        <v>0.6</v>
      </c>
      <c r="H5933" t="n">
        <v>0</v>
      </c>
      <c r="I5933" t="n">
        <v>0</v>
      </c>
      <c r="J5933" t="n">
        <v>0</v>
      </c>
      <c r="K5933" t="n">
        <v>0</v>
      </c>
      <c r="L5933" t="n">
        <v>0</v>
      </c>
      <c r="M5933" t="n">
        <v>0</v>
      </c>
      <c r="N5933" t="n">
        <v>0</v>
      </c>
      <c r="O5933" t="n">
        <v>0</v>
      </c>
      <c r="P5933" t="n">
        <v>0</v>
      </c>
      <c r="Q5933" t="n">
        <v>0</v>
      </c>
      <c r="R5933" s="2" t="inlineStr"/>
    </row>
    <row r="5934" ht="15" customHeight="1">
      <c r="A5934" t="inlineStr">
        <is>
          <t>A 41721-2022</t>
        </is>
      </c>
      <c r="B5934" s="1" t="n">
        <v>44827</v>
      </c>
      <c r="C5934" s="1" t="n">
        <v>45952</v>
      </c>
      <c r="D5934" t="inlineStr">
        <is>
          <t>VÄSTRA GÖTALANDS LÄN</t>
        </is>
      </c>
      <c r="E5934" t="inlineStr">
        <is>
          <t>GÖTENE</t>
        </is>
      </c>
      <c r="G5934" t="n">
        <v>4.1</v>
      </c>
      <c r="H5934" t="n">
        <v>0</v>
      </c>
      <c r="I5934" t="n">
        <v>0</v>
      </c>
      <c r="J5934" t="n">
        <v>0</v>
      </c>
      <c r="K5934" t="n">
        <v>0</v>
      </c>
      <c r="L5934" t="n">
        <v>0</v>
      </c>
      <c r="M5934" t="n">
        <v>0</v>
      </c>
      <c r="N5934" t="n">
        <v>0</v>
      </c>
      <c r="O5934" t="n">
        <v>0</v>
      </c>
      <c r="P5934" t="n">
        <v>0</v>
      </c>
      <c r="Q5934" t="n">
        <v>0</v>
      </c>
      <c r="R5934" s="2" t="inlineStr"/>
    </row>
    <row r="5935" ht="15" customHeight="1">
      <c r="A5935" t="inlineStr">
        <is>
          <t>A 23268-2022</t>
        </is>
      </c>
      <c r="B5935" s="1" t="n">
        <v>44720.40994212963</v>
      </c>
      <c r="C5935" s="1" t="n">
        <v>45952</v>
      </c>
      <c r="D5935" t="inlineStr">
        <is>
          <t>VÄSTRA GÖTALANDS LÄN</t>
        </is>
      </c>
      <c r="E5935" t="inlineStr">
        <is>
          <t>KARLSBORG</t>
        </is>
      </c>
      <c r="F5935" t="inlineStr">
        <is>
          <t>Sveaskog</t>
        </is>
      </c>
      <c r="G5935" t="n">
        <v>3</v>
      </c>
      <c r="H5935" t="n">
        <v>0</v>
      </c>
      <c r="I5935" t="n">
        <v>0</v>
      </c>
      <c r="J5935" t="n">
        <v>0</v>
      </c>
      <c r="K5935" t="n">
        <v>0</v>
      </c>
      <c r="L5935" t="n">
        <v>0</v>
      </c>
      <c r="M5935" t="n">
        <v>0</v>
      </c>
      <c r="N5935" t="n">
        <v>0</v>
      </c>
      <c r="O5935" t="n">
        <v>0</v>
      </c>
      <c r="P5935" t="n">
        <v>0</v>
      </c>
      <c r="Q5935" t="n">
        <v>0</v>
      </c>
      <c r="R5935" s="2" t="inlineStr"/>
    </row>
    <row r="5936" ht="15" customHeight="1">
      <c r="A5936" t="inlineStr">
        <is>
          <t>A 2280-2023</t>
        </is>
      </c>
      <c r="B5936" s="1" t="n">
        <v>44942.51903935185</v>
      </c>
      <c r="C5936" s="1" t="n">
        <v>45952</v>
      </c>
      <c r="D5936" t="inlineStr">
        <is>
          <t>VÄSTRA GÖTALANDS LÄN</t>
        </is>
      </c>
      <c r="E5936" t="inlineStr">
        <is>
          <t>DALS-ED</t>
        </is>
      </c>
      <c r="G5936" t="n">
        <v>1.2</v>
      </c>
      <c r="H5936" t="n">
        <v>0</v>
      </c>
      <c r="I5936" t="n">
        <v>0</v>
      </c>
      <c r="J5936" t="n">
        <v>0</v>
      </c>
      <c r="K5936" t="n">
        <v>0</v>
      </c>
      <c r="L5936" t="n">
        <v>0</v>
      </c>
      <c r="M5936" t="n">
        <v>0</v>
      </c>
      <c r="N5936" t="n">
        <v>0</v>
      </c>
      <c r="O5936" t="n">
        <v>0</v>
      </c>
      <c r="P5936" t="n">
        <v>0</v>
      </c>
      <c r="Q5936" t="n">
        <v>0</v>
      </c>
      <c r="R5936" s="2" t="inlineStr"/>
    </row>
    <row r="5937" ht="15" customHeight="1">
      <c r="A5937" t="inlineStr">
        <is>
          <t>A 39797-2024</t>
        </is>
      </c>
      <c r="B5937" s="1" t="n">
        <v>45553.3358912037</v>
      </c>
      <c r="C5937" s="1" t="n">
        <v>45952</v>
      </c>
      <c r="D5937" t="inlineStr">
        <is>
          <t>VÄSTRA GÖTALANDS LÄN</t>
        </is>
      </c>
      <c r="E5937" t="inlineStr">
        <is>
          <t>TÖREBODA</t>
        </is>
      </c>
      <c r="G5937" t="n">
        <v>1.9</v>
      </c>
      <c r="H5937" t="n">
        <v>0</v>
      </c>
      <c r="I5937" t="n">
        <v>0</v>
      </c>
      <c r="J5937" t="n">
        <v>0</v>
      </c>
      <c r="K5937" t="n">
        <v>0</v>
      </c>
      <c r="L5937" t="n">
        <v>0</v>
      </c>
      <c r="M5937" t="n">
        <v>0</v>
      </c>
      <c r="N5937" t="n">
        <v>0</v>
      </c>
      <c r="O5937" t="n">
        <v>0</v>
      </c>
      <c r="P5937" t="n">
        <v>0</v>
      </c>
      <c r="Q5937" t="n">
        <v>0</v>
      </c>
      <c r="R5937" s="2" t="inlineStr"/>
    </row>
    <row r="5938" ht="15" customHeight="1">
      <c r="A5938" t="inlineStr">
        <is>
          <t>A 38111-2023</t>
        </is>
      </c>
      <c r="B5938" s="1" t="n">
        <v>45161.3239699074</v>
      </c>
      <c r="C5938" s="1" t="n">
        <v>45952</v>
      </c>
      <c r="D5938" t="inlineStr">
        <is>
          <t>VÄSTRA GÖTALANDS LÄN</t>
        </is>
      </c>
      <c r="E5938" t="inlineStr">
        <is>
          <t>FALKÖPING</t>
        </is>
      </c>
      <c r="G5938" t="n">
        <v>3.5</v>
      </c>
      <c r="H5938" t="n">
        <v>0</v>
      </c>
      <c r="I5938" t="n">
        <v>0</v>
      </c>
      <c r="J5938" t="n">
        <v>0</v>
      </c>
      <c r="K5938" t="n">
        <v>0</v>
      </c>
      <c r="L5938" t="n">
        <v>0</v>
      </c>
      <c r="M5938" t="n">
        <v>0</v>
      </c>
      <c r="N5938" t="n">
        <v>0</v>
      </c>
      <c r="O5938" t="n">
        <v>0</v>
      </c>
      <c r="P5938" t="n">
        <v>0</v>
      </c>
      <c r="Q5938" t="n">
        <v>0</v>
      </c>
      <c r="R5938" s="2" t="inlineStr"/>
    </row>
    <row r="5939" ht="15" customHeight="1">
      <c r="A5939" t="inlineStr">
        <is>
          <t>A 61671-2022</t>
        </is>
      </c>
      <c r="B5939" s="1" t="n">
        <v>44917.3327662037</v>
      </c>
      <c r="C5939" s="1" t="n">
        <v>45952</v>
      </c>
      <c r="D5939" t="inlineStr">
        <is>
          <t>VÄSTRA GÖTALANDS LÄN</t>
        </is>
      </c>
      <c r="E5939" t="inlineStr">
        <is>
          <t>BOLLEBYGD</t>
        </is>
      </c>
      <c r="G5939" t="n">
        <v>0.5</v>
      </c>
      <c r="H5939" t="n">
        <v>0</v>
      </c>
      <c r="I5939" t="n">
        <v>0</v>
      </c>
      <c r="J5939" t="n">
        <v>0</v>
      </c>
      <c r="K5939" t="n">
        <v>0</v>
      </c>
      <c r="L5939" t="n">
        <v>0</v>
      </c>
      <c r="M5939" t="n">
        <v>0</v>
      </c>
      <c r="N5939" t="n">
        <v>0</v>
      </c>
      <c r="O5939" t="n">
        <v>0</v>
      </c>
      <c r="P5939" t="n">
        <v>0</v>
      </c>
      <c r="Q5939" t="n">
        <v>0</v>
      </c>
      <c r="R5939" s="2" t="inlineStr"/>
    </row>
    <row r="5940" ht="15" customHeight="1">
      <c r="A5940" t="inlineStr">
        <is>
          <t>A 57185-2022</t>
        </is>
      </c>
      <c r="B5940" s="1" t="n">
        <v>44895</v>
      </c>
      <c r="C5940" s="1" t="n">
        <v>45952</v>
      </c>
      <c r="D5940" t="inlineStr">
        <is>
          <t>VÄSTRA GÖTALANDS LÄN</t>
        </is>
      </c>
      <c r="E5940" t="inlineStr">
        <is>
          <t>SVENLJUNGA</t>
        </is>
      </c>
      <c r="G5940" t="n">
        <v>0.7</v>
      </c>
      <c r="H5940" t="n">
        <v>0</v>
      </c>
      <c r="I5940" t="n">
        <v>0</v>
      </c>
      <c r="J5940" t="n">
        <v>0</v>
      </c>
      <c r="K5940" t="n">
        <v>0</v>
      </c>
      <c r="L5940" t="n">
        <v>0</v>
      </c>
      <c r="M5940" t="n">
        <v>0</v>
      </c>
      <c r="N5940" t="n">
        <v>0</v>
      </c>
      <c r="O5940" t="n">
        <v>0</v>
      </c>
      <c r="P5940" t="n">
        <v>0</v>
      </c>
      <c r="Q5940" t="n">
        <v>0</v>
      </c>
      <c r="R5940" s="2" t="inlineStr"/>
    </row>
    <row r="5941" ht="15" customHeight="1">
      <c r="A5941" t="inlineStr">
        <is>
          <t>A 40189-2024</t>
        </is>
      </c>
      <c r="B5941" s="1" t="n">
        <v>45554.56659722222</v>
      </c>
      <c r="C5941" s="1" t="n">
        <v>45952</v>
      </c>
      <c r="D5941" t="inlineStr">
        <is>
          <t>VÄSTRA GÖTALANDS LÄN</t>
        </is>
      </c>
      <c r="E5941" t="inlineStr">
        <is>
          <t>ÅMÅL</t>
        </is>
      </c>
      <c r="G5941" t="n">
        <v>0.7</v>
      </c>
      <c r="H5941" t="n">
        <v>0</v>
      </c>
      <c r="I5941" t="n">
        <v>0</v>
      </c>
      <c r="J5941" t="n">
        <v>0</v>
      </c>
      <c r="K5941" t="n">
        <v>0</v>
      </c>
      <c r="L5941" t="n">
        <v>0</v>
      </c>
      <c r="M5941" t="n">
        <v>0</v>
      </c>
      <c r="N5941" t="n">
        <v>0</v>
      </c>
      <c r="O5941" t="n">
        <v>0</v>
      </c>
      <c r="P5941" t="n">
        <v>0</v>
      </c>
      <c r="Q5941" t="n">
        <v>0</v>
      </c>
      <c r="R5941" s="2" t="inlineStr"/>
    </row>
    <row r="5942" ht="15" customHeight="1">
      <c r="A5942" t="inlineStr">
        <is>
          <t>A 57287-2024</t>
        </is>
      </c>
      <c r="B5942" s="1" t="n">
        <v>45629.58438657408</v>
      </c>
      <c r="C5942" s="1" t="n">
        <v>45952</v>
      </c>
      <c r="D5942" t="inlineStr">
        <is>
          <t>VÄSTRA GÖTALANDS LÄN</t>
        </is>
      </c>
      <c r="E5942" t="inlineStr">
        <is>
          <t>GULLSPÅNG</t>
        </is>
      </c>
      <c r="G5942" t="n">
        <v>3.3</v>
      </c>
      <c r="H5942" t="n">
        <v>0</v>
      </c>
      <c r="I5942" t="n">
        <v>0</v>
      </c>
      <c r="J5942" t="n">
        <v>0</v>
      </c>
      <c r="K5942" t="n">
        <v>0</v>
      </c>
      <c r="L5942" t="n">
        <v>0</v>
      </c>
      <c r="M5942" t="n">
        <v>0</v>
      </c>
      <c r="N5942" t="n">
        <v>0</v>
      </c>
      <c r="O5942" t="n">
        <v>0</v>
      </c>
      <c r="P5942" t="n">
        <v>0</v>
      </c>
      <c r="Q5942" t="n">
        <v>0</v>
      </c>
      <c r="R5942" s="2" t="inlineStr"/>
    </row>
    <row r="5943" ht="15" customHeight="1">
      <c r="A5943" t="inlineStr">
        <is>
          <t>A 200-2022</t>
        </is>
      </c>
      <c r="B5943" s="1" t="n">
        <v>44564</v>
      </c>
      <c r="C5943" s="1" t="n">
        <v>45952</v>
      </c>
      <c r="D5943" t="inlineStr">
        <is>
          <t>VÄSTRA GÖTALANDS LÄN</t>
        </is>
      </c>
      <c r="E5943" t="inlineStr">
        <is>
          <t>ALE</t>
        </is>
      </c>
      <c r="G5943" t="n">
        <v>6.8</v>
      </c>
      <c r="H5943" t="n">
        <v>0</v>
      </c>
      <c r="I5943" t="n">
        <v>0</v>
      </c>
      <c r="J5943" t="n">
        <v>0</v>
      </c>
      <c r="K5943" t="n">
        <v>0</v>
      </c>
      <c r="L5943" t="n">
        <v>0</v>
      </c>
      <c r="M5943" t="n">
        <v>0</v>
      </c>
      <c r="N5943" t="n">
        <v>0</v>
      </c>
      <c r="O5943" t="n">
        <v>0</v>
      </c>
      <c r="P5943" t="n">
        <v>0</v>
      </c>
      <c r="Q5943" t="n">
        <v>0</v>
      </c>
      <c r="R5943" s="2" t="inlineStr"/>
    </row>
    <row r="5944" ht="15" customHeight="1">
      <c r="A5944" t="inlineStr">
        <is>
          <t>A 41943-2024</t>
        </is>
      </c>
      <c r="B5944" s="1" t="n">
        <v>45561.57412037037</v>
      </c>
      <c r="C5944" s="1" t="n">
        <v>45952</v>
      </c>
      <c r="D5944" t="inlineStr">
        <is>
          <t>VÄSTRA GÖTALANDS LÄN</t>
        </is>
      </c>
      <c r="E5944" t="inlineStr">
        <is>
          <t>KARLSBORG</t>
        </is>
      </c>
      <c r="G5944" t="n">
        <v>1.1</v>
      </c>
      <c r="H5944" t="n">
        <v>0</v>
      </c>
      <c r="I5944" t="n">
        <v>0</v>
      </c>
      <c r="J5944" t="n">
        <v>0</v>
      </c>
      <c r="K5944" t="n">
        <v>0</v>
      </c>
      <c r="L5944" t="n">
        <v>0</v>
      </c>
      <c r="M5944" t="n">
        <v>0</v>
      </c>
      <c r="N5944" t="n">
        <v>0</v>
      </c>
      <c r="O5944" t="n">
        <v>0</v>
      </c>
      <c r="P5944" t="n">
        <v>0</v>
      </c>
      <c r="Q5944" t="n">
        <v>0</v>
      </c>
      <c r="R5944" s="2" t="inlineStr"/>
    </row>
    <row r="5945" ht="15" customHeight="1">
      <c r="A5945" t="inlineStr">
        <is>
          <t>A 64977-2023</t>
        </is>
      </c>
      <c r="B5945" s="1" t="n">
        <v>45285</v>
      </c>
      <c r="C5945" s="1" t="n">
        <v>45952</v>
      </c>
      <c r="D5945" t="inlineStr">
        <is>
          <t>VÄSTRA GÖTALANDS LÄN</t>
        </is>
      </c>
      <c r="E5945" t="inlineStr">
        <is>
          <t>HERRLJUNGA</t>
        </is>
      </c>
      <c r="G5945" t="n">
        <v>6.7</v>
      </c>
      <c r="H5945" t="n">
        <v>0</v>
      </c>
      <c r="I5945" t="n">
        <v>0</v>
      </c>
      <c r="J5945" t="n">
        <v>0</v>
      </c>
      <c r="K5945" t="n">
        <v>0</v>
      </c>
      <c r="L5945" t="n">
        <v>0</v>
      </c>
      <c r="M5945" t="n">
        <v>0</v>
      </c>
      <c r="N5945" t="n">
        <v>0</v>
      </c>
      <c r="O5945" t="n">
        <v>0</v>
      </c>
      <c r="P5945" t="n">
        <v>0</v>
      </c>
      <c r="Q5945" t="n">
        <v>0</v>
      </c>
      <c r="R5945" s="2" t="inlineStr"/>
    </row>
    <row r="5946" ht="15" customHeight="1">
      <c r="A5946" t="inlineStr">
        <is>
          <t>A 66551-2020</t>
        </is>
      </c>
      <c r="B5946" s="1" t="n">
        <v>44179</v>
      </c>
      <c r="C5946" s="1" t="n">
        <v>45952</v>
      </c>
      <c r="D5946" t="inlineStr">
        <is>
          <t>VÄSTRA GÖTALANDS LÄN</t>
        </is>
      </c>
      <c r="E5946" t="inlineStr">
        <is>
          <t>ALE</t>
        </is>
      </c>
      <c r="G5946" t="n">
        <v>4.5</v>
      </c>
      <c r="H5946" t="n">
        <v>0</v>
      </c>
      <c r="I5946" t="n">
        <v>0</v>
      </c>
      <c r="J5946" t="n">
        <v>0</v>
      </c>
      <c r="K5946" t="n">
        <v>0</v>
      </c>
      <c r="L5946" t="n">
        <v>0</v>
      </c>
      <c r="M5946" t="n">
        <v>0</v>
      </c>
      <c r="N5946" t="n">
        <v>0</v>
      </c>
      <c r="O5946" t="n">
        <v>0</v>
      </c>
      <c r="P5946" t="n">
        <v>0</v>
      </c>
      <c r="Q5946" t="n">
        <v>0</v>
      </c>
      <c r="R5946" s="2" t="inlineStr"/>
    </row>
    <row r="5947" ht="15" customHeight="1">
      <c r="A5947" t="inlineStr">
        <is>
          <t>A 64347-2023</t>
        </is>
      </c>
      <c r="B5947" s="1" t="n">
        <v>45280.46763888889</v>
      </c>
      <c r="C5947" s="1" t="n">
        <v>45952</v>
      </c>
      <c r="D5947" t="inlineStr">
        <is>
          <t>VÄSTRA GÖTALANDS LÄN</t>
        </is>
      </c>
      <c r="E5947" t="inlineStr">
        <is>
          <t>TANUM</t>
        </is>
      </c>
      <c r="G5947" t="n">
        <v>1.6</v>
      </c>
      <c r="H5947" t="n">
        <v>0</v>
      </c>
      <c r="I5947" t="n">
        <v>0</v>
      </c>
      <c r="J5947" t="n">
        <v>0</v>
      </c>
      <c r="K5947" t="n">
        <v>0</v>
      </c>
      <c r="L5947" t="n">
        <v>0</v>
      </c>
      <c r="M5947" t="n">
        <v>0</v>
      </c>
      <c r="N5947" t="n">
        <v>0</v>
      </c>
      <c r="O5947" t="n">
        <v>0</v>
      </c>
      <c r="P5947" t="n">
        <v>0</v>
      </c>
      <c r="Q5947" t="n">
        <v>0</v>
      </c>
      <c r="R5947" s="2" t="inlineStr"/>
    </row>
    <row r="5948" ht="15" customHeight="1">
      <c r="A5948" t="inlineStr">
        <is>
          <t>A 5466-2024</t>
        </is>
      </c>
      <c r="B5948" s="1" t="n">
        <v>45332</v>
      </c>
      <c r="C5948" s="1" t="n">
        <v>45952</v>
      </c>
      <c r="D5948" t="inlineStr">
        <is>
          <t>VÄSTRA GÖTALANDS LÄN</t>
        </is>
      </c>
      <c r="E5948" t="inlineStr">
        <is>
          <t>MARK</t>
        </is>
      </c>
      <c r="G5948" t="n">
        <v>6.8</v>
      </c>
      <c r="H5948" t="n">
        <v>0</v>
      </c>
      <c r="I5948" t="n">
        <v>0</v>
      </c>
      <c r="J5948" t="n">
        <v>0</v>
      </c>
      <c r="K5948" t="n">
        <v>0</v>
      </c>
      <c r="L5948" t="n">
        <v>0</v>
      </c>
      <c r="M5948" t="n">
        <v>0</v>
      </c>
      <c r="N5948" t="n">
        <v>0</v>
      </c>
      <c r="O5948" t="n">
        <v>0</v>
      </c>
      <c r="P5948" t="n">
        <v>0</v>
      </c>
      <c r="Q5948" t="n">
        <v>0</v>
      </c>
      <c r="R5948" s="2" t="inlineStr"/>
    </row>
    <row r="5949" ht="15" customHeight="1">
      <c r="A5949" t="inlineStr">
        <is>
          <t>A 5467-2024</t>
        </is>
      </c>
      <c r="B5949" s="1" t="n">
        <v>45332.60163194445</v>
      </c>
      <c r="C5949" s="1" t="n">
        <v>45952</v>
      </c>
      <c r="D5949" t="inlineStr">
        <is>
          <t>VÄSTRA GÖTALANDS LÄN</t>
        </is>
      </c>
      <c r="E5949" t="inlineStr">
        <is>
          <t>MARK</t>
        </is>
      </c>
      <c r="G5949" t="n">
        <v>0.7</v>
      </c>
      <c r="H5949" t="n">
        <v>0</v>
      </c>
      <c r="I5949" t="n">
        <v>0</v>
      </c>
      <c r="J5949" t="n">
        <v>0</v>
      </c>
      <c r="K5949" t="n">
        <v>0</v>
      </c>
      <c r="L5949" t="n">
        <v>0</v>
      </c>
      <c r="M5949" t="n">
        <v>0</v>
      </c>
      <c r="N5949" t="n">
        <v>0</v>
      </c>
      <c r="O5949" t="n">
        <v>0</v>
      </c>
      <c r="P5949" t="n">
        <v>0</v>
      </c>
      <c r="Q5949" t="n">
        <v>0</v>
      </c>
      <c r="R5949" s="2" t="inlineStr"/>
    </row>
    <row r="5950" ht="15" customHeight="1">
      <c r="A5950" t="inlineStr">
        <is>
          <t>A 5487-2024</t>
        </is>
      </c>
      <c r="B5950" s="1" t="n">
        <v>45334.28350694444</v>
      </c>
      <c r="C5950" s="1" t="n">
        <v>45952</v>
      </c>
      <c r="D5950" t="inlineStr">
        <is>
          <t>VÄSTRA GÖTALANDS LÄN</t>
        </is>
      </c>
      <c r="E5950" t="inlineStr">
        <is>
          <t>FALKÖPING</t>
        </is>
      </c>
      <c r="G5950" t="n">
        <v>4.2</v>
      </c>
      <c r="H5950" t="n">
        <v>0</v>
      </c>
      <c r="I5950" t="n">
        <v>0</v>
      </c>
      <c r="J5950" t="n">
        <v>0</v>
      </c>
      <c r="K5950" t="n">
        <v>0</v>
      </c>
      <c r="L5950" t="n">
        <v>0</v>
      </c>
      <c r="M5950" t="n">
        <v>0</v>
      </c>
      <c r="N5950" t="n">
        <v>0</v>
      </c>
      <c r="O5950" t="n">
        <v>0</v>
      </c>
      <c r="P5950" t="n">
        <v>0</v>
      </c>
      <c r="Q5950" t="n">
        <v>0</v>
      </c>
      <c r="R5950" s="2" t="inlineStr"/>
    </row>
    <row r="5951" ht="15" customHeight="1">
      <c r="A5951" t="inlineStr">
        <is>
          <t>A 41013-2023</t>
        </is>
      </c>
      <c r="B5951" s="1" t="n">
        <v>45169</v>
      </c>
      <c r="C5951" s="1" t="n">
        <v>45952</v>
      </c>
      <c r="D5951" t="inlineStr">
        <is>
          <t>VÄSTRA GÖTALANDS LÄN</t>
        </is>
      </c>
      <c r="E5951" t="inlineStr">
        <is>
          <t>ÅMÅL</t>
        </is>
      </c>
      <c r="G5951" t="n">
        <v>7.5</v>
      </c>
      <c r="H5951" t="n">
        <v>0</v>
      </c>
      <c r="I5951" t="n">
        <v>0</v>
      </c>
      <c r="J5951" t="n">
        <v>0</v>
      </c>
      <c r="K5951" t="n">
        <v>0</v>
      </c>
      <c r="L5951" t="n">
        <v>0</v>
      </c>
      <c r="M5951" t="n">
        <v>0</v>
      </c>
      <c r="N5951" t="n">
        <v>0</v>
      </c>
      <c r="O5951" t="n">
        <v>0</v>
      </c>
      <c r="P5951" t="n">
        <v>0</v>
      </c>
      <c r="Q5951" t="n">
        <v>0</v>
      </c>
      <c r="R5951" s="2" t="inlineStr"/>
    </row>
    <row r="5952" ht="15" customHeight="1">
      <c r="A5952" t="inlineStr">
        <is>
          <t>A 17144-2024</t>
        </is>
      </c>
      <c r="B5952" s="1" t="n">
        <v>45412.63944444444</v>
      </c>
      <c r="C5952" s="1" t="n">
        <v>45952</v>
      </c>
      <c r="D5952" t="inlineStr">
        <is>
          <t>VÄSTRA GÖTALANDS LÄN</t>
        </is>
      </c>
      <c r="E5952" t="inlineStr">
        <is>
          <t>DALS-ED</t>
        </is>
      </c>
      <c r="G5952" t="n">
        <v>0.4</v>
      </c>
      <c r="H5952" t="n">
        <v>0</v>
      </c>
      <c r="I5952" t="n">
        <v>0</v>
      </c>
      <c r="J5952" t="n">
        <v>0</v>
      </c>
      <c r="K5952" t="n">
        <v>0</v>
      </c>
      <c r="L5952" t="n">
        <v>0</v>
      </c>
      <c r="M5952" t="n">
        <v>0</v>
      </c>
      <c r="N5952" t="n">
        <v>0</v>
      </c>
      <c r="O5952" t="n">
        <v>0</v>
      </c>
      <c r="P5952" t="n">
        <v>0</v>
      </c>
      <c r="Q5952" t="n">
        <v>0</v>
      </c>
      <c r="R5952" s="2" t="inlineStr"/>
    </row>
    <row r="5953" ht="15" customHeight="1">
      <c r="A5953" t="inlineStr">
        <is>
          <t>A 5663-2025</t>
        </is>
      </c>
      <c r="B5953" s="1" t="n">
        <v>45693.82982638889</v>
      </c>
      <c r="C5953" s="1" t="n">
        <v>45952</v>
      </c>
      <c r="D5953" t="inlineStr">
        <is>
          <t>VÄSTRA GÖTALANDS LÄN</t>
        </is>
      </c>
      <c r="E5953" t="inlineStr">
        <is>
          <t>VÅRGÅRDA</t>
        </is>
      </c>
      <c r="G5953" t="n">
        <v>8.199999999999999</v>
      </c>
      <c r="H5953" t="n">
        <v>0</v>
      </c>
      <c r="I5953" t="n">
        <v>0</v>
      </c>
      <c r="J5953" t="n">
        <v>0</v>
      </c>
      <c r="K5953" t="n">
        <v>0</v>
      </c>
      <c r="L5953" t="n">
        <v>0</v>
      </c>
      <c r="M5953" t="n">
        <v>0</v>
      </c>
      <c r="N5953" t="n">
        <v>0</v>
      </c>
      <c r="O5953" t="n">
        <v>0</v>
      </c>
      <c r="P5953" t="n">
        <v>0</v>
      </c>
      <c r="Q5953" t="n">
        <v>0</v>
      </c>
      <c r="R5953" s="2" t="inlineStr"/>
    </row>
    <row r="5954" ht="15" customHeight="1">
      <c r="A5954" t="inlineStr">
        <is>
          <t>A 41156-2024</t>
        </is>
      </c>
      <c r="B5954" s="1" t="n">
        <v>45559.47763888889</v>
      </c>
      <c r="C5954" s="1" t="n">
        <v>45952</v>
      </c>
      <c r="D5954" t="inlineStr">
        <is>
          <t>VÄSTRA GÖTALANDS LÄN</t>
        </is>
      </c>
      <c r="E5954" t="inlineStr">
        <is>
          <t>UDDEVALLA</t>
        </is>
      </c>
      <c r="G5954" t="n">
        <v>9.4</v>
      </c>
      <c r="H5954" t="n">
        <v>0</v>
      </c>
      <c r="I5954" t="n">
        <v>0</v>
      </c>
      <c r="J5954" t="n">
        <v>0</v>
      </c>
      <c r="K5954" t="n">
        <v>0</v>
      </c>
      <c r="L5954" t="n">
        <v>0</v>
      </c>
      <c r="M5954" t="n">
        <v>0</v>
      </c>
      <c r="N5954" t="n">
        <v>0</v>
      </c>
      <c r="O5954" t="n">
        <v>0</v>
      </c>
      <c r="P5954" t="n">
        <v>0</v>
      </c>
      <c r="Q5954" t="n">
        <v>0</v>
      </c>
      <c r="R5954" s="2" t="inlineStr"/>
    </row>
    <row r="5955" ht="15" customHeight="1">
      <c r="A5955" t="inlineStr">
        <is>
          <t>A 54006-2022</t>
        </is>
      </c>
      <c r="B5955" s="1" t="n">
        <v>44881.40414351852</v>
      </c>
      <c r="C5955" s="1" t="n">
        <v>45952</v>
      </c>
      <c r="D5955" t="inlineStr">
        <is>
          <t>VÄSTRA GÖTALANDS LÄN</t>
        </is>
      </c>
      <c r="E5955" t="inlineStr">
        <is>
          <t>VÄNERSBORG</t>
        </is>
      </c>
      <c r="G5955" t="n">
        <v>4.2</v>
      </c>
      <c r="H5955" t="n">
        <v>0</v>
      </c>
      <c r="I5955" t="n">
        <v>0</v>
      </c>
      <c r="J5955" t="n">
        <v>0</v>
      </c>
      <c r="K5955" t="n">
        <v>0</v>
      </c>
      <c r="L5955" t="n">
        <v>0</v>
      </c>
      <c r="M5955" t="n">
        <v>0</v>
      </c>
      <c r="N5955" t="n">
        <v>0</v>
      </c>
      <c r="O5955" t="n">
        <v>0</v>
      </c>
      <c r="P5955" t="n">
        <v>0</v>
      </c>
      <c r="Q5955" t="n">
        <v>0</v>
      </c>
      <c r="R5955" s="2" t="inlineStr"/>
    </row>
    <row r="5956" ht="15" customHeight="1">
      <c r="A5956" t="inlineStr">
        <is>
          <t>A 27944-2021</t>
        </is>
      </c>
      <c r="B5956" s="1" t="n">
        <v>44354.87269675926</v>
      </c>
      <c r="C5956" s="1" t="n">
        <v>45952</v>
      </c>
      <c r="D5956" t="inlineStr">
        <is>
          <t>VÄSTRA GÖTALANDS LÄN</t>
        </is>
      </c>
      <c r="E5956" t="inlineStr">
        <is>
          <t>BORÅS</t>
        </is>
      </c>
      <c r="G5956" t="n">
        <v>1.5</v>
      </c>
      <c r="H5956" t="n">
        <v>0</v>
      </c>
      <c r="I5956" t="n">
        <v>0</v>
      </c>
      <c r="J5956" t="n">
        <v>0</v>
      </c>
      <c r="K5956" t="n">
        <v>0</v>
      </c>
      <c r="L5956" t="n">
        <v>0</v>
      </c>
      <c r="M5956" t="n">
        <v>0</v>
      </c>
      <c r="N5956" t="n">
        <v>0</v>
      </c>
      <c r="O5956" t="n">
        <v>0</v>
      </c>
      <c r="P5956" t="n">
        <v>0</v>
      </c>
      <c r="Q5956" t="n">
        <v>0</v>
      </c>
      <c r="R5956" s="2" t="inlineStr"/>
    </row>
    <row r="5957" ht="15" customHeight="1">
      <c r="A5957" t="inlineStr">
        <is>
          <t>A 59463-2024</t>
        </is>
      </c>
      <c r="B5957" s="1" t="n">
        <v>45638.48190972222</v>
      </c>
      <c r="C5957" s="1" t="n">
        <v>45952</v>
      </c>
      <c r="D5957" t="inlineStr">
        <is>
          <t>VÄSTRA GÖTALANDS LÄN</t>
        </is>
      </c>
      <c r="E5957" t="inlineStr">
        <is>
          <t>BORÅS</t>
        </is>
      </c>
      <c r="G5957" t="n">
        <v>0.6</v>
      </c>
      <c r="H5957" t="n">
        <v>0</v>
      </c>
      <c r="I5957" t="n">
        <v>0</v>
      </c>
      <c r="J5957" t="n">
        <v>0</v>
      </c>
      <c r="K5957" t="n">
        <v>0</v>
      </c>
      <c r="L5957" t="n">
        <v>0</v>
      </c>
      <c r="M5957" t="n">
        <v>0</v>
      </c>
      <c r="N5957" t="n">
        <v>0</v>
      </c>
      <c r="O5957" t="n">
        <v>0</v>
      </c>
      <c r="P5957" t="n">
        <v>0</v>
      </c>
      <c r="Q5957" t="n">
        <v>0</v>
      </c>
      <c r="R5957" s="2" t="inlineStr"/>
    </row>
    <row r="5958" ht="15" customHeight="1">
      <c r="A5958" t="inlineStr">
        <is>
          <t>A 59506-2024</t>
        </is>
      </c>
      <c r="B5958" s="1" t="n">
        <v>45637</v>
      </c>
      <c r="C5958" s="1" t="n">
        <v>45952</v>
      </c>
      <c r="D5958" t="inlineStr">
        <is>
          <t>VÄSTRA GÖTALANDS LÄN</t>
        </is>
      </c>
      <c r="E5958" t="inlineStr">
        <is>
          <t>TANUM</t>
        </is>
      </c>
      <c r="G5958" t="n">
        <v>1</v>
      </c>
      <c r="H5958" t="n">
        <v>0</v>
      </c>
      <c r="I5958" t="n">
        <v>0</v>
      </c>
      <c r="J5958" t="n">
        <v>0</v>
      </c>
      <c r="K5958" t="n">
        <v>0</v>
      </c>
      <c r="L5958" t="n">
        <v>0</v>
      </c>
      <c r="M5958" t="n">
        <v>0</v>
      </c>
      <c r="N5958" t="n">
        <v>0</v>
      </c>
      <c r="O5958" t="n">
        <v>0</v>
      </c>
      <c r="P5958" t="n">
        <v>0</v>
      </c>
      <c r="Q5958" t="n">
        <v>0</v>
      </c>
      <c r="R5958" s="2" t="inlineStr"/>
    </row>
    <row r="5959" ht="15" customHeight="1">
      <c r="A5959" t="inlineStr">
        <is>
          <t>A 19802-2023</t>
        </is>
      </c>
      <c r="B5959" s="1" t="n">
        <v>45051.6987037037</v>
      </c>
      <c r="C5959" s="1" t="n">
        <v>45952</v>
      </c>
      <c r="D5959" t="inlineStr">
        <is>
          <t>VÄSTRA GÖTALANDS LÄN</t>
        </is>
      </c>
      <c r="E5959" t="inlineStr">
        <is>
          <t>HERRLJUNGA</t>
        </is>
      </c>
      <c r="G5959" t="n">
        <v>1.5</v>
      </c>
      <c r="H5959" t="n">
        <v>0</v>
      </c>
      <c r="I5959" t="n">
        <v>0</v>
      </c>
      <c r="J5959" t="n">
        <v>0</v>
      </c>
      <c r="K5959" t="n">
        <v>0</v>
      </c>
      <c r="L5959" t="n">
        <v>0</v>
      </c>
      <c r="M5959" t="n">
        <v>0</v>
      </c>
      <c r="N5959" t="n">
        <v>0</v>
      </c>
      <c r="O5959" t="n">
        <v>0</v>
      </c>
      <c r="P5959" t="n">
        <v>0</v>
      </c>
      <c r="Q5959" t="n">
        <v>0</v>
      </c>
      <c r="R5959" s="2" t="inlineStr"/>
    </row>
    <row r="5960" ht="15" customHeight="1">
      <c r="A5960" t="inlineStr">
        <is>
          <t>A 35720-2022</t>
        </is>
      </c>
      <c r="B5960" s="1" t="n">
        <v>44799.68061342592</v>
      </c>
      <c r="C5960" s="1" t="n">
        <v>45952</v>
      </c>
      <c r="D5960" t="inlineStr">
        <is>
          <t>VÄSTRA GÖTALANDS LÄN</t>
        </is>
      </c>
      <c r="E5960" t="inlineStr">
        <is>
          <t>TANUM</t>
        </is>
      </c>
      <c r="G5960" t="n">
        <v>7.3</v>
      </c>
      <c r="H5960" t="n">
        <v>0</v>
      </c>
      <c r="I5960" t="n">
        <v>0</v>
      </c>
      <c r="J5960" t="n">
        <v>0</v>
      </c>
      <c r="K5960" t="n">
        <v>0</v>
      </c>
      <c r="L5960" t="n">
        <v>0</v>
      </c>
      <c r="M5960" t="n">
        <v>0</v>
      </c>
      <c r="N5960" t="n">
        <v>0</v>
      </c>
      <c r="O5960" t="n">
        <v>0</v>
      </c>
      <c r="P5960" t="n">
        <v>0</v>
      </c>
      <c r="Q5960" t="n">
        <v>0</v>
      </c>
      <c r="R5960" s="2" t="inlineStr"/>
    </row>
    <row r="5961" ht="15" customHeight="1">
      <c r="A5961" t="inlineStr">
        <is>
          <t>A 14722-2025</t>
        </is>
      </c>
      <c r="B5961" s="1" t="n">
        <v>45742.62731481482</v>
      </c>
      <c r="C5961" s="1" t="n">
        <v>45952</v>
      </c>
      <c r="D5961" t="inlineStr">
        <is>
          <t>VÄSTRA GÖTALANDS LÄN</t>
        </is>
      </c>
      <c r="E5961" t="inlineStr">
        <is>
          <t>TÖREBODA</t>
        </is>
      </c>
      <c r="G5961" t="n">
        <v>1.9</v>
      </c>
      <c r="H5961" t="n">
        <v>0</v>
      </c>
      <c r="I5961" t="n">
        <v>0</v>
      </c>
      <c r="J5961" t="n">
        <v>0</v>
      </c>
      <c r="K5961" t="n">
        <v>0</v>
      </c>
      <c r="L5961" t="n">
        <v>0</v>
      </c>
      <c r="M5961" t="n">
        <v>0</v>
      </c>
      <c r="N5961" t="n">
        <v>0</v>
      </c>
      <c r="O5961" t="n">
        <v>0</v>
      </c>
      <c r="P5961" t="n">
        <v>0</v>
      </c>
      <c r="Q5961" t="n">
        <v>0</v>
      </c>
      <c r="R5961" s="2" t="inlineStr"/>
    </row>
    <row r="5962" ht="15" customHeight="1">
      <c r="A5962" t="inlineStr">
        <is>
          <t>A 2386-2023</t>
        </is>
      </c>
      <c r="B5962" s="1" t="n">
        <v>44942.71665509259</v>
      </c>
      <c r="C5962" s="1" t="n">
        <v>45952</v>
      </c>
      <c r="D5962" t="inlineStr">
        <is>
          <t>VÄSTRA GÖTALANDS LÄN</t>
        </is>
      </c>
      <c r="E5962" t="inlineStr">
        <is>
          <t>MARIESTAD</t>
        </is>
      </c>
      <c r="G5962" t="n">
        <v>0.8</v>
      </c>
      <c r="H5962" t="n">
        <v>0</v>
      </c>
      <c r="I5962" t="n">
        <v>0</v>
      </c>
      <c r="J5962" t="n">
        <v>0</v>
      </c>
      <c r="K5962" t="n">
        <v>0</v>
      </c>
      <c r="L5962" t="n">
        <v>0</v>
      </c>
      <c r="M5962" t="n">
        <v>0</v>
      </c>
      <c r="N5962" t="n">
        <v>0</v>
      </c>
      <c r="O5962" t="n">
        <v>0</v>
      </c>
      <c r="P5962" t="n">
        <v>0</v>
      </c>
      <c r="Q5962" t="n">
        <v>0</v>
      </c>
      <c r="R5962" s="2" t="inlineStr"/>
    </row>
    <row r="5963" ht="15" customHeight="1">
      <c r="A5963" t="inlineStr">
        <is>
          <t>A 52886-2023</t>
        </is>
      </c>
      <c r="B5963" s="1" t="n">
        <v>45226.47944444444</v>
      </c>
      <c r="C5963" s="1" t="n">
        <v>45952</v>
      </c>
      <c r="D5963" t="inlineStr">
        <is>
          <t>VÄSTRA GÖTALANDS LÄN</t>
        </is>
      </c>
      <c r="E5963" t="inlineStr">
        <is>
          <t>FALKÖPING</t>
        </is>
      </c>
      <c r="G5963" t="n">
        <v>0.9</v>
      </c>
      <c r="H5963" t="n">
        <v>0</v>
      </c>
      <c r="I5963" t="n">
        <v>0</v>
      </c>
      <c r="J5963" t="n">
        <v>0</v>
      </c>
      <c r="K5963" t="n">
        <v>0</v>
      </c>
      <c r="L5963" t="n">
        <v>0</v>
      </c>
      <c r="M5963" t="n">
        <v>0</v>
      </c>
      <c r="N5963" t="n">
        <v>0</v>
      </c>
      <c r="O5963" t="n">
        <v>0</v>
      </c>
      <c r="P5963" t="n">
        <v>0</v>
      </c>
      <c r="Q5963" t="n">
        <v>0</v>
      </c>
      <c r="R5963" s="2" t="inlineStr"/>
    </row>
    <row r="5964" ht="15" customHeight="1">
      <c r="A5964" t="inlineStr">
        <is>
          <t>A 37267-2024</t>
        </is>
      </c>
      <c r="B5964" s="1" t="n">
        <v>45540.38583333333</v>
      </c>
      <c r="C5964" s="1" t="n">
        <v>45952</v>
      </c>
      <c r="D5964" t="inlineStr">
        <is>
          <t>VÄSTRA GÖTALANDS LÄN</t>
        </is>
      </c>
      <c r="E5964" t="inlineStr">
        <is>
          <t>MELLERUD</t>
        </is>
      </c>
      <c r="G5964" t="n">
        <v>4.2</v>
      </c>
      <c r="H5964" t="n">
        <v>0</v>
      </c>
      <c r="I5964" t="n">
        <v>0</v>
      </c>
      <c r="J5964" t="n">
        <v>0</v>
      </c>
      <c r="K5964" t="n">
        <v>0</v>
      </c>
      <c r="L5964" t="n">
        <v>0</v>
      </c>
      <c r="M5964" t="n">
        <v>0</v>
      </c>
      <c r="N5964" t="n">
        <v>0</v>
      </c>
      <c r="O5964" t="n">
        <v>0</v>
      </c>
      <c r="P5964" t="n">
        <v>0</v>
      </c>
      <c r="Q5964" t="n">
        <v>0</v>
      </c>
      <c r="R5964" s="2" t="inlineStr"/>
    </row>
    <row r="5965" ht="15" customHeight="1">
      <c r="A5965" t="inlineStr">
        <is>
          <t>A 43364-2024</t>
        </is>
      </c>
      <c r="B5965" s="1" t="n">
        <v>45568.58287037037</v>
      </c>
      <c r="C5965" s="1" t="n">
        <v>45952</v>
      </c>
      <c r="D5965" t="inlineStr">
        <is>
          <t>VÄSTRA GÖTALANDS LÄN</t>
        </is>
      </c>
      <c r="E5965" t="inlineStr">
        <is>
          <t>TANUM</t>
        </is>
      </c>
      <c r="G5965" t="n">
        <v>0.7</v>
      </c>
      <c r="H5965" t="n">
        <v>0</v>
      </c>
      <c r="I5965" t="n">
        <v>0</v>
      </c>
      <c r="J5965" t="n">
        <v>0</v>
      </c>
      <c r="K5965" t="n">
        <v>0</v>
      </c>
      <c r="L5965" t="n">
        <v>0</v>
      </c>
      <c r="M5965" t="n">
        <v>0</v>
      </c>
      <c r="N5965" t="n">
        <v>0</v>
      </c>
      <c r="O5965" t="n">
        <v>0</v>
      </c>
      <c r="P5965" t="n">
        <v>0</v>
      </c>
      <c r="Q5965" t="n">
        <v>0</v>
      </c>
      <c r="R5965" s="2" t="inlineStr"/>
    </row>
    <row r="5966" ht="15" customHeight="1">
      <c r="A5966" t="inlineStr">
        <is>
          <t>A 2028-2023</t>
        </is>
      </c>
      <c r="B5966" s="1" t="n">
        <v>44937</v>
      </c>
      <c r="C5966" s="1" t="n">
        <v>45952</v>
      </c>
      <c r="D5966" t="inlineStr">
        <is>
          <t>VÄSTRA GÖTALANDS LÄN</t>
        </is>
      </c>
      <c r="E5966" t="inlineStr">
        <is>
          <t>SVENLJUNGA</t>
        </is>
      </c>
      <c r="G5966" t="n">
        <v>3.1</v>
      </c>
      <c r="H5966" t="n">
        <v>0</v>
      </c>
      <c r="I5966" t="n">
        <v>0</v>
      </c>
      <c r="J5966" t="n">
        <v>0</v>
      </c>
      <c r="K5966" t="n">
        <v>0</v>
      </c>
      <c r="L5966" t="n">
        <v>0</v>
      </c>
      <c r="M5966" t="n">
        <v>0</v>
      </c>
      <c r="N5966" t="n">
        <v>0</v>
      </c>
      <c r="O5966" t="n">
        <v>0</v>
      </c>
      <c r="P5966" t="n">
        <v>0</v>
      </c>
      <c r="Q5966" t="n">
        <v>0</v>
      </c>
      <c r="R5966" s="2" t="inlineStr"/>
    </row>
    <row r="5967" ht="15" customHeight="1">
      <c r="A5967" t="inlineStr">
        <is>
          <t>A 18647-2025</t>
        </is>
      </c>
      <c r="B5967" s="1" t="n">
        <v>45763.57391203703</v>
      </c>
      <c r="C5967" s="1" t="n">
        <v>45952</v>
      </c>
      <c r="D5967" t="inlineStr">
        <is>
          <t>VÄSTRA GÖTALANDS LÄN</t>
        </is>
      </c>
      <c r="E5967" t="inlineStr">
        <is>
          <t>GÖTENE</t>
        </is>
      </c>
      <c r="F5967" t="inlineStr">
        <is>
          <t>Kommuner</t>
        </is>
      </c>
      <c r="G5967" t="n">
        <v>3.7</v>
      </c>
      <c r="H5967" t="n">
        <v>0</v>
      </c>
      <c r="I5967" t="n">
        <v>0</v>
      </c>
      <c r="J5967" t="n">
        <v>0</v>
      </c>
      <c r="K5967" t="n">
        <v>0</v>
      </c>
      <c r="L5967" t="n">
        <v>0</v>
      </c>
      <c r="M5967" t="n">
        <v>0</v>
      </c>
      <c r="N5967" t="n">
        <v>0</v>
      </c>
      <c r="O5967" t="n">
        <v>0</v>
      </c>
      <c r="P5967" t="n">
        <v>0</v>
      </c>
      <c r="Q5967" t="n">
        <v>0</v>
      </c>
      <c r="R5967" s="2" t="inlineStr"/>
    </row>
    <row r="5968" ht="15" customHeight="1">
      <c r="A5968" t="inlineStr">
        <is>
          <t>A 39559-2023</t>
        </is>
      </c>
      <c r="B5968" s="1" t="n">
        <v>45167</v>
      </c>
      <c r="C5968" s="1" t="n">
        <v>45952</v>
      </c>
      <c r="D5968" t="inlineStr">
        <is>
          <t>VÄSTRA GÖTALANDS LÄN</t>
        </is>
      </c>
      <c r="E5968" t="inlineStr">
        <is>
          <t>UDDEVALLA</t>
        </is>
      </c>
      <c r="G5968" t="n">
        <v>1.3</v>
      </c>
      <c r="H5968" t="n">
        <v>0</v>
      </c>
      <c r="I5968" t="n">
        <v>0</v>
      </c>
      <c r="J5968" t="n">
        <v>0</v>
      </c>
      <c r="K5968" t="n">
        <v>0</v>
      </c>
      <c r="L5968" t="n">
        <v>0</v>
      </c>
      <c r="M5968" t="n">
        <v>0</v>
      </c>
      <c r="N5968" t="n">
        <v>0</v>
      </c>
      <c r="O5968" t="n">
        <v>0</v>
      </c>
      <c r="P5968" t="n">
        <v>0</v>
      </c>
      <c r="Q5968" t="n">
        <v>0</v>
      </c>
      <c r="R5968" s="2" t="inlineStr"/>
    </row>
    <row r="5969" ht="15" customHeight="1">
      <c r="A5969" t="inlineStr">
        <is>
          <t>A 12024-2024</t>
        </is>
      </c>
      <c r="B5969" s="1" t="n">
        <v>45377</v>
      </c>
      <c r="C5969" s="1" t="n">
        <v>45952</v>
      </c>
      <c r="D5969" t="inlineStr">
        <is>
          <t>VÄSTRA GÖTALANDS LÄN</t>
        </is>
      </c>
      <c r="E5969" t="inlineStr">
        <is>
          <t>VARA</t>
        </is>
      </c>
      <c r="G5969" t="n">
        <v>0.9</v>
      </c>
      <c r="H5969" t="n">
        <v>0</v>
      </c>
      <c r="I5969" t="n">
        <v>0</v>
      </c>
      <c r="J5969" t="n">
        <v>0</v>
      </c>
      <c r="K5969" t="n">
        <v>0</v>
      </c>
      <c r="L5969" t="n">
        <v>0</v>
      </c>
      <c r="M5969" t="n">
        <v>0</v>
      </c>
      <c r="N5969" t="n">
        <v>0</v>
      </c>
      <c r="O5969" t="n">
        <v>0</v>
      </c>
      <c r="P5969" t="n">
        <v>0</v>
      </c>
      <c r="Q5969" t="n">
        <v>0</v>
      </c>
      <c r="R5969" s="2" t="inlineStr"/>
    </row>
    <row r="5970" ht="15" customHeight="1">
      <c r="A5970" t="inlineStr">
        <is>
          <t>A 52626-2023</t>
        </is>
      </c>
      <c r="B5970" s="1" t="n">
        <v>45225.63690972222</v>
      </c>
      <c r="C5970" s="1" t="n">
        <v>45952</v>
      </c>
      <c r="D5970" t="inlineStr">
        <is>
          <t>VÄSTRA GÖTALANDS LÄN</t>
        </is>
      </c>
      <c r="E5970" t="inlineStr">
        <is>
          <t>MARIESTAD</t>
        </is>
      </c>
      <c r="G5970" t="n">
        <v>1.1</v>
      </c>
      <c r="H5970" t="n">
        <v>0</v>
      </c>
      <c r="I5970" t="n">
        <v>0</v>
      </c>
      <c r="J5970" t="n">
        <v>0</v>
      </c>
      <c r="K5970" t="n">
        <v>0</v>
      </c>
      <c r="L5970" t="n">
        <v>0</v>
      </c>
      <c r="M5970" t="n">
        <v>0</v>
      </c>
      <c r="N5970" t="n">
        <v>0</v>
      </c>
      <c r="O5970" t="n">
        <v>0</v>
      </c>
      <c r="P5970" t="n">
        <v>0</v>
      </c>
      <c r="Q5970" t="n">
        <v>0</v>
      </c>
      <c r="R5970" s="2" t="inlineStr"/>
    </row>
    <row r="5971" ht="15" customHeight="1">
      <c r="A5971" t="inlineStr">
        <is>
          <t>A 45834-2023</t>
        </is>
      </c>
      <c r="B5971" s="1" t="n">
        <v>45195.56408564815</v>
      </c>
      <c r="C5971" s="1" t="n">
        <v>45952</v>
      </c>
      <c r="D5971" t="inlineStr">
        <is>
          <t>VÄSTRA GÖTALANDS LÄN</t>
        </is>
      </c>
      <c r="E5971" t="inlineStr">
        <is>
          <t>MELLERUD</t>
        </is>
      </c>
      <c r="G5971" t="n">
        <v>1</v>
      </c>
      <c r="H5971" t="n">
        <v>0</v>
      </c>
      <c r="I5971" t="n">
        <v>0</v>
      </c>
      <c r="J5971" t="n">
        <v>0</v>
      </c>
      <c r="K5971" t="n">
        <v>0</v>
      </c>
      <c r="L5971" t="n">
        <v>0</v>
      </c>
      <c r="M5971" t="n">
        <v>0</v>
      </c>
      <c r="N5971" t="n">
        <v>0</v>
      </c>
      <c r="O5971" t="n">
        <v>0</v>
      </c>
      <c r="P5971" t="n">
        <v>0</v>
      </c>
      <c r="Q5971" t="n">
        <v>0</v>
      </c>
      <c r="R5971" s="2" t="inlineStr"/>
    </row>
    <row r="5972" ht="15" customHeight="1">
      <c r="A5972" t="inlineStr">
        <is>
          <t>A 44219-2023</t>
        </is>
      </c>
      <c r="B5972" s="1" t="n">
        <v>45188.55583333333</v>
      </c>
      <c r="C5972" s="1" t="n">
        <v>45952</v>
      </c>
      <c r="D5972" t="inlineStr">
        <is>
          <t>VÄSTRA GÖTALANDS LÄN</t>
        </is>
      </c>
      <c r="E5972" t="inlineStr">
        <is>
          <t>MARIESTAD</t>
        </is>
      </c>
      <c r="F5972" t="inlineStr">
        <is>
          <t>Sveaskog</t>
        </is>
      </c>
      <c r="G5972" t="n">
        <v>1.5</v>
      </c>
      <c r="H5972" t="n">
        <v>0</v>
      </c>
      <c r="I5972" t="n">
        <v>0</v>
      </c>
      <c r="J5972" t="n">
        <v>0</v>
      </c>
      <c r="K5972" t="n">
        <v>0</v>
      </c>
      <c r="L5972" t="n">
        <v>0</v>
      </c>
      <c r="M5972" t="n">
        <v>0</v>
      </c>
      <c r="N5972" t="n">
        <v>0</v>
      </c>
      <c r="O5972" t="n">
        <v>0</v>
      </c>
      <c r="P5972" t="n">
        <v>0</v>
      </c>
      <c r="Q5972" t="n">
        <v>0</v>
      </c>
      <c r="R5972" s="2" t="inlineStr"/>
    </row>
    <row r="5973" ht="15" customHeight="1">
      <c r="A5973" t="inlineStr">
        <is>
          <t>A 5852-2023</t>
        </is>
      </c>
      <c r="B5973" s="1" t="n">
        <v>44963</v>
      </c>
      <c r="C5973" s="1" t="n">
        <v>45952</v>
      </c>
      <c r="D5973" t="inlineStr">
        <is>
          <t>VÄSTRA GÖTALANDS LÄN</t>
        </is>
      </c>
      <c r="E5973" t="inlineStr">
        <is>
          <t>TRANEMO</t>
        </is>
      </c>
      <c r="G5973" t="n">
        <v>1.3</v>
      </c>
      <c r="H5973" t="n">
        <v>0</v>
      </c>
      <c r="I5973" t="n">
        <v>0</v>
      </c>
      <c r="J5973" t="n">
        <v>0</v>
      </c>
      <c r="K5973" t="n">
        <v>0</v>
      </c>
      <c r="L5973" t="n">
        <v>0</v>
      </c>
      <c r="M5973" t="n">
        <v>0</v>
      </c>
      <c r="N5973" t="n">
        <v>0</v>
      </c>
      <c r="O5973" t="n">
        <v>0</v>
      </c>
      <c r="P5973" t="n">
        <v>0</v>
      </c>
      <c r="Q5973" t="n">
        <v>0</v>
      </c>
      <c r="R5973" s="2" t="inlineStr"/>
    </row>
    <row r="5974" ht="15" customHeight="1">
      <c r="A5974" t="inlineStr">
        <is>
          <t>A 5866-2023</t>
        </is>
      </c>
      <c r="B5974" s="1" t="n">
        <v>44958</v>
      </c>
      <c r="C5974" s="1" t="n">
        <v>45952</v>
      </c>
      <c r="D5974" t="inlineStr">
        <is>
          <t>VÄSTRA GÖTALANDS LÄN</t>
        </is>
      </c>
      <c r="E5974" t="inlineStr">
        <is>
          <t>MUNKEDAL</t>
        </is>
      </c>
      <c r="G5974" t="n">
        <v>1.5</v>
      </c>
      <c r="H5974" t="n">
        <v>0</v>
      </c>
      <c r="I5974" t="n">
        <v>0</v>
      </c>
      <c r="J5974" t="n">
        <v>0</v>
      </c>
      <c r="K5974" t="n">
        <v>0</v>
      </c>
      <c r="L5974" t="n">
        <v>0</v>
      </c>
      <c r="M5974" t="n">
        <v>0</v>
      </c>
      <c r="N5974" t="n">
        <v>0</v>
      </c>
      <c r="O5974" t="n">
        <v>0</v>
      </c>
      <c r="P5974" t="n">
        <v>0</v>
      </c>
      <c r="Q5974" t="n">
        <v>0</v>
      </c>
      <c r="R5974" s="2" t="inlineStr"/>
    </row>
    <row r="5975" ht="15" customHeight="1">
      <c r="A5975" t="inlineStr">
        <is>
          <t>A 51463-2023</t>
        </is>
      </c>
      <c r="B5975" s="1" t="n">
        <v>45221.58049768519</v>
      </c>
      <c r="C5975" s="1" t="n">
        <v>45952</v>
      </c>
      <c r="D5975" t="inlineStr">
        <is>
          <t>VÄSTRA GÖTALANDS LÄN</t>
        </is>
      </c>
      <c r="E5975" t="inlineStr">
        <is>
          <t>MELLERUD</t>
        </is>
      </c>
      <c r="G5975" t="n">
        <v>2.3</v>
      </c>
      <c r="H5975" t="n">
        <v>0</v>
      </c>
      <c r="I5975" t="n">
        <v>0</v>
      </c>
      <c r="J5975" t="n">
        <v>0</v>
      </c>
      <c r="K5975" t="n">
        <v>0</v>
      </c>
      <c r="L5975" t="n">
        <v>0</v>
      </c>
      <c r="M5975" t="n">
        <v>0</v>
      </c>
      <c r="N5975" t="n">
        <v>0</v>
      </c>
      <c r="O5975" t="n">
        <v>0</v>
      </c>
      <c r="P5975" t="n">
        <v>0</v>
      </c>
      <c r="Q5975" t="n">
        <v>0</v>
      </c>
      <c r="R5975" s="2" t="inlineStr"/>
    </row>
    <row r="5976" ht="15" customHeight="1">
      <c r="A5976" t="inlineStr">
        <is>
          <t>A 51467-2023</t>
        </is>
      </c>
      <c r="B5976" s="1" t="n">
        <v>45221.75239583333</v>
      </c>
      <c r="C5976" s="1" t="n">
        <v>45952</v>
      </c>
      <c r="D5976" t="inlineStr">
        <is>
          <t>VÄSTRA GÖTALANDS LÄN</t>
        </is>
      </c>
      <c r="E5976" t="inlineStr">
        <is>
          <t>VARA</t>
        </is>
      </c>
      <c r="G5976" t="n">
        <v>0.6</v>
      </c>
      <c r="H5976" t="n">
        <v>0</v>
      </c>
      <c r="I5976" t="n">
        <v>0</v>
      </c>
      <c r="J5976" t="n">
        <v>0</v>
      </c>
      <c r="K5976" t="n">
        <v>0</v>
      </c>
      <c r="L5976" t="n">
        <v>0</v>
      </c>
      <c r="M5976" t="n">
        <v>0</v>
      </c>
      <c r="N5976" t="n">
        <v>0</v>
      </c>
      <c r="O5976" t="n">
        <v>0</v>
      </c>
      <c r="P5976" t="n">
        <v>0</v>
      </c>
      <c r="Q5976" t="n">
        <v>0</v>
      </c>
      <c r="R5976" s="2" t="inlineStr"/>
    </row>
    <row r="5977" ht="15" customHeight="1">
      <c r="A5977" t="inlineStr">
        <is>
          <t>A 17871-2024</t>
        </is>
      </c>
      <c r="B5977" s="1" t="n">
        <v>45419.44590277778</v>
      </c>
      <c r="C5977" s="1" t="n">
        <v>45952</v>
      </c>
      <c r="D5977" t="inlineStr">
        <is>
          <t>VÄSTRA GÖTALANDS LÄN</t>
        </is>
      </c>
      <c r="E5977" t="inlineStr">
        <is>
          <t>VÄNERSBORG</t>
        </is>
      </c>
      <c r="G5977" t="n">
        <v>1.3</v>
      </c>
      <c r="H5977" t="n">
        <v>0</v>
      </c>
      <c r="I5977" t="n">
        <v>0</v>
      </c>
      <c r="J5977" t="n">
        <v>0</v>
      </c>
      <c r="K5977" t="n">
        <v>0</v>
      </c>
      <c r="L5977" t="n">
        <v>0</v>
      </c>
      <c r="M5977" t="n">
        <v>0</v>
      </c>
      <c r="N5977" t="n">
        <v>0</v>
      </c>
      <c r="O5977" t="n">
        <v>0</v>
      </c>
      <c r="P5977" t="n">
        <v>0</v>
      </c>
      <c r="Q5977" t="n">
        <v>0</v>
      </c>
      <c r="R5977" s="2" t="inlineStr"/>
    </row>
    <row r="5978" ht="15" customHeight="1">
      <c r="A5978" t="inlineStr">
        <is>
          <t>A 3655-2023</t>
        </is>
      </c>
      <c r="B5978" s="1" t="n">
        <v>44950</v>
      </c>
      <c r="C5978" s="1" t="n">
        <v>45952</v>
      </c>
      <c r="D5978" t="inlineStr">
        <is>
          <t>VÄSTRA GÖTALANDS LÄN</t>
        </is>
      </c>
      <c r="E5978" t="inlineStr">
        <is>
          <t>MARK</t>
        </is>
      </c>
      <c r="F5978" t="inlineStr">
        <is>
          <t>Sveaskog</t>
        </is>
      </c>
      <c r="G5978" t="n">
        <v>1.1</v>
      </c>
      <c r="H5978" t="n">
        <v>0</v>
      </c>
      <c r="I5978" t="n">
        <v>0</v>
      </c>
      <c r="J5978" t="n">
        <v>0</v>
      </c>
      <c r="K5978" t="n">
        <v>0</v>
      </c>
      <c r="L5978" t="n">
        <v>0</v>
      </c>
      <c r="M5978" t="n">
        <v>0</v>
      </c>
      <c r="N5978" t="n">
        <v>0</v>
      </c>
      <c r="O5978" t="n">
        <v>0</v>
      </c>
      <c r="P5978" t="n">
        <v>0</v>
      </c>
      <c r="Q5978" t="n">
        <v>0</v>
      </c>
      <c r="R5978" s="2" t="inlineStr"/>
    </row>
    <row r="5979" ht="15" customHeight="1">
      <c r="A5979" t="inlineStr">
        <is>
          <t>A 3664-2023</t>
        </is>
      </c>
      <c r="B5979" s="1" t="n">
        <v>44950.83806712963</v>
      </c>
      <c r="C5979" s="1" t="n">
        <v>45952</v>
      </c>
      <c r="D5979" t="inlineStr">
        <is>
          <t>VÄSTRA GÖTALANDS LÄN</t>
        </is>
      </c>
      <c r="E5979" t="inlineStr">
        <is>
          <t>HERRLJUNGA</t>
        </is>
      </c>
      <c r="G5979" t="n">
        <v>4.5</v>
      </c>
      <c r="H5979" t="n">
        <v>0</v>
      </c>
      <c r="I5979" t="n">
        <v>0</v>
      </c>
      <c r="J5979" t="n">
        <v>0</v>
      </c>
      <c r="K5979" t="n">
        <v>0</v>
      </c>
      <c r="L5979" t="n">
        <v>0</v>
      </c>
      <c r="M5979" t="n">
        <v>0</v>
      </c>
      <c r="N5979" t="n">
        <v>0</v>
      </c>
      <c r="O5979" t="n">
        <v>0</v>
      </c>
      <c r="P5979" t="n">
        <v>0</v>
      </c>
      <c r="Q5979" t="n">
        <v>0</v>
      </c>
      <c r="R5979" s="2" t="inlineStr"/>
    </row>
    <row r="5980" ht="15" customHeight="1">
      <c r="A5980" t="inlineStr">
        <is>
          <t>A 57365-2022</t>
        </is>
      </c>
      <c r="B5980" s="1" t="n">
        <v>44896.43377314815</v>
      </c>
      <c r="C5980" s="1" t="n">
        <v>45952</v>
      </c>
      <c r="D5980" t="inlineStr">
        <is>
          <t>VÄSTRA GÖTALANDS LÄN</t>
        </is>
      </c>
      <c r="E5980" t="inlineStr">
        <is>
          <t>BORÅS</t>
        </is>
      </c>
      <c r="G5980" t="n">
        <v>3.3</v>
      </c>
      <c r="H5980" t="n">
        <v>0</v>
      </c>
      <c r="I5980" t="n">
        <v>0</v>
      </c>
      <c r="J5980" t="n">
        <v>0</v>
      </c>
      <c r="K5980" t="n">
        <v>0</v>
      </c>
      <c r="L5980" t="n">
        <v>0</v>
      </c>
      <c r="M5980" t="n">
        <v>0</v>
      </c>
      <c r="N5980" t="n">
        <v>0</v>
      </c>
      <c r="O5980" t="n">
        <v>0</v>
      </c>
      <c r="P5980" t="n">
        <v>0</v>
      </c>
      <c r="Q5980" t="n">
        <v>0</v>
      </c>
      <c r="R5980" s="2" t="inlineStr"/>
    </row>
    <row r="5981" ht="15" customHeight="1">
      <c r="A5981" t="inlineStr">
        <is>
          <t>A 57381-2022</t>
        </is>
      </c>
      <c r="B5981" s="1" t="n">
        <v>44896</v>
      </c>
      <c r="C5981" s="1" t="n">
        <v>45952</v>
      </c>
      <c r="D5981" t="inlineStr">
        <is>
          <t>VÄSTRA GÖTALANDS LÄN</t>
        </is>
      </c>
      <c r="E5981" t="inlineStr">
        <is>
          <t>LILLA EDET</t>
        </is>
      </c>
      <c r="G5981" t="n">
        <v>2.7</v>
      </c>
      <c r="H5981" t="n">
        <v>0</v>
      </c>
      <c r="I5981" t="n">
        <v>0</v>
      </c>
      <c r="J5981" t="n">
        <v>0</v>
      </c>
      <c r="K5981" t="n">
        <v>0</v>
      </c>
      <c r="L5981" t="n">
        <v>0</v>
      </c>
      <c r="M5981" t="n">
        <v>0</v>
      </c>
      <c r="N5981" t="n">
        <v>0</v>
      </c>
      <c r="O5981" t="n">
        <v>0</v>
      </c>
      <c r="P5981" t="n">
        <v>0</v>
      </c>
      <c r="Q5981" t="n">
        <v>0</v>
      </c>
      <c r="R5981" s="2" t="inlineStr"/>
    </row>
    <row r="5982" ht="15" customHeight="1">
      <c r="A5982" t="inlineStr">
        <is>
          <t>A 3131-2023</t>
        </is>
      </c>
      <c r="B5982" s="1" t="n">
        <v>44946</v>
      </c>
      <c r="C5982" s="1" t="n">
        <v>45952</v>
      </c>
      <c r="D5982" t="inlineStr">
        <is>
          <t>VÄSTRA GÖTALANDS LÄN</t>
        </is>
      </c>
      <c r="E5982" t="inlineStr">
        <is>
          <t>TANUM</t>
        </is>
      </c>
      <c r="G5982" t="n">
        <v>11.4</v>
      </c>
      <c r="H5982" t="n">
        <v>0</v>
      </c>
      <c r="I5982" t="n">
        <v>0</v>
      </c>
      <c r="J5982" t="n">
        <v>0</v>
      </c>
      <c r="K5982" t="n">
        <v>0</v>
      </c>
      <c r="L5982" t="n">
        <v>0</v>
      </c>
      <c r="M5982" t="n">
        <v>0</v>
      </c>
      <c r="N5982" t="n">
        <v>0</v>
      </c>
      <c r="O5982" t="n">
        <v>0</v>
      </c>
      <c r="P5982" t="n">
        <v>0</v>
      </c>
      <c r="Q5982" t="n">
        <v>0</v>
      </c>
      <c r="R5982" s="2" t="inlineStr"/>
    </row>
    <row r="5983" ht="15" customHeight="1">
      <c r="A5983" t="inlineStr">
        <is>
          <t>A 32198-2023</t>
        </is>
      </c>
      <c r="B5983" s="1" t="n">
        <v>45119.91186342593</v>
      </c>
      <c r="C5983" s="1" t="n">
        <v>45952</v>
      </c>
      <c r="D5983" t="inlineStr">
        <is>
          <t>VÄSTRA GÖTALANDS LÄN</t>
        </is>
      </c>
      <c r="E5983" t="inlineStr">
        <is>
          <t>BORÅS</t>
        </is>
      </c>
      <c r="G5983" t="n">
        <v>4.7</v>
      </c>
      <c r="H5983" t="n">
        <v>0</v>
      </c>
      <c r="I5983" t="n">
        <v>0</v>
      </c>
      <c r="J5983" t="n">
        <v>0</v>
      </c>
      <c r="K5983" t="n">
        <v>0</v>
      </c>
      <c r="L5983" t="n">
        <v>0</v>
      </c>
      <c r="M5983" t="n">
        <v>0</v>
      </c>
      <c r="N5983" t="n">
        <v>0</v>
      </c>
      <c r="O5983" t="n">
        <v>0</v>
      </c>
      <c r="P5983" t="n">
        <v>0</v>
      </c>
      <c r="Q5983" t="n">
        <v>0</v>
      </c>
      <c r="R5983" s="2" t="inlineStr"/>
    </row>
    <row r="5984" ht="15" customHeight="1">
      <c r="A5984" t="inlineStr">
        <is>
          <t>A 19759-2024</t>
        </is>
      </c>
      <c r="B5984" s="1" t="n">
        <v>45432.69586805555</v>
      </c>
      <c r="C5984" s="1" t="n">
        <v>45952</v>
      </c>
      <c r="D5984" t="inlineStr">
        <is>
          <t>VÄSTRA GÖTALANDS LÄN</t>
        </is>
      </c>
      <c r="E5984" t="inlineStr">
        <is>
          <t>LIDKÖPING</t>
        </is>
      </c>
      <c r="G5984" t="n">
        <v>0.9</v>
      </c>
      <c r="H5984" t="n">
        <v>0</v>
      </c>
      <c r="I5984" t="n">
        <v>0</v>
      </c>
      <c r="J5984" t="n">
        <v>0</v>
      </c>
      <c r="K5984" t="n">
        <v>0</v>
      </c>
      <c r="L5984" t="n">
        <v>0</v>
      </c>
      <c r="M5984" t="n">
        <v>0</v>
      </c>
      <c r="N5984" t="n">
        <v>0</v>
      </c>
      <c r="O5984" t="n">
        <v>0</v>
      </c>
      <c r="P5984" t="n">
        <v>0</v>
      </c>
      <c r="Q5984" t="n">
        <v>0</v>
      </c>
      <c r="R5984" s="2" t="inlineStr"/>
    </row>
    <row r="5985" ht="15" customHeight="1">
      <c r="A5985" t="inlineStr">
        <is>
          <t>A 23475-2023</t>
        </is>
      </c>
      <c r="B5985" s="1" t="n">
        <v>45076</v>
      </c>
      <c r="C5985" s="1" t="n">
        <v>45952</v>
      </c>
      <c r="D5985" t="inlineStr">
        <is>
          <t>VÄSTRA GÖTALANDS LÄN</t>
        </is>
      </c>
      <c r="E5985" t="inlineStr">
        <is>
          <t>FALKÖPING</t>
        </is>
      </c>
      <c r="G5985" t="n">
        <v>1.3</v>
      </c>
      <c r="H5985" t="n">
        <v>0</v>
      </c>
      <c r="I5985" t="n">
        <v>0</v>
      </c>
      <c r="J5985" t="n">
        <v>0</v>
      </c>
      <c r="K5985" t="n">
        <v>0</v>
      </c>
      <c r="L5985" t="n">
        <v>0</v>
      </c>
      <c r="M5985" t="n">
        <v>0</v>
      </c>
      <c r="N5985" t="n">
        <v>0</v>
      </c>
      <c r="O5985" t="n">
        <v>0</v>
      </c>
      <c r="P5985" t="n">
        <v>0</v>
      </c>
      <c r="Q5985" t="n">
        <v>0</v>
      </c>
      <c r="R5985" s="2" t="inlineStr"/>
    </row>
    <row r="5986" ht="15" customHeight="1">
      <c r="A5986" t="inlineStr">
        <is>
          <t>A 24432-2022</t>
        </is>
      </c>
      <c r="B5986" s="1" t="n">
        <v>44726</v>
      </c>
      <c r="C5986" s="1" t="n">
        <v>45952</v>
      </c>
      <c r="D5986" t="inlineStr">
        <is>
          <t>VÄSTRA GÖTALANDS LÄN</t>
        </is>
      </c>
      <c r="E5986" t="inlineStr">
        <is>
          <t>TROLLHÄTTAN</t>
        </is>
      </c>
      <c r="G5986" t="n">
        <v>1.3</v>
      </c>
      <c r="H5986" t="n">
        <v>0</v>
      </c>
      <c r="I5986" t="n">
        <v>0</v>
      </c>
      <c r="J5986" t="n">
        <v>0</v>
      </c>
      <c r="K5986" t="n">
        <v>0</v>
      </c>
      <c r="L5986" t="n">
        <v>0</v>
      </c>
      <c r="M5986" t="n">
        <v>0</v>
      </c>
      <c r="N5986" t="n">
        <v>0</v>
      </c>
      <c r="O5986" t="n">
        <v>0</v>
      </c>
      <c r="P5986" t="n">
        <v>0</v>
      </c>
      <c r="Q5986" t="n">
        <v>0</v>
      </c>
      <c r="R5986" s="2" t="inlineStr"/>
    </row>
    <row r="5987" ht="15" customHeight="1">
      <c r="A5987" t="inlineStr">
        <is>
          <t>A 34555-2024</t>
        </is>
      </c>
      <c r="B5987" s="1" t="n">
        <v>45525.9071875</v>
      </c>
      <c r="C5987" s="1" t="n">
        <v>45952</v>
      </c>
      <c r="D5987" t="inlineStr">
        <is>
          <t>VÄSTRA GÖTALANDS LÄN</t>
        </is>
      </c>
      <c r="E5987" t="inlineStr">
        <is>
          <t>STENUNGSUND</t>
        </is>
      </c>
      <c r="G5987" t="n">
        <v>3.1</v>
      </c>
      <c r="H5987" t="n">
        <v>0</v>
      </c>
      <c r="I5987" t="n">
        <v>0</v>
      </c>
      <c r="J5987" t="n">
        <v>0</v>
      </c>
      <c r="K5987" t="n">
        <v>0</v>
      </c>
      <c r="L5987" t="n">
        <v>0</v>
      </c>
      <c r="M5987" t="n">
        <v>0</v>
      </c>
      <c r="N5987" t="n">
        <v>0</v>
      </c>
      <c r="O5987" t="n">
        <v>0</v>
      </c>
      <c r="P5987" t="n">
        <v>0</v>
      </c>
      <c r="Q5987" t="n">
        <v>0</v>
      </c>
      <c r="R5987" s="2" t="inlineStr"/>
    </row>
    <row r="5988" ht="15" customHeight="1">
      <c r="A5988" t="inlineStr">
        <is>
          <t>A 7134-2022</t>
        </is>
      </c>
      <c r="B5988" s="1" t="n">
        <v>44603.69533564815</v>
      </c>
      <c r="C5988" s="1" t="n">
        <v>45952</v>
      </c>
      <c r="D5988" t="inlineStr">
        <is>
          <t>VÄSTRA GÖTALANDS LÄN</t>
        </is>
      </c>
      <c r="E5988" t="inlineStr">
        <is>
          <t>MARK</t>
        </is>
      </c>
      <c r="G5988" t="n">
        <v>1.7</v>
      </c>
      <c r="H5988" t="n">
        <v>0</v>
      </c>
      <c r="I5988" t="n">
        <v>0</v>
      </c>
      <c r="J5988" t="n">
        <v>0</v>
      </c>
      <c r="K5988" t="n">
        <v>0</v>
      </c>
      <c r="L5988" t="n">
        <v>0</v>
      </c>
      <c r="M5988" t="n">
        <v>0</v>
      </c>
      <c r="N5988" t="n">
        <v>0</v>
      </c>
      <c r="O5988" t="n">
        <v>0</v>
      </c>
      <c r="P5988" t="n">
        <v>0</v>
      </c>
      <c r="Q5988" t="n">
        <v>0</v>
      </c>
      <c r="R5988" s="2" t="inlineStr"/>
    </row>
    <row r="5989" ht="15" customHeight="1">
      <c r="A5989" t="inlineStr">
        <is>
          <t>A 2545-2024</t>
        </is>
      </c>
      <c r="B5989" s="1" t="n">
        <v>45313.57215277778</v>
      </c>
      <c r="C5989" s="1" t="n">
        <v>45952</v>
      </c>
      <c r="D5989" t="inlineStr">
        <is>
          <t>VÄSTRA GÖTALANDS LÄN</t>
        </is>
      </c>
      <c r="E5989" t="inlineStr">
        <is>
          <t>MUNKEDAL</t>
        </is>
      </c>
      <c r="G5989" t="n">
        <v>2</v>
      </c>
      <c r="H5989" t="n">
        <v>0</v>
      </c>
      <c r="I5989" t="n">
        <v>0</v>
      </c>
      <c r="J5989" t="n">
        <v>0</v>
      </c>
      <c r="K5989" t="n">
        <v>0</v>
      </c>
      <c r="L5989" t="n">
        <v>0</v>
      </c>
      <c r="M5989" t="n">
        <v>0</v>
      </c>
      <c r="N5989" t="n">
        <v>0</v>
      </c>
      <c r="O5989" t="n">
        <v>0</v>
      </c>
      <c r="P5989" t="n">
        <v>0</v>
      </c>
      <c r="Q5989" t="n">
        <v>0</v>
      </c>
      <c r="R5989" s="2" t="inlineStr"/>
    </row>
    <row r="5990" ht="15" customHeight="1">
      <c r="A5990" t="inlineStr">
        <is>
          <t>A 7182-2022</t>
        </is>
      </c>
      <c r="B5990" s="1" t="n">
        <v>44605.61115740741</v>
      </c>
      <c r="C5990" s="1" t="n">
        <v>45952</v>
      </c>
      <c r="D5990" t="inlineStr">
        <is>
          <t>VÄSTRA GÖTALANDS LÄN</t>
        </is>
      </c>
      <c r="E5990" t="inlineStr">
        <is>
          <t>HERRLJUNGA</t>
        </is>
      </c>
      <c r="G5990" t="n">
        <v>8.699999999999999</v>
      </c>
      <c r="H5990" t="n">
        <v>0</v>
      </c>
      <c r="I5990" t="n">
        <v>0</v>
      </c>
      <c r="J5990" t="n">
        <v>0</v>
      </c>
      <c r="K5990" t="n">
        <v>0</v>
      </c>
      <c r="L5990" t="n">
        <v>0</v>
      </c>
      <c r="M5990" t="n">
        <v>0</v>
      </c>
      <c r="N5990" t="n">
        <v>0</v>
      </c>
      <c r="O5990" t="n">
        <v>0</v>
      </c>
      <c r="P5990" t="n">
        <v>0</v>
      </c>
      <c r="Q5990" t="n">
        <v>0</v>
      </c>
      <c r="R5990" s="2" t="inlineStr"/>
    </row>
    <row r="5991" ht="15" customHeight="1">
      <c r="A5991" t="inlineStr">
        <is>
          <t>A 13960-2024</t>
        </is>
      </c>
      <c r="B5991" s="1" t="n">
        <v>45392</v>
      </c>
      <c r="C5991" s="1" t="n">
        <v>45952</v>
      </c>
      <c r="D5991" t="inlineStr">
        <is>
          <t>VÄSTRA GÖTALANDS LÄN</t>
        </is>
      </c>
      <c r="E5991" t="inlineStr">
        <is>
          <t>FÄRGELANDA</t>
        </is>
      </c>
      <c r="G5991" t="n">
        <v>1.4</v>
      </c>
      <c r="H5991" t="n">
        <v>0</v>
      </c>
      <c r="I5991" t="n">
        <v>0</v>
      </c>
      <c r="J5991" t="n">
        <v>0</v>
      </c>
      <c r="K5991" t="n">
        <v>0</v>
      </c>
      <c r="L5991" t="n">
        <v>0</v>
      </c>
      <c r="M5991" t="n">
        <v>0</v>
      </c>
      <c r="N5991" t="n">
        <v>0</v>
      </c>
      <c r="O5991" t="n">
        <v>0</v>
      </c>
      <c r="P5991" t="n">
        <v>0</v>
      </c>
      <c r="Q5991" t="n">
        <v>0</v>
      </c>
      <c r="R5991" s="2" t="inlineStr"/>
    </row>
    <row r="5992" ht="15" customHeight="1">
      <c r="A5992" t="inlineStr">
        <is>
          <t>A 46-2024</t>
        </is>
      </c>
      <c r="B5992" s="1" t="n">
        <v>45293.56115740741</v>
      </c>
      <c r="C5992" s="1" t="n">
        <v>45952</v>
      </c>
      <c r="D5992" t="inlineStr">
        <is>
          <t>VÄSTRA GÖTALANDS LÄN</t>
        </is>
      </c>
      <c r="E5992" t="inlineStr">
        <is>
          <t>FÄRGELANDA</t>
        </is>
      </c>
      <c r="G5992" t="n">
        <v>3.6</v>
      </c>
      <c r="H5992" t="n">
        <v>0</v>
      </c>
      <c r="I5992" t="n">
        <v>0</v>
      </c>
      <c r="J5992" t="n">
        <v>0</v>
      </c>
      <c r="K5992" t="n">
        <v>0</v>
      </c>
      <c r="L5992" t="n">
        <v>0</v>
      </c>
      <c r="M5992" t="n">
        <v>0</v>
      </c>
      <c r="N5992" t="n">
        <v>0</v>
      </c>
      <c r="O5992" t="n">
        <v>0</v>
      </c>
      <c r="P5992" t="n">
        <v>0</v>
      </c>
      <c r="Q5992" t="n">
        <v>0</v>
      </c>
      <c r="R5992" s="2" t="inlineStr"/>
    </row>
    <row r="5993" ht="15" customHeight="1">
      <c r="A5993" t="inlineStr">
        <is>
          <t>A 5959-2021</t>
        </is>
      </c>
      <c r="B5993" s="1" t="n">
        <v>44231</v>
      </c>
      <c r="C5993" s="1" t="n">
        <v>45952</v>
      </c>
      <c r="D5993" t="inlineStr">
        <is>
          <t>VÄSTRA GÖTALANDS LÄN</t>
        </is>
      </c>
      <c r="E5993" t="inlineStr">
        <is>
          <t>SKARA</t>
        </is>
      </c>
      <c r="G5993" t="n">
        <v>1.2</v>
      </c>
      <c r="H5993" t="n">
        <v>0</v>
      </c>
      <c r="I5993" t="n">
        <v>0</v>
      </c>
      <c r="J5993" t="n">
        <v>0</v>
      </c>
      <c r="K5993" t="n">
        <v>0</v>
      </c>
      <c r="L5993" t="n">
        <v>0</v>
      </c>
      <c r="M5993" t="n">
        <v>0</v>
      </c>
      <c r="N5993" t="n">
        <v>0</v>
      </c>
      <c r="O5993" t="n">
        <v>0</v>
      </c>
      <c r="P5993" t="n">
        <v>0</v>
      </c>
      <c r="Q5993" t="n">
        <v>0</v>
      </c>
      <c r="R5993" s="2" t="inlineStr"/>
    </row>
    <row r="5994" ht="15" customHeight="1">
      <c r="A5994" t="inlineStr">
        <is>
          <t>A 42560-2022</t>
        </is>
      </c>
      <c r="B5994" s="1" t="n">
        <v>44831</v>
      </c>
      <c r="C5994" s="1" t="n">
        <v>45952</v>
      </c>
      <c r="D5994" t="inlineStr">
        <is>
          <t>VÄSTRA GÖTALANDS LÄN</t>
        </is>
      </c>
      <c r="E5994" t="inlineStr">
        <is>
          <t>TRANEMO</t>
        </is>
      </c>
      <c r="G5994" t="n">
        <v>0.8</v>
      </c>
      <c r="H5994" t="n">
        <v>0</v>
      </c>
      <c r="I5994" t="n">
        <v>0</v>
      </c>
      <c r="J5994" t="n">
        <v>0</v>
      </c>
      <c r="K5994" t="n">
        <v>0</v>
      </c>
      <c r="L5994" t="n">
        <v>0</v>
      </c>
      <c r="M5994" t="n">
        <v>0</v>
      </c>
      <c r="N5994" t="n">
        <v>0</v>
      </c>
      <c r="O5994" t="n">
        <v>0</v>
      </c>
      <c r="P5994" t="n">
        <v>0</v>
      </c>
      <c r="Q5994" t="n">
        <v>0</v>
      </c>
      <c r="R5994" s="2" t="inlineStr"/>
    </row>
    <row r="5995" ht="15" customHeight="1">
      <c r="A5995" t="inlineStr">
        <is>
          <t>A 42574-2022</t>
        </is>
      </c>
      <c r="B5995" s="1" t="n">
        <v>44831.67641203704</v>
      </c>
      <c r="C5995" s="1" t="n">
        <v>45952</v>
      </c>
      <c r="D5995" t="inlineStr">
        <is>
          <t>VÄSTRA GÖTALANDS LÄN</t>
        </is>
      </c>
      <c r="E5995" t="inlineStr">
        <is>
          <t>TRANEMO</t>
        </is>
      </c>
      <c r="G5995" t="n">
        <v>0.7</v>
      </c>
      <c r="H5995" t="n">
        <v>0</v>
      </c>
      <c r="I5995" t="n">
        <v>0</v>
      </c>
      <c r="J5995" t="n">
        <v>0</v>
      </c>
      <c r="K5995" t="n">
        <v>0</v>
      </c>
      <c r="L5995" t="n">
        <v>0</v>
      </c>
      <c r="M5995" t="n">
        <v>0</v>
      </c>
      <c r="N5995" t="n">
        <v>0</v>
      </c>
      <c r="O5995" t="n">
        <v>0</v>
      </c>
      <c r="P5995" t="n">
        <v>0</v>
      </c>
      <c r="Q5995" t="n">
        <v>0</v>
      </c>
      <c r="R5995" s="2" t="inlineStr"/>
    </row>
    <row r="5996" ht="15" customHeight="1">
      <c r="A5996" t="inlineStr">
        <is>
          <t>A 35087-2024</t>
        </is>
      </c>
      <c r="B5996" s="1" t="n">
        <v>45527.70637731482</v>
      </c>
      <c r="C5996" s="1" t="n">
        <v>45952</v>
      </c>
      <c r="D5996" t="inlineStr">
        <is>
          <t>VÄSTRA GÖTALANDS LÄN</t>
        </is>
      </c>
      <c r="E5996" t="inlineStr">
        <is>
          <t>LIDKÖPING</t>
        </is>
      </c>
      <c r="G5996" t="n">
        <v>1.8</v>
      </c>
      <c r="H5996" t="n">
        <v>0</v>
      </c>
      <c r="I5996" t="n">
        <v>0</v>
      </c>
      <c r="J5996" t="n">
        <v>0</v>
      </c>
      <c r="K5996" t="n">
        <v>0</v>
      </c>
      <c r="L5996" t="n">
        <v>0</v>
      </c>
      <c r="M5996" t="n">
        <v>0</v>
      </c>
      <c r="N5996" t="n">
        <v>0</v>
      </c>
      <c r="O5996" t="n">
        <v>0</v>
      </c>
      <c r="P5996" t="n">
        <v>0</v>
      </c>
      <c r="Q5996" t="n">
        <v>0</v>
      </c>
      <c r="R5996" s="2" t="inlineStr"/>
    </row>
    <row r="5997" ht="15" customHeight="1">
      <c r="A5997" t="inlineStr">
        <is>
          <t>A 30675-2024</t>
        </is>
      </c>
      <c r="B5997" s="1" t="n">
        <v>45495.89418981481</v>
      </c>
      <c r="C5997" s="1" t="n">
        <v>45952</v>
      </c>
      <c r="D5997" t="inlineStr">
        <is>
          <t>VÄSTRA GÖTALANDS LÄN</t>
        </is>
      </c>
      <c r="E5997" t="inlineStr">
        <is>
          <t>TIDAHOLM</t>
        </is>
      </c>
      <c r="G5997" t="n">
        <v>1.4</v>
      </c>
      <c r="H5997" t="n">
        <v>0</v>
      </c>
      <c r="I5997" t="n">
        <v>0</v>
      </c>
      <c r="J5997" t="n">
        <v>0</v>
      </c>
      <c r="K5997" t="n">
        <v>0</v>
      </c>
      <c r="L5997" t="n">
        <v>0</v>
      </c>
      <c r="M5997" t="n">
        <v>0</v>
      </c>
      <c r="N5997" t="n">
        <v>0</v>
      </c>
      <c r="O5997" t="n">
        <v>0</v>
      </c>
      <c r="P5997" t="n">
        <v>0</v>
      </c>
      <c r="Q5997" t="n">
        <v>0</v>
      </c>
      <c r="R5997" s="2" t="inlineStr"/>
    </row>
    <row r="5998" ht="15" customHeight="1">
      <c r="A5998" t="inlineStr">
        <is>
          <t>A 30677-2024</t>
        </is>
      </c>
      <c r="B5998" s="1" t="n">
        <v>45495</v>
      </c>
      <c r="C5998" s="1" t="n">
        <v>45952</v>
      </c>
      <c r="D5998" t="inlineStr">
        <is>
          <t>VÄSTRA GÖTALANDS LÄN</t>
        </is>
      </c>
      <c r="E5998" t="inlineStr">
        <is>
          <t>TIDAHOLM</t>
        </is>
      </c>
      <c r="G5998" t="n">
        <v>1.9</v>
      </c>
      <c r="H5998" t="n">
        <v>0</v>
      </c>
      <c r="I5998" t="n">
        <v>0</v>
      </c>
      <c r="J5998" t="n">
        <v>0</v>
      </c>
      <c r="K5998" t="n">
        <v>0</v>
      </c>
      <c r="L5998" t="n">
        <v>0</v>
      </c>
      <c r="M5998" t="n">
        <v>0</v>
      </c>
      <c r="N5998" t="n">
        <v>0</v>
      </c>
      <c r="O5998" t="n">
        <v>0</v>
      </c>
      <c r="P5998" t="n">
        <v>0</v>
      </c>
      <c r="Q5998" t="n">
        <v>0</v>
      </c>
      <c r="R5998" s="2" t="inlineStr"/>
    </row>
    <row r="5999" ht="15" customHeight="1">
      <c r="A5999" t="inlineStr">
        <is>
          <t>A 8584-2022</t>
        </is>
      </c>
      <c r="B5999" s="1" t="n">
        <v>44613</v>
      </c>
      <c r="C5999" s="1" t="n">
        <v>45952</v>
      </c>
      <c r="D5999" t="inlineStr">
        <is>
          <t>VÄSTRA GÖTALANDS LÄN</t>
        </is>
      </c>
      <c r="E5999" t="inlineStr">
        <is>
          <t>TANUM</t>
        </is>
      </c>
      <c r="G5999" t="n">
        <v>10.6</v>
      </c>
      <c r="H5999" t="n">
        <v>0</v>
      </c>
      <c r="I5999" t="n">
        <v>0</v>
      </c>
      <c r="J5999" t="n">
        <v>0</v>
      </c>
      <c r="K5999" t="n">
        <v>0</v>
      </c>
      <c r="L5999" t="n">
        <v>0</v>
      </c>
      <c r="M5999" t="n">
        <v>0</v>
      </c>
      <c r="N5999" t="n">
        <v>0</v>
      </c>
      <c r="O5999" t="n">
        <v>0</v>
      </c>
      <c r="P5999" t="n">
        <v>0</v>
      </c>
      <c r="Q5999" t="n">
        <v>0</v>
      </c>
      <c r="R5999" s="2" t="inlineStr"/>
    </row>
    <row r="6000" ht="15" customHeight="1">
      <c r="A6000" t="inlineStr">
        <is>
          <t>A 8586-2022</t>
        </is>
      </c>
      <c r="B6000" s="1" t="n">
        <v>44613</v>
      </c>
      <c r="C6000" s="1" t="n">
        <v>45952</v>
      </c>
      <c r="D6000" t="inlineStr">
        <is>
          <t>VÄSTRA GÖTALANDS LÄN</t>
        </is>
      </c>
      <c r="E6000" t="inlineStr">
        <is>
          <t>TANUM</t>
        </is>
      </c>
      <c r="G6000" t="n">
        <v>0.9</v>
      </c>
      <c r="H6000" t="n">
        <v>0</v>
      </c>
      <c r="I6000" t="n">
        <v>0</v>
      </c>
      <c r="J6000" t="n">
        <v>0</v>
      </c>
      <c r="K6000" t="n">
        <v>0</v>
      </c>
      <c r="L6000" t="n">
        <v>0</v>
      </c>
      <c r="M6000" t="n">
        <v>0</v>
      </c>
      <c r="N6000" t="n">
        <v>0</v>
      </c>
      <c r="O6000" t="n">
        <v>0</v>
      </c>
      <c r="P6000" t="n">
        <v>0</v>
      </c>
      <c r="Q6000" t="n">
        <v>0</v>
      </c>
      <c r="R6000" s="2" t="inlineStr"/>
    </row>
    <row r="6001" ht="15" customHeight="1">
      <c r="A6001" t="inlineStr">
        <is>
          <t>A 4949-2024</t>
        </is>
      </c>
      <c r="B6001" s="1" t="n">
        <v>45329.57056712963</v>
      </c>
      <c r="C6001" s="1" t="n">
        <v>45952</v>
      </c>
      <c r="D6001" t="inlineStr">
        <is>
          <t>VÄSTRA GÖTALANDS LÄN</t>
        </is>
      </c>
      <c r="E6001" t="inlineStr">
        <is>
          <t>MARIESTAD</t>
        </is>
      </c>
      <c r="G6001" t="n">
        <v>2.6</v>
      </c>
      <c r="H6001" t="n">
        <v>0</v>
      </c>
      <c r="I6001" t="n">
        <v>0</v>
      </c>
      <c r="J6001" t="n">
        <v>0</v>
      </c>
      <c r="K6001" t="n">
        <v>0</v>
      </c>
      <c r="L6001" t="n">
        <v>0</v>
      </c>
      <c r="M6001" t="n">
        <v>0</v>
      </c>
      <c r="N6001" t="n">
        <v>0</v>
      </c>
      <c r="O6001" t="n">
        <v>0</v>
      </c>
      <c r="P6001" t="n">
        <v>0</v>
      </c>
      <c r="Q6001" t="n">
        <v>0</v>
      </c>
      <c r="R6001" s="2" t="inlineStr"/>
    </row>
    <row r="6002" ht="15" customHeight="1">
      <c r="A6002" t="inlineStr">
        <is>
          <t>A 4966-2024</t>
        </is>
      </c>
      <c r="B6002" s="1" t="n">
        <v>45329.60322916666</v>
      </c>
      <c r="C6002" s="1" t="n">
        <v>45952</v>
      </c>
      <c r="D6002" t="inlineStr">
        <is>
          <t>VÄSTRA GÖTALANDS LÄN</t>
        </is>
      </c>
      <c r="E6002" t="inlineStr">
        <is>
          <t>TRANEMO</t>
        </is>
      </c>
      <c r="G6002" t="n">
        <v>0.9</v>
      </c>
      <c r="H6002" t="n">
        <v>0</v>
      </c>
      <c r="I6002" t="n">
        <v>0</v>
      </c>
      <c r="J6002" t="n">
        <v>0</v>
      </c>
      <c r="K6002" t="n">
        <v>0</v>
      </c>
      <c r="L6002" t="n">
        <v>0</v>
      </c>
      <c r="M6002" t="n">
        <v>0</v>
      </c>
      <c r="N6002" t="n">
        <v>0</v>
      </c>
      <c r="O6002" t="n">
        <v>0</v>
      </c>
      <c r="P6002" t="n">
        <v>0</v>
      </c>
      <c r="Q6002" t="n">
        <v>0</v>
      </c>
      <c r="R6002" s="2" t="inlineStr"/>
    </row>
    <row r="6003" ht="15" customHeight="1">
      <c r="A6003" t="inlineStr">
        <is>
          <t>A 1643-2024</t>
        </is>
      </c>
      <c r="B6003" s="1" t="n">
        <v>45306.68015046296</v>
      </c>
      <c r="C6003" s="1" t="n">
        <v>45952</v>
      </c>
      <c r="D6003" t="inlineStr">
        <is>
          <t>VÄSTRA GÖTALANDS LÄN</t>
        </is>
      </c>
      <c r="E6003" t="inlineStr">
        <is>
          <t>MARK</t>
        </is>
      </c>
      <c r="G6003" t="n">
        <v>3</v>
      </c>
      <c r="H6003" t="n">
        <v>0</v>
      </c>
      <c r="I6003" t="n">
        <v>0</v>
      </c>
      <c r="J6003" t="n">
        <v>0</v>
      </c>
      <c r="K6003" t="n">
        <v>0</v>
      </c>
      <c r="L6003" t="n">
        <v>0</v>
      </c>
      <c r="M6003" t="n">
        <v>0</v>
      </c>
      <c r="N6003" t="n">
        <v>0</v>
      </c>
      <c r="O6003" t="n">
        <v>0</v>
      </c>
      <c r="P6003" t="n">
        <v>0</v>
      </c>
      <c r="Q6003" t="n">
        <v>0</v>
      </c>
      <c r="R6003" s="2" t="inlineStr"/>
    </row>
    <row r="6004" ht="15" customHeight="1">
      <c r="A6004" t="inlineStr">
        <is>
          <t>A 5465-2025</t>
        </is>
      </c>
      <c r="B6004" s="1" t="n">
        <v>45693.32520833334</v>
      </c>
      <c r="C6004" s="1" t="n">
        <v>45952</v>
      </c>
      <c r="D6004" t="inlineStr">
        <is>
          <t>VÄSTRA GÖTALANDS LÄN</t>
        </is>
      </c>
      <c r="E6004" t="inlineStr">
        <is>
          <t>SKÖVDE</t>
        </is>
      </c>
      <c r="G6004" t="n">
        <v>1</v>
      </c>
      <c r="H6004" t="n">
        <v>0</v>
      </c>
      <c r="I6004" t="n">
        <v>0</v>
      </c>
      <c r="J6004" t="n">
        <v>0</v>
      </c>
      <c r="K6004" t="n">
        <v>0</v>
      </c>
      <c r="L6004" t="n">
        <v>0</v>
      </c>
      <c r="M6004" t="n">
        <v>0</v>
      </c>
      <c r="N6004" t="n">
        <v>0</v>
      </c>
      <c r="O6004" t="n">
        <v>0</v>
      </c>
      <c r="P6004" t="n">
        <v>0</v>
      </c>
      <c r="Q6004" t="n">
        <v>0</v>
      </c>
      <c r="R6004" s="2" t="inlineStr"/>
    </row>
    <row r="6005" ht="15" customHeight="1">
      <c r="A6005" t="inlineStr">
        <is>
          <t>A 5466-2025</t>
        </is>
      </c>
      <c r="B6005" s="1" t="n">
        <v>45693.32571759259</v>
      </c>
      <c r="C6005" s="1" t="n">
        <v>45952</v>
      </c>
      <c r="D6005" t="inlineStr">
        <is>
          <t>VÄSTRA GÖTALANDS LÄN</t>
        </is>
      </c>
      <c r="E6005" t="inlineStr">
        <is>
          <t>SKÖVDE</t>
        </is>
      </c>
      <c r="G6005" t="n">
        <v>0.5</v>
      </c>
      <c r="H6005" t="n">
        <v>0</v>
      </c>
      <c r="I6005" t="n">
        <v>0</v>
      </c>
      <c r="J6005" t="n">
        <v>0</v>
      </c>
      <c r="K6005" t="n">
        <v>0</v>
      </c>
      <c r="L6005" t="n">
        <v>0</v>
      </c>
      <c r="M6005" t="n">
        <v>0</v>
      </c>
      <c r="N6005" t="n">
        <v>0</v>
      </c>
      <c r="O6005" t="n">
        <v>0</v>
      </c>
      <c r="P6005" t="n">
        <v>0</v>
      </c>
      <c r="Q6005" t="n">
        <v>0</v>
      </c>
      <c r="R6005" s="2" t="inlineStr"/>
    </row>
    <row r="6006" ht="15" customHeight="1">
      <c r="A6006" t="inlineStr">
        <is>
          <t>A 36556-2022</t>
        </is>
      </c>
      <c r="B6006" s="1" t="n">
        <v>44804</v>
      </c>
      <c r="C6006" s="1" t="n">
        <v>45952</v>
      </c>
      <c r="D6006" t="inlineStr">
        <is>
          <t>VÄSTRA GÖTALANDS LÄN</t>
        </is>
      </c>
      <c r="E6006" t="inlineStr">
        <is>
          <t>SKÖVDE</t>
        </is>
      </c>
      <c r="G6006" t="n">
        <v>6</v>
      </c>
      <c r="H6006" t="n">
        <v>0</v>
      </c>
      <c r="I6006" t="n">
        <v>0</v>
      </c>
      <c r="J6006" t="n">
        <v>0</v>
      </c>
      <c r="K6006" t="n">
        <v>0</v>
      </c>
      <c r="L6006" t="n">
        <v>0</v>
      </c>
      <c r="M6006" t="n">
        <v>0</v>
      </c>
      <c r="N6006" t="n">
        <v>0</v>
      </c>
      <c r="O6006" t="n">
        <v>0</v>
      </c>
      <c r="P6006" t="n">
        <v>0</v>
      </c>
      <c r="Q6006" t="n">
        <v>0</v>
      </c>
      <c r="R6006" s="2" t="inlineStr"/>
    </row>
    <row r="6007" ht="15" customHeight="1">
      <c r="A6007" t="inlineStr">
        <is>
          <t>A 420-2023</t>
        </is>
      </c>
      <c r="B6007" s="1" t="n">
        <v>44929</v>
      </c>
      <c r="C6007" s="1" t="n">
        <v>45952</v>
      </c>
      <c r="D6007" t="inlineStr">
        <is>
          <t>VÄSTRA GÖTALANDS LÄN</t>
        </is>
      </c>
      <c r="E6007" t="inlineStr">
        <is>
          <t>TIBRO</t>
        </is>
      </c>
      <c r="G6007" t="n">
        <v>1.4</v>
      </c>
      <c r="H6007" t="n">
        <v>0</v>
      </c>
      <c r="I6007" t="n">
        <v>0</v>
      </c>
      <c r="J6007" t="n">
        <v>0</v>
      </c>
      <c r="K6007" t="n">
        <v>0</v>
      </c>
      <c r="L6007" t="n">
        <v>0</v>
      </c>
      <c r="M6007" t="n">
        <v>0</v>
      </c>
      <c r="N6007" t="n">
        <v>0</v>
      </c>
      <c r="O6007" t="n">
        <v>0</v>
      </c>
      <c r="P6007" t="n">
        <v>0</v>
      </c>
      <c r="Q6007" t="n">
        <v>0</v>
      </c>
      <c r="R6007" s="2" t="inlineStr"/>
    </row>
    <row r="6008" ht="15" customHeight="1">
      <c r="A6008" t="inlineStr">
        <is>
          <t>A 1641-2024</t>
        </is>
      </c>
      <c r="B6008" s="1" t="n">
        <v>45306.66873842593</v>
      </c>
      <c r="C6008" s="1" t="n">
        <v>45952</v>
      </c>
      <c r="D6008" t="inlineStr">
        <is>
          <t>VÄSTRA GÖTALANDS LÄN</t>
        </is>
      </c>
      <c r="E6008" t="inlineStr">
        <is>
          <t>SKÖVDE</t>
        </is>
      </c>
      <c r="G6008" t="n">
        <v>1.5</v>
      </c>
      <c r="H6008" t="n">
        <v>0</v>
      </c>
      <c r="I6008" t="n">
        <v>0</v>
      </c>
      <c r="J6008" t="n">
        <v>0</v>
      </c>
      <c r="K6008" t="n">
        <v>0</v>
      </c>
      <c r="L6008" t="n">
        <v>0</v>
      </c>
      <c r="M6008" t="n">
        <v>0</v>
      </c>
      <c r="N6008" t="n">
        <v>0</v>
      </c>
      <c r="O6008" t="n">
        <v>0</v>
      </c>
      <c r="P6008" t="n">
        <v>0</v>
      </c>
      <c r="Q6008" t="n">
        <v>0</v>
      </c>
      <c r="R6008" s="2" t="inlineStr"/>
    </row>
    <row r="6009" ht="15" customHeight="1">
      <c r="A6009" t="inlineStr">
        <is>
          <t>A 32136-2024</t>
        </is>
      </c>
      <c r="B6009" s="1" t="n">
        <v>45511.4987962963</v>
      </c>
      <c r="C6009" s="1" t="n">
        <v>45952</v>
      </c>
      <c r="D6009" t="inlineStr">
        <is>
          <t>VÄSTRA GÖTALANDS LÄN</t>
        </is>
      </c>
      <c r="E6009" t="inlineStr">
        <is>
          <t>BORÅS</t>
        </is>
      </c>
      <c r="F6009" t="inlineStr">
        <is>
          <t>Kyrkan</t>
        </is>
      </c>
      <c r="G6009" t="n">
        <v>2</v>
      </c>
      <c r="H6009" t="n">
        <v>0</v>
      </c>
      <c r="I6009" t="n">
        <v>0</v>
      </c>
      <c r="J6009" t="n">
        <v>0</v>
      </c>
      <c r="K6009" t="n">
        <v>0</v>
      </c>
      <c r="L6009" t="n">
        <v>0</v>
      </c>
      <c r="M6009" t="n">
        <v>0</v>
      </c>
      <c r="N6009" t="n">
        <v>0</v>
      </c>
      <c r="O6009" t="n">
        <v>0</v>
      </c>
      <c r="P6009" t="n">
        <v>0</v>
      </c>
      <c r="Q6009" t="n">
        <v>0</v>
      </c>
      <c r="R6009" s="2" t="inlineStr"/>
    </row>
    <row r="6010" ht="15" customHeight="1">
      <c r="A6010" t="inlineStr">
        <is>
          <t>A 8794-2023</t>
        </is>
      </c>
      <c r="B6010" s="1" t="n">
        <v>44978.59206018518</v>
      </c>
      <c r="C6010" s="1" t="n">
        <v>45952</v>
      </c>
      <c r="D6010" t="inlineStr">
        <is>
          <t>VÄSTRA GÖTALANDS LÄN</t>
        </is>
      </c>
      <c r="E6010" t="inlineStr">
        <is>
          <t>GULLSPÅNG</t>
        </is>
      </c>
      <c r="G6010" t="n">
        <v>1.1</v>
      </c>
      <c r="H6010" t="n">
        <v>0</v>
      </c>
      <c r="I6010" t="n">
        <v>0</v>
      </c>
      <c r="J6010" t="n">
        <v>0</v>
      </c>
      <c r="K6010" t="n">
        <v>0</v>
      </c>
      <c r="L6010" t="n">
        <v>0</v>
      </c>
      <c r="M6010" t="n">
        <v>0</v>
      </c>
      <c r="N6010" t="n">
        <v>0</v>
      </c>
      <c r="O6010" t="n">
        <v>0</v>
      </c>
      <c r="P6010" t="n">
        <v>0</v>
      </c>
      <c r="Q6010" t="n">
        <v>0</v>
      </c>
      <c r="R6010" s="2" t="inlineStr"/>
    </row>
    <row r="6011" ht="15" customHeight="1">
      <c r="A6011" t="inlineStr">
        <is>
          <t>A 38563-2023</t>
        </is>
      </c>
      <c r="B6011" s="1" t="n">
        <v>45162.60915509259</v>
      </c>
      <c r="C6011" s="1" t="n">
        <v>45952</v>
      </c>
      <c r="D6011" t="inlineStr">
        <is>
          <t>VÄSTRA GÖTALANDS LÄN</t>
        </is>
      </c>
      <c r="E6011" t="inlineStr">
        <is>
          <t>ULRICEHAMN</t>
        </is>
      </c>
      <c r="G6011" t="n">
        <v>1</v>
      </c>
      <c r="H6011" t="n">
        <v>0</v>
      </c>
      <c r="I6011" t="n">
        <v>0</v>
      </c>
      <c r="J6011" t="n">
        <v>0</v>
      </c>
      <c r="K6011" t="n">
        <v>0</v>
      </c>
      <c r="L6011" t="n">
        <v>0</v>
      </c>
      <c r="M6011" t="n">
        <v>0</v>
      </c>
      <c r="N6011" t="n">
        <v>0</v>
      </c>
      <c r="O6011" t="n">
        <v>0</v>
      </c>
      <c r="P6011" t="n">
        <v>0</v>
      </c>
      <c r="Q6011" t="n">
        <v>0</v>
      </c>
      <c r="R6011" s="2" t="inlineStr"/>
    </row>
    <row r="6012" ht="15" customHeight="1">
      <c r="A6012" t="inlineStr">
        <is>
          <t>A 181-2025</t>
        </is>
      </c>
      <c r="B6012" s="1" t="n">
        <v>45659.70703703703</v>
      </c>
      <c r="C6012" s="1" t="n">
        <v>45952</v>
      </c>
      <c r="D6012" t="inlineStr">
        <is>
          <t>VÄSTRA GÖTALANDS LÄN</t>
        </is>
      </c>
      <c r="E6012" t="inlineStr">
        <is>
          <t>TANUM</t>
        </is>
      </c>
      <c r="G6012" t="n">
        <v>1.5</v>
      </c>
      <c r="H6012" t="n">
        <v>0</v>
      </c>
      <c r="I6012" t="n">
        <v>0</v>
      </c>
      <c r="J6012" t="n">
        <v>0</v>
      </c>
      <c r="K6012" t="n">
        <v>0</v>
      </c>
      <c r="L6012" t="n">
        <v>0</v>
      </c>
      <c r="M6012" t="n">
        <v>0</v>
      </c>
      <c r="N6012" t="n">
        <v>0</v>
      </c>
      <c r="O6012" t="n">
        <v>0</v>
      </c>
      <c r="P6012" t="n">
        <v>0</v>
      </c>
      <c r="Q6012" t="n">
        <v>0</v>
      </c>
      <c r="R6012" s="2" t="inlineStr"/>
    </row>
    <row r="6013" ht="15" customHeight="1">
      <c r="A6013" t="inlineStr">
        <is>
          <t>A 506-2023</t>
        </is>
      </c>
      <c r="B6013" s="1" t="n">
        <v>44930</v>
      </c>
      <c r="C6013" s="1" t="n">
        <v>45952</v>
      </c>
      <c r="D6013" t="inlineStr">
        <is>
          <t>VÄSTRA GÖTALANDS LÄN</t>
        </is>
      </c>
      <c r="E6013" t="inlineStr">
        <is>
          <t>TIBRO</t>
        </is>
      </c>
      <c r="G6013" t="n">
        <v>1.7</v>
      </c>
      <c r="H6013" t="n">
        <v>0</v>
      </c>
      <c r="I6013" t="n">
        <v>0</v>
      </c>
      <c r="J6013" t="n">
        <v>0</v>
      </c>
      <c r="K6013" t="n">
        <v>0</v>
      </c>
      <c r="L6013" t="n">
        <v>0</v>
      </c>
      <c r="M6013" t="n">
        <v>0</v>
      </c>
      <c r="N6013" t="n">
        <v>0</v>
      </c>
      <c r="O6013" t="n">
        <v>0</v>
      </c>
      <c r="P6013" t="n">
        <v>0</v>
      </c>
      <c r="Q6013" t="n">
        <v>0</v>
      </c>
      <c r="R6013" s="2" t="inlineStr"/>
    </row>
    <row r="6014" ht="15" customHeight="1">
      <c r="A6014" t="inlineStr">
        <is>
          <t>A 39761-2023</t>
        </is>
      </c>
      <c r="B6014" s="1" t="n">
        <v>45167.71447916667</v>
      </c>
      <c r="C6014" s="1" t="n">
        <v>45952</v>
      </c>
      <c r="D6014" t="inlineStr">
        <is>
          <t>VÄSTRA GÖTALANDS LÄN</t>
        </is>
      </c>
      <c r="E6014" t="inlineStr">
        <is>
          <t>HÄRRYDA</t>
        </is>
      </c>
      <c r="G6014" t="n">
        <v>1.4</v>
      </c>
      <c r="H6014" t="n">
        <v>0</v>
      </c>
      <c r="I6014" t="n">
        <v>0</v>
      </c>
      <c r="J6014" t="n">
        <v>0</v>
      </c>
      <c r="K6014" t="n">
        <v>0</v>
      </c>
      <c r="L6014" t="n">
        <v>0</v>
      </c>
      <c r="M6014" t="n">
        <v>0</v>
      </c>
      <c r="N6014" t="n">
        <v>0</v>
      </c>
      <c r="O6014" t="n">
        <v>0</v>
      </c>
      <c r="P6014" t="n">
        <v>0</v>
      </c>
      <c r="Q6014" t="n">
        <v>0</v>
      </c>
      <c r="R6014" s="2" t="inlineStr"/>
    </row>
    <row r="6015" ht="15" customHeight="1">
      <c r="A6015" t="inlineStr">
        <is>
          <t>A 52097-2024</t>
        </is>
      </c>
      <c r="B6015" s="1" t="n">
        <v>45608.4153125</v>
      </c>
      <c r="C6015" s="1" t="n">
        <v>45952</v>
      </c>
      <c r="D6015" t="inlineStr">
        <is>
          <t>VÄSTRA GÖTALANDS LÄN</t>
        </is>
      </c>
      <c r="E6015" t="inlineStr">
        <is>
          <t>VÅRGÅRDA</t>
        </is>
      </c>
      <c r="G6015" t="n">
        <v>10.9</v>
      </c>
      <c r="H6015" t="n">
        <v>0</v>
      </c>
      <c r="I6015" t="n">
        <v>0</v>
      </c>
      <c r="J6015" t="n">
        <v>0</v>
      </c>
      <c r="K6015" t="n">
        <v>0</v>
      </c>
      <c r="L6015" t="n">
        <v>0</v>
      </c>
      <c r="M6015" t="n">
        <v>0</v>
      </c>
      <c r="N6015" t="n">
        <v>0</v>
      </c>
      <c r="O6015" t="n">
        <v>0</v>
      </c>
      <c r="P6015" t="n">
        <v>0</v>
      </c>
      <c r="Q6015" t="n">
        <v>0</v>
      </c>
      <c r="R6015" s="2" t="inlineStr"/>
    </row>
    <row r="6016" ht="15" customHeight="1">
      <c r="A6016" t="inlineStr">
        <is>
          <t>A 38587-2023</t>
        </is>
      </c>
      <c r="B6016" s="1" t="n">
        <v>45162.63479166666</v>
      </c>
      <c r="C6016" s="1" t="n">
        <v>45952</v>
      </c>
      <c r="D6016" t="inlineStr">
        <is>
          <t>VÄSTRA GÖTALANDS LÄN</t>
        </is>
      </c>
      <c r="E6016" t="inlineStr">
        <is>
          <t>ULRICEHAMN</t>
        </is>
      </c>
      <c r="G6016" t="n">
        <v>3</v>
      </c>
      <c r="H6016" t="n">
        <v>0</v>
      </c>
      <c r="I6016" t="n">
        <v>0</v>
      </c>
      <c r="J6016" t="n">
        <v>0</v>
      </c>
      <c r="K6016" t="n">
        <v>0</v>
      </c>
      <c r="L6016" t="n">
        <v>0</v>
      </c>
      <c r="M6016" t="n">
        <v>0</v>
      </c>
      <c r="N6016" t="n">
        <v>0</v>
      </c>
      <c r="O6016" t="n">
        <v>0</v>
      </c>
      <c r="P6016" t="n">
        <v>0</v>
      </c>
      <c r="Q6016" t="n">
        <v>0</v>
      </c>
      <c r="R6016" s="2" t="inlineStr"/>
    </row>
    <row r="6017" ht="15" customHeight="1">
      <c r="A6017" t="inlineStr">
        <is>
          <t>A 46899-2024</t>
        </is>
      </c>
      <c r="B6017" s="1" t="n">
        <v>45583.69771990741</v>
      </c>
      <c r="C6017" s="1" t="n">
        <v>45952</v>
      </c>
      <c r="D6017" t="inlineStr">
        <is>
          <t>VÄSTRA GÖTALANDS LÄN</t>
        </is>
      </c>
      <c r="E6017" t="inlineStr">
        <is>
          <t>UDDEVALLA</t>
        </is>
      </c>
      <c r="G6017" t="n">
        <v>2.8</v>
      </c>
      <c r="H6017" t="n">
        <v>0</v>
      </c>
      <c r="I6017" t="n">
        <v>0</v>
      </c>
      <c r="J6017" t="n">
        <v>0</v>
      </c>
      <c r="K6017" t="n">
        <v>0</v>
      </c>
      <c r="L6017" t="n">
        <v>0</v>
      </c>
      <c r="M6017" t="n">
        <v>0</v>
      </c>
      <c r="N6017" t="n">
        <v>0</v>
      </c>
      <c r="O6017" t="n">
        <v>0</v>
      </c>
      <c r="P6017" t="n">
        <v>0</v>
      </c>
      <c r="Q6017" t="n">
        <v>0</v>
      </c>
      <c r="R6017" s="2" t="inlineStr"/>
    </row>
    <row r="6018" ht="15" customHeight="1">
      <c r="A6018" t="inlineStr">
        <is>
          <t>A 2561-2025</t>
        </is>
      </c>
      <c r="B6018" s="1" t="n">
        <v>45674.65553240741</v>
      </c>
      <c r="C6018" s="1" t="n">
        <v>45952</v>
      </c>
      <c r="D6018" t="inlineStr">
        <is>
          <t>VÄSTRA GÖTALANDS LÄN</t>
        </is>
      </c>
      <c r="E6018" t="inlineStr">
        <is>
          <t>MARK</t>
        </is>
      </c>
      <c r="G6018" t="n">
        <v>1.3</v>
      </c>
      <c r="H6018" t="n">
        <v>0</v>
      </c>
      <c r="I6018" t="n">
        <v>0</v>
      </c>
      <c r="J6018" t="n">
        <v>0</v>
      </c>
      <c r="K6018" t="n">
        <v>0</v>
      </c>
      <c r="L6018" t="n">
        <v>0</v>
      </c>
      <c r="M6018" t="n">
        <v>0</v>
      </c>
      <c r="N6018" t="n">
        <v>0</v>
      </c>
      <c r="O6018" t="n">
        <v>0</v>
      </c>
      <c r="P6018" t="n">
        <v>0</v>
      </c>
      <c r="Q6018" t="n">
        <v>0</v>
      </c>
      <c r="R6018" s="2" t="inlineStr"/>
    </row>
    <row r="6019" ht="15" customHeight="1">
      <c r="A6019" t="inlineStr">
        <is>
          <t>A 46843-2023</t>
        </is>
      </c>
      <c r="B6019" s="1" t="n">
        <v>45199.73854166667</v>
      </c>
      <c r="C6019" s="1" t="n">
        <v>45952</v>
      </c>
      <c r="D6019" t="inlineStr">
        <is>
          <t>VÄSTRA GÖTALANDS LÄN</t>
        </is>
      </c>
      <c r="E6019" t="inlineStr">
        <is>
          <t>FALKÖPING</t>
        </is>
      </c>
      <c r="G6019" t="n">
        <v>1.6</v>
      </c>
      <c r="H6019" t="n">
        <v>0</v>
      </c>
      <c r="I6019" t="n">
        <v>0</v>
      </c>
      <c r="J6019" t="n">
        <v>0</v>
      </c>
      <c r="K6019" t="n">
        <v>0</v>
      </c>
      <c r="L6019" t="n">
        <v>0</v>
      </c>
      <c r="M6019" t="n">
        <v>0</v>
      </c>
      <c r="N6019" t="n">
        <v>0</v>
      </c>
      <c r="O6019" t="n">
        <v>0</v>
      </c>
      <c r="P6019" t="n">
        <v>0</v>
      </c>
      <c r="Q6019" t="n">
        <v>0</v>
      </c>
      <c r="R6019" s="2" t="inlineStr"/>
    </row>
    <row r="6020" ht="15" customHeight="1">
      <c r="A6020" t="inlineStr">
        <is>
          <t>A 49390-2022</t>
        </is>
      </c>
      <c r="B6020" s="1" t="n">
        <v>44861</v>
      </c>
      <c r="C6020" s="1" t="n">
        <v>45952</v>
      </c>
      <c r="D6020" t="inlineStr">
        <is>
          <t>VÄSTRA GÖTALANDS LÄN</t>
        </is>
      </c>
      <c r="E6020" t="inlineStr">
        <is>
          <t>FALKÖPING</t>
        </is>
      </c>
      <c r="G6020" t="n">
        <v>2.2</v>
      </c>
      <c r="H6020" t="n">
        <v>0</v>
      </c>
      <c r="I6020" t="n">
        <v>0</v>
      </c>
      <c r="J6020" t="n">
        <v>0</v>
      </c>
      <c r="K6020" t="n">
        <v>0</v>
      </c>
      <c r="L6020" t="n">
        <v>0</v>
      </c>
      <c r="M6020" t="n">
        <v>0</v>
      </c>
      <c r="N6020" t="n">
        <v>0</v>
      </c>
      <c r="O6020" t="n">
        <v>0</v>
      </c>
      <c r="P6020" t="n">
        <v>0</v>
      </c>
      <c r="Q6020" t="n">
        <v>0</v>
      </c>
      <c r="R6020" s="2" t="inlineStr"/>
    </row>
    <row r="6021" ht="15" customHeight="1">
      <c r="A6021" t="inlineStr">
        <is>
          <t>A 54122-2023</t>
        </is>
      </c>
      <c r="B6021" s="1" t="n">
        <v>45232</v>
      </c>
      <c r="C6021" s="1" t="n">
        <v>45952</v>
      </c>
      <c r="D6021" t="inlineStr">
        <is>
          <t>VÄSTRA GÖTALANDS LÄN</t>
        </is>
      </c>
      <c r="E6021" t="inlineStr">
        <is>
          <t>TIDAHOLM</t>
        </is>
      </c>
      <c r="F6021" t="inlineStr">
        <is>
          <t>Kyrkan</t>
        </is>
      </c>
      <c r="G6021" t="n">
        <v>22.5</v>
      </c>
      <c r="H6021" t="n">
        <v>0</v>
      </c>
      <c r="I6021" t="n">
        <v>0</v>
      </c>
      <c r="J6021" t="n">
        <v>0</v>
      </c>
      <c r="K6021" t="n">
        <v>0</v>
      </c>
      <c r="L6021" t="n">
        <v>0</v>
      </c>
      <c r="M6021" t="n">
        <v>0</v>
      </c>
      <c r="N6021" t="n">
        <v>0</v>
      </c>
      <c r="O6021" t="n">
        <v>0</v>
      </c>
      <c r="P6021" t="n">
        <v>0</v>
      </c>
      <c r="Q6021" t="n">
        <v>0</v>
      </c>
      <c r="R6021" s="2" t="inlineStr"/>
    </row>
    <row r="6022" ht="15" customHeight="1">
      <c r="A6022" t="inlineStr">
        <is>
          <t>A 41521-2023</t>
        </is>
      </c>
      <c r="B6022" s="1" t="n">
        <v>45175.5158912037</v>
      </c>
      <c r="C6022" s="1" t="n">
        <v>45952</v>
      </c>
      <c r="D6022" t="inlineStr">
        <is>
          <t>VÄSTRA GÖTALANDS LÄN</t>
        </is>
      </c>
      <c r="E6022" t="inlineStr">
        <is>
          <t>MUNKEDAL</t>
        </is>
      </c>
      <c r="G6022" t="n">
        <v>2.4</v>
      </c>
      <c r="H6022" t="n">
        <v>0</v>
      </c>
      <c r="I6022" t="n">
        <v>0</v>
      </c>
      <c r="J6022" t="n">
        <v>0</v>
      </c>
      <c r="K6022" t="n">
        <v>0</v>
      </c>
      <c r="L6022" t="n">
        <v>0</v>
      </c>
      <c r="M6022" t="n">
        <v>0</v>
      </c>
      <c r="N6022" t="n">
        <v>0</v>
      </c>
      <c r="O6022" t="n">
        <v>0</v>
      </c>
      <c r="P6022" t="n">
        <v>0</v>
      </c>
      <c r="Q6022" t="n">
        <v>0</v>
      </c>
      <c r="R6022" s="2" t="inlineStr"/>
    </row>
    <row r="6023" ht="15" customHeight="1">
      <c r="A6023" t="inlineStr">
        <is>
          <t>A 12460-2022</t>
        </is>
      </c>
      <c r="B6023" s="1" t="n">
        <v>44638</v>
      </c>
      <c r="C6023" s="1" t="n">
        <v>45952</v>
      </c>
      <c r="D6023" t="inlineStr">
        <is>
          <t>VÄSTRA GÖTALANDS LÄN</t>
        </is>
      </c>
      <c r="E6023" t="inlineStr">
        <is>
          <t>FÄRGELANDA</t>
        </is>
      </c>
      <c r="G6023" t="n">
        <v>1.1</v>
      </c>
      <c r="H6023" t="n">
        <v>0</v>
      </c>
      <c r="I6023" t="n">
        <v>0</v>
      </c>
      <c r="J6023" t="n">
        <v>0</v>
      </c>
      <c r="K6023" t="n">
        <v>0</v>
      </c>
      <c r="L6023" t="n">
        <v>0</v>
      </c>
      <c r="M6023" t="n">
        <v>0</v>
      </c>
      <c r="N6023" t="n">
        <v>0</v>
      </c>
      <c r="O6023" t="n">
        <v>0</v>
      </c>
      <c r="P6023" t="n">
        <v>0</v>
      </c>
      <c r="Q6023" t="n">
        <v>0</v>
      </c>
      <c r="R6023" s="2" t="inlineStr"/>
    </row>
    <row r="6024" ht="15" customHeight="1">
      <c r="A6024" t="inlineStr">
        <is>
          <t>A 38383-2023</t>
        </is>
      </c>
      <c r="B6024" s="1" t="n">
        <v>45162.25072916667</v>
      </c>
      <c r="C6024" s="1" t="n">
        <v>45952</v>
      </c>
      <c r="D6024" t="inlineStr">
        <is>
          <t>VÄSTRA GÖTALANDS LÄN</t>
        </is>
      </c>
      <c r="E6024" t="inlineStr">
        <is>
          <t>DALS-ED</t>
        </is>
      </c>
      <c r="G6024" t="n">
        <v>2.5</v>
      </c>
      <c r="H6024" t="n">
        <v>0</v>
      </c>
      <c r="I6024" t="n">
        <v>0</v>
      </c>
      <c r="J6024" t="n">
        <v>0</v>
      </c>
      <c r="K6024" t="n">
        <v>0</v>
      </c>
      <c r="L6024" t="n">
        <v>0</v>
      </c>
      <c r="M6024" t="n">
        <v>0</v>
      </c>
      <c r="N6024" t="n">
        <v>0</v>
      </c>
      <c r="O6024" t="n">
        <v>0</v>
      </c>
      <c r="P6024" t="n">
        <v>0</v>
      </c>
      <c r="Q6024" t="n">
        <v>0</v>
      </c>
      <c r="R6024" s="2" t="inlineStr"/>
    </row>
    <row r="6025" ht="15" customHeight="1">
      <c r="A6025" t="inlineStr">
        <is>
          <t>A 17405-2021</t>
        </is>
      </c>
      <c r="B6025" s="1" t="n">
        <v>44298</v>
      </c>
      <c r="C6025" s="1" t="n">
        <v>45952</v>
      </c>
      <c r="D6025" t="inlineStr">
        <is>
          <t>VÄSTRA GÖTALANDS LÄN</t>
        </is>
      </c>
      <c r="E6025" t="inlineStr">
        <is>
          <t>BENGTSFORS</t>
        </is>
      </c>
      <c r="F6025" t="inlineStr">
        <is>
          <t>Kyrkan</t>
        </is>
      </c>
      <c r="G6025" t="n">
        <v>9.800000000000001</v>
      </c>
      <c r="H6025" t="n">
        <v>0</v>
      </c>
      <c r="I6025" t="n">
        <v>0</v>
      </c>
      <c r="J6025" t="n">
        <v>0</v>
      </c>
      <c r="K6025" t="n">
        <v>0</v>
      </c>
      <c r="L6025" t="n">
        <v>0</v>
      </c>
      <c r="M6025" t="n">
        <v>0</v>
      </c>
      <c r="N6025" t="n">
        <v>0</v>
      </c>
      <c r="O6025" t="n">
        <v>0</v>
      </c>
      <c r="P6025" t="n">
        <v>0</v>
      </c>
      <c r="Q6025" t="n">
        <v>0</v>
      </c>
      <c r="R6025" s="2" t="inlineStr"/>
    </row>
    <row r="6026" ht="15" customHeight="1">
      <c r="A6026" t="inlineStr">
        <is>
          <t>A 4639-2022</t>
        </is>
      </c>
      <c r="B6026" s="1" t="n">
        <v>44592</v>
      </c>
      <c r="C6026" s="1" t="n">
        <v>45952</v>
      </c>
      <c r="D6026" t="inlineStr">
        <is>
          <t>VÄSTRA GÖTALANDS LÄN</t>
        </is>
      </c>
      <c r="E6026" t="inlineStr">
        <is>
          <t>UDDEVALLA</t>
        </is>
      </c>
      <c r="G6026" t="n">
        <v>2.2</v>
      </c>
      <c r="H6026" t="n">
        <v>0</v>
      </c>
      <c r="I6026" t="n">
        <v>0</v>
      </c>
      <c r="J6026" t="n">
        <v>0</v>
      </c>
      <c r="K6026" t="n">
        <v>0</v>
      </c>
      <c r="L6026" t="n">
        <v>0</v>
      </c>
      <c r="M6026" t="n">
        <v>0</v>
      </c>
      <c r="N6026" t="n">
        <v>0</v>
      </c>
      <c r="O6026" t="n">
        <v>0</v>
      </c>
      <c r="P6026" t="n">
        <v>0</v>
      </c>
      <c r="Q6026" t="n">
        <v>0</v>
      </c>
      <c r="R6026" s="2" t="inlineStr"/>
    </row>
    <row r="6027" ht="15" customHeight="1">
      <c r="A6027" t="inlineStr">
        <is>
          <t>A 1456-2022</t>
        </is>
      </c>
      <c r="B6027" s="1" t="n">
        <v>44573</v>
      </c>
      <c r="C6027" s="1" t="n">
        <v>45952</v>
      </c>
      <c r="D6027" t="inlineStr">
        <is>
          <t>VÄSTRA GÖTALANDS LÄN</t>
        </is>
      </c>
      <c r="E6027" t="inlineStr">
        <is>
          <t>FALKÖPING</t>
        </is>
      </c>
      <c r="F6027" t="inlineStr">
        <is>
          <t>Naturvårdsverket</t>
        </is>
      </c>
      <c r="G6027" t="n">
        <v>1.3</v>
      </c>
      <c r="H6027" t="n">
        <v>0</v>
      </c>
      <c r="I6027" t="n">
        <v>0</v>
      </c>
      <c r="J6027" t="n">
        <v>0</v>
      </c>
      <c r="K6027" t="n">
        <v>0</v>
      </c>
      <c r="L6027" t="n">
        <v>0</v>
      </c>
      <c r="M6027" t="n">
        <v>0</v>
      </c>
      <c r="N6027" t="n">
        <v>0</v>
      </c>
      <c r="O6027" t="n">
        <v>0</v>
      </c>
      <c r="P6027" t="n">
        <v>0</v>
      </c>
      <c r="Q6027" t="n">
        <v>0</v>
      </c>
      <c r="R6027" s="2" t="inlineStr"/>
    </row>
    <row r="6028" ht="15" customHeight="1">
      <c r="A6028" t="inlineStr">
        <is>
          <t>A 1108-2023</t>
        </is>
      </c>
      <c r="B6028" s="1" t="n">
        <v>44935.59246527778</v>
      </c>
      <c r="C6028" s="1" t="n">
        <v>45952</v>
      </c>
      <c r="D6028" t="inlineStr">
        <is>
          <t>VÄSTRA GÖTALANDS LÄN</t>
        </is>
      </c>
      <c r="E6028" t="inlineStr">
        <is>
          <t>HJO</t>
        </is>
      </c>
      <c r="G6028" t="n">
        <v>1.8</v>
      </c>
      <c r="H6028" t="n">
        <v>0</v>
      </c>
      <c r="I6028" t="n">
        <v>0</v>
      </c>
      <c r="J6028" t="n">
        <v>0</v>
      </c>
      <c r="K6028" t="n">
        <v>0</v>
      </c>
      <c r="L6028" t="n">
        <v>0</v>
      </c>
      <c r="M6028" t="n">
        <v>0</v>
      </c>
      <c r="N6028" t="n">
        <v>0</v>
      </c>
      <c r="O6028" t="n">
        <v>0</v>
      </c>
      <c r="P6028" t="n">
        <v>0</v>
      </c>
      <c r="Q6028" t="n">
        <v>0</v>
      </c>
      <c r="R6028" s="2" t="inlineStr"/>
    </row>
    <row r="6029" ht="15" customHeight="1">
      <c r="A6029" t="inlineStr">
        <is>
          <t>A 3408-2021</t>
        </is>
      </c>
      <c r="B6029" s="1" t="n">
        <v>44218</v>
      </c>
      <c r="C6029" s="1" t="n">
        <v>45952</v>
      </c>
      <c r="D6029" t="inlineStr">
        <is>
          <t>VÄSTRA GÖTALANDS LÄN</t>
        </is>
      </c>
      <c r="E6029" t="inlineStr">
        <is>
          <t>MARK</t>
        </is>
      </c>
      <c r="G6029" t="n">
        <v>1.2</v>
      </c>
      <c r="H6029" t="n">
        <v>0</v>
      </c>
      <c r="I6029" t="n">
        <v>0</v>
      </c>
      <c r="J6029" t="n">
        <v>0</v>
      </c>
      <c r="K6029" t="n">
        <v>0</v>
      </c>
      <c r="L6029" t="n">
        <v>0</v>
      </c>
      <c r="M6029" t="n">
        <v>0</v>
      </c>
      <c r="N6029" t="n">
        <v>0</v>
      </c>
      <c r="O6029" t="n">
        <v>0</v>
      </c>
      <c r="P6029" t="n">
        <v>0</v>
      </c>
      <c r="Q6029" t="n">
        <v>0</v>
      </c>
      <c r="R6029" s="2" t="inlineStr"/>
    </row>
    <row r="6030" ht="15" customHeight="1">
      <c r="A6030" t="inlineStr">
        <is>
          <t>A 14514-2024</t>
        </is>
      </c>
      <c r="B6030" s="1" t="n">
        <v>45394</v>
      </c>
      <c r="C6030" s="1" t="n">
        <v>45952</v>
      </c>
      <c r="D6030" t="inlineStr">
        <is>
          <t>VÄSTRA GÖTALANDS LÄN</t>
        </is>
      </c>
      <c r="E6030" t="inlineStr">
        <is>
          <t>KARLSBORG</t>
        </is>
      </c>
      <c r="F6030" t="inlineStr">
        <is>
          <t>Sveaskog</t>
        </is>
      </c>
      <c r="G6030" t="n">
        <v>0.9</v>
      </c>
      <c r="H6030" t="n">
        <v>0</v>
      </c>
      <c r="I6030" t="n">
        <v>0</v>
      </c>
      <c r="J6030" t="n">
        <v>0</v>
      </c>
      <c r="K6030" t="n">
        <v>0</v>
      </c>
      <c r="L6030" t="n">
        <v>0</v>
      </c>
      <c r="M6030" t="n">
        <v>0</v>
      </c>
      <c r="N6030" t="n">
        <v>0</v>
      </c>
      <c r="O6030" t="n">
        <v>0</v>
      </c>
      <c r="P6030" t="n">
        <v>0</v>
      </c>
      <c r="Q6030" t="n">
        <v>0</v>
      </c>
      <c r="R6030" s="2" t="inlineStr"/>
    </row>
    <row r="6031" ht="15" customHeight="1">
      <c r="A6031" t="inlineStr">
        <is>
          <t>A 48901-2023</t>
        </is>
      </c>
      <c r="B6031" s="1" t="n">
        <v>45209.52467592592</v>
      </c>
      <c r="C6031" s="1" t="n">
        <v>45952</v>
      </c>
      <c r="D6031" t="inlineStr">
        <is>
          <t>VÄSTRA GÖTALANDS LÄN</t>
        </is>
      </c>
      <c r="E6031" t="inlineStr">
        <is>
          <t>TIBRO</t>
        </is>
      </c>
      <c r="G6031" t="n">
        <v>18.3</v>
      </c>
      <c r="H6031" t="n">
        <v>0</v>
      </c>
      <c r="I6031" t="n">
        <v>0</v>
      </c>
      <c r="J6031" t="n">
        <v>0</v>
      </c>
      <c r="K6031" t="n">
        <v>0</v>
      </c>
      <c r="L6031" t="n">
        <v>0</v>
      </c>
      <c r="M6031" t="n">
        <v>0</v>
      </c>
      <c r="N6031" t="n">
        <v>0</v>
      </c>
      <c r="O6031" t="n">
        <v>0</v>
      </c>
      <c r="P6031" t="n">
        <v>0</v>
      </c>
      <c r="Q6031" t="n">
        <v>0</v>
      </c>
      <c r="R6031" s="2" t="inlineStr"/>
    </row>
    <row r="6032" ht="15" customHeight="1">
      <c r="A6032" t="inlineStr">
        <is>
          <t>A 12385-2024</t>
        </is>
      </c>
      <c r="B6032" s="1" t="n">
        <v>45379.3350462963</v>
      </c>
      <c r="C6032" s="1" t="n">
        <v>45952</v>
      </c>
      <c r="D6032" t="inlineStr">
        <is>
          <t>VÄSTRA GÖTALANDS LÄN</t>
        </is>
      </c>
      <c r="E6032" t="inlineStr">
        <is>
          <t>BORÅS</t>
        </is>
      </c>
      <c r="F6032" t="inlineStr">
        <is>
          <t>Sveaskog</t>
        </is>
      </c>
      <c r="G6032" t="n">
        <v>4.2</v>
      </c>
      <c r="H6032" t="n">
        <v>0</v>
      </c>
      <c r="I6032" t="n">
        <v>0</v>
      </c>
      <c r="J6032" t="n">
        <v>0</v>
      </c>
      <c r="K6032" t="n">
        <v>0</v>
      </c>
      <c r="L6032" t="n">
        <v>0</v>
      </c>
      <c r="M6032" t="n">
        <v>0</v>
      </c>
      <c r="N6032" t="n">
        <v>0</v>
      </c>
      <c r="O6032" t="n">
        <v>0</v>
      </c>
      <c r="P6032" t="n">
        <v>0</v>
      </c>
      <c r="Q6032" t="n">
        <v>0</v>
      </c>
      <c r="R6032" s="2" t="inlineStr"/>
    </row>
    <row r="6033" ht="15" customHeight="1">
      <c r="A6033" t="inlineStr">
        <is>
          <t>A 12388-2024</t>
        </is>
      </c>
      <c r="B6033" s="1" t="n">
        <v>45379.33895833333</v>
      </c>
      <c r="C6033" s="1" t="n">
        <v>45952</v>
      </c>
      <c r="D6033" t="inlineStr">
        <is>
          <t>VÄSTRA GÖTALANDS LÄN</t>
        </is>
      </c>
      <c r="E6033" t="inlineStr">
        <is>
          <t>BORÅS</t>
        </is>
      </c>
      <c r="F6033" t="inlineStr">
        <is>
          <t>Sveaskog</t>
        </is>
      </c>
      <c r="G6033" t="n">
        <v>1.7</v>
      </c>
      <c r="H6033" t="n">
        <v>0</v>
      </c>
      <c r="I6033" t="n">
        <v>0</v>
      </c>
      <c r="J6033" t="n">
        <v>0</v>
      </c>
      <c r="K6033" t="n">
        <v>0</v>
      </c>
      <c r="L6033" t="n">
        <v>0</v>
      </c>
      <c r="M6033" t="n">
        <v>0</v>
      </c>
      <c r="N6033" t="n">
        <v>0</v>
      </c>
      <c r="O6033" t="n">
        <v>0</v>
      </c>
      <c r="P6033" t="n">
        <v>0</v>
      </c>
      <c r="Q6033" t="n">
        <v>0</v>
      </c>
      <c r="R6033" s="2" t="inlineStr"/>
    </row>
    <row r="6034" ht="15" customHeight="1">
      <c r="A6034" t="inlineStr">
        <is>
          <t>A 44033-2024</t>
        </is>
      </c>
      <c r="B6034" s="1" t="n">
        <v>45572</v>
      </c>
      <c r="C6034" s="1" t="n">
        <v>45952</v>
      </c>
      <c r="D6034" t="inlineStr">
        <is>
          <t>VÄSTRA GÖTALANDS LÄN</t>
        </is>
      </c>
      <c r="E6034" t="inlineStr">
        <is>
          <t>GÖTENE</t>
        </is>
      </c>
      <c r="G6034" t="n">
        <v>1.2</v>
      </c>
      <c r="H6034" t="n">
        <v>0</v>
      </c>
      <c r="I6034" t="n">
        <v>0</v>
      </c>
      <c r="J6034" t="n">
        <v>0</v>
      </c>
      <c r="K6034" t="n">
        <v>0</v>
      </c>
      <c r="L6034" t="n">
        <v>0</v>
      </c>
      <c r="M6034" t="n">
        <v>0</v>
      </c>
      <c r="N6034" t="n">
        <v>0</v>
      </c>
      <c r="O6034" t="n">
        <v>0</v>
      </c>
      <c r="P6034" t="n">
        <v>0</v>
      </c>
      <c r="Q6034" t="n">
        <v>0</v>
      </c>
      <c r="R6034" s="2" t="inlineStr"/>
    </row>
    <row r="6035" ht="15" customHeight="1">
      <c r="A6035" t="inlineStr">
        <is>
          <t>A 28803-2022</t>
        </is>
      </c>
      <c r="B6035" s="1" t="n">
        <v>44749.42851851852</v>
      </c>
      <c r="C6035" s="1" t="n">
        <v>45952</v>
      </c>
      <c r="D6035" t="inlineStr">
        <is>
          <t>VÄSTRA GÖTALANDS LÄN</t>
        </is>
      </c>
      <c r="E6035" t="inlineStr">
        <is>
          <t>FÄRGELANDA</t>
        </is>
      </c>
      <c r="G6035" t="n">
        <v>1.6</v>
      </c>
      <c r="H6035" t="n">
        <v>0</v>
      </c>
      <c r="I6035" t="n">
        <v>0</v>
      </c>
      <c r="J6035" t="n">
        <v>0</v>
      </c>
      <c r="K6035" t="n">
        <v>0</v>
      </c>
      <c r="L6035" t="n">
        <v>0</v>
      </c>
      <c r="M6035" t="n">
        <v>0</v>
      </c>
      <c r="N6035" t="n">
        <v>0</v>
      </c>
      <c r="O6035" t="n">
        <v>0</v>
      </c>
      <c r="P6035" t="n">
        <v>0</v>
      </c>
      <c r="Q6035" t="n">
        <v>0</v>
      </c>
      <c r="R6035" s="2" t="inlineStr"/>
    </row>
    <row r="6036" ht="15" customHeight="1">
      <c r="A6036" t="inlineStr">
        <is>
          <t>A 2319-2024</t>
        </is>
      </c>
      <c r="B6036" s="1" t="n">
        <v>45310</v>
      </c>
      <c r="C6036" s="1" t="n">
        <v>45952</v>
      </c>
      <c r="D6036" t="inlineStr">
        <is>
          <t>VÄSTRA GÖTALANDS LÄN</t>
        </is>
      </c>
      <c r="E6036" t="inlineStr">
        <is>
          <t>BENGTSFORS</t>
        </is>
      </c>
      <c r="G6036" t="n">
        <v>1.9</v>
      </c>
      <c r="H6036" t="n">
        <v>0</v>
      </c>
      <c r="I6036" t="n">
        <v>0</v>
      </c>
      <c r="J6036" t="n">
        <v>0</v>
      </c>
      <c r="K6036" t="n">
        <v>0</v>
      </c>
      <c r="L6036" t="n">
        <v>0</v>
      </c>
      <c r="M6036" t="n">
        <v>0</v>
      </c>
      <c r="N6036" t="n">
        <v>0</v>
      </c>
      <c r="O6036" t="n">
        <v>0</v>
      </c>
      <c r="P6036" t="n">
        <v>0</v>
      </c>
      <c r="Q6036" t="n">
        <v>0</v>
      </c>
      <c r="R6036" s="2" t="inlineStr"/>
    </row>
    <row r="6037" ht="15" customHeight="1">
      <c r="A6037" t="inlineStr">
        <is>
          <t>A 57167-2022</t>
        </is>
      </c>
      <c r="B6037" s="1" t="n">
        <v>44895.60074074074</v>
      </c>
      <c r="C6037" s="1" t="n">
        <v>45952</v>
      </c>
      <c r="D6037" t="inlineStr">
        <is>
          <t>VÄSTRA GÖTALANDS LÄN</t>
        </is>
      </c>
      <c r="E6037" t="inlineStr">
        <is>
          <t>VÅRGÅRDA</t>
        </is>
      </c>
      <c r="G6037" t="n">
        <v>0.6</v>
      </c>
      <c r="H6037" t="n">
        <v>0</v>
      </c>
      <c r="I6037" t="n">
        <v>0</v>
      </c>
      <c r="J6037" t="n">
        <v>0</v>
      </c>
      <c r="K6037" t="n">
        <v>0</v>
      </c>
      <c r="L6037" t="n">
        <v>0</v>
      </c>
      <c r="M6037" t="n">
        <v>0</v>
      </c>
      <c r="N6037" t="n">
        <v>0</v>
      </c>
      <c r="O6037" t="n">
        <v>0</v>
      </c>
      <c r="P6037" t="n">
        <v>0</v>
      </c>
      <c r="Q6037" t="n">
        <v>0</v>
      </c>
      <c r="R6037" s="2" t="inlineStr"/>
    </row>
    <row r="6038" ht="15" customHeight="1">
      <c r="A6038" t="inlineStr">
        <is>
          <t>A 57684-2022</t>
        </is>
      </c>
      <c r="B6038" s="1" t="n">
        <v>44897.47668981482</v>
      </c>
      <c r="C6038" s="1" t="n">
        <v>45952</v>
      </c>
      <c r="D6038" t="inlineStr">
        <is>
          <t>VÄSTRA GÖTALANDS LÄN</t>
        </is>
      </c>
      <c r="E6038" t="inlineStr">
        <is>
          <t>TANUM</t>
        </is>
      </c>
      <c r="G6038" t="n">
        <v>8.199999999999999</v>
      </c>
      <c r="H6038" t="n">
        <v>0</v>
      </c>
      <c r="I6038" t="n">
        <v>0</v>
      </c>
      <c r="J6038" t="n">
        <v>0</v>
      </c>
      <c r="K6038" t="n">
        <v>0</v>
      </c>
      <c r="L6038" t="n">
        <v>0</v>
      </c>
      <c r="M6038" t="n">
        <v>0</v>
      </c>
      <c r="N6038" t="n">
        <v>0</v>
      </c>
      <c r="O6038" t="n">
        <v>0</v>
      </c>
      <c r="P6038" t="n">
        <v>0</v>
      </c>
      <c r="Q6038" t="n">
        <v>0</v>
      </c>
      <c r="R6038" s="2" t="inlineStr"/>
    </row>
    <row r="6039" ht="15" customHeight="1">
      <c r="A6039" t="inlineStr">
        <is>
          <t>A 16105-2025</t>
        </is>
      </c>
      <c r="B6039" s="1" t="n">
        <v>45750.3245949074</v>
      </c>
      <c r="C6039" s="1" t="n">
        <v>45952</v>
      </c>
      <c r="D6039" t="inlineStr">
        <is>
          <t>VÄSTRA GÖTALANDS LÄN</t>
        </is>
      </c>
      <c r="E6039" t="inlineStr">
        <is>
          <t>MUNKEDAL</t>
        </is>
      </c>
      <c r="G6039" t="n">
        <v>0.6</v>
      </c>
      <c r="H6039" t="n">
        <v>0</v>
      </c>
      <c r="I6039" t="n">
        <v>0</v>
      </c>
      <c r="J6039" t="n">
        <v>0</v>
      </c>
      <c r="K6039" t="n">
        <v>0</v>
      </c>
      <c r="L6039" t="n">
        <v>0</v>
      </c>
      <c r="M6039" t="n">
        <v>0</v>
      </c>
      <c r="N6039" t="n">
        <v>0</v>
      </c>
      <c r="O6039" t="n">
        <v>0</v>
      </c>
      <c r="P6039" t="n">
        <v>0</v>
      </c>
      <c r="Q6039" t="n">
        <v>0</v>
      </c>
      <c r="R6039" s="2" t="inlineStr"/>
    </row>
    <row r="6040" ht="15" customHeight="1">
      <c r="A6040" t="inlineStr">
        <is>
          <t>A 6997-2025</t>
        </is>
      </c>
      <c r="B6040" s="1" t="n">
        <v>45701.59048611111</v>
      </c>
      <c r="C6040" s="1" t="n">
        <v>45952</v>
      </c>
      <c r="D6040" t="inlineStr">
        <is>
          <t>VÄSTRA GÖTALANDS LÄN</t>
        </is>
      </c>
      <c r="E6040" t="inlineStr">
        <is>
          <t>TRANEMO</t>
        </is>
      </c>
      <c r="G6040" t="n">
        <v>0.5</v>
      </c>
      <c r="H6040" t="n">
        <v>0</v>
      </c>
      <c r="I6040" t="n">
        <v>0</v>
      </c>
      <c r="J6040" t="n">
        <v>0</v>
      </c>
      <c r="K6040" t="n">
        <v>0</v>
      </c>
      <c r="L6040" t="n">
        <v>0</v>
      </c>
      <c r="M6040" t="n">
        <v>0</v>
      </c>
      <c r="N6040" t="n">
        <v>0</v>
      </c>
      <c r="O6040" t="n">
        <v>0</v>
      </c>
      <c r="P6040" t="n">
        <v>0</v>
      </c>
      <c r="Q6040" t="n">
        <v>0</v>
      </c>
      <c r="R6040" s="2" t="inlineStr"/>
    </row>
    <row r="6041" ht="15" customHeight="1">
      <c r="A6041" t="inlineStr">
        <is>
          <t>A 3293-2024</t>
        </is>
      </c>
      <c r="B6041" s="1" t="n">
        <v>45317</v>
      </c>
      <c r="C6041" s="1" t="n">
        <v>45952</v>
      </c>
      <c r="D6041" t="inlineStr">
        <is>
          <t>VÄSTRA GÖTALANDS LÄN</t>
        </is>
      </c>
      <c r="E6041" t="inlineStr">
        <is>
          <t>TRANEMO</t>
        </is>
      </c>
      <c r="G6041" t="n">
        <v>0.5</v>
      </c>
      <c r="H6041" t="n">
        <v>0</v>
      </c>
      <c r="I6041" t="n">
        <v>0</v>
      </c>
      <c r="J6041" t="n">
        <v>0</v>
      </c>
      <c r="K6041" t="n">
        <v>0</v>
      </c>
      <c r="L6041" t="n">
        <v>0</v>
      </c>
      <c r="M6041" t="n">
        <v>0</v>
      </c>
      <c r="N6041" t="n">
        <v>0</v>
      </c>
      <c r="O6041" t="n">
        <v>0</v>
      </c>
      <c r="P6041" t="n">
        <v>0</v>
      </c>
      <c r="Q6041" t="n">
        <v>0</v>
      </c>
      <c r="R6041" s="2" t="inlineStr"/>
    </row>
    <row r="6042" ht="15" customHeight="1">
      <c r="A6042" t="inlineStr">
        <is>
          <t>A 19562-2024</t>
        </is>
      </c>
      <c r="B6042" s="1" t="n">
        <v>45429.89168981482</v>
      </c>
      <c r="C6042" s="1" t="n">
        <v>45952</v>
      </c>
      <c r="D6042" t="inlineStr">
        <is>
          <t>VÄSTRA GÖTALANDS LÄN</t>
        </is>
      </c>
      <c r="E6042" t="inlineStr">
        <is>
          <t>ALINGSÅS</t>
        </is>
      </c>
      <c r="G6042" t="n">
        <v>1</v>
      </c>
      <c r="H6042" t="n">
        <v>0</v>
      </c>
      <c r="I6042" t="n">
        <v>0</v>
      </c>
      <c r="J6042" t="n">
        <v>0</v>
      </c>
      <c r="K6042" t="n">
        <v>0</v>
      </c>
      <c r="L6042" t="n">
        <v>0</v>
      </c>
      <c r="M6042" t="n">
        <v>0</v>
      </c>
      <c r="N6042" t="n">
        <v>0</v>
      </c>
      <c r="O6042" t="n">
        <v>0</v>
      </c>
      <c r="P6042" t="n">
        <v>0</v>
      </c>
      <c r="Q6042" t="n">
        <v>0</v>
      </c>
      <c r="R6042" s="2" t="inlineStr"/>
    </row>
    <row r="6043" ht="15" customHeight="1">
      <c r="A6043" t="inlineStr">
        <is>
          <t>A 46037-2023</t>
        </is>
      </c>
      <c r="B6043" s="1" t="n">
        <v>45196</v>
      </c>
      <c r="C6043" s="1" t="n">
        <v>45952</v>
      </c>
      <c r="D6043" t="inlineStr">
        <is>
          <t>VÄSTRA GÖTALANDS LÄN</t>
        </is>
      </c>
      <c r="E6043" t="inlineStr">
        <is>
          <t>FÄRGELANDA</t>
        </is>
      </c>
      <c r="G6043" t="n">
        <v>3.4</v>
      </c>
      <c r="H6043" t="n">
        <v>0</v>
      </c>
      <c r="I6043" t="n">
        <v>0</v>
      </c>
      <c r="J6043" t="n">
        <v>0</v>
      </c>
      <c r="K6043" t="n">
        <v>0</v>
      </c>
      <c r="L6043" t="n">
        <v>0</v>
      </c>
      <c r="M6043" t="n">
        <v>0</v>
      </c>
      <c r="N6043" t="n">
        <v>0</v>
      </c>
      <c r="O6043" t="n">
        <v>0</v>
      </c>
      <c r="P6043" t="n">
        <v>0</v>
      </c>
      <c r="Q6043" t="n">
        <v>0</v>
      </c>
      <c r="R6043" s="2" t="inlineStr"/>
    </row>
    <row r="6044" ht="15" customHeight="1">
      <c r="A6044" t="inlineStr">
        <is>
          <t>A 28053-2022</t>
        </is>
      </c>
      <c r="B6044" s="1" t="n">
        <v>44746.41878472222</v>
      </c>
      <c r="C6044" s="1" t="n">
        <v>45952</v>
      </c>
      <c r="D6044" t="inlineStr">
        <is>
          <t>VÄSTRA GÖTALANDS LÄN</t>
        </is>
      </c>
      <c r="E6044" t="inlineStr">
        <is>
          <t>MARIESTAD</t>
        </is>
      </c>
      <c r="G6044" t="n">
        <v>1.5</v>
      </c>
      <c r="H6044" t="n">
        <v>0</v>
      </c>
      <c r="I6044" t="n">
        <v>0</v>
      </c>
      <c r="J6044" t="n">
        <v>0</v>
      </c>
      <c r="K6044" t="n">
        <v>0</v>
      </c>
      <c r="L6044" t="n">
        <v>0</v>
      </c>
      <c r="M6044" t="n">
        <v>0</v>
      </c>
      <c r="N6044" t="n">
        <v>0</v>
      </c>
      <c r="O6044" t="n">
        <v>0</v>
      </c>
      <c r="P6044" t="n">
        <v>0</v>
      </c>
      <c r="Q6044" t="n">
        <v>0</v>
      </c>
      <c r="R6044" s="2" t="inlineStr"/>
    </row>
    <row r="6045" ht="15" customHeight="1">
      <c r="A6045" t="inlineStr">
        <is>
          <t>A 28097-2022</t>
        </is>
      </c>
      <c r="B6045" s="1" t="n">
        <v>44746.47129629629</v>
      </c>
      <c r="C6045" s="1" t="n">
        <v>45952</v>
      </c>
      <c r="D6045" t="inlineStr">
        <is>
          <t>VÄSTRA GÖTALANDS LÄN</t>
        </is>
      </c>
      <c r="E6045" t="inlineStr">
        <is>
          <t>GULLSPÅNG</t>
        </is>
      </c>
      <c r="G6045" t="n">
        <v>2.2</v>
      </c>
      <c r="H6045" t="n">
        <v>0</v>
      </c>
      <c r="I6045" t="n">
        <v>0</v>
      </c>
      <c r="J6045" t="n">
        <v>0</v>
      </c>
      <c r="K6045" t="n">
        <v>0</v>
      </c>
      <c r="L6045" t="n">
        <v>0</v>
      </c>
      <c r="M6045" t="n">
        <v>0</v>
      </c>
      <c r="N6045" t="n">
        <v>0</v>
      </c>
      <c r="O6045" t="n">
        <v>0</v>
      </c>
      <c r="P6045" t="n">
        <v>0</v>
      </c>
      <c r="Q6045" t="n">
        <v>0</v>
      </c>
      <c r="R6045" s="2" t="inlineStr"/>
    </row>
    <row r="6046" ht="15" customHeight="1">
      <c r="A6046" t="inlineStr">
        <is>
          <t>A 7382-2023</t>
        </is>
      </c>
      <c r="B6046" s="1" t="n">
        <v>44971.45362268519</v>
      </c>
      <c r="C6046" s="1" t="n">
        <v>45952</v>
      </c>
      <c r="D6046" t="inlineStr">
        <is>
          <t>VÄSTRA GÖTALANDS LÄN</t>
        </is>
      </c>
      <c r="E6046" t="inlineStr">
        <is>
          <t>ULRICEHAMN</t>
        </is>
      </c>
      <c r="G6046" t="n">
        <v>0.5</v>
      </c>
      <c r="H6046" t="n">
        <v>0</v>
      </c>
      <c r="I6046" t="n">
        <v>0</v>
      </c>
      <c r="J6046" t="n">
        <v>0</v>
      </c>
      <c r="K6046" t="n">
        <v>0</v>
      </c>
      <c r="L6046" t="n">
        <v>0</v>
      </c>
      <c r="M6046" t="n">
        <v>0</v>
      </c>
      <c r="N6046" t="n">
        <v>0</v>
      </c>
      <c r="O6046" t="n">
        <v>0</v>
      </c>
      <c r="P6046" t="n">
        <v>0</v>
      </c>
      <c r="Q6046" t="n">
        <v>0</v>
      </c>
      <c r="R6046" s="2" t="inlineStr"/>
    </row>
    <row r="6047" ht="15" customHeight="1">
      <c r="A6047" t="inlineStr">
        <is>
          <t>A 60231-2024</t>
        </is>
      </c>
      <c r="B6047" s="1" t="n">
        <v>45640</v>
      </c>
      <c r="C6047" s="1" t="n">
        <v>45952</v>
      </c>
      <c r="D6047" t="inlineStr">
        <is>
          <t>VÄSTRA GÖTALANDS LÄN</t>
        </is>
      </c>
      <c r="E6047" t="inlineStr">
        <is>
          <t>MUNKEDAL</t>
        </is>
      </c>
      <c r="G6047" t="n">
        <v>2.2</v>
      </c>
      <c r="H6047" t="n">
        <v>0</v>
      </c>
      <c r="I6047" t="n">
        <v>0</v>
      </c>
      <c r="J6047" t="n">
        <v>0</v>
      </c>
      <c r="K6047" t="n">
        <v>0</v>
      </c>
      <c r="L6047" t="n">
        <v>0</v>
      </c>
      <c r="M6047" t="n">
        <v>0</v>
      </c>
      <c r="N6047" t="n">
        <v>0</v>
      </c>
      <c r="O6047" t="n">
        <v>0</v>
      </c>
      <c r="P6047" t="n">
        <v>0</v>
      </c>
      <c r="Q6047" t="n">
        <v>0</v>
      </c>
      <c r="R6047" s="2" t="inlineStr"/>
    </row>
    <row r="6048" ht="15" customHeight="1">
      <c r="A6048" t="inlineStr">
        <is>
          <t>A 60242-2024</t>
        </is>
      </c>
      <c r="B6048" s="1" t="n">
        <v>45642.79674768518</v>
      </c>
      <c r="C6048" s="1" t="n">
        <v>45952</v>
      </c>
      <c r="D6048" t="inlineStr">
        <is>
          <t>VÄSTRA GÖTALANDS LÄN</t>
        </is>
      </c>
      <c r="E6048" t="inlineStr">
        <is>
          <t>UDDEVALLA</t>
        </is>
      </c>
      <c r="G6048" t="n">
        <v>0.8</v>
      </c>
      <c r="H6048" t="n">
        <v>0</v>
      </c>
      <c r="I6048" t="n">
        <v>0</v>
      </c>
      <c r="J6048" t="n">
        <v>0</v>
      </c>
      <c r="K6048" t="n">
        <v>0</v>
      </c>
      <c r="L6048" t="n">
        <v>0</v>
      </c>
      <c r="M6048" t="n">
        <v>0</v>
      </c>
      <c r="N6048" t="n">
        <v>0</v>
      </c>
      <c r="O6048" t="n">
        <v>0</v>
      </c>
      <c r="P6048" t="n">
        <v>0</v>
      </c>
      <c r="Q6048" t="n">
        <v>0</v>
      </c>
      <c r="R6048" s="2" t="inlineStr"/>
    </row>
    <row r="6049" ht="15" customHeight="1">
      <c r="A6049" t="inlineStr">
        <is>
          <t>A 17048-2024</t>
        </is>
      </c>
      <c r="B6049" s="1" t="n">
        <v>45412.43246527778</v>
      </c>
      <c r="C6049" s="1" t="n">
        <v>45952</v>
      </c>
      <c r="D6049" t="inlineStr">
        <is>
          <t>VÄSTRA GÖTALANDS LÄN</t>
        </is>
      </c>
      <c r="E6049" t="inlineStr">
        <is>
          <t>ALINGSÅS</t>
        </is>
      </c>
      <c r="G6049" t="n">
        <v>0.9</v>
      </c>
      <c r="H6049" t="n">
        <v>0</v>
      </c>
      <c r="I6049" t="n">
        <v>0</v>
      </c>
      <c r="J6049" t="n">
        <v>0</v>
      </c>
      <c r="K6049" t="n">
        <v>0</v>
      </c>
      <c r="L6049" t="n">
        <v>0</v>
      </c>
      <c r="M6049" t="n">
        <v>0</v>
      </c>
      <c r="N6049" t="n">
        <v>0</v>
      </c>
      <c r="O6049" t="n">
        <v>0</v>
      </c>
      <c r="P6049" t="n">
        <v>0</v>
      </c>
      <c r="Q6049" t="n">
        <v>0</v>
      </c>
      <c r="R6049" s="2" t="inlineStr"/>
    </row>
    <row r="6050" ht="15" customHeight="1">
      <c r="A6050" t="inlineStr">
        <is>
          <t>A 53253-2023</t>
        </is>
      </c>
      <c r="B6050" s="1" t="n">
        <v>45229.52552083333</v>
      </c>
      <c r="C6050" s="1" t="n">
        <v>45952</v>
      </c>
      <c r="D6050" t="inlineStr">
        <is>
          <t>VÄSTRA GÖTALANDS LÄN</t>
        </is>
      </c>
      <c r="E6050" t="inlineStr">
        <is>
          <t>TIBRO</t>
        </is>
      </c>
      <c r="G6050" t="n">
        <v>0.5</v>
      </c>
      <c r="H6050" t="n">
        <v>0</v>
      </c>
      <c r="I6050" t="n">
        <v>0</v>
      </c>
      <c r="J6050" t="n">
        <v>0</v>
      </c>
      <c r="K6050" t="n">
        <v>0</v>
      </c>
      <c r="L6050" t="n">
        <v>0</v>
      </c>
      <c r="M6050" t="n">
        <v>0</v>
      </c>
      <c r="N6050" t="n">
        <v>0</v>
      </c>
      <c r="O6050" t="n">
        <v>0</v>
      </c>
      <c r="P6050" t="n">
        <v>0</v>
      </c>
      <c r="Q6050" t="n">
        <v>0</v>
      </c>
      <c r="R6050" s="2" t="inlineStr"/>
    </row>
    <row r="6051" ht="15" customHeight="1">
      <c r="A6051" t="inlineStr">
        <is>
          <t>A 32710-2021</t>
        </is>
      </c>
      <c r="B6051" s="1" t="n">
        <v>44375.48304398148</v>
      </c>
      <c r="C6051" s="1" t="n">
        <v>45952</v>
      </c>
      <c r="D6051" t="inlineStr">
        <is>
          <t>VÄSTRA GÖTALANDS LÄN</t>
        </is>
      </c>
      <c r="E6051" t="inlineStr">
        <is>
          <t>TRANEMO</t>
        </is>
      </c>
      <c r="F6051" t="inlineStr">
        <is>
          <t>Sveaskog</t>
        </is>
      </c>
      <c r="G6051" t="n">
        <v>1.1</v>
      </c>
      <c r="H6051" t="n">
        <v>0</v>
      </c>
      <c r="I6051" t="n">
        <v>0</v>
      </c>
      <c r="J6051" t="n">
        <v>0</v>
      </c>
      <c r="K6051" t="n">
        <v>0</v>
      </c>
      <c r="L6051" t="n">
        <v>0</v>
      </c>
      <c r="M6051" t="n">
        <v>0</v>
      </c>
      <c r="N6051" t="n">
        <v>0</v>
      </c>
      <c r="O6051" t="n">
        <v>0</v>
      </c>
      <c r="P6051" t="n">
        <v>0</v>
      </c>
      <c r="Q6051" t="n">
        <v>0</v>
      </c>
      <c r="R6051" s="2" t="inlineStr"/>
    </row>
    <row r="6052" ht="15" customHeight="1">
      <c r="A6052" t="inlineStr">
        <is>
          <t>A 6313-2021</t>
        </is>
      </c>
      <c r="B6052" s="1" t="n">
        <v>44235</v>
      </c>
      <c r="C6052" s="1" t="n">
        <v>45952</v>
      </c>
      <c r="D6052" t="inlineStr">
        <is>
          <t>VÄSTRA GÖTALANDS LÄN</t>
        </is>
      </c>
      <c r="E6052" t="inlineStr">
        <is>
          <t>FÄRGELANDA</t>
        </is>
      </c>
      <c r="G6052" t="n">
        <v>7.9</v>
      </c>
      <c r="H6052" t="n">
        <v>0</v>
      </c>
      <c r="I6052" t="n">
        <v>0</v>
      </c>
      <c r="J6052" t="n">
        <v>0</v>
      </c>
      <c r="K6052" t="n">
        <v>0</v>
      </c>
      <c r="L6052" t="n">
        <v>0</v>
      </c>
      <c r="M6052" t="n">
        <v>0</v>
      </c>
      <c r="N6052" t="n">
        <v>0</v>
      </c>
      <c r="O6052" t="n">
        <v>0</v>
      </c>
      <c r="P6052" t="n">
        <v>0</v>
      </c>
      <c r="Q6052" t="n">
        <v>0</v>
      </c>
      <c r="R6052" s="2" t="inlineStr"/>
    </row>
    <row r="6053" ht="15" customHeight="1">
      <c r="A6053" t="inlineStr">
        <is>
          <t>A 46261-2021</t>
        </is>
      </c>
      <c r="B6053" s="1" t="n">
        <v>44442</v>
      </c>
      <c r="C6053" s="1" t="n">
        <v>45952</v>
      </c>
      <c r="D6053" t="inlineStr">
        <is>
          <t>VÄSTRA GÖTALANDS LÄN</t>
        </is>
      </c>
      <c r="E6053" t="inlineStr">
        <is>
          <t>TIDAHOLM</t>
        </is>
      </c>
      <c r="F6053" t="inlineStr">
        <is>
          <t>Sveaskog</t>
        </is>
      </c>
      <c r="G6053" t="n">
        <v>6.3</v>
      </c>
      <c r="H6053" t="n">
        <v>0</v>
      </c>
      <c r="I6053" t="n">
        <v>0</v>
      </c>
      <c r="J6053" t="n">
        <v>0</v>
      </c>
      <c r="K6053" t="n">
        <v>0</v>
      </c>
      <c r="L6053" t="n">
        <v>0</v>
      </c>
      <c r="M6053" t="n">
        <v>0</v>
      </c>
      <c r="N6053" t="n">
        <v>0</v>
      </c>
      <c r="O6053" t="n">
        <v>0</v>
      </c>
      <c r="P6053" t="n">
        <v>0</v>
      </c>
      <c r="Q6053" t="n">
        <v>0</v>
      </c>
      <c r="R6053" s="2" t="inlineStr"/>
    </row>
    <row r="6054" ht="15" customHeight="1">
      <c r="A6054" t="inlineStr">
        <is>
          <t>A 46323-2021</t>
        </is>
      </c>
      <c r="B6054" s="1" t="n">
        <v>44442.64697916667</v>
      </c>
      <c r="C6054" s="1" t="n">
        <v>45952</v>
      </c>
      <c r="D6054" t="inlineStr">
        <is>
          <t>VÄSTRA GÖTALANDS LÄN</t>
        </is>
      </c>
      <c r="E6054" t="inlineStr">
        <is>
          <t>BENGTSFORS</t>
        </is>
      </c>
      <c r="G6054" t="n">
        <v>1.8</v>
      </c>
      <c r="H6054" t="n">
        <v>0</v>
      </c>
      <c r="I6054" t="n">
        <v>0</v>
      </c>
      <c r="J6054" t="n">
        <v>0</v>
      </c>
      <c r="K6054" t="n">
        <v>0</v>
      </c>
      <c r="L6054" t="n">
        <v>0</v>
      </c>
      <c r="M6054" t="n">
        <v>0</v>
      </c>
      <c r="N6054" t="n">
        <v>0</v>
      </c>
      <c r="O6054" t="n">
        <v>0</v>
      </c>
      <c r="P6054" t="n">
        <v>0</v>
      </c>
      <c r="Q6054" t="n">
        <v>0</v>
      </c>
      <c r="R6054" s="2" t="inlineStr"/>
    </row>
    <row r="6055" ht="15" customHeight="1">
      <c r="A6055" t="inlineStr">
        <is>
          <t>A 180-2024</t>
        </is>
      </c>
      <c r="B6055" s="1" t="n">
        <v>45294</v>
      </c>
      <c r="C6055" s="1" t="n">
        <v>45952</v>
      </c>
      <c r="D6055" t="inlineStr">
        <is>
          <t>VÄSTRA GÖTALANDS LÄN</t>
        </is>
      </c>
      <c r="E6055" t="inlineStr">
        <is>
          <t>BORÅS</t>
        </is>
      </c>
      <c r="G6055" t="n">
        <v>3.4</v>
      </c>
      <c r="H6055" t="n">
        <v>0</v>
      </c>
      <c r="I6055" t="n">
        <v>0</v>
      </c>
      <c r="J6055" t="n">
        <v>0</v>
      </c>
      <c r="K6055" t="n">
        <v>0</v>
      </c>
      <c r="L6055" t="n">
        <v>0</v>
      </c>
      <c r="M6055" t="n">
        <v>0</v>
      </c>
      <c r="N6055" t="n">
        <v>0</v>
      </c>
      <c r="O6055" t="n">
        <v>0</v>
      </c>
      <c r="P6055" t="n">
        <v>0</v>
      </c>
      <c r="Q6055" t="n">
        <v>0</v>
      </c>
      <c r="R6055" s="2" t="inlineStr"/>
    </row>
    <row r="6056" ht="15" customHeight="1">
      <c r="A6056" t="inlineStr">
        <is>
          <t>A 11123-2024</t>
        </is>
      </c>
      <c r="B6056" s="1" t="n">
        <v>45371.41443287037</v>
      </c>
      <c r="C6056" s="1" t="n">
        <v>45952</v>
      </c>
      <c r="D6056" t="inlineStr">
        <is>
          <t>VÄSTRA GÖTALANDS LÄN</t>
        </is>
      </c>
      <c r="E6056" t="inlineStr">
        <is>
          <t>TROLLHÄTTAN</t>
        </is>
      </c>
      <c r="G6056" t="n">
        <v>8.199999999999999</v>
      </c>
      <c r="H6056" t="n">
        <v>0</v>
      </c>
      <c r="I6056" t="n">
        <v>0</v>
      </c>
      <c r="J6056" t="n">
        <v>0</v>
      </c>
      <c r="K6056" t="n">
        <v>0</v>
      </c>
      <c r="L6056" t="n">
        <v>0</v>
      </c>
      <c r="M6056" t="n">
        <v>0</v>
      </c>
      <c r="N6056" t="n">
        <v>0</v>
      </c>
      <c r="O6056" t="n">
        <v>0</v>
      </c>
      <c r="P6056" t="n">
        <v>0</v>
      </c>
      <c r="Q6056" t="n">
        <v>0</v>
      </c>
      <c r="R6056" s="2" t="inlineStr"/>
    </row>
    <row r="6057" ht="15" customHeight="1">
      <c r="A6057" t="inlineStr">
        <is>
          <t>A 22722-2023</t>
        </is>
      </c>
      <c r="B6057" s="1" t="n">
        <v>45071.85158564815</v>
      </c>
      <c r="C6057" s="1" t="n">
        <v>45952</v>
      </c>
      <c r="D6057" t="inlineStr">
        <is>
          <t>VÄSTRA GÖTALANDS LÄN</t>
        </is>
      </c>
      <c r="E6057" t="inlineStr">
        <is>
          <t>FÄRGELANDA</t>
        </is>
      </c>
      <c r="G6057" t="n">
        <v>0.8</v>
      </c>
      <c r="H6057" t="n">
        <v>0</v>
      </c>
      <c r="I6057" t="n">
        <v>0</v>
      </c>
      <c r="J6057" t="n">
        <v>0</v>
      </c>
      <c r="K6057" t="n">
        <v>0</v>
      </c>
      <c r="L6057" t="n">
        <v>0</v>
      </c>
      <c r="M6057" t="n">
        <v>0</v>
      </c>
      <c r="N6057" t="n">
        <v>0</v>
      </c>
      <c r="O6057" t="n">
        <v>0</v>
      </c>
      <c r="P6057" t="n">
        <v>0</v>
      </c>
      <c r="Q6057" t="n">
        <v>0</v>
      </c>
      <c r="R6057" s="2" t="inlineStr"/>
    </row>
    <row r="6058" ht="15" customHeight="1">
      <c r="A6058" t="inlineStr">
        <is>
          <t>A 34071-2023</t>
        </is>
      </c>
      <c r="B6058" s="1" t="n">
        <v>45135</v>
      </c>
      <c r="C6058" s="1" t="n">
        <v>45952</v>
      </c>
      <c r="D6058" t="inlineStr">
        <is>
          <t>VÄSTRA GÖTALANDS LÄN</t>
        </is>
      </c>
      <c r="E6058" t="inlineStr">
        <is>
          <t>MARK</t>
        </is>
      </c>
      <c r="G6058" t="n">
        <v>0.6</v>
      </c>
      <c r="H6058" t="n">
        <v>0</v>
      </c>
      <c r="I6058" t="n">
        <v>0</v>
      </c>
      <c r="J6058" t="n">
        <v>0</v>
      </c>
      <c r="K6058" t="n">
        <v>0</v>
      </c>
      <c r="L6058" t="n">
        <v>0</v>
      </c>
      <c r="M6058" t="n">
        <v>0</v>
      </c>
      <c r="N6058" t="n">
        <v>0</v>
      </c>
      <c r="O6058" t="n">
        <v>0</v>
      </c>
      <c r="P6058" t="n">
        <v>0</v>
      </c>
      <c r="Q6058" t="n">
        <v>0</v>
      </c>
      <c r="R6058" s="2" t="inlineStr"/>
    </row>
    <row r="6059" ht="15" customHeight="1">
      <c r="A6059" t="inlineStr">
        <is>
          <t>A 34080-2023</t>
        </is>
      </c>
      <c r="B6059" s="1" t="n">
        <v>45135</v>
      </c>
      <c r="C6059" s="1" t="n">
        <v>45952</v>
      </c>
      <c r="D6059" t="inlineStr">
        <is>
          <t>VÄSTRA GÖTALANDS LÄN</t>
        </is>
      </c>
      <c r="E6059" t="inlineStr">
        <is>
          <t>TANUM</t>
        </is>
      </c>
      <c r="G6059" t="n">
        <v>2</v>
      </c>
      <c r="H6059" t="n">
        <v>0</v>
      </c>
      <c r="I6059" t="n">
        <v>0</v>
      </c>
      <c r="J6059" t="n">
        <v>0</v>
      </c>
      <c r="K6059" t="n">
        <v>0</v>
      </c>
      <c r="L6059" t="n">
        <v>0</v>
      </c>
      <c r="M6059" t="n">
        <v>0</v>
      </c>
      <c r="N6059" t="n">
        <v>0</v>
      </c>
      <c r="O6059" t="n">
        <v>0</v>
      </c>
      <c r="P6059" t="n">
        <v>0</v>
      </c>
      <c r="Q6059" t="n">
        <v>0</v>
      </c>
      <c r="R6059" s="2" t="inlineStr"/>
    </row>
    <row r="6060" ht="15" customHeight="1">
      <c r="A6060" t="inlineStr">
        <is>
          <t>A 34112-2023</t>
        </is>
      </c>
      <c r="B6060" s="1" t="n">
        <v>45126</v>
      </c>
      <c r="C6060" s="1" t="n">
        <v>45952</v>
      </c>
      <c r="D6060" t="inlineStr">
        <is>
          <t>VÄSTRA GÖTALANDS LÄN</t>
        </is>
      </c>
      <c r="E6060" t="inlineStr">
        <is>
          <t>ÅMÅL</t>
        </is>
      </c>
      <c r="G6060" t="n">
        <v>5</v>
      </c>
      <c r="H6060" t="n">
        <v>0</v>
      </c>
      <c r="I6060" t="n">
        <v>0</v>
      </c>
      <c r="J6060" t="n">
        <v>0</v>
      </c>
      <c r="K6060" t="n">
        <v>0</v>
      </c>
      <c r="L6060" t="n">
        <v>0</v>
      </c>
      <c r="M6060" t="n">
        <v>0</v>
      </c>
      <c r="N6060" t="n">
        <v>0</v>
      </c>
      <c r="O6060" t="n">
        <v>0</v>
      </c>
      <c r="P6060" t="n">
        <v>0</v>
      </c>
      <c r="Q6060" t="n">
        <v>0</v>
      </c>
      <c r="R6060" s="2" t="inlineStr"/>
    </row>
    <row r="6061" ht="15" customHeight="1">
      <c r="A6061" t="inlineStr">
        <is>
          <t>A 19864-2025</t>
        </is>
      </c>
      <c r="B6061" s="1" t="n">
        <v>45771</v>
      </c>
      <c r="C6061" s="1" t="n">
        <v>45952</v>
      </c>
      <c r="D6061" t="inlineStr">
        <is>
          <t>VÄSTRA GÖTALANDS LÄN</t>
        </is>
      </c>
      <c r="E6061" t="inlineStr">
        <is>
          <t>ULRICEHAMN</t>
        </is>
      </c>
      <c r="G6061" t="n">
        <v>2.3</v>
      </c>
      <c r="H6061" t="n">
        <v>0</v>
      </c>
      <c r="I6061" t="n">
        <v>0</v>
      </c>
      <c r="J6061" t="n">
        <v>0</v>
      </c>
      <c r="K6061" t="n">
        <v>0</v>
      </c>
      <c r="L6061" t="n">
        <v>0</v>
      </c>
      <c r="M6061" t="n">
        <v>0</v>
      </c>
      <c r="N6061" t="n">
        <v>0</v>
      </c>
      <c r="O6061" t="n">
        <v>0</v>
      </c>
      <c r="P6061" t="n">
        <v>0</v>
      </c>
      <c r="Q6061" t="n">
        <v>0</v>
      </c>
      <c r="R6061" s="2" t="inlineStr"/>
    </row>
    <row r="6062" ht="15" customHeight="1">
      <c r="A6062" t="inlineStr">
        <is>
          <t>A 55765-2023</t>
        </is>
      </c>
      <c r="B6062" s="1" t="n">
        <v>45239.47715277778</v>
      </c>
      <c r="C6062" s="1" t="n">
        <v>45952</v>
      </c>
      <c r="D6062" t="inlineStr">
        <is>
          <t>VÄSTRA GÖTALANDS LÄN</t>
        </is>
      </c>
      <c r="E6062" t="inlineStr">
        <is>
          <t>ULRICEHAMN</t>
        </is>
      </c>
      <c r="G6062" t="n">
        <v>0.4</v>
      </c>
      <c r="H6062" t="n">
        <v>0</v>
      </c>
      <c r="I6062" t="n">
        <v>0</v>
      </c>
      <c r="J6062" t="n">
        <v>0</v>
      </c>
      <c r="K6062" t="n">
        <v>0</v>
      </c>
      <c r="L6062" t="n">
        <v>0</v>
      </c>
      <c r="M6062" t="n">
        <v>0</v>
      </c>
      <c r="N6062" t="n">
        <v>0</v>
      </c>
      <c r="O6062" t="n">
        <v>0</v>
      </c>
      <c r="P6062" t="n">
        <v>0</v>
      </c>
      <c r="Q6062" t="n">
        <v>0</v>
      </c>
      <c r="R6062" s="2" t="inlineStr"/>
    </row>
    <row r="6063" ht="15" customHeight="1">
      <c r="A6063" t="inlineStr">
        <is>
          <t>A 22609-2023</t>
        </is>
      </c>
      <c r="B6063" s="1" t="n">
        <v>45071</v>
      </c>
      <c r="C6063" s="1" t="n">
        <v>45952</v>
      </c>
      <c r="D6063" t="inlineStr">
        <is>
          <t>VÄSTRA GÖTALANDS LÄN</t>
        </is>
      </c>
      <c r="E6063" t="inlineStr">
        <is>
          <t>ULRICEHAMN</t>
        </is>
      </c>
      <c r="G6063" t="n">
        <v>2.6</v>
      </c>
      <c r="H6063" t="n">
        <v>0</v>
      </c>
      <c r="I6063" t="n">
        <v>0</v>
      </c>
      <c r="J6063" t="n">
        <v>0</v>
      </c>
      <c r="K6063" t="n">
        <v>0</v>
      </c>
      <c r="L6063" t="n">
        <v>0</v>
      </c>
      <c r="M6063" t="n">
        <v>0</v>
      </c>
      <c r="N6063" t="n">
        <v>0</v>
      </c>
      <c r="O6063" t="n">
        <v>0</v>
      </c>
      <c r="P6063" t="n">
        <v>0</v>
      </c>
      <c r="Q6063" t="n">
        <v>0</v>
      </c>
      <c r="R6063" s="2" t="inlineStr"/>
    </row>
    <row r="6064" ht="15" customHeight="1">
      <c r="A6064" t="inlineStr">
        <is>
          <t>A 9754-2024</t>
        </is>
      </c>
      <c r="B6064" s="1" t="n">
        <v>45362.61717592592</v>
      </c>
      <c r="C6064" s="1" t="n">
        <v>45952</v>
      </c>
      <c r="D6064" t="inlineStr">
        <is>
          <t>VÄSTRA GÖTALANDS LÄN</t>
        </is>
      </c>
      <c r="E6064" t="inlineStr">
        <is>
          <t>ULRICEHAMN</t>
        </is>
      </c>
      <c r="F6064" t="inlineStr">
        <is>
          <t>Sveaskog</t>
        </is>
      </c>
      <c r="G6064" t="n">
        <v>1.5</v>
      </c>
      <c r="H6064" t="n">
        <v>0</v>
      </c>
      <c r="I6064" t="n">
        <v>0</v>
      </c>
      <c r="J6064" t="n">
        <v>0</v>
      </c>
      <c r="K6064" t="n">
        <v>0</v>
      </c>
      <c r="L6064" t="n">
        <v>0</v>
      </c>
      <c r="M6064" t="n">
        <v>0</v>
      </c>
      <c r="N6064" t="n">
        <v>0</v>
      </c>
      <c r="O6064" t="n">
        <v>0</v>
      </c>
      <c r="P6064" t="n">
        <v>0</v>
      </c>
      <c r="Q6064" t="n">
        <v>0</v>
      </c>
      <c r="R6064" s="2" t="inlineStr"/>
    </row>
    <row r="6065" ht="15" customHeight="1">
      <c r="A6065" t="inlineStr">
        <is>
          <t>A 50420-2023</t>
        </is>
      </c>
      <c r="B6065" s="1" t="n">
        <v>45216.66917824074</v>
      </c>
      <c r="C6065" s="1" t="n">
        <v>45952</v>
      </c>
      <c r="D6065" t="inlineStr">
        <is>
          <t>VÄSTRA GÖTALANDS LÄN</t>
        </is>
      </c>
      <c r="E6065" t="inlineStr">
        <is>
          <t>LERUM</t>
        </is>
      </c>
      <c r="G6065" t="n">
        <v>4</v>
      </c>
      <c r="H6065" t="n">
        <v>0</v>
      </c>
      <c r="I6065" t="n">
        <v>0</v>
      </c>
      <c r="J6065" t="n">
        <v>0</v>
      </c>
      <c r="K6065" t="n">
        <v>0</v>
      </c>
      <c r="L6065" t="n">
        <v>0</v>
      </c>
      <c r="M6065" t="n">
        <v>0</v>
      </c>
      <c r="N6065" t="n">
        <v>0</v>
      </c>
      <c r="O6065" t="n">
        <v>0</v>
      </c>
      <c r="P6065" t="n">
        <v>0</v>
      </c>
      <c r="Q6065" t="n">
        <v>0</v>
      </c>
      <c r="R6065" s="2" t="inlineStr"/>
    </row>
    <row r="6066" ht="15" customHeight="1">
      <c r="A6066" t="inlineStr">
        <is>
          <t>A 20131-2025</t>
        </is>
      </c>
      <c r="B6066" s="1" t="n">
        <v>45772.50918981482</v>
      </c>
      <c r="C6066" s="1" t="n">
        <v>45952</v>
      </c>
      <c r="D6066" t="inlineStr">
        <is>
          <t>VÄSTRA GÖTALANDS LÄN</t>
        </is>
      </c>
      <c r="E6066" t="inlineStr">
        <is>
          <t>ORUST</t>
        </is>
      </c>
      <c r="G6066" t="n">
        <v>1.5</v>
      </c>
      <c r="H6066" t="n">
        <v>0</v>
      </c>
      <c r="I6066" t="n">
        <v>0</v>
      </c>
      <c r="J6066" t="n">
        <v>0</v>
      </c>
      <c r="K6066" t="n">
        <v>0</v>
      </c>
      <c r="L6066" t="n">
        <v>0</v>
      </c>
      <c r="M6066" t="n">
        <v>0</v>
      </c>
      <c r="N6066" t="n">
        <v>0</v>
      </c>
      <c r="O6066" t="n">
        <v>0</v>
      </c>
      <c r="P6066" t="n">
        <v>0</v>
      </c>
      <c r="Q6066" t="n">
        <v>0</v>
      </c>
      <c r="R6066" s="2" t="inlineStr"/>
    </row>
    <row r="6067" ht="15" customHeight="1">
      <c r="A6067" t="inlineStr">
        <is>
          <t>A 4225-2024</t>
        </is>
      </c>
      <c r="B6067" s="1" t="n">
        <v>45324.41422453704</v>
      </c>
      <c r="C6067" s="1" t="n">
        <v>45952</v>
      </c>
      <c r="D6067" t="inlineStr">
        <is>
          <t>VÄSTRA GÖTALANDS LÄN</t>
        </is>
      </c>
      <c r="E6067" t="inlineStr">
        <is>
          <t>LILLA EDET</t>
        </is>
      </c>
      <c r="G6067" t="n">
        <v>1.3</v>
      </c>
      <c r="H6067" t="n">
        <v>0</v>
      </c>
      <c r="I6067" t="n">
        <v>0</v>
      </c>
      <c r="J6067" t="n">
        <v>0</v>
      </c>
      <c r="K6067" t="n">
        <v>0</v>
      </c>
      <c r="L6067" t="n">
        <v>0</v>
      </c>
      <c r="M6067" t="n">
        <v>0</v>
      </c>
      <c r="N6067" t="n">
        <v>0</v>
      </c>
      <c r="O6067" t="n">
        <v>0</v>
      </c>
      <c r="P6067" t="n">
        <v>0</v>
      </c>
      <c r="Q6067" t="n">
        <v>0</v>
      </c>
      <c r="R6067" s="2" t="inlineStr"/>
    </row>
    <row r="6068" ht="15" customHeight="1">
      <c r="A6068" t="inlineStr">
        <is>
          <t>A 4227-2024</t>
        </is>
      </c>
      <c r="B6068" s="1" t="n">
        <v>45324.41612268519</v>
      </c>
      <c r="C6068" s="1" t="n">
        <v>45952</v>
      </c>
      <c r="D6068" t="inlineStr">
        <is>
          <t>VÄSTRA GÖTALANDS LÄN</t>
        </is>
      </c>
      <c r="E6068" t="inlineStr">
        <is>
          <t>LILLA EDET</t>
        </is>
      </c>
      <c r="G6068" t="n">
        <v>1.6</v>
      </c>
      <c r="H6068" t="n">
        <v>0</v>
      </c>
      <c r="I6068" t="n">
        <v>0</v>
      </c>
      <c r="J6068" t="n">
        <v>0</v>
      </c>
      <c r="K6068" t="n">
        <v>0</v>
      </c>
      <c r="L6068" t="n">
        <v>0</v>
      </c>
      <c r="M6068" t="n">
        <v>0</v>
      </c>
      <c r="N6068" t="n">
        <v>0</v>
      </c>
      <c r="O6068" t="n">
        <v>0</v>
      </c>
      <c r="P6068" t="n">
        <v>0</v>
      </c>
      <c r="Q6068" t="n">
        <v>0</v>
      </c>
      <c r="R6068" s="2" t="inlineStr"/>
    </row>
    <row r="6069" ht="15" customHeight="1">
      <c r="A6069" t="inlineStr">
        <is>
          <t>A 5168-2021</t>
        </is>
      </c>
      <c r="B6069" s="1" t="n">
        <v>44228</v>
      </c>
      <c r="C6069" s="1" t="n">
        <v>45952</v>
      </c>
      <c r="D6069" t="inlineStr">
        <is>
          <t>VÄSTRA GÖTALANDS LÄN</t>
        </is>
      </c>
      <c r="E6069" t="inlineStr">
        <is>
          <t>TROLLHÄTTAN</t>
        </is>
      </c>
      <c r="G6069" t="n">
        <v>3.2</v>
      </c>
      <c r="H6069" t="n">
        <v>0</v>
      </c>
      <c r="I6069" t="n">
        <v>0</v>
      </c>
      <c r="J6069" t="n">
        <v>0</v>
      </c>
      <c r="K6069" t="n">
        <v>0</v>
      </c>
      <c r="L6069" t="n">
        <v>0</v>
      </c>
      <c r="M6069" t="n">
        <v>0</v>
      </c>
      <c r="N6069" t="n">
        <v>0</v>
      </c>
      <c r="O6069" t="n">
        <v>0</v>
      </c>
      <c r="P6069" t="n">
        <v>0</v>
      </c>
      <c r="Q6069" t="n">
        <v>0</v>
      </c>
      <c r="R6069" s="2" t="inlineStr"/>
    </row>
    <row r="6070" ht="15" customHeight="1">
      <c r="A6070" t="inlineStr">
        <is>
          <t>A 13252-2024</t>
        </is>
      </c>
      <c r="B6070" s="1" t="n">
        <v>45386.57976851852</v>
      </c>
      <c r="C6070" s="1" t="n">
        <v>45952</v>
      </c>
      <c r="D6070" t="inlineStr">
        <is>
          <t>VÄSTRA GÖTALANDS LÄN</t>
        </is>
      </c>
      <c r="E6070" t="inlineStr">
        <is>
          <t>KARLSBORG</t>
        </is>
      </c>
      <c r="G6070" t="n">
        <v>1.8</v>
      </c>
      <c r="H6070" t="n">
        <v>0</v>
      </c>
      <c r="I6070" t="n">
        <v>0</v>
      </c>
      <c r="J6070" t="n">
        <v>0</v>
      </c>
      <c r="K6070" t="n">
        <v>0</v>
      </c>
      <c r="L6070" t="n">
        <v>0</v>
      </c>
      <c r="M6070" t="n">
        <v>0</v>
      </c>
      <c r="N6070" t="n">
        <v>0</v>
      </c>
      <c r="O6070" t="n">
        <v>0</v>
      </c>
      <c r="P6070" t="n">
        <v>0</v>
      </c>
      <c r="Q6070" t="n">
        <v>0</v>
      </c>
      <c r="R6070" s="2" t="inlineStr"/>
    </row>
    <row r="6071" ht="15" customHeight="1">
      <c r="A6071" t="inlineStr">
        <is>
          <t>A 37460-2023</t>
        </is>
      </c>
      <c r="B6071" s="1" t="n">
        <v>45156</v>
      </c>
      <c r="C6071" s="1" t="n">
        <v>45952</v>
      </c>
      <c r="D6071" t="inlineStr">
        <is>
          <t>VÄSTRA GÖTALANDS LÄN</t>
        </is>
      </c>
      <c r="E6071" t="inlineStr">
        <is>
          <t>SKARA</t>
        </is>
      </c>
      <c r="G6071" t="n">
        <v>2.6</v>
      </c>
      <c r="H6071" t="n">
        <v>0</v>
      </c>
      <c r="I6071" t="n">
        <v>0</v>
      </c>
      <c r="J6071" t="n">
        <v>0</v>
      </c>
      <c r="K6071" t="n">
        <v>0</v>
      </c>
      <c r="L6071" t="n">
        <v>0</v>
      </c>
      <c r="M6071" t="n">
        <v>0</v>
      </c>
      <c r="N6071" t="n">
        <v>0</v>
      </c>
      <c r="O6071" t="n">
        <v>0</v>
      </c>
      <c r="P6071" t="n">
        <v>0</v>
      </c>
      <c r="Q6071" t="n">
        <v>0</v>
      </c>
      <c r="R6071" s="2" t="inlineStr"/>
    </row>
    <row r="6072" ht="15" customHeight="1">
      <c r="A6072" t="inlineStr">
        <is>
          <t>A 23061-2023</t>
        </is>
      </c>
      <c r="B6072" s="1" t="n">
        <v>45075.35929398148</v>
      </c>
      <c r="C6072" s="1" t="n">
        <v>45952</v>
      </c>
      <c r="D6072" t="inlineStr">
        <is>
          <t>VÄSTRA GÖTALANDS LÄN</t>
        </is>
      </c>
      <c r="E6072" t="inlineStr">
        <is>
          <t>TRANEMO</t>
        </is>
      </c>
      <c r="G6072" t="n">
        <v>3.7</v>
      </c>
      <c r="H6072" t="n">
        <v>0</v>
      </c>
      <c r="I6072" t="n">
        <v>0</v>
      </c>
      <c r="J6072" t="n">
        <v>0</v>
      </c>
      <c r="K6072" t="n">
        <v>0</v>
      </c>
      <c r="L6072" t="n">
        <v>0</v>
      </c>
      <c r="M6072" t="n">
        <v>0</v>
      </c>
      <c r="N6072" t="n">
        <v>0</v>
      </c>
      <c r="O6072" t="n">
        <v>0</v>
      </c>
      <c r="P6072" t="n">
        <v>0</v>
      </c>
      <c r="Q6072" t="n">
        <v>0</v>
      </c>
      <c r="R6072" s="2" t="inlineStr"/>
    </row>
    <row r="6073" ht="15" customHeight="1">
      <c r="A6073" t="inlineStr">
        <is>
          <t>A 28684-2023</t>
        </is>
      </c>
      <c r="B6073" s="1" t="n">
        <v>45103</v>
      </c>
      <c r="C6073" s="1" t="n">
        <v>45952</v>
      </c>
      <c r="D6073" t="inlineStr">
        <is>
          <t>VÄSTRA GÖTALANDS LÄN</t>
        </is>
      </c>
      <c r="E6073" t="inlineStr">
        <is>
          <t>TIDAHOLM</t>
        </is>
      </c>
      <c r="F6073" t="inlineStr">
        <is>
          <t>Kyrkan</t>
        </is>
      </c>
      <c r="G6073" t="n">
        <v>1.5</v>
      </c>
      <c r="H6073" t="n">
        <v>0</v>
      </c>
      <c r="I6073" t="n">
        <v>0</v>
      </c>
      <c r="J6073" t="n">
        <v>0</v>
      </c>
      <c r="K6073" t="n">
        <v>0</v>
      </c>
      <c r="L6073" t="n">
        <v>0</v>
      </c>
      <c r="M6073" t="n">
        <v>0</v>
      </c>
      <c r="N6073" t="n">
        <v>0</v>
      </c>
      <c r="O6073" t="n">
        <v>0</v>
      </c>
      <c r="P6073" t="n">
        <v>0</v>
      </c>
      <c r="Q6073" t="n">
        <v>0</v>
      </c>
      <c r="R6073" s="2" t="inlineStr"/>
    </row>
    <row r="6074" ht="15" customHeight="1">
      <c r="A6074" t="inlineStr">
        <is>
          <t>A 25153-2024</t>
        </is>
      </c>
      <c r="B6074" s="1" t="n">
        <v>45462</v>
      </c>
      <c r="C6074" s="1" t="n">
        <v>45952</v>
      </c>
      <c r="D6074" t="inlineStr">
        <is>
          <t>VÄSTRA GÖTALANDS LÄN</t>
        </is>
      </c>
      <c r="E6074" t="inlineStr">
        <is>
          <t>SKARA</t>
        </is>
      </c>
      <c r="G6074" t="n">
        <v>0.8</v>
      </c>
      <c r="H6074" t="n">
        <v>0</v>
      </c>
      <c r="I6074" t="n">
        <v>0</v>
      </c>
      <c r="J6074" t="n">
        <v>0</v>
      </c>
      <c r="K6074" t="n">
        <v>0</v>
      </c>
      <c r="L6074" t="n">
        <v>0</v>
      </c>
      <c r="M6074" t="n">
        <v>0</v>
      </c>
      <c r="N6074" t="n">
        <v>0</v>
      </c>
      <c r="O6074" t="n">
        <v>0</v>
      </c>
      <c r="P6074" t="n">
        <v>0</v>
      </c>
      <c r="Q6074" t="n">
        <v>0</v>
      </c>
      <c r="R6074" s="2" t="inlineStr"/>
    </row>
    <row r="6075" ht="15" customHeight="1">
      <c r="A6075" t="inlineStr">
        <is>
          <t>A 25165-2024</t>
        </is>
      </c>
      <c r="B6075" s="1" t="n">
        <v>45462.53766203704</v>
      </c>
      <c r="C6075" s="1" t="n">
        <v>45952</v>
      </c>
      <c r="D6075" t="inlineStr">
        <is>
          <t>VÄSTRA GÖTALANDS LÄN</t>
        </is>
      </c>
      <c r="E6075" t="inlineStr">
        <is>
          <t>BORÅS</t>
        </is>
      </c>
      <c r="G6075" t="n">
        <v>2.2</v>
      </c>
      <c r="H6075" t="n">
        <v>0</v>
      </c>
      <c r="I6075" t="n">
        <v>0</v>
      </c>
      <c r="J6075" t="n">
        <v>0</v>
      </c>
      <c r="K6075" t="n">
        <v>0</v>
      </c>
      <c r="L6075" t="n">
        <v>0</v>
      </c>
      <c r="M6075" t="n">
        <v>0</v>
      </c>
      <c r="N6075" t="n">
        <v>0</v>
      </c>
      <c r="O6075" t="n">
        <v>0</v>
      </c>
      <c r="P6075" t="n">
        <v>0</v>
      </c>
      <c r="Q6075" t="n">
        <v>0</v>
      </c>
      <c r="R6075" s="2" t="inlineStr"/>
    </row>
    <row r="6076" ht="15" customHeight="1">
      <c r="A6076" t="inlineStr">
        <is>
          <t>A 31917-2022</t>
        </is>
      </c>
      <c r="B6076" s="1" t="n">
        <v>44777.59171296296</v>
      </c>
      <c r="C6076" s="1" t="n">
        <v>45952</v>
      </c>
      <c r="D6076" t="inlineStr">
        <is>
          <t>VÄSTRA GÖTALANDS LÄN</t>
        </is>
      </c>
      <c r="E6076" t="inlineStr">
        <is>
          <t>GÖTENE</t>
        </is>
      </c>
      <c r="G6076" t="n">
        <v>1.9</v>
      </c>
      <c r="H6076" t="n">
        <v>0</v>
      </c>
      <c r="I6076" t="n">
        <v>0</v>
      </c>
      <c r="J6076" t="n">
        <v>0</v>
      </c>
      <c r="K6076" t="n">
        <v>0</v>
      </c>
      <c r="L6076" t="n">
        <v>0</v>
      </c>
      <c r="M6076" t="n">
        <v>0</v>
      </c>
      <c r="N6076" t="n">
        <v>0</v>
      </c>
      <c r="O6076" t="n">
        <v>0</v>
      </c>
      <c r="P6076" t="n">
        <v>0</v>
      </c>
      <c r="Q6076" t="n">
        <v>0</v>
      </c>
      <c r="R6076" s="2" t="inlineStr"/>
    </row>
    <row r="6077" ht="15" customHeight="1">
      <c r="A6077" t="inlineStr">
        <is>
          <t>A 36603-2022</t>
        </is>
      </c>
      <c r="B6077" s="1" t="n">
        <v>44804.6522800926</v>
      </c>
      <c r="C6077" s="1" t="n">
        <v>45952</v>
      </c>
      <c r="D6077" t="inlineStr">
        <is>
          <t>VÄSTRA GÖTALANDS LÄN</t>
        </is>
      </c>
      <c r="E6077" t="inlineStr">
        <is>
          <t>ESSUNGA</t>
        </is>
      </c>
      <c r="G6077" t="n">
        <v>0.9</v>
      </c>
      <c r="H6077" t="n">
        <v>0</v>
      </c>
      <c r="I6077" t="n">
        <v>0</v>
      </c>
      <c r="J6077" t="n">
        <v>0</v>
      </c>
      <c r="K6077" t="n">
        <v>0</v>
      </c>
      <c r="L6077" t="n">
        <v>0</v>
      </c>
      <c r="M6077" t="n">
        <v>0</v>
      </c>
      <c r="N6077" t="n">
        <v>0</v>
      </c>
      <c r="O6077" t="n">
        <v>0</v>
      </c>
      <c r="P6077" t="n">
        <v>0</v>
      </c>
      <c r="Q6077" t="n">
        <v>0</v>
      </c>
      <c r="R6077" s="2" t="inlineStr"/>
    </row>
    <row r="6078" ht="15" customHeight="1">
      <c r="A6078" t="inlineStr">
        <is>
          <t>A 1960-2024</t>
        </is>
      </c>
      <c r="B6078" s="1" t="n">
        <v>45308.50962962963</v>
      </c>
      <c r="C6078" s="1" t="n">
        <v>45952</v>
      </c>
      <c r="D6078" t="inlineStr">
        <is>
          <t>VÄSTRA GÖTALANDS LÄN</t>
        </is>
      </c>
      <c r="E6078" t="inlineStr">
        <is>
          <t>ALE</t>
        </is>
      </c>
      <c r="G6078" t="n">
        <v>1.9</v>
      </c>
      <c r="H6078" t="n">
        <v>0</v>
      </c>
      <c r="I6078" t="n">
        <v>0</v>
      </c>
      <c r="J6078" t="n">
        <v>0</v>
      </c>
      <c r="K6078" t="n">
        <v>0</v>
      </c>
      <c r="L6078" t="n">
        <v>0</v>
      </c>
      <c r="M6078" t="n">
        <v>0</v>
      </c>
      <c r="N6078" t="n">
        <v>0</v>
      </c>
      <c r="O6078" t="n">
        <v>0</v>
      </c>
      <c r="P6078" t="n">
        <v>0</v>
      </c>
      <c r="Q6078" t="n">
        <v>0</v>
      </c>
      <c r="R6078" s="2" t="inlineStr"/>
    </row>
    <row r="6079" ht="15" customHeight="1">
      <c r="A6079" t="inlineStr">
        <is>
          <t>A 44680-2023</t>
        </is>
      </c>
      <c r="B6079" s="1" t="n">
        <v>45189.83261574074</v>
      </c>
      <c r="C6079" s="1" t="n">
        <v>45952</v>
      </c>
      <c r="D6079" t="inlineStr">
        <is>
          <t>VÄSTRA GÖTALANDS LÄN</t>
        </is>
      </c>
      <c r="E6079" t="inlineStr">
        <is>
          <t>LIDKÖPING</t>
        </is>
      </c>
      <c r="G6079" t="n">
        <v>3.1</v>
      </c>
      <c r="H6079" t="n">
        <v>0</v>
      </c>
      <c r="I6079" t="n">
        <v>0</v>
      </c>
      <c r="J6079" t="n">
        <v>0</v>
      </c>
      <c r="K6079" t="n">
        <v>0</v>
      </c>
      <c r="L6079" t="n">
        <v>0</v>
      </c>
      <c r="M6079" t="n">
        <v>0</v>
      </c>
      <c r="N6079" t="n">
        <v>0</v>
      </c>
      <c r="O6079" t="n">
        <v>0</v>
      </c>
      <c r="P6079" t="n">
        <v>0</v>
      </c>
      <c r="Q6079" t="n">
        <v>0</v>
      </c>
      <c r="R6079" s="2" t="inlineStr"/>
    </row>
    <row r="6080" ht="15" customHeight="1">
      <c r="A6080" t="inlineStr">
        <is>
          <t>A 44684-2023</t>
        </is>
      </c>
      <c r="B6080" s="1" t="n">
        <v>45186</v>
      </c>
      <c r="C6080" s="1" t="n">
        <v>45952</v>
      </c>
      <c r="D6080" t="inlineStr">
        <is>
          <t>VÄSTRA GÖTALANDS LÄN</t>
        </is>
      </c>
      <c r="E6080" t="inlineStr">
        <is>
          <t>HJO</t>
        </is>
      </c>
      <c r="G6080" t="n">
        <v>0.7</v>
      </c>
      <c r="H6080" t="n">
        <v>0</v>
      </c>
      <c r="I6080" t="n">
        <v>0</v>
      </c>
      <c r="J6080" t="n">
        <v>0</v>
      </c>
      <c r="K6080" t="n">
        <v>0</v>
      </c>
      <c r="L6080" t="n">
        <v>0</v>
      </c>
      <c r="M6080" t="n">
        <v>0</v>
      </c>
      <c r="N6080" t="n">
        <v>0</v>
      </c>
      <c r="O6080" t="n">
        <v>0</v>
      </c>
      <c r="P6080" t="n">
        <v>0</v>
      </c>
      <c r="Q6080" t="n">
        <v>0</v>
      </c>
      <c r="R6080" s="2" t="inlineStr"/>
    </row>
    <row r="6081" ht="15" customHeight="1">
      <c r="A6081" t="inlineStr">
        <is>
          <t>A 14593-2022</t>
        </is>
      </c>
      <c r="B6081" s="1" t="n">
        <v>44655.57246527778</v>
      </c>
      <c r="C6081" s="1" t="n">
        <v>45952</v>
      </c>
      <c r="D6081" t="inlineStr">
        <is>
          <t>VÄSTRA GÖTALANDS LÄN</t>
        </is>
      </c>
      <c r="E6081" t="inlineStr">
        <is>
          <t>VARA</t>
        </is>
      </c>
      <c r="G6081" t="n">
        <v>1.8</v>
      </c>
      <c r="H6081" t="n">
        <v>0</v>
      </c>
      <c r="I6081" t="n">
        <v>0</v>
      </c>
      <c r="J6081" t="n">
        <v>0</v>
      </c>
      <c r="K6081" t="n">
        <v>0</v>
      </c>
      <c r="L6081" t="n">
        <v>0</v>
      </c>
      <c r="M6081" t="n">
        <v>0</v>
      </c>
      <c r="N6081" t="n">
        <v>0</v>
      </c>
      <c r="O6081" t="n">
        <v>0</v>
      </c>
      <c r="P6081" t="n">
        <v>0</v>
      </c>
      <c r="Q6081" t="n">
        <v>0</v>
      </c>
      <c r="R6081" s="2" t="inlineStr"/>
    </row>
    <row r="6082" ht="15" customHeight="1">
      <c r="A6082" t="inlineStr">
        <is>
          <t>A 14596-2022</t>
        </is>
      </c>
      <c r="B6082" s="1" t="n">
        <v>44655</v>
      </c>
      <c r="C6082" s="1" t="n">
        <v>45952</v>
      </c>
      <c r="D6082" t="inlineStr">
        <is>
          <t>VÄSTRA GÖTALANDS LÄN</t>
        </is>
      </c>
      <c r="E6082" t="inlineStr">
        <is>
          <t>MELLERUD</t>
        </is>
      </c>
      <c r="G6082" t="n">
        <v>0.9</v>
      </c>
      <c r="H6082" t="n">
        <v>0</v>
      </c>
      <c r="I6082" t="n">
        <v>0</v>
      </c>
      <c r="J6082" t="n">
        <v>0</v>
      </c>
      <c r="K6082" t="n">
        <v>0</v>
      </c>
      <c r="L6082" t="n">
        <v>0</v>
      </c>
      <c r="M6082" t="n">
        <v>0</v>
      </c>
      <c r="N6082" t="n">
        <v>0</v>
      </c>
      <c r="O6082" t="n">
        <v>0</v>
      </c>
      <c r="P6082" t="n">
        <v>0</v>
      </c>
      <c r="Q6082" t="n">
        <v>0</v>
      </c>
      <c r="R6082" s="2" t="inlineStr"/>
    </row>
    <row r="6083" ht="15" customHeight="1">
      <c r="A6083" t="inlineStr">
        <is>
          <t>A 14617-2022</t>
        </is>
      </c>
      <c r="B6083" s="1" t="n">
        <v>44655</v>
      </c>
      <c r="C6083" s="1" t="n">
        <v>45952</v>
      </c>
      <c r="D6083" t="inlineStr">
        <is>
          <t>VÄSTRA GÖTALANDS LÄN</t>
        </is>
      </c>
      <c r="E6083" t="inlineStr">
        <is>
          <t>BENGTSFORS</t>
        </is>
      </c>
      <c r="G6083" t="n">
        <v>1.4</v>
      </c>
      <c r="H6083" t="n">
        <v>0</v>
      </c>
      <c r="I6083" t="n">
        <v>0</v>
      </c>
      <c r="J6083" t="n">
        <v>0</v>
      </c>
      <c r="K6083" t="n">
        <v>0</v>
      </c>
      <c r="L6083" t="n">
        <v>0</v>
      </c>
      <c r="M6083" t="n">
        <v>0</v>
      </c>
      <c r="N6083" t="n">
        <v>0</v>
      </c>
      <c r="O6083" t="n">
        <v>0</v>
      </c>
      <c r="P6083" t="n">
        <v>0</v>
      </c>
      <c r="Q6083" t="n">
        <v>0</v>
      </c>
      <c r="R6083" s="2" t="inlineStr"/>
    </row>
    <row r="6084" ht="15" customHeight="1">
      <c r="A6084" t="inlineStr">
        <is>
          <t>A 13800-2023</t>
        </is>
      </c>
      <c r="B6084" s="1" t="n">
        <v>45007</v>
      </c>
      <c r="C6084" s="1" t="n">
        <v>45952</v>
      </c>
      <c r="D6084" t="inlineStr">
        <is>
          <t>VÄSTRA GÖTALANDS LÄN</t>
        </is>
      </c>
      <c r="E6084" t="inlineStr">
        <is>
          <t>MELLERUD</t>
        </is>
      </c>
      <c r="G6084" t="n">
        <v>1.1</v>
      </c>
      <c r="H6084" t="n">
        <v>0</v>
      </c>
      <c r="I6084" t="n">
        <v>0</v>
      </c>
      <c r="J6084" t="n">
        <v>0</v>
      </c>
      <c r="K6084" t="n">
        <v>0</v>
      </c>
      <c r="L6084" t="n">
        <v>0</v>
      </c>
      <c r="M6084" t="n">
        <v>0</v>
      </c>
      <c r="N6084" t="n">
        <v>0</v>
      </c>
      <c r="O6084" t="n">
        <v>0</v>
      </c>
      <c r="P6084" t="n">
        <v>0</v>
      </c>
      <c r="Q6084" t="n">
        <v>0</v>
      </c>
      <c r="R6084" s="2" t="inlineStr"/>
    </row>
    <row r="6085" ht="15" customHeight="1">
      <c r="A6085" t="inlineStr">
        <is>
          <t>A 14844-2024</t>
        </is>
      </c>
      <c r="B6085" s="1" t="n">
        <v>45398</v>
      </c>
      <c r="C6085" s="1" t="n">
        <v>45952</v>
      </c>
      <c r="D6085" t="inlineStr">
        <is>
          <t>VÄSTRA GÖTALANDS LÄN</t>
        </is>
      </c>
      <c r="E6085" t="inlineStr">
        <is>
          <t>SKARA</t>
        </is>
      </c>
      <c r="F6085" t="inlineStr">
        <is>
          <t>Kommuner</t>
        </is>
      </c>
      <c r="G6085" t="n">
        <v>2</v>
      </c>
      <c r="H6085" t="n">
        <v>0</v>
      </c>
      <c r="I6085" t="n">
        <v>0</v>
      </c>
      <c r="J6085" t="n">
        <v>0</v>
      </c>
      <c r="K6085" t="n">
        <v>0</v>
      </c>
      <c r="L6085" t="n">
        <v>0</v>
      </c>
      <c r="M6085" t="n">
        <v>0</v>
      </c>
      <c r="N6085" t="n">
        <v>0</v>
      </c>
      <c r="O6085" t="n">
        <v>0</v>
      </c>
      <c r="P6085" t="n">
        <v>0</v>
      </c>
      <c r="Q6085" t="n">
        <v>0</v>
      </c>
      <c r="R6085" s="2" t="inlineStr"/>
    </row>
    <row r="6086" ht="15" customHeight="1">
      <c r="A6086" t="inlineStr">
        <is>
          <t>A 28552-2022</t>
        </is>
      </c>
      <c r="B6086" s="1" t="n">
        <v>44748.42736111111</v>
      </c>
      <c r="C6086" s="1" t="n">
        <v>45952</v>
      </c>
      <c r="D6086" t="inlineStr">
        <is>
          <t>VÄSTRA GÖTALANDS LÄN</t>
        </is>
      </c>
      <c r="E6086" t="inlineStr">
        <is>
          <t>BORÅS</t>
        </is>
      </c>
      <c r="F6086" t="inlineStr">
        <is>
          <t>Kommuner</t>
        </is>
      </c>
      <c r="G6086" t="n">
        <v>2.8</v>
      </c>
      <c r="H6086" t="n">
        <v>0</v>
      </c>
      <c r="I6086" t="n">
        <v>0</v>
      </c>
      <c r="J6086" t="n">
        <v>0</v>
      </c>
      <c r="K6086" t="n">
        <v>0</v>
      </c>
      <c r="L6086" t="n">
        <v>0</v>
      </c>
      <c r="M6086" t="n">
        <v>0</v>
      </c>
      <c r="N6086" t="n">
        <v>0</v>
      </c>
      <c r="O6086" t="n">
        <v>0</v>
      </c>
      <c r="P6086" t="n">
        <v>0</v>
      </c>
      <c r="Q6086" t="n">
        <v>0</v>
      </c>
      <c r="R6086" s="2" t="inlineStr"/>
    </row>
    <row r="6087" ht="15" customHeight="1">
      <c r="A6087" t="inlineStr">
        <is>
          <t>A 5739-2022</t>
        </is>
      </c>
      <c r="B6087" s="1" t="n">
        <v>44596</v>
      </c>
      <c r="C6087" s="1" t="n">
        <v>45952</v>
      </c>
      <c r="D6087" t="inlineStr">
        <is>
          <t>VÄSTRA GÖTALANDS LÄN</t>
        </is>
      </c>
      <c r="E6087" t="inlineStr">
        <is>
          <t>MARK</t>
        </is>
      </c>
      <c r="G6087" t="n">
        <v>2.4</v>
      </c>
      <c r="H6087" t="n">
        <v>0</v>
      </c>
      <c r="I6087" t="n">
        <v>0</v>
      </c>
      <c r="J6087" t="n">
        <v>0</v>
      </c>
      <c r="K6087" t="n">
        <v>0</v>
      </c>
      <c r="L6087" t="n">
        <v>0</v>
      </c>
      <c r="M6087" t="n">
        <v>0</v>
      </c>
      <c r="N6087" t="n">
        <v>0</v>
      </c>
      <c r="O6087" t="n">
        <v>0</v>
      </c>
      <c r="P6087" t="n">
        <v>0</v>
      </c>
      <c r="Q6087" t="n">
        <v>0</v>
      </c>
      <c r="R6087" s="2" t="inlineStr"/>
    </row>
    <row r="6088" ht="15" customHeight="1">
      <c r="A6088" t="inlineStr">
        <is>
          <t>A 1082-2024</t>
        </is>
      </c>
      <c r="B6088" s="1" t="n">
        <v>45302.36549768518</v>
      </c>
      <c r="C6088" s="1" t="n">
        <v>45952</v>
      </c>
      <c r="D6088" t="inlineStr">
        <is>
          <t>VÄSTRA GÖTALANDS LÄN</t>
        </is>
      </c>
      <c r="E6088" t="inlineStr">
        <is>
          <t>BORÅS</t>
        </is>
      </c>
      <c r="F6088" t="inlineStr">
        <is>
          <t>Sveaskog</t>
        </is>
      </c>
      <c r="G6088" t="n">
        <v>0.6</v>
      </c>
      <c r="H6088" t="n">
        <v>0</v>
      </c>
      <c r="I6088" t="n">
        <v>0</v>
      </c>
      <c r="J6088" t="n">
        <v>0</v>
      </c>
      <c r="K6088" t="n">
        <v>0</v>
      </c>
      <c r="L6088" t="n">
        <v>0</v>
      </c>
      <c r="M6088" t="n">
        <v>0</v>
      </c>
      <c r="N6088" t="n">
        <v>0</v>
      </c>
      <c r="O6088" t="n">
        <v>0</v>
      </c>
      <c r="P6088" t="n">
        <v>0</v>
      </c>
      <c r="Q6088" t="n">
        <v>0</v>
      </c>
      <c r="R6088" s="2" t="inlineStr"/>
    </row>
    <row r="6089" ht="15" customHeight="1">
      <c r="A6089" t="inlineStr">
        <is>
          <t>A 39901-2023</t>
        </is>
      </c>
      <c r="B6089" s="1" t="n">
        <v>45168.44300925926</v>
      </c>
      <c r="C6089" s="1" t="n">
        <v>45952</v>
      </c>
      <c r="D6089" t="inlineStr">
        <is>
          <t>VÄSTRA GÖTALANDS LÄN</t>
        </is>
      </c>
      <c r="E6089" t="inlineStr">
        <is>
          <t>TANUM</t>
        </is>
      </c>
      <c r="G6089" t="n">
        <v>3</v>
      </c>
      <c r="H6089" t="n">
        <v>0</v>
      </c>
      <c r="I6089" t="n">
        <v>0</v>
      </c>
      <c r="J6089" t="n">
        <v>0</v>
      </c>
      <c r="K6089" t="n">
        <v>0</v>
      </c>
      <c r="L6089" t="n">
        <v>0</v>
      </c>
      <c r="M6089" t="n">
        <v>0</v>
      </c>
      <c r="N6089" t="n">
        <v>0</v>
      </c>
      <c r="O6089" t="n">
        <v>0</v>
      </c>
      <c r="P6089" t="n">
        <v>0</v>
      </c>
      <c r="Q6089" t="n">
        <v>0</v>
      </c>
      <c r="R6089" s="2" t="inlineStr"/>
    </row>
    <row r="6090" ht="15" customHeight="1">
      <c r="A6090" t="inlineStr">
        <is>
          <t>A 18398-2024</t>
        </is>
      </c>
      <c r="B6090" s="1" t="n">
        <v>45425.25521990741</v>
      </c>
      <c r="C6090" s="1" t="n">
        <v>45952</v>
      </c>
      <c r="D6090" t="inlineStr">
        <is>
          <t>VÄSTRA GÖTALANDS LÄN</t>
        </is>
      </c>
      <c r="E6090" t="inlineStr">
        <is>
          <t>TANUM</t>
        </is>
      </c>
      <c r="F6090" t="inlineStr">
        <is>
          <t>Kommuner</t>
        </is>
      </c>
      <c r="G6090" t="n">
        <v>1.4</v>
      </c>
      <c r="H6090" t="n">
        <v>0</v>
      </c>
      <c r="I6090" t="n">
        <v>0</v>
      </c>
      <c r="J6090" t="n">
        <v>0</v>
      </c>
      <c r="K6090" t="n">
        <v>0</v>
      </c>
      <c r="L6090" t="n">
        <v>0</v>
      </c>
      <c r="M6090" t="n">
        <v>0</v>
      </c>
      <c r="N6090" t="n">
        <v>0</v>
      </c>
      <c r="O6090" t="n">
        <v>0</v>
      </c>
      <c r="P6090" t="n">
        <v>0</v>
      </c>
      <c r="Q6090" t="n">
        <v>0</v>
      </c>
      <c r="R6090" s="2" t="inlineStr"/>
    </row>
    <row r="6091" ht="15" customHeight="1">
      <c r="A6091" t="inlineStr">
        <is>
          <t>A 18400-2024</t>
        </is>
      </c>
      <c r="B6091" s="1" t="n">
        <v>45425.28621527777</v>
      </c>
      <c r="C6091" s="1" t="n">
        <v>45952</v>
      </c>
      <c r="D6091" t="inlineStr">
        <is>
          <t>VÄSTRA GÖTALANDS LÄN</t>
        </is>
      </c>
      <c r="E6091" t="inlineStr">
        <is>
          <t>TANUM</t>
        </is>
      </c>
      <c r="F6091" t="inlineStr">
        <is>
          <t>Kommuner</t>
        </is>
      </c>
      <c r="G6091" t="n">
        <v>0.5</v>
      </c>
      <c r="H6091" t="n">
        <v>0</v>
      </c>
      <c r="I6091" t="n">
        <v>0</v>
      </c>
      <c r="J6091" t="n">
        <v>0</v>
      </c>
      <c r="K6091" t="n">
        <v>0</v>
      </c>
      <c r="L6091" t="n">
        <v>0</v>
      </c>
      <c r="M6091" t="n">
        <v>0</v>
      </c>
      <c r="N6091" t="n">
        <v>0</v>
      </c>
      <c r="O6091" t="n">
        <v>0</v>
      </c>
      <c r="P6091" t="n">
        <v>0</v>
      </c>
      <c r="Q6091" t="n">
        <v>0</v>
      </c>
      <c r="R6091" s="2" t="inlineStr"/>
    </row>
    <row r="6092" ht="15" customHeight="1">
      <c r="A6092" t="inlineStr">
        <is>
          <t>A 41607-2022</t>
        </is>
      </c>
      <c r="B6092" s="1" t="n">
        <v>44827.46658564815</v>
      </c>
      <c r="C6092" s="1" t="n">
        <v>45952</v>
      </c>
      <c r="D6092" t="inlineStr">
        <is>
          <t>VÄSTRA GÖTALANDS LÄN</t>
        </is>
      </c>
      <c r="E6092" t="inlineStr">
        <is>
          <t>ALE</t>
        </is>
      </c>
      <c r="G6092" t="n">
        <v>3.6</v>
      </c>
      <c r="H6092" t="n">
        <v>0</v>
      </c>
      <c r="I6092" t="n">
        <v>0</v>
      </c>
      <c r="J6092" t="n">
        <v>0</v>
      </c>
      <c r="K6092" t="n">
        <v>0</v>
      </c>
      <c r="L6092" t="n">
        <v>0</v>
      </c>
      <c r="M6092" t="n">
        <v>0</v>
      </c>
      <c r="N6092" t="n">
        <v>0</v>
      </c>
      <c r="O6092" t="n">
        <v>0</v>
      </c>
      <c r="P6092" t="n">
        <v>0</v>
      </c>
      <c r="Q6092" t="n">
        <v>0</v>
      </c>
      <c r="R6092" s="2" t="inlineStr"/>
    </row>
    <row r="6093" ht="15" customHeight="1">
      <c r="A6093" t="inlineStr">
        <is>
          <t>A 59621-2024</t>
        </is>
      </c>
      <c r="B6093" s="1" t="n">
        <v>45638.8634837963</v>
      </c>
      <c r="C6093" s="1" t="n">
        <v>45952</v>
      </c>
      <c r="D6093" t="inlineStr">
        <is>
          <t>VÄSTRA GÖTALANDS LÄN</t>
        </is>
      </c>
      <c r="E6093" t="inlineStr">
        <is>
          <t>BENGTSFORS</t>
        </is>
      </c>
      <c r="G6093" t="n">
        <v>0.6</v>
      </c>
      <c r="H6093" t="n">
        <v>0</v>
      </c>
      <c r="I6093" t="n">
        <v>0</v>
      </c>
      <c r="J6093" t="n">
        <v>0</v>
      </c>
      <c r="K6093" t="n">
        <v>0</v>
      </c>
      <c r="L6093" t="n">
        <v>0</v>
      </c>
      <c r="M6093" t="n">
        <v>0</v>
      </c>
      <c r="N6093" t="n">
        <v>0</v>
      </c>
      <c r="O6093" t="n">
        <v>0</v>
      </c>
      <c r="P6093" t="n">
        <v>0</v>
      </c>
      <c r="Q6093" t="n">
        <v>0</v>
      </c>
      <c r="R6093" s="2" t="inlineStr"/>
    </row>
    <row r="6094" ht="15" customHeight="1">
      <c r="A6094" t="inlineStr">
        <is>
          <t>A 8155-2023</t>
        </is>
      </c>
      <c r="B6094" s="1" t="n">
        <v>44974</v>
      </c>
      <c r="C6094" s="1" t="n">
        <v>45952</v>
      </c>
      <c r="D6094" t="inlineStr">
        <is>
          <t>VÄSTRA GÖTALANDS LÄN</t>
        </is>
      </c>
      <c r="E6094" t="inlineStr">
        <is>
          <t>MELLERUD</t>
        </is>
      </c>
      <c r="G6094" t="n">
        <v>2.7</v>
      </c>
      <c r="H6094" t="n">
        <v>0</v>
      </c>
      <c r="I6094" t="n">
        <v>0</v>
      </c>
      <c r="J6094" t="n">
        <v>0</v>
      </c>
      <c r="K6094" t="n">
        <v>0</v>
      </c>
      <c r="L6094" t="n">
        <v>0</v>
      </c>
      <c r="M6094" t="n">
        <v>0</v>
      </c>
      <c r="N6094" t="n">
        <v>0</v>
      </c>
      <c r="O6094" t="n">
        <v>0</v>
      </c>
      <c r="P6094" t="n">
        <v>0</v>
      </c>
      <c r="Q6094" t="n">
        <v>0</v>
      </c>
      <c r="R6094" s="2" t="inlineStr"/>
    </row>
    <row r="6095" ht="15" customHeight="1">
      <c r="A6095" t="inlineStr">
        <is>
          <t>A 35199-2023</t>
        </is>
      </c>
      <c r="B6095" s="1" t="n">
        <v>45145</v>
      </c>
      <c r="C6095" s="1" t="n">
        <v>45952</v>
      </c>
      <c r="D6095" t="inlineStr">
        <is>
          <t>VÄSTRA GÖTALANDS LÄN</t>
        </is>
      </c>
      <c r="E6095" t="inlineStr">
        <is>
          <t>LERUM</t>
        </is>
      </c>
      <c r="G6095" t="n">
        <v>0.7</v>
      </c>
      <c r="H6095" t="n">
        <v>0</v>
      </c>
      <c r="I6095" t="n">
        <v>0</v>
      </c>
      <c r="J6095" t="n">
        <v>0</v>
      </c>
      <c r="K6095" t="n">
        <v>0</v>
      </c>
      <c r="L6095" t="n">
        <v>0</v>
      </c>
      <c r="M6095" t="n">
        <v>0</v>
      </c>
      <c r="N6095" t="n">
        <v>0</v>
      </c>
      <c r="O6095" t="n">
        <v>0</v>
      </c>
      <c r="P6095" t="n">
        <v>0</v>
      </c>
      <c r="Q6095" t="n">
        <v>0</v>
      </c>
      <c r="R6095" s="2" t="inlineStr"/>
    </row>
    <row r="6096" ht="15" customHeight="1">
      <c r="A6096" t="inlineStr">
        <is>
          <t>A 9416-2023</t>
        </is>
      </c>
      <c r="B6096" s="1" t="n">
        <v>44981.47715277778</v>
      </c>
      <c r="C6096" s="1" t="n">
        <v>45952</v>
      </c>
      <c r="D6096" t="inlineStr">
        <is>
          <t>VÄSTRA GÖTALANDS LÄN</t>
        </is>
      </c>
      <c r="E6096" t="inlineStr">
        <is>
          <t>SVENLJUNGA</t>
        </is>
      </c>
      <c r="G6096" t="n">
        <v>1.6</v>
      </c>
      <c r="H6096" t="n">
        <v>0</v>
      </c>
      <c r="I6096" t="n">
        <v>0</v>
      </c>
      <c r="J6096" t="n">
        <v>0</v>
      </c>
      <c r="K6096" t="n">
        <v>0</v>
      </c>
      <c r="L6096" t="n">
        <v>0</v>
      </c>
      <c r="M6096" t="n">
        <v>0</v>
      </c>
      <c r="N6096" t="n">
        <v>0</v>
      </c>
      <c r="O6096" t="n">
        <v>0</v>
      </c>
      <c r="P6096" t="n">
        <v>0</v>
      </c>
      <c r="Q6096" t="n">
        <v>0</v>
      </c>
      <c r="R6096" s="2" t="inlineStr"/>
    </row>
    <row r="6097" ht="15" customHeight="1">
      <c r="A6097" t="inlineStr">
        <is>
          <t>A 33476-2022</t>
        </is>
      </c>
      <c r="B6097" s="1" t="n">
        <v>44788</v>
      </c>
      <c r="C6097" s="1" t="n">
        <v>45952</v>
      </c>
      <c r="D6097" t="inlineStr">
        <is>
          <t>VÄSTRA GÖTALANDS LÄN</t>
        </is>
      </c>
      <c r="E6097" t="inlineStr">
        <is>
          <t>VÄNERSBORG</t>
        </is>
      </c>
      <c r="G6097" t="n">
        <v>0.8</v>
      </c>
      <c r="H6097" t="n">
        <v>0</v>
      </c>
      <c r="I6097" t="n">
        <v>0</v>
      </c>
      <c r="J6097" t="n">
        <v>0</v>
      </c>
      <c r="K6097" t="n">
        <v>0</v>
      </c>
      <c r="L6097" t="n">
        <v>0</v>
      </c>
      <c r="M6097" t="n">
        <v>0</v>
      </c>
      <c r="N6097" t="n">
        <v>0</v>
      </c>
      <c r="O6097" t="n">
        <v>0</v>
      </c>
      <c r="P6097" t="n">
        <v>0</v>
      </c>
      <c r="Q6097" t="n">
        <v>0</v>
      </c>
      <c r="R6097" s="2" t="inlineStr"/>
    </row>
    <row r="6098" ht="15" customHeight="1">
      <c r="A6098" t="inlineStr">
        <is>
          <t>A 2100-2023</t>
        </is>
      </c>
      <c r="B6098" s="1" t="n">
        <v>44939.71349537037</v>
      </c>
      <c r="C6098" s="1" t="n">
        <v>45952</v>
      </c>
      <c r="D6098" t="inlineStr">
        <is>
          <t>VÄSTRA GÖTALANDS LÄN</t>
        </is>
      </c>
      <c r="E6098" t="inlineStr">
        <is>
          <t>KARLSBORG</t>
        </is>
      </c>
      <c r="G6098" t="n">
        <v>0.6</v>
      </c>
      <c r="H6098" t="n">
        <v>0</v>
      </c>
      <c r="I6098" t="n">
        <v>0</v>
      </c>
      <c r="J6098" t="n">
        <v>0</v>
      </c>
      <c r="K6098" t="n">
        <v>0</v>
      </c>
      <c r="L6098" t="n">
        <v>0</v>
      </c>
      <c r="M6098" t="n">
        <v>0</v>
      </c>
      <c r="N6098" t="n">
        <v>0</v>
      </c>
      <c r="O6098" t="n">
        <v>0</v>
      </c>
      <c r="P6098" t="n">
        <v>0</v>
      </c>
      <c r="Q6098" t="n">
        <v>0</v>
      </c>
      <c r="R6098" s="2" t="inlineStr"/>
    </row>
    <row r="6099" ht="15" customHeight="1">
      <c r="A6099" t="inlineStr">
        <is>
          <t>A 34760-2021</t>
        </is>
      </c>
      <c r="B6099" s="1" t="n">
        <v>44382</v>
      </c>
      <c r="C6099" s="1" t="n">
        <v>45952</v>
      </c>
      <c r="D6099" t="inlineStr">
        <is>
          <t>VÄSTRA GÖTALANDS LÄN</t>
        </is>
      </c>
      <c r="E6099" t="inlineStr">
        <is>
          <t>DALS-ED</t>
        </is>
      </c>
      <c r="G6099" t="n">
        <v>0.2</v>
      </c>
      <c r="H6099" t="n">
        <v>0</v>
      </c>
      <c r="I6099" t="n">
        <v>0</v>
      </c>
      <c r="J6099" t="n">
        <v>0</v>
      </c>
      <c r="K6099" t="n">
        <v>0</v>
      </c>
      <c r="L6099" t="n">
        <v>0</v>
      </c>
      <c r="M6099" t="n">
        <v>0</v>
      </c>
      <c r="N6099" t="n">
        <v>0</v>
      </c>
      <c r="O6099" t="n">
        <v>0</v>
      </c>
      <c r="P6099" t="n">
        <v>0</v>
      </c>
      <c r="Q6099" t="n">
        <v>0</v>
      </c>
      <c r="R6099" s="2" t="inlineStr"/>
    </row>
    <row r="6100" ht="15" customHeight="1">
      <c r="A6100" t="inlineStr">
        <is>
          <t>A 34555-2022</t>
        </is>
      </c>
      <c r="B6100" s="1" t="n">
        <v>44794</v>
      </c>
      <c r="C6100" s="1" t="n">
        <v>45952</v>
      </c>
      <c r="D6100" t="inlineStr">
        <is>
          <t>VÄSTRA GÖTALANDS LÄN</t>
        </is>
      </c>
      <c r="E6100" t="inlineStr">
        <is>
          <t>UDDEVALLA</t>
        </is>
      </c>
      <c r="G6100" t="n">
        <v>5.9</v>
      </c>
      <c r="H6100" t="n">
        <v>0</v>
      </c>
      <c r="I6100" t="n">
        <v>0</v>
      </c>
      <c r="J6100" t="n">
        <v>0</v>
      </c>
      <c r="K6100" t="n">
        <v>0</v>
      </c>
      <c r="L6100" t="n">
        <v>0</v>
      </c>
      <c r="M6100" t="n">
        <v>0</v>
      </c>
      <c r="N6100" t="n">
        <v>0</v>
      </c>
      <c r="O6100" t="n">
        <v>0</v>
      </c>
      <c r="P6100" t="n">
        <v>0</v>
      </c>
      <c r="Q6100" t="n">
        <v>0</v>
      </c>
      <c r="R6100" s="2" t="inlineStr"/>
    </row>
    <row r="6101" ht="15" customHeight="1">
      <c r="A6101" t="inlineStr">
        <is>
          <t>A 15659-2025</t>
        </is>
      </c>
      <c r="B6101" s="1" t="n">
        <v>45748.42236111111</v>
      </c>
      <c r="C6101" s="1" t="n">
        <v>45952</v>
      </c>
      <c r="D6101" t="inlineStr">
        <is>
          <t>VÄSTRA GÖTALANDS LÄN</t>
        </is>
      </c>
      <c r="E6101" t="inlineStr">
        <is>
          <t>TROLLHÄTTAN</t>
        </is>
      </c>
      <c r="G6101" t="n">
        <v>0.3</v>
      </c>
      <c r="H6101" t="n">
        <v>0</v>
      </c>
      <c r="I6101" t="n">
        <v>0</v>
      </c>
      <c r="J6101" t="n">
        <v>0</v>
      </c>
      <c r="K6101" t="n">
        <v>0</v>
      </c>
      <c r="L6101" t="n">
        <v>0</v>
      </c>
      <c r="M6101" t="n">
        <v>0</v>
      </c>
      <c r="N6101" t="n">
        <v>0</v>
      </c>
      <c r="O6101" t="n">
        <v>0</v>
      </c>
      <c r="P6101" t="n">
        <v>0</v>
      </c>
      <c r="Q6101" t="n">
        <v>0</v>
      </c>
      <c r="R6101" s="2" t="inlineStr"/>
    </row>
    <row r="6102" ht="15" customHeight="1">
      <c r="A6102" t="inlineStr">
        <is>
          <t>A 11900-2023</t>
        </is>
      </c>
      <c r="B6102" s="1" t="n">
        <v>44995.44972222222</v>
      </c>
      <c r="C6102" s="1" t="n">
        <v>45952</v>
      </c>
      <c r="D6102" t="inlineStr">
        <is>
          <t>VÄSTRA GÖTALANDS LÄN</t>
        </is>
      </c>
      <c r="E6102" t="inlineStr">
        <is>
          <t>SKARA</t>
        </is>
      </c>
      <c r="G6102" t="n">
        <v>2</v>
      </c>
      <c r="H6102" t="n">
        <v>0</v>
      </c>
      <c r="I6102" t="n">
        <v>0</v>
      </c>
      <c r="J6102" t="n">
        <v>0</v>
      </c>
      <c r="K6102" t="n">
        <v>0</v>
      </c>
      <c r="L6102" t="n">
        <v>0</v>
      </c>
      <c r="M6102" t="n">
        <v>0</v>
      </c>
      <c r="N6102" t="n">
        <v>0</v>
      </c>
      <c r="O6102" t="n">
        <v>0</v>
      </c>
      <c r="P6102" t="n">
        <v>0</v>
      </c>
      <c r="Q6102" t="n">
        <v>0</v>
      </c>
      <c r="R6102" s="2" t="inlineStr"/>
    </row>
    <row r="6103" ht="15" customHeight="1">
      <c r="A6103" t="inlineStr">
        <is>
          <t>A 17756-2021</t>
        </is>
      </c>
      <c r="B6103" s="1" t="n">
        <v>44300.57024305555</v>
      </c>
      <c r="C6103" s="1" t="n">
        <v>45952</v>
      </c>
      <c r="D6103" t="inlineStr">
        <is>
          <t>VÄSTRA GÖTALANDS LÄN</t>
        </is>
      </c>
      <c r="E6103" t="inlineStr">
        <is>
          <t>HERRLJUNGA</t>
        </is>
      </c>
      <c r="G6103" t="n">
        <v>0.7</v>
      </c>
      <c r="H6103" t="n">
        <v>0</v>
      </c>
      <c r="I6103" t="n">
        <v>0</v>
      </c>
      <c r="J6103" t="n">
        <v>0</v>
      </c>
      <c r="K6103" t="n">
        <v>0</v>
      </c>
      <c r="L6103" t="n">
        <v>0</v>
      </c>
      <c r="M6103" t="n">
        <v>0</v>
      </c>
      <c r="N6103" t="n">
        <v>0</v>
      </c>
      <c r="O6103" t="n">
        <v>0</v>
      </c>
      <c r="P6103" t="n">
        <v>0</v>
      </c>
      <c r="Q6103" t="n">
        <v>0</v>
      </c>
      <c r="R6103" s="2" t="inlineStr"/>
    </row>
    <row r="6104" ht="15" customHeight="1">
      <c r="A6104" t="inlineStr">
        <is>
          <t>A 17767-2021</t>
        </is>
      </c>
      <c r="B6104" s="1" t="n">
        <v>44300</v>
      </c>
      <c r="C6104" s="1" t="n">
        <v>45952</v>
      </c>
      <c r="D6104" t="inlineStr">
        <is>
          <t>VÄSTRA GÖTALANDS LÄN</t>
        </is>
      </c>
      <c r="E6104" t="inlineStr">
        <is>
          <t>BENGTSFORS</t>
        </is>
      </c>
      <c r="F6104" t="inlineStr">
        <is>
          <t>Kyrkan</t>
        </is>
      </c>
      <c r="G6104" t="n">
        <v>2.7</v>
      </c>
      <c r="H6104" t="n">
        <v>0</v>
      </c>
      <c r="I6104" t="n">
        <v>0</v>
      </c>
      <c r="J6104" t="n">
        <v>0</v>
      </c>
      <c r="K6104" t="n">
        <v>0</v>
      </c>
      <c r="L6104" t="n">
        <v>0</v>
      </c>
      <c r="M6104" t="n">
        <v>0</v>
      </c>
      <c r="N6104" t="n">
        <v>0</v>
      </c>
      <c r="O6104" t="n">
        <v>0</v>
      </c>
      <c r="P6104" t="n">
        <v>0</v>
      </c>
      <c r="Q6104" t="n">
        <v>0</v>
      </c>
      <c r="R6104" s="2" t="inlineStr"/>
    </row>
    <row r="6105" ht="15" customHeight="1">
      <c r="A6105" t="inlineStr">
        <is>
          <t>A 17860-2021</t>
        </is>
      </c>
      <c r="B6105" s="1" t="n">
        <v>44301.28643518518</v>
      </c>
      <c r="C6105" s="1" t="n">
        <v>45952</v>
      </c>
      <c r="D6105" t="inlineStr">
        <is>
          <t>VÄSTRA GÖTALANDS LÄN</t>
        </is>
      </c>
      <c r="E6105" t="inlineStr">
        <is>
          <t>HÄRRYDA</t>
        </is>
      </c>
      <c r="G6105" t="n">
        <v>1.3</v>
      </c>
      <c r="H6105" t="n">
        <v>0</v>
      </c>
      <c r="I6105" t="n">
        <v>0</v>
      </c>
      <c r="J6105" t="n">
        <v>0</v>
      </c>
      <c r="K6105" t="n">
        <v>0</v>
      </c>
      <c r="L6105" t="n">
        <v>0</v>
      </c>
      <c r="M6105" t="n">
        <v>0</v>
      </c>
      <c r="N6105" t="n">
        <v>0</v>
      </c>
      <c r="O6105" t="n">
        <v>0</v>
      </c>
      <c r="P6105" t="n">
        <v>0</v>
      </c>
      <c r="Q6105" t="n">
        <v>0</v>
      </c>
      <c r="R6105" s="2" t="inlineStr"/>
    </row>
    <row r="6106" ht="15" customHeight="1">
      <c r="A6106" t="inlineStr">
        <is>
          <t>A 17861-2021</t>
        </is>
      </c>
      <c r="B6106" s="1" t="n">
        <v>44301.31224537037</v>
      </c>
      <c r="C6106" s="1" t="n">
        <v>45952</v>
      </c>
      <c r="D6106" t="inlineStr">
        <is>
          <t>VÄSTRA GÖTALANDS LÄN</t>
        </is>
      </c>
      <c r="E6106" t="inlineStr">
        <is>
          <t>LERUM</t>
        </is>
      </c>
      <c r="G6106" t="n">
        <v>0.2</v>
      </c>
      <c r="H6106" t="n">
        <v>0</v>
      </c>
      <c r="I6106" t="n">
        <v>0</v>
      </c>
      <c r="J6106" t="n">
        <v>0</v>
      </c>
      <c r="K6106" t="n">
        <v>0</v>
      </c>
      <c r="L6106" t="n">
        <v>0</v>
      </c>
      <c r="M6106" t="n">
        <v>0</v>
      </c>
      <c r="N6106" t="n">
        <v>0</v>
      </c>
      <c r="O6106" t="n">
        <v>0</v>
      </c>
      <c r="P6106" t="n">
        <v>0</v>
      </c>
      <c r="Q6106" t="n">
        <v>0</v>
      </c>
      <c r="R6106" s="2" t="inlineStr"/>
    </row>
    <row r="6107" ht="15" customHeight="1">
      <c r="A6107" t="inlineStr">
        <is>
          <t>A 10749-2022</t>
        </is>
      </c>
      <c r="B6107" s="1" t="n">
        <v>44627.37660879629</v>
      </c>
      <c r="C6107" s="1" t="n">
        <v>45952</v>
      </c>
      <c r="D6107" t="inlineStr">
        <is>
          <t>VÄSTRA GÖTALANDS LÄN</t>
        </is>
      </c>
      <c r="E6107" t="inlineStr">
        <is>
          <t>DALS-ED</t>
        </is>
      </c>
      <c r="G6107" t="n">
        <v>4.8</v>
      </c>
      <c r="H6107" t="n">
        <v>0</v>
      </c>
      <c r="I6107" t="n">
        <v>0</v>
      </c>
      <c r="J6107" t="n">
        <v>0</v>
      </c>
      <c r="K6107" t="n">
        <v>0</v>
      </c>
      <c r="L6107" t="n">
        <v>0</v>
      </c>
      <c r="M6107" t="n">
        <v>0</v>
      </c>
      <c r="N6107" t="n">
        <v>0</v>
      </c>
      <c r="O6107" t="n">
        <v>0</v>
      </c>
      <c r="P6107" t="n">
        <v>0</v>
      </c>
      <c r="Q6107" t="n">
        <v>0</v>
      </c>
      <c r="R6107" s="2" t="inlineStr"/>
    </row>
    <row r="6108" ht="15" customHeight="1">
      <c r="A6108" t="inlineStr">
        <is>
          <t>A 50978-2024</t>
        </is>
      </c>
      <c r="B6108" s="1" t="n">
        <v>45603.35983796296</v>
      </c>
      <c r="C6108" s="1" t="n">
        <v>45952</v>
      </c>
      <c r="D6108" t="inlineStr">
        <is>
          <t>VÄSTRA GÖTALANDS LÄN</t>
        </is>
      </c>
      <c r="E6108" t="inlineStr">
        <is>
          <t>FALKÖPING</t>
        </is>
      </c>
      <c r="G6108" t="n">
        <v>2.9</v>
      </c>
      <c r="H6108" t="n">
        <v>0</v>
      </c>
      <c r="I6108" t="n">
        <v>0</v>
      </c>
      <c r="J6108" t="n">
        <v>0</v>
      </c>
      <c r="K6108" t="n">
        <v>0</v>
      </c>
      <c r="L6108" t="n">
        <v>0</v>
      </c>
      <c r="M6108" t="n">
        <v>0</v>
      </c>
      <c r="N6108" t="n">
        <v>0</v>
      </c>
      <c r="O6108" t="n">
        <v>0</v>
      </c>
      <c r="P6108" t="n">
        <v>0</v>
      </c>
      <c r="Q6108" t="n">
        <v>0</v>
      </c>
      <c r="R6108" s="2" t="inlineStr"/>
    </row>
    <row r="6109" ht="15" customHeight="1">
      <c r="A6109" t="inlineStr">
        <is>
          <t>A 8792-2024</t>
        </is>
      </c>
      <c r="B6109" s="1" t="n">
        <v>45356.63008101852</v>
      </c>
      <c r="C6109" s="1" t="n">
        <v>45952</v>
      </c>
      <c r="D6109" t="inlineStr">
        <is>
          <t>VÄSTRA GÖTALANDS LÄN</t>
        </is>
      </c>
      <c r="E6109" t="inlineStr">
        <is>
          <t>BORÅS</t>
        </is>
      </c>
      <c r="G6109" t="n">
        <v>8.800000000000001</v>
      </c>
      <c r="H6109" t="n">
        <v>0</v>
      </c>
      <c r="I6109" t="n">
        <v>0</v>
      </c>
      <c r="J6109" t="n">
        <v>0</v>
      </c>
      <c r="K6109" t="n">
        <v>0</v>
      </c>
      <c r="L6109" t="n">
        <v>0</v>
      </c>
      <c r="M6109" t="n">
        <v>0</v>
      </c>
      <c r="N6109" t="n">
        <v>0</v>
      </c>
      <c r="O6109" t="n">
        <v>0</v>
      </c>
      <c r="P6109" t="n">
        <v>0</v>
      </c>
      <c r="Q6109" t="n">
        <v>0</v>
      </c>
      <c r="R6109" s="2" t="inlineStr"/>
    </row>
    <row r="6110" ht="15" customHeight="1">
      <c r="A6110" t="inlineStr">
        <is>
          <t>A 15582-2025</t>
        </is>
      </c>
      <c r="B6110" s="1" t="n">
        <v>45747.81394675926</v>
      </c>
      <c r="C6110" s="1" t="n">
        <v>45952</v>
      </c>
      <c r="D6110" t="inlineStr">
        <is>
          <t>VÄSTRA GÖTALANDS LÄN</t>
        </is>
      </c>
      <c r="E6110" t="inlineStr">
        <is>
          <t>ALE</t>
        </is>
      </c>
      <c r="G6110" t="n">
        <v>2.2</v>
      </c>
      <c r="H6110" t="n">
        <v>0</v>
      </c>
      <c r="I6110" t="n">
        <v>0</v>
      </c>
      <c r="J6110" t="n">
        <v>0</v>
      </c>
      <c r="K6110" t="n">
        <v>0</v>
      </c>
      <c r="L6110" t="n">
        <v>0</v>
      </c>
      <c r="M6110" t="n">
        <v>0</v>
      </c>
      <c r="N6110" t="n">
        <v>0</v>
      </c>
      <c r="O6110" t="n">
        <v>0</v>
      </c>
      <c r="P6110" t="n">
        <v>0</v>
      </c>
      <c r="Q6110" t="n">
        <v>0</v>
      </c>
      <c r="R6110" s="2" t="inlineStr"/>
    </row>
    <row r="6111" ht="15" customHeight="1">
      <c r="A6111" t="inlineStr">
        <is>
          <t>A 7826-2024</t>
        </is>
      </c>
      <c r="B6111" s="1" t="n">
        <v>45349.74234953704</v>
      </c>
      <c r="C6111" s="1" t="n">
        <v>45952</v>
      </c>
      <c r="D6111" t="inlineStr">
        <is>
          <t>VÄSTRA GÖTALANDS LÄN</t>
        </is>
      </c>
      <c r="E6111" t="inlineStr">
        <is>
          <t>TÖREBODA</t>
        </is>
      </c>
      <c r="G6111" t="n">
        <v>1.1</v>
      </c>
      <c r="H6111" t="n">
        <v>0</v>
      </c>
      <c r="I6111" t="n">
        <v>0</v>
      </c>
      <c r="J6111" t="n">
        <v>0</v>
      </c>
      <c r="K6111" t="n">
        <v>0</v>
      </c>
      <c r="L6111" t="n">
        <v>0</v>
      </c>
      <c r="M6111" t="n">
        <v>0</v>
      </c>
      <c r="N6111" t="n">
        <v>0</v>
      </c>
      <c r="O6111" t="n">
        <v>0</v>
      </c>
      <c r="P6111" t="n">
        <v>0</v>
      </c>
      <c r="Q6111" t="n">
        <v>0</v>
      </c>
      <c r="R6111" s="2" t="inlineStr"/>
    </row>
    <row r="6112" ht="15" customHeight="1">
      <c r="A6112" t="inlineStr">
        <is>
          <t>A 59045-2023</t>
        </is>
      </c>
      <c r="B6112" s="1" t="n">
        <v>45252.7372800926</v>
      </c>
      <c r="C6112" s="1" t="n">
        <v>45952</v>
      </c>
      <c r="D6112" t="inlineStr">
        <is>
          <t>VÄSTRA GÖTALANDS LÄN</t>
        </is>
      </c>
      <c r="E6112" t="inlineStr">
        <is>
          <t>KARLSBORG</t>
        </is>
      </c>
      <c r="F6112" t="inlineStr">
        <is>
          <t>Övriga Aktiebolag</t>
        </is>
      </c>
      <c r="G6112" t="n">
        <v>2.4</v>
      </c>
      <c r="H6112" t="n">
        <v>0</v>
      </c>
      <c r="I6112" t="n">
        <v>0</v>
      </c>
      <c r="J6112" t="n">
        <v>0</v>
      </c>
      <c r="K6112" t="n">
        <v>0</v>
      </c>
      <c r="L6112" t="n">
        <v>0</v>
      </c>
      <c r="M6112" t="n">
        <v>0</v>
      </c>
      <c r="N6112" t="n">
        <v>0</v>
      </c>
      <c r="O6112" t="n">
        <v>0</v>
      </c>
      <c r="P6112" t="n">
        <v>0</v>
      </c>
      <c r="Q6112" t="n">
        <v>0</v>
      </c>
      <c r="R6112" s="2" t="inlineStr"/>
    </row>
    <row r="6113" ht="15" customHeight="1">
      <c r="A6113" t="inlineStr">
        <is>
          <t>A 7892-2024</t>
        </is>
      </c>
      <c r="B6113" s="1" t="n">
        <v>45350.40921296296</v>
      </c>
      <c r="C6113" s="1" t="n">
        <v>45952</v>
      </c>
      <c r="D6113" t="inlineStr">
        <is>
          <t>VÄSTRA GÖTALANDS LÄN</t>
        </is>
      </c>
      <c r="E6113" t="inlineStr">
        <is>
          <t>ALE</t>
        </is>
      </c>
      <c r="G6113" t="n">
        <v>3.6</v>
      </c>
      <c r="H6113" t="n">
        <v>0</v>
      </c>
      <c r="I6113" t="n">
        <v>0</v>
      </c>
      <c r="J6113" t="n">
        <v>0</v>
      </c>
      <c r="K6113" t="n">
        <v>0</v>
      </c>
      <c r="L6113" t="n">
        <v>0</v>
      </c>
      <c r="M6113" t="n">
        <v>0</v>
      </c>
      <c r="N6113" t="n">
        <v>0</v>
      </c>
      <c r="O6113" t="n">
        <v>0</v>
      </c>
      <c r="P6113" t="n">
        <v>0</v>
      </c>
      <c r="Q6113" t="n">
        <v>0</v>
      </c>
      <c r="R6113" s="2" t="inlineStr"/>
    </row>
    <row r="6114" ht="15" customHeight="1">
      <c r="A6114" t="inlineStr">
        <is>
          <t>A 1134-2022</t>
        </is>
      </c>
      <c r="B6114" s="1" t="n">
        <v>44572.38181712963</v>
      </c>
      <c r="C6114" s="1" t="n">
        <v>45952</v>
      </c>
      <c r="D6114" t="inlineStr">
        <is>
          <t>VÄSTRA GÖTALANDS LÄN</t>
        </is>
      </c>
      <c r="E6114" t="inlineStr">
        <is>
          <t>TANUM</t>
        </is>
      </c>
      <c r="G6114" t="n">
        <v>1.4</v>
      </c>
      <c r="H6114" t="n">
        <v>0</v>
      </c>
      <c r="I6114" t="n">
        <v>0</v>
      </c>
      <c r="J6114" t="n">
        <v>0</v>
      </c>
      <c r="K6114" t="n">
        <v>0</v>
      </c>
      <c r="L6114" t="n">
        <v>0</v>
      </c>
      <c r="M6114" t="n">
        <v>0</v>
      </c>
      <c r="N6114" t="n">
        <v>0</v>
      </c>
      <c r="O6114" t="n">
        <v>0</v>
      </c>
      <c r="P6114" t="n">
        <v>0</v>
      </c>
      <c r="Q6114" t="n">
        <v>0</v>
      </c>
      <c r="R6114" s="2" t="inlineStr"/>
    </row>
    <row r="6115" ht="15" customHeight="1">
      <c r="A6115" t="inlineStr">
        <is>
          <t>A 58998-2022</t>
        </is>
      </c>
      <c r="B6115" s="1" t="n">
        <v>44903.72783564815</v>
      </c>
      <c r="C6115" s="1" t="n">
        <v>45952</v>
      </c>
      <c r="D6115" t="inlineStr">
        <is>
          <t>VÄSTRA GÖTALANDS LÄN</t>
        </is>
      </c>
      <c r="E6115" t="inlineStr">
        <is>
          <t>FALKÖPING</t>
        </is>
      </c>
      <c r="G6115" t="n">
        <v>1.6</v>
      </c>
      <c r="H6115" t="n">
        <v>0</v>
      </c>
      <c r="I6115" t="n">
        <v>0</v>
      </c>
      <c r="J6115" t="n">
        <v>0</v>
      </c>
      <c r="K6115" t="n">
        <v>0</v>
      </c>
      <c r="L6115" t="n">
        <v>0</v>
      </c>
      <c r="M6115" t="n">
        <v>0</v>
      </c>
      <c r="N6115" t="n">
        <v>0</v>
      </c>
      <c r="O6115" t="n">
        <v>0</v>
      </c>
      <c r="P6115" t="n">
        <v>0</v>
      </c>
      <c r="Q6115" t="n">
        <v>0</v>
      </c>
      <c r="R6115" s="2" t="inlineStr"/>
    </row>
    <row r="6116" ht="15" customHeight="1">
      <c r="A6116" t="inlineStr">
        <is>
          <t>A 20842-2024</t>
        </is>
      </c>
      <c r="B6116" s="1" t="n">
        <v>45439.40318287037</v>
      </c>
      <c r="C6116" s="1" t="n">
        <v>45952</v>
      </c>
      <c r="D6116" t="inlineStr">
        <is>
          <t>VÄSTRA GÖTALANDS LÄN</t>
        </is>
      </c>
      <c r="E6116" t="inlineStr">
        <is>
          <t>UDDEVALLA</t>
        </is>
      </c>
      <c r="G6116" t="n">
        <v>4.7</v>
      </c>
      <c r="H6116" t="n">
        <v>0</v>
      </c>
      <c r="I6116" t="n">
        <v>0</v>
      </c>
      <c r="J6116" t="n">
        <v>0</v>
      </c>
      <c r="K6116" t="n">
        <v>0</v>
      </c>
      <c r="L6116" t="n">
        <v>0</v>
      </c>
      <c r="M6116" t="n">
        <v>0</v>
      </c>
      <c r="N6116" t="n">
        <v>0</v>
      </c>
      <c r="O6116" t="n">
        <v>0</v>
      </c>
      <c r="P6116" t="n">
        <v>0</v>
      </c>
      <c r="Q6116" t="n">
        <v>0</v>
      </c>
      <c r="R6116" s="2" t="inlineStr"/>
    </row>
    <row r="6117" ht="15" customHeight="1">
      <c r="A6117" t="inlineStr">
        <is>
          <t>A 15309-2022</t>
        </is>
      </c>
      <c r="B6117" s="1" t="n">
        <v>44659</v>
      </c>
      <c r="C6117" s="1" t="n">
        <v>45952</v>
      </c>
      <c r="D6117" t="inlineStr">
        <is>
          <t>VÄSTRA GÖTALANDS LÄN</t>
        </is>
      </c>
      <c r="E6117" t="inlineStr">
        <is>
          <t>VÄNERSBORG</t>
        </is>
      </c>
      <c r="G6117" t="n">
        <v>0.2</v>
      </c>
      <c r="H6117" t="n">
        <v>0</v>
      </c>
      <c r="I6117" t="n">
        <v>0</v>
      </c>
      <c r="J6117" t="n">
        <v>0</v>
      </c>
      <c r="K6117" t="n">
        <v>0</v>
      </c>
      <c r="L6117" t="n">
        <v>0</v>
      </c>
      <c r="M6117" t="n">
        <v>0</v>
      </c>
      <c r="N6117" t="n">
        <v>0</v>
      </c>
      <c r="O6117" t="n">
        <v>0</v>
      </c>
      <c r="P6117" t="n">
        <v>0</v>
      </c>
      <c r="Q6117" t="n">
        <v>0</v>
      </c>
      <c r="R6117" s="2" t="inlineStr"/>
    </row>
    <row r="6118" ht="15" customHeight="1">
      <c r="A6118" t="inlineStr">
        <is>
          <t>A 59684-2022</t>
        </is>
      </c>
      <c r="B6118" s="1" t="n">
        <v>44908</v>
      </c>
      <c r="C6118" s="1" t="n">
        <v>45952</v>
      </c>
      <c r="D6118" t="inlineStr">
        <is>
          <t>VÄSTRA GÖTALANDS LÄN</t>
        </is>
      </c>
      <c r="E6118" t="inlineStr">
        <is>
          <t>VÅRGÅRDA</t>
        </is>
      </c>
      <c r="F6118" t="inlineStr">
        <is>
          <t>Sveaskog</t>
        </is>
      </c>
      <c r="G6118" t="n">
        <v>4.1</v>
      </c>
      <c r="H6118" t="n">
        <v>0</v>
      </c>
      <c r="I6118" t="n">
        <v>0</v>
      </c>
      <c r="J6118" t="n">
        <v>0</v>
      </c>
      <c r="K6118" t="n">
        <v>0</v>
      </c>
      <c r="L6118" t="n">
        <v>0</v>
      </c>
      <c r="M6118" t="n">
        <v>0</v>
      </c>
      <c r="N6118" t="n">
        <v>0</v>
      </c>
      <c r="O6118" t="n">
        <v>0</v>
      </c>
      <c r="P6118" t="n">
        <v>0</v>
      </c>
      <c r="Q6118" t="n">
        <v>0</v>
      </c>
      <c r="R6118" s="2" t="inlineStr"/>
    </row>
    <row r="6119" ht="15" customHeight="1">
      <c r="A6119" t="inlineStr">
        <is>
          <t>A 3822-2022</t>
        </is>
      </c>
      <c r="B6119" s="1" t="n">
        <v>44587.34189814814</v>
      </c>
      <c r="C6119" s="1" t="n">
        <v>45952</v>
      </c>
      <c r="D6119" t="inlineStr">
        <is>
          <t>VÄSTRA GÖTALANDS LÄN</t>
        </is>
      </c>
      <c r="E6119" t="inlineStr">
        <is>
          <t>SKARA</t>
        </is>
      </c>
      <c r="F6119" t="inlineStr">
        <is>
          <t>Sveaskog</t>
        </is>
      </c>
      <c r="G6119" t="n">
        <v>0.6</v>
      </c>
      <c r="H6119" t="n">
        <v>0</v>
      </c>
      <c r="I6119" t="n">
        <v>0</v>
      </c>
      <c r="J6119" t="n">
        <v>0</v>
      </c>
      <c r="K6119" t="n">
        <v>0</v>
      </c>
      <c r="L6119" t="n">
        <v>0</v>
      </c>
      <c r="M6119" t="n">
        <v>0</v>
      </c>
      <c r="N6119" t="n">
        <v>0</v>
      </c>
      <c r="O6119" t="n">
        <v>0</v>
      </c>
      <c r="P6119" t="n">
        <v>0</v>
      </c>
      <c r="Q6119" t="n">
        <v>0</v>
      </c>
      <c r="R6119" s="2" t="inlineStr"/>
    </row>
    <row r="6120" ht="15" customHeight="1">
      <c r="A6120" t="inlineStr">
        <is>
          <t>A 62510-2022</t>
        </is>
      </c>
      <c r="B6120" s="1" t="n">
        <v>44924.60834490741</v>
      </c>
      <c r="C6120" s="1" t="n">
        <v>45952</v>
      </c>
      <c r="D6120" t="inlineStr">
        <is>
          <t>VÄSTRA GÖTALANDS LÄN</t>
        </is>
      </c>
      <c r="E6120" t="inlineStr">
        <is>
          <t>GÖTENE</t>
        </is>
      </c>
      <c r="F6120" t="inlineStr">
        <is>
          <t>Övriga Aktiebolag</t>
        </is>
      </c>
      <c r="G6120" t="n">
        <v>0.6</v>
      </c>
      <c r="H6120" t="n">
        <v>0</v>
      </c>
      <c r="I6120" t="n">
        <v>0</v>
      </c>
      <c r="J6120" t="n">
        <v>0</v>
      </c>
      <c r="K6120" t="n">
        <v>0</v>
      </c>
      <c r="L6120" t="n">
        <v>0</v>
      </c>
      <c r="M6120" t="n">
        <v>0</v>
      </c>
      <c r="N6120" t="n">
        <v>0</v>
      </c>
      <c r="O6120" t="n">
        <v>0</v>
      </c>
      <c r="P6120" t="n">
        <v>0</v>
      </c>
      <c r="Q6120" t="n">
        <v>0</v>
      </c>
      <c r="R6120" s="2" t="inlineStr"/>
    </row>
    <row r="6121" ht="15" customHeight="1">
      <c r="A6121" t="inlineStr">
        <is>
          <t>A 62979-2023</t>
        </is>
      </c>
      <c r="B6121" s="1" t="n">
        <v>45271</v>
      </c>
      <c r="C6121" s="1" t="n">
        <v>45952</v>
      </c>
      <c r="D6121" t="inlineStr">
        <is>
          <t>VÄSTRA GÖTALANDS LÄN</t>
        </is>
      </c>
      <c r="E6121" t="inlineStr">
        <is>
          <t>KUNGÄLV</t>
        </is>
      </c>
      <c r="G6121" t="n">
        <v>0.8</v>
      </c>
      <c r="H6121" t="n">
        <v>0</v>
      </c>
      <c r="I6121" t="n">
        <v>0</v>
      </c>
      <c r="J6121" t="n">
        <v>0</v>
      </c>
      <c r="K6121" t="n">
        <v>0</v>
      </c>
      <c r="L6121" t="n">
        <v>0</v>
      </c>
      <c r="M6121" t="n">
        <v>0</v>
      </c>
      <c r="N6121" t="n">
        <v>0</v>
      </c>
      <c r="O6121" t="n">
        <v>0</v>
      </c>
      <c r="P6121" t="n">
        <v>0</v>
      </c>
      <c r="Q6121" t="n">
        <v>0</v>
      </c>
      <c r="R6121" s="2" t="inlineStr"/>
    </row>
    <row r="6122" ht="15" customHeight="1">
      <c r="A6122" t="inlineStr">
        <is>
          <t>A 32156-2022</t>
        </is>
      </c>
      <c r="B6122" s="1" t="n">
        <v>44781.323125</v>
      </c>
      <c r="C6122" s="1" t="n">
        <v>45952</v>
      </c>
      <c r="D6122" t="inlineStr">
        <is>
          <t>VÄSTRA GÖTALANDS LÄN</t>
        </is>
      </c>
      <c r="E6122" t="inlineStr">
        <is>
          <t>ULRICEHAMN</t>
        </is>
      </c>
      <c r="G6122" t="n">
        <v>0.9</v>
      </c>
      <c r="H6122" t="n">
        <v>0</v>
      </c>
      <c r="I6122" t="n">
        <v>0</v>
      </c>
      <c r="J6122" t="n">
        <v>0</v>
      </c>
      <c r="K6122" t="n">
        <v>0</v>
      </c>
      <c r="L6122" t="n">
        <v>0</v>
      </c>
      <c r="M6122" t="n">
        <v>0</v>
      </c>
      <c r="N6122" t="n">
        <v>0</v>
      </c>
      <c r="O6122" t="n">
        <v>0</v>
      </c>
      <c r="P6122" t="n">
        <v>0</v>
      </c>
      <c r="Q6122" t="n">
        <v>0</v>
      </c>
      <c r="R6122" s="2" t="inlineStr"/>
    </row>
    <row r="6123" ht="15" customHeight="1">
      <c r="A6123" t="inlineStr">
        <is>
          <t>A 58923-2021</t>
        </is>
      </c>
      <c r="B6123" s="1" t="n">
        <v>44489.78759259259</v>
      </c>
      <c r="C6123" s="1" t="n">
        <v>45952</v>
      </c>
      <c r="D6123" t="inlineStr">
        <is>
          <t>VÄSTRA GÖTALANDS LÄN</t>
        </is>
      </c>
      <c r="E6123" t="inlineStr">
        <is>
          <t>FALKÖPING</t>
        </is>
      </c>
      <c r="G6123" t="n">
        <v>1.9</v>
      </c>
      <c r="H6123" t="n">
        <v>0</v>
      </c>
      <c r="I6123" t="n">
        <v>0</v>
      </c>
      <c r="J6123" t="n">
        <v>0</v>
      </c>
      <c r="K6123" t="n">
        <v>0</v>
      </c>
      <c r="L6123" t="n">
        <v>0</v>
      </c>
      <c r="M6123" t="n">
        <v>0</v>
      </c>
      <c r="N6123" t="n">
        <v>0</v>
      </c>
      <c r="O6123" t="n">
        <v>0</v>
      </c>
      <c r="P6123" t="n">
        <v>0</v>
      </c>
      <c r="Q6123" t="n">
        <v>0</v>
      </c>
      <c r="R6123" s="2" t="inlineStr"/>
    </row>
    <row r="6124" ht="15" customHeight="1">
      <c r="A6124" t="inlineStr">
        <is>
          <t>A 62986-2023</t>
        </is>
      </c>
      <c r="B6124" s="1" t="n">
        <v>45272</v>
      </c>
      <c r="C6124" s="1" t="n">
        <v>45952</v>
      </c>
      <c r="D6124" t="inlineStr">
        <is>
          <t>VÄSTRA GÖTALANDS LÄN</t>
        </is>
      </c>
      <c r="E6124" t="inlineStr">
        <is>
          <t>BOLLEBYGD</t>
        </is>
      </c>
      <c r="G6124" t="n">
        <v>7.5</v>
      </c>
      <c r="H6124" t="n">
        <v>0</v>
      </c>
      <c r="I6124" t="n">
        <v>0</v>
      </c>
      <c r="J6124" t="n">
        <v>0</v>
      </c>
      <c r="K6124" t="n">
        <v>0</v>
      </c>
      <c r="L6124" t="n">
        <v>0</v>
      </c>
      <c r="M6124" t="n">
        <v>0</v>
      </c>
      <c r="N6124" t="n">
        <v>0</v>
      </c>
      <c r="O6124" t="n">
        <v>0</v>
      </c>
      <c r="P6124" t="n">
        <v>0</v>
      </c>
      <c r="Q6124" t="n">
        <v>0</v>
      </c>
      <c r="R6124" s="2" t="inlineStr"/>
    </row>
    <row r="6125" ht="15" customHeight="1">
      <c r="A6125" t="inlineStr">
        <is>
          <t>A 62996-2023</t>
        </is>
      </c>
      <c r="B6125" s="1" t="n">
        <v>45272.63121527778</v>
      </c>
      <c r="C6125" s="1" t="n">
        <v>45952</v>
      </c>
      <c r="D6125" t="inlineStr">
        <is>
          <t>VÄSTRA GÖTALANDS LÄN</t>
        </is>
      </c>
      <c r="E6125" t="inlineStr">
        <is>
          <t>DALS-ED</t>
        </is>
      </c>
      <c r="G6125" t="n">
        <v>3.6</v>
      </c>
      <c r="H6125" t="n">
        <v>0</v>
      </c>
      <c r="I6125" t="n">
        <v>0</v>
      </c>
      <c r="J6125" t="n">
        <v>0</v>
      </c>
      <c r="K6125" t="n">
        <v>0</v>
      </c>
      <c r="L6125" t="n">
        <v>0</v>
      </c>
      <c r="M6125" t="n">
        <v>0</v>
      </c>
      <c r="N6125" t="n">
        <v>0</v>
      </c>
      <c r="O6125" t="n">
        <v>0</v>
      </c>
      <c r="P6125" t="n">
        <v>0</v>
      </c>
      <c r="Q6125" t="n">
        <v>0</v>
      </c>
      <c r="R6125" s="2" t="inlineStr"/>
    </row>
    <row r="6126" ht="15" customHeight="1">
      <c r="A6126" t="inlineStr">
        <is>
          <t>A 56413-2024</t>
        </is>
      </c>
      <c r="B6126" s="1" t="n">
        <v>45623</v>
      </c>
      <c r="C6126" s="1" t="n">
        <v>45952</v>
      </c>
      <c r="D6126" t="inlineStr">
        <is>
          <t>VÄSTRA GÖTALANDS LÄN</t>
        </is>
      </c>
      <c r="E6126" t="inlineStr">
        <is>
          <t>LIDKÖPING</t>
        </is>
      </c>
      <c r="G6126" t="n">
        <v>3.5</v>
      </c>
      <c r="H6126" t="n">
        <v>0</v>
      </c>
      <c r="I6126" t="n">
        <v>0</v>
      </c>
      <c r="J6126" t="n">
        <v>0</v>
      </c>
      <c r="K6126" t="n">
        <v>0</v>
      </c>
      <c r="L6126" t="n">
        <v>0</v>
      </c>
      <c r="M6126" t="n">
        <v>0</v>
      </c>
      <c r="N6126" t="n">
        <v>0</v>
      </c>
      <c r="O6126" t="n">
        <v>0</v>
      </c>
      <c r="P6126" t="n">
        <v>0</v>
      </c>
      <c r="Q6126" t="n">
        <v>0</v>
      </c>
      <c r="R6126" s="2" t="inlineStr"/>
    </row>
    <row r="6127" ht="15" customHeight="1">
      <c r="A6127" t="inlineStr">
        <is>
          <t>A 55667-2024</t>
        </is>
      </c>
      <c r="B6127" s="1" t="n">
        <v>45622.64577546297</v>
      </c>
      <c r="C6127" s="1" t="n">
        <v>45952</v>
      </c>
      <c r="D6127" t="inlineStr">
        <is>
          <t>VÄSTRA GÖTALANDS LÄN</t>
        </is>
      </c>
      <c r="E6127" t="inlineStr">
        <is>
          <t>VARA</t>
        </is>
      </c>
      <c r="G6127" t="n">
        <v>0.5</v>
      </c>
      <c r="H6127" t="n">
        <v>0</v>
      </c>
      <c r="I6127" t="n">
        <v>0</v>
      </c>
      <c r="J6127" t="n">
        <v>0</v>
      </c>
      <c r="K6127" t="n">
        <v>0</v>
      </c>
      <c r="L6127" t="n">
        <v>0</v>
      </c>
      <c r="M6127" t="n">
        <v>0</v>
      </c>
      <c r="N6127" t="n">
        <v>0</v>
      </c>
      <c r="O6127" t="n">
        <v>0</v>
      </c>
      <c r="P6127" t="n">
        <v>0</v>
      </c>
      <c r="Q6127" t="n">
        <v>0</v>
      </c>
      <c r="R6127" s="2" t="inlineStr"/>
    </row>
    <row r="6128" ht="15" customHeight="1">
      <c r="A6128" t="inlineStr">
        <is>
          <t>A 12889-2022</t>
        </is>
      </c>
      <c r="B6128" s="1" t="n">
        <v>44642.5922337963</v>
      </c>
      <c r="C6128" s="1" t="n">
        <v>45952</v>
      </c>
      <c r="D6128" t="inlineStr">
        <is>
          <t>VÄSTRA GÖTALANDS LÄN</t>
        </is>
      </c>
      <c r="E6128" t="inlineStr">
        <is>
          <t>SKARA</t>
        </is>
      </c>
      <c r="G6128" t="n">
        <v>1.3</v>
      </c>
      <c r="H6128" t="n">
        <v>0</v>
      </c>
      <c r="I6128" t="n">
        <v>0</v>
      </c>
      <c r="J6128" t="n">
        <v>0</v>
      </c>
      <c r="K6128" t="n">
        <v>0</v>
      </c>
      <c r="L6128" t="n">
        <v>0</v>
      </c>
      <c r="M6128" t="n">
        <v>0</v>
      </c>
      <c r="N6128" t="n">
        <v>0</v>
      </c>
      <c r="O6128" t="n">
        <v>0</v>
      </c>
      <c r="P6128" t="n">
        <v>0</v>
      </c>
      <c r="Q6128" t="n">
        <v>0</v>
      </c>
      <c r="R6128" s="2" t="inlineStr"/>
    </row>
    <row r="6129" ht="15" customHeight="1">
      <c r="A6129" t="inlineStr">
        <is>
          <t>A 59816-2021</t>
        </is>
      </c>
      <c r="B6129" s="1" t="n">
        <v>44494</v>
      </c>
      <c r="C6129" s="1" t="n">
        <v>45952</v>
      </c>
      <c r="D6129" t="inlineStr">
        <is>
          <t>VÄSTRA GÖTALANDS LÄN</t>
        </is>
      </c>
      <c r="E6129" t="inlineStr">
        <is>
          <t>BOLLEBYGD</t>
        </is>
      </c>
      <c r="G6129" t="n">
        <v>3.5</v>
      </c>
      <c r="H6129" t="n">
        <v>0</v>
      </c>
      <c r="I6129" t="n">
        <v>0</v>
      </c>
      <c r="J6129" t="n">
        <v>0</v>
      </c>
      <c r="K6129" t="n">
        <v>0</v>
      </c>
      <c r="L6129" t="n">
        <v>0</v>
      </c>
      <c r="M6129" t="n">
        <v>0</v>
      </c>
      <c r="N6129" t="n">
        <v>0</v>
      </c>
      <c r="O6129" t="n">
        <v>0</v>
      </c>
      <c r="P6129" t="n">
        <v>0</v>
      </c>
      <c r="Q6129" t="n">
        <v>0</v>
      </c>
      <c r="R6129" s="2" t="inlineStr"/>
    </row>
    <row r="6130" ht="15" customHeight="1">
      <c r="A6130" t="inlineStr">
        <is>
          <t>A 26688-2022</t>
        </is>
      </c>
      <c r="B6130" s="1" t="n">
        <v>44739</v>
      </c>
      <c r="C6130" s="1" t="n">
        <v>45952</v>
      </c>
      <c r="D6130" t="inlineStr">
        <is>
          <t>VÄSTRA GÖTALANDS LÄN</t>
        </is>
      </c>
      <c r="E6130" t="inlineStr">
        <is>
          <t>MARIESTAD</t>
        </is>
      </c>
      <c r="F6130" t="inlineStr">
        <is>
          <t>Kommuner</t>
        </is>
      </c>
      <c r="G6130" t="n">
        <v>1</v>
      </c>
      <c r="H6130" t="n">
        <v>0</v>
      </c>
      <c r="I6130" t="n">
        <v>0</v>
      </c>
      <c r="J6130" t="n">
        <v>0</v>
      </c>
      <c r="K6130" t="n">
        <v>0</v>
      </c>
      <c r="L6130" t="n">
        <v>0</v>
      </c>
      <c r="M6130" t="n">
        <v>0</v>
      </c>
      <c r="N6130" t="n">
        <v>0</v>
      </c>
      <c r="O6130" t="n">
        <v>0</v>
      </c>
      <c r="P6130" t="n">
        <v>0</v>
      </c>
      <c r="Q6130" t="n">
        <v>0</v>
      </c>
      <c r="R6130" s="2" t="inlineStr"/>
    </row>
    <row r="6131" ht="15" customHeight="1">
      <c r="A6131" t="inlineStr">
        <is>
          <t>A 11648-2025</t>
        </is>
      </c>
      <c r="B6131" s="1" t="n">
        <v>45727.47711805555</v>
      </c>
      <c r="C6131" s="1" t="n">
        <v>45952</v>
      </c>
      <c r="D6131" t="inlineStr">
        <is>
          <t>VÄSTRA GÖTALANDS LÄN</t>
        </is>
      </c>
      <c r="E6131" t="inlineStr">
        <is>
          <t>ULRICEHAMN</t>
        </is>
      </c>
      <c r="G6131" t="n">
        <v>3</v>
      </c>
      <c r="H6131" t="n">
        <v>0</v>
      </c>
      <c r="I6131" t="n">
        <v>0</v>
      </c>
      <c r="J6131" t="n">
        <v>0</v>
      </c>
      <c r="K6131" t="n">
        <v>0</v>
      </c>
      <c r="L6131" t="n">
        <v>0</v>
      </c>
      <c r="M6131" t="n">
        <v>0</v>
      </c>
      <c r="N6131" t="n">
        <v>0</v>
      </c>
      <c r="O6131" t="n">
        <v>0</v>
      </c>
      <c r="P6131" t="n">
        <v>0</v>
      </c>
      <c r="Q6131" t="n">
        <v>0</v>
      </c>
      <c r="R6131" s="2" t="inlineStr"/>
    </row>
    <row r="6132" ht="15" customHeight="1">
      <c r="A6132" t="inlineStr">
        <is>
          <t>A 2362-2024</t>
        </is>
      </c>
      <c r="B6132" s="1" t="n">
        <v>45310</v>
      </c>
      <c r="C6132" s="1" t="n">
        <v>45952</v>
      </c>
      <c r="D6132" t="inlineStr">
        <is>
          <t>VÄSTRA GÖTALANDS LÄN</t>
        </is>
      </c>
      <c r="E6132" t="inlineStr">
        <is>
          <t>ALINGSÅS</t>
        </is>
      </c>
      <c r="G6132" t="n">
        <v>0.4</v>
      </c>
      <c r="H6132" t="n">
        <v>0</v>
      </c>
      <c r="I6132" t="n">
        <v>0</v>
      </c>
      <c r="J6132" t="n">
        <v>0</v>
      </c>
      <c r="K6132" t="n">
        <v>0</v>
      </c>
      <c r="L6132" t="n">
        <v>0</v>
      </c>
      <c r="M6132" t="n">
        <v>0</v>
      </c>
      <c r="N6132" t="n">
        <v>0</v>
      </c>
      <c r="O6132" t="n">
        <v>0</v>
      </c>
      <c r="P6132" t="n">
        <v>0</v>
      </c>
      <c r="Q6132" t="n">
        <v>0</v>
      </c>
      <c r="R6132" s="2" t="inlineStr"/>
    </row>
    <row r="6133" ht="15" customHeight="1">
      <c r="A6133" t="inlineStr">
        <is>
          <t>A 38093-2022</t>
        </is>
      </c>
      <c r="B6133" s="1" t="n">
        <v>44811.94373842593</v>
      </c>
      <c r="C6133" s="1" t="n">
        <v>45952</v>
      </c>
      <c r="D6133" t="inlineStr">
        <is>
          <t>VÄSTRA GÖTALANDS LÄN</t>
        </is>
      </c>
      <c r="E6133" t="inlineStr">
        <is>
          <t>LILLA EDET</t>
        </is>
      </c>
      <c r="G6133" t="n">
        <v>1.4</v>
      </c>
      <c r="H6133" t="n">
        <v>0</v>
      </c>
      <c r="I6133" t="n">
        <v>0</v>
      </c>
      <c r="J6133" t="n">
        <v>0</v>
      </c>
      <c r="K6133" t="n">
        <v>0</v>
      </c>
      <c r="L6133" t="n">
        <v>0</v>
      </c>
      <c r="M6133" t="n">
        <v>0</v>
      </c>
      <c r="N6133" t="n">
        <v>0</v>
      </c>
      <c r="O6133" t="n">
        <v>0</v>
      </c>
      <c r="P6133" t="n">
        <v>0</v>
      </c>
      <c r="Q6133" t="n">
        <v>0</v>
      </c>
      <c r="R6133" s="2" t="inlineStr"/>
    </row>
    <row r="6134" ht="15" customHeight="1">
      <c r="A6134" t="inlineStr">
        <is>
          <t>A 11879-2023</t>
        </is>
      </c>
      <c r="B6134" s="1" t="n">
        <v>44995</v>
      </c>
      <c r="C6134" s="1" t="n">
        <v>45952</v>
      </c>
      <c r="D6134" t="inlineStr">
        <is>
          <t>VÄSTRA GÖTALANDS LÄN</t>
        </is>
      </c>
      <c r="E6134" t="inlineStr">
        <is>
          <t>HERRLJUNGA</t>
        </is>
      </c>
      <c r="G6134" t="n">
        <v>1</v>
      </c>
      <c r="H6134" t="n">
        <v>0</v>
      </c>
      <c r="I6134" t="n">
        <v>0</v>
      </c>
      <c r="J6134" t="n">
        <v>0</v>
      </c>
      <c r="K6134" t="n">
        <v>0</v>
      </c>
      <c r="L6134" t="n">
        <v>0</v>
      </c>
      <c r="M6134" t="n">
        <v>0</v>
      </c>
      <c r="N6134" t="n">
        <v>0</v>
      </c>
      <c r="O6134" t="n">
        <v>0</v>
      </c>
      <c r="P6134" t="n">
        <v>0</v>
      </c>
      <c r="Q6134" t="n">
        <v>0</v>
      </c>
      <c r="R6134" s="2" t="inlineStr"/>
    </row>
    <row r="6135" ht="15" customHeight="1">
      <c r="A6135" t="inlineStr">
        <is>
          <t>A 24590-2025</t>
        </is>
      </c>
      <c r="B6135" s="1" t="n">
        <v>45798.53462962963</v>
      </c>
      <c r="C6135" s="1" t="n">
        <v>45952</v>
      </c>
      <c r="D6135" t="inlineStr">
        <is>
          <t>VÄSTRA GÖTALANDS LÄN</t>
        </is>
      </c>
      <c r="E6135" t="inlineStr">
        <is>
          <t>MARK</t>
        </is>
      </c>
      <c r="G6135" t="n">
        <v>2.1</v>
      </c>
      <c r="H6135" t="n">
        <v>0</v>
      </c>
      <c r="I6135" t="n">
        <v>0</v>
      </c>
      <c r="J6135" t="n">
        <v>0</v>
      </c>
      <c r="K6135" t="n">
        <v>0</v>
      </c>
      <c r="L6135" t="n">
        <v>0</v>
      </c>
      <c r="M6135" t="n">
        <v>0</v>
      </c>
      <c r="N6135" t="n">
        <v>0</v>
      </c>
      <c r="O6135" t="n">
        <v>0</v>
      </c>
      <c r="P6135" t="n">
        <v>0</v>
      </c>
      <c r="Q6135" t="n">
        <v>0</v>
      </c>
      <c r="R6135" s="2" t="inlineStr"/>
    </row>
    <row r="6136" ht="15" customHeight="1">
      <c r="A6136" t="inlineStr">
        <is>
          <t>A 52713-2023</t>
        </is>
      </c>
      <c r="B6136" s="1" t="n">
        <v>45225.85532407407</v>
      </c>
      <c r="C6136" s="1" t="n">
        <v>45952</v>
      </c>
      <c r="D6136" t="inlineStr">
        <is>
          <t>VÄSTRA GÖTALANDS LÄN</t>
        </is>
      </c>
      <c r="E6136" t="inlineStr">
        <is>
          <t>ULRICEHAMN</t>
        </is>
      </c>
      <c r="G6136" t="n">
        <v>0.9</v>
      </c>
      <c r="H6136" t="n">
        <v>0</v>
      </c>
      <c r="I6136" t="n">
        <v>0</v>
      </c>
      <c r="J6136" t="n">
        <v>0</v>
      </c>
      <c r="K6136" t="n">
        <v>0</v>
      </c>
      <c r="L6136" t="n">
        <v>0</v>
      </c>
      <c r="M6136" t="n">
        <v>0</v>
      </c>
      <c r="N6136" t="n">
        <v>0</v>
      </c>
      <c r="O6136" t="n">
        <v>0</v>
      </c>
      <c r="P6136" t="n">
        <v>0</v>
      </c>
      <c r="Q6136" t="n">
        <v>0</v>
      </c>
      <c r="R6136" s="2" t="inlineStr"/>
    </row>
    <row r="6137" ht="15" customHeight="1">
      <c r="A6137" t="inlineStr">
        <is>
          <t>A 50441-2023</t>
        </is>
      </c>
      <c r="B6137" s="1" t="n">
        <v>45216.708125</v>
      </c>
      <c r="C6137" s="1" t="n">
        <v>45952</v>
      </c>
      <c r="D6137" t="inlineStr">
        <is>
          <t>VÄSTRA GÖTALANDS LÄN</t>
        </is>
      </c>
      <c r="E6137" t="inlineStr">
        <is>
          <t>MELLERUD</t>
        </is>
      </c>
      <c r="G6137" t="n">
        <v>2.7</v>
      </c>
      <c r="H6137" t="n">
        <v>0</v>
      </c>
      <c r="I6137" t="n">
        <v>0</v>
      </c>
      <c r="J6137" t="n">
        <v>0</v>
      </c>
      <c r="K6137" t="n">
        <v>0</v>
      </c>
      <c r="L6137" t="n">
        <v>0</v>
      </c>
      <c r="M6137" t="n">
        <v>0</v>
      </c>
      <c r="N6137" t="n">
        <v>0</v>
      </c>
      <c r="O6137" t="n">
        <v>0</v>
      </c>
      <c r="P6137" t="n">
        <v>0</v>
      </c>
      <c r="Q6137" t="n">
        <v>0</v>
      </c>
      <c r="R6137" s="2" t="inlineStr"/>
    </row>
    <row r="6138" ht="15" customHeight="1">
      <c r="A6138" t="inlineStr">
        <is>
          <t>A 3647-2023</t>
        </is>
      </c>
      <c r="B6138" s="1" t="n">
        <v>44950</v>
      </c>
      <c r="C6138" s="1" t="n">
        <v>45952</v>
      </c>
      <c r="D6138" t="inlineStr">
        <is>
          <t>VÄSTRA GÖTALANDS LÄN</t>
        </is>
      </c>
      <c r="E6138" t="inlineStr">
        <is>
          <t>SVENLJUNGA</t>
        </is>
      </c>
      <c r="G6138" t="n">
        <v>5.8</v>
      </c>
      <c r="H6138" t="n">
        <v>0</v>
      </c>
      <c r="I6138" t="n">
        <v>0</v>
      </c>
      <c r="J6138" t="n">
        <v>0</v>
      </c>
      <c r="K6138" t="n">
        <v>0</v>
      </c>
      <c r="L6138" t="n">
        <v>0</v>
      </c>
      <c r="M6138" t="n">
        <v>0</v>
      </c>
      <c r="N6138" t="n">
        <v>0</v>
      </c>
      <c r="O6138" t="n">
        <v>0</v>
      </c>
      <c r="P6138" t="n">
        <v>0</v>
      </c>
      <c r="Q6138" t="n">
        <v>0</v>
      </c>
      <c r="R6138" s="2" t="inlineStr"/>
    </row>
    <row r="6139" ht="15" customHeight="1">
      <c r="A6139" t="inlineStr">
        <is>
          <t>A 9473-2023</t>
        </is>
      </c>
      <c r="B6139" s="1" t="n">
        <v>44981</v>
      </c>
      <c r="C6139" s="1" t="n">
        <v>45952</v>
      </c>
      <c r="D6139" t="inlineStr">
        <is>
          <t>VÄSTRA GÖTALANDS LÄN</t>
        </is>
      </c>
      <c r="E6139" t="inlineStr">
        <is>
          <t>HJO</t>
        </is>
      </c>
      <c r="G6139" t="n">
        <v>2.1</v>
      </c>
      <c r="H6139" t="n">
        <v>0</v>
      </c>
      <c r="I6139" t="n">
        <v>0</v>
      </c>
      <c r="J6139" t="n">
        <v>0</v>
      </c>
      <c r="K6139" t="n">
        <v>0</v>
      </c>
      <c r="L6139" t="n">
        <v>0</v>
      </c>
      <c r="M6139" t="n">
        <v>0</v>
      </c>
      <c r="N6139" t="n">
        <v>0</v>
      </c>
      <c r="O6139" t="n">
        <v>0</v>
      </c>
      <c r="P6139" t="n">
        <v>0</v>
      </c>
      <c r="Q6139" t="n">
        <v>0</v>
      </c>
      <c r="R6139" s="2" t="inlineStr"/>
    </row>
    <row r="6140" ht="15" customHeight="1">
      <c r="A6140" t="inlineStr">
        <is>
          <t>A 3653-2023</t>
        </is>
      </c>
      <c r="B6140" s="1" t="n">
        <v>44950</v>
      </c>
      <c r="C6140" s="1" t="n">
        <v>45952</v>
      </c>
      <c r="D6140" t="inlineStr">
        <is>
          <t>VÄSTRA GÖTALANDS LÄN</t>
        </is>
      </c>
      <c r="E6140" t="inlineStr">
        <is>
          <t>MARK</t>
        </is>
      </c>
      <c r="F6140" t="inlineStr">
        <is>
          <t>Sveaskog</t>
        </is>
      </c>
      <c r="G6140" t="n">
        <v>1</v>
      </c>
      <c r="H6140" t="n">
        <v>0</v>
      </c>
      <c r="I6140" t="n">
        <v>0</v>
      </c>
      <c r="J6140" t="n">
        <v>0</v>
      </c>
      <c r="K6140" t="n">
        <v>0</v>
      </c>
      <c r="L6140" t="n">
        <v>0</v>
      </c>
      <c r="M6140" t="n">
        <v>0</v>
      </c>
      <c r="N6140" t="n">
        <v>0</v>
      </c>
      <c r="O6140" t="n">
        <v>0</v>
      </c>
      <c r="P6140" t="n">
        <v>0</v>
      </c>
      <c r="Q6140" t="n">
        <v>0</v>
      </c>
      <c r="R6140" s="2" t="inlineStr"/>
    </row>
    <row r="6141" ht="15" customHeight="1">
      <c r="A6141" t="inlineStr">
        <is>
          <t>A 17229-2024</t>
        </is>
      </c>
      <c r="B6141" s="1" t="n">
        <v>45414.36018518519</v>
      </c>
      <c r="C6141" s="1" t="n">
        <v>45952</v>
      </c>
      <c r="D6141" t="inlineStr">
        <is>
          <t>VÄSTRA GÖTALANDS LÄN</t>
        </is>
      </c>
      <c r="E6141" t="inlineStr">
        <is>
          <t>HERRLJUNGA</t>
        </is>
      </c>
      <c r="G6141" t="n">
        <v>4.4</v>
      </c>
      <c r="H6141" t="n">
        <v>0</v>
      </c>
      <c r="I6141" t="n">
        <v>0</v>
      </c>
      <c r="J6141" t="n">
        <v>0</v>
      </c>
      <c r="K6141" t="n">
        <v>0</v>
      </c>
      <c r="L6141" t="n">
        <v>0</v>
      </c>
      <c r="M6141" t="n">
        <v>0</v>
      </c>
      <c r="N6141" t="n">
        <v>0</v>
      </c>
      <c r="O6141" t="n">
        <v>0</v>
      </c>
      <c r="P6141" t="n">
        <v>0</v>
      </c>
      <c r="Q6141" t="n">
        <v>0</v>
      </c>
      <c r="R6141" s="2" t="inlineStr"/>
    </row>
    <row r="6142" ht="15" customHeight="1">
      <c r="A6142" t="inlineStr">
        <is>
          <t>A 19691-2024</t>
        </is>
      </c>
      <c r="B6142" s="1" t="n">
        <v>45432</v>
      </c>
      <c r="C6142" s="1" t="n">
        <v>45952</v>
      </c>
      <c r="D6142" t="inlineStr">
        <is>
          <t>VÄSTRA GÖTALANDS LÄN</t>
        </is>
      </c>
      <c r="E6142" t="inlineStr">
        <is>
          <t>BORÅS</t>
        </is>
      </c>
      <c r="G6142" t="n">
        <v>3.9</v>
      </c>
      <c r="H6142" t="n">
        <v>0</v>
      </c>
      <c r="I6142" t="n">
        <v>0</v>
      </c>
      <c r="J6142" t="n">
        <v>0</v>
      </c>
      <c r="K6142" t="n">
        <v>0</v>
      </c>
      <c r="L6142" t="n">
        <v>0</v>
      </c>
      <c r="M6142" t="n">
        <v>0</v>
      </c>
      <c r="N6142" t="n">
        <v>0</v>
      </c>
      <c r="O6142" t="n">
        <v>0</v>
      </c>
      <c r="P6142" t="n">
        <v>0</v>
      </c>
      <c r="Q6142" t="n">
        <v>0</v>
      </c>
      <c r="R6142" s="2" t="inlineStr"/>
    </row>
    <row r="6143" ht="15" customHeight="1">
      <c r="A6143" t="inlineStr">
        <is>
          <t>A 44756-2024</t>
        </is>
      </c>
      <c r="B6143" s="1" t="n">
        <v>45574.613125</v>
      </c>
      <c r="C6143" s="1" t="n">
        <v>45952</v>
      </c>
      <c r="D6143" t="inlineStr">
        <is>
          <t>VÄSTRA GÖTALANDS LÄN</t>
        </is>
      </c>
      <c r="E6143" t="inlineStr">
        <is>
          <t>TRANEMO</t>
        </is>
      </c>
      <c r="F6143" t="inlineStr">
        <is>
          <t>Sveaskog</t>
        </is>
      </c>
      <c r="G6143" t="n">
        <v>3.9</v>
      </c>
      <c r="H6143" t="n">
        <v>0</v>
      </c>
      <c r="I6143" t="n">
        <v>0</v>
      </c>
      <c r="J6143" t="n">
        <v>0</v>
      </c>
      <c r="K6143" t="n">
        <v>0</v>
      </c>
      <c r="L6143" t="n">
        <v>0</v>
      </c>
      <c r="M6143" t="n">
        <v>0</v>
      </c>
      <c r="N6143" t="n">
        <v>0</v>
      </c>
      <c r="O6143" t="n">
        <v>0</v>
      </c>
      <c r="P6143" t="n">
        <v>0</v>
      </c>
      <c r="Q6143" t="n">
        <v>0</v>
      </c>
      <c r="R6143" s="2" t="inlineStr"/>
    </row>
    <row r="6144" ht="15" customHeight="1">
      <c r="A6144" t="inlineStr">
        <is>
          <t>A 62090-2023</t>
        </is>
      </c>
      <c r="B6144" s="1" t="n">
        <v>45266.8790625</v>
      </c>
      <c r="C6144" s="1" t="n">
        <v>45952</v>
      </c>
      <c r="D6144" t="inlineStr">
        <is>
          <t>VÄSTRA GÖTALANDS LÄN</t>
        </is>
      </c>
      <c r="E6144" t="inlineStr">
        <is>
          <t>MUNKEDAL</t>
        </is>
      </c>
      <c r="G6144" t="n">
        <v>1.6</v>
      </c>
      <c r="H6144" t="n">
        <v>0</v>
      </c>
      <c r="I6144" t="n">
        <v>0</v>
      </c>
      <c r="J6144" t="n">
        <v>0</v>
      </c>
      <c r="K6144" t="n">
        <v>0</v>
      </c>
      <c r="L6144" t="n">
        <v>0</v>
      </c>
      <c r="M6144" t="n">
        <v>0</v>
      </c>
      <c r="N6144" t="n">
        <v>0</v>
      </c>
      <c r="O6144" t="n">
        <v>0</v>
      </c>
      <c r="P6144" t="n">
        <v>0</v>
      </c>
      <c r="Q6144" t="n">
        <v>0</v>
      </c>
      <c r="R6144" s="2" t="inlineStr"/>
    </row>
    <row r="6145" ht="15" customHeight="1">
      <c r="A6145" t="inlineStr">
        <is>
          <t>A 41228-2024</t>
        </is>
      </c>
      <c r="B6145" s="1" t="n">
        <v>45559.56003472222</v>
      </c>
      <c r="C6145" s="1" t="n">
        <v>45952</v>
      </c>
      <c r="D6145" t="inlineStr">
        <is>
          <t>VÄSTRA GÖTALANDS LÄN</t>
        </is>
      </c>
      <c r="E6145" t="inlineStr">
        <is>
          <t>BENGTSFORS</t>
        </is>
      </c>
      <c r="G6145" t="n">
        <v>2.6</v>
      </c>
      <c r="H6145" t="n">
        <v>0</v>
      </c>
      <c r="I6145" t="n">
        <v>0</v>
      </c>
      <c r="J6145" t="n">
        <v>0</v>
      </c>
      <c r="K6145" t="n">
        <v>0</v>
      </c>
      <c r="L6145" t="n">
        <v>0</v>
      </c>
      <c r="M6145" t="n">
        <v>0</v>
      </c>
      <c r="N6145" t="n">
        <v>0</v>
      </c>
      <c r="O6145" t="n">
        <v>0</v>
      </c>
      <c r="P6145" t="n">
        <v>0</v>
      </c>
      <c r="Q6145" t="n">
        <v>0</v>
      </c>
      <c r="R6145" s="2" t="inlineStr"/>
    </row>
    <row r="6146" ht="15" customHeight="1">
      <c r="A6146" t="inlineStr">
        <is>
          <t>A 51020-2024</t>
        </is>
      </c>
      <c r="B6146" s="1" t="n">
        <v>45603.408125</v>
      </c>
      <c r="C6146" s="1" t="n">
        <v>45952</v>
      </c>
      <c r="D6146" t="inlineStr">
        <is>
          <t>VÄSTRA GÖTALANDS LÄN</t>
        </is>
      </c>
      <c r="E6146" t="inlineStr">
        <is>
          <t>DALS-ED</t>
        </is>
      </c>
      <c r="G6146" t="n">
        <v>3.1</v>
      </c>
      <c r="H6146" t="n">
        <v>0</v>
      </c>
      <c r="I6146" t="n">
        <v>0</v>
      </c>
      <c r="J6146" t="n">
        <v>0</v>
      </c>
      <c r="K6146" t="n">
        <v>0</v>
      </c>
      <c r="L6146" t="n">
        <v>0</v>
      </c>
      <c r="M6146" t="n">
        <v>0</v>
      </c>
      <c r="N6146" t="n">
        <v>0</v>
      </c>
      <c r="O6146" t="n">
        <v>0</v>
      </c>
      <c r="P6146" t="n">
        <v>0</v>
      </c>
      <c r="Q6146" t="n">
        <v>0</v>
      </c>
      <c r="R6146" s="2" t="inlineStr"/>
    </row>
    <row r="6147" ht="15" customHeight="1">
      <c r="A6147" t="inlineStr">
        <is>
          <t>A 6853-2023</t>
        </is>
      </c>
      <c r="B6147" s="1" t="n">
        <v>44967</v>
      </c>
      <c r="C6147" s="1" t="n">
        <v>45952</v>
      </c>
      <c r="D6147" t="inlineStr">
        <is>
          <t>VÄSTRA GÖTALANDS LÄN</t>
        </is>
      </c>
      <c r="E6147" t="inlineStr">
        <is>
          <t>ULRICEHAMN</t>
        </is>
      </c>
      <c r="G6147" t="n">
        <v>2.4</v>
      </c>
      <c r="H6147" t="n">
        <v>0</v>
      </c>
      <c r="I6147" t="n">
        <v>0</v>
      </c>
      <c r="J6147" t="n">
        <v>0</v>
      </c>
      <c r="K6147" t="n">
        <v>0</v>
      </c>
      <c r="L6147" t="n">
        <v>0</v>
      </c>
      <c r="M6147" t="n">
        <v>0</v>
      </c>
      <c r="N6147" t="n">
        <v>0</v>
      </c>
      <c r="O6147" t="n">
        <v>0</v>
      </c>
      <c r="P6147" t="n">
        <v>0</v>
      </c>
      <c r="Q6147" t="n">
        <v>0</v>
      </c>
      <c r="R6147" s="2" t="inlineStr"/>
    </row>
    <row r="6148" ht="15" customHeight="1">
      <c r="A6148" t="inlineStr">
        <is>
          <t>A 6856-2023</t>
        </is>
      </c>
      <c r="B6148" s="1" t="n">
        <v>44967</v>
      </c>
      <c r="C6148" s="1" t="n">
        <v>45952</v>
      </c>
      <c r="D6148" t="inlineStr">
        <is>
          <t>VÄSTRA GÖTALANDS LÄN</t>
        </is>
      </c>
      <c r="E6148" t="inlineStr">
        <is>
          <t>ULRICEHAMN</t>
        </is>
      </c>
      <c r="G6148" t="n">
        <v>0.7</v>
      </c>
      <c r="H6148" t="n">
        <v>0</v>
      </c>
      <c r="I6148" t="n">
        <v>0</v>
      </c>
      <c r="J6148" t="n">
        <v>0</v>
      </c>
      <c r="K6148" t="n">
        <v>0</v>
      </c>
      <c r="L6148" t="n">
        <v>0</v>
      </c>
      <c r="M6148" t="n">
        <v>0</v>
      </c>
      <c r="N6148" t="n">
        <v>0</v>
      </c>
      <c r="O6148" t="n">
        <v>0</v>
      </c>
      <c r="P6148" t="n">
        <v>0</v>
      </c>
      <c r="Q6148" t="n">
        <v>0</v>
      </c>
      <c r="R6148" s="2" t="inlineStr"/>
    </row>
    <row r="6149" ht="15" customHeight="1">
      <c r="A6149" t="inlineStr">
        <is>
          <t>A 51889-2024</t>
        </is>
      </c>
      <c r="B6149" s="1" t="n">
        <v>45607.57304398148</v>
      </c>
      <c r="C6149" s="1" t="n">
        <v>45952</v>
      </c>
      <c r="D6149" t="inlineStr">
        <is>
          <t>VÄSTRA GÖTALANDS LÄN</t>
        </is>
      </c>
      <c r="E6149" t="inlineStr">
        <is>
          <t>TÖREBODA</t>
        </is>
      </c>
      <c r="G6149" t="n">
        <v>1.4</v>
      </c>
      <c r="H6149" t="n">
        <v>0</v>
      </c>
      <c r="I6149" t="n">
        <v>0</v>
      </c>
      <c r="J6149" t="n">
        <v>0</v>
      </c>
      <c r="K6149" t="n">
        <v>0</v>
      </c>
      <c r="L6149" t="n">
        <v>0</v>
      </c>
      <c r="M6149" t="n">
        <v>0</v>
      </c>
      <c r="N6149" t="n">
        <v>0</v>
      </c>
      <c r="O6149" t="n">
        <v>0</v>
      </c>
      <c r="P6149" t="n">
        <v>0</v>
      </c>
      <c r="Q6149" t="n">
        <v>0</v>
      </c>
      <c r="R6149" s="2" t="inlineStr"/>
    </row>
    <row r="6150" ht="15" customHeight="1">
      <c r="A6150" t="inlineStr">
        <is>
          <t>A 36868-2022</t>
        </is>
      </c>
      <c r="B6150" s="1" t="n">
        <v>44805.6289699074</v>
      </c>
      <c r="C6150" s="1" t="n">
        <v>45952</v>
      </c>
      <c r="D6150" t="inlineStr">
        <is>
          <t>VÄSTRA GÖTALANDS LÄN</t>
        </is>
      </c>
      <c r="E6150" t="inlineStr">
        <is>
          <t>TIBRO</t>
        </is>
      </c>
      <c r="G6150" t="n">
        <v>1.6</v>
      </c>
      <c r="H6150" t="n">
        <v>0</v>
      </c>
      <c r="I6150" t="n">
        <v>0</v>
      </c>
      <c r="J6150" t="n">
        <v>0</v>
      </c>
      <c r="K6150" t="n">
        <v>0</v>
      </c>
      <c r="L6150" t="n">
        <v>0</v>
      </c>
      <c r="M6150" t="n">
        <v>0</v>
      </c>
      <c r="N6150" t="n">
        <v>0</v>
      </c>
      <c r="O6150" t="n">
        <v>0</v>
      </c>
      <c r="P6150" t="n">
        <v>0</v>
      </c>
      <c r="Q6150" t="n">
        <v>0</v>
      </c>
      <c r="R6150" s="2" t="inlineStr"/>
    </row>
    <row r="6151" ht="15" customHeight="1">
      <c r="A6151" t="inlineStr">
        <is>
          <t>A 34842-2024</t>
        </is>
      </c>
      <c r="B6151" s="1" t="n">
        <v>45526.92292824074</v>
      </c>
      <c r="C6151" s="1" t="n">
        <v>45952</v>
      </c>
      <c r="D6151" t="inlineStr">
        <is>
          <t>VÄSTRA GÖTALANDS LÄN</t>
        </is>
      </c>
      <c r="E6151" t="inlineStr">
        <is>
          <t>TIDAHOLM</t>
        </is>
      </c>
      <c r="G6151" t="n">
        <v>5.2</v>
      </c>
      <c r="H6151" t="n">
        <v>0</v>
      </c>
      <c r="I6151" t="n">
        <v>0</v>
      </c>
      <c r="J6151" t="n">
        <v>0</v>
      </c>
      <c r="K6151" t="n">
        <v>0</v>
      </c>
      <c r="L6151" t="n">
        <v>0</v>
      </c>
      <c r="M6151" t="n">
        <v>0</v>
      </c>
      <c r="N6151" t="n">
        <v>0</v>
      </c>
      <c r="O6151" t="n">
        <v>0</v>
      </c>
      <c r="P6151" t="n">
        <v>0</v>
      </c>
      <c r="Q6151" t="n">
        <v>0</v>
      </c>
      <c r="R6151" s="2" t="inlineStr"/>
    </row>
    <row r="6152" ht="15" customHeight="1">
      <c r="A6152" t="inlineStr">
        <is>
          <t>A 15499-2022</t>
        </is>
      </c>
      <c r="B6152" s="1" t="n">
        <v>44662</v>
      </c>
      <c r="C6152" s="1" t="n">
        <v>45952</v>
      </c>
      <c r="D6152" t="inlineStr">
        <is>
          <t>VÄSTRA GÖTALANDS LÄN</t>
        </is>
      </c>
      <c r="E6152" t="inlineStr">
        <is>
          <t>ALE</t>
        </is>
      </c>
      <c r="G6152" t="n">
        <v>4.7</v>
      </c>
      <c r="H6152" t="n">
        <v>0</v>
      </c>
      <c r="I6152" t="n">
        <v>0</v>
      </c>
      <c r="J6152" t="n">
        <v>0</v>
      </c>
      <c r="K6152" t="n">
        <v>0</v>
      </c>
      <c r="L6152" t="n">
        <v>0</v>
      </c>
      <c r="M6152" t="n">
        <v>0</v>
      </c>
      <c r="N6152" t="n">
        <v>0</v>
      </c>
      <c r="O6152" t="n">
        <v>0</v>
      </c>
      <c r="P6152" t="n">
        <v>0</v>
      </c>
      <c r="Q6152" t="n">
        <v>0</v>
      </c>
      <c r="R6152" s="2" t="inlineStr"/>
    </row>
    <row r="6153" ht="15" customHeight="1">
      <c r="A6153" t="inlineStr">
        <is>
          <t>A 22901-2024</t>
        </is>
      </c>
      <c r="B6153" s="1" t="n">
        <v>45448.70333333333</v>
      </c>
      <c r="C6153" s="1" t="n">
        <v>45952</v>
      </c>
      <c r="D6153" t="inlineStr">
        <is>
          <t>VÄSTRA GÖTALANDS LÄN</t>
        </is>
      </c>
      <c r="E6153" t="inlineStr">
        <is>
          <t>VARA</t>
        </is>
      </c>
      <c r="G6153" t="n">
        <v>0.7</v>
      </c>
      <c r="H6153" t="n">
        <v>0</v>
      </c>
      <c r="I6153" t="n">
        <v>0</v>
      </c>
      <c r="J6153" t="n">
        <v>0</v>
      </c>
      <c r="K6153" t="n">
        <v>0</v>
      </c>
      <c r="L6153" t="n">
        <v>0</v>
      </c>
      <c r="M6153" t="n">
        <v>0</v>
      </c>
      <c r="N6153" t="n">
        <v>0</v>
      </c>
      <c r="O6153" t="n">
        <v>0</v>
      </c>
      <c r="P6153" t="n">
        <v>0</v>
      </c>
      <c r="Q6153" t="n">
        <v>0</v>
      </c>
      <c r="R6153" s="2" t="inlineStr"/>
    </row>
    <row r="6154" ht="15" customHeight="1">
      <c r="A6154" t="inlineStr">
        <is>
          <t>A 23033-2024</t>
        </is>
      </c>
      <c r="B6154" s="1" t="n">
        <v>45450.38638888889</v>
      </c>
      <c r="C6154" s="1" t="n">
        <v>45952</v>
      </c>
      <c r="D6154" t="inlineStr">
        <is>
          <t>VÄSTRA GÖTALANDS LÄN</t>
        </is>
      </c>
      <c r="E6154" t="inlineStr">
        <is>
          <t>TÖREBODA</t>
        </is>
      </c>
      <c r="G6154" t="n">
        <v>1.8</v>
      </c>
      <c r="H6154" t="n">
        <v>0</v>
      </c>
      <c r="I6154" t="n">
        <v>0</v>
      </c>
      <c r="J6154" t="n">
        <v>0</v>
      </c>
      <c r="K6154" t="n">
        <v>0</v>
      </c>
      <c r="L6154" t="n">
        <v>0</v>
      </c>
      <c r="M6154" t="n">
        <v>0</v>
      </c>
      <c r="N6154" t="n">
        <v>0</v>
      </c>
      <c r="O6154" t="n">
        <v>0</v>
      </c>
      <c r="P6154" t="n">
        <v>0</v>
      </c>
      <c r="Q6154" t="n">
        <v>0</v>
      </c>
      <c r="R6154" s="2" t="inlineStr"/>
    </row>
    <row r="6155" ht="15" customHeight="1">
      <c r="A6155" t="inlineStr">
        <is>
          <t>A 1607-2024</t>
        </is>
      </c>
      <c r="B6155" s="1" t="n">
        <v>45306.61697916667</v>
      </c>
      <c r="C6155" s="1" t="n">
        <v>45952</v>
      </c>
      <c r="D6155" t="inlineStr">
        <is>
          <t>VÄSTRA GÖTALANDS LÄN</t>
        </is>
      </c>
      <c r="E6155" t="inlineStr">
        <is>
          <t>HERRLJUNGA</t>
        </is>
      </c>
      <c r="G6155" t="n">
        <v>1.4</v>
      </c>
      <c r="H6155" t="n">
        <v>0</v>
      </c>
      <c r="I6155" t="n">
        <v>0</v>
      </c>
      <c r="J6155" t="n">
        <v>0</v>
      </c>
      <c r="K6155" t="n">
        <v>0</v>
      </c>
      <c r="L6155" t="n">
        <v>0</v>
      </c>
      <c r="M6155" t="n">
        <v>0</v>
      </c>
      <c r="N6155" t="n">
        <v>0</v>
      </c>
      <c r="O6155" t="n">
        <v>0</v>
      </c>
      <c r="P6155" t="n">
        <v>0</v>
      </c>
      <c r="Q6155" t="n">
        <v>0</v>
      </c>
      <c r="R6155" s="2" t="inlineStr"/>
    </row>
    <row r="6156" ht="15" customHeight="1">
      <c r="A6156" t="inlineStr">
        <is>
          <t>A 20465-2024</t>
        </is>
      </c>
      <c r="B6156" s="1" t="n">
        <v>45435.66646990741</v>
      </c>
      <c r="C6156" s="1" t="n">
        <v>45952</v>
      </c>
      <c r="D6156" t="inlineStr">
        <is>
          <t>VÄSTRA GÖTALANDS LÄN</t>
        </is>
      </c>
      <c r="E6156" t="inlineStr">
        <is>
          <t>VARA</t>
        </is>
      </c>
      <c r="G6156" t="n">
        <v>0.2</v>
      </c>
      <c r="H6156" t="n">
        <v>0</v>
      </c>
      <c r="I6156" t="n">
        <v>0</v>
      </c>
      <c r="J6156" t="n">
        <v>0</v>
      </c>
      <c r="K6156" t="n">
        <v>0</v>
      </c>
      <c r="L6156" t="n">
        <v>0</v>
      </c>
      <c r="M6156" t="n">
        <v>0</v>
      </c>
      <c r="N6156" t="n">
        <v>0</v>
      </c>
      <c r="O6156" t="n">
        <v>0</v>
      </c>
      <c r="P6156" t="n">
        <v>0</v>
      </c>
      <c r="Q6156" t="n">
        <v>0</v>
      </c>
      <c r="R6156" s="2" t="inlineStr"/>
    </row>
    <row r="6157" ht="15" customHeight="1">
      <c r="A6157" t="inlineStr">
        <is>
          <t>A 54508-2022</t>
        </is>
      </c>
      <c r="B6157" s="1" t="n">
        <v>44882.691875</v>
      </c>
      <c r="C6157" s="1" t="n">
        <v>45952</v>
      </c>
      <c r="D6157" t="inlineStr">
        <is>
          <t>VÄSTRA GÖTALANDS LÄN</t>
        </is>
      </c>
      <c r="E6157" t="inlineStr">
        <is>
          <t>TRANEMO</t>
        </is>
      </c>
      <c r="G6157" t="n">
        <v>2.1</v>
      </c>
      <c r="H6157" t="n">
        <v>0</v>
      </c>
      <c r="I6157" t="n">
        <v>0</v>
      </c>
      <c r="J6157" t="n">
        <v>0</v>
      </c>
      <c r="K6157" t="n">
        <v>0</v>
      </c>
      <c r="L6157" t="n">
        <v>0</v>
      </c>
      <c r="M6157" t="n">
        <v>0</v>
      </c>
      <c r="N6157" t="n">
        <v>0</v>
      </c>
      <c r="O6157" t="n">
        <v>0</v>
      </c>
      <c r="P6157" t="n">
        <v>0</v>
      </c>
      <c r="Q6157" t="n">
        <v>0</v>
      </c>
      <c r="R6157" s="2" t="inlineStr"/>
    </row>
    <row r="6158" ht="15" customHeight="1">
      <c r="A6158" t="inlineStr">
        <is>
          <t>A 23183-2023</t>
        </is>
      </c>
      <c r="B6158" s="1" t="n">
        <v>45075.59015046297</v>
      </c>
      <c r="C6158" s="1" t="n">
        <v>45952</v>
      </c>
      <c r="D6158" t="inlineStr">
        <is>
          <t>VÄSTRA GÖTALANDS LÄN</t>
        </is>
      </c>
      <c r="E6158" t="inlineStr">
        <is>
          <t>TRANEMO</t>
        </is>
      </c>
      <c r="G6158" t="n">
        <v>1.6</v>
      </c>
      <c r="H6158" t="n">
        <v>0</v>
      </c>
      <c r="I6158" t="n">
        <v>0</v>
      </c>
      <c r="J6158" t="n">
        <v>0</v>
      </c>
      <c r="K6158" t="n">
        <v>0</v>
      </c>
      <c r="L6158" t="n">
        <v>0</v>
      </c>
      <c r="M6158" t="n">
        <v>0</v>
      </c>
      <c r="N6158" t="n">
        <v>0</v>
      </c>
      <c r="O6158" t="n">
        <v>0</v>
      </c>
      <c r="P6158" t="n">
        <v>0</v>
      </c>
      <c r="Q6158" t="n">
        <v>0</v>
      </c>
      <c r="R6158" s="2" t="inlineStr"/>
    </row>
    <row r="6159" ht="15" customHeight="1">
      <c r="A6159" t="inlineStr">
        <is>
          <t>A 38640-2023</t>
        </is>
      </c>
      <c r="B6159" s="1" t="n">
        <v>45162</v>
      </c>
      <c r="C6159" s="1" t="n">
        <v>45952</v>
      </c>
      <c r="D6159" t="inlineStr">
        <is>
          <t>VÄSTRA GÖTALANDS LÄN</t>
        </is>
      </c>
      <c r="E6159" t="inlineStr">
        <is>
          <t>ULRICEHAMN</t>
        </is>
      </c>
      <c r="G6159" t="n">
        <v>0.5</v>
      </c>
      <c r="H6159" t="n">
        <v>0</v>
      </c>
      <c r="I6159" t="n">
        <v>0</v>
      </c>
      <c r="J6159" t="n">
        <v>0</v>
      </c>
      <c r="K6159" t="n">
        <v>0</v>
      </c>
      <c r="L6159" t="n">
        <v>0</v>
      </c>
      <c r="M6159" t="n">
        <v>0</v>
      </c>
      <c r="N6159" t="n">
        <v>0</v>
      </c>
      <c r="O6159" t="n">
        <v>0</v>
      </c>
      <c r="P6159" t="n">
        <v>0</v>
      </c>
      <c r="Q6159" t="n">
        <v>0</v>
      </c>
      <c r="R6159" s="2" t="inlineStr"/>
    </row>
    <row r="6160" ht="15" customHeight="1">
      <c r="A6160" t="inlineStr">
        <is>
          <t>A 15179-2025</t>
        </is>
      </c>
      <c r="B6160" s="1" t="n">
        <v>45744.52523148148</v>
      </c>
      <c r="C6160" s="1" t="n">
        <v>45952</v>
      </c>
      <c r="D6160" t="inlineStr">
        <is>
          <t>VÄSTRA GÖTALANDS LÄN</t>
        </is>
      </c>
      <c r="E6160" t="inlineStr">
        <is>
          <t>BENGTSFORS</t>
        </is>
      </c>
      <c r="G6160" t="n">
        <v>1.7</v>
      </c>
      <c r="H6160" t="n">
        <v>0</v>
      </c>
      <c r="I6160" t="n">
        <v>0</v>
      </c>
      <c r="J6160" t="n">
        <v>0</v>
      </c>
      <c r="K6160" t="n">
        <v>0</v>
      </c>
      <c r="L6160" t="n">
        <v>0</v>
      </c>
      <c r="M6160" t="n">
        <v>0</v>
      </c>
      <c r="N6160" t="n">
        <v>0</v>
      </c>
      <c r="O6160" t="n">
        <v>0</v>
      </c>
      <c r="P6160" t="n">
        <v>0</v>
      </c>
      <c r="Q6160" t="n">
        <v>0</v>
      </c>
      <c r="R6160" s="2" t="inlineStr"/>
    </row>
    <row r="6161" ht="15" customHeight="1">
      <c r="A6161" t="inlineStr">
        <is>
          <t>A 59512-2024</t>
        </is>
      </c>
      <c r="B6161" s="1" t="n">
        <v>45638.55909722222</v>
      </c>
      <c r="C6161" s="1" t="n">
        <v>45952</v>
      </c>
      <c r="D6161" t="inlineStr">
        <is>
          <t>VÄSTRA GÖTALANDS LÄN</t>
        </is>
      </c>
      <c r="E6161" t="inlineStr">
        <is>
          <t>BORÅS</t>
        </is>
      </c>
      <c r="G6161" t="n">
        <v>2.8</v>
      </c>
      <c r="H6161" t="n">
        <v>0</v>
      </c>
      <c r="I6161" t="n">
        <v>0</v>
      </c>
      <c r="J6161" t="n">
        <v>0</v>
      </c>
      <c r="K6161" t="n">
        <v>0</v>
      </c>
      <c r="L6161" t="n">
        <v>0</v>
      </c>
      <c r="M6161" t="n">
        <v>0</v>
      </c>
      <c r="N6161" t="n">
        <v>0</v>
      </c>
      <c r="O6161" t="n">
        <v>0</v>
      </c>
      <c r="P6161" t="n">
        <v>0</v>
      </c>
      <c r="Q6161" t="n">
        <v>0</v>
      </c>
      <c r="R6161" s="2" t="inlineStr"/>
    </row>
    <row r="6162" ht="15" customHeight="1">
      <c r="A6162" t="inlineStr">
        <is>
          <t>A 5759-2024</t>
        </is>
      </c>
      <c r="B6162" s="1" t="n">
        <v>45335.3642824074</v>
      </c>
      <c r="C6162" s="1" t="n">
        <v>45952</v>
      </c>
      <c r="D6162" t="inlineStr">
        <is>
          <t>VÄSTRA GÖTALANDS LÄN</t>
        </is>
      </c>
      <c r="E6162" t="inlineStr">
        <is>
          <t>BENGTSFORS</t>
        </is>
      </c>
      <c r="G6162" t="n">
        <v>1.6</v>
      </c>
      <c r="H6162" t="n">
        <v>0</v>
      </c>
      <c r="I6162" t="n">
        <v>0</v>
      </c>
      <c r="J6162" t="n">
        <v>0</v>
      </c>
      <c r="K6162" t="n">
        <v>0</v>
      </c>
      <c r="L6162" t="n">
        <v>0</v>
      </c>
      <c r="M6162" t="n">
        <v>0</v>
      </c>
      <c r="N6162" t="n">
        <v>0</v>
      </c>
      <c r="O6162" t="n">
        <v>0</v>
      </c>
      <c r="P6162" t="n">
        <v>0</v>
      </c>
      <c r="Q6162" t="n">
        <v>0</v>
      </c>
      <c r="R6162" s="2" t="inlineStr"/>
    </row>
    <row r="6163" ht="15" customHeight="1">
      <c r="A6163" t="inlineStr">
        <is>
          <t>A 5760-2024</t>
        </is>
      </c>
      <c r="B6163" s="1" t="n">
        <v>45335.36597222222</v>
      </c>
      <c r="C6163" s="1" t="n">
        <v>45952</v>
      </c>
      <c r="D6163" t="inlineStr">
        <is>
          <t>VÄSTRA GÖTALANDS LÄN</t>
        </is>
      </c>
      <c r="E6163" t="inlineStr">
        <is>
          <t>HERRLJUNGA</t>
        </is>
      </c>
      <c r="G6163" t="n">
        <v>1.3</v>
      </c>
      <c r="H6163" t="n">
        <v>0</v>
      </c>
      <c r="I6163" t="n">
        <v>0</v>
      </c>
      <c r="J6163" t="n">
        <v>0</v>
      </c>
      <c r="K6163" t="n">
        <v>0</v>
      </c>
      <c r="L6163" t="n">
        <v>0</v>
      </c>
      <c r="M6163" t="n">
        <v>0</v>
      </c>
      <c r="N6163" t="n">
        <v>0</v>
      </c>
      <c r="O6163" t="n">
        <v>0</v>
      </c>
      <c r="P6163" t="n">
        <v>0</v>
      </c>
      <c r="Q6163" t="n">
        <v>0</v>
      </c>
      <c r="R6163" s="2" t="inlineStr"/>
    </row>
    <row r="6164" ht="15" customHeight="1">
      <c r="A6164" t="inlineStr">
        <is>
          <t>A 5771-2024</t>
        </is>
      </c>
      <c r="B6164" s="1" t="n">
        <v>45335</v>
      </c>
      <c r="C6164" s="1" t="n">
        <v>45952</v>
      </c>
      <c r="D6164" t="inlineStr">
        <is>
          <t>VÄSTRA GÖTALANDS LÄN</t>
        </is>
      </c>
      <c r="E6164" t="inlineStr">
        <is>
          <t>TIDAHOLM</t>
        </is>
      </c>
      <c r="G6164" t="n">
        <v>1.5</v>
      </c>
      <c r="H6164" t="n">
        <v>0</v>
      </c>
      <c r="I6164" t="n">
        <v>0</v>
      </c>
      <c r="J6164" t="n">
        <v>0</v>
      </c>
      <c r="K6164" t="n">
        <v>0</v>
      </c>
      <c r="L6164" t="n">
        <v>0</v>
      </c>
      <c r="M6164" t="n">
        <v>0</v>
      </c>
      <c r="N6164" t="n">
        <v>0</v>
      </c>
      <c r="O6164" t="n">
        <v>0</v>
      </c>
      <c r="P6164" t="n">
        <v>0</v>
      </c>
      <c r="Q6164" t="n">
        <v>0</v>
      </c>
      <c r="R6164" s="2" t="inlineStr"/>
    </row>
    <row r="6165" ht="15" customHeight="1">
      <c r="A6165" t="inlineStr">
        <is>
          <t>A 34862-2023</t>
        </is>
      </c>
      <c r="B6165" s="1" t="n">
        <v>45142.31351851852</v>
      </c>
      <c r="C6165" s="1" t="n">
        <v>45952</v>
      </c>
      <c r="D6165" t="inlineStr">
        <is>
          <t>VÄSTRA GÖTALANDS LÄN</t>
        </is>
      </c>
      <c r="E6165" t="inlineStr">
        <is>
          <t>TÖREBODA</t>
        </is>
      </c>
      <c r="G6165" t="n">
        <v>0.9</v>
      </c>
      <c r="H6165" t="n">
        <v>0</v>
      </c>
      <c r="I6165" t="n">
        <v>0</v>
      </c>
      <c r="J6165" t="n">
        <v>0</v>
      </c>
      <c r="K6165" t="n">
        <v>0</v>
      </c>
      <c r="L6165" t="n">
        <v>0</v>
      </c>
      <c r="M6165" t="n">
        <v>0</v>
      </c>
      <c r="N6165" t="n">
        <v>0</v>
      </c>
      <c r="O6165" t="n">
        <v>0</v>
      </c>
      <c r="P6165" t="n">
        <v>0</v>
      </c>
      <c r="Q6165" t="n">
        <v>0</v>
      </c>
      <c r="R6165" s="2" t="inlineStr"/>
    </row>
    <row r="6166" ht="15" customHeight="1">
      <c r="A6166" t="inlineStr">
        <is>
          <t>A 59838-2022</t>
        </is>
      </c>
      <c r="B6166" s="1" t="n">
        <v>44908.62335648148</v>
      </c>
      <c r="C6166" s="1" t="n">
        <v>45952</v>
      </c>
      <c r="D6166" t="inlineStr">
        <is>
          <t>VÄSTRA GÖTALANDS LÄN</t>
        </is>
      </c>
      <c r="E6166" t="inlineStr">
        <is>
          <t>HERRLJUNGA</t>
        </is>
      </c>
      <c r="G6166" t="n">
        <v>1.1</v>
      </c>
      <c r="H6166" t="n">
        <v>0</v>
      </c>
      <c r="I6166" t="n">
        <v>0</v>
      </c>
      <c r="J6166" t="n">
        <v>0</v>
      </c>
      <c r="K6166" t="n">
        <v>0</v>
      </c>
      <c r="L6166" t="n">
        <v>0</v>
      </c>
      <c r="M6166" t="n">
        <v>0</v>
      </c>
      <c r="N6166" t="n">
        <v>0</v>
      </c>
      <c r="O6166" t="n">
        <v>0</v>
      </c>
      <c r="P6166" t="n">
        <v>0</v>
      </c>
      <c r="Q6166" t="n">
        <v>0</v>
      </c>
      <c r="R6166" s="2" t="inlineStr"/>
    </row>
    <row r="6167" ht="15" customHeight="1">
      <c r="A6167" t="inlineStr">
        <is>
          <t>A 50307-2023</t>
        </is>
      </c>
      <c r="B6167" s="1" t="n">
        <v>45209</v>
      </c>
      <c r="C6167" s="1" t="n">
        <v>45952</v>
      </c>
      <c r="D6167" t="inlineStr">
        <is>
          <t>VÄSTRA GÖTALANDS LÄN</t>
        </is>
      </c>
      <c r="E6167" t="inlineStr">
        <is>
          <t>VÅRGÅRDA</t>
        </is>
      </c>
      <c r="G6167" t="n">
        <v>2.8</v>
      </c>
      <c r="H6167" t="n">
        <v>0</v>
      </c>
      <c r="I6167" t="n">
        <v>0</v>
      </c>
      <c r="J6167" t="n">
        <v>0</v>
      </c>
      <c r="K6167" t="n">
        <v>0</v>
      </c>
      <c r="L6167" t="n">
        <v>0</v>
      </c>
      <c r="M6167" t="n">
        <v>0</v>
      </c>
      <c r="N6167" t="n">
        <v>0</v>
      </c>
      <c r="O6167" t="n">
        <v>0</v>
      </c>
      <c r="P6167" t="n">
        <v>0</v>
      </c>
      <c r="Q6167" t="n">
        <v>0</v>
      </c>
      <c r="R6167" s="2" t="inlineStr"/>
    </row>
    <row r="6168" ht="15" customHeight="1">
      <c r="A6168" t="inlineStr">
        <is>
          <t>A 50359-2023</t>
        </is>
      </c>
      <c r="B6168" s="1" t="n">
        <v>45216</v>
      </c>
      <c r="C6168" s="1" t="n">
        <v>45952</v>
      </c>
      <c r="D6168" t="inlineStr">
        <is>
          <t>VÄSTRA GÖTALANDS LÄN</t>
        </is>
      </c>
      <c r="E6168" t="inlineStr">
        <is>
          <t>BORÅS</t>
        </is>
      </c>
      <c r="G6168" t="n">
        <v>2.1</v>
      </c>
      <c r="H6168" t="n">
        <v>0</v>
      </c>
      <c r="I6168" t="n">
        <v>0</v>
      </c>
      <c r="J6168" t="n">
        <v>0</v>
      </c>
      <c r="K6168" t="n">
        <v>0</v>
      </c>
      <c r="L6168" t="n">
        <v>0</v>
      </c>
      <c r="M6168" t="n">
        <v>0</v>
      </c>
      <c r="N6168" t="n">
        <v>0</v>
      </c>
      <c r="O6168" t="n">
        <v>0</v>
      </c>
      <c r="P6168" t="n">
        <v>0</v>
      </c>
      <c r="Q6168" t="n">
        <v>0</v>
      </c>
      <c r="R6168" s="2" t="inlineStr"/>
    </row>
    <row r="6169" ht="15" customHeight="1">
      <c r="A6169" t="inlineStr">
        <is>
          <t>A 33807-2022</t>
        </is>
      </c>
      <c r="B6169" s="1" t="n">
        <v>44790.44344907408</v>
      </c>
      <c r="C6169" s="1" t="n">
        <v>45952</v>
      </c>
      <c r="D6169" t="inlineStr">
        <is>
          <t>VÄSTRA GÖTALANDS LÄN</t>
        </is>
      </c>
      <c r="E6169" t="inlineStr">
        <is>
          <t>MARK</t>
        </is>
      </c>
      <c r="G6169" t="n">
        <v>2</v>
      </c>
      <c r="H6169" t="n">
        <v>0</v>
      </c>
      <c r="I6169" t="n">
        <v>0</v>
      </c>
      <c r="J6169" t="n">
        <v>0</v>
      </c>
      <c r="K6169" t="n">
        <v>0</v>
      </c>
      <c r="L6169" t="n">
        <v>0</v>
      </c>
      <c r="M6169" t="n">
        <v>0</v>
      </c>
      <c r="N6169" t="n">
        <v>0</v>
      </c>
      <c r="O6169" t="n">
        <v>0</v>
      </c>
      <c r="P6169" t="n">
        <v>0</v>
      </c>
      <c r="Q6169" t="n">
        <v>0</v>
      </c>
      <c r="R6169" s="2" t="inlineStr"/>
    </row>
    <row r="6170" ht="15" customHeight="1">
      <c r="A6170" t="inlineStr">
        <is>
          <t>A 53769-2024</t>
        </is>
      </c>
      <c r="B6170" s="1" t="n">
        <v>45615.52787037037</v>
      </c>
      <c r="C6170" s="1" t="n">
        <v>45952</v>
      </c>
      <c r="D6170" t="inlineStr">
        <is>
          <t>VÄSTRA GÖTALANDS LÄN</t>
        </is>
      </c>
      <c r="E6170" t="inlineStr">
        <is>
          <t>LIDKÖPING</t>
        </is>
      </c>
      <c r="G6170" t="n">
        <v>1.2</v>
      </c>
      <c r="H6170" t="n">
        <v>0</v>
      </c>
      <c r="I6170" t="n">
        <v>0</v>
      </c>
      <c r="J6170" t="n">
        <v>0</v>
      </c>
      <c r="K6170" t="n">
        <v>0</v>
      </c>
      <c r="L6170" t="n">
        <v>0</v>
      </c>
      <c r="M6170" t="n">
        <v>0</v>
      </c>
      <c r="N6170" t="n">
        <v>0</v>
      </c>
      <c r="O6170" t="n">
        <v>0</v>
      </c>
      <c r="P6170" t="n">
        <v>0</v>
      </c>
      <c r="Q6170" t="n">
        <v>0</v>
      </c>
      <c r="R6170" s="2" t="inlineStr"/>
    </row>
    <row r="6171" ht="15" customHeight="1">
      <c r="A6171" t="inlineStr">
        <is>
          <t>A 53770-2024</t>
        </is>
      </c>
      <c r="B6171" s="1" t="n">
        <v>45615.52821759259</v>
      </c>
      <c r="C6171" s="1" t="n">
        <v>45952</v>
      </c>
      <c r="D6171" t="inlineStr">
        <is>
          <t>VÄSTRA GÖTALANDS LÄN</t>
        </is>
      </c>
      <c r="E6171" t="inlineStr">
        <is>
          <t>SVENLJUNGA</t>
        </is>
      </c>
      <c r="G6171" t="n">
        <v>1.9</v>
      </c>
      <c r="H6171" t="n">
        <v>0</v>
      </c>
      <c r="I6171" t="n">
        <v>0</v>
      </c>
      <c r="J6171" t="n">
        <v>0</v>
      </c>
      <c r="K6171" t="n">
        <v>0</v>
      </c>
      <c r="L6171" t="n">
        <v>0</v>
      </c>
      <c r="M6171" t="n">
        <v>0</v>
      </c>
      <c r="N6171" t="n">
        <v>0</v>
      </c>
      <c r="O6171" t="n">
        <v>0</v>
      </c>
      <c r="P6171" t="n">
        <v>0</v>
      </c>
      <c r="Q6171" t="n">
        <v>0</v>
      </c>
      <c r="R6171" s="2" t="inlineStr"/>
    </row>
    <row r="6172" ht="15" customHeight="1">
      <c r="A6172" t="inlineStr">
        <is>
          <t>A 53773-2024</t>
        </is>
      </c>
      <c r="B6172" s="1" t="n">
        <v>45615.53488425926</v>
      </c>
      <c r="C6172" s="1" t="n">
        <v>45952</v>
      </c>
      <c r="D6172" t="inlineStr">
        <is>
          <t>VÄSTRA GÖTALANDS LÄN</t>
        </is>
      </c>
      <c r="E6172" t="inlineStr">
        <is>
          <t>HERRLJUNGA</t>
        </is>
      </c>
      <c r="G6172" t="n">
        <v>3.4</v>
      </c>
      <c r="H6172" t="n">
        <v>0</v>
      </c>
      <c r="I6172" t="n">
        <v>0</v>
      </c>
      <c r="J6172" t="n">
        <v>0</v>
      </c>
      <c r="K6172" t="n">
        <v>0</v>
      </c>
      <c r="L6172" t="n">
        <v>0</v>
      </c>
      <c r="M6172" t="n">
        <v>0</v>
      </c>
      <c r="N6172" t="n">
        <v>0</v>
      </c>
      <c r="O6172" t="n">
        <v>0</v>
      </c>
      <c r="P6172" t="n">
        <v>0</v>
      </c>
      <c r="Q6172" t="n">
        <v>0</v>
      </c>
      <c r="R6172" s="2" t="inlineStr"/>
    </row>
    <row r="6173" ht="15" customHeight="1">
      <c r="A6173" t="inlineStr">
        <is>
          <t>A 60409-2024</t>
        </is>
      </c>
      <c r="B6173" s="1" t="n">
        <v>45643.51184027778</v>
      </c>
      <c r="C6173" s="1" t="n">
        <v>45952</v>
      </c>
      <c r="D6173" t="inlineStr">
        <is>
          <t>VÄSTRA GÖTALANDS LÄN</t>
        </is>
      </c>
      <c r="E6173" t="inlineStr">
        <is>
          <t>ULRICEHAMN</t>
        </is>
      </c>
      <c r="G6173" t="n">
        <v>10.7</v>
      </c>
      <c r="H6173" t="n">
        <v>0</v>
      </c>
      <c r="I6173" t="n">
        <v>0</v>
      </c>
      <c r="J6173" t="n">
        <v>0</v>
      </c>
      <c r="K6173" t="n">
        <v>0</v>
      </c>
      <c r="L6173" t="n">
        <v>0</v>
      </c>
      <c r="M6173" t="n">
        <v>0</v>
      </c>
      <c r="N6173" t="n">
        <v>0</v>
      </c>
      <c r="O6173" t="n">
        <v>0</v>
      </c>
      <c r="P6173" t="n">
        <v>0</v>
      </c>
      <c r="Q6173" t="n">
        <v>0</v>
      </c>
      <c r="R6173" s="2" t="inlineStr"/>
    </row>
    <row r="6174" ht="15" customHeight="1">
      <c r="A6174" t="inlineStr">
        <is>
          <t>A 61512-2024</t>
        </is>
      </c>
      <c r="B6174" s="1" t="n">
        <v>45646.57030092592</v>
      </c>
      <c r="C6174" s="1" t="n">
        <v>45952</v>
      </c>
      <c r="D6174" t="inlineStr">
        <is>
          <t>VÄSTRA GÖTALANDS LÄN</t>
        </is>
      </c>
      <c r="E6174" t="inlineStr">
        <is>
          <t>MARK</t>
        </is>
      </c>
      <c r="G6174" t="n">
        <v>0.9</v>
      </c>
      <c r="H6174" t="n">
        <v>0</v>
      </c>
      <c r="I6174" t="n">
        <v>0</v>
      </c>
      <c r="J6174" t="n">
        <v>0</v>
      </c>
      <c r="K6174" t="n">
        <v>0</v>
      </c>
      <c r="L6174" t="n">
        <v>0</v>
      </c>
      <c r="M6174" t="n">
        <v>0</v>
      </c>
      <c r="N6174" t="n">
        <v>0</v>
      </c>
      <c r="O6174" t="n">
        <v>0</v>
      </c>
      <c r="P6174" t="n">
        <v>0</v>
      </c>
      <c r="Q6174" t="n">
        <v>0</v>
      </c>
      <c r="R6174" s="2" t="inlineStr"/>
    </row>
    <row r="6175" ht="15" customHeight="1">
      <c r="A6175" t="inlineStr">
        <is>
          <t>A 46320-2024</t>
        </is>
      </c>
      <c r="B6175" s="1" t="n">
        <v>45581.80997685185</v>
      </c>
      <c r="C6175" s="1" t="n">
        <v>45952</v>
      </c>
      <c r="D6175" t="inlineStr">
        <is>
          <t>VÄSTRA GÖTALANDS LÄN</t>
        </is>
      </c>
      <c r="E6175" t="inlineStr">
        <is>
          <t>VÄNERSBORG</t>
        </is>
      </c>
      <c r="G6175" t="n">
        <v>1.9</v>
      </c>
      <c r="H6175" t="n">
        <v>0</v>
      </c>
      <c r="I6175" t="n">
        <v>0</v>
      </c>
      <c r="J6175" t="n">
        <v>0</v>
      </c>
      <c r="K6175" t="n">
        <v>0</v>
      </c>
      <c r="L6175" t="n">
        <v>0</v>
      </c>
      <c r="M6175" t="n">
        <v>0</v>
      </c>
      <c r="N6175" t="n">
        <v>0</v>
      </c>
      <c r="O6175" t="n">
        <v>0</v>
      </c>
      <c r="P6175" t="n">
        <v>0</v>
      </c>
      <c r="Q6175" t="n">
        <v>0</v>
      </c>
      <c r="R6175" s="2" t="inlineStr"/>
    </row>
    <row r="6176" ht="15" customHeight="1">
      <c r="A6176" t="inlineStr">
        <is>
          <t>A 58010-2022</t>
        </is>
      </c>
      <c r="B6176" s="1" t="n">
        <v>44900</v>
      </c>
      <c r="C6176" s="1" t="n">
        <v>45952</v>
      </c>
      <c r="D6176" t="inlineStr">
        <is>
          <t>VÄSTRA GÖTALANDS LÄN</t>
        </is>
      </c>
      <c r="E6176" t="inlineStr">
        <is>
          <t>BOLLEBYGD</t>
        </is>
      </c>
      <c r="G6176" t="n">
        <v>3.1</v>
      </c>
      <c r="H6176" t="n">
        <v>0</v>
      </c>
      <c r="I6176" t="n">
        <v>0</v>
      </c>
      <c r="J6176" t="n">
        <v>0</v>
      </c>
      <c r="K6176" t="n">
        <v>0</v>
      </c>
      <c r="L6176" t="n">
        <v>0</v>
      </c>
      <c r="M6176" t="n">
        <v>0</v>
      </c>
      <c r="N6176" t="n">
        <v>0</v>
      </c>
      <c r="O6176" t="n">
        <v>0</v>
      </c>
      <c r="P6176" t="n">
        <v>0</v>
      </c>
      <c r="Q6176" t="n">
        <v>0</v>
      </c>
      <c r="R6176" s="2" t="inlineStr"/>
    </row>
    <row r="6177" ht="15" customHeight="1">
      <c r="A6177" t="inlineStr">
        <is>
          <t>A 58011-2022</t>
        </is>
      </c>
      <c r="B6177" s="1" t="n">
        <v>44900</v>
      </c>
      <c r="C6177" s="1" t="n">
        <v>45952</v>
      </c>
      <c r="D6177" t="inlineStr">
        <is>
          <t>VÄSTRA GÖTALANDS LÄN</t>
        </is>
      </c>
      <c r="E6177" t="inlineStr">
        <is>
          <t>BOLLEBYGD</t>
        </is>
      </c>
      <c r="G6177" t="n">
        <v>1.4</v>
      </c>
      <c r="H6177" t="n">
        <v>0</v>
      </c>
      <c r="I6177" t="n">
        <v>0</v>
      </c>
      <c r="J6177" t="n">
        <v>0</v>
      </c>
      <c r="K6177" t="n">
        <v>0</v>
      </c>
      <c r="L6177" t="n">
        <v>0</v>
      </c>
      <c r="M6177" t="n">
        <v>0</v>
      </c>
      <c r="N6177" t="n">
        <v>0</v>
      </c>
      <c r="O6177" t="n">
        <v>0</v>
      </c>
      <c r="P6177" t="n">
        <v>0</v>
      </c>
      <c r="Q6177" t="n">
        <v>0</v>
      </c>
      <c r="R6177" s="2" t="inlineStr"/>
    </row>
    <row r="6178" ht="15" customHeight="1">
      <c r="A6178" t="inlineStr">
        <is>
          <t>A 18779-2024</t>
        </is>
      </c>
      <c r="B6178" s="1" t="n">
        <v>45426.57429398148</v>
      </c>
      <c r="C6178" s="1" t="n">
        <v>45952</v>
      </c>
      <c r="D6178" t="inlineStr">
        <is>
          <t>VÄSTRA GÖTALANDS LÄN</t>
        </is>
      </c>
      <c r="E6178" t="inlineStr">
        <is>
          <t>TRANEMO</t>
        </is>
      </c>
      <c r="G6178" t="n">
        <v>1.6</v>
      </c>
      <c r="H6178" t="n">
        <v>0</v>
      </c>
      <c r="I6178" t="n">
        <v>0</v>
      </c>
      <c r="J6178" t="n">
        <v>0</v>
      </c>
      <c r="K6178" t="n">
        <v>0</v>
      </c>
      <c r="L6178" t="n">
        <v>0</v>
      </c>
      <c r="M6178" t="n">
        <v>0</v>
      </c>
      <c r="N6178" t="n">
        <v>0</v>
      </c>
      <c r="O6178" t="n">
        <v>0</v>
      </c>
      <c r="P6178" t="n">
        <v>0</v>
      </c>
      <c r="Q6178" t="n">
        <v>0</v>
      </c>
      <c r="R6178" s="2" t="inlineStr"/>
    </row>
    <row r="6179" ht="15" customHeight="1">
      <c r="A6179" t="inlineStr">
        <is>
          <t>A 46128-2022</t>
        </is>
      </c>
      <c r="B6179" s="1" t="n">
        <v>44847.43722222222</v>
      </c>
      <c r="C6179" s="1" t="n">
        <v>45952</v>
      </c>
      <c r="D6179" t="inlineStr">
        <is>
          <t>VÄSTRA GÖTALANDS LÄN</t>
        </is>
      </c>
      <c r="E6179" t="inlineStr">
        <is>
          <t>HERRLJUNGA</t>
        </is>
      </c>
      <c r="F6179" t="inlineStr">
        <is>
          <t>Sveaskog</t>
        </is>
      </c>
      <c r="G6179" t="n">
        <v>3.2</v>
      </c>
      <c r="H6179" t="n">
        <v>0</v>
      </c>
      <c r="I6179" t="n">
        <v>0</v>
      </c>
      <c r="J6179" t="n">
        <v>0</v>
      </c>
      <c r="K6179" t="n">
        <v>0</v>
      </c>
      <c r="L6179" t="n">
        <v>0</v>
      </c>
      <c r="M6179" t="n">
        <v>0</v>
      </c>
      <c r="N6179" t="n">
        <v>0</v>
      </c>
      <c r="O6179" t="n">
        <v>0</v>
      </c>
      <c r="P6179" t="n">
        <v>0</v>
      </c>
      <c r="Q6179" t="n">
        <v>0</v>
      </c>
      <c r="R6179" s="2" t="inlineStr"/>
    </row>
    <row r="6180" ht="15" customHeight="1">
      <c r="A6180" t="inlineStr">
        <is>
          <t>A 18811-2024</t>
        </is>
      </c>
      <c r="B6180" s="1" t="n">
        <v>45426.61703703704</v>
      </c>
      <c r="C6180" s="1" t="n">
        <v>45952</v>
      </c>
      <c r="D6180" t="inlineStr">
        <is>
          <t>VÄSTRA GÖTALANDS LÄN</t>
        </is>
      </c>
      <c r="E6180" t="inlineStr">
        <is>
          <t>UDDEVALLA</t>
        </is>
      </c>
      <c r="G6180" t="n">
        <v>0.4</v>
      </c>
      <c r="H6180" t="n">
        <v>0</v>
      </c>
      <c r="I6180" t="n">
        <v>0</v>
      </c>
      <c r="J6180" t="n">
        <v>0</v>
      </c>
      <c r="K6180" t="n">
        <v>0</v>
      </c>
      <c r="L6180" t="n">
        <v>0</v>
      </c>
      <c r="M6180" t="n">
        <v>0</v>
      </c>
      <c r="N6180" t="n">
        <v>0</v>
      </c>
      <c r="O6180" t="n">
        <v>0</v>
      </c>
      <c r="P6180" t="n">
        <v>0</v>
      </c>
      <c r="Q6180" t="n">
        <v>0</v>
      </c>
      <c r="R6180" s="2" t="inlineStr"/>
    </row>
    <row r="6181" ht="15" customHeight="1">
      <c r="A6181" t="inlineStr">
        <is>
          <t>A 65961-2021</t>
        </is>
      </c>
      <c r="B6181" s="1" t="n">
        <v>44517</v>
      </c>
      <c r="C6181" s="1" t="n">
        <v>45952</v>
      </c>
      <c r="D6181" t="inlineStr">
        <is>
          <t>VÄSTRA GÖTALANDS LÄN</t>
        </is>
      </c>
      <c r="E6181" t="inlineStr">
        <is>
          <t>SVENLJUNGA</t>
        </is>
      </c>
      <c r="G6181" t="n">
        <v>2.2</v>
      </c>
      <c r="H6181" t="n">
        <v>0</v>
      </c>
      <c r="I6181" t="n">
        <v>0</v>
      </c>
      <c r="J6181" t="n">
        <v>0</v>
      </c>
      <c r="K6181" t="n">
        <v>0</v>
      </c>
      <c r="L6181" t="n">
        <v>0</v>
      </c>
      <c r="M6181" t="n">
        <v>0</v>
      </c>
      <c r="N6181" t="n">
        <v>0</v>
      </c>
      <c r="O6181" t="n">
        <v>0</v>
      </c>
      <c r="P6181" t="n">
        <v>0</v>
      </c>
      <c r="Q6181" t="n">
        <v>0</v>
      </c>
      <c r="R6181" s="2" t="inlineStr"/>
    </row>
    <row r="6182" ht="15" customHeight="1">
      <c r="A6182" t="inlineStr">
        <is>
          <t>A 16949-2024</t>
        </is>
      </c>
      <c r="B6182" s="1" t="n">
        <v>45411.86090277778</v>
      </c>
      <c r="C6182" s="1" t="n">
        <v>45952</v>
      </c>
      <c r="D6182" t="inlineStr">
        <is>
          <t>VÄSTRA GÖTALANDS LÄN</t>
        </is>
      </c>
      <c r="E6182" t="inlineStr">
        <is>
          <t>ULRICEHAMN</t>
        </is>
      </c>
      <c r="G6182" t="n">
        <v>1.8</v>
      </c>
      <c r="H6182" t="n">
        <v>0</v>
      </c>
      <c r="I6182" t="n">
        <v>0</v>
      </c>
      <c r="J6182" t="n">
        <v>0</v>
      </c>
      <c r="K6182" t="n">
        <v>0</v>
      </c>
      <c r="L6182" t="n">
        <v>0</v>
      </c>
      <c r="M6182" t="n">
        <v>0</v>
      </c>
      <c r="N6182" t="n">
        <v>0</v>
      </c>
      <c r="O6182" t="n">
        <v>0</v>
      </c>
      <c r="P6182" t="n">
        <v>0</v>
      </c>
      <c r="Q6182" t="n">
        <v>0</v>
      </c>
      <c r="R6182" s="2" t="inlineStr"/>
    </row>
    <row r="6183" ht="15" customHeight="1">
      <c r="A6183" t="inlineStr">
        <is>
          <t>A 24852-2023</t>
        </is>
      </c>
      <c r="B6183" s="1" t="n">
        <v>45085.35982638889</v>
      </c>
      <c r="C6183" s="1" t="n">
        <v>45952</v>
      </c>
      <c r="D6183" t="inlineStr">
        <is>
          <t>VÄSTRA GÖTALANDS LÄN</t>
        </is>
      </c>
      <c r="E6183" t="inlineStr">
        <is>
          <t>BORÅS</t>
        </is>
      </c>
      <c r="G6183" t="n">
        <v>4.1</v>
      </c>
      <c r="H6183" t="n">
        <v>0</v>
      </c>
      <c r="I6183" t="n">
        <v>0</v>
      </c>
      <c r="J6183" t="n">
        <v>0</v>
      </c>
      <c r="K6183" t="n">
        <v>0</v>
      </c>
      <c r="L6183" t="n">
        <v>0</v>
      </c>
      <c r="M6183" t="n">
        <v>0</v>
      </c>
      <c r="N6183" t="n">
        <v>0</v>
      </c>
      <c r="O6183" t="n">
        <v>0</v>
      </c>
      <c r="P6183" t="n">
        <v>0</v>
      </c>
      <c r="Q6183" t="n">
        <v>0</v>
      </c>
      <c r="R6183" s="2" t="inlineStr"/>
    </row>
    <row r="6184" ht="15" customHeight="1">
      <c r="A6184" t="inlineStr">
        <is>
          <t>A 25007-2023</t>
        </is>
      </c>
      <c r="B6184" s="1" t="n">
        <v>45085.67021990741</v>
      </c>
      <c r="C6184" s="1" t="n">
        <v>45952</v>
      </c>
      <c r="D6184" t="inlineStr">
        <is>
          <t>VÄSTRA GÖTALANDS LÄN</t>
        </is>
      </c>
      <c r="E6184" t="inlineStr">
        <is>
          <t>DALS-ED</t>
        </is>
      </c>
      <c r="G6184" t="n">
        <v>4.3</v>
      </c>
      <c r="H6184" t="n">
        <v>0</v>
      </c>
      <c r="I6184" t="n">
        <v>0</v>
      </c>
      <c r="J6184" t="n">
        <v>0</v>
      </c>
      <c r="K6184" t="n">
        <v>0</v>
      </c>
      <c r="L6184" t="n">
        <v>0</v>
      </c>
      <c r="M6184" t="n">
        <v>0</v>
      </c>
      <c r="N6184" t="n">
        <v>0</v>
      </c>
      <c r="O6184" t="n">
        <v>0</v>
      </c>
      <c r="P6184" t="n">
        <v>0</v>
      </c>
      <c r="Q6184" t="n">
        <v>0</v>
      </c>
      <c r="R6184" s="2" t="inlineStr"/>
    </row>
    <row r="6185" ht="15" customHeight="1">
      <c r="A6185" t="inlineStr">
        <is>
          <t>A 73585-2021</t>
        </is>
      </c>
      <c r="B6185" s="1" t="n">
        <v>44552.35958333333</v>
      </c>
      <c r="C6185" s="1" t="n">
        <v>45952</v>
      </c>
      <c r="D6185" t="inlineStr">
        <is>
          <t>VÄSTRA GÖTALANDS LÄN</t>
        </is>
      </c>
      <c r="E6185" t="inlineStr">
        <is>
          <t>BENGTSFORS</t>
        </is>
      </c>
      <c r="G6185" t="n">
        <v>0.7</v>
      </c>
      <c r="H6185" t="n">
        <v>0</v>
      </c>
      <c r="I6185" t="n">
        <v>0</v>
      </c>
      <c r="J6185" t="n">
        <v>0</v>
      </c>
      <c r="K6185" t="n">
        <v>0</v>
      </c>
      <c r="L6185" t="n">
        <v>0</v>
      </c>
      <c r="M6185" t="n">
        <v>0</v>
      </c>
      <c r="N6185" t="n">
        <v>0</v>
      </c>
      <c r="O6185" t="n">
        <v>0</v>
      </c>
      <c r="P6185" t="n">
        <v>0</v>
      </c>
      <c r="Q6185" t="n">
        <v>0</v>
      </c>
      <c r="R6185" s="2" t="inlineStr"/>
    </row>
    <row r="6186" ht="15" customHeight="1">
      <c r="A6186" t="inlineStr">
        <is>
          <t>A 42409-2022</t>
        </is>
      </c>
      <c r="B6186" s="1" t="n">
        <v>44831</v>
      </c>
      <c r="C6186" s="1" t="n">
        <v>45952</v>
      </c>
      <c r="D6186" t="inlineStr">
        <is>
          <t>VÄSTRA GÖTALANDS LÄN</t>
        </is>
      </c>
      <c r="E6186" t="inlineStr">
        <is>
          <t>BENGTSFORS</t>
        </is>
      </c>
      <c r="G6186" t="n">
        <v>1.1</v>
      </c>
      <c r="H6186" t="n">
        <v>0</v>
      </c>
      <c r="I6186" t="n">
        <v>0</v>
      </c>
      <c r="J6186" t="n">
        <v>0</v>
      </c>
      <c r="K6186" t="n">
        <v>0</v>
      </c>
      <c r="L6186" t="n">
        <v>0</v>
      </c>
      <c r="M6186" t="n">
        <v>0</v>
      </c>
      <c r="N6186" t="n">
        <v>0</v>
      </c>
      <c r="O6186" t="n">
        <v>0</v>
      </c>
      <c r="P6186" t="n">
        <v>0</v>
      </c>
      <c r="Q6186" t="n">
        <v>0</v>
      </c>
      <c r="R6186" s="2" t="inlineStr"/>
    </row>
    <row r="6187" ht="15" customHeight="1">
      <c r="A6187" t="inlineStr">
        <is>
          <t>A 46136-2021</t>
        </is>
      </c>
      <c r="B6187" s="1" t="n">
        <v>44442.39613425926</v>
      </c>
      <c r="C6187" s="1" t="n">
        <v>45952</v>
      </c>
      <c r="D6187" t="inlineStr">
        <is>
          <t>VÄSTRA GÖTALANDS LÄN</t>
        </is>
      </c>
      <c r="E6187" t="inlineStr">
        <is>
          <t>ÅMÅL</t>
        </is>
      </c>
      <c r="G6187" t="n">
        <v>1</v>
      </c>
      <c r="H6187" t="n">
        <v>0</v>
      </c>
      <c r="I6187" t="n">
        <v>0</v>
      </c>
      <c r="J6187" t="n">
        <v>0</v>
      </c>
      <c r="K6187" t="n">
        <v>0</v>
      </c>
      <c r="L6187" t="n">
        <v>0</v>
      </c>
      <c r="M6187" t="n">
        <v>0</v>
      </c>
      <c r="N6187" t="n">
        <v>0</v>
      </c>
      <c r="O6187" t="n">
        <v>0</v>
      </c>
      <c r="P6187" t="n">
        <v>0</v>
      </c>
      <c r="Q6187" t="n">
        <v>0</v>
      </c>
      <c r="R6187" s="2" t="inlineStr"/>
    </row>
    <row r="6188" ht="15" customHeight="1">
      <c r="A6188" t="inlineStr">
        <is>
          <t>A 54947-2021</t>
        </is>
      </c>
      <c r="B6188" s="1" t="n">
        <v>44474.4662962963</v>
      </c>
      <c r="C6188" s="1" t="n">
        <v>45952</v>
      </c>
      <c r="D6188" t="inlineStr">
        <is>
          <t>VÄSTRA GÖTALANDS LÄN</t>
        </is>
      </c>
      <c r="E6188" t="inlineStr">
        <is>
          <t>MARK</t>
        </is>
      </c>
      <c r="G6188" t="n">
        <v>2.1</v>
      </c>
      <c r="H6188" t="n">
        <v>0</v>
      </c>
      <c r="I6188" t="n">
        <v>0</v>
      </c>
      <c r="J6188" t="n">
        <v>0</v>
      </c>
      <c r="K6188" t="n">
        <v>0</v>
      </c>
      <c r="L6188" t="n">
        <v>0</v>
      </c>
      <c r="M6188" t="n">
        <v>0</v>
      </c>
      <c r="N6188" t="n">
        <v>0</v>
      </c>
      <c r="O6188" t="n">
        <v>0</v>
      </c>
      <c r="P6188" t="n">
        <v>0</v>
      </c>
      <c r="Q6188" t="n">
        <v>0</v>
      </c>
      <c r="R6188" s="2" t="inlineStr"/>
    </row>
    <row r="6189" ht="15" customHeight="1">
      <c r="A6189" t="inlineStr">
        <is>
          <t>A 3987-2023</t>
        </is>
      </c>
      <c r="B6189" s="1" t="n">
        <v>44950</v>
      </c>
      <c r="C6189" s="1" t="n">
        <v>45952</v>
      </c>
      <c r="D6189" t="inlineStr">
        <is>
          <t>VÄSTRA GÖTALANDS LÄN</t>
        </is>
      </c>
      <c r="E6189" t="inlineStr">
        <is>
          <t>MARK</t>
        </is>
      </c>
      <c r="G6189" t="n">
        <v>0.9</v>
      </c>
      <c r="H6189" t="n">
        <v>0</v>
      </c>
      <c r="I6189" t="n">
        <v>0</v>
      </c>
      <c r="J6189" t="n">
        <v>0</v>
      </c>
      <c r="K6189" t="n">
        <v>0</v>
      </c>
      <c r="L6189" t="n">
        <v>0</v>
      </c>
      <c r="M6189" t="n">
        <v>0</v>
      </c>
      <c r="N6189" t="n">
        <v>0</v>
      </c>
      <c r="O6189" t="n">
        <v>0</v>
      </c>
      <c r="P6189" t="n">
        <v>0</v>
      </c>
      <c r="Q6189" t="n">
        <v>0</v>
      </c>
      <c r="R6189" s="2" t="inlineStr"/>
    </row>
    <row r="6190" ht="15" customHeight="1">
      <c r="A6190" t="inlineStr">
        <is>
          <t>A 15176-2023</t>
        </is>
      </c>
      <c r="B6190" s="1" t="n">
        <v>45016.64439814815</v>
      </c>
      <c r="C6190" s="1" t="n">
        <v>45952</v>
      </c>
      <c r="D6190" t="inlineStr">
        <is>
          <t>VÄSTRA GÖTALANDS LÄN</t>
        </is>
      </c>
      <c r="E6190" t="inlineStr">
        <is>
          <t>MARK</t>
        </is>
      </c>
      <c r="G6190" t="n">
        <v>1.4</v>
      </c>
      <c r="H6190" t="n">
        <v>0</v>
      </c>
      <c r="I6190" t="n">
        <v>0</v>
      </c>
      <c r="J6190" t="n">
        <v>0</v>
      </c>
      <c r="K6190" t="n">
        <v>0</v>
      </c>
      <c r="L6190" t="n">
        <v>0</v>
      </c>
      <c r="M6190" t="n">
        <v>0</v>
      </c>
      <c r="N6190" t="n">
        <v>0</v>
      </c>
      <c r="O6190" t="n">
        <v>0</v>
      </c>
      <c r="P6190" t="n">
        <v>0</v>
      </c>
      <c r="Q6190" t="n">
        <v>0</v>
      </c>
      <c r="R6190" s="2" t="inlineStr"/>
    </row>
    <row r="6191" ht="15" customHeight="1">
      <c r="A6191" t="inlineStr">
        <is>
          <t>A 15220-2023</t>
        </is>
      </c>
      <c r="B6191" s="1" t="n">
        <v>45019.30383101852</v>
      </c>
      <c r="C6191" s="1" t="n">
        <v>45952</v>
      </c>
      <c r="D6191" t="inlineStr">
        <is>
          <t>VÄSTRA GÖTALANDS LÄN</t>
        </is>
      </c>
      <c r="E6191" t="inlineStr">
        <is>
          <t>KARLSBORG</t>
        </is>
      </c>
      <c r="G6191" t="n">
        <v>1.5</v>
      </c>
      <c r="H6191" t="n">
        <v>0</v>
      </c>
      <c r="I6191" t="n">
        <v>0</v>
      </c>
      <c r="J6191" t="n">
        <v>0</v>
      </c>
      <c r="K6191" t="n">
        <v>0</v>
      </c>
      <c r="L6191" t="n">
        <v>0</v>
      </c>
      <c r="M6191" t="n">
        <v>0</v>
      </c>
      <c r="N6191" t="n">
        <v>0</v>
      </c>
      <c r="O6191" t="n">
        <v>0</v>
      </c>
      <c r="P6191" t="n">
        <v>0</v>
      </c>
      <c r="Q6191" t="n">
        <v>0</v>
      </c>
      <c r="R6191" s="2" t="inlineStr"/>
    </row>
    <row r="6192" ht="15" customHeight="1">
      <c r="A6192" t="inlineStr">
        <is>
          <t>A 40542-2024</t>
        </is>
      </c>
      <c r="B6192" s="1" t="n">
        <v>45555.63206018518</v>
      </c>
      <c r="C6192" s="1" t="n">
        <v>45952</v>
      </c>
      <c r="D6192" t="inlineStr">
        <is>
          <t>VÄSTRA GÖTALANDS LÄN</t>
        </is>
      </c>
      <c r="E6192" t="inlineStr">
        <is>
          <t>TÖREBODA</t>
        </is>
      </c>
      <c r="G6192" t="n">
        <v>0.5</v>
      </c>
      <c r="H6192" t="n">
        <v>0</v>
      </c>
      <c r="I6192" t="n">
        <v>0</v>
      </c>
      <c r="J6192" t="n">
        <v>0</v>
      </c>
      <c r="K6192" t="n">
        <v>0</v>
      </c>
      <c r="L6192" t="n">
        <v>0</v>
      </c>
      <c r="M6192" t="n">
        <v>0</v>
      </c>
      <c r="N6192" t="n">
        <v>0</v>
      </c>
      <c r="O6192" t="n">
        <v>0</v>
      </c>
      <c r="P6192" t="n">
        <v>0</v>
      </c>
      <c r="Q6192" t="n">
        <v>0</v>
      </c>
      <c r="R6192" s="2" t="inlineStr"/>
    </row>
    <row r="6193" ht="15" customHeight="1">
      <c r="A6193" t="inlineStr">
        <is>
          <t>A 40557-2024</t>
        </is>
      </c>
      <c r="B6193" s="1" t="n">
        <v>45555.65413194444</v>
      </c>
      <c r="C6193" s="1" t="n">
        <v>45952</v>
      </c>
      <c r="D6193" t="inlineStr">
        <is>
          <t>VÄSTRA GÖTALANDS LÄN</t>
        </is>
      </c>
      <c r="E6193" t="inlineStr">
        <is>
          <t>MARK</t>
        </is>
      </c>
      <c r="G6193" t="n">
        <v>2.3</v>
      </c>
      <c r="H6193" t="n">
        <v>0</v>
      </c>
      <c r="I6193" t="n">
        <v>0</v>
      </c>
      <c r="J6193" t="n">
        <v>0</v>
      </c>
      <c r="K6193" t="n">
        <v>0</v>
      </c>
      <c r="L6193" t="n">
        <v>0</v>
      </c>
      <c r="M6193" t="n">
        <v>0</v>
      </c>
      <c r="N6193" t="n">
        <v>0</v>
      </c>
      <c r="O6193" t="n">
        <v>0</v>
      </c>
      <c r="P6193" t="n">
        <v>0</v>
      </c>
      <c r="Q6193" t="n">
        <v>0</v>
      </c>
      <c r="R6193" s="2" t="inlineStr"/>
    </row>
    <row r="6194" ht="15" customHeight="1">
      <c r="A6194" t="inlineStr">
        <is>
          <t>A 42698-2024</t>
        </is>
      </c>
      <c r="B6194" s="1" t="n">
        <v>45566</v>
      </c>
      <c r="C6194" s="1" t="n">
        <v>45952</v>
      </c>
      <c r="D6194" t="inlineStr">
        <is>
          <t>VÄSTRA GÖTALANDS LÄN</t>
        </is>
      </c>
      <c r="E6194" t="inlineStr">
        <is>
          <t>VÄNERSBORG</t>
        </is>
      </c>
      <c r="G6194" t="n">
        <v>5</v>
      </c>
      <c r="H6194" t="n">
        <v>0</v>
      </c>
      <c r="I6194" t="n">
        <v>0</v>
      </c>
      <c r="J6194" t="n">
        <v>0</v>
      </c>
      <c r="K6194" t="n">
        <v>0</v>
      </c>
      <c r="L6194" t="n">
        <v>0</v>
      </c>
      <c r="M6194" t="n">
        <v>0</v>
      </c>
      <c r="N6194" t="n">
        <v>0</v>
      </c>
      <c r="O6194" t="n">
        <v>0</v>
      </c>
      <c r="P6194" t="n">
        <v>0</v>
      </c>
      <c r="Q6194" t="n">
        <v>0</v>
      </c>
      <c r="R6194" s="2" t="inlineStr"/>
    </row>
    <row r="6195" ht="15" customHeight="1">
      <c r="A6195" t="inlineStr">
        <is>
          <t>A 36577-2022</t>
        </is>
      </c>
      <c r="B6195" s="1" t="n">
        <v>44804.61065972222</v>
      </c>
      <c r="C6195" s="1" t="n">
        <v>45952</v>
      </c>
      <c r="D6195" t="inlineStr">
        <is>
          <t>VÄSTRA GÖTALANDS LÄN</t>
        </is>
      </c>
      <c r="E6195" t="inlineStr">
        <is>
          <t>BORÅS</t>
        </is>
      </c>
      <c r="G6195" t="n">
        <v>3.5</v>
      </c>
      <c r="H6195" t="n">
        <v>0</v>
      </c>
      <c r="I6195" t="n">
        <v>0</v>
      </c>
      <c r="J6195" t="n">
        <v>0</v>
      </c>
      <c r="K6195" t="n">
        <v>0</v>
      </c>
      <c r="L6195" t="n">
        <v>0</v>
      </c>
      <c r="M6195" t="n">
        <v>0</v>
      </c>
      <c r="N6195" t="n">
        <v>0</v>
      </c>
      <c r="O6195" t="n">
        <v>0</v>
      </c>
      <c r="P6195" t="n">
        <v>0</v>
      </c>
      <c r="Q6195" t="n">
        <v>0</v>
      </c>
      <c r="R6195" s="2" t="inlineStr"/>
    </row>
    <row r="6196" ht="15" customHeight="1">
      <c r="A6196" t="inlineStr">
        <is>
          <t>A 17926-2024</t>
        </is>
      </c>
      <c r="B6196" s="1" t="n">
        <v>45419.59693287037</v>
      </c>
      <c r="C6196" s="1" t="n">
        <v>45952</v>
      </c>
      <c r="D6196" t="inlineStr">
        <is>
          <t>VÄSTRA GÖTALANDS LÄN</t>
        </is>
      </c>
      <c r="E6196" t="inlineStr">
        <is>
          <t>MARK</t>
        </is>
      </c>
      <c r="G6196" t="n">
        <v>1.1</v>
      </c>
      <c r="H6196" t="n">
        <v>0</v>
      </c>
      <c r="I6196" t="n">
        <v>0</v>
      </c>
      <c r="J6196" t="n">
        <v>0</v>
      </c>
      <c r="K6196" t="n">
        <v>0</v>
      </c>
      <c r="L6196" t="n">
        <v>0</v>
      </c>
      <c r="M6196" t="n">
        <v>0</v>
      </c>
      <c r="N6196" t="n">
        <v>0</v>
      </c>
      <c r="O6196" t="n">
        <v>0</v>
      </c>
      <c r="P6196" t="n">
        <v>0</v>
      </c>
      <c r="Q6196" t="n">
        <v>0</v>
      </c>
      <c r="R6196" s="2" t="inlineStr"/>
    </row>
    <row r="6197" ht="15" customHeight="1">
      <c r="A6197" t="inlineStr">
        <is>
          <t>A 34435-2024</t>
        </is>
      </c>
      <c r="B6197" s="1" t="n">
        <v>45525.53689814815</v>
      </c>
      <c r="C6197" s="1" t="n">
        <v>45952</v>
      </c>
      <c r="D6197" t="inlineStr">
        <is>
          <t>VÄSTRA GÖTALANDS LÄN</t>
        </is>
      </c>
      <c r="E6197" t="inlineStr">
        <is>
          <t>TROLLHÄTTAN</t>
        </is>
      </c>
      <c r="G6197" t="n">
        <v>2.9</v>
      </c>
      <c r="H6197" t="n">
        <v>0</v>
      </c>
      <c r="I6197" t="n">
        <v>0</v>
      </c>
      <c r="J6197" t="n">
        <v>0</v>
      </c>
      <c r="K6197" t="n">
        <v>0</v>
      </c>
      <c r="L6197" t="n">
        <v>0</v>
      </c>
      <c r="M6197" t="n">
        <v>0</v>
      </c>
      <c r="N6197" t="n">
        <v>0</v>
      </c>
      <c r="O6197" t="n">
        <v>0</v>
      </c>
      <c r="P6197" t="n">
        <v>0</v>
      </c>
      <c r="Q6197" t="n">
        <v>0</v>
      </c>
      <c r="R6197" s="2" t="inlineStr"/>
    </row>
    <row r="6198" ht="15" customHeight="1">
      <c r="A6198" t="inlineStr">
        <is>
          <t>A 70295-2021</t>
        </is>
      </c>
      <c r="B6198" s="1" t="n">
        <v>44536.40289351852</v>
      </c>
      <c r="C6198" s="1" t="n">
        <v>45952</v>
      </c>
      <c r="D6198" t="inlineStr">
        <is>
          <t>VÄSTRA GÖTALANDS LÄN</t>
        </is>
      </c>
      <c r="E6198" t="inlineStr">
        <is>
          <t>MARIESTAD</t>
        </is>
      </c>
      <c r="G6198" t="n">
        <v>0.6</v>
      </c>
      <c r="H6198" t="n">
        <v>0</v>
      </c>
      <c r="I6198" t="n">
        <v>0</v>
      </c>
      <c r="J6198" t="n">
        <v>0</v>
      </c>
      <c r="K6198" t="n">
        <v>0</v>
      </c>
      <c r="L6198" t="n">
        <v>0</v>
      </c>
      <c r="M6198" t="n">
        <v>0</v>
      </c>
      <c r="N6198" t="n">
        <v>0</v>
      </c>
      <c r="O6198" t="n">
        <v>0</v>
      </c>
      <c r="P6198" t="n">
        <v>0</v>
      </c>
      <c r="Q6198" t="n">
        <v>0</v>
      </c>
      <c r="R6198" s="2" t="inlineStr"/>
    </row>
    <row r="6199" ht="15" customHeight="1">
      <c r="A6199" t="inlineStr">
        <is>
          <t>A 12157-2022</t>
        </is>
      </c>
      <c r="B6199" s="1" t="n">
        <v>44636</v>
      </c>
      <c r="C6199" s="1" t="n">
        <v>45952</v>
      </c>
      <c r="D6199" t="inlineStr">
        <is>
          <t>VÄSTRA GÖTALANDS LÄN</t>
        </is>
      </c>
      <c r="E6199" t="inlineStr">
        <is>
          <t>MELLERUD</t>
        </is>
      </c>
      <c r="G6199" t="n">
        <v>2.7</v>
      </c>
      <c r="H6199" t="n">
        <v>0</v>
      </c>
      <c r="I6199" t="n">
        <v>0</v>
      </c>
      <c r="J6199" t="n">
        <v>0</v>
      </c>
      <c r="K6199" t="n">
        <v>0</v>
      </c>
      <c r="L6199" t="n">
        <v>0</v>
      </c>
      <c r="M6199" t="n">
        <v>0</v>
      </c>
      <c r="N6199" t="n">
        <v>0</v>
      </c>
      <c r="O6199" t="n">
        <v>0</v>
      </c>
      <c r="P6199" t="n">
        <v>0</v>
      </c>
      <c r="Q6199" t="n">
        <v>0</v>
      </c>
      <c r="R6199" s="2" t="inlineStr"/>
    </row>
    <row r="6200" ht="15" customHeight="1">
      <c r="A6200" t="inlineStr">
        <is>
          <t>A 60475-2023</t>
        </is>
      </c>
      <c r="B6200" s="1" t="n">
        <v>45259.59832175926</v>
      </c>
      <c r="C6200" s="1" t="n">
        <v>45952</v>
      </c>
      <c r="D6200" t="inlineStr">
        <is>
          <t>VÄSTRA GÖTALANDS LÄN</t>
        </is>
      </c>
      <c r="E6200" t="inlineStr">
        <is>
          <t>TRANEMO</t>
        </is>
      </c>
      <c r="G6200" t="n">
        <v>1.8</v>
      </c>
      <c r="H6200" t="n">
        <v>0</v>
      </c>
      <c r="I6200" t="n">
        <v>0</v>
      </c>
      <c r="J6200" t="n">
        <v>0</v>
      </c>
      <c r="K6200" t="n">
        <v>0</v>
      </c>
      <c r="L6200" t="n">
        <v>0</v>
      </c>
      <c r="M6200" t="n">
        <v>0</v>
      </c>
      <c r="N6200" t="n">
        <v>0</v>
      </c>
      <c r="O6200" t="n">
        <v>0</v>
      </c>
      <c r="P6200" t="n">
        <v>0</v>
      </c>
      <c r="Q6200" t="n">
        <v>0</v>
      </c>
      <c r="R6200" s="2" t="inlineStr"/>
    </row>
    <row r="6201" ht="15" customHeight="1">
      <c r="A6201" t="inlineStr">
        <is>
          <t>A 49922-2024</t>
        </is>
      </c>
      <c r="B6201" s="1" t="n">
        <v>45597.57326388889</v>
      </c>
      <c r="C6201" s="1" t="n">
        <v>45952</v>
      </c>
      <c r="D6201" t="inlineStr">
        <is>
          <t>VÄSTRA GÖTALANDS LÄN</t>
        </is>
      </c>
      <c r="E6201" t="inlineStr">
        <is>
          <t>GULLSPÅNG</t>
        </is>
      </c>
      <c r="G6201" t="n">
        <v>1.3</v>
      </c>
      <c r="H6201" t="n">
        <v>0</v>
      </c>
      <c r="I6201" t="n">
        <v>0</v>
      </c>
      <c r="J6201" t="n">
        <v>0</v>
      </c>
      <c r="K6201" t="n">
        <v>0</v>
      </c>
      <c r="L6201" t="n">
        <v>0</v>
      </c>
      <c r="M6201" t="n">
        <v>0</v>
      </c>
      <c r="N6201" t="n">
        <v>0</v>
      </c>
      <c r="O6201" t="n">
        <v>0</v>
      </c>
      <c r="P6201" t="n">
        <v>0</v>
      </c>
      <c r="Q6201" t="n">
        <v>0</v>
      </c>
      <c r="R6201" s="2" t="inlineStr"/>
    </row>
    <row r="6202" ht="15" customHeight="1">
      <c r="A6202" t="inlineStr">
        <is>
          <t>A 56755-2024</t>
        </is>
      </c>
      <c r="B6202" s="1" t="n">
        <v>45628.39192129629</v>
      </c>
      <c r="C6202" s="1" t="n">
        <v>45952</v>
      </c>
      <c r="D6202" t="inlineStr">
        <is>
          <t>VÄSTRA GÖTALANDS LÄN</t>
        </is>
      </c>
      <c r="E6202" t="inlineStr">
        <is>
          <t>MARIESTAD</t>
        </is>
      </c>
      <c r="F6202" t="inlineStr">
        <is>
          <t>Sveaskog</t>
        </is>
      </c>
      <c r="G6202" t="n">
        <v>3.8</v>
      </c>
      <c r="H6202" t="n">
        <v>0</v>
      </c>
      <c r="I6202" t="n">
        <v>0</v>
      </c>
      <c r="J6202" t="n">
        <v>0</v>
      </c>
      <c r="K6202" t="n">
        <v>0</v>
      </c>
      <c r="L6202" t="n">
        <v>0</v>
      </c>
      <c r="M6202" t="n">
        <v>0</v>
      </c>
      <c r="N6202" t="n">
        <v>0</v>
      </c>
      <c r="O6202" t="n">
        <v>0</v>
      </c>
      <c r="P6202" t="n">
        <v>0</v>
      </c>
      <c r="Q6202" t="n">
        <v>0</v>
      </c>
      <c r="R6202" s="2" t="inlineStr"/>
    </row>
    <row r="6203" ht="15" customHeight="1">
      <c r="A6203" t="inlineStr">
        <is>
          <t>A 50002-2024</t>
        </is>
      </c>
      <c r="B6203" s="1" t="n">
        <v>45598.42902777778</v>
      </c>
      <c r="C6203" s="1" t="n">
        <v>45952</v>
      </c>
      <c r="D6203" t="inlineStr">
        <is>
          <t>VÄSTRA GÖTALANDS LÄN</t>
        </is>
      </c>
      <c r="E6203" t="inlineStr">
        <is>
          <t>ULRICEHAMN</t>
        </is>
      </c>
      <c r="G6203" t="n">
        <v>2.4</v>
      </c>
      <c r="H6203" t="n">
        <v>0</v>
      </c>
      <c r="I6203" t="n">
        <v>0</v>
      </c>
      <c r="J6203" t="n">
        <v>0</v>
      </c>
      <c r="K6203" t="n">
        <v>0</v>
      </c>
      <c r="L6203" t="n">
        <v>0</v>
      </c>
      <c r="M6203" t="n">
        <v>0</v>
      </c>
      <c r="N6203" t="n">
        <v>0</v>
      </c>
      <c r="O6203" t="n">
        <v>0</v>
      </c>
      <c r="P6203" t="n">
        <v>0</v>
      </c>
      <c r="Q6203" t="n">
        <v>0</v>
      </c>
      <c r="R6203" s="2" t="inlineStr"/>
    </row>
    <row r="6204" ht="15" customHeight="1">
      <c r="A6204" t="inlineStr">
        <is>
          <t>A 29739-2024</t>
        </is>
      </c>
      <c r="B6204" s="1" t="n">
        <v>45485.3945949074</v>
      </c>
      <c r="C6204" s="1" t="n">
        <v>45952</v>
      </c>
      <c r="D6204" t="inlineStr">
        <is>
          <t>VÄSTRA GÖTALANDS LÄN</t>
        </is>
      </c>
      <c r="E6204" t="inlineStr">
        <is>
          <t>TÖREBODA</t>
        </is>
      </c>
      <c r="F6204" t="inlineStr">
        <is>
          <t>Sveaskog</t>
        </is>
      </c>
      <c r="G6204" t="n">
        <v>2.4</v>
      </c>
      <c r="H6204" t="n">
        <v>0</v>
      </c>
      <c r="I6204" t="n">
        <v>0</v>
      </c>
      <c r="J6204" t="n">
        <v>0</v>
      </c>
      <c r="K6204" t="n">
        <v>0</v>
      </c>
      <c r="L6204" t="n">
        <v>0</v>
      </c>
      <c r="M6204" t="n">
        <v>0</v>
      </c>
      <c r="N6204" t="n">
        <v>0</v>
      </c>
      <c r="O6204" t="n">
        <v>0</v>
      </c>
      <c r="P6204" t="n">
        <v>0</v>
      </c>
      <c r="Q6204" t="n">
        <v>0</v>
      </c>
      <c r="R6204" s="2" t="inlineStr"/>
    </row>
    <row r="6205" ht="15" customHeight="1">
      <c r="A6205" t="inlineStr">
        <is>
          <t>A 8492-2022</t>
        </is>
      </c>
      <c r="B6205" s="1" t="n">
        <v>44613.3828125</v>
      </c>
      <c r="C6205" s="1" t="n">
        <v>45952</v>
      </c>
      <c r="D6205" t="inlineStr">
        <is>
          <t>VÄSTRA GÖTALANDS LÄN</t>
        </is>
      </c>
      <c r="E6205" t="inlineStr">
        <is>
          <t>MELLERUD</t>
        </is>
      </c>
      <c r="G6205" t="n">
        <v>1.6</v>
      </c>
      <c r="H6205" t="n">
        <v>0</v>
      </c>
      <c r="I6205" t="n">
        <v>0</v>
      </c>
      <c r="J6205" t="n">
        <v>0</v>
      </c>
      <c r="K6205" t="n">
        <v>0</v>
      </c>
      <c r="L6205" t="n">
        <v>0</v>
      </c>
      <c r="M6205" t="n">
        <v>0</v>
      </c>
      <c r="N6205" t="n">
        <v>0</v>
      </c>
      <c r="O6205" t="n">
        <v>0</v>
      </c>
      <c r="P6205" t="n">
        <v>0</v>
      </c>
      <c r="Q6205" t="n">
        <v>0</v>
      </c>
      <c r="R6205" s="2" t="inlineStr"/>
    </row>
    <row r="6206" ht="15" customHeight="1">
      <c r="A6206" t="inlineStr">
        <is>
          <t>A 48604-2022</t>
        </is>
      </c>
      <c r="B6206" s="1" t="n">
        <v>44859</v>
      </c>
      <c r="C6206" s="1" t="n">
        <v>45952</v>
      </c>
      <c r="D6206" t="inlineStr">
        <is>
          <t>VÄSTRA GÖTALANDS LÄN</t>
        </is>
      </c>
      <c r="E6206" t="inlineStr">
        <is>
          <t>SVENLJUNGA</t>
        </is>
      </c>
      <c r="F6206" t="inlineStr">
        <is>
          <t>Sveaskog</t>
        </is>
      </c>
      <c r="G6206" t="n">
        <v>2</v>
      </c>
      <c r="H6206" t="n">
        <v>0</v>
      </c>
      <c r="I6206" t="n">
        <v>0</v>
      </c>
      <c r="J6206" t="n">
        <v>0</v>
      </c>
      <c r="K6206" t="n">
        <v>0</v>
      </c>
      <c r="L6206" t="n">
        <v>0</v>
      </c>
      <c r="M6206" t="n">
        <v>0</v>
      </c>
      <c r="N6206" t="n">
        <v>0</v>
      </c>
      <c r="O6206" t="n">
        <v>0</v>
      </c>
      <c r="P6206" t="n">
        <v>0</v>
      </c>
      <c r="Q6206" t="n">
        <v>0</v>
      </c>
      <c r="R6206" s="2" t="inlineStr"/>
    </row>
    <row r="6207" ht="15" customHeight="1">
      <c r="A6207" t="inlineStr">
        <is>
          <t>A 4987-2025</t>
        </is>
      </c>
      <c r="B6207" s="1" t="n">
        <v>45691.32157407407</v>
      </c>
      <c r="C6207" s="1" t="n">
        <v>45952</v>
      </c>
      <c r="D6207" t="inlineStr">
        <is>
          <t>VÄSTRA GÖTALANDS LÄN</t>
        </is>
      </c>
      <c r="E6207" t="inlineStr">
        <is>
          <t>MARIESTAD</t>
        </is>
      </c>
      <c r="F6207" t="inlineStr">
        <is>
          <t>Sveaskog</t>
        </is>
      </c>
      <c r="G6207" t="n">
        <v>1.3</v>
      </c>
      <c r="H6207" t="n">
        <v>0</v>
      </c>
      <c r="I6207" t="n">
        <v>0</v>
      </c>
      <c r="J6207" t="n">
        <v>0</v>
      </c>
      <c r="K6207" t="n">
        <v>0</v>
      </c>
      <c r="L6207" t="n">
        <v>0</v>
      </c>
      <c r="M6207" t="n">
        <v>0</v>
      </c>
      <c r="N6207" t="n">
        <v>0</v>
      </c>
      <c r="O6207" t="n">
        <v>0</v>
      </c>
      <c r="P6207" t="n">
        <v>0</v>
      </c>
      <c r="Q6207" t="n">
        <v>0</v>
      </c>
      <c r="R6207" s="2" t="inlineStr"/>
    </row>
    <row r="6208" ht="15" customHeight="1">
      <c r="A6208" t="inlineStr">
        <is>
          <t>A 4991-2025</t>
        </is>
      </c>
      <c r="B6208" s="1" t="n">
        <v>45691.3403587963</v>
      </c>
      <c r="C6208" s="1" t="n">
        <v>45952</v>
      </c>
      <c r="D6208" t="inlineStr">
        <is>
          <t>VÄSTRA GÖTALANDS LÄN</t>
        </is>
      </c>
      <c r="E6208" t="inlineStr">
        <is>
          <t>MARIESTAD</t>
        </is>
      </c>
      <c r="F6208" t="inlineStr">
        <is>
          <t>Sveaskog</t>
        </is>
      </c>
      <c r="G6208" t="n">
        <v>0.6</v>
      </c>
      <c r="H6208" t="n">
        <v>0</v>
      </c>
      <c r="I6208" t="n">
        <v>0</v>
      </c>
      <c r="J6208" t="n">
        <v>0</v>
      </c>
      <c r="K6208" t="n">
        <v>0</v>
      </c>
      <c r="L6208" t="n">
        <v>0</v>
      </c>
      <c r="M6208" t="n">
        <v>0</v>
      </c>
      <c r="N6208" t="n">
        <v>0</v>
      </c>
      <c r="O6208" t="n">
        <v>0</v>
      </c>
      <c r="P6208" t="n">
        <v>0</v>
      </c>
      <c r="Q6208" t="n">
        <v>0</v>
      </c>
      <c r="R6208" s="2" t="inlineStr"/>
    </row>
    <row r="6209" ht="15" customHeight="1">
      <c r="A6209" t="inlineStr">
        <is>
          <t>A 46534-2023</t>
        </is>
      </c>
      <c r="B6209" s="1" t="n">
        <v>45197</v>
      </c>
      <c r="C6209" s="1" t="n">
        <v>45952</v>
      </c>
      <c r="D6209" t="inlineStr">
        <is>
          <t>VÄSTRA GÖTALANDS LÄN</t>
        </is>
      </c>
      <c r="E6209" t="inlineStr">
        <is>
          <t>BENGTSFORS</t>
        </is>
      </c>
      <c r="G6209" t="n">
        <v>1.7</v>
      </c>
      <c r="H6209" t="n">
        <v>0</v>
      </c>
      <c r="I6209" t="n">
        <v>0</v>
      </c>
      <c r="J6209" t="n">
        <v>0</v>
      </c>
      <c r="K6209" t="n">
        <v>0</v>
      </c>
      <c r="L6209" t="n">
        <v>0</v>
      </c>
      <c r="M6209" t="n">
        <v>0</v>
      </c>
      <c r="N6209" t="n">
        <v>0</v>
      </c>
      <c r="O6209" t="n">
        <v>0</v>
      </c>
      <c r="P6209" t="n">
        <v>0</v>
      </c>
      <c r="Q6209" t="n">
        <v>0</v>
      </c>
      <c r="R6209" s="2" t="inlineStr"/>
    </row>
    <row r="6210" ht="15" customHeight="1">
      <c r="A6210" t="inlineStr">
        <is>
          <t>A 46523-2024</t>
        </is>
      </c>
      <c r="B6210" s="1" t="n">
        <v>45582.6306712963</v>
      </c>
      <c r="C6210" s="1" t="n">
        <v>45952</v>
      </c>
      <c r="D6210" t="inlineStr">
        <is>
          <t>VÄSTRA GÖTALANDS LÄN</t>
        </is>
      </c>
      <c r="E6210" t="inlineStr">
        <is>
          <t>VÄNERSBORG</t>
        </is>
      </c>
      <c r="G6210" t="n">
        <v>0.6</v>
      </c>
      <c r="H6210" t="n">
        <v>0</v>
      </c>
      <c r="I6210" t="n">
        <v>0</v>
      </c>
      <c r="J6210" t="n">
        <v>0</v>
      </c>
      <c r="K6210" t="n">
        <v>0</v>
      </c>
      <c r="L6210" t="n">
        <v>0</v>
      </c>
      <c r="M6210" t="n">
        <v>0</v>
      </c>
      <c r="N6210" t="n">
        <v>0</v>
      </c>
      <c r="O6210" t="n">
        <v>0</v>
      </c>
      <c r="P6210" t="n">
        <v>0</v>
      </c>
      <c r="Q6210" t="n">
        <v>0</v>
      </c>
      <c r="R6210" s="2" t="inlineStr"/>
    </row>
    <row r="6211" ht="15" customHeight="1">
      <c r="A6211" t="inlineStr">
        <is>
          <t>A 809-2022</t>
        </is>
      </c>
      <c r="B6211" s="1" t="n">
        <v>44571</v>
      </c>
      <c r="C6211" s="1" t="n">
        <v>45952</v>
      </c>
      <c r="D6211" t="inlineStr">
        <is>
          <t>VÄSTRA GÖTALANDS LÄN</t>
        </is>
      </c>
      <c r="E6211" t="inlineStr">
        <is>
          <t>HJO</t>
        </is>
      </c>
      <c r="G6211" t="n">
        <v>4.3</v>
      </c>
      <c r="H6211" t="n">
        <v>0</v>
      </c>
      <c r="I6211" t="n">
        <v>0</v>
      </c>
      <c r="J6211" t="n">
        <v>0</v>
      </c>
      <c r="K6211" t="n">
        <v>0</v>
      </c>
      <c r="L6211" t="n">
        <v>0</v>
      </c>
      <c r="M6211" t="n">
        <v>0</v>
      </c>
      <c r="N6211" t="n">
        <v>0</v>
      </c>
      <c r="O6211" t="n">
        <v>0</v>
      </c>
      <c r="P6211" t="n">
        <v>0</v>
      </c>
      <c r="Q6211" t="n">
        <v>0</v>
      </c>
      <c r="R6211" s="2" t="inlineStr"/>
    </row>
    <row r="6212" ht="15" customHeight="1">
      <c r="A6212" t="inlineStr">
        <is>
          <t>A 11873-2024</t>
        </is>
      </c>
      <c r="B6212" s="1" t="n">
        <v>45376</v>
      </c>
      <c r="C6212" s="1" t="n">
        <v>45952</v>
      </c>
      <c r="D6212" t="inlineStr">
        <is>
          <t>VÄSTRA GÖTALANDS LÄN</t>
        </is>
      </c>
      <c r="E6212" t="inlineStr">
        <is>
          <t>TRANEMO</t>
        </is>
      </c>
      <c r="F6212" t="inlineStr">
        <is>
          <t>Kyrkan</t>
        </is>
      </c>
      <c r="G6212" t="n">
        <v>1.7</v>
      </c>
      <c r="H6212" t="n">
        <v>0</v>
      </c>
      <c r="I6212" t="n">
        <v>0</v>
      </c>
      <c r="J6212" t="n">
        <v>0</v>
      </c>
      <c r="K6212" t="n">
        <v>0</v>
      </c>
      <c r="L6212" t="n">
        <v>0</v>
      </c>
      <c r="M6212" t="n">
        <v>0</v>
      </c>
      <c r="N6212" t="n">
        <v>0</v>
      </c>
      <c r="O6212" t="n">
        <v>0</v>
      </c>
      <c r="P6212" t="n">
        <v>0</v>
      </c>
      <c r="Q6212" t="n">
        <v>0</v>
      </c>
      <c r="R6212" s="2" t="inlineStr"/>
    </row>
    <row r="6213" ht="15" customHeight="1">
      <c r="A6213" t="inlineStr">
        <is>
          <t>A 11889-2024</t>
        </is>
      </c>
      <c r="B6213" s="1" t="n">
        <v>45376.52688657407</v>
      </c>
      <c r="C6213" s="1" t="n">
        <v>45952</v>
      </c>
      <c r="D6213" t="inlineStr">
        <is>
          <t>VÄSTRA GÖTALANDS LÄN</t>
        </is>
      </c>
      <c r="E6213" t="inlineStr">
        <is>
          <t>GÖTENE</t>
        </is>
      </c>
      <c r="G6213" t="n">
        <v>0.6</v>
      </c>
      <c r="H6213" t="n">
        <v>0</v>
      </c>
      <c r="I6213" t="n">
        <v>0</v>
      </c>
      <c r="J6213" t="n">
        <v>0</v>
      </c>
      <c r="K6213" t="n">
        <v>0</v>
      </c>
      <c r="L6213" t="n">
        <v>0</v>
      </c>
      <c r="M6213" t="n">
        <v>0</v>
      </c>
      <c r="N6213" t="n">
        <v>0</v>
      </c>
      <c r="O6213" t="n">
        <v>0</v>
      </c>
      <c r="P6213" t="n">
        <v>0</v>
      </c>
      <c r="Q6213" t="n">
        <v>0</v>
      </c>
      <c r="R6213" s="2" t="inlineStr"/>
    </row>
    <row r="6214" ht="15" customHeight="1">
      <c r="A6214" t="inlineStr">
        <is>
          <t>A 5916-2023</t>
        </is>
      </c>
      <c r="B6214" s="1" t="n">
        <v>44963</v>
      </c>
      <c r="C6214" s="1" t="n">
        <v>45952</v>
      </c>
      <c r="D6214" t="inlineStr">
        <is>
          <t>VÄSTRA GÖTALANDS LÄN</t>
        </is>
      </c>
      <c r="E6214" t="inlineStr">
        <is>
          <t>ALE</t>
        </is>
      </c>
      <c r="G6214" t="n">
        <v>4.2</v>
      </c>
      <c r="H6214" t="n">
        <v>0</v>
      </c>
      <c r="I6214" t="n">
        <v>0</v>
      </c>
      <c r="J6214" t="n">
        <v>0</v>
      </c>
      <c r="K6214" t="n">
        <v>0</v>
      </c>
      <c r="L6214" t="n">
        <v>0</v>
      </c>
      <c r="M6214" t="n">
        <v>0</v>
      </c>
      <c r="N6214" t="n">
        <v>0</v>
      </c>
      <c r="O6214" t="n">
        <v>0</v>
      </c>
      <c r="P6214" t="n">
        <v>0</v>
      </c>
      <c r="Q6214" t="n">
        <v>0</v>
      </c>
      <c r="R6214" s="2" t="inlineStr"/>
    </row>
    <row r="6215" ht="15" customHeight="1">
      <c r="A6215" t="inlineStr">
        <is>
          <t>A 36430-2023</t>
        </is>
      </c>
      <c r="B6215" s="1" t="n">
        <v>45151</v>
      </c>
      <c r="C6215" s="1" t="n">
        <v>45952</v>
      </c>
      <c r="D6215" t="inlineStr">
        <is>
          <t>VÄSTRA GÖTALANDS LÄN</t>
        </is>
      </c>
      <c r="E6215" t="inlineStr">
        <is>
          <t>BENGTSFORS</t>
        </is>
      </c>
      <c r="G6215" t="n">
        <v>1.2</v>
      </c>
      <c r="H6215" t="n">
        <v>0</v>
      </c>
      <c r="I6215" t="n">
        <v>0</v>
      </c>
      <c r="J6215" t="n">
        <v>0</v>
      </c>
      <c r="K6215" t="n">
        <v>0</v>
      </c>
      <c r="L6215" t="n">
        <v>0</v>
      </c>
      <c r="M6215" t="n">
        <v>0</v>
      </c>
      <c r="N6215" t="n">
        <v>0</v>
      </c>
      <c r="O6215" t="n">
        <v>0</v>
      </c>
      <c r="P6215" t="n">
        <v>0</v>
      </c>
      <c r="Q6215" t="n">
        <v>0</v>
      </c>
      <c r="R6215" s="2" t="inlineStr"/>
    </row>
    <row r="6216" ht="15" customHeight="1">
      <c r="A6216" t="inlineStr">
        <is>
          <t>A 36464-2023</t>
        </is>
      </c>
      <c r="B6216" s="1" t="n">
        <v>45151</v>
      </c>
      <c r="C6216" s="1" t="n">
        <v>45952</v>
      </c>
      <c r="D6216" t="inlineStr">
        <is>
          <t>VÄSTRA GÖTALANDS LÄN</t>
        </is>
      </c>
      <c r="E6216" t="inlineStr">
        <is>
          <t>DALS-ED</t>
        </is>
      </c>
      <c r="G6216" t="n">
        <v>6.2</v>
      </c>
      <c r="H6216" t="n">
        <v>0</v>
      </c>
      <c r="I6216" t="n">
        <v>0</v>
      </c>
      <c r="J6216" t="n">
        <v>0</v>
      </c>
      <c r="K6216" t="n">
        <v>0</v>
      </c>
      <c r="L6216" t="n">
        <v>0</v>
      </c>
      <c r="M6216" t="n">
        <v>0</v>
      </c>
      <c r="N6216" t="n">
        <v>0</v>
      </c>
      <c r="O6216" t="n">
        <v>0</v>
      </c>
      <c r="P6216" t="n">
        <v>0</v>
      </c>
      <c r="Q6216" t="n">
        <v>0</v>
      </c>
      <c r="R6216" s="2" t="inlineStr"/>
    </row>
    <row r="6217" ht="15" customHeight="1">
      <c r="A6217" t="inlineStr">
        <is>
          <t>A 44408-2021</t>
        </is>
      </c>
      <c r="B6217" s="1" t="n">
        <v>44435</v>
      </c>
      <c r="C6217" s="1" t="n">
        <v>45952</v>
      </c>
      <c r="D6217" t="inlineStr">
        <is>
          <t>VÄSTRA GÖTALANDS LÄN</t>
        </is>
      </c>
      <c r="E6217" t="inlineStr">
        <is>
          <t>STRÖMSTAD</t>
        </is>
      </c>
      <c r="G6217" t="n">
        <v>3.2</v>
      </c>
      <c r="H6217" t="n">
        <v>0</v>
      </c>
      <c r="I6217" t="n">
        <v>0</v>
      </c>
      <c r="J6217" t="n">
        <v>0</v>
      </c>
      <c r="K6217" t="n">
        <v>0</v>
      </c>
      <c r="L6217" t="n">
        <v>0</v>
      </c>
      <c r="M6217" t="n">
        <v>0</v>
      </c>
      <c r="N6217" t="n">
        <v>0</v>
      </c>
      <c r="O6217" t="n">
        <v>0</v>
      </c>
      <c r="P6217" t="n">
        <v>0</v>
      </c>
      <c r="Q6217" t="n">
        <v>0</v>
      </c>
      <c r="R6217" s="2" t="inlineStr"/>
    </row>
    <row r="6218" ht="15" customHeight="1">
      <c r="A6218" t="inlineStr">
        <is>
          <t>A 19553-2022</t>
        </is>
      </c>
      <c r="B6218" s="1" t="n">
        <v>44693.65290509259</v>
      </c>
      <c r="C6218" s="1" t="n">
        <v>45952</v>
      </c>
      <c r="D6218" t="inlineStr">
        <is>
          <t>VÄSTRA GÖTALANDS LÄN</t>
        </is>
      </c>
      <c r="E6218" t="inlineStr">
        <is>
          <t>MARIESTAD</t>
        </is>
      </c>
      <c r="G6218" t="n">
        <v>1.6</v>
      </c>
      <c r="H6218" t="n">
        <v>0</v>
      </c>
      <c r="I6218" t="n">
        <v>0</v>
      </c>
      <c r="J6218" t="n">
        <v>0</v>
      </c>
      <c r="K6218" t="n">
        <v>0</v>
      </c>
      <c r="L6218" t="n">
        <v>0</v>
      </c>
      <c r="M6218" t="n">
        <v>0</v>
      </c>
      <c r="N6218" t="n">
        <v>0</v>
      </c>
      <c r="O6218" t="n">
        <v>0</v>
      </c>
      <c r="P6218" t="n">
        <v>0</v>
      </c>
      <c r="Q6218" t="n">
        <v>0</v>
      </c>
      <c r="R6218" s="2" t="inlineStr"/>
    </row>
    <row r="6219" ht="15" customHeight="1">
      <c r="A6219" t="inlineStr">
        <is>
          <t>A 66781-2021</t>
        </is>
      </c>
      <c r="B6219" s="1" t="n">
        <v>44522.32146990741</v>
      </c>
      <c r="C6219" s="1" t="n">
        <v>45952</v>
      </c>
      <c r="D6219" t="inlineStr">
        <is>
          <t>VÄSTRA GÖTALANDS LÄN</t>
        </is>
      </c>
      <c r="E6219" t="inlineStr">
        <is>
          <t>TRANEMO</t>
        </is>
      </c>
      <c r="G6219" t="n">
        <v>2.2</v>
      </c>
      <c r="H6219" t="n">
        <v>0</v>
      </c>
      <c r="I6219" t="n">
        <v>0</v>
      </c>
      <c r="J6219" t="n">
        <v>0</v>
      </c>
      <c r="K6219" t="n">
        <v>0</v>
      </c>
      <c r="L6219" t="n">
        <v>0</v>
      </c>
      <c r="M6219" t="n">
        <v>0</v>
      </c>
      <c r="N6219" t="n">
        <v>0</v>
      </c>
      <c r="O6219" t="n">
        <v>0</v>
      </c>
      <c r="P6219" t="n">
        <v>0</v>
      </c>
      <c r="Q6219" t="n">
        <v>0</v>
      </c>
      <c r="R6219" s="2" t="inlineStr"/>
    </row>
    <row r="6220" ht="15" customHeight="1">
      <c r="A6220" t="inlineStr">
        <is>
          <t>A 56458-2024</t>
        </is>
      </c>
      <c r="B6220" s="1" t="n">
        <v>45625.4484837963</v>
      </c>
      <c r="C6220" s="1" t="n">
        <v>45952</v>
      </c>
      <c r="D6220" t="inlineStr">
        <is>
          <t>VÄSTRA GÖTALANDS LÄN</t>
        </is>
      </c>
      <c r="E6220" t="inlineStr">
        <is>
          <t>TRANEMO</t>
        </is>
      </c>
      <c r="G6220" t="n">
        <v>3.4</v>
      </c>
      <c r="H6220" t="n">
        <v>0</v>
      </c>
      <c r="I6220" t="n">
        <v>0</v>
      </c>
      <c r="J6220" t="n">
        <v>0</v>
      </c>
      <c r="K6220" t="n">
        <v>0</v>
      </c>
      <c r="L6220" t="n">
        <v>0</v>
      </c>
      <c r="M6220" t="n">
        <v>0</v>
      </c>
      <c r="N6220" t="n">
        <v>0</v>
      </c>
      <c r="O6220" t="n">
        <v>0</v>
      </c>
      <c r="P6220" t="n">
        <v>0</v>
      </c>
      <c r="Q6220" t="n">
        <v>0</v>
      </c>
      <c r="R6220" s="2" t="inlineStr"/>
    </row>
    <row r="6221" ht="15" customHeight="1">
      <c r="A6221" t="inlineStr">
        <is>
          <t>A 5585-2022</t>
        </is>
      </c>
      <c r="B6221" s="1" t="n">
        <v>44595.66928240741</v>
      </c>
      <c r="C6221" s="1" t="n">
        <v>45952</v>
      </c>
      <c r="D6221" t="inlineStr">
        <is>
          <t>VÄSTRA GÖTALANDS LÄN</t>
        </is>
      </c>
      <c r="E6221" t="inlineStr">
        <is>
          <t>BENGTSFORS</t>
        </is>
      </c>
      <c r="G6221" t="n">
        <v>5.4</v>
      </c>
      <c r="H6221" t="n">
        <v>0</v>
      </c>
      <c r="I6221" t="n">
        <v>0</v>
      </c>
      <c r="J6221" t="n">
        <v>0</v>
      </c>
      <c r="K6221" t="n">
        <v>0</v>
      </c>
      <c r="L6221" t="n">
        <v>0</v>
      </c>
      <c r="M6221" t="n">
        <v>0</v>
      </c>
      <c r="N6221" t="n">
        <v>0</v>
      </c>
      <c r="O6221" t="n">
        <v>0</v>
      </c>
      <c r="P6221" t="n">
        <v>0</v>
      </c>
      <c r="Q6221" t="n">
        <v>0</v>
      </c>
      <c r="R6221" s="2" t="inlineStr"/>
    </row>
    <row r="6222" ht="15" customHeight="1">
      <c r="A6222" t="inlineStr">
        <is>
          <t>A 19282-2024</t>
        </is>
      </c>
      <c r="B6222" s="1" t="n">
        <v>45428.66136574074</v>
      </c>
      <c r="C6222" s="1" t="n">
        <v>45952</v>
      </c>
      <c r="D6222" t="inlineStr">
        <is>
          <t>VÄSTRA GÖTALANDS LÄN</t>
        </is>
      </c>
      <c r="E6222" t="inlineStr">
        <is>
          <t>GRÄSTORP</t>
        </is>
      </c>
      <c r="G6222" t="n">
        <v>5.8</v>
      </c>
      <c r="H6222" t="n">
        <v>0</v>
      </c>
      <c r="I6222" t="n">
        <v>0</v>
      </c>
      <c r="J6222" t="n">
        <v>0</v>
      </c>
      <c r="K6222" t="n">
        <v>0</v>
      </c>
      <c r="L6222" t="n">
        <v>0</v>
      </c>
      <c r="M6222" t="n">
        <v>0</v>
      </c>
      <c r="N6222" t="n">
        <v>0</v>
      </c>
      <c r="O6222" t="n">
        <v>0</v>
      </c>
      <c r="P6222" t="n">
        <v>0</v>
      </c>
      <c r="Q6222" t="n">
        <v>0</v>
      </c>
      <c r="R6222" s="2" t="inlineStr"/>
    </row>
    <row r="6223" ht="15" customHeight="1">
      <c r="A6223" t="inlineStr">
        <is>
          <t>A 1949-2025</t>
        </is>
      </c>
      <c r="B6223" s="1" t="n">
        <v>45672.34460648148</v>
      </c>
      <c r="C6223" s="1" t="n">
        <v>45952</v>
      </c>
      <c r="D6223" t="inlineStr">
        <is>
          <t>VÄSTRA GÖTALANDS LÄN</t>
        </is>
      </c>
      <c r="E6223" t="inlineStr">
        <is>
          <t>LIDKÖPING</t>
        </is>
      </c>
      <c r="G6223" t="n">
        <v>2.7</v>
      </c>
      <c r="H6223" t="n">
        <v>0</v>
      </c>
      <c r="I6223" t="n">
        <v>0</v>
      </c>
      <c r="J6223" t="n">
        <v>0</v>
      </c>
      <c r="K6223" t="n">
        <v>0</v>
      </c>
      <c r="L6223" t="n">
        <v>0</v>
      </c>
      <c r="M6223" t="n">
        <v>0</v>
      </c>
      <c r="N6223" t="n">
        <v>0</v>
      </c>
      <c r="O6223" t="n">
        <v>0</v>
      </c>
      <c r="P6223" t="n">
        <v>0</v>
      </c>
      <c r="Q6223" t="n">
        <v>0</v>
      </c>
      <c r="R6223" s="2" t="inlineStr"/>
    </row>
    <row r="6224" ht="15" customHeight="1">
      <c r="A6224" t="inlineStr">
        <is>
          <t>A 58389-2022</t>
        </is>
      </c>
      <c r="B6224" s="1" t="n">
        <v>44901</v>
      </c>
      <c r="C6224" s="1" t="n">
        <v>45952</v>
      </c>
      <c r="D6224" t="inlineStr">
        <is>
          <t>VÄSTRA GÖTALANDS LÄN</t>
        </is>
      </c>
      <c r="E6224" t="inlineStr">
        <is>
          <t>SVENLJUNGA</t>
        </is>
      </c>
      <c r="G6224" t="n">
        <v>1.2</v>
      </c>
      <c r="H6224" t="n">
        <v>0</v>
      </c>
      <c r="I6224" t="n">
        <v>0</v>
      </c>
      <c r="J6224" t="n">
        <v>0</v>
      </c>
      <c r="K6224" t="n">
        <v>0</v>
      </c>
      <c r="L6224" t="n">
        <v>0</v>
      </c>
      <c r="M6224" t="n">
        <v>0</v>
      </c>
      <c r="N6224" t="n">
        <v>0</v>
      </c>
      <c r="O6224" t="n">
        <v>0</v>
      </c>
      <c r="P6224" t="n">
        <v>0</v>
      </c>
      <c r="Q6224" t="n">
        <v>0</v>
      </c>
      <c r="R6224" s="2" t="inlineStr"/>
    </row>
    <row r="6225" ht="15" customHeight="1">
      <c r="A6225" t="inlineStr">
        <is>
          <t>A 18129-2025</t>
        </is>
      </c>
      <c r="B6225" s="1" t="n">
        <v>45761.59930555556</v>
      </c>
      <c r="C6225" s="1" t="n">
        <v>45952</v>
      </c>
      <c r="D6225" t="inlineStr">
        <is>
          <t>VÄSTRA GÖTALANDS LÄN</t>
        </is>
      </c>
      <c r="E6225" t="inlineStr">
        <is>
          <t>MARIESTAD</t>
        </is>
      </c>
      <c r="G6225" t="n">
        <v>10.7</v>
      </c>
      <c r="H6225" t="n">
        <v>0</v>
      </c>
      <c r="I6225" t="n">
        <v>0</v>
      </c>
      <c r="J6225" t="n">
        <v>0</v>
      </c>
      <c r="K6225" t="n">
        <v>0</v>
      </c>
      <c r="L6225" t="n">
        <v>0</v>
      </c>
      <c r="M6225" t="n">
        <v>0</v>
      </c>
      <c r="N6225" t="n">
        <v>0</v>
      </c>
      <c r="O6225" t="n">
        <v>0</v>
      </c>
      <c r="P6225" t="n">
        <v>0</v>
      </c>
      <c r="Q6225" t="n">
        <v>0</v>
      </c>
      <c r="R6225" s="2" t="inlineStr"/>
    </row>
    <row r="6226" ht="15" customHeight="1">
      <c r="A6226" t="inlineStr">
        <is>
          <t>A 2047-2025</t>
        </is>
      </c>
      <c r="B6226" s="1" t="n">
        <v>45672.51982638889</v>
      </c>
      <c r="C6226" s="1" t="n">
        <v>45952</v>
      </c>
      <c r="D6226" t="inlineStr">
        <is>
          <t>VÄSTRA GÖTALANDS LÄN</t>
        </is>
      </c>
      <c r="E6226" t="inlineStr">
        <is>
          <t>UDDEVALLA</t>
        </is>
      </c>
      <c r="G6226" t="n">
        <v>1.8</v>
      </c>
      <c r="H6226" t="n">
        <v>0</v>
      </c>
      <c r="I6226" t="n">
        <v>0</v>
      </c>
      <c r="J6226" t="n">
        <v>0</v>
      </c>
      <c r="K6226" t="n">
        <v>0</v>
      </c>
      <c r="L6226" t="n">
        <v>0</v>
      </c>
      <c r="M6226" t="n">
        <v>0</v>
      </c>
      <c r="N6226" t="n">
        <v>0</v>
      </c>
      <c r="O6226" t="n">
        <v>0</v>
      </c>
      <c r="P6226" t="n">
        <v>0</v>
      </c>
      <c r="Q6226" t="n">
        <v>0</v>
      </c>
      <c r="R6226" s="2" t="inlineStr"/>
    </row>
    <row r="6227" ht="15" customHeight="1">
      <c r="A6227" t="inlineStr">
        <is>
          <t>A 32799-2024</t>
        </is>
      </c>
      <c r="B6227" s="1" t="n">
        <v>45516.56393518519</v>
      </c>
      <c r="C6227" s="1" t="n">
        <v>45952</v>
      </c>
      <c r="D6227" t="inlineStr">
        <is>
          <t>VÄSTRA GÖTALANDS LÄN</t>
        </is>
      </c>
      <c r="E6227" t="inlineStr">
        <is>
          <t>MARIESTAD</t>
        </is>
      </c>
      <c r="G6227" t="n">
        <v>0.9</v>
      </c>
      <c r="H6227" t="n">
        <v>0</v>
      </c>
      <c r="I6227" t="n">
        <v>0</v>
      </c>
      <c r="J6227" t="n">
        <v>0</v>
      </c>
      <c r="K6227" t="n">
        <v>0</v>
      </c>
      <c r="L6227" t="n">
        <v>0</v>
      </c>
      <c r="M6227" t="n">
        <v>0</v>
      </c>
      <c r="N6227" t="n">
        <v>0</v>
      </c>
      <c r="O6227" t="n">
        <v>0</v>
      </c>
      <c r="P6227" t="n">
        <v>0</v>
      </c>
      <c r="Q6227" t="n">
        <v>0</v>
      </c>
      <c r="R6227" s="2" t="inlineStr"/>
    </row>
    <row r="6228" ht="15" customHeight="1">
      <c r="A6228" t="inlineStr">
        <is>
          <t>A 56671-2024</t>
        </is>
      </c>
      <c r="B6228" s="1" t="n">
        <v>45626.6325</v>
      </c>
      <c r="C6228" s="1" t="n">
        <v>45952</v>
      </c>
      <c r="D6228" t="inlineStr">
        <is>
          <t>VÄSTRA GÖTALANDS LÄN</t>
        </is>
      </c>
      <c r="E6228" t="inlineStr">
        <is>
          <t>ULRICEHAMN</t>
        </is>
      </c>
      <c r="G6228" t="n">
        <v>1.3</v>
      </c>
      <c r="H6228" t="n">
        <v>0</v>
      </c>
      <c r="I6228" t="n">
        <v>0</v>
      </c>
      <c r="J6228" t="n">
        <v>0</v>
      </c>
      <c r="K6228" t="n">
        <v>0</v>
      </c>
      <c r="L6228" t="n">
        <v>0</v>
      </c>
      <c r="M6228" t="n">
        <v>0</v>
      </c>
      <c r="N6228" t="n">
        <v>0</v>
      </c>
      <c r="O6228" t="n">
        <v>0</v>
      </c>
      <c r="P6228" t="n">
        <v>0</v>
      </c>
      <c r="Q6228" t="n">
        <v>0</v>
      </c>
      <c r="R6228" s="2" t="inlineStr"/>
    </row>
    <row r="6229" ht="15" customHeight="1">
      <c r="A6229" t="inlineStr">
        <is>
          <t>A 61092-2021</t>
        </is>
      </c>
      <c r="B6229" s="1" t="n">
        <v>44498</v>
      </c>
      <c r="C6229" s="1" t="n">
        <v>45952</v>
      </c>
      <c r="D6229" t="inlineStr">
        <is>
          <t>VÄSTRA GÖTALANDS LÄN</t>
        </is>
      </c>
      <c r="E6229" t="inlineStr">
        <is>
          <t>ÅMÅL</t>
        </is>
      </c>
      <c r="G6229" t="n">
        <v>0.7</v>
      </c>
      <c r="H6229" t="n">
        <v>0</v>
      </c>
      <c r="I6229" t="n">
        <v>0</v>
      </c>
      <c r="J6229" t="n">
        <v>0</v>
      </c>
      <c r="K6229" t="n">
        <v>0</v>
      </c>
      <c r="L6229" t="n">
        <v>0</v>
      </c>
      <c r="M6229" t="n">
        <v>0</v>
      </c>
      <c r="N6229" t="n">
        <v>0</v>
      </c>
      <c r="O6229" t="n">
        <v>0</v>
      </c>
      <c r="P6229" t="n">
        <v>0</v>
      </c>
      <c r="Q6229" t="n">
        <v>0</v>
      </c>
      <c r="R6229" s="2" t="inlineStr"/>
    </row>
    <row r="6230" ht="15" customHeight="1">
      <c r="A6230" t="inlineStr">
        <is>
          <t>A 11772-2024</t>
        </is>
      </c>
      <c r="B6230" s="1" t="n">
        <v>45373</v>
      </c>
      <c r="C6230" s="1" t="n">
        <v>45952</v>
      </c>
      <c r="D6230" t="inlineStr">
        <is>
          <t>VÄSTRA GÖTALANDS LÄN</t>
        </is>
      </c>
      <c r="E6230" t="inlineStr">
        <is>
          <t>GÖTENE</t>
        </is>
      </c>
      <c r="G6230" t="n">
        <v>0.8</v>
      </c>
      <c r="H6230" t="n">
        <v>0</v>
      </c>
      <c r="I6230" t="n">
        <v>0</v>
      </c>
      <c r="J6230" t="n">
        <v>0</v>
      </c>
      <c r="K6230" t="n">
        <v>0</v>
      </c>
      <c r="L6230" t="n">
        <v>0</v>
      </c>
      <c r="M6230" t="n">
        <v>0</v>
      </c>
      <c r="N6230" t="n">
        <v>0</v>
      </c>
      <c r="O6230" t="n">
        <v>0</v>
      </c>
      <c r="P6230" t="n">
        <v>0</v>
      </c>
      <c r="Q6230" t="n">
        <v>0</v>
      </c>
      <c r="R6230" s="2" t="inlineStr"/>
    </row>
    <row r="6231" ht="15" customHeight="1">
      <c r="A6231" t="inlineStr">
        <is>
          <t>A 11773-2024</t>
        </is>
      </c>
      <c r="B6231" s="1" t="n">
        <v>45373</v>
      </c>
      <c r="C6231" s="1" t="n">
        <v>45952</v>
      </c>
      <c r="D6231" t="inlineStr">
        <is>
          <t>VÄSTRA GÖTALANDS LÄN</t>
        </is>
      </c>
      <c r="E6231" t="inlineStr">
        <is>
          <t>GÖTENE</t>
        </is>
      </c>
      <c r="G6231" t="n">
        <v>1.9</v>
      </c>
      <c r="H6231" t="n">
        <v>0</v>
      </c>
      <c r="I6231" t="n">
        <v>0</v>
      </c>
      <c r="J6231" t="n">
        <v>0</v>
      </c>
      <c r="K6231" t="n">
        <v>0</v>
      </c>
      <c r="L6231" t="n">
        <v>0</v>
      </c>
      <c r="M6231" t="n">
        <v>0</v>
      </c>
      <c r="N6231" t="n">
        <v>0</v>
      </c>
      <c r="O6231" t="n">
        <v>0</v>
      </c>
      <c r="P6231" t="n">
        <v>0</v>
      </c>
      <c r="Q6231" t="n">
        <v>0</v>
      </c>
      <c r="R6231" s="2" t="inlineStr"/>
    </row>
    <row r="6232" ht="15" customHeight="1">
      <c r="A6232" t="inlineStr">
        <is>
          <t>A 3721-2024</t>
        </is>
      </c>
      <c r="B6232" s="1" t="n">
        <v>45321</v>
      </c>
      <c r="C6232" s="1" t="n">
        <v>45952</v>
      </c>
      <c r="D6232" t="inlineStr">
        <is>
          <t>VÄSTRA GÖTALANDS LÄN</t>
        </is>
      </c>
      <c r="E6232" t="inlineStr">
        <is>
          <t>BORÅS</t>
        </is>
      </c>
      <c r="F6232" t="inlineStr">
        <is>
          <t>Kommuner</t>
        </is>
      </c>
      <c r="G6232" t="n">
        <v>1.9</v>
      </c>
      <c r="H6232" t="n">
        <v>0</v>
      </c>
      <c r="I6232" t="n">
        <v>0</v>
      </c>
      <c r="J6232" t="n">
        <v>0</v>
      </c>
      <c r="K6232" t="n">
        <v>0</v>
      </c>
      <c r="L6232" t="n">
        <v>0</v>
      </c>
      <c r="M6232" t="n">
        <v>0</v>
      </c>
      <c r="N6232" t="n">
        <v>0</v>
      </c>
      <c r="O6232" t="n">
        <v>0</v>
      </c>
      <c r="P6232" t="n">
        <v>0</v>
      </c>
      <c r="Q6232" t="n">
        <v>0</v>
      </c>
      <c r="R6232" s="2" t="inlineStr"/>
    </row>
    <row r="6233" ht="15" customHeight="1">
      <c r="A6233" t="inlineStr">
        <is>
          <t>A 56674-2024</t>
        </is>
      </c>
      <c r="B6233" s="1" t="n">
        <v>45626.77259259259</v>
      </c>
      <c r="C6233" s="1" t="n">
        <v>45952</v>
      </c>
      <c r="D6233" t="inlineStr">
        <is>
          <t>VÄSTRA GÖTALANDS LÄN</t>
        </is>
      </c>
      <c r="E6233" t="inlineStr">
        <is>
          <t>ULRICEHAMN</t>
        </is>
      </c>
      <c r="G6233" t="n">
        <v>2.7</v>
      </c>
      <c r="H6233" t="n">
        <v>0</v>
      </c>
      <c r="I6233" t="n">
        <v>0</v>
      </c>
      <c r="J6233" t="n">
        <v>0</v>
      </c>
      <c r="K6233" t="n">
        <v>0</v>
      </c>
      <c r="L6233" t="n">
        <v>0</v>
      </c>
      <c r="M6233" t="n">
        <v>0</v>
      </c>
      <c r="N6233" t="n">
        <v>0</v>
      </c>
      <c r="O6233" t="n">
        <v>0</v>
      </c>
      <c r="P6233" t="n">
        <v>0</v>
      </c>
      <c r="Q6233" t="n">
        <v>0</v>
      </c>
      <c r="R6233" s="2" t="inlineStr"/>
    </row>
    <row r="6234" ht="15" customHeight="1">
      <c r="A6234" t="inlineStr">
        <is>
          <t>A 13159-2025</t>
        </is>
      </c>
      <c r="B6234" s="1" t="n">
        <v>45735.35841435185</v>
      </c>
      <c r="C6234" s="1" t="n">
        <v>45952</v>
      </c>
      <c r="D6234" t="inlineStr">
        <is>
          <t>VÄSTRA GÖTALANDS LÄN</t>
        </is>
      </c>
      <c r="E6234" t="inlineStr">
        <is>
          <t>ULRICEHAMN</t>
        </is>
      </c>
      <c r="G6234" t="n">
        <v>1.4</v>
      </c>
      <c r="H6234" t="n">
        <v>0</v>
      </c>
      <c r="I6234" t="n">
        <v>0</v>
      </c>
      <c r="J6234" t="n">
        <v>0</v>
      </c>
      <c r="K6234" t="n">
        <v>0</v>
      </c>
      <c r="L6234" t="n">
        <v>0</v>
      </c>
      <c r="M6234" t="n">
        <v>0</v>
      </c>
      <c r="N6234" t="n">
        <v>0</v>
      </c>
      <c r="O6234" t="n">
        <v>0</v>
      </c>
      <c r="P6234" t="n">
        <v>0</v>
      </c>
      <c r="Q6234" t="n">
        <v>0</v>
      </c>
      <c r="R6234" s="2" t="inlineStr"/>
    </row>
    <row r="6235" ht="15" customHeight="1">
      <c r="A6235" t="inlineStr">
        <is>
          <t>A 11777-2024</t>
        </is>
      </c>
      <c r="B6235" s="1" t="n">
        <v>45374.35063657408</v>
      </c>
      <c r="C6235" s="1" t="n">
        <v>45952</v>
      </c>
      <c r="D6235" t="inlineStr">
        <is>
          <t>VÄSTRA GÖTALANDS LÄN</t>
        </is>
      </c>
      <c r="E6235" t="inlineStr">
        <is>
          <t>VÅRGÅRDA</t>
        </is>
      </c>
      <c r="G6235" t="n">
        <v>0.7</v>
      </c>
      <c r="H6235" t="n">
        <v>0</v>
      </c>
      <c r="I6235" t="n">
        <v>0</v>
      </c>
      <c r="J6235" t="n">
        <v>0</v>
      </c>
      <c r="K6235" t="n">
        <v>0</v>
      </c>
      <c r="L6235" t="n">
        <v>0</v>
      </c>
      <c r="M6235" t="n">
        <v>0</v>
      </c>
      <c r="N6235" t="n">
        <v>0</v>
      </c>
      <c r="O6235" t="n">
        <v>0</v>
      </c>
      <c r="P6235" t="n">
        <v>0</v>
      </c>
      <c r="Q6235" t="n">
        <v>0</v>
      </c>
      <c r="R6235" s="2" t="inlineStr"/>
    </row>
    <row r="6236" ht="15" customHeight="1">
      <c r="A6236" t="inlineStr">
        <is>
          <t>A 11792-2024</t>
        </is>
      </c>
      <c r="B6236" s="1" t="n">
        <v>45375</v>
      </c>
      <c r="C6236" s="1" t="n">
        <v>45952</v>
      </c>
      <c r="D6236" t="inlineStr">
        <is>
          <t>VÄSTRA GÖTALANDS LÄN</t>
        </is>
      </c>
      <c r="E6236" t="inlineStr">
        <is>
          <t>VÅRGÅRDA</t>
        </is>
      </c>
      <c r="G6236" t="n">
        <v>0.8</v>
      </c>
      <c r="H6236" t="n">
        <v>0</v>
      </c>
      <c r="I6236" t="n">
        <v>0</v>
      </c>
      <c r="J6236" t="n">
        <v>0</v>
      </c>
      <c r="K6236" t="n">
        <v>0</v>
      </c>
      <c r="L6236" t="n">
        <v>0</v>
      </c>
      <c r="M6236" t="n">
        <v>0</v>
      </c>
      <c r="N6236" t="n">
        <v>0</v>
      </c>
      <c r="O6236" t="n">
        <v>0</v>
      </c>
      <c r="P6236" t="n">
        <v>0</v>
      </c>
      <c r="Q6236" t="n">
        <v>0</v>
      </c>
      <c r="R6236" s="2" t="inlineStr"/>
    </row>
    <row r="6237" ht="15" customHeight="1">
      <c r="A6237" t="inlineStr">
        <is>
          <t>A 11795-2024</t>
        </is>
      </c>
      <c r="B6237" s="1" t="n">
        <v>45375.3290625</v>
      </c>
      <c r="C6237" s="1" t="n">
        <v>45952</v>
      </c>
      <c r="D6237" t="inlineStr">
        <is>
          <t>VÄSTRA GÖTALANDS LÄN</t>
        </is>
      </c>
      <c r="E6237" t="inlineStr">
        <is>
          <t>LIDKÖPING</t>
        </is>
      </c>
      <c r="G6237" t="n">
        <v>3.8</v>
      </c>
      <c r="H6237" t="n">
        <v>0</v>
      </c>
      <c r="I6237" t="n">
        <v>0</v>
      </c>
      <c r="J6237" t="n">
        <v>0</v>
      </c>
      <c r="K6237" t="n">
        <v>0</v>
      </c>
      <c r="L6237" t="n">
        <v>0</v>
      </c>
      <c r="M6237" t="n">
        <v>0</v>
      </c>
      <c r="N6237" t="n">
        <v>0</v>
      </c>
      <c r="O6237" t="n">
        <v>0</v>
      </c>
      <c r="P6237" t="n">
        <v>0</v>
      </c>
      <c r="Q6237" t="n">
        <v>0</v>
      </c>
      <c r="R6237" s="2" t="inlineStr"/>
    </row>
    <row r="6238" ht="15" customHeight="1">
      <c r="A6238" t="inlineStr">
        <is>
          <t>A 34774-2023</t>
        </is>
      </c>
      <c r="B6238" s="1" t="n">
        <v>45140</v>
      </c>
      <c r="C6238" s="1" t="n">
        <v>45952</v>
      </c>
      <c r="D6238" t="inlineStr">
        <is>
          <t>VÄSTRA GÖTALANDS LÄN</t>
        </is>
      </c>
      <c r="E6238" t="inlineStr">
        <is>
          <t>ULRICEHAMN</t>
        </is>
      </c>
      <c r="G6238" t="n">
        <v>3.6</v>
      </c>
      <c r="H6238" t="n">
        <v>0</v>
      </c>
      <c r="I6238" t="n">
        <v>0</v>
      </c>
      <c r="J6238" t="n">
        <v>0</v>
      </c>
      <c r="K6238" t="n">
        <v>0</v>
      </c>
      <c r="L6238" t="n">
        <v>0</v>
      </c>
      <c r="M6238" t="n">
        <v>0</v>
      </c>
      <c r="N6238" t="n">
        <v>0</v>
      </c>
      <c r="O6238" t="n">
        <v>0</v>
      </c>
      <c r="P6238" t="n">
        <v>0</v>
      </c>
      <c r="Q6238" t="n">
        <v>0</v>
      </c>
      <c r="R6238" s="2" t="inlineStr"/>
    </row>
    <row r="6239" ht="15" customHeight="1">
      <c r="A6239" t="inlineStr">
        <is>
          <t>A 34859-2023</t>
        </is>
      </c>
      <c r="B6239" s="1" t="n">
        <v>45142.30226851852</v>
      </c>
      <c r="C6239" s="1" t="n">
        <v>45952</v>
      </c>
      <c r="D6239" t="inlineStr">
        <is>
          <t>VÄSTRA GÖTALANDS LÄN</t>
        </is>
      </c>
      <c r="E6239" t="inlineStr">
        <is>
          <t>HJO</t>
        </is>
      </c>
      <c r="G6239" t="n">
        <v>2.1</v>
      </c>
      <c r="H6239" t="n">
        <v>0</v>
      </c>
      <c r="I6239" t="n">
        <v>0</v>
      </c>
      <c r="J6239" t="n">
        <v>0</v>
      </c>
      <c r="K6239" t="n">
        <v>0</v>
      </c>
      <c r="L6239" t="n">
        <v>0</v>
      </c>
      <c r="M6239" t="n">
        <v>0</v>
      </c>
      <c r="N6239" t="n">
        <v>0</v>
      </c>
      <c r="O6239" t="n">
        <v>0</v>
      </c>
      <c r="P6239" t="n">
        <v>0</v>
      </c>
      <c r="Q6239" t="n">
        <v>0</v>
      </c>
      <c r="R6239" s="2" t="inlineStr"/>
    </row>
    <row r="6240" ht="15" customHeight="1">
      <c r="A6240" t="inlineStr">
        <is>
          <t>A 5454-2025</t>
        </is>
      </c>
      <c r="B6240" s="1" t="n">
        <v>45692.98011574074</v>
      </c>
      <c r="C6240" s="1" t="n">
        <v>45952</v>
      </c>
      <c r="D6240" t="inlineStr">
        <is>
          <t>VÄSTRA GÖTALANDS LÄN</t>
        </is>
      </c>
      <c r="E6240" t="inlineStr">
        <is>
          <t>ORUST</t>
        </is>
      </c>
      <c r="G6240" t="n">
        <v>2.7</v>
      </c>
      <c r="H6240" t="n">
        <v>0</v>
      </c>
      <c r="I6240" t="n">
        <v>0</v>
      </c>
      <c r="J6240" t="n">
        <v>0</v>
      </c>
      <c r="K6240" t="n">
        <v>0</v>
      </c>
      <c r="L6240" t="n">
        <v>0</v>
      </c>
      <c r="M6240" t="n">
        <v>0</v>
      </c>
      <c r="N6240" t="n">
        <v>0</v>
      </c>
      <c r="O6240" t="n">
        <v>0</v>
      </c>
      <c r="P6240" t="n">
        <v>0</v>
      </c>
      <c r="Q6240" t="n">
        <v>0</v>
      </c>
      <c r="R6240" s="2" t="inlineStr"/>
    </row>
    <row r="6241" ht="15" customHeight="1">
      <c r="A6241" t="inlineStr">
        <is>
          <t>A 5470-2025</t>
        </is>
      </c>
      <c r="B6241" s="1" t="n">
        <v>45693.3281712963</v>
      </c>
      <c r="C6241" s="1" t="n">
        <v>45952</v>
      </c>
      <c r="D6241" t="inlineStr">
        <is>
          <t>VÄSTRA GÖTALANDS LÄN</t>
        </is>
      </c>
      <c r="E6241" t="inlineStr">
        <is>
          <t>SKÖVDE</t>
        </is>
      </c>
      <c r="G6241" t="n">
        <v>1.1</v>
      </c>
      <c r="H6241" t="n">
        <v>0</v>
      </c>
      <c r="I6241" t="n">
        <v>0</v>
      </c>
      <c r="J6241" t="n">
        <v>0</v>
      </c>
      <c r="K6241" t="n">
        <v>0</v>
      </c>
      <c r="L6241" t="n">
        <v>0</v>
      </c>
      <c r="M6241" t="n">
        <v>0</v>
      </c>
      <c r="N6241" t="n">
        <v>0</v>
      </c>
      <c r="O6241" t="n">
        <v>0</v>
      </c>
      <c r="P6241" t="n">
        <v>0</v>
      </c>
      <c r="Q6241" t="n">
        <v>0</v>
      </c>
      <c r="R6241" s="2" t="inlineStr"/>
    </row>
    <row r="6242" ht="15" customHeight="1">
      <c r="A6242" t="inlineStr">
        <is>
          <t>A 11123-2025</t>
        </is>
      </c>
      <c r="B6242" s="1" t="n">
        <v>45723.63846064815</v>
      </c>
      <c r="C6242" s="1" t="n">
        <v>45952</v>
      </c>
      <c r="D6242" t="inlineStr">
        <is>
          <t>VÄSTRA GÖTALANDS LÄN</t>
        </is>
      </c>
      <c r="E6242" t="inlineStr">
        <is>
          <t>MUNKEDAL</t>
        </is>
      </c>
      <c r="G6242" t="n">
        <v>3.3</v>
      </c>
      <c r="H6242" t="n">
        <v>0</v>
      </c>
      <c r="I6242" t="n">
        <v>0</v>
      </c>
      <c r="J6242" t="n">
        <v>0</v>
      </c>
      <c r="K6242" t="n">
        <v>0</v>
      </c>
      <c r="L6242" t="n">
        <v>0</v>
      </c>
      <c r="M6242" t="n">
        <v>0</v>
      </c>
      <c r="N6242" t="n">
        <v>0</v>
      </c>
      <c r="O6242" t="n">
        <v>0</v>
      </c>
      <c r="P6242" t="n">
        <v>0</v>
      </c>
      <c r="Q6242" t="n">
        <v>0</v>
      </c>
      <c r="R6242" s="2" t="inlineStr"/>
    </row>
    <row r="6243" ht="15" customHeight="1">
      <c r="A6243" t="inlineStr">
        <is>
          <t>A 26737-2023</t>
        </is>
      </c>
      <c r="B6243" s="1" t="n">
        <v>45093.42945601852</v>
      </c>
      <c r="C6243" s="1" t="n">
        <v>45952</v>
      </c>
      <c r="D6243" t="inlineStr">
        <is>
          <t>VÄSTRA GÖTALANDS LÄN</t>
        </is>
      </c>
      <c r="E6243" t="inlineStr">
        <is>
          <t>SKÖVDE</t>
        </is>
      </c>
      <c r="G6243" t="n">
        <v>0.7</v>
      </c>
      <c r="H6243" t="n">
        <v>0</v>
      </c>
      <c r="I6243" t="n">
        <v>0</v>
      </c>
      <c r="J6243" t="n">
        <v>0</v>
      </c>
      <c r="K6243" t="n">
        <v>0</v>
      </c>
      <c r="L6243" t="n">
        <v>0</v>
      </c>
      <c r="M6243" t="n">
        <v>0</v>
      </c>
      <c r="N6243" t="n">
        <v>0</v>
      </c>
      <c r="O6243" t="n">
        <v>0</v>
      </c>
      <c r="P6243" t="n">
        <v>0</v>
      </c>
      <c r="Q6243" t="n">
        <v>0</v>
      </c>
      <c r="R6243" s="2" t="inlineStr"/>
    </row>
    <row r="6244" ht="15" customHeight="1">
      <c r="A6244" t="inlineStr">
        <is>
          <t>A 11232-2025</t>
        </is>
      </c>
      <c r="B6244" s="1" t="n">
        <v>45726</v>
      </c>
      <c r="C6244" s="1" t="n">
        <v>45952</v>
      </c>
      <c r="D6244" t="inlineStr">
        <is>
          <t>VÄSTRA GÖTALANDS LÄN</t>
        </is>
      </c>
      <c r="E6244" t="inlineStr">
        <is>
          <t>LERUM</t>
        </is>
      </c>
      <c r="G6244" t="n">
        <v>0.1</v>
      </c>
      <c r="H6244" t="n">
        <v>0</v>
      </c>
      <c r="I6244" t="n">
        <v>0</v>
      </c>
      <c r="J6244" t="n">
        <v>0</v>
      </c>
      <c r="K6244" t="n">
        <v>0</v>
      </c>
      <c r="L6244" t="n">
        <v>0</v>
      </c>
      <c r="M6244" t="n">
        <v>0</v>
      </c>
      <c r="N6244" t="n">
        <v>0</v>
      </c>
      <c r="O6244" t="n">
        <v>0</v>
      </c>
      <c r="P6244" t="n">
        <v>0</v>
      </c>
      <c r="Q6244" t="n">
        <v>0</v>
      </c>
      <c r="R6244" s="2" t="inlineStr"/>
    </row>
    <row r="6245" ht="15" customHeight="1">
      <c r="A6245" t="inlineStr">
        <is>
          <t>A 13988-2025</t>
        </is>
      </c>
      <c r="B6245" s="1" t="n">
        <v>45739.38972222222</v>
      </c>
      <c r="C6245" s="1" t="n">
        <v>45952</v>
      </c>
      <c r="D6245" t="inlineStr">
        <is>
          <t>VÄSTRA GÖTALANDS LÄN</t>
        </is>
      </c>
      <c r="E6245" t="inlineStr">
        <is>
          <t>SVENLJUNGA</t>
        </is>
      </c>
      <c r="G6245" t="n">
        <v>2.1</v>
      </c>
      <c r="H6245" t="n">
        <v>0</v>
      </c>
      <c r="I6245" t="n">
        <v>0</v>
      </c>
      <c r="J6245" t="n">
        <v>0</v>
      </c>
      <c r="K6245" t="n">
        <v>0</v>
      </c>
      <c r="L6245" t="n">
        <v>0</v>
      </c>
      <c r="M6245" t="n">
        <v>0</v>
      </c>
      <c r="N6245" t="n">
        <v>0</v>
      </c>
      <c r="O6245" t="n">
        <v>0</v>
      </c>
      <c r="P6245" t="n">
        <v>0</v>
      </c>
      <c r="Q6245" t="n">
        <v>0</v>
      </c>
      <c r="R6245" s="2" t="inlineStr"/>
    </row>
    <row r="6246" ht="15" customHeight="1">
      <c r="A6246" t="inlineStr">
        <is>
          <t>A 11234-2025</t>
        </is>
      </c>
      <c r="B6246" s="1" t="n">
        <v>45726.36081018519</v>
      </c>
      <c r="C6246" s="1" t="n">
        <v>45952</v>
      </c>
      <c r="D6246" t="inlineStr">
        <is>
          <t>VÄSTRA GÖTALANDS LÄN</t>
        </is>
      </c>
      <c r="E6246" t="inlineStr">
        <is>
          <t>SVENLJUNGA</t>
        </is>
      </c>
      <c r="G6246" t="n">
        <v>4.2</v>
      </c>
      <c r="H6246" t="n">
        <v>0</v>
      </c>
      <c r="I6246" t="n">
        <v>0</v>
      </c>
      <c r="J6246" t="n">
        <v>0</v>
      </c>
      <c r="K6246" t="n">
        <v>0</v>
      </c>
      <c r="L6246" t="n">
        <v>0</v>
      </c>
      <c r="M6246" t="n">
        <v>0</v>
      </c>
      <c r="N6246" t="n">
        <v>0</v>
      </c>
      <c r="O6246" t="n">
        <v>0</v>
      </c>
      <c r="P6246" t="n">
        <v>0</v>
      </c>
      <c r="Q6246" t="n">
        <v>0</v>
      </c>
      <c r="R6246" s="2" t="inlineStr"/>
    </row>
    <row r="6247" ht="15" customHeight="1">
      <c r="A6247" t="inlineStr">
        <is>
          <t>A 22384-2023</t>
        </is>
      </c>
      <c r="B6247" s="1" t="n">
        <v>45070.6187037037</v>
      </c>
      <c r="C6247" s="1" t="n">
        <v>45952</v>
      </c>
      <c r="D6247" t="inlineStr">
        <is>
          <t>VÄSTRA GÖTALANDS LÄN</t>
        </is>
      </c>
      <c r="E6247" t="inlineStr">
        <is>
          <t>TRANEMO</t>
        </is>
      </c>
      <c r="G6247" t="n">
        <v>3.9</v>
      </c>
      <c r="H6247" t="n">
        <v>0</v>
      </c>
      <c r="I6247" t="n">
        <v>0</v>
      </c>
      <c r="J6247" t="n">
        <v>0</v>
      </c>
      <c r="K6247" t="n">
        <v>0</v>
      </c>
      <c r="L6247" t="n">
        <v>0</v>
      </c>
      <c r="M6247" t="n">
        <v>0</v>
      </c>
      <c r="N6247" t="n">
        <v>0</v>
      </c>
      <c r="O6247" t="n">
        <v>0</v>
      </c>
      <c r="P6247" t="n">
        <v>0</v>
      </c>
      <c r="Q6247" t="n">
        <v>0</v>
      </c>
      <c r="R6247" s="2" t="inlineStr"/>
    </row>
    <row r="6248" ht="15" customHeight="1">
      <c r="A6248" t="inlineStr">
        <is>
          <t>A 15699-2025</t>
        </is>
      </c>
      <c r="B6248" s="1" t="n">
        <v>45748.47081018519</v>
      </c>
      <c r="C6248" s="1" t="n">
        <v>45952</v>
      </c>
      <c r="D6248" t="inlineStr">
        <is>
          <t>VÄSTRA GÖTALANDS LÄN</t>
        </is>
      </c>
      <c r="E6248" t="inlineStr">
        <is>
          <t>KARLSBORG</t>
        </is>
      </c>
      <c r="G6248" t="n">
        <v>0.8</v>
      </c>
      <c r="H6248" t="n">
        <v>0</v>
      </c>
      <c r="I6248" t="n">
        <v>0</v>
      </c>
      <c r="J6248" t="n">
        <v>0</v>
      </c>
      <c r="K6248" t="n">
        <v>0</v>
      </c>
      <c r="L6248" t="n">
        <v>0</v>
      </c>
      <c r="M6248" t="n">
        <v>0</v>
      </c>
      <c r="N6248" t="n">
        <v>0</v>
      </c>
      <c r="O6248" t="n">
        <v>0</v>
      </c>
      <c r="P6248" t="n">
        <v>0</v>
      </c>
      <c r="Q6248" t="n">
        <v>0</v>
      </c>
      <c r="R6248" s="2" t="inlineStr"/>
    </row>
    <row r="6249" ht="15" customHeight="1">
      <c r="A6249" t="inlineStr">
        <is>
          <t>A 5506-2025</t>
        </is>
      </c>
      <c r="B6249" s="1" t="n">
        <v>45693.39181712963</v>
      </c>
      <c r="C6249" s="1" t="n">
        <v>45952</v>
      </c>
      <c r="D6249" t="inlineStr">
        <is>
          <t>VÄSTRA GÖTALANDS LÄN</t>
        </is>
      </c>
      <c r="E6249" t="inlineStr">
        <is>
          <t>FÄRGELANDA</t>
        </is>
      </c>
      <c r="G6249" t="n">
        <v>2.2</v>
      </c>
      <c r="H6249" t="n">
        <v>0</v>
      </c>
      <c r="I6249" t="n">
        <v>0</v>
      </c>
      <c r="J6249" t="n">
        <v>0</v>
      </c>
      <c r="K6249" t="n">
        <v>0</v>
      </c>
      <c r="L6249" t="n">
        <v>0</v>
      </c>
      <c r="M6249" t="n">
        <v>0</v>
      </c>
      <c r="N6249" t="n">
        <v>0</v>
      </c>
      <c r="O6249" t="n">
        <v>0</v>
      </c>
      <c r="P6249" t="n">
        <v>0</v>
      </c>
      <c r="Q6249" t="n">
        <v>0</v>
      </c>
      <c r="R6249" s="2" t="inlineStr"/>
    </row>
    <row r="6250" ht="15" customHeight="1">
      <c r="A6250" t="inlineStr">
        <is>
          <t>A 5509-2025</t>
        </is>
      </c>
      <c r="B6250" s="1" t="n">
        <v>45693.39619212963</v>
      </c>
      <c r="C6250" s="1" t="n">
        <v>45952</v>
      </c>
      <c r="D6250" t="inlineStr">
        <is>
          <t>VÄSTRA GÖTALANDS LÄN</t>
        </is>
      </c>
      <c r="E6250" t="inlineStr">
        <is>
          <t>MELLERUD</t>
        </is>
      </c>
      <c r="G6250" t="n">
        <v>1.4</v>
      </c>
      <c r="H6250" t="n">
        <v>0</v>
      </c>
      <c r="I6250" t="n">
        <v>0</v>
      </c>
      <c r="J6250" t="n">
        <v>0</v>
      </c>
      <c r="K6250" t="n">
        <v>0</v>
      </c>
      <c r="L6250" t="n">
        <v>0</v>
      </c>
      <c r="M6250" t="n">
        <v>0</v>
      </c>
      <c r="N6250" t="n">
        <v>0</v>
      </c>
      <c r="O6250" t="n">
        <v>0</v>
      </c>
      <c r="P6250" t="n">
        <v>0</v>
      </c>
      <c r="Q6250" t="n">
        <v>0</v>
      </c>
      <c r="R6250" s="2" t="inlineStr"/>
    </row>
    <row r="6251" ht="15" customHeight="1">
      <c r="A6251" t="inlineStr">
        <is>
          <t>A 15716-2025</t>
        </is>
      </c>
      <c r="B6251" s="1" t="n">
        <v>45748.50568287037</v>
      </c>
      <c r="C6251" s="1" t="n">
        <v>45952</v>
      </c>
      <c r="D6251" t="inlineStr">
        <is>
          <t>VÄSTRA GÖTALANDS LÄN</t>
        </is>
      </c>
      <c r="E6251" t="inlineStr">
        <is>
          <t>UDDEVALLA</t>
        </is>
      </c>
      <c r="G6251" t="n">
        <v>1.6</v>
      </c>
      <c r="H6251" t="n">
        <v>0</v>
      </c>
      <c r="I6251" t="n">
        <v>0</v>
      </c>
      <c r="J6251" t="n">
        <v>0</v>
      </c>
      <c r="K6251" t="n">
        <v>0</v>
      </c>
      <c r="L6251" t="n">
        <v>0</v>
      </c>
      <c r="M6251" t="n">
        <v>0</v>
      </c>
      <c r="N6251" t="n">
        <v>0</v>
      </c>
      <c r="O6251" t="n">
        <v>0</v>
      </c>
      <c r="P6251" t="n">
        <v>0</v>
      </c>
      <c r="Q6251" t="n">
        <v>0</v>
      </c>
      <c r="R6251" s="2" t="inlineStr"/>
    </row>
    <row r="6252" ht="15" customHeight="1">
      <c r="A6252" t="inlineStr">
        <is>
          <t>A 35610-2024</t>
        </is>
      </c>
      <c r="B6252" s="1" t="n">
        <v>45531</v>
      </c>
      <c r="C6252" s="1" t="n">
        <v>45952</v>
      </c>
      <c r="D6252" t="inlineStr">
        <is>
          <t>VÄSTRA GÖTALANDS LÄN</t>
        </is>
      </c>
      <c r="E6252" t="inlineStr">
        <is>
          <t>SKÖVDE</t>
        </is>
      </c>
      <c r="G6252" t="n">
        <v>11.7</v>
      </c>
      <c r="H6252" t="n">
        <v>0</v>
      </c>
      <c r="I6252" t="n">
        <v>0</v>
      </c>
      <c r="J6252" t="n">
        <v>0</v>
      </c>
      <c r="K6252" t="n">
        <v>0</v>
      </c>
      <c r="L6252" t="n">
        <v>0</v>
      </c>
      <c r="M6252" t="n">
        <v>0</v>
      </c>
      <c r="N6252" t="n">
        <v>0</v>
      </c>
      <c r="O6252" t="n">
        <v>0</v>
      </c>
      <c r="P6252" t="n">
        <v>0</v>
      </c>
      <c r="Q6252" t="n">
        <v>0</v>
      </c>
      <c r="R6252" s="2" t="inlineStr"/>
    </row>
    <row r="6253" ht="15" customHeight="1">
      <c r="A6253" t="inlineStr">
        <is>
          <t>A 19382-2023</t>
        </is>
      </c>
      <c r="B6253" s="1" t="n">
        <v>45049</v>
      </c>
      <c r="C6253" s="1" t="n">
        <v>45952</v>
      </c>
      <c r="D6253" t="inlineStr">
        <is>
          <t>VÄSTRA GÖTALANDS LÄN</t>
        </is>
      </c>
      <c r="E6253" t="inlineStr">
        <is>
          <t>DALS-ED</t>
        </is>
      </c>
      <c r="G6253" t="n">
        <v>1.1</v>
      </c>
      <c r="H6253" t="n">
        <v>0</v>
      </c>
      <c r="I6253" t="n">
        <v>0</v>
      </c>
      <c r="J6253" t="n">
        <v>0</v>
      </c>
      <c r="K6253" t="n">
        <v>0</v>
      </c>
      <c r="L6253" t="n">
        <v>0</v>
      </c>
      <c r="M6253" t="n">
        <v>0</v>
      </c>
      <c r="N6253" t="n">
        <v>0</v>
      </c>
      <c r="O6253" t="n">
        <v>0</v>
      </c>
      <c r="P6253" t="n">
        <v>0</v>
      </c>
      <c r="Q6253" t="n">
        <v>0</v>
      </c>
      <c r="R6253" s="2" t="inlineStr"/>
    </row>
    <row r="6254" ht="15" customHeight="1">
      <c r="A6254" t="inlineStr">
        <is>
          <t>A 6102-2023</t>
        </is>
      </c>
      <c r="B6254" s="1" t="n">
        <v>44964</v>
      </c>
      <c r="C6254" s="1" t="n">
        <v>45952</v>
      </c>
      <c r="D6254" t="inlineStr">
        <is>
          <t>VÄSTRA GÖTALANDS LÄN</t>
        </is>
      </c>
      <c r="E6254" t="inlineStr">
        <is>
          <t>LIDKÖPING</t>
        </is>
      </c>
      <c r="G6254" t="n">
        <v>0.8</v>
      </c>
      <c r="H6254" t="n">
        <v>0</v>
      </c>
      <c r="I6254" t="n">
        <v>0</v>
      </c>
      <c r="J6254" t="n">
        <v>0</v>
      </c>
      <c r="K6254" t="n">
        <v>0</v>
      </c>
      <c r="L6254" t="n">
        <v>0</v>
      </c>
      <c r="M6254" t="n">
        <v>0</v>
      </c>
      <c r="N6254" t="n">
        <v>0</v>
      </c>
      <c r="O6254" t="n">
        <v>0</v>
      </c>
      <c r="P6254" t="n">
        <v>0</v>
      </c>
      <c r="Q6254" t="n">
        <v>0</v>
      </c>
      <c r="R6254" s="2" t="inlineStr"/>
    </row>
    <row r="6255" ht="15" customHeight="1">
      <c r="A6255" t="inlineStr">
        <is>
          <t>A 29207-2024</t>
        </is>
      </c>
      <c r="B6255" s="1" t="n">
        <v>45482.61148148148</v>
      </c>
      <c r="C6255" s="1" t="n">
        <v>45952</v>
      </c>
      <c r="D6255" t="inlineStr">
        <is>
          <t>VÄSTRA GÖTALANDS LÄN</t>
        </is>
      </c>
      <c r="E6255" t="inlineStr">
        <is>
          <t>ULRICEHAMN</t>
        </is>
      </c>
      <c r="G6255" t="n">
        <v>0.6</v>
      </c>
      <c r="H6255" t="n">
        <v>0</v>
      </c>
      <c r="I6255" t="n">
        <v>0</v>
      </c>
      <c r="J6255" t="n">
        <v>0</v>
      </c>
      <c r="K6255" t="n">
        <v>0</v>
      </c>
      <c r="L6255" t="n">
        <v>0</v>
      </c>
      <c r="M6255" t="n">
        <v>0</v>
      </c>
      <c r="N6255" t="n">
        <v>0</v>
      </c>
      <c r="O6255" t="n">
        <v>0</v>
      </c>
      <c r="P6255" t="n">
        <v>0</v>
      </c>
      <c r="Q6255" t="n">
        <v>0</v>
      </c>
      <c r="R6255" s="2" t="inlineStr"/>
    </row>
    <row r="6256" ht="15" customHeight="1">
      <c r="A6256" t="inlineStr">
        <is>
          <t>A 15737-2025</t>
        </is>
      </c>
      <c r="B6256" s="1" t="n">
        <v>45748.54488425926</v>
      </c>
      <c r="C6256" s="1" t="n">
        <v>45952</v>
      </c>
      <c r="D6256" t="inlineStr">
        <is>
          <t>VÄSTRA GÖTALANDS LÄN</t>
        </is>
      </c>
      <c r="E6256" t="inlineStr">
        <is>
          <t>VARA</t>
        </is>
      </c>
      <c r="G6256" t="n">
        <v>1.6</v>
      </c>
      <c r="H6256" t="n">
        <v>0</v>
      </c>
      <c r="I6256" t="n">
        <v>0</v>
      </c>
      <c r="J6256" t="n">
        <v>0</v>
      </c>
      <c r="K6256" t="n">
        <v>0</v>
      </c>
      <c r="L6256" t="n">
        <v>0</v>
      </c>
      <c r="M6256" t="n">
        <v>0</v>
      </c>
      <c r="N6256" t="n">
        <v>0</v>
      </c>
      <c r="O6256" t="n">
        <v>0</v>
      </c>
      <c r="P6256" t="n">
        <v>0</v>
      </c>
      <c r="Q6256" t="n">
        <v>0</v>
      </c>
      <c r="R6256" s="2" t="inlineStr"/>
    </row>
    <row r="6257" ht="15" customHeight="1">
      <c r="A6257" t="inlineStr">
        <is>
          <t>A 60507-2020</t>
        </is>
      </c>
      <c r="B6257" s="1" t="n">
        <v>44153</v>
      </c>
      <c r="C6257" s="1" t="n">
        <v>45952</v>
      </c>
      <c r="D6257" t="inlineStr">
        <is>
          <t>VÄSTRA GÖTALANDS LÄN</t>
        </is>
      </c>
      <c r="E6257" t="inlineStr">
        <is>
          <t>MUNKEDAL</t>
        </is>
      </c>
      <c r="G6257" t="n">
        <v>12.4</v>
      </c>
      <c r="H6257" t="n">
        <v>0</v>
      </c>
      <c r="I6257" t="n">
        <v>0</v>
      </c>
      <c r="J6257" t="n">
        <v>0</v>
      </c>
      <c r="K6257" t="n">
        <v>0</v>
      </c>
      <c r="L6257" t="n">
        <v>0</v>
      </c>
      <c r="M6257" t="n">
        <v>0</v>
      </c>
      <c r="N6257" t="n">
        <v>0</v>
      </c>
      <c r="O6257" t="n">
        <v>0</v>
      </c>
      <c r="P6257" t="n">
        <v>0</v>
      </c>
      <c r="Q6257" t="n">
        <v>0</v>
      </c>
      <c r="R6257" s="2" t="inlineStr"/>
    </row>
    <row r="6258" ht="15" customHeight="1">
      <c r="A6258" t="inlineStr">
        <is>
          <t>A 907-2025</t>
        </is>
      </c>
      <c r="B6258" s="1" t="n">
        <v>45664</v>
      </c>
      <c r="C6258" s="1" t="n">
        <v>45952</v>
      </c>
      <c r="D6258" t="inlineStr">
        <is>
          <t>VÄSTRA GÖTALANDS LÄN</t>
        </is>
      </c>
      <c r="E6258" t="inlineStr">
        <is>
          <t>TÖREBODA</t>
        </is>
      </c>
      <c r="G6258" t="n">
        <v>1.8</v>
      </c>
      <c r="H6258" t="n">
        <v>0</v>
      </c>
      <c r="I6258" t="n">
        <v>0</v>
      </c>
      <c r="J6258" t="n">
        <v>0</v>
      </c>
      <c r="K6258" t="n">
        <v>0</v>
      </c>
      <c r="L6258" t="n">
        <v>0</v>
      </c>
      <c r="M6258" t="n">
        <v>0</v>
      </c>
      <c r="N6258" t="n">
        <v>0</v>
      </c>
      <c r="O6258" t="n">
        <v>0</v>
      </c>
      <c r="P6258" t="n">
        <v>0</v>
      </c>
      <c r="Q6258" t="n">
        <v>0</v>
      </c>
      <c r="R6258" s="2" t="inlineStr"/>
    </row>
    <row r="6259" ht="15" customHeight="1">
      <c r="A6259" t="inlineStr">
        <is>
          <t>A 912-2025</t>
        </is>
      </c>
      <c r="B6259" s="1" t="n">
        <v>45664</v>
      </c>
      <c r="C6259" s="1" t="n">
        <v>45952</v>
      </c>
      <c r="D6259" t="inlineStr">
        <is>
          <t>VÄSTRA GÖTALANDS LÄN</t>
        </is>
      </c>
      <c r="E6259" t="inlineStr">
        <is>
          <t>MUNKEDAL</t>
        </is>
      </c>
      <c r="F6259" t="inlineStr">
        <is>
          <t>Övriga Aktiebolag</t>
        </is>
      </c>
      <c r="G6259" t="n">
        <v>18</v>
      </c>
      <c r="H6259" t="n">
        <v>0</v>
      </c>
      <c r="I6259" t="n">
        <v>0</v>
      </c>
      <c r="J6259" t="n">
        <v>0</v>
      </c>
      <c r="K6259" t="n">
        <v>0</v>
      </c>
      <c r="L6259" t="n">
        <v>0</v>
      </c>
      <c r="M6259" t="n">
        <v>0</v>
      </c>
      <c r="N6259" t="n">
        <v>0</v>
      </c>
      <c r="O6259" t="n">
        <v>0</v>
      </c>
      <c r="P6259" t="n">
        <v>0</v>
      </c>
      <c r="Q6259" t="n">
        <v>0</v>
      </c>
      <c r="R6259" s="2" t="inlineStr"/>
    </row>
    <row r="6260" ht="15" customHeight="1">
      <c r="A6260" t="inlineStr">
        <is>
          <t>A 7308-2021</t>
        </is>
      </c>
      <c r="B6260" s="1" t="n">
        <v>44238</v>
      </c>
      <c r="C6260" s="1" t="n">
        <v>45952</v>
      </c>
      <c r="D6260" t="inlineStr">
        <is>
          <t>VÄSTRA GÖTALANDS LÄN</t>
        </is>
      </c>
      <c r="E6260" t="inlineStr">
        <is>
          <t>MARK</t>
        </is>
      </c>
      <c r="G6260" t="n">
        <v>0.8</v>
      </c>
      <c r="H6260" t="n">
        <v>0</v>
      </c>
      <c r="I6260" t="n">
        <v>0</v>
      </c>
      <c r="J6260" t="n">
        <v>0</v>
      </c>
      <c r="K6260" t="n">
        <v>0</v>
      </c>
      <c r="L6260" t="n">
        <v>0</v>
      </c>
      <c r="M6260" t="n">
        <v>0</v>
      </c>
      <c r="N6260" t="n">
        <v>0</v>
      </c>
      <c r="O6260" t="n">
        <v>0</v>
      </c>
      <c r="P6260" t="n">
        <v>0</v>
      </c>
      <c r="Q6260" t="n">
        <v>0</v>
      </c>
      <c r="R6260" s="2" t="inlineStr"/>
    </row>
    <row r="6261" ht="15" customHeight="1">
      <c r="A6261" t="inlineStr">
        <is>
          <t>A 8053-2021</t>
        </is>
      </c>
      <c r="B6261" s="1" t="n">
        <v>44243</v>
      </c>
      <c r="C6261" s="1" t="n">
        <v>45952</v>
      </c>
      <c r="D6261" t="inlineStr">
        <is>
          <t>VÄSTRA GÖTALANDS LÄN</t>
        </is>
      </c>
      <c r="E6261" t="inlineStr">
        <is>
          <t>LIDKÖPING</t>
        </is>
      </c>
      <c r="G6261" t="n">
        <v>3.6</v>
      </c>
      <c r="H6261" t="n">
        <v>0</v>
      </c>
      <c r="I6261" t="n">
        <v>0</v>
      </c>
      <c r="J6261" t="n">
        <v>0</v>
      </c>
      <c r="K6261" t="n">
        <v>0</v>
      </c>
      <c r="L6261" t="n">
        <v>0</v>
      </c>
      <c r="M6261" t="n">
        <v>0</v>
      </c>
      <c r="N6261" t="n">
        <v>0</v>
      </c>
      <c r="O6261" t="n">
        <v>0</v>
      </c>
      <c r="P6261" t="n">
        <v>0</v>
      </c>
      <c r="Q6261" t="n">
        <v>0</v>
      </c>
      <c r="R6261" s="2" t="inlineStr"/>
    </row>
    <row r="6262" ht="15" customHeight="1">
      <c r="A6262" t="inlineStr">
        <is>
          <t>A 949-2025</t>
        </is>
      </c>
      <c r="B6262" s="1" t="n">
        <v>45666.35835648148</v>
      </c>
      <c r="C6262" s="1" t="n">
        <v>45952</v>
      </c>
      <c r="D6262" t="inlineStr">
        <is>
          <t>VÄSTRA GÖTALANDS LÄN</t>
        </is>
      </c>
      <c r="E6262" t="inlineStr">
        <is>
          <t>ULRICEHAMN</t>
        </is>
      </c>
      <c r="G6262" t="n">
        <v>4.8</v>
      </c>
      <c r="H6262" t="n">
        <v>0</v>
      </c>
      <c r="I6262" t="n">
        <v>0</v>
      </c>
      <c r="J6262" t="n">
        <v>0</v>
      </c>
      <c r="K6262" t="n">
        <v>0</v>
      </c>
      <c r="L6262" t="n">
        <v>0</v>
      </c>
      <c r="M6262" t="n">
        <v>0</v>
      </c>
      <c r="N6262" t="n">
        <v>0</v>
      </c>
      <c r="O6262" t="n">
        <v>0</v>
      </c>
      <c r="P6262" t="n">
        <v>0</v>
      </c>
      <c r="Q6262" t="n">
        <v>0</v>
      </c>
      <c r="R6262" s="2" t="inlineStr"/>
    </row>
    <row r="6263" ht="15" customHeight="1">
      <c r="A6263" t="inlineStr">
        <is>
          <t>A 18849-2021</t>
        </is>
      </c>
      <c r="B6263" s="1" t="n">
        <v>44307</v>
      </c>
      <c r="C6263" s="1" t="n">
        <v>45952</v>
      </c>
      <c r="D6263" t="inlineStr">
        <is>
          <t>VÄSTRA GÖTALANDS LÄN</t>
        </is>
      </c>
      <c r="E6263" t="inlineStr">
        <is>
          <t>MELLERUD</t>
        </is>
      </c>
      <c r="G6263" t="n">
        <v>0.8</v>
      </c>
      <c r="H6263" t="n">
        <v>0</v>
      </c>
      <c r="I6263" t="n">
        <v>0</v>
      </c>
      <c r="J6263" t="n">
        <v>0</v>
      </c>
      <c r="K6263" t="n">
        <v>0</v>
      </c>
      <c r="L6263" t="n">
        <v>0</v>
      </c>
      <c r="M6263" t="n">
        <v>0</v>
      </c>
      <c r="N6263" t="n">
        <v>0</v>
      </c>
      <c r="O6263" t="n">
        <v>0</v>
      </c>
      <c r="P6263" t="n">
        <v>0</v>
      </c>
      <c r="Q6263" t="n">
        <v>0</v>
      </c>
      <c r="R6263" s="2" t="inlineStr"/>
    </row>
    <row r="6264" ht="15" customHeight="1">
      <c r="A6264" t="inlineStr">
        <is>
          <t>A 72868-2021</t>
        </is>
      </c>
      <c r="B6264" s="1" t="n">
        <v>44547.498125</v>
      </c>
      <c r="C6264" s="1" t="n">
        <v>45952</v>
      </c>
      <c r="D6264" t="inlineStr">
        <is>
          <t>VÄSTRA GÖTALANDS LÄN</t>
        </is>
      </c>
      <c r="E6264" t="inlineStr">
        <is>
          <t>TRANEMO</t>
        </is>
      </c>
      <c r="G6264" t="n">
        <v>1.6</v>
      </c>
      <c r="H6264" t="n">
        <v>0</v>
      </c>
      <c r="I6264" t="n">
        <v>0</v>
      </c>
      <c r="J6264" t="n">
        <v>0</v>
      </c>
      <c r="K6264" t="n">
        <v>0</v>
      </c>
      <c r="L6264" t="n">
        <v>0</v>
      </c>
      <c r="M6264" t="n">
        <v>0</v>
      </c>
      <c r="N6264" t="n">
        <v>0</v>
      </c>
      <c r="O6264" t="n">
        <v>0</v>
      </c>
      <c r="P6264" t="n">
        <v>0</v>
      </c>
      <c r="Q6264" t="n">
        <v>0</v>
      </c>
      <c r="R6264" s="2" t="inlineStr"/>
    </row>
    <row r="6265" ht="15" customHeight="1">
      <c r="A6265" t="inlineStr">
        <is>
          <t>A 72879-2021</t>
        </is>
      </c>
      <c r="B6265" s="1" t="n">
        <v>44547</v>
      </c>
      <c r="C6265" s="1" t="n">
        <v>45952</v>
      </c>
      <c r="D6265" t="inlineStr">
        <is>
          <t>VÄSTRA GÖTALANDS LÄN</t>
        </is>
      </c>
      <c r="E6265" t="inlineStr">
        <is>
          <t>GÖTENE</t>
        </is>
      </c>
      <c r="G6265" t="n">
        <v>1.9</v>
      </c>
      <c r="H6265" t="n">
        <v>0</v>
      </c>
      <c r="I6265" t="n">
        <v>0</v>
      </c>
      <c r="J6265" t="n">
        <v>0</v>
      </c>
      <c r="K6265" t="n">
        <v>0</v>
      </c>
      <c r="L6265" t="n">
        <v>0</v>
      </c>
      <c r="M6265" t="n">
        <v>0</v>
      </c>
      <c r="N6265" t="n">
        <v>0</v>
      </c>
      <c r="O6265" t="n">
        <v>0</v>
      </c>
      <c r="P6265" t="n">
        <v>0</v>
      </c>
      <c r="Q6265" t="n">
        <v>0</v>
      </c>
      <c r="R6265" s="2" t="inlineStr"/>
    </row>
    <row r="6266" ht="15" customHeight="1">
      <c r="A6266" t="inlineStr">
        <is>
          <t>A 37656-2023</t>
        </is>
      </c>
      <c r="B6266" s="1" t="n">
        <v>45159.51996527778</v>
      </c>
      <c r="C6266" s="1" t="n">
        <v>45952</v>
      </c>
      <c r="D6266" t="inlineStr">
        <is>
          <t>VÄSTRA GÖTALANDS LÄN</t>
        </is>
      </c>
      <c r="E6266" t="inlineStr">
        <is>
          <t>SKÖVDE</t>
        </is>
      </c>
      <c r="G6266" t="n">
        <v>3</v>
      </c>
      <c r="H6266" t="n">
        <v>0</v>
      </c>
      <c r="I6266" t="n">
        <v>0</v>
      </c>
      <c r="J6266" t="n">
        <v>0</v>
      </c>
      <c r="K6266" t="n">
        <v>0</v>
      </c>
      <c r="L6266" t="n">
        <v>0</v>
      </c>
      <c r="M6266" t="n">
        <v>0</v>
      </c>
      <c r="N6266" t="n">
        <v>0</v>
      </c>
      <c r="O6266" t="n">
        <v>0</v>
      </c>
      <c r="P6266" t="n">
        <v>0</v>
      </c>
      <c r="Q6266" t="n">
        <v>0</v>
      </c>
      <c r="R6266" s="2" t="inlineStr"/>
    </row>
    <row r="6267" ht="15" customHeight="1">
      <c r="A6267" t="inlineStr">
        <is>
          <t>A 18201-2023</t>
        </is>
      </c>
      <c r="B6267" s="1" t="n">
        <v>45041</v>
      </c>
      <c r="C6267" s="1" t="n">
        <v>45952</v>
      </c>
      <c r="D6267" t="inlineStr">
        <is>
          <t>VÄSTRA GÖTALANDS LÄN</t>
        </is>
      </c>
      <c r="E6267" t="inlineStr">
        <is>
          <t>ULRICEHAMN</t>
        </is>
      </c>
      <c r="G6267" t="n">
        <v>2.2</v>
      </c>
      <c r="H6267" t="n">
        <v>0</v>
      </c>
      <c r="I6267" t="n">
        <v>0</v>
      </c>
      <c r="J6267" t="n">
        <v>0</v>
      </c>
      <c r="K6267" t="n">
        <v>0</v>
      </c>
      <c r="L6267" t="n">
        <v>0</v>
      </c>
      <c r="M6267" t="n">
        <v>0</v>
      </c>
      <c r="N6267" t="n">
        <v>0</v>
      </c>
      <c r="O6267" t="n">
        <v>0</v>
      </c>
      <c r="P6267" t="n">
        <v>0</v>
      </c>
      <c r="Q6267" t="n">
        <v>0</v>
      </c>
      <c r="R6267" s="2" t="inlineStr"/>
    </row>
    <row r="6268" ht="15" customHeight="1">
      <c r="A6268" t="inlineStr">
        <is>
          <t>A 43113-2024</t>
        </is>
      </c>
      <c r="B6268" s="1" t="n">
        <v>45567</v>
      </c>
      <c r="C6268" s="1" t="n">
        <v>45952</v>
      </c>
      <c r="D6268" t="inlineStr">
        <is>
          <t>VÄSTRA GÖTALANDS LÄN</t>
        </is>
      </c>
      <c r="E6268" t="inlineStr">
        <is>
          <t>ÅMÅL</t>
        </is>
      </c>
      <c r="G6268" t="n">
        <v>8.699999999999999</v>
      </c>
      <c r="H6268" t="n">
        <v>0</v>
      </c>
      <c r="I6268" t="n">
        <v>0</v>
      </c>
      <c r="J6268" t="n">
        <v>0</v>
      </c>
      <c r="K6268" t="n">
        <v>0</v>
      </c>
      <c r="L6268" t="n">
        <v>0</v>
      </c>
      <c r="M6268" t="n">
        <v>0</v>
      </c>
      <c r="N6268" t="n">
        <v>0</v>
      </c>
      <c r="O6268" t="n">
        <v>0</v>
      </c>
      <c r="P6268" t="n">
        <v>0</v>
      </c>
      <c r="Q6268" t="n">
        <v>0</v>
      </c>
      <c r="R6268" s="2" t="inlineStr"/>
    </row>
    <row r="6269" ht="15" customHeight="1">
      <c r="A6269" t="inlineStr">
        <is>
          <t>A 5009-2025</t>
        </is>
      </c>
      <c r="B6269" s="1" t="n">
        <v>45691</v>
      </c>
      <c r="C6269" s="1" t="n">
        <v>45952</v>
      </c>
      <c r="D6269" t="inlineStr">
        <is>
          <t>VÄSTRA GÖTALANDS LÄN</t>
        </is>
      </c>
      <c r="E6269" t="inlineStr">
        <is>
          <t>VÄNERSBORG</t>
        </is>
      </c>
      <c r="G6269" t="n">
        <v>1.8</v>
      </c>
      <c r="H6269" t="n">
        <v>0</v>
      </c>
      <c r="I6269" t="n">
        <v>0</v>
      </c>
      <c r="J6269" t="n">
        <v>0</v>
      </c>
      <c r="K6269" t="n">
        <v>0</v>
      </c>
      <c r="L6269" t="n">
        <v>0</v>
      </c>
      <c r="M6269" t="n">
        <v>0</v>
      </c>
      <c r="N6269" t="n">
        <v>0</v>
      </c>
      <c r="O6269" t="n">
        <v>0</v>
      </c>
      <c r="P6269" t="n">
        <v>0</v>
      </c>
      <c r="Q6269" t="n">
        <v>0</v>
      </c>
      <c r="R6269" s="2" t="inlineStr"/>
    </row>
    <row r="6270" ht="15" customHeight="1">
      <c r="A6270" t="inlineStr">
        <is>
          <t>A 37109-2022</t>
        </is>
      </c>
      <c r="B6270" s="1" t="n">
        <v>44806.52274305555</v>
      </c>
      <c r="C6270" s="1" t="n">
        <v>45952</v>
      </c>
      <c r="D6270" t="inlineStr">
        <is>
          <t>VÄSTRA GÖTALANDS LÄN</t>
        </is>
      </c>
      <c r="E6270" t="inlineStr">
        <is>
          <t>SVENLJUNGA</t>
        </is>
      </c>
      <c r="G6270" t="n">
        <v>1.8</v>
      </c>
      <c r="H6270" t="n">
        <v>0</v>
      </c>
      <c r="I6270" t="n">
        <v>0</v>
      </c>
      <c r="J6270" t="n">
        <v>0</v>
      </c>
      <c r="K6270" t="n">
        <v>0</v>
      </c>
      <c r="L6270" t="n">
        <v>0</v>
      </c>
      <c r="M6270" t="n">
        <v>0</v>
      </c>
      <c r="N6270" t="n">
        <v>0</v>
      </c>
      <c r="O6270" t="n">
        <v>0</v>
      </c>
      <c r="P6270" t="n">
        <v>0</v>
      </c>
      <c r="Q6270" t="n">
        <v>0</v>
      </c>
      <c r="R6270" s="2" t="inlineStr"/>
    </row>
    <row r="6271" ht="15" customHeight="1">
      <c r="A6271" t="inlineStr">
        <is>
          <t>A 659-2025</t>
        </is>
      </c>
      <c r="B6271" s="1" t="n">
        <v>45664.68422453704</v>
      </c>
      <c r="C6271" s="1" t="n">
        <v>45952</v>
      </c>
      <c r="D6271" t="inlineStr">
        <is>
          <t>VÄSTRA GÖTALANDS LÄN</t>
        </is>
      </c>
      <c r="E6271" t="inlineStr">
        <is>
          <t>UDDEVALLA</t>
        </is>
      </c>
      <c r="G6271" t="n">
        <v>3.5</v>
      </c>
      <c r="H6271" t="n">
        <v>0</v>
      </c>
      <c r="I6271" t="n">
        <v>0</v>
      </c>
      <c r="J6271" t="n">
        <v>0</v>
      </c>
      <c r="K6271" t="n">
        <v>0</v>
      </c>
      <c r="L6271" t="n">
        <v>0</v>
      </c>
      <c r="M6271" t="n">
        <v>0</v>
      </c>
      <c r="N6271" t="n">
        <v>0</v>
      </c>
      <c r="O6271" t="n">
        <v>0</v>
      </c>
      <c r="P6271" t="n">
        <v>0</v>
      </c>
      <c r="Q6271" t="n">
        <v>0</v>
      </c>
      <c r="R6271" s="2" t="inlineStr"/>
    </row>
    <row r="6272" ht="15" customHeight="1">
      <c r="A6272" t="inlineStr">
        <is>
          <t>A 696-2025</t>
        </is>
      </c>
      <c r="B6272" s="1" t="n">
        <v>45665.32771990741</v>
      </c>
      <c r="C6272" s="1" t="n">
        <v>45952</v>
      </c>
      <c r="D6272" t="inlineStr">
        <is>
          <t>VÄSTRA GÖTALANDS LÄN</t>
        </is>
      </c>
      <c r="E6272" t="inlineStr">
        <is>
          <t>LIDKÖPING</t>
        </is>
      </c>
      <c r="G6272" t="n">
        <v>1</v>
      </c>
      <c r="H6272" t="n">
        <v>0</v>
      </c>
      <c r="I6272" t="n">
        <v>0</v>
      </c>
      <c r="J6272" t="n">
        <v>0</v>
      </c>
      <c r="K6272" t="n">
        <v>0</v>
      </c>
      <c r="L6272" t="n">
        <v>0</v>
      </c>
      <c r="M6272" t="n">
        <v>0</v>
      </c>
      <c r="N6272" t="n">
        <v>0</v>
      </c>
      <c r="O6272" t="n">
        <v>0</v>
      </c>
      <c r="P6272" t="n">
        <v>0</v>
      </c>
      <c r="Q6272" t="n">
        <v>0</v>
      </c>
      <c r="R6272" s="2" t="inlineStr"/>
    </row>
    <row r="6273" ht="15" customHeight="1">
      <c r="A6273" t="inlineStr">
        <is>
          <t>A 52272-2023</t>
        </is>
      </c>
      <c r="B6273" s="1" t="n">
        <v>45224</v>
      </c>
      <c r="C6273" s="1" t="n">
        <v>45952</v>
      </c>
      <c r="D6273" t="inlineStr">
        <is>
          <t>VÄSTRA GÖTALANDS LÄN</t>
        </is>
      </c>
      <c r="E6273" t="inlineStr">
        <is>
          <t>TRANEMO</t>
        </is>
      </c>
      <c r="F6273" t="inlineStr">
        <is>
          <t>Sveaskog</t>
        </is>
      </c>
      <c r="G6273" t="n">
        <v>1.4</v>
      </c>
      <c r="H6273" t="n">
        <v>0</v>
      </c>
      <c r="I6273" t="n">
        <v>0</v>
      </c>
      <c r="J6273" t="n">
        <v>0</v>
      </c>
      <c r="K6273" t="n">
        <v>0</v>
      </c>
      <c r="L6273" t="n">
        <v>0</v>
      </c>
      <c r="M6273" t="n">
        <v>0</v>
      </c>
      <c r="N6273" t="n">
        <v>0</v>
      </c>
      <c r="O6273" t="n">
        <v>0</v>
      </c>
      <c r="P6273" t="n">
        <v>0</v>
      </c>
      <c r="Q6273" t="n">
        <v>0</v>
      </c>
      <c r="R6273" s="2" t="inlineStr"/>
    </row>
    <row r="6274" ht="15" customHeight="1">
      <c r="A6274" t="inlineStr">
        <is>
          <t>A 9698-2023</t>
        </is>
      </c>
      <c r="B6274" s="1" t="n">
        <v>44984.4656712963</v>
      </c>
      <c r="C6274" s="1" t="n">
        <v>45952</v>
      </c>
      <c r="D6274" t="inlineStr">
        <is>
          <t>VÄSTRA GÖTALANDS LÄN</t>
        </is>
      </c>
      <c r="E6274" t="inlineStr">
        <is>
          <t>BENGTSFORS</t>
        </is>
      </c>
      <c r="G6274" t="n">
        <v>2.6</v>
      </c>
      <c r="H6274" t="n">
        <v>0</v>
      </c>
      <c r="I6274" t="n">
        <v>0</v>
      </c>
      <c r="J6274" t="n">
        <v>0</v>
      </c>
      <c r="K6274" t="n">
        <v>0</v>
      </c>
      <c r="L6274" t="n">
        <v>0</v>
      </c>
      <c r="M6274" t="n">
        <v>0</v>
      </c>
      <c r="N6274" t="n">
        <v>0</v>
      </c>
      <c r="O6274" t="n">
        <v>0</v>
      </c>
      <c r="P6274" t="n">
        <v>0</v>
      </c>
      <c r="Q6274" t="n">
        <v>0</v>
      </c>
      <c r="R6274" s="2" t="inlineStr"/>
    </row>
    <row r="6275" ht="15" customHeight="1">
      <c r="A6275" t="inlineStr">
        <is>
          <t>A 48850-2023</t>
        </is>
      </c>
      <c r="B6275" s="1" t="n">
        <v>45209</v>
      </c>
      <c r="C6275" s="1" t="n">
        <v>45952</v>
      </c>
      <c r="D6275" t="inlineStr">
        <is>
          <t>VÄSTRA GÖTALANDS LÄN</t>
        </is>
      </c>
      <c r="E6275" t="inlineStr">
        <is>
          <t>FÄRGELANDA</t>
        </is>
      </c>
      <c r="G6275" t="n">
        <v>7.5</v>
      </c>
      <c r="H6275" t="n">
        <v>0</v>
      </c>
      <c r="I6275" t="n">
        <v>0</v>
      </c>
      <c r="J6275" t="n">
        <v>0</v>
      </c>
      <c r="K6275" t="n">
        <v>0</v>
      </c>
      <c r="L6275" t="n">
        <v>0</v>
      </c>
      <c r="M6275" t="n">
        <v>0</v>
      </c>
      <c r="N6275" t="n">
        <v>0</v>
      </c>
      <c r="O6275" t="n">
        <v>0</v>
      </c>
      <c r="P6275" t="n">
        <v>0</v>
      </c>
      <c r="Q6275" t="n">
        <v>0</v>
      </c>
      <c r="R6275" s="2" t="inlineStr"/>
    </row>
    <row r="6276" ht="15" customHeight="1">
      <c r="A6276" t="inlineStr">
        <is>
          <t>A 52304-2023</t>
        </is>
      </c>
      <c r="B6276" s="1" t="n">
        <v>45224</v>
      </c>
      <c r="C6276" s="1" t="n">
        <v>45952</v>
      </c>
      <c r="D6276" t="inlineStr">
        <is>
          <t>VÄSTRA GÖTALANDS LÄN</t>
        </is>
      </c>
      <c r="E6276" t="inlineStr">
        <is>
          <t>ULRICEHAMN</t>
        </is>
      </c>
      <c r="G6276" t="n">
        <v>2.1</v>
      </c>
      <c r="H6276" t="n">
        <v>0</v>
      </c>
      <c r="I6276" t="n">
        <v>0</v>
      </c>
      <c r="J6276" t="n">
        <v>0</v>
      </c>
      <c r="K6276" t="n">
        <v>0</v>
      </c>
      <c r="L6276" t="n">
        <v>0</v>
      </c>
      <c r="M6276" t="n">
        <v>0</v>
      </c>
      <c r="N6276" t="n">
        <v>0</v>
      </c>
      <c r="O6276" t="n">
        <v>0</v>
      </c>
      <c r="P6276" t="n">
        <v>0</v>
      </c>
      <c r="Q6276" t="n">
        <v>0</v>
      </c>
      <c r="R6276" s="2" t="inlineStr"/>
    </row>
    <row r="6277" ht="15" customHeight="1">
      <c r="A6277" t="inlineStr">
        <is>
          <t>A 53476-2023</t>
        </is>
      </c>
      <c r="B6277" s="1" t="n">
        <v>45230.33737268519</v>
      </c>
      <c r="C6277" s="1" t="n">
        <v>45952</v>
      </c>
      <c r="D6277" t="inlineStr">
        <is>
          <t>VÄSTRA GÖTALANDS LÄN</t>
        </is>
      </c>
      <c r="E6277" t="inlineStr">
        <is>
          <t>ALE</t>
        </is>
      </c>
      <c r="G6277" t="n">
        <v>1.9</v>
      </c>
      <c r="H6277" t="n">
        <v>0</v>
      </c>
      <c r="I6277" t="n">
        <v>0</v>
      </c>
      <c r="J6277" t="n">
        <v>0</v>
      </c>
      <c r="K6277" t="n">
        <v>0</v>
      </c>
      <c r="L6277" t="n">
        <v>0</v>
      </c>
      <c r="M6277" t="n">
        <v>0</v>
      </c>
      <c r="N6277" t="n">
        <v>0</v>
      </c>
      <c r="O6277" t="n">
        <v>0</v>
      </c>
      <c r="P6277" t="n">
        <v>0</v>
      </c>
      <c r="Q6277" t="n">
        <v>0</v>
      </c>
      <c r="R6277" s="2" t="inlineStr"/>
    </row>
    <row r="6278" ht="15" customHeight="1">
      <c r="A6278" t="inlineStr">
        <is>
          <t>A 7491-2025</t>
        </is>
      </c>
      <c r="B6278" s="1" t="n">
        <v>45705.48096064815</v>
      </c>
      <c r="C6278" s="1" t="n">
        <v>45952</v>
      </c>
      <c r="D6278" t="inlineStr">
        <is>
          <t>VÄSTRA GÖTALANDS LÄN</t>
        </is>
      </c>
      <c r="E6278" t="inlineStr">
        <is>
          <t>MARIESTAD</t>
        </is>
      </c>
      <c r="G6278" t="n">
        <v>2.7</v>
      </c>
      <c r="H6278" t="n">
        <v>0</v>
      </c>
      <c r="I6278" t="n">
        <v>0</v>
      </c>
      <c r="J6278" t="n">
        <v>0</v>
      </c>
      <c r="K6278" t="n">
        <v>0</v>
      </c>
      <c r="L6278" t="n">
        <v>0</v>
      </c>
      <c r="M6278" t="n">
        <v>0</v>
      </c>
      <c r="N6278" t="n">
        <v>0</v>
      </c>
      <c r="O6278" t="n">
        <v>0</v>
      </c>
      <c r="P6278" t="n">
        <v>0</v>
      </c>
      <c r="Q6278" t="n">
        <v>0</v>
      </c>
      <c r="R6278" s="2" t="inlineStr"/>
    </row>
    <row r="6279" ht="15" customHeight="1">
      <c r="A6279" t="inlineStr">
        <is>
          <t>A 7494-2025</t>
        </is>
      </c>
      <c r="B6279" s="1" t="n">
        <v>45705.48537037037</v>
      </c>
      <c r="C6279" s="1" t="n">
        <v>45952</v>
      </c>
      <c r="D6279" t="inlineStr">
        <is>
          <t>VÄSTRA GÖTALANDS LÄN</t>
        </is>
      </c>
      <c r="E6279" t="inlineStr">
        <is>
          <t>MARIESTAD</t>
        </is>
      </c>
      <c r="G6279" t="n">
        <v>11.2</v>
      </c>
      <c r="H6279" t="n">
        <v>0</v>
      </c>
      <c r="I6279" t="n">
        <v>0</v>
      </c>
      <c r="J6279" t="n">
        <v>0</v>
      </c>
      <c r="K6279" t="n">
        <v>0</v>
      </c>
      <c r="L6279" t="n">
        <v>0</v>
      </c>
      <c r="M6279" t="n">
        <v>0</v>
      </c>
      <c r="N6279" t="n">
        <v>0</v>
      </c>
      <c r="O6279" t="n">
        <v>0</v>
      </c>
      <c r="P6279" t="n">
        <v>0</v>
      </c>
      <c r="Q6279" t="n">
        <v>0</v>
      </c>
      <c r="R6279" s="2" t="inlineStr"/>
    </row>
    <row r="6280" ht="15" customHeight="1">
      <c r="A6280" t="inlineStr">
        <is>
          <t>A 30639-2024</t>
        </is>
      </c>
      <c r="B6280" s="1" t="n">
        <v>45495.56979166667</v>
      </c>
      <c r="C6280" s="1" t="n">
        <v>45952</v>
      </c>
      <c r="D6280" t="inlineStr">
        <is>
          <t>VÄSTRA GÖTALANDS LÄN</t>
        </is>
      </c>
      <c r="E6280" t="inlineStr">
        <is>
          <t>UDDEVALLA</t>
        </is>
      </c>
      <c r="G6280" t="n">
        <v>2.9</v>
      </c>
      <c r="H6280" t="n">
        <v>0</v>
      </c>
      <c r="I6280" t="n">
        <v>0</v>
      </c>
      <c r="J6280" t="n">
        <v>0</v>
      </c>
      <c r="K6280" t="n">
        <v>0</v>
      </c>
      <c r="L6280" t="n">
        <v>0</v>
      </c>
      <c r="M6280" t="n">
        <v>0</v>
      </c>
      <c r="N6280" t="n">
        <v>0</v>
      </c>
      <c r="O6280" t="n">
        <v>0</v>
      </c>
      <c r="P6280" t="n">
        <v>0</v>
      </c>
      <c r="Q6280" t="n">
        <v>0</v>
      </c>
      <c r="R6280" s="2" t="inlineStr"/>
    </row>
    <row r="6281" ht="15" customHeight="1">
      <c r="A6281" t="inlineStr">
        <is>
          <t>A 10401-2024</t>
        </is>
      </c>
      <c r="B6281" s="1" t="n">
        <v>45365.68392361111</v>
      </c>
      <c r="C6281" s="1" t="n">
        <v>45952</v>
      </c>
      <c r="D6281" t="inlineStr">
        <is>
          <t>VÄSTRA GÖTALANDS LÄN</t>
        </is>
      </c>
      <c r="E6281" t="inlineStr">
        <is>
          <t>MELLERUD</t>
        </is>
      </c>
      <c r="G6281" t="n">
        <v>7.6</v>
      </c>
      <c r="H6281" t="n">
        <v>0</v>
      </c>
      <c r="I6281" t="n">
        <v>0</v>
      </c>
      <c r="J6281" t="n">
        <v>0</v>
      </c>
      <c r="K6281" t="n">
        <v>0</v>
      </c>
      <c r="L6281" t="n">
        <v>0</v>
      </c>
      <c r="M6281" t="n">
        <v>0</v>
      </c>
      <c r="N6281" t="n">
        <v>0</v>
      </c>
      <c r="O6281" t="n">
        <v>0</v>
      </c>
      <c r="P6281" t="n">
        <v>0</v>
      </c>
      <c r="Q6281" t="n">
        <v>0</v>
      </c>
      <c r="R6281" s="2" t="inlineStr"/>
    </row>
    <row r="6282" ht="15" customHeight="1">
      <c r="A6282" t="inlineStr">
        <is>
          <t>A 2391-2025</t>
        </is>
      </c>
      <c r="B6282" s="1" t="n">
        <v>45674.33168981481</v>
      </c>
      <c r="C6282" s="1" t="n">
        <v>45952</v>
      </c>
      <c r="D6282" t="inlineStr">
        <is>
          <t>VÄSTRA GÖTALANDS LÄN</t>
        </is>
      </c>
      <c r="E6282" t="inlineStr">
        <is>
          <t>MARIESTAD</t>
        </is>
      </c>
      <c r="G6282" t="n">
        <v>1.7</v>
      </c>
      <c r="H6282" t="n">
        <v>0</v>
      </c>
      <c r="I6282" t="n">
        <v>0</v>
      </c>
      <c r="J6282" t="n">
        <v>0</v>
      </c>
      <c r="K6282" t="n">
        <v>0</v>
      </c>
      <c r="L6282" t="n">
        <v>0</v>
      </c>
      <c r="M6282" t="n">
        <v>0</v>
      </c>
      <c r="N6282" t="n">
        <v>0</v>
      </c>
      <c r="O6282" t="n">
        <v>0</v>
      </c>
      <c r="P6282" t="n">
        <v>0</v>
      </c>
      <c r="Q6282" t="n">
        <v>0</v>
      </c>
      <c r="R6282" s="2" t="inlineStr"/>
    </row>
    <row r="6283" ht="15" customHeight="1">
      <c r="A6283" t="inlineStr">
        <is>
          <t>A 65120-2023</t>
        </is>
      </c>
      <c r="B6283" s="1" t="n">
        <v>45287</v>
      </c>
      <c r="C6283" s="1" t="n">
        <v>45952</v>
      </c>
      <c r="D6283" t="inlineStr">
        <is>
          <t>VÄSTRA GÖTALANDS LÄN</t>
        </is>
      </c>
      <c r="E6283" t="inlineStr">
        <is>
          <t>VÄNERSBORG</t>
        </is>
      </c>
      <c r="G6283" t="n">
        <v>11.4</v>
      </c>
      <c r="H6283" t="n">
        <v>0</v>
      </c>
      <c r="I6283" t="n">
        <v>0</v>
      </c>
      <c r="J6283" t="n">
        <v>0</v>
      </c>
      <c r="K6283" t="n">
        <v>0</v>
      </c>
      <c r="L6283" t="n">
        <v>0</v>
      </c>
      <c r="M6283" t="n">
        <v>0</v>
      </c>
      <c r="N6283" t="n">
        <v>0</v>
      </c>
      <c r="O6283" t="n">
        <v>0</v>
      </c>
      <c r="P6283" t="n">
        <v>0</v>
      </c>
      <c r="Q6283" t="n">
        <v>0</v>
      </c>
      <c r="R6283" s="2" t="inlineStr"/>
    </row>
    <row r="6284" ht="15" customHeight="1">
      <c r="A6284" t="inlineStr">
        <is>
          <t>A 51154-2023</t>
        </is>
      </c>
      <c r="B6284" s="1" t="n">
        <v>45219</v>
      </c>
      <c r="C6284" s="1" t="n">
        <v>45952</v>
      </c>
      <c r="D6284" t="inlineStr">
        <is>
          <t>VÄSTRA GÖTALANDS LÄN</t>
        </is>
      </c>
      <c r="E6284" t="inlineStr">
        <is>
          <t>HÄRRYDA</t>
        </is>
      </c>
      <c r="G6284" t="n">
        <v>1.1</v>
      </c>
      <c r="H6284" t="n">
        <v>0</v>
      </c>
      <c r="I6284" t="n">
        <v>0</v>
      </c>
      <c r="J6284" t="n">
        <v>0</v>
      </c>
      <c r="K6284" t="n">
        <v>0</v>
      </c>
      <c r="L6284" t="n">
        <v>0</v>
      </c>
      <c r="M6284" t="n">
        <v>0</v>
      </c>
      <c r="N6284" t="n">
        <v>0</v>
      </c>
      <c r="O6284" t="n">
        <v>0</v>
      </c>
      <c r="P6284" t="n">
        <v>0</v>
      </c>
      <c r="Q6284" t="n">
        <v>0</v>
      </c>
      <c r="R6284" s="2" t="inlineStr"/>
    </row>
    <row r="6285" ht="15" customHeight="1">
      <c r="A6285" t="inlineStr">
        <is>
          <t>A 51157-2023</t>
        </is>
      </c>
      <c r="B6285" s="1" t="n">
        <v>45219</v>
      </c>
      <c r="C6285" s="1" t="n">
        <v>45952</v>
      </c>
      <c r="D6285" t="inlineStr">
        <is>
          <t>VÄSTRA GÖTALANDS LÄN</t>
        </is>
      </c>
      <c r="E6285" t="inlineStr">
        <is>
          <t>HÄRRYDA</t>
        </is>
      </c>
      <c r="G6285" t="n">
        <v>2.2</v>
      </c>
      <c r="H6285" t="n">
        <v>0</v>
      </c>
      <c r="I6285" t="n">
        <v>0</v>
      </c>
      <c r="J6285" t="n">
        <v>0</v>
      </c>
      <c r="K6285" t="n">
        <v>0</v>
      </c>
      <c r="L6285" t="n">
        <v>0</v>
      </c>
      <c r="M6285" t="n">
        <v>0</v>
      </c>
      <c r="N6285" t="n">
        <v>0</v>
      </c>
      <c r="O6285" t="n">
        <v>0</v>
      </c>
      <c r="P6285" t="n">
        <v>0</v>
      </c>
      <c r="Q6285" t="n">
        <v>0</v>
      </c>
      <c r="R6285" s="2" t="inlineStr"/>
    </row>
    <row r="6286" ht="15" customHeight="1">
      <c r="A6286" t="inlineStr">
        <is>
          <t>A 6617-2023</t>
        </is>
      </c>
      <c r="B6286" s="1" t="n">
        <v>44966</v>
      </c>
      <c r="C6286" s="1" t="n">
        <v>45952</v>
      </c>
      <c r="D6286" t="inlineStr">
        <is>
          <t>VÄSTRA GÖTALANDS LÄN</t>
        </is>
      </c>
      <c r="E6286" t="inlineStr">
        <is>
          <t>BENGTSFORS</t>
        </is>
      </c>
      <c r="G6286" t="n">
        <v>1.8</v>
      </c>
      <c r="H6286" t="n">
        <v>0</v>
      </c>
      <c r="I6286" t="n">
        <v>0</v>
      </c>
      <c r="J6286" t="n">
        <v>0</v>
      </c>
      <c r="K6286" t="n">
        <v>0</v>
      </c>
      <c r="L6286" t="n">
        <v>0</v>
      </c>
      <c r="M6286" t="n">
        <v>0</v>
      </c>
      <c r="N6286" t="n">
        <v>0</v>
      </c>
      <c r="O6286" t="n">
        <v>0</v>
      </c>
      <c r="P6286" t="n">
        <v>0</v>
      </c>
      <c r="Q6286" t="n">
        <v>0</v>
      </c>
      <c r="R6286" s="2" t="inlineStr"/>
    </row>
    <row r="6287" ht="15" customHeight="1">
      <c r="A6287" t="inlineStr">
        <is>
          <t>A 60926-2022</t>
        </is>
      </c>
      <c r="B6287" s="1" t="n">
        <v>44914.61563657408</v>
      </c>
      <c r="C6287" s="1" t="n">
        <v>45952</v>
      </c>
      <c r="D6287" t="inlineStr">
        <is>
          <t>VÄSTRA GÖTALANDS LÄN</t>
        </is>
      </c>
      <c r="E6287" t="inlineStr">
        <is>
          <t>BENGTSFORS</t>
        </is>
      </c>
      <c r="G6287" t="n">
        <v>6.5</v>
      </c>
      <c r="H6287" t="n">
        <v>0</v>
      </c>
      <c r="I6287" t="n">
        <v>0</v>
      </c>
      <c r="J6287" t="n">
        <v>0</v>
      </c>
      <c r="K6287" t="n">
        <v>0</v>
      </c>
      <c r="L6287" t="n">
        <v>0</v>
      </c>
      <c r="M6287" t="n">
        <v>0</v>
      </c>
      <c r="N6287" t="n">
        <v>0</v>
      </c>
      <c r="O6287" t="n">
        <v>0</v>
      </c>
      <c r="P6287" t="n">
        <v>0</v>
      </c>
      <c r="Q6287" t="n">
        <v>0</v>
      </c>
      <c r="R6287" s="2" t="inlineStr"/>
    </row>
    <row r="6288" ht="15" customHeight="1">
      <c r="A6288" t="inlineStr">
        <is>
          <t>A 60931-2022</t>
        </is>
      </c>
      <c r="B6288" s="1" t="n">
        <v>44914.61763888889</v>
      </c>
      <c r="C6288" s="1" t="n">
        <v>45952</v>
      </c>
      <c r="D6288" t="inlineStr">
        <is>
          <t>VÄSTRA GÖTALANDS LÄN</t>
        </is>
      </c>
      <c r="E6288" t="inlineStr">
        <is>
          <t>BORÅS</t>
        </is>
      </c>
      <c r="G6288" t="n">
        <v>1.1</v>
      </c>
      <c r="H6288" t="n">
        <v>0</v>
      </c>
      <c r="I6288" t="n">
        <v>0</v>
      </c>
      <c r="J6288" t="n">
        <v>0</v>
      </c>
      <c r="K6288" t="n">
        <v>0</v>
      </c>
      <c r="L6288" t="n">
        <v>0</v>
      </c>
      <c r="M6288" t="n">
        <v>0</v>
      </c>
      <c r="N6288" t="n">
        <v>0</v>
      </c>
      <c r="O6288" t="n">
        <v>0</v>
      </c>
      <c r="P6288" t="n">
        <v>0</v>
      </c>
      <c r="Q6288" t="n">
        <v>0</v>
      </c>
      <c r="R6288" s="2" t="inlineStr"/>
    </row>
    <row r="6289" ht="15" customHeight="1">
      <c r="A6289" t="inlineStr">
        <is>
          <t>A 54293-2023</t>
        </is>
      </c>
      <c r="B6289" s="1" t="n">
        <v>45232.72627314815</v>
      </c>
      <c r="C6289" s="1" t="n">
        <v>45952</v>
      </c>
      <c r="D6289" t="inlineStr">
        <is>
          <t>VÄSTRA GÖTALANDS LÄN</t>
        </is>
      </c>
      <c r="E6289" t="inlineStr">
        <is>
          <t>VARA</t>
        </is>
      </c>
      <c r="G6289" t="n">
        <v>0</v>
      </c>
      <c r="H6289" t="n">
        <v>0</v>
      </c>
      <c r="I6289" t="n">
        <v>0</v>
      </c>
      <c r="J6289" t="n">
        <v>0</v>
      </c>
      <c r="K6289" t="n">
        <v>0</v>
      </c>
      <c r="L6289" t="n">
        <v>0</v>
      </c>
      <c r="M6289" t="n">
        <v>0</v>
      </c>
      <c r="N6289" t="n">
        <v>0</v>
      </c>
      <c r="O6289" t="n">
        <v>0</v>
      </c>
      <c r="P6289" t="n">
        <v>0</v>
      </c>
      <c r="Q6289" t="n">
        <v>0</v>
      </c>
      <c r="R6289" s="2" t="inlineStr"/>
    </row>
    <row r="6290" ht="15" customHeight="1">
      <c r="A6290" t="inlineStr">
        <is>
          <t>A 29798-2024</t>
        </is>
      </c>
      <c r="B6290" s="1" t="n">
        <v>45485.48961805556</v>
      </c>
      <c r="C6290" s="1" t="n">
        <v>45952</v>
      </c>
      <c r="D6290" t="inlineStr">
        <is>
          <t>VÄSTRA GÖTALANDS LÄN</t>
        </is>
      </c>
      <c r="E6290" t="inlineStr">
        <is>
          <t>HJO</t>
        </is>
      </c>
      <c r="G6290" t="n">
        <v>5.2</v>
      </c>
      <c r="H6290" t="n">
        <v>0</v>
      </c>
      <c r="I6290" t="n">
        <v>0</v>
      </c>
      <c r="J6290" t="n">
        <v>0</v>
      </c>
      <c r="K6290" t="n">
        <v>0</v>
      </c>
      <c r="L6290" t="n">
        <v>0</v>
      </c>
      <c r="M6290" t="n">
        <v>0</v>
      </c>
      <c r="N6290" t="n">
        <v>0</v>
      </c>
      <c r="O6290" t="n">
        <v>0</v>
      </c>
      <c r="P6290" t="n">
        <v>0</v>
      </c>
      <c r="Q6290" t="n">
        <v>0</v>
      </c>
      <c r="R6290" s="2" t="inlineStr"/>
    </row>
    <row r="6291" ht="15" customHeight="1">
      <c r="A6291" t="inlineStr">
        <is>
          <t>A 51169-2021</t>
        </is>
      </c>
      <c r="B6291" s="1" t="n">
        <v>44461</v>
      </c>
      <c r="C6291" s="1" t="n">
        <v>45952</v>
      </c>
      <c r="D6291" t="inlineStr">
        <is>
          <t>VÄSTRA GÖTALANDS LÄN</t>
        </is>
      </c>
      <c r="E6291" t="inlineStr">
        <is>
          <t>ALINGSÅS</t>
        </is>
      </c>
      <c r="G6291" t="n">
        <v>1.6</v>
      </c>
      <c r="H6291" t="n">
        <v>0</v>
      </c>
      <c r="I6291" t="n">
        <v>0</v>
      </c>
      <c r="J6291" t="n">
        <v>0</v>
      </c>
      <c r="K6291" t="n">
        <v>0</v>
      </c>
      <c r="L6291" t="n">
        <v>0</v>
      </c>
      <c r="M6291" t="n">
        <v>0</v>
      </c>
      <c r="N6291" t="n">
        <v>0</v>
      </c>
      <c r="O6291" t="n">
        <v>0</v>
      </c>
      <c r="P6291" t="n">
        <v>0</v>
      </c>
      <c r="Q6291" t="n">
        <v>0</v>
      </c>
      <c r="R6291" s="2" t="inlineStr"/>
    </row>
    <row r="6292" ht="15" customHeight="1">
      <c r="A6292" t="inlineStr">
        <is>
          <t>A 43564-2024</t>
        </is>
      </c>
      <c r="B6292" s="1" t="n">
        <v>45569</v>
      </c>
      <c r="C6292" s="1" t="n">
        <v>45952</v>
      </c>
      <c r="D6292" t="inlineStr">
        <is>
          <t>VÄSTRA GÖTALANDS LÄN</t>
        </is>
      </c>
      <c r="E6292" t="inlineStr">
        <is>
          <t>GULLSPÅNG</t>
        </is>
      </c>
      <c r="G6292" t="n">
        <v>3.5</v>
      </c>
      <c r="H6292" t="n">
        <v>0</v>
      </c>
      <c r="I6292" t="n">
        <v>0</v>
      </c>
      <c r="J6292" t="n">
        <v>0</v>
      </c>
      <c r="K6292" t="n">
        <v>0</v>
      </c>
      <c r="L6292" t="n">
        <v>0</v>
      </c>
      <c r="M6292" t="n">
        <v>0</v>
      </c>
      <c r="N6292" t="n">
        <v>0</v>
      </c>
      <c r="O6292" t="n">
        <v>0</v>
      </c>
      <c r="P6292" t="n">
        <v>0</v>
      </c>
      <c r="Q6292" t="n">
        <v>0</v>
      </c>
      <c r="R6292" s="2" t="inlineStr"/>
    </row>
    <row r="6293" ht="15" customHeight="1">
      <c r="A6293" t="inlineStr">
        <is>
          <t>A 43624-2024</t>
        </is>
      </c>
      <c r="B6293" s="1" t="n">
        <v>45569.4868287037</v>
      </c>
      <c r="C6293" s="1" t="n">
        <v>45952</v>
      </c>
      <c r="D6293" t="inlineStr">
        <is>
          <t>VÄSTRA GÖTALANDS LÄN</t>
        </is>
      </c>
      <c r="E6293" t="inlineStr">
        <is>
          <t>VARA</t>
        </is>
      </c>
      <c r="F6293" t="inlineStr">
        <is>
          <t>Kyrkan</t>
        </is>
      </c>
      <c r="G6293" t="n">
        <v>2.3</v>
      </c>
      <c r="H6293" t="n">
        <v>0</v>
      </c>
      <c r="I6293" t="n">
        <v>0</v>
      </c>
      <c r="J6293" t="n">
        <v>0</v>
      </c>
      <c r="K6293" t="n">
        <v>0</v>
      </c>
      <c r="L6293" t="n">
        <v>0</v>
      </c>
      <c r="M6293" t="n">
        <v>0</v>
      </c>
      <c r="N6293" t="n">
        <v>0</v>
      </c>
      <c r="O6293" t="n">
        <v>0</v>
      </c>
      <c r="P6293" t="n">
        <v>0</v>
      </c>
      <c r="Q6293" t="n">
        <v>0</v>
      </c>
      <c r="R6293" s="2" t="inlineStr"/>
    </row>
    <row r="6294" ht="15" customHeight="1">
      <c r="A6294" t="inlineStr">
        <is>
          <t>A 10675-2024</t>
        </is>
      </c>
      <c r="B6294" s="1" t="n">
        <v>45369.35518518519</v>
      </c>
      <c r="C6294" s="1" t="n">
        <v>45952</v>
      </c>
      <c r="D6294" t="inlineStr">
        <is>
          <t>VÄSTRA GÖTALANDS LÄN</t>
        </is>
      </c>
      <c r="E6294" t="inlineStr">
        <is>
          <t>TANUM</t>
        </is>
      </c>
      <c r="G6294" t="n">
        <v>3.4</v>
      </c>
      <c r="H6294" t="n">
        <v>0</v>
      </c>
      <c r="I6294" t="n">
        <v>0</v>
      </c>
      <c r="J6294" t="n">
        <v>0</v>
      </c>
      <c r="K6294" t="n">
        <v>0</v>
      </c>
      <c r="L6294" t="n">
        <v>0</v>
      </c>
      <c r="M6294" t="n">
        <v>0</v>
      </c>
      <c r="N6294" t="n">
        <v>0</v>
      </c>
      <c r="O6294" t="n">
        <v>0</v>
      </c>
      <c r="P6294" t="n">
        <v>0</v>
      </c>
      <c r="Q6294" t="n">
        <v>0</v>
      </c>
      <c r="R6294" s="2" t="inlineStr"/>
    </row>
    <row r="6295" ht="15" customHeight="1">
      <c r="A6295" t="inlineStr">
        <is>
          <t>A 25696-2023</t>
        </is>
      </c>
      <c r="B6295" s="1" t="n">
        <v>45089.96881944445</v>
      </c>
      <c r="C6295" s="1" t="n">
        <v>45952</v>
      </c>
      <c r="D6295" t="inlineStr">
        <is>
          <t>VÄSTRA GÖTALANDS LÄN</t>
        </is>
      </c>
      <c r="E6295" t="inlineStr">
        <is>
          <t>KARLSBORG</t>
        </is>
      </c>
      <c r="G6295" t="n">
        <v>1.4</v>
      </c>
      <c r="H6295" t="n">
        <v>0</v>
      </c>
      <c r="I6295" t="n">
        <v>0</v>
      </c>
      <c r="J6295" t="n">
        <v>0</v>
      </c>
      <c r="K6295" t="n">
        <v>0</v>
      </c>
      <c r="L6295" t="n">
        <v>0</v>
      </c>
      <c r="M6295" t="n">
        <v>0</v>
      </c>
      <c r="N6295" t="n">
        <v>0</v>
      </c>
      <c r="O6295" t="n">
        <v>0</v>
      </c>
      <c r="P6295" t="n">
        <v>0</v>
      </c>
      <c r="Q6295" t="n">
        <v>0</v>
      </c>
      <c r="R6295" s="2" t="inlineStr"/>
    </row>
    <row r="6296" ht="15" customHeight="1">
      <c r="A6296" t="inlineStr">
        <is>
          <t>A 57769-2024</t>
        </is>
      </c>
      <c r="B6296" s="1" t="n">
        <v>45630.88071759259</v>
      </c>
      <c r="C6296" s="1" t="n">
        <v>45952</v>
      </c>
      <c r="D6296" t="inlineStr">
        <is>
          <t>VÄSTRA GÖTALANDS LÄN</t>
        </is>
      </c>
      <c r="E6296" t="inlineStr">
        <is>
          <t>STENUNGSUND</t>
        </is>
      </c>
      <c r="G6296" t="n">
        <v>0.6</v>
      </c>
      <c r="H6296" t="n">
        <v>0</v>
      </c>
      <c r="I6296" t="n">
        <v>0</v>
      </c>
      <c r="J6296" t="n">
        <v>0</v>
      </c>
      <c r="K6296" t="n">
        <v>0</v>
      </c>
      <c r="L6296" t="n">
        <v>0</v>
      </c>
      <c r="M6296" t="n">
        <v>0</v>
      </c>
      <c r="N6296" t="n">
        <v>0</v>
      </c>
      <c r="O6296" t="n">
        <v>0</v>
      </c>
      <c r="P6296" t="n">
        <v>0</v>
      </c>
      <c r="Q6296" t="n">
        <v>0</v>
      </c>
      <c r="R6296" s="2" t="inlineStr"/>
    </row>
    <row r="6297" ht="15" customHeight="1">
      <c r="A6297" t="inlineStr">
        <is>
          <t>A 57799-2024</t>
        </is>
      </c>
      <c r="B6297" s="1" t="n">
        <v>45631.34453703704</v>
      </c>
      <c r="C6297" s="1" t="n">
        <v>45952</v>
      </c>
      <c r="D6297" t="inlineStr">
        <is>
          <t>VÄSTRA GÖTALANDS LÄN</t>
        </is>
      </c>
      <c r="E6297" t="inlineStr">
        <is>
          <t>MARK</t>
        </is>
      </c>
      <c r="G6297" t="n">
        <v>0.7</v>
      </c>
      <c r="H6297" t="n">
        <v>0</v>
      </c>
      <c r="I6297" t="n">
        <v>0</v>
      </c>
      <c r="J6297" t="n">
        <v>0</v>
      </c>
      <c r="K6297" t="n">
        <v>0</v>
      </c>
      <c r="L6297" t="n">
        <v>0</v>
      </c>
      <c r="M6297" t="n">
        <v>0</v>
      </c>
      <c r="N6297" t="n">
        <v>0</v>
      </c>
      <c r="O6297" t="n">
        <v>0</v>
      </c>
      <c r="P6297" t="n">
        <v>0</v>
      </c>
      <c r="Q6297" t="n">
        <v>0</v>
      </c>
      <c r="R6297" s="2" t="inlineStr"/>
    </row>
    <row r="6298" ht="15" customHeight="1">
      <c r="A6298" t="inlineStr">
        <is>
          <t>A 47378-2021</t>
        </is>
      </c>
      <c r="B6298" s="1" t="n">
        <v>44447</v>
      </c>
      <c r="C6298" s="1" t="n">
        <v>45952</v>
      </c>
      <c r="D6298" t="inlineStr">
        <is>
          <t>VÄSTRA GÖTALANDS LÄN</t>
        </is>
      </c>
      <c r="E6298" t="inlineStr">
        <is>
          <t>MUNKEDAL</t>
        </is>
      </c>
      <c r="F6298" t="inlineStr">
        <is>
          <t>Övriga Aktiebolag</t>
        </is>
      </c>
      <c r="G6298" t="n">
        <v>21.7</v>
      </c>
      <c r="H6298" t="n">
        <v>0</v>
      </c>
      <c r="I6298" t="n">
        <v>0</v>
      </c>
      <c r="J6298" t="n">
        <v>0</v>
      </c>
      <c r="K6298" t="n">
        <v>0</v>
      </c>
      <c r="L6298" t="n">
        <v>0</v>
      </c>
      <c r="M6298" t="n">
        <v>0</v>
      </c>
      <c r="N6298" t="n">
        <v>0</v>
      </c>
      <c r="O6298" t="n">
        <v>0</v>
      </c>
      <c r="P6298" t="n">
        <v>0</v>
      </c>
      <c r="Q6298" t="n">
        <v>0</v>
      </c>
      <c r="R6298" s="2" t="inlineStr"/>
    </row>
    <row r="6299" ht="15" customHeight="1">
      <c r="A6299" t="inlineStr">
        <is>
          <t>A 27334-2024</t>
        </is>
      </c>
      <c r="B6299" s="1" t="n">
        <v>45472.87659722222</v>
      </c>
      <c r="C6299" s="1" t="n">
        <v>45952</v>
      </c>
      <c r="D6299" t="inlineStr">
        <is>
          <t>VÄSTRA GÖTALANDS LÄN</t>
        </is>
      </c>
      <c r="E6299" t="inlineStr">
        <is>
          <t>BORÅS</t>
        </is>
      </c>
      <c r="G6299" t="n">
        <v>0.3</v>
      </c>
      <c r="H6299" t="n">
        <v>0</v>
      </c>
      <c r="I6299" t="n">
        <v>0</v>
      </c>
      <c r="J6299" t="n">
        <v>0</v>
      </c>
      <c r="K6299" t="n">
        <v>0</v>
      </c>
      <c r="L6299" t="n">
        <v>0</v>
      </c>
      <c r="M6299" t="n">
        <v>0</v>
      </c>
      <c r="N6299" t="n">
        <v>0</v>
      </c>
      <c r="O6299" t="n">
        <v>0</v>
      </c>
      <c r="P6299" t="n">
        <v>0</v>
      </c>
      <c r="Q6299" t="n">
        <v>0</v>
      </c>
      <c r="R6299" s="2" t="inlineStr"/>
    </row>
    <row r="6300" ht="15" customHeight="1">
      <c r="A6300" t="inlineStr">
        <is>
          <t>A 52876-2023</t>
        </is>
      </c>
      <c r="B6300" s="1" t="n">
        <v>45226.47097222223</v>
      </c>
      <c r="C6300" s="1" t="n">
        <v>45952</v>
      </c>
      <c r="D6300" t="inlineStr">
        <is>
          <t>VÄSTRA GÖTALANDS LÄN</t>
        </is>
      </c>
      <c r="E6300" t="inlineStr">
        <is>
          <t>TIDAHOLM</t>
        </is>
      </c>
      <c r="G6300" t="n">
        <v>0.8</v>
      </c>
      <c r="H6300" t="n">
        <v>0</v>
      </c>
      <c r="I6300" t="n">
        <v>0</v>
      </c>
      <c r="J6300" t="n">
        <v>0</v>
      </c>
      <c r="K6300" t="n">
        <v>0</v>
      </c>
      <c r="L6300" t="n">
        <v>0</v>
      </c>
      <c r="M6300" t="n">
        <v>0</v>
      </c>
      <c r="N6300" t="n">
        <v>0</v>
      </c>
      <c r="O6300" t="n">
        <v>0</v>
      </c>
      <c r="P6300" t="n">
        <v>0</v>
      </c>
      <c r="Q6300" t="n">
        <v>0</v>
      </c>
      <c r="R6300" s="2" t="inlineStr"/>
    </row>
    <row r="6301" ht="15" customHeight="1">
      <c r="A6301" t="inlineStr">
        <is>
          <t>A 40455-2023</t>
        </is>
      </c>
      <c r="B6301" s="1" t="n">
        <v>45170</v>
      </c>
      <c r="C6301" s="1" t="n">
        <v>45952</v>
      </c>
      <c r="D6301" t="inlineStr">
        <is>
          <t>VÄSTRA GÖTALANDS LÄN</t>
        </is>
      </c>
      <c r="E6301" t="inlineStr">
        <is>
          <t>MARIESTAD</t>
        </is>
      </c>
      <c r="G6301" t="n">
        <v>34.9</v>
      </c>
      <c r="H6301" t="n">
        <v>0</v>
      </c>
      <c r="I6301" t="n">
        <v>0</v>
      </c>
      <c r="J6301" t="n">
        <v>0</v>
      </c>
      <c r="K6301" t="n">
        <v>0</v>
      </c>
      <c r="L6301" t="n">
        <v>0</v>
      </c>
      <c r="M6301" t="n">
        <v>0</v>
      </c>
      <c r="N6301" t="n">
        <v>0</v>
      </c>
      <c r="O6301" t="n">
        <v>0</v>
      </c>
      <c r="P6301" t="n">
        <v>0</v>
      </c>
      <c r="Q6301" t="n">
        <v>0</v>
      </c>
      <c r="R6301" s="2" t="inlineStr"/>
    </row>
    <row r="6302" ht="15" customHeight="1">
      <c r="A6302" t="inlineStr">
        <is>
          <t>A 9174-2025</t>
        </is>
      </c>
      <c r="B6302" s="1" t="n">
        <v>45714.41085648148</v>
      </c>
      <c r="C6302" s="1" t="n">
        <v>45952</v>
      </c>
      <c r="D6302" t="inlineStr">
        <is>
          <t>VÄSTRA GÖTALANDS LÄN</t>
        </is>
      </c>
      <c r="E6302" t="inlineStr">
        <is>
          <t>MARK</t>
        </is>
      </c>
      <c r="G6302" t="n">
        <v>2.7</v>
      </c>
      <c r="H6302" t="n">
        <v>0</v>
      </c>
      <c r="I6302" t="n">
        <v>0</v>
      </c>
      <c r="J6302" t="n">
        <v>0</v>
      </c>
      <c r="K6302" t="n">
        <v>0</v>
      </c>
      <c r="L6302" t="n">
        <v>0</v>
      </c>
      <c r="M6302" t="n">
        <v>0</v>
      </c>
      <c r="N6302" t="n">
        <v>0</v>
      </c>
      <c r="O6302" t="n">
        <v>0</v>
      </c>
      <c r="P6302" t="n">
        <v>0</v>
      </c>
      <c r="Q6302" t="n">
        <v>0</v>
      </c>
      <c r="R6302" s="2" t="inlineStr"/>
    </row>
    <row r="6303" ht="15" customHeight="1">
      <c r="A6303" t="inlineStr">
        <is>
          <t>A 17326-2025</t>
        </is>
      </c>
      <c r="B6303" s="1" t="n">
        <v>45756</v>
      </c>
      <c r="C6303" s="1" t="n">
        <v>45952</v>
      </c>
      <c r="D6303" t="inlineStr">
        <is>
          <t>VÄSTRA GÖTALANDS LÄN</t>
        </is>
      </c>
      <c r="E6303" t="inlineStr">
        <is>
          <t>SKÖVDE</t>
        </is>
      </c>
      <c r="G6303" t="n">
        <v>3</v>
      </c>
      <c r="H6303" t="n">
        <v>0</v>
      </c>
      <c r="I6303" t="n">
        <v>0</v>
      </c>
      <c r="J6303" t="n">
        <v>0</v>
      </c>
      <c r="K6303" t="n">
        <v>0</v>
      </c>
      <c r="L6303" t="n">
        <v>0</v>
      </c>
      <c r="M6303" t="n">
        <v>0</v>
      </c>
      <c r="N6303" t="n">
        <v>0</v>
      </c>
      <c r="O6303" t="n">
        <v>0</v>
      </c>
      <c r="P6303" t="n">
        <v>0</v>
      </c>
      <c r="Q6303" t="n">
        <v>0</v>
      </c>
      <c r="R6303" s="2" t="inlineStr"/>
    </row>
    <row r="6304" ht="15" customHeight="1">
      <c r="A6304" t="inlineStr">
        <is>
          <t>A 4989-2025</t>
        </is>
      </c>
      <c r="B6304" s="1" t="n">
        <v>45691.32849537037</v>
      </c>
      <c r="C6304" s="1" t="n">
        <v>45952</v>
      </c>
      <c r="D6304" t="inlineStr">
        <is>
          <t>VÄSTRA GÖTALANDS LÄN</t>
        </is>
      </c>
      <c r="E6304" t="inlineStr">
        <is>
          <t>MARK</t>
        </is>
      </c>
      <c r="G6304" t="n">
        <v>1.7</v>
      </c>
      <c r="H6304" t="n">
        <v>0</v>
      </c>
      <c r="I6304" t="n">
        <v>0</v>
      </c>
      <c r="J6304" t="n">
        <v>0</v>
      </c>
      <c r="K6304" t="n">
        <v>0</v>
      </c>
      <c r="L6304" t="n">
        <v>0</v>
      </c>
      <c r="M6304" t="n">
        <v>0</v>
      </c>
      <c r="N6304" t="n">
        <v>0</v>
      </c>
      <c r="O6304" t="n">
        <v>0</v>
      </c>
      <c r="P6304" t="n">
        <v>0</v>
      </c>
      <c r="Q6304" t="n">
        <v>0</v>
      </c>
      <c r="R6304" s="2" t="inlineStr"/>
    </row>
    <row r="6305" ht="15" customHeight="1">
      <c r="A6305" t="inlineStr">
        <is>
          <t>A 35391-2025</t>
        </is>
      </c>
      <c r="B6305" s="1" t="n">
        <v>45855</v>
      </c>
      <c r="C6305" s="1" t="n">
        <v>45952</v>
      </c>
      <c r="D6305" t="inlineStr">
        <is>
          <t>VÄSTRA GÖTALANDS LÄN</t>
        </is>
      </c>
      <c r="E6305" t="inlineStr">
        <is>
          <t>MARK</t>
        </is>
      </c>
      <c r="G6305" t="n">
        <v>2.3</v>
      </c>
      <c r="H6305" t="n">
        <v>0</v>
      </c>
      <c r="I6305" t="n">
        <v>0</v>
      </c>
      <c r="J6305" t="n">
        <v>0</v>
      </c>
      <c r="K6305" t="n">
        <v>0</v>
      </c>
      <c r="L6305" t="n">
        <v>0</v>
      </c>
      <c r="M6305" t="n">
        <v>0</v>
      </c>
      <c r="N6305" t="n">
        <v>0</v>
      </c>
      <c r="O6305" t="n">
        <v>0</v>
      </c>
      <c r="P6305" t="n">
        <v>0</v>
      </c>
      <c r="Q6305" t="n">
        <v>0</v>
      </c>
      <c r="R6305" s="2" t="inlineStr"/>
    </row>
    <row r="6306" ht="15" customHeight="1">
      <c r="A6306" t="inlineStr">
        <is>
          <t>A 35393-2025</t>
        </is>
      </c>
      <c r="B6306" s="1" t="n">
        <v>45855</v>
      </c>
      <c r="C6306" s="1" t="n">
        <v>45952</v>
      </c>
      <c r="D6306" t="inlineStr">
        <is>
          <t>VÄSTRA GÖTALANDS LÄN</t>
        </is>
      </c>
      <c r="E6306" t="inlineStr">
        <is>
          <t>MARK</t>
        </is>
      </c>
      <c r="G6306" t="n">
        <v>3.1</v>
      </c>
      <c r="H6306" t="n">
        <v>0</v>
      </c>
      <c r="I6306" t="n">
        <v>0</v>
      </c>
      <c r="J6306" t="n">
        <v>0</v>
      </c>
      <c r="K6306" t="n">
        <v>0</v>
      </c>
      <c r="L6306" t="n">
        <v>0</v>
      </c>
      <c r="M6306" t="n">
        <v>0</v>
      </c>
      <c r="N6306" t="n">
        <v>0</v>
      </c>
      <c r="O6306" t="n">
        <v>0</v>
      </c>
      <c r="P6306" t="n">
        <v>0</v>
      </c>
      <c r="Q6306" t="n">
        <v>0</v>
      </c>
      <c r="R6306" s="2" t="inlineStr"/>
    </row>
    <row r="6307" ht="15" customHeight="1">
      <c r="A6307" t="inlineStr">
        <is>
          <t>A 2796-2025</t>
        </is>
      </c>
      <c r="B6307" s="1" t="n">
        <v>45677.57553240741</v>
      </c>
      <c r="C6307" s="1" t="n">
        <v>45952</v>
      </c>
      <c r="D6307" t="inlineStr">
        <is>
          <t>VÄSTRA GÖTALANDS LÄN</t>
        </is>
      </c>
      <c r="E6307" t="inlineStr">
        <is>
          <t>HERRLJUNGA</t>
        </is>
      </c>
      <c r="G6307" t="n">
        <v>1.1</v>
      </c>
      <c r="H6307" t="n">
        <v>0</v>
      </c>
      <c r="I6307" t="n">
        <v>0</v>
      </c>
      <c r="J6307" t="n">
        <v>0</v>
      </c>
      <c r="K6307" t="n">
        <v>0</v>
      </c>
      <c r="L6307" t="n">
        <v>0</v>
      </c>
      <c r="M6307" t="n">
        <v>0</v>
      </c>
      <c r="N6307" t="n">
        <v>0</v>
      </c>
      <c r="O6307" t="n">
        <v>0</v>
      </c>
      <c r="P6307" t="n">
        <v>0</v>
      </c>
      <c r="Q6307" t="n">
        <v>0</v>
      </c>
      <c r="R6307" s="2" t="inlineStr"/>
    </row>
    <row r="6308" ht="15" customHeight="1">
      <c r="A6308" t="inlineStr">
        <is>
          <t>A 39459-2023</t>
        </is>
      </c>
      <c r="B6308" s="1" t="n">
        <v>45166.81715277778</v>
      </c>
      <c r="C6308" s="1" t="n">
        <v>45952</v>
      </c>
      <c r="D6308" t="inlineStr">
        <is>
          <t>VÄSTRA GÖTALANDS LÄN</t>
        </is>
      </c>
      <c r="E6308" t="inlineStr">
        <is>
          <t>TIBRO</t>
        </is>
      </c>
      <c r="G6308" t="n">
        <v>1.7</v>
      </c>
      <c r="H6308" t="n">
        <v>0</v>
      </c>
      <c r="I6308" t="n">
        <v>0</v>
      </c>
      <c r="J6308" t="n">
        <v>0</v>
      </c>
      <c r="K6308" t="n">
        <v>0</v>
      </c>
      <c r="L6308" t="n">
        <v>0</v>
      </c>
      <c r="M6308" t="n">
        <v>0</v>
      </c>
      <c r="N6308" t="n">
        <v>0</v>
      </c>
      <c r="O6308" t="n">
        <v>0</v>
      </c>
      <c r="P6308" t="n">
        <v>0</v>
      </c>
      <c r="Q6308" t="n">
        <v>0</v>
      </c>
      <c r="R6308" s="2" t="inlineStr"/>
    </row>
    <row r="6309" ht="15" customHeight="1">
      <c r="A6309" t="inlineStr">
        <is>
          <t>A 44396-2024</t>
        </is>
      </c>
      <c r="B6309" s="1" t="n">
        <v>45573</v>
      </c>
      <c r="C6309" s="1" t="n">
        <v>45952</v>
      </c>
      <c r="D6309" t="inlineStr">
        <is>
          <t>VÄSTRA GÖTALANDS LÄN</t>
        </is>
      </c>
      <c r="E6309" t="inlineStr">
        <is>
          <t>GULLSPÅNG</t>
        </is>
      </c>
      <c r="G6309" t="n">
        <v>2.7</v>
      </c>
      <c r="H6309" t="n">
        <v>0</v>
      </c>
      <c r="I6309" t="n">
        <v>0</v>
      </c>
      <c r="J6309" t="n">
        <v>0</v>
      </c>
      <c r="K6309" t="n">
        <v>0</v>
      </c>
      <c r="L6309" t="n">
        <v>0</v>
      </c>
      <c r="M6309" t="n">
        <v>0</v>
      </c>
      <c r="N6309" t="n">
        <v>0</v>
      </c>
      <c r="O6309" t="n">
        <v>0</v>
      </c>
      <c r="P6309" t="n">
        <v>0</v>
      </c>
      <c r="Q6309" t="n">
        <v>0</v>
      </c>
      <c r="R6309" s="2" t="inlineStr"/>
    </row>
    <row r="6310" ht="15" customHeight="1">
      <c r="A6310" t="inlineStr">
        <is>
          <t>A 448-2024</t>
        </is>
      </c>
      <c r="B6310" s="1" t="n">
        <v>45296</v>
      </c>
      <c r="C6310" s="1" t="n">
        <v>45952</v>
      </c>
      <c r="D6310" t="inlineStr">
        <is>
          <t>VÄSTRA GÖTALANDS LÄN</t>
        </is>
      </c>
      <c r="E6310" t="inlineStr">
        <is>
          <t>MUNKEDAL</t>
        </is>
      </c>
      <c r="F6310" t="inlineStr">
        <is>
          <t>Kyrkan</t>
        </is>
      </c>
      <c r="G6310" t="n">
        <v>3.2</v>
      </c>
      <c r="H6310" t="n">
        <v>0</v>
      </c>
      <c r="I6310" t="n">
        <v>0</v>
      </c>
      <c r="J6310" t="n">
        <v>0</v>
      </c>
      <c r="K6310" t="n">
        <v>0</v>
      </c>
      <c r="L6310" t="n">
        <v>0</v>
      </c>
      <c r="M6310" t="n">
        <v>0</v>
      </c>
      <c r="N6310" t="n">
        <v>0</v>
      </c>
      <c r="O6310" t="n">
        <v>0</v>
      </c>
      <c r="P6310" t="n">
        <v>0</v>
      </c>
      <c r="Q6310" t="n">
        <v>0</v>
      </c>
      <c r="R6310" s="2" t="inlineStr"/>
    </row>
    <row r="6311" ht="15" customHeight="1">
      <c r="A6311" t="inlineStr">
        <is>
          <t>A 46435-2023</t>
        </is>
      </c>
      <c r="B6311" s="1" t="n">
        <v>45197</v>
      </c>
      <c r="C6311" s="1" t="n">
        <v>45952</v>
      </c>
      <c r="D6311" t="inlineStr">
        <is>
          <t>VÄSTRA GÖTALANDS LÄN</t>
        </is>
      </c>
      <c r="E6311" t="inlineStr">
        <is>
          <t>DALS-ED</t>
        </is>
      </c>
      <c r="G6311" t="n">
        <v>0.5</v>
      </c>
      <c r="H6311" t="n">
        <v>0</v>
      </c>
      <c r="I6311" t="n">
        <v>0</v>
      </c>
      <c r="J6311" t="n">
        <v>0</v>
      </c>
      <c r="K6311" t="n">
        <v>0</v>
      </c>
      <c r="L6311" t="n">
        <v>0</v>
      </c>
      <c r="M6311" t="n">
        <v>0</v>
      </c>
      <c r="N6311" t="n">
        <v>0</v>
      </c>
      <c r="O6311" t="n">
        <v>0</v>
      </c>
      <c r="P6311" t="n">
        <v>0</v>
      </c>
      <c r="Q6311" t="n">
        <v>0</v>
      </c>
      <c r="R6311" s="2" t="inlineStr"/>
    </row>
    <row r="6312" ht="15" customHeight="1">
      <c r="A6312" t="inlineStr">
        <is>
          <t>A 38750-2023</t>
        </is>
      </c>
      <c r="B6312" s="1" t="n">
        <v>45163.40059027778</v>
      </c>
      <c r="C6312" s="1" t="n">
        <v>45952</v>
      </c>
      <c r="D6312" t="inlineStr">
        <is>
          <t>VÄSTRA GÖTALANDS LÄN</t>
        </is>
      </c>
      <c r="E6312" t="inlineStr">
        <is>
          <t>SKÖVDE</t>
        </is>
      </c>
      <c r="G6312" t="n">
        <v>3.5</v>
      </c>
      <c r="H6312" t="n">
        <v>0</v>
      </c>
      <c r="I6312" t="n">
        <v>0</v>
      </c>
      <c r="J6312" t="n">
        <v>0</v>
      </c>
      <c r="K6312" t="n">
        <v>0</v>
      </c>
      <c r="L6312" t="n">
        <v>0</v>
      </c>
      <c r="M6312" t="n">
        <v>0</v>
      </c>
      <c r="N6312" t="n">
        <v>0</v>
      </c>
      <c r="O6312" t="n">
        <v>0</v>
      </c>
      <c r="P6312" t="n">
        <v>0</v>
      </c>
      <c r="Q6312" t="n">
        <v>0</v>
      </c>
      <c r="R6312" s="2" t="inlineStr"/>
    </row>
    <row r="6313" ht="15" customHeight="1">
      <c r="A6313" t="inlineStr">
        <is>
          <t>A 17070-2025</t>
        </is>
      </c>
      <c r="B6313" s="1" t="n">
        <v>45755.61774305555</v>
      </c>
      <c r="C6313" s="1" t="n">
        <v>45952</v>
      </c>
      <c r="D6313" t="inlineStr">
        <is>
          <t>VÄSTRA GÖTALANDS LÄN</t>
        </is>
      </c>
      <c r="E6313" t="inlineStr">
        <is>
          <t>SKÖVDE</t>
        </is>
      </c>
      <c r="F6313" t="inlineStr">
        <is>
          <t>Kommuner</t>
        </is>
      </c>
      <c r="G6313" t="n">
        <v>0.9</v>
      </c>
      <c r="H6313" t="n">
        <v>0</v>
      </c>
      <c r="I6313" t="n">
        <v>0</v>
      </c>
      <c r="J6313" t="n">
        <v>0</v>
      </c>
      <c r="K6313" t="n">
        <v>0</v>
      </c>
      <c r="L6313" t="n">
        <v>0</v>
      </c>
      <c r="M6313" t="n">
        <v>0</v>
      </c>
      <c r="N6313" t="n">
        <v>0</v>
      </c>
      <c r="O6313" t="n">
        <v>0</v>
      </c>
      <c r="P6313" t="n">
        <v>0</v>
      </c>
      <c r="Q6313" t="n">
        <v>0</v>
      </c>
      <c r="R6313" s="2" t="inlineStr"/>
    </row>
    <row r="6314" ht="15" customHeight="1">
      <c r="A6314" t="inlineStr">
        <is>
          <t>A 54870-2023</t>
        </is>
      </c>
      <c r="B6314" s="1" t="n">
        <v>45229</v>
      </c>
      <c r="C6314" s="1" t="n">
        <v>45952</v>
      </c>
      <c r="D6314" t="inlineStr">
        <is>
          <t>VÄSTRA GÖTALANDS LÄN</t>
        </is>
      </c>
      <c r="E6314" t="inlineStr">
        <is>
          <t>ÅMÅL</t>
        </is>
      </c>
      <c r="G6314" t="n">
        <v>1.1</v>
      </c>
      <c r="H6314" t="n">
        <v>0</v>
      </c>
      <c r="I6314" t="n">
        <v>0</v>
      </c>
      <c r="J6314" t="n">
        <v>0</v>
      </c>
      <c r="K6314" t="n">
        <v>0</v>
      </c>
      <c r="L6314" t="n">
        <v>0</v>
      </c>
      <c r="M6314" t="n">
        <v>0</v>
      </c>
      <c r="N6314" t="n">
        <v>0</v>
      </c>
      <c r="O6314" t="n">
        <v>0</v>
      </c>
      <c r="P6314" t="n">
        <v>0</v>
      </c>
      <c r="Q6314" t="n">
        <v>0</v>
      </c>
      <c r="R6314" s="2" t="inlineStr"/>
    </row>
    <row r="6315" ht="15" customHeight="1">
      <c r="A6315" t="inlineStr">
        <is>
          <t>A 54904-2023</t>
        </is>
      </c>
      <c r="B6315" s="1" t="n">
        <v>45236</v>
      </c>
      <c r="C6315" s="1" t="n">
        <v>45952</v>
      </c>
      <c r="D6315" t="inlineStr">
        <is>
          <t>VÄSTRA GÖTALANDS LÄN</t>
        </is>
      </c>
      <c r="E6315" t="inlineStr">
        <is>
          <t>ULRICEHAMN</t>
        </is>
      </c>
      <c r="G6315" t="n">
        <v>0.2</v>
      </c>
      <c r="H6315" t="n">
        <v>0</v>
      </c>
      <c r="I6315" t="n">
        <v>0</v>
      </c>
      <c r="J6315" t="n">
        <v>0</v>
      </c>
      <c r="K6315" t="n">
        <v>0</v>
      </c>
      <c r="L6315" t="n">
        <v>0</v>
      </c>
      <c r="M6315" t="n">
        <v>0</v>
      </c>
      <c r="N6315" t="n">
        <v>0</v>
      </c>
      <c r="O6315" t="n">
        <v>0</v>
      </c>
      <c r="P6315" t="n">
        <v>0</v>
      </c>
      <c r="Q6315" t="n">
        <v>0</v>
      </c>
      <c r="R6315" s="2" t="inlineStr"/>
    </row>
    <row r="6316" ht="15" customHeight="1">
      <c r="A6316" t="inlineStr">
        <is>
          <t>A 58789-2022</t>
        </is>
      </c>
      <c r="B6316" s="1" t="n">
        <v>44903.41709490741</v>
      </c>
      <c r="C6316" s="1" t="n">
        <v>45952</v>
      </c>
      <c r="D6316" t="inlineStr">
        <is>
          <t>VÄSTRA GÖTALANDS LÄN</t>
        </is>
      </c>
      <c r="E6316" t="inlineStr">
        <is>
          <t>LYSEKIL</t>
        </is>
      </c>
      <c r="G6316" t="n">
        <v>0.4</v>
      </c>
      <c r="H6316" t="n">
        <v>0</v>
      </c>
      <c r="I6316" t="n">
        <v>0</v>
      </c>
      <c r="J6316" t="n">
        <v>0</v>
      </c>
      <c r="K6316" t="n">
        <v>0</v>
      </c>
      <c r="L6316" t="n">
        <v>0</v>
      </c>
      <c r="M6316" t="n">
        <v>0</v>
      </c>
      <c r="N6316" t="n">
        <v>0</v>
      </c>
      <c r="O6316" t="n">
        <v>0</v>
      </c>
      <c r="P6316" t="n">
        <v>0</v>
      </c>
      <c r="Q6316" t="n">
        <v>0</v>
      </c>
      <c r="R6316" s="2" t="inlineStr"/>
    </row>
    <row r="6317" ht="15" customHeight="1">
      <c r="A6317" t="inlineStr">
        <is>
          <t>A 58794-2022</t>
        </is>
      </c>
      <c r="B6317" s="1" t="n">
        <v>44903.42262731482</v>
      </c>
      <c r="C6317" s="1" t="n">
        <v>45952</v>
      </c>
      <c r="D6317" t="inlineStr">
        <is>
          <t>VÄSTRA GÖTALANDS LÄN</t>
        </is>
      </c>
      <c r="E6317" t="inlineStr">
        <is>
          <t>LYSEKIL</t>
        </is>
      </c>
      <c r="G6317" t="n">
        <v>0.6</v>
      </c>
      <c r="H6317" t="n">
        <v>0</v>
      </c>
      <c r="I6317" t="n">
        <v>0</v>
      </c>
      <c r="J6317" t="n">
        <v>0</v>
      </c>
      <c r="K6317" t="n">
        <v>0</v>
      </c>
      <c r="L6317" t="n">
        <v>0</v>
      </c>
      <c r="M6317" t="n">
        <v>0</v>
      </c>
      <c r="N6317" t="n">
        <v>0</v>
      </c>
      <c r="O6317" t="n">
        <v>0</v>
      </c>
      <c r="P6317" t="n">
        <v>0</v>
      </c>
      <c r="Q6317" t="n">
        <v>0</v>
      </c>
      <c r="R6317" s="2" t="inlineStr"/>
    </row>
    <row r="6318" ht="15" customHeight="1">
      <c r="A6318" t="inlineStr">
        <is>
          <t>A 54912-2023</t>
        </is>
      </c>
      <c r="B6318" s="1" t="n">
        <v>45236</v>
      </c>
      <c r="C6318" s="1" t="n">
        <v>45952</v>
      </c>
      <c r="D6318" t="inlineStr">
        <is>
          <t>VÄSTRA GÖTALANDS LÄN</t>
        </is>
      </c>
      <c r="E6318" t="inlineStr">
        <is>
          <t>ULRICEHAMN</t>
        </is>
      </c>
      <c r="G6318" t="n">
        <v>1.5</v>
      </c>
      <c r="H6318" t="n">
        <v>0</v>
      </c>
      <c r="I6318" t="n">
        <v>0</v>
      </c>
      <c r="J6318" t="n">
        <v>0</v>
      </c>
      <c r="K6318" t="n">
        <v>0</v>
      </c>
      <c r="L6318" t="n">
        <v>0</v>
      </c>
      <c r="M6318" t="n">
        <v>0</v>
      </c>
      <c r="N6318" t="n">
        <v>0</v>
      </c>
      <c r="O6318" t="n">
        <v>0</v>
      </c>
      <c r="P6318" t="n">
        <v>0</v>
      </c>
      <c r="Q6318" t="n">
        <v>0</v>
      </c>
      <c r="R6318" s="2" t="inlineStr"/>
    </row>
    <row r="6319" ht="15" customHeight="1">
      <c r="A6319" t="inlineStr">
        <is>
          <t>A 57629-2024</t>
        </is>
      </c>
      <c r="B6319" s="1" t="n">
        <v>45630.5583912037</v>
      </c>
      <c r="C6319" s="1" t="n">
        <v>45952</v>
      </c>
      <c r="D6319" t="inlineStr">
        <is>
          <t>VÄSTRA GÖTALANDS LÄN</t>
        </is>
      </c>
      <c r="E6319" t="inlineStr">
        <is>
          <t>TANUM</t>
        </is>
      </c>
      <c r="G6319" t="n">
        <v>0.7</v>
      </c>
      <c r="H6319" t="n">
        <v>0</v>
      </c>
      <c r="I6319" t="n">
        <v>0</v>
      </c>
      <c r="J6319" t="n">
        <v>0</v>
      </c>
      <c r="K6319" t="n">
        <v>0</v>
      </c>
      <c r="L6319" t="n">
        <v>0</v>
      </c>
      <c r="M6319" t="n">
        <v>0</v>
      </c>
      <c r="N6319" t="n">
        <v>0</v>
      </c>
      <c r="O6319" t="n">
        <v>0</v>
      </c>
      <c r="P6319" t="n">
        <v>0</v>
      </c>
      <c r="Q6319" t="n">
        <v>0</v>
      </c>
      <c r="R6319" s="2" t="inlineStr"/>
    </row>
    <row r="6320" ht="15" customHeight="1">
      <c r="A6320" t="inlineStr">
        <is>
          <t>A 53973-2023</t>
        </is>
      </c>
      <c r="B6320" s="1" t="n">
        <v>45231.6437037037</v>
      </c>
      <c r="C6320" s="1" t="n">
        <v>45952</v>
      </c>
      <c r="D6320" t="inlineStr">
        <is>
          <t>VÄSTRA GÖTALANDS LÄN</t>
        </is>
      </c>
      <c r="E6320" t="inlineStr">
        <is>
          <t>BORÅS</t>
        </is>
      </c>
      <c r="G6320" t="n">
        <v>1.1</v>
      </c>
      <c r="H6320" t="n">
        <v>0</v>
      </c>
      <c r="I6320" t="n">
        <v>0</v>
      </c>
      <c r="J6320" t="n">
        <v>0</v>
      </c>
      <c r="K6320" t="n">
        <v>0</v>
      </c>
      <c r="L6320" t="n">
        <v>0</v>
      </c>
      <c r="M6320" t="n">
        <v>0</v>
      </c>
      <c r="N6320" t="n">
        <v>0</v>
      </c>
      <c r="O6320" t="n">
        <v>0</v>
      </c>
      <c r="P6320" t="n">
        <v>0</v>
      </c>
      <c r="Q6320" t="n">
        <v>0</v>
      </c>
      <c r="R6320" s="2" t="inlineStr"/>
    </row>
    <row r="6321" ht="15" customHeight="1">
      <c r="A6321" t="inlineStr">
        <is>
          <t>A 53979-2023</t>
        </is>
      </c>
      <c r="B6321" s="1" t="n">
        <v>45231.64945601852</v>
      </c>
      <c r="C6321" s="1" t="n">
        <v>45952</v>
      </c>
      <c r="D6321" t="inlineStr">
        <is>
          <t>VÄSTRA GÖTALANDS LÄN</t>
        </is>
      </c>
      <c r="E6321" t="inlineStr">
        <is>
          <t>MARK</t>
        </is>
      </c>
      <c r="G6321" t="n">
        <v>0.5</v>
      </c>
      <c r="H6321" t="n">
        <v>0</v>
      </c>
      <c r="I6321" t="n">
        <v>0</v>
      </c>
      <c r="J6321" t="n">
        <v>0</v>
      </c>
      <c r="K6321" t="n">
        <v>0</v>
      </c>
      <c r="L6321" t="n">
        <v>0</v>
      </c>
      <c r="M6321" t="n">
        <v>0</v>
      </c>
      <c r="N6321" t="n">
        <v>0</v>
      </c>
      <c r="O6321" t="n">
        <v>0</v>
      </c>
      <c r="P6321" t="n">
        <v>0</v>
      </c>
      <c r="Q6321" t="n">
        <v>0</v>
      </c>
      <c r="R6321" s="2" t="inlineStr"/>
    </row>
    <row r="6322" ht="15" customHeight="1">
      <c r="A6322" t="inlineStr">
        <is>
          <t>A 61409-2022</t>
        </is>
      </c>
      <c r="B6322" s="1" t="n">
        <v>44909</v>
      </c>
      <c r="C6322" s="1" t="n">
        <v>45952</v>
      </c>
      <c r="D6322" t="inlineStr">
        <is>
          <t>VÄSTRA GÖTALANDS LÄN</t>
        </is>
      </c>
      <c r="E6322" t="inlineStr">
        <is>
          <t>VÄNERSBORG</t>
        </is>
      </c>
      <c r="G6322" t="n">
        <v>5.5</v>
      </c>
      <c r="H6322" t="n">
        <v>0</v>
      </c>
      <c r="I6322" t="n">
        <v>0</v>
      </c>
      <c r="J6322" t="n">
        <v>0</v>
      </c>
      <c r="K6322" t="n">
        <v>0</v>
      </c>
      <c r="L6322" t="n">
        <v>0</v>
      </c>
      <c r="M6322" t="n">
        <v>0</v>
      </c>
      <c r="N6322" t="n">
        <v>0</v>
      </c>
      <c r="O6322" t="n">
        <v>0</v>
      </c>
      <c r="P6322" t="n">
        <v>0</v>
      </c>
      <c r="Q6322" t="n">
        <v>0</v>
      </c>
      <c r="R6322" s="2" t="inlineStr"/>
    </row>
    <row r="6323" ht="15" customHeight="1">
      <c r="A6323" t="inlineStr">
        <is>
          <t>A 56995-2020</t>
        </is>
      </c>
      <c r="B6323" s="1" t="n">
        <v>44137</v>
      </c>
      <c r="C6323" s="1" t="n">
        <v>45952</v>
      </c>
      <c r="D6323" t="inlineStr">
        <is>
          <t>VÄSTRA GÖTALANDS LÄN</t>
        </is>
      </c>
      <c r="E6323" t="inlineStr">
        <is>
          <t>SKARA</t>
        </is>
      </c>
      <c r="G6323" t="n">
        <v>7.8</v>
      </c>
      <c r="H6323" t="n">
        <v>0</v>
      </c>
      <c r="I6323" t="n">
        <v>0</v>
      </c>
      <c r="J6323" t="n">
        <v>0</v>
      </c>
      <c r="K6323" t="n">
        <v>0</v>
      </c>
      <c r="L6323" t="n">
        <v>0</v>
      </c>
      <c r="M6323" t="n">
        <v>0</v>
      </c>
      <c r="N6323" t="n">
        <v>0</v>
      </c>
      <c r="O6323" t="n">
        <v>0</v>
      </c>
      <c r="P6323" t="n">
        <v>0</v>
      </c>
      <c r="Q6323" t="n">
        <v>0</v>
      </c>
      <c r="R6323" s="2" t="inlineStr"/>
    </row>
    <row r="6324" ht="15" customHeight="1">
      <c r="A6324" t="inlineStr">
        <is>
          <t>A 11025-2021</t>
        </is>
      </c>
      <c r="B6324" s="1" t="n">
        <v>44260.52003472222</v>
      </c>
      <c r="C6324" s="1" t="n">
        <v>45952</v>
      </c>
      <c r="D6324" t="inlineStr">
        <is>
          <t>VÄSTRA GÖTALANDS LÄN</t>
        </is>
      </c>
      <c r="E6324" t="inlineStr">
        <is>
          <t>ALINGSÅS</t>
        </is>
      </c>
      <c r="G6324" t="n">
        <v>2.8</v>
      </c>
      <c r="H6324" t="n">
        <v>0</v>
      </c>
      <c r="I6324" t="n">
        <v>0</v>
      </c>
      <c r="J6324" t="n">
        <v>0</v>
      </c>
      <c r="K6324" t="n">
        <v>0</v>
      </c>
      <c r="L6324" t="n">
        <v>0</v>
      </c>
      <c r="M6324" t="n">
        <v>0</v>
      </c>
      <c r="N6324" t="n">
        <v>0</v>
      </c>
      <c r="O6324" t="n">
        <v>0</v>
      </c>
      <c r="P6324" t="n">
        <v>0</v>
      </c>
      <c r="Q6324" t="n">
        <v>0</v>
      </c>
      <c r="R6324" s="2" t="inlineStr"/>
    </row>
    <row r="6325" ht="15" customHeight="1">
      <c r="A6325" t="inlineStr">
        <is>
          <t>A 5485-2024</t>
        </is>
      </c>
      <c r="B6325" s="1" t="n">
        <v>45334</v>
      </c>
      <c r="C6325" s="1" t="n">
        <v>45952</v>
      </c>
      <c r="D6325" t="inlineStr">
        <is>
          <t>VÄSTRA GÖTALANDS LÄN</t>
        </is>
      </c>
      <c r="E6325" t="inlineStr">
        <is>
          <t>ULRICEHAMN</t>
        </is>
      </c>
      <c r="G6325" t="n">
        <v>3.8</v>
      </c>
      <c r="H6325" t="n">
        <v>0</v>
      </c>
      <c r="I6325" t="n">
        <v>0</v>
      </c>
      <c r="J6325" t="n">
        <v>0</v>
      </c>
      <c r="K6325" t="n">
        <v>0</v>
      </c>
      <c r="L6325" t="n">
        <v>0</v>
      </c>
      <c r="M6325" t="n">
        <v>0</v>
      </c>
      <c r="N6325" t="n">
        <v>0</v>
      </c>
      <c r="O6325" t="n">
        <v>0</v>
      </c>
      <c r="P6325" t="n">
        <v>0</v>
      </c>
      <c r="Q6325" t="n">
        <v>0</v>
      </c>
      <c r="R6325" s="2" t="inlineStr"/>
    </row>
    <row r="6326" ht="15" customHeight="1">
      <c r="A6326" t="inlineStr">
        <is>
          <t>A 45469-2023</t>
        </is>
      </c>
      <c r="B6326" s="1" t="n">
        <v>45188</v>
      </c>
      <c r="C6326" s="1" t="n">
        <v>45952</v>
      </c>
      <c r="D6326" t="inlineStr">
        <is>
          <t>VÄSTRA GÖTALANDS LÄN</t>
        </is>
      </c>
      <c r="E6326" t="inlineStr">
        <is>
          <t>MUNKEDAL</t>
        </is>
      </c>
      <c r="G6326" t="n">
        <v>3</v>
      </c>
      <c r="H6326" t="n">
        <v>0</v>
      </c>
      <c r="I6326" t="n">
        <v>0</v>
      </c>
      <c r="J6326" t="n">
        <v>0</v>
      </c>
      <c r="K6326" t="n">
        <v>0</v>
      </c>
      <c r="L6326" t="n">
        <v>0</v>
      </c>
      <c r="M6326" t="n">
        <v>0</v>
      </c>
      <c r="N6326" t="n">
        <v>0</v>
      </c>
      <c r="O6326" t="n">
        <v>0</v>
      </c>
      <c r="P6326" t="n">
        <v>0</v>
      </c>
      <c r="Q6326" t="n">
        <v>0</v>
      </c>
      <c r="R6326" s="2" t="inlineStr"/>
    </row>
    <row r="6327" ht="15" customHeight="1">
      <c r="A6327" t="inlineStr">
        <is>
          <t>A 45478-2023</t>
        </is>
      </c>
      <c r="B6327" s="1" t="n">
        <v>45194.44383101852</v>
      </c>
      <c r="C6327" s="1" t="n">
        <v>45952</v>
      </c>
      <c r="D6327" t="inlineStr">
        <is>
          <t>VÄSTRA GÖTALANDS LÄN</t>
        </is>
      </c>
      <c r="E6327" t="inlineStr">
        <is>
          <t>ULRICEHAMN</t>
        </is>
      </c>
      <c r="G6327" t="n">
        <v>0.9</v>
      </c>
      <c r="H6327" t="n">
        <v>0</v>
      </c>
      <c r="I6327" t="n">
        <v>0</v>
      </c>
      <c r="J6327" t="n">
        <v>0</v>
      </c>
      <c r="K6327" t="n">
        <v>0</v>
      </c>
      <c r="L6327" t="n">
        <v>0</v>
      </c>
      <c r="M6327" t="n">
        <v>0</v>
      </c>
      <c r="N6327" t="n">
        <v>0</v>
      </c>
      <c r="O6327" t="n">
        <v>0</v>
      </c>
      <c r="P6327" t="n">
        <v>0</v>
      </c>
      <c r="Q6327" t="n">
        <v>0</v>
      </c>
      <c r="R6327" s="2" t="inlineStr"/>
    </row>
    <row r="6328" ht="15" customHeight="1">
      <c r="A6328" t="inlineStr">
        <is>
          <t>A 55033-2023</t>
        </is>
      </c>
      <c r="B6328" s="1" t="n">
        <v>45237.35086805555</v>
      </c>
      <c r="C6328" s="1" t="n">
        <v>45952</v>
      </c>
      <c r="D6328" t="inlineStr">
        <is>
          <t>VÄSTRA GÖTALANDS LÄN</t>
        </is>
      </c>
      <c r="E6328" t="inlineStr">
        <is>
          <t>TROLLHÄTTAN</t>
        </is>
      </c>
      <c r="G6328" t="n">
        <v>1.3</v>
      </c>
      <c r="H6328" t="n">
        <v>0</v>
      </c>
      <c r="I6328" t="n">
        <v>0</v>
      </c>
      <c r="J6328" t="n">
        <v>0</v>
      </c>
      <c r="K6328" t="n">
        <v>0</v>
      </c>
      <c r="L6328" t="n">
        <v>0</v>
      </c>
      <c r="M6328" t="n">
        <v>0</v>
      </c>
      <c r="N6328" t="n">
        <v>0</v>
      </c>
      <c r="O6328" t="n">
        <v>0</v>
      </c>
      <c r="P6328" t="n">
        <v>0</v>
      </c>
      <c r="Q6328" t="n">
        <v>0</v>
      </c>
      <c r="R6328" s="2" t="inlineStr"/>
    </row>
    <row r="6329" ht="15" customHeight="1">
      <c r="A6329" t="inlineStr">
        <is>
          <t>A 16154-2024</t>
        </is>
      </c>
      <c r="B6329" s="1" t="n">
        <v>45406.58298611111</v>
      </c>
      <c r="C6329" s="1" t="n">
        <v>45952</v>
      </c>
      <c r="D6329" t="inlineStr">
        <is>
          <t>VÄSTRA GÖTALANDS LÄN</t>
        </is>
      </c>
      <c r="E6329" t="inlineStr">
        <is>
          <t>TROLLHÄTTAN</t>
        </is>
      </c>
      <c r="G6329" t="n">
        <v>0.8</v>
      </c>
      <c r="H6329" t="n">
        <v>0</v>
      </c>
      <c r="I6329" t="n">
        <v>0</v>
      </c>
      <c r="J6329" t="n">
        <v>0</v>
      </c>
      <c r="K6329" t="n">
        <v>0</v>
      </c>
      <c r="L6329" t="n">
        <v>0</v>
      </c>
      <c r="M6329" t="n">
        <v>0</v>
      </c>
      <c r="N6329" t="n">
        <v>0</v>
      </c>
      <c r="O6329" t="n">
        <v>0</v>
      </c>
      <c r="P6329" t="n">
        <v>0</v>
      </c>
      <c r="Q6329" t="n">
        <v>0</v>
      </c>
      <c r="R6329" s="2" t="inlineStr"/>
    </row>
    <row r="6330" ht="15" customHeight="1">
      <c r="A6330" t="inlineStr">
        <is>
          <t>A 16155-2024</t>
        </is>
      </c>
      <c r="B6330" s="1" t="n">
        <v>45406.58472222222</v>
      </c>
      <c r="C6330" s="1" t="n">
        <v>45952</v>
      </c>
      <c r="D6330" t="inlineStr">
        <is>
          <t>VÄSTRA GÖTALANDS LÄN</t>
        </is>
      </c>
      <c r="E6330" t="inlineStr">
        <is>
          <t>TROLLHÄTTAN</t>
        </is>
      </c>
      <c r="G6330" t="n">
        <v>2.5</v>
      </c>
      <c r="H6330" t="n">
        <v>0</v>
      </c>
      <c r="I6330" t="n">
        <v>0</v>
      </c>
      <c r="J6330" t="n">
        <v>0</v>
      </c>
      <c r="K6330" t="n">
        <v>0</v>
      </c>
      <c r="L6330" t="n">
        <v>0</v>
      </c>
      <c r="M6330" t="n">
        <v>0</v>
      </c>
      <c r="N6330" t="n">
        <v>0</v>
      </c>
      <c r="O6330" t="n">
        <v>0</v>
      </c>
      <c r="P6330" t="n">
        <v>0</v>
      </c>
      <c r="Q6330" t="n">
        <v>0</v>
      </c>
      <c r="R6330" s="2" t="inlineStr"/>
    </row>
    <row r="6331" ht="15" customHeight="1">
      <c r="A6331" t="inlineStr">
        <is>
          <t>A 43564-2021</t>
        </is>
      </c>
      <c r="B6331" s="1" t="n">
        <v>44433</v>
      </c>
      <c r="C6331" s="1" t="n">
        <v>45952</v>
      </c>
      <c r="D6331" t="inlineStr">
        <is>
          <t>VÄSTRA GÖTALANDS LÄN</t>
        </is>
      </c>
      <c r="E6331" t="inlineStr">
        <is>
          <t>SKARA</t>
        </is>
      </c>
      <c r="G6331" t="n">
        <v>5</v>
      </c>
      <c r="H6331" t="n">
        <v>0</v>
      </c>
      <c r="I6331" t="n">
        <v>0</v>
      </c>
      <c r="J6331" t="n">
        <v>0</v>
      </c>
      <c r="K6331" t="n">
        <v>0</v>
      </c>
      <c r="L6331" t="n">
        <v>0</v>
      </c>
      <c r="M6331" t="n">
        <v>0</v>
      </c>
      <c r="N6331" t="n">
        <v>0</v>
      </c>
      <c r="O6331" t="n">
        <v>0</v>
      </c>
      <c r="P6331" t="n">
        <v>0</v>
      </c>
      <c r="Q6331" t="n">
        <v>0</v>
      </c>
      <c r="R6331" s="2" t="inlineStr"/>
    </row>
    <row r="6332" ht="15" customHeight="1">
      <c r="A6332" t="inlineStr">
        <is>
          <t>A 59514-2023</t>
        </is>
      </c>
      <c r="B6332" s="1" t="n">
        <v>45254.48559027778</v>
      </c>
      <c r="C6332" s="1" t="n">
        <v>45952</v>
      </c>
      <c r="D6332" t="inlineStr">
        <is>
          <t>VÄSTRA GÖTALANDS LÄN</t>
        </is>
      </c>
      <c r="E6332" t="inlineStr">
        <is>
          <t>DALS-ED</t>
        </is>
      </c>
      <c r="G6332" t="n">
        <v>1.3</v>
      </c>
      <c r="H6332" t="n">
        <v>0</v>
      </c>
      <c r="I6332" t="n">
        <v>0</v>
      </c>
      <c r="J6332" t="n">
        <v>0</v>
      </c>
      <c r="K6332" t="n">
        <v>0</v>
      </c>
      <c r="L6332" t="n">
        <v>0</v>
      </c>
      <c r="M6332" t="n">
        <v>0</v>
      </c>
      <c r="N6332" t="n">
        <v>0</v>
      </c>
      <c r="O6332" t="n">
        <v>0</v>
      </c>
      <c r="P6332" t="n">
        <v>0</v>
      </c>
      <c r="Q6332" t="n">
        <v>0</v>
      </c>
      <c r="R6332" s="2" t="inlineStr"/>
    </row>
    <row r="6333" ht="15" customHeight="1">
      <c r="A6333" t="inlineStr">
        <is>
          <t>A 59517-2023</t>
        </is>
      </c>
      <c r="B6333" s="1" t="n">
        <v>45254</v>
      </c>
      <c r="C6333" s="1" t="n">
        <v>45952</v>
      </c>
      <c r="D6333" t="inlineStr">
        <is>
          <t>VÄSTRA GÖTALANDS LÄN</t>
        </is>
      </c>
      <c r="E6333" t="inlineStr">
        <is>
          <t>BOLLEBYGD</t>
        </is>
      </c>
      <c r="G6333" t="n">
        <v>1.2</v>
      </c>
      <c r="H6333" t="n">
        <v>0</v>
      </c>
      <c r="I6333" t="n">
        <v>0</v>
      </c>
      <c r="J6333" t="n">
        <v>0</v>
      </c>
      <c r="K6333" t="n">
        <v>0</v>
      </c>
      <c r="L6333" t="n">
        <v>0</v>
      </c>
      <c r="M6333" t="n">
        <v>0</v>
      </c>
      <c r="N6333" t="n">
        <v>0</v>
      </c>
      <c r="O6333" t="n">
        <v>0</v>
      </c>
      <c r="P6333" t="n">
        <v>0</v>
      </c>
      <c r="Q6333" t="n">
        <v>0</v>
      </c>
      <c r="R6333" s="2" t="inlineStr"/>
    </row>
    <row r="6334" ht="15" customHeight="1">
      <c r="A6334" t="inlineStr">
        <is>
          <t>A 60467-2023</t>
        </is>
      </c>
      <c r="B6334" s="1" t="n">
        <v>45259.58164351852</v>
      </c>
      <c r="C6334" s="1" t="n">
        <v>45952</v>
      </c>
      <c r="D6334" t="inlineStr">
        <is>
          <t>VÄSTRA GÖTALANDS LÄN</t>
        </is>
      </c>
      <c r="E6334" t="inlineStr">
        <is>
          <t>TRANEMO</t>
        </is>
      </c>
      <c r="G6334" t="n">
        <v>0.8</v>
      </c>
      <c r="H6334" t="n">
        <v>0</v>
      </c>
      <c r="I6334" t="n">
        <v>0</v>
      </c>
      <c r="J6334" t="n">
        <v>0</v>
      </c>
      <c r="K6334" t="n">
        <v>0</v>
      </c>
      <c r="L6334" t="n">
        <v>0</v>
      </c>
      <c r="M6334" t="n">
        <v>0</v>
      </c>
      <c r="N6334" t="n">
        <v>0</v>
      </c>
      <c r="O6334" t="n">
        <v>0</v>
      </c>
      <c r="P6334" t="n">
        <v>0</v>
      </c>
      <c r="Q6334" t="n">
        <v>0</v>
      </c>
      <c r="R6334" s="2" t="inlineStr"/>
    </row>
    <row r="6335" ht="15" customHeight="1">
      <c r="A6335" t="inlineStr">
        <is>
          <t>A 50234-2024</t>
        </is>
      </c>
      <c r="B6335" s="1" t="n">
        <v>45600.55275462963</v>
      </c>
      <c r="C6335" s="1" t="n">
        <v>45952</v>
      </c>
      <c r="D6335" t="inlineStr">
        <is>
          <t>VÄSTRA GÖTALANDS LÄN</t>
        </is>
      </c>
      <c r="E6335" t="inlineStr">
        <is>
          <t>STRÖMSTAD</t>
        </is>
      </c>
      <c r="G6335" t="n">
        <v>7.6</v>
      </c>
      <c r="H6335" t="n">
        <v>0</v>
      </c>
      <c r="I6335" t="n">
        <v>0</v>
      </c>
      <c r="J6335" t="n">
        <v>0</v>
      </c>
      <c r="K6335" t="n">
        <v>0</v>
      </c>
      <c r="L6335" t="n">
        <v>0</v>
      </c>
      <c r="M6335" t="n">
        <v>0</v>
      </c>
      <c r="N6335" t="n">
        <v>0</v>
      </c>
      <c r="O6335" t="n">
        <v>0</v>
      </c>
      <c r="P6335" t="n">
        <v>0</v>
      </c>
      <c r="Q6335" t="n">
        <v>0</v>
      </c>
      <c r="R6335" s="2" t="inlineStr"/>
    </row>
    <row r="6336" ht="15" customHeight="1">
      <c r="A6336" t="inlineStr">
        <is>
          <t>A 8195-2024</t>
        </is>
      </c>
      <c r="B6336" s="1" t="n">
        <v>45351.66591435186</v>
      </c>
      <c r="C6336" s="1" t="n">
        <v>45952</v>
      </c>
      <c r="D6336" t="inlineStr">
        <is>
          <t>VÄSTRA GÖTALANDS LÄN</t>
        </is>
      </c>
      <c r="E6336" t="inlineStr">
        <is>
          <t>VÅRGÅRDA</t>
        </is>
      </c>
      <c r="G6336" t="n">
        <v>0.8</v>
      </c>
      <c r="H6336" t="n">
        <v>0</v>
      </c>
      <c r="I6336" t="n">
        <v>0</v>
      </c>
      <c r="J6336" t="n">
        <v>0</v>
      </c>
      <c r="K6336" t="n">
        <v>0</v>
      </c>
      <c r="L6336" t="n">
        <v>0</v>
      </c>
      <c r="M6336" t="n">
        <v>0</v>
      </c>
      <c r="N6336" t="n">
        <v>0</v>
      </c>
      <c r="O6336" t="n">
        <v>0</v>
      </c>
      <c r="P6336" t="n">
        <v>0</v>
      </c>
      <c r="Q6336" t="n">
        <v>0</v>
      </c>
      <c r="R6336" s="2" t="inlineStr"/>
    </row>
    <row r="6337" ht="15" customHeight="1">
      <c r="A6337" t="inlineStr">
        <is>
          <t>A 43696-2021</t>
        </is>
      </c>
      <c r="B6337" s="1" t="n">
        <v>44433</v>
      </c>
      <c r="C6337" s="1" t="n">
        <v>45952</v>
      </c>
      <c r="D6337" t="inlineStr">
        <is>
          <t>VÄSTRA GÖTALANDS LÄN</t>
        </is>
      </c>
      <c r="E6337" t="inlineStr">
        <is>
          <t>BENGTSFORS</t>
        </is>
      </c>
      <c r="G6337" t="n">
        <v>15.5</v>
      </c>
      <c r="H6337" t="n">
        <v>0</v>
      </c>
      <c r="I6337" t="n">
        <v>0</v>
      </c>
      <c r="J6337" t="n">
        <v>0</v>
      </c>
      <c r="K6337" t="n">
        <v>0</v>
      </c>
      <c r="L6337" t="n">
        <v>0</v>
      </c>
      <c r="M6337" t="n">
        <v>0</v>
      </c>
      <c r="N6337" t="n">
        <v>0</v>
      </c>
      <c r="O6337" t="n">
        <v>0</v>
      </c>
      <c r="P6337" t="n">
        <v>0</v>
      </c>
      <c r="Q6337" t="n">
        <v>0</v>
      </c>
      <c r="R6337" s="2" t="inlineStr"/>
    </row>
    <row r="6338" ht="15" customHeight="1">
      <c r="A6338" t="inlineStr">
        <is>
          <t>A 60992-2021</t>
        </is>
      </c>
      <c r="B6338" s="1" t="n">
        <v>44497.61384259259</v>
      </c>
      <c r="C6338" s="1" t="n">
        <v>45952</v>
      </c>
      <c r="D6338" t="inlineStr">
        <is>
          <t>VÄSTRA GÖTALANDS LÄN</t>
        </is>
      </c>
      <c r="E6338" t="inlineStr">
        <is>
          <t>ULRICEHAMN</t>
        </is>
      </c>
      <c r="G6338" t="n">
        <v>1</v>
      </c>
      <c r="H6338" t="n">
        <v>0</v>
      </c>
      <c r="I6338" t="n">
        <v>0</v>
      </c>
      <c r="J6338" t="n">
        <v>0</v>
      </c>
      <c r="K6338" t="n">
        <v>0</v>
      </c>
      <c r="L6338" t="n">
        <v>0</v>
      </c>
      <c r="M6338" t="n">
        <v>0</v>
      </c>
      <c r="N6338" t="n">
        <v>0</v>
      </c>
      <c r="O6338" t="n">
        <v>0</v>
      </c>
      <c r="P6338" t="n">
        <v>0</v>
      </c>
      <c r="Q6338" t="n">
        <v>0</v>
      </c>
      <c r="R6338" s="2" t="inlineStr"/>
    </row>
    <row r="6339" ht="15" customHeight="1">
      <c r="A6339" t="inlineStr">
        <is>
          <t>A 2733-2021</t>
        </is>
      </c>
      <c r="B6339" s="1" t="n">
        <v>44215</v>
      </c>
      <c r="C6339" s="1" t="n">
        <v>45952</v>
      </c>
      <c r="D6339" t="inlineStr">
        <is>
          <t>VÄSTRA GÖTALANDS LÄN</t>
        </is>
      </c>
      <c r="E6339" t="inlineStr">
        <is>
          <t>ULRICEHAMN</t>
        </is>
      </c>
      <c r="G6339" t="n">
        <v>0.7</v>
      </c>
      <c r="H6339" t="n">
        <v>0</v>
      </c>
      <c r="I6339" t="n">
        <v>0</v>
      </c>
      <c r="J6339" t="n">
        <v>0</v>
      </c>
      <c r="K6339" t="n">
        <v>0</v>
      </c>
      <c r="L6339" t="n">
        <v>0</v>
      </c>
      <c r="M6339" t="n">
        <v>0</v>
      </c>
      <c r="N6339" t="n">
        <v>0</v>
      </c>
      <c r="O6339" t="n">
        <v>0</v>
      </c>
      <c r="P6339" t="n">
        <v>0</v>
      </c>
      <c r="Q6339" t="n">
        <v>0</v>
      </c>
      <c r="R6339" s="2" t="inlineStr"/>
    </row>
    <row r="6340" ht="15" customHeight="1">
      <c r="A6340" t="inlineStr">
        <is>
          <t>A 2750-2021</t>
        </is>
      </c>
      <c r="B6340" s="1" t="n">
        <v>44215</v>
      </c>
      <c r="C6340" s="1" t="n">
        <v>45952</v>
      </c>
      <c r="D6340" t="inlineStr">
        <is>
          <t>VÄSTRA GÖTALANDS LÄN</t>
        </is>
      </c>
      <c r="E6340" t="inlineStr">
        <is>
          <t>FÄRGELANDA</t>
        </is>
      </c>
      <c r="G6340" t="n">
        <v>5.2</v>
      </c>
      <c r="H6340" t="n">
        <v>0</v>
      </c>
      <c r="I6340" t="n">
        <v>0</v>
      </c>
      <c r="J6340" t="n">
        <v>0</v>
      </c>
      <c r="K6340" t="n">
        <v>0</v>
      </c>
      <c r="L6340" t="n">
        <v>0</v>
      </c>
      <c r="M6340" t="n">
        <v>0</v>
      </c>
      <c r="N6340" t="n">
        <v>0</v>
      </c>
      <c r="O6340" t="n">
        <v>0</v>
      </c>
      <c r="P6340" t="n">
        <v>0</v>
      </c>
      <c r="Q6340" t="n">
        <v>0</v>
      </c>
      <c r="R6340" s="2" t="inlineStr"/>
    </row>
    <row r="6341" ht="15" customHeight="1">
      <c r="A6341" t="inlineStr">
        <is>
          <t>A 15063-2024</t>
        </is>
      </c>
      <c r="B6341" s="1" t="n">
        <v>45399</v>
      </c>
      <c r="C6341" s="1" t="n">
        <v>45952</v>
      </c>
      <c r="D6341" t="inlineStr">
        <is>
          <t>VÄSTRA GÖTALANDS LÄN</t>
        </is>
      </c>
      <c r="E6341" t="inlineStr">
        <is>
          <t>FALKÖPING</t>
        </is>
      </c>
      <c r="F6341" t="inlineStr">
        <is>
          <t>Sveaskog</t>
        </is>
      </c>
      <c r="G6341" t="n">
        <v>7.6</v>
      </c>
      <c r="H6341" t="n">
        <v>0</v>
      </c>
      <c r="I6341" t="n">
        <v>0</v>
      </c>
      <c r="J6341" t="n">
        <v>0</v>
      </c>
      <c r="K6341" t="n">
        <v>0</v>
      </c>
      <c r="L6341" t="n">
        <v>0</v>
      </c>
      <c r="M6341" t="n">
        <v>0</v>
      </c>
      <c r="N6341" t="n">
        <v>0</v>
      </c>
      <c r="O6341" t="n">
        <v>0</v>
      </c>
      <c r="P6341" t="n">
        <v>0</v>
      </c>
      <c r="Q6341" t="n">
        <v>0</v>
      </c>
      <c r="R6341" s="2" t="inlineStr"/>
    </row>
    <row r="6342" ht="15" customHeight="1">
      <c r="A6342" t="inlineStr">
        <is>
          <t>A 34771-2023</t>
        </is>
      </c>
      <c r="B6342" s="1" t="n">
        <v>45140</v>
      </c>
      <c r="C6342" s="1" t="n">
        <v>45952</v>
      </c>
      <c r="D6342" t="inlineStr">
        <is>
          <t>VÄSTRA GÖTALANDS LÄN</t>
        </is>
      </c>
      <c r="E6342" t="inlineStr">
        <is>
          <t>ULRICEHAMN</t>
        </is>
      </c>
      <c r="G6342" t="n">
        <v>2.7</v>
      </c>
      <c r="H6342" t="n">
        <v>0</v>
      </c>
      <c r="I6342" t="n">
        <v>0</v>
      </c>
      <c r="J6342" t="n">
        <v>0</v>
      </c>
      <c r="K6342" t="n">
        <v>0</v>
      </c>
      <c r="L6342" t="n">
        <v>0</v>
      </c>
      <c r="M6342" t="n">
        <v>0</v>
      </c>
      <c r="N6342" t="n">
        <v>0</v>
      </c>
      <c r="O6342" t="n">
        <v>0</v>
      </c>
      <c r="P6342" t="n">
        <v>0</v>
      </c>
      <c r="Q6342" t="n">
        <v>0</v>
      </c>
      <c r="R6342" s="2" t="inlineStr"/>
    </row>
    <row r="6343" ht="15" customHeight="1">
      <c r="A6343" t="inlineStr">
        <is>
          <t>A 53401-2022</t>
        </is>
      </c>
      <c r="B6343" s="1" t="n">
        <v>44879.43978009259</v>
      </c>
      <c r="C6343" s="1" t="n">
        <v>45952</v>
      </c>
      <c r="D6343" t="inlineStr">
        <is>
          <t>VÄSTRA GÖTALANDS LÄN</t>
        </is>
      </c>
      <c r="E6343" t="inlineStr">
        <is>
          <t>TROLLHÄTTAN</t>
        </is>
      </c>
      <c r="G6343" t="n">
        <v>1.5</v>
      </c>
      <c r="H6343" t="n">
        <v>0</v>
      </c>
      <c r="I6343" t="n">
        <v>0</v>
      </c>
      <c r="J6343" t="n">
        <v>0</v>
      </c>
      <c r="K6343" t="n">
        <v>0</v>
      </c>
      <c r="L6343" t="n">
        <v>0</v>
      </c>
      <c r="M6343" t="n">
        <v>0</v>
      </c>
      <c r="N6343" t="n">
        <v>0</v>
      </c>
      <c r="O6343" t="n">
        <v>0</v>
      </c>
      <c r="P6343" t="n">
        <v>0</v>
      </c>
      <c r="Q6343" t="n">
        <v>0</v>
      </c>
      <c r="R6343" s="2" t="inlineStr"/>
    </row>
    <row r="6344" ht="15" customHeight="1">
      <c r="A6344" t="inlineStr">
        <is>
          <t>A 18759-2024</t>
        </is>
      </c>
      <c r="B6344" s="1" t="n">
        <v>45426</v>
      </c>
      <c r="C6344" s="1" t="n">
        <v>45952</v>
      </c>
      <c r="D6344" t="inlineStr">
        <is>
          <t>VÄSTRA GÖTALANDS LÄN</t>
        </is>
      </c>
      <c r="E6344" t="inlineStr">
        <is>
          <t>FALKÖPING</t>
        </is>
      </c>
      <c r="G6344" t="n">
        <v>5.5</v>
      </c>
      <c r="H6344" t="n">
        <v>0</v>
      </c>
      <c r="I6344" t="n">
        <v>0</v>
      </c>
      <c r="J6344" t="n">
        <v>0</v>
      </c>
      <c r="K6344" t="n">
        <v>0</v>
      </c>
      <c r="L6344" t="n">
        <v>0</v>
      </c>
      <c r="M6344" t="n">
        <v>0</v>
      </c>
      <c r="N6344" t="n">
        <v>0</v>
      </c>
      <c r="O6344" t="n">
        <v>0</v>
      </c>
      <c r="P6344" t="n">
        <v>0</v>
      </c>
      <c r="Q6344" t="n">
        <v>0</v>
      </c>
      <c r="R6344" s="2" t="inlineStr"/>
    </row>
    <row r="6345" ht="15" customHeight="1">
      <c r="A6345" t="inlineStr">
        <is>
          <t>A 18768-2024</t>
        </is>
      </c>
      <c r="B6345" s="1" t="n">
        <v>45426.5609837963</v>
      </c>
      <c r="C6345" s="1" t="n">
        <v>45952</v>
      </c>
      <c r="D6345" t="inlineStr">
        <is>
          <t>VÄSTRA GÖTALANDS LÄN</t>
        </is>
      </c>
      <c r="E6345" t="inlineStr">
        <is>
          <t>LIDKÖPING</t>
        </is>
      </c>
      <c r="G6345" t="n">
        <v>0.8</v>
      </c>
      <c r="H6345" t="n">
        <v>0</v>
      </c>
      <c r="I6345" t="n">
        <v>0</v>
      </c>
      <c r="J6345" t="n">
        <v>0</v>
      </c>
      <c r="K6345" t="n">
        <v>0</v>
      </c>
      <c r="L6345" t="n">
        <v>0</v>
      </c>
      <c r="M6345" t="n">
        <v>0</v>
      </c>
      <c r="N6345" t="n">
        <v>0</v>
      </c>
      <c r="O6345" t="n">
        <v>0</v>
      </c>
      <c r="P6345" t="n">
        <v>0</v>
      </c>
      <c r="Q6345" t="n">
        <v>0</v>
      </c>
      <c r="R6345" s="2" t="inlineStr"/>
    </row>
    <row r="6346" ht="15" customHeight="1">
      <c r="A6346" t="inlineStr">
        <is>
          <t>A 6752-2023</t>
        </is>
      </c>
      <c r="B6346" s="1" t="n">
        <v>44966.87815972222</v>
      </c>
      <c r="C6346" s="1" t="n">
        <v>45952</v>
      </c>
      <c r="D6346" t="inlineStr">
        <is>
          <t>VÄSTRA GÖTALANDS LÄN</t>
        </is>
      </c>
      <c r="E6346" t="inlineStr">
        <is>
          <t>VÄNERSBORG</t>
        </is>
      </c>
      <c r="G6346" t="n">
        <v>1.1</v>
      </c>
      <c r="H6346" t="n">
        <v>0</v>
      </c>
      <c r="I6346" t="n">
        <v>0</v>
      </c>
      <c r="J6346" t="n">
        <v>0</v>
      </c>
      <c r="K6346" t="n">
        <v>0</v>
      </c>
      <c r="L6346" t="n">
        <v>0</v>
      </c>
      <c r="M6346" t="n">
        <v>0</v>
      </c>
      <c r="N6346" t="n">
        <v>0</v>
      </c>
      <c r="O6346" t="n">
        <v>0</v>
      </c>
      <c r="P6346" t="n">
        <v>0</v>
      </c>
      <c r="Q6346" t="n">
        <v>0</v>
      </c>
      <c r="R6346" s="2" t="inlineStr"/>
    </row>
    <row r="6347" ht="15" customHeight="1">
      <c r="A6347" t="inlineStr">
        <is>
          <t>A 33099-2025</t>
        </is>
      </c>
      <c r="B6347" s="1" t="n">
        <v>45840.4775</v>
      </c>
      <c r="C6347" s="1" t="n">
        <v>45952</v>
      </c>
      <c r="D6347" t="inlineStr">
        <is>
          <t>VÄSTRA GÖTALANDS LÄN</t>
        </is>
      </c>
      <c r="E6347" t="inlineStr">
        <is>
          <t>VARA</t>
        </is>
      </c>
      <c r="G6347" t="n">
        <v>0.7</v>
      </c>
      <c r="H6347" t="n">
        <v>0</v>
      </c>
      <c r="I6347" t="n">
        <v>0</v>
      </c>
      <c r="J6347" t="n">
        <v>0</v>
      </c>
      <c r="K6347" t="n">
        <v>0</v>
      </c>
      <c r="L6347" t="n">
        <v>0</v>
      </c>
      <c r="M6347" t="n">
        <v>0</v>
      </c>
      <c r="N6347" t="n">
        <v>0</v>
      </c>
      <c r="O6347" t="n">
        <v>0</v>
      </c>
      <c r="P6347" t="n">
        <v>0</v>
      </c>
      <c r="Q6347" t="n">
        <v>0</v>
      </c>
      <c r="R6347" s="2" t="inlineStr"/>
    </row>
    <row r="6348" ht="15" customHeight="1">
      <c r="A6348" t="inlineStr">
        <is>
          <t>A 34773-2023</t>
        </is>
      </c>
      <c r="B6348" s="1" t="n">
        <v>45140</v>
      </c>
      <c r="C6348" s="1" t="n">
        <v>45952</v>
      </c>
      <c r="D6348" t="inlineStr">
        <is>
          <t>VÄSTRA GÖTALANDS LÄN</t>
        </is>
      </c>
      <c r="E6348" t="inlineStr">
        <is>
          <t>ULRICEHAMN</t>
        </is>
      </c>
      <c r="G6348" t="n">
        <v>4.5</v>
      </c>
      <c r="H6348" t="n">
        <v>0</v>
      </c>
      <c r="I6348" t="n">
        <v>0</v>
      </c>
      <c r="J6348" t="n">
        <v>0</v>
      </c>
      <c r="K6348" t="n">
        <v>0</v>
      </c>
      <c r="L6348" t="n">
        <v>0</v>
      </c>
      <c r="M6348" t="n">
        <v>0</v>
      </c>
      <c r="N6348" t="n">
        <v>0</v>
      </c>
      <c r="O6348" t="n">
        <v>0</v>
      </c>
      <c r="P6348" t="n">
        <v>0</v>
      </c>
      <c r="Q6348" t="n">
        <v>0</v>
      </c>
      <c r="R6348" s="2" t="inlineStr"/>
    </row>
    <row r="6349" ht="15" customHeight="1">
      <c r="A6349" t="inlineStr">
        <is>
          <t>A 30650-2023</t>
        </is>
      </c>
      <c r="B6349" s="1" t="n">
        <v>45112.47785879629</v>
      </c>
      <c r="C6349" s="1" t="n">
        <v>45952</v>
      </c>
      <c r="D6349" t="inlineStr">
        <is>
          <t>VÄSTRA GÖTALANDS LÄN</t>
        </is>
      </c>
      <c r="E6349" t="inlineStr">
        <is>
          <t>BOLLEBYGD</t>
        </is>
      </c>
      <c r="G6349" t="n">
        <v>2.1</v>
      </c>
      <c r="H6349" t="n">
        <v>0</v>
      </c>
      <c r="I6349" t="n">
        <v>0</v>
      </c>
      <c r="J6349" t="n">
        <v>0</v>
      </c>
      <c r="K6349" t="n">
        <v>0</v>
      </c>
      <c r="L6349" t="n">
        <v>0</v>
      </c>
      <c r="M6349" t="n">
        <v>0</v>
      </c>
      <c r="N6349" t="n">
        <v>0</v>
      </c>
      <c r="O6349" t="n">
        <v>0</v>
      </c>
      <c r="P6349" t="n">
        <v>0</v>
      </c>
      <c r="Q6349" t="n">
        <v>0</v>
      </c>
      <c r="R6349" s="2" t="inlineStr"/>
    </row>
    <row r="6350" ht="15" customHeight="1">
      <c r="A6350" t="inlineStr">
        <is>
          <t>A 34779-2023</t>
        </is>
      </c>
      <c r="B6350" s="1" t="n">
        <v>45141.53666666667</v>
      </c>
      <c r="C6350" s="1" t="n">
        <v>45952</v>
      </c>
      <c r="D6350" t="inlineStr">
        <is>
          <t>VÄSTRA GÖTALANDS LÄN</t>
        </is>
      </c>
      <c r="E6350" t="inlineStr">
        <is>
          <t>LIDKÖPING</t>
        </is>
      </c>
      <c r="G6350" t="n">
        <v>3</v>
      </c>
      <c r="H6350" t="n">
        <v>0</v>
      </c>
      <c r="I6350" t="n">
        <v>0</v>
      </c>
      <c r="J6350" t="n">
        <v>0</v>
      </c>
      <c r="K6350" t="n">
        <v>0</v>
      </c>
      <c r="L6350" t="n">
        <v>0</v>
      </c>
      <c r="M6350" t="n">
        <v>0</v>
      </c>
      <c r="N6350" t="n">
        <v>0</v>
      </c>
      <c r="O6350" t="n">
        <v>0</v>
      </c>
      <c r="P6350" t="n">
        <v>0</v>
      </c>
      <c r="Q6350" t="n">
        <v>0</v>
      </c>
      <c r="R6350" s="2" t="inlineStr"/>
    </row>
    <row r="6351" ht="15" customHeight="1">
      <c r="A6351" t="inlineStr">
        <is>
          <t>A 7418-2023</t>
        </is>
      </c>
      <c r="B6351" s="1" t="n">
        <v>44971</v>
      </c>
      <c r="C6351" s="1" t="n">
        <v>45952</v>
      </c>
      <c r="D6351" t="inlineStr">
        <is>
          <t>VÄSTRA GÖTALANDS LÄN</t>
        </is>
      </c>
      <c r="E6351" t="inlineStr">
        <is>
          <t>MARIESTAD</t>
        </is>
      </c>
      <c r="G6351" t="n">
        <v>0.5</v>
      </c>
      <c r="H6351" t="n">
        <v>0</v>
      </c>
      <c r="I6351" t="n">
        <v>0</v>
      </c>
      <c r="J6351" t="n">
        <v>0</v>
      </c>
      <c r="K6351" t="n">
        <v>0</v>
      </c>
      <c r="L6351" t="n">
        <v>0</v>
      </c>
      <c r="M6351" t="n">
        <v>0</v>
      </c>
      <c r="N6351" t="n">
        <v>0</v>
      </c>
      <c r="O6351" t="n">
        <v>0</v>
      </c>
      <c r="P6351" t="n">
        <v>0</v>
      </c>
      <c r="Q6351" t="n">
        <v>0</v>
      </c>
      <c r="R6351" s="2" t="inlineStr"/>
    </row>
    <row r="6352" ht="15" customHeight="1">
      <c r="A6352" t="inlineStr">
        <is>
          <t>A 38392-2022</t>
        </is>
      </c>
      <c r="B6352" s="1" t="n">
        <v>44812</v>
      </c>
      <c r="C6352" s="1" t="n">
        <v>45952</v>
      </c>
      <c r="D6352" t="inlineStr">
        <is>
          <t>VÄSTRA GÖTALANDS LÄN</t>
        </is>
      </c>
      <c r="E6352" t="inlineStr">
        <is>
          <t>DALS-ED</t>
        </is>
      </c>
      <c r="G6352" t="n">
        <v>1.8</v>
      </c>
      <c r="H6352" t="n">
        <v>0</v>
      </c>
      <c r="I6352" t="n">
        <v>0</v>
      </c>
      <c r="J6352" t="n">
        <v>0</v>
      </c>
      <c r="K6352" t="n">
        <v>0</v>
      </c>
      <c r="L6352" t="n">
        <v>0</v>
      </c>
      <c r="M6352" t="n">
        <v>0</v>
      </c>
      <c r="N6352" t="n">
        <v>0</v>
      </c>
      <c r="O6352" t="n">
        <v>0</v>
      </c>
      <c r="P6352" t="n">
        <v>0</v>
      </c>
      <c r="Q6352" t="n">
        <v>0</v>
      </c>
      <c r="R6352" s="2" t="inlineStr"/>
    </row>
    <row r="6353" ht="15" customHeight="1">
      <c r="A6353" t="inlineStr">
        <is>
          <t>A 18126-2023</t>
        </is>
      </c>
      <c r="B6353" s="1" t="n">
        <v>45040.8387962963</v>
      </c>
      <c r="C6353" s="1" t="n">
        <v>45952</v>
      </c>
      <c r="D6353" t="inlineStr">
        <is>
          <t>VÄSTRA GÖTALANDS LÄN</t>
        </is>
      </c>
      <c r="E6353" t="inlineStr">
        <is>
          <t>FALKÖPING</t>
        </is>
      </c>
      <c r="G6353" t="n">
        <v>0.5</v>
      </c>
      <c r="H6353" t="n">
        <v>0</v>
      </c>
      <c r="I6353" t="n">
        <v>0</v>
      </c>
      <c r="J6353" t="n">
        <v>0</v>
      </c>
      <c r="K6353" t="n">
        <v>0</v>
      </c>
      <c r="L6353" t="n">
        <v>0</v>
      </c>
      <c r="M6353" t="n">
        <v>0</v>
      </c>
      <c r="N6353" t="n">
        <v>0</v>
      </c>
      <c r="O6353" t="n">
        <v>0</v>
      </c>
      <c r="P6353" t="n">
        <v>0</v>
      </c>
      <c r="Q6353" t="n">
        <v>0</v>
      </c>
      <c r="R6353" s="2" t="inlineStr"/>
    </row>
    <row r="6354" ht="15" customHeight="1">
      <c r="A6354" t="inlineStr">
        <is>
          <t>A 18131-2023</t>
        </is>
      </c>
      <c r="B6354" s="1" t="n">
        <v>45040.86141203704</v>
      </c>
      <c r="C6354" s="1" t="n">
        <v>45952</v>
      </c>
      <c r="D6354" t="inlineStr">
        <is>
          <t>VÄSTRA GÖTALANDS LÄN</t>
        </is>
      </c>
      <c r="E6354" t="inlineStr">
        <is>
          <t>FALKÖPING</t>
        </is>
      </c>
      <c r="G6354" t="n">
        <v>0.9</v>
      </c>
      <c r="H6354" t="n">
        <v>0</v>
      </c>
      <c r="I6354" t="n">
        <v>0</v>
      </c>
      <c r="J6354" t="n">
        <v>0</v>
      </c>
      <c r="K6354" t="n">
        <v>0</v>
      </c>
      <c r="L6354" t="n">
        <v>0</v>
      </c>
      <c r="M6354" t="n">
        <v>0</v>
      </c>
      <c r="N6354" t="n">
        <v>0</v>
      </c>
      <c r="O6354" t="n">
        <v>0</v>
      </c>
      <c r="P6354" t="n">
        <v>0</v>
      </c>
      <c r="Q6354" t="n">
        <v>0</v>
      </c>
      <c r="R6354" s="2" t="inlineStr"/>
    </row>
    <row r="6355" ht="15" customHeight="1">
      <c r="A6355" t="inlineStr">
        <is>
          <t>A 18132-2023</t>
        </is>
      </c>
      <c r="B6355" s="1" t="n">
        <v>45040</v>
      </c>
      <c r="C6355" s="1" t="n">
        <v>45952</v>
      </c>
      <c r="D6355" t="inlineStr">
        <is>
          <t>VÄSTRA GÖTALANDS LÄN</t>
        </is>
      </c>
      <c r="E6355" t="inlineStr">
        <is>
          <t>SKÖVDE</t>
        </is>
      </c>
      <c r="G6355" t="n">
        <v>0.9</v>
      </c>
      <c r="H6355" t="n">
        <v>0</v>
      </c>
      <c r="I6355" t="n">
        <v>0</v>
      </c>
      <c r="J6355" t="n">
        <v>0</v>
      </c>
      <c r="K6355" t="n">
        <v>0</v>
      </c>
      <c r="L6355" t="n">
        <v>0</v>
      </c>
      <c r="M6355" t="n">
        <v>0</v>
      </c>
      <c r="N6355" t="n">
        <v>0</v>
      </c>
      <c r="O6355" t="n">
        <v>0</v>
      </c>
      <c r="P6355" t="n">
        <v>0</v>
      </c>
      <c r="Q6355" t="n">
        <v>0</v>
      </c>
      <c r="R6355" s="2" t="inlineStr"/>
    </row>
    <row r="6356" ht="15" customHeight="1">
      <c r="A6356" t="inlineStr">
        <is>
          <t>A 14722-2023</t>
        </is>
      </c>
      <c r="B6356" s="1" t="n">
        <v>45014</v>
      </c>
      <c r="C6356" s="1" t="n">
        <v>45952</v>
      </c>
      <c r="D6356" t="inlineStr">
        <is>
          <t>VÄSTRA GÖTALANDS LÄN</t>
        </is>
      </c>
      <c r="E6356" t="inlineStr">
        <is>
          <t>VÄNERSBORG</t>
        </is>
      </c>
      <c r="G6356" t="n">
        <v>2.1</v>
      </c>
      <c r="H6356" t="n">
        <v>0</v>
      </c>
      <c r="I6356" t="n">
        <v>0</v>
      </c>
      <c r="J6356" t="n">
        <v>0</v>
      </c>
      <c r="K6356" t="n">
        <v>0</v>
      </c>
      <c r="L6356" t="n">
        <v>0</v>
      </c>
      <c r="M6356" t="n">
        <v>0</v>
      </c>
      <c r="N6356" t="n">
        <v>0</v>
      </c>
      <c r="O6356" t="n">
        <v>0</v>
      </c>
      <c r="P6356" t="n">
        <v>0</v>
      </c>
      <c r="Q6356" t="n">
        <v>0</v>
      </c>
      <c r="R6356" s="2" t="inlineStr"/>
    </row>
    <row r="6357" ht="15" customHeight="1">
      <c r="A6357" t="inlineStr">
        <is>
          <t>A 24807-2023</t>
        </is>
      </c>
      <c r="B6357" s="1" t="n">
        <v>45084</v>
      </c>
      <c r="C6357" s="1" t="n">
        <v>45952</v>
      </c>
      <c r="D6357" t="inlineStr">
        <is>
          <t>VÄSTRA GÖTALANDS LÄN</t>
        </is>
      </c>
      <c r="E6357" t="inlineStr">
        <is>
          <t>STENUNGSUND</t>
        </is>
      </c>
      <c r="G6357" t="n">
        <v>3</v>
      </c>
      <c r="H6357" t="n">
        <v>0</v>
      </c>
      <c r="I6357" t="n">
        <v>0</v>
      </c>
      <c r="J6357" t="n">
        <v>0</v>
      </c>
      <c r="K6357" t="n">
        <v>0</v>
      </c>
      <c r="L6357" t="n">
        <v>0</v>
      </c>
      <c r="M6357" t="n">
        <v>0</v>
      </c>
      <c r="N6357" t="n">
        <v>0</v>
      </c>
      <c r="O6357" t="n">
        <v>0</v>
      </c>
      <c r="P6357" t="n">
        <v>0</v>
      </c>
      <c r="Q6357" t="n">
        <v>0</v>
      </c>
      <c r="R6357" s="2" t="inlineStr"/>
    </row>
    <row r="6358" ht="15" customHeight="1">
      <c r="A6358" t="inlineStr">
        <is>
          <t>A 24809-2023</t>
        </is>
      </c>
      <c r="B6358" s="1" t="n">
        <v>45084.84119212963</v>
      </c>
      <c r="C6358" s="1" t="n">
        <v>45952</v>
      </c>
      <c r="D6358" t="inlineStr">
        <is>
          <t>VÄSTRA GÖTALANDS LÄN</t>
        </is>
      </c>
      <c r="E6358" t="inlineStr">
        <is>
          <t>MUNKEDAL</t>
        </is>
      </c>
      <c r="G6358" t="n">
        <v>0.9</v>
      </c>
      <c r="H6358" t="n">
        <v>0</v>
      </c>
      <c r="I6358" t="n">
        <v>0</v>
      </c>
      <c r="J6358" t="n">
        <v>0</v>
      </c>
      <c r="K6358" t="n">
        <v>0</v>
      </c>
      <c r="L6358" t="n">
        <v>0</v>
      </c>
      <c r="M6358" t="n">
        <v>0</v>
      </c>
      <c r="N6358" t="n">
        <v>0</v>
      </c>
      <c r="O6358" t="n">
        <v>0</v>
      </c>
      <c r="P6358" t="n">
        <v>0</v>
      </c>
      <c r="Q6358" t="n">
        <v>0</v>
      </c>
      <c r="R6358" s="2" t="inlineStr"/>
    </row>
    <row r="6359" ht="15" customHeight="1">
      <c r="A6359" t="inlineStr">
        <is>
          <t>A 24812-2023</t>
        </is>
      </c>
      <c r="B6359" s="1" t="n">
        <v>45084</v>
      </c>
      <c r="C6359" s="1" t="n">
        <v>45952</v>
      </c>
      <c r="D6359" t="inlineStr">
        <is>
          <t>VÄSTRA GÖTALANDS LÄN</t>
        </is>
      </c>
      <c r="E6359" t="inlineStr">
        <is>
          <t>MUNKEDAL</t>
        </is>
      </c>
      <c r="G6359" t="n">
        <v>2.4</v>
      </c>
      <c r="H6359" t="n">
        <v>0</v>
      </c>
      <c r="I6359" t="n">
        <v>0</v>
      </c>
      <c r="J6359" t="n">
        <v>0</v>
      </c>
      <c r="K6359" t="n">
        <v>0</v>
      </c>
      <c r="L6359" t="n">
        <v>0</v>
      </c>
      <c r="M6359" t="n">
        <v>0</v>
      </c>
      <c r="N6359" t="n">
        <v>0</v>
      </c>
      <c r="O6359" t="n">
        <v>0</v>
      </c>
      <c r="P6359" t="n">
        <v>0</v>
      </c>
      <c r="Q6359" t="n">
        <v>0</v>
      </c>
      <c r="R6359" s="2" t="inlineStr"/>
    </row>
    <row r="6360" ht="15" customHeight="1">
      <c r="A6360" t="inlineStr">
        <is>
          <t>A 29995-2023</t>
        </is>
      </c>
      <c r="B6360" s="1" t="n">
        <v>45109.62675925926</v>
      </c>
      <c r="C6360" s="1" t="n">
        <v>45952</v>
      </c>
      <c r="D6360" t="inlineStr">
        <is>
          <t>VÄSTRA GÖTALANDS LÄN</t>
        </is>
      </c>
      <c r="E6360" t="inlineStr">
        <is>
          <t>ÅMÅL</t>
        </is>
      </c>
      <c r="G6360" t="n">
        <v>7.4</v>
      </c>
      <c r="H6360" t="n">
        <v>0</v>
      </c>
      <c r="I6360" t="n">
        <v>0</v>
      </c>
      <c r="J6360" t="n">
        <v>0</v>
      </c>
      <c r="K6360" t="n">
        <v>0</v>
      </c>
      <c r="L6360" t="n">
        <v>0</v>
      </c>
      <c r="M6360" t="n">
        <v>0</v>
      </c>
      <c r="N6360" t="n">
        <v>0</v>
      </c>
      <c r="O6360" t="n">
        <v>0</v>
      </c>
      <c r="P6360" t="n">
        <v>0</v>
      </c>
      <c r="Q6360" t="n">
        <v>0</v>
      </c>
      <c r="R6360" s="2" t="inlineStr"/>
    </row>
    <row r="6361" ht="15" customHeight="1">
      <c r="A6361" t="inlineStr">
        <is>
          <t>A 9579-2021</t>
        </is>
      </c>
      <c r="B6361" s="1" t="n">
        <v>44251</v>
      </c>
      <c r="C6361" s="1" t="n">
        <v>45952</v>
      </c>
      <c r="D6361" t="inlineStr">
        <is>
          <t>VÄSTRA GÖTALANDS LÄN</t>
        </is>
      </c>
      <c r="E6361" t="inlineStr">
        <is>
          <t>VARA</t>
        </is>
      </c>
      <c r="G6361" t="n">
        <v>1</v>
      </c>
      <c r="H6361" t="n">
        <v>0</v>
      </c>
      <c r="I6361" t="n">
        <v>0</v>
      </c>
      <c r="J6361" t="n">
        <v>0</v>
      </c>
      <c r="K6361" t="n">
        <v>0</v>
      </c>
      <c r="L6361" t="n">
        <v>0</v>
      </c>
      <c r="M6361" t="n">
        <v>0</v>
      </c>
      <c r="N6361" t="n">
        <v>0</v>
      </c>
      <c r="O6361" t="n">
        <v>0</v>
      </c>
      <c r="P6361" t="n">
        <v>0</v>
      </c>
      <c r="Q6361" t="n">
        <v>0</v>
      </c>
      <c r="R6361" s="2" t="inlineStr"/>
    </row>
    <row r="6362" ht="15" customHeight="1">
      <c r="A6362" t="inlineStr">
        <is>
          <t>A 17025-2024</t>
        </is>
      </c>
      <c r="B6362" s="1" t="n">
        <v>45412.38614583333</v>
      </c>
      <c r="C6362" s="1" t="n">
        <v>45952</v>
      </c>
      <c r="D6362" t="inlineStr">
        <is>
          <t>VÄSTRA GÖTALANDS LÄN</t>
        </is>
      </c>
      <c r="E6362" t="inlineStr">
        <is>
          <t>BORÅS</t>
        </is>
      </c>
      <c r="G6362" t="n">
        <v>1.1</v>
      </c>
      <c r="H6362" t="n">
        <v>0</v>
      </c>
      <c r="I6362" t="n">
        <v>0</v>
      </c>
      <c r="J6362" t="n">
        <v>0</v>
      </c>
      <c r="K6362" t="n">
        <v>0</v>
      </c>
      <c r="L6362" t="n">
        <v>0</v>
      </c>
      <c r="M6362" t="n">
        <v>0</v>
      </c>
      <c r="N6362" t="n">
        <v>0</v>
      </c>
      <c r="O6362" t="n">
        <v>0</v>
      </c>
      <c r="P6362" t="n">
        <v>0</v>
      </c>
      <c r="Q6362" t="n">
        <v>0</v>
      </c>
      <c r="R6362" s="2" t="inlineStr"/>
    </row>
    <row r="6363" ht="15" customHeight="1">
      <c r="A6363" t="inlineStr">
        <is>
          <t>A 3457-2022</t>
        </is>
      </c>
      <c r="B6363" s="1" t="n">
        <v>44585</v>
      </c>
      <c r="C6363" s="1" t="n">
        <v>45952</v>
      </c>
      <c r="D6363" t="inlineStr">
        <is>
          <t>VÄSTRA GÖTALANDS LÄN</t>
        </is>
      </c>
      <c r="E6363" t="inlineStr">
        <is>
          <t>ALE</t>
        </is>
      </c>
      <c r="G6363" t="n">
        <v>5.1</v>
      </c>
      <c r="H6363" t="n">
        <v>0</v>
      </c>
      <c r="I6363" t="n">
        <v>0</v>
      </c>
      <c r="J6363" t="n">
        <v>0</v>
      </c>
      <c r="K6363" t="n">
        <v>0</v>
      </c>
      <c r="L6363" t="n">
        <v>0</v>
      </c>
      <c r="M6363" t="n">
        <v>0</v>
      </c>
      <c r="N6363" t="n">
        <v>0</v>
      </c>
      <c r="O6363" t="n">
        <v>0</v>
      </c>
      <c r="P6363" t="n">
        <v>0</v>
      </c>
      <c r="Q6363" t="n">
        <v>0</v>
      </c>
      <c r="R6363" s="2" t="inlineStr"/>
    </row>
    <row r="6364" ht="15" customHeight="1">
      <c r="A6364" t="inlineStr">
        <is>
          <t>A 52596-2024</t>
        </is>
      </c>
      <c r="B6364" s="1" t="n">
        <v>45609.71940972222</v>
      </c>
      <c r="C6364" s="1" t="n">
        <v>45952</v>
      </c>
      <c r="D6364" t="inlineStr">
        <is>
          <t>VÄSTRA GÖTALANDS LÄN</t>
        </is>
      </c>
      <c r="E6364" t="inlineStr">
        <is>
          <t>TRANEMO</t>
        </is>
      </c>
      <c r="G6364" t="n">
        <v>4</v>
      </c>
      <c r="H6364" t="n">
        <v>0</v>
      </c>
      <c r="I6364" t="n">
        <v>0</v>
      </c>
      <c r="J6364" t="n">
        <v>0</v>
      </c>
      <c r="K6364" t="n">
        <v>0</v>
      </c>
      <c r="L6364" t="n">
        <v>0</v>
      </c>
      <c r="M6364" t="n">
        <v>0</v>
      </c>
      <c r="N6364" t="n">
        <v>0</v>
      </c>
      <c r="O6364" t="n">
        <v>0</v>
      </c>
      <c r="P6364" t="n">
        <v>0</v>
      </c>
      <c r="Q6364" t="n">
        <v>0</v>
      </c>
      <c r="R6364" s="2" t="inlineStr"/>
    </row>
    <row r="6365" ht="15" customHeight="1">
      <c r="A6365" t="inlineStr">
        <is>
          <t>A 5264-2022</t>
        </is>
      </c>
      <c r="B6365" s="1" t="n">
        <v>44594</v>
      </c>
      <c r="C6365" s="1" t="n">
        <v>45952</v>
      </c>
      <c r="D6365" t="inlineStr">
        <is>
          <t>VÄSTRA GÖTALANDS LÄN</t>
        </is>
      </c>
      <c r="E6365" t="inlineStr">
        <is>
          <t>FALKÖPING</t>
        </is>
      </c>
      <c r="G6365" t="n">
        <v>1.5</v>
      </c>
      <c r="H6365" t="n">
        <v>0</v>
      </c>
      <c r="I6365" t="n">
        <v>0</v>
      </c>
      <c r="J6365" t="n">
        <v>0</v>
      </c>
      <c r="K6365" t="n">
        <v>0</v>
      </c>
      <c r="L6365" t="n">
        <v>0</v>
      </c>
      <c r="M6365" t="n">
        <v>0</v>
      </c>
      <c r="N6365" t="n">
        <v>0</v>
      </c>
      <c r="O6365" t="n">
        <v>0</v>
      </c>
      <c r="P6365" t="n">
        <v>0</v>
      </c>
      <c r="Q6365" t="n">
        <v>0</v>
      </c>
      <c r="R6365" s="2" t="inlineStr"/>
    </row>
    <row r="6366" ht="15" customHeight="1">
      <c r="A6366" t="inlineStr">
        <is>
          <t>A 17908-2025</t>
        </is>
      </c>
      <c r="B6366" s="1" t="n">
        <v>45758.73297453704</v>
      </c>
      <c r="C6366" s="1" t="n">
        <v>45952</v>
      </c>
      <c r="D6366" t="inlineStr">
        <is>
          <t>VÄSTRA GÖTALANDS LÄN</t>
        </is>
      </c>
      <c r="E6366" t="inlineStr">
        <is>
          <t>KARLSBORG</t>
        </is>
      </c>
      <c r="G6366" t="n">
        <v>2</v>
      </c>
      <c r="H6366" t="n">
        <v>0</v>
      </c>
      <c r="I6366" t="n">
        <v>0</v>
      </c>
      <c r="J6366" t="n">
        <v>0</v>
      </c>
      <c r="K6366" t="n">
        <v>0</v>
      </c>
      <c r="L6366" t="n">
        <v>0</v>
      </c>
      <c r="M6366" t="n">
        <v>0</v>
      </c>
      <c r="N6366" t="n">
        <v>0</v>
      </c>
      <c r="O6366" t="n">
        <v>0</v>
      </c>
      <c r="P6366" t="n">
        <v>0</v>
      </c>
      <c r="Q6366" t="n">
        <v>0</v>
      </c>
      <c r="R6366" s="2" t="inlineStr"/>
    </row>
    <row r="6367" ht="15" customHeight="1">
      <c r="A6367" t="inlineStr">
        <is>
          <t>A 17911-2025</t>
        </is>
      </c>
      <c r="B6367" s="1" t="n">
        <v>45758.74115740741</v>
      </c>
      <c r="C6367" s="1" t="n">
        <v>45952</v>
      </c>
      <c r="D6367" t="inlineStr">
        <is>
          <t>VÄSTRA GÖTALANDS LÄN</t>
        </is>
      </c>
      <c r="E6367" t="inlineStr">
        <is>
          <t>VARA</t>
        </is>
      </c>
      <c r="G6367" t="n">
        <v>1.8</v>
      </c>
      <c r="H6367" t="n">
        <v>0</v>
      </c>
      <c r="I6367" t="n">
        <v>0</v>
      </c>
      <c r="J6367" t="n">
        <v>0</v>
      </c>
      <c r="K6367" t="n">
        <v>0</v>
      </c>
      <c r="L6367" t="n">
        <v>0</v>
      </c>
      <c r="M6367" t="n">
        <v>0</v>
      </c>
      <c r="N6367" t="n">
        <v>0</v>
      </c>
      <c r="O6367" t="n">
        <v>0</v>
      </c>
      <c r="P6367" t="n">
        <v>0</v>
      </c>
      <c r="Q6367" t="n">
        <v>0</v>
      </c>
      <c r="R6367" s="2" t="inlineStr"/>
    </row>
    <row r="6368" ht="15" customHeight="1">
      <c r="A6368" t="inlineStr">
        <is>
          <t>A 25769-2023</t>
        </is>
      </c>
      <c r="B6368" s="1" t="n">
        <v>45090.46358796296</v>
      </c>
      <c r="C6368" s="1" t="n">
        <v>45952</v>
      </c>
      <c r="D6368" t="inlineStr">
        <is>
          <t>VÄSTRA GÖTALANDS LÄN</t>
        </is>
      </c>
      <c r="E6368" t="inlineStr">
        <is>
          <t>ULRICEHAMN</t>
        </is>
      </c>
      <c r="G6368" t="n">
        <v>9</v>
      </c>
      <c r="H6368" t="n">
        <v>0</v>
      </c>
      <c r="I6368" t="n">
        <v>0</v>
      </c>
      <c r="J6368" t="n">
        <v>0</v>
      </c>
      <c r="K6368" t="n">
        <v>0</v>
      </c>
      <c r="L6368" t="n">
        <v>0</v>
      </c>
      <c r="M6368" t="n">
        <v>0</v>
      </c>
      <c r="N6368" t="n">
        <v>0</v>
      </c>
      <c r="O6368" t="n">
        <v>0</v>
      </c>
      <c r="P6368" t="n">
        <v>0</v>
      </c>
      <c r="Q6368" t="n">
        <v>0</v>
      </c>
      <c r="R6368" s="2" t="inlineStr"/>
    </row>
    <row r="6369" ht="15" customHeight="1">
      <c r="A6369" t="inlineStr">
        <is>
          <t>A 25786-2023</t>
        </is>
      </c>
      <c r="B6369" s="1" t="n">
        <v>45090.4809375</v>
      </c>
      <c r="C6369" s="1" t="n">
        <v>45952</v>
      </c>
      <c r="D6369" t="inlineStr">
        <is>
          <t>VÄSTRA GÖTALANDS LÄN</t>
        </is>
      </c>
      <c r="E6369" t="inlineStr">
        <is>
          <t>BENGTSFORS</t>
        </is>
      </c>
      <c r="G6369" t="n">
        <v>3.4</v>
      </c>
      <c r="H6369" t="n">
        <v>0</v>
      </c>
      <c r="I6369" t="n">
        <v>0</v>
      </c>
      <c r="J6369" t="n">
        <v>0</v>
      </c>
      <c r="K6369" t="n">
        <v>0</v>
      </c>
      <c r="L6369" t="n">
        <v>0</v>
      </c>
      <c r="M6369" t="n">
        <v>0</v>
      </c>
      <c r="N6369" t="n">
        <v>0</v>
      </c>
      <c r="O6369" t="n">
        <v>0</v>
      </c>
      <c r="P6369" t="n">
        <v>0</v>
      </c>
      <c r="Q6369" t="n">
        <v>0</v>
      </c>
      <c r="R6369" s="2" t="inlineStr"/>
    </row>
    <row r="6370" ht="15" customHeight="1">
      <c r="A6370" t="inlineStr">
        <is>
          <t>A 17071-2024</t>
        </is>
      </c>
      <c r="B6370" s="1" t="n">
        <v>45412.47715277778</v>
      </c>
      <c r="C6370" s="1" t="n">
        <v>45952</v>
      </c>
      <c r="D6370" t="inlineStr">
        <is>
          <t>VÄSTRA GÖTALANDS LÄN</t>
        </is>
      </c>
      <c r="E6370" t="inlineStr">
        <is>
          <t>LERUM</t>
        </is>
      </c>
      <c r="G6370" t="n">
        <v>0.6</v>
      </c>
      <c r="H6370" t="n">
        <v>0</v>
      </c>
      <c r="I6370" t="n">
        <v>0</v>
      </c>
      <c r="J6370" t="n">
        <v>0</v>
      </c>
      <c r="K6370" t="n">
        <v>0</v>
      </c>
      <c r="L6370" t="n">
        <v>0</v>
      </c>
      <c r="M6370" t="n">
        <v>0</v>
      </c>
      <c r="N6370" t="n">
        <v>0</v>
      </c>
      <c r="O6370" t="n">
        <v>0</v>
      </c>
      <c r="P6370" t="n">
        <v>0</v>
      </c>
      <c r="Q6370" t="n">
        <v>0</v>
      </c>
      <c r="R6370" s="2" t="inlineStr"/>
    </row>
    <row r="6371" ht="15" customHeight="1">
      <c r="A6371" t="inlineStr">
        <is>
          <t>A 42598-2024</t>
        </is>
      </c>
      <c r="B6371" s="1" t="n">
        <v>45565.70193287037</v>
      </c>
      <c r="C6371" s="1" t="n">
        <v>45952</v>
      </c>
      <c r="D6371" t="inlineStr">
        <is>
          <t>VÄSTRA GÖTALANDS LÄN</t>
        </is>
      </c>
      <c r="E6371" t="inlineStr">
        <is>
          <t>KARLSBORG</t>
        </is>
      </c>
      <c r="G6371" t="n">
        <v>8.9</v>
      </c>
      <c r="H6371" t="n">
        <v>0</v>
      </c>
      <c r="I6371" t="n">
        <v>0</v>
      </c>
      <c r="J6371" t="n">
        <v>0</v>
      </c>
      <c r="K6371" t="n">
        <v>0</v>
      </c>
      <c r="L6371" t="n">
        <v>0</v>
      </c>
      <c r="M6371" t="n">
        <v>0</v>
      </c>
      <c r="N6371" t="n">
        <v>0</v>
      </c>
      <c r="O6371" t="n">
        <v>0</v>
      </c>
      <c r="P6371" t="n">
        <v>0</v>
      </c>
      <c r="Q6371" t="n">
        <v>0</v>
      </c>
      <c r="R6371" s="2" t="inlineStr"/>
    </row>
    <row r="6372" ht="15" customHeight="1">
      <c r="A6372" t="inlineStr">
        <is>
          <t>A 42638-2024</t>
        </is>
      </c>
      <c r="B6372" s="1" t="n">
        <v>45565.9112037037</v>
      </c>
      <c r="C6372" s="1" t="n">
        <v>45952</v>
      </c>
      <c r="D6372" t="inlineStr">
        <is>
          <t>VÄSTRA GÖTALANDS LÄN</t>
        </is>
      </c>
      <c r="E6372" t="inlineStr">
        <is>
          <t>BENGTSFORS</t>
        </is>
      </c>
      <c r="G6372" t="n">
        <v>4.4</v>
      </c>
      <c r="H6372" t="n">
        <v>0</v>
      </c>
      <c r="I6372" t="n">
        <v>0</v>
      </c>
      <c r="J6372" t="n">
        <v>0</v>
      </c>
      <c r="K6372" t="n">
        <v>0</v>
      </c>
      <c r="L6372" t="n">
        <v>0</v>
      </c>
      <c r="M6372" t="n">
        <v>0</v>
      </c>
      <c r="N6372" t="n">
        <v>0</v>
      </c>
      <c r="O6372" t="n">
        <v>0</v>
      </c>
      <c r="P6372" t="n">
        <v>0</v>
      </c>
      <c r="Q6372" t="n">
        <v>0</v>
      </c>
      <c r="R6372" s="2" t="inlineStr"/>
    </row>
    <row r="6373" ht="15" customHeight="1">
      <c r="A6373" t="inlineStr">
        <is>
          <t>A 34163-2023</t>
        </is>
      </c>
      <c r="B6373" s="1" t="n">
        <v>45137</v>
      </c>
      <c r="C6373" s="1" t="n">
        <v>45952</v>
      </c>
      <c r="D6373" t="inlineStr">
        <is>
          <t>VÄSTRA GÖTALANDS LÄN</t>
        </is>
      </c>
      <c r="E6373" t="inlineStr">
        <is>
          <t>MARK</t>
        </is>
      </c>
      <c r="G6373" t="n">
        <v>4.2</v>
      </c>
      <c r="H6373" t="n">
        <v>0</v>
      </c>
      <c r="I6373" t="n">
        <v>0</v>
      </c>
      <c r="J6373" t="n">
        <v>0</v>
      </c>
      <c r="K6373" t="n">
        <v>0</v>
      </c>
      <c r="L6373" t="n">
        <v>0</v>
      </c>
      <c r="M6373" t="n">
        <v>0</v>
      </c>
      <c r="N6373" t="n">
        <v>0</v>
      </c>
      <c r="O6373" t="n">
        <v>0</v>
      </c>
      <c r="P6373" t="n">
        <v>0</v>
      </c>
      <c r="Q6373" t="n">
        <v>0</v>
      </c>
      <c r="R6373" s="2" t="inlineStr"/>
    </row>
    <row r="6374" ht="15" customHeight="1">
      <c r="A6374" t="inlineStr">
        <is>
          <t>A 37317-2021</t>
        </is>
      </c>
      <c r="B6374" s="1" t="n">
        <v>44397.51965277778</v>
      </c>
      <c r="C6374" s="1" t="n">
        <v>45952</v>
      </c>
      <c r="D6374" t="inlineStr">
        <is>
          <t>VÄSTRA GÖTALANDS LÄN</t>
        </is>
      </c>
      <c r="E6374" t="inlineStr">
        <is>
          <t>SVENLJUNGA</t>
        </is>
      </c>
      <c r="G6374" t="n">
        <v>2.4</v>
      </c>
      <c r="H6374" t="n">
        <v>0</v>
      </c>
      <c r="I6374" t="n">
        <v>0</v>
      </c>
      <c r="J6374" t="n">
        <v>0</v>
      </c>
      <c r="K6374" t="n">
        <v>0</v>
      </c>
      <c r="L6374" t="n">
        <v>0</v>
      </c>
      <c r="M6374" t="n">
        <v>0</v>
      </c>
      <c r="N6374" t="n">
        <v>0</v>
      </c>
      <c r="O6374" t="n">
        <v>0</v>
      </c>
      <c r="P6374" t="n">
        <v>0</v>
      </c>
      <c r="Q6374" t="n">
        <v>0</v>
      </c>
      <c r="R6374" s="2" t="inlineStr"/>
    </row>
    <row r="6375" ht="15" customHeight="1">
      <c r="A6375" t="inlineStr">
        <is>
          <t>A 18280-2024</t>
        </is>
      </c>
      <c r="B6375" s="1" t="n">
        <v>45422.32804398148</v>
      </c>
      <c r="C6375" s="1" t="n">
        <v>45952</v>
      </c>
      <c r="D6375" t="inlineStr">
        <is>
          <t>VÄSTRA GÖTALANDS LÄN</t>
        </is>
      </c>
      <c r="E6375" t="inlineStr">
        <is>
          <t>MARK</t>
        </is>
      </c>
      <c r="G6375" t="n">
        <v>0.4</v>
      </c>
      <c r="H6375" t="n">
        <v>0</v>
      </c>
      <c r="I6375" t="n">
        <v>0</v>
      </c>
      <c r="J6375" t="n">
        <v>0</v>
      </c>
      <c r="K6375" t="n">
        <v>0</v>
      </c>
      <c r="L6375" t="n">
        <v>0</v>
      </c>
      <c r="M6375" t="n">
        <v>0</v>
      </c>
      <c r="N6375" t="n">
        <v>0</v>
      </c>
      <c r="O6375" t="n">
        <v>0</v>
      </c>
      <c r="P6375" t="n">
        <v>0</v>
      </c>
      <c r="Q6375" t="n">
        <v>0</v>
      </c>
      <c r="R6375" s="2" t="inlineStr"/>
    </row>
    <row r="6376" ht="15" customHeight="1">
      <c r="A6376" t="inlineStr">
        <is>
          <t>A 25826-2023</t>
        </is>
      </c>
      <c r="B6376" s="1" t="n">
        <v>45090</v>
      </c>
      <c r="C6376" s="1" t="n">
        <v>45952</v>
      </c>
      <c r="D6376" t="inlineStr">
        <is>
          <t>VÄSTRA GÖTALANDS LÄN</t>
        </is>
      </c>
      <c r="E6376" t="inlineStr">
        <is>
          <t>TIDAHOLM</t>
        </is>
      </c>
      <c r="G6376" t="n">
        <v>3.7</v>
      </c>
      <c r="H6376" t="n">
        <v>0</v>
      </c>
      <c r="I6376" t="n">
        <v>0</v>
      </c>
      <c r="J6376" t="n">
        <v>0</v>
      </c>
      <c r="K6376" t="n">
        <v>0</v>
      </c>
      <c r="L6376" t="n">
        <v>0</v>
      </c>
      <c r="M6376" t="n">
        <v>0</v>
      </c>
      <c r="N6376" t="n">
        <v>0</v>
      </c>
      <c r="O6376" t="n">
        <v>0</v>
      </c>
      <c r="P6376" t="n">
        <v>0</v>
      </c>
      <c r="Q6376" t="n">
        <v>0</v>
      </c>
      <c r="R6376" s="2" t="inlineStr"/>
    </row>
    <row r="6377" ht="15" customHeight="1">
      <c r="A6377" t="inlineStr">
        <is>
          <t>A 25832-2023</t>
        </is>
      </c>
      <c r="B6377" s="1" t="n">
        <v>45090.56047453704</v>
      </c>
      <c r="C6377" s="1" t="n">
        <v>45952</v>
      </c>
      <c r="D6377" t="inlineStr">
        <is>
          <t>VÄSTRA GÖTALANDS LÄN</t>
        </is>
      </c>
      <c r="E6377" t="inlineStr">
        <is>
          <t>BENGTSFORS</t>
        </is>
      </c>
      <c r="G6377" t="n">
        <v>1.3</v>
      </c>
      <c r="H6377" t="n">
        <v>0</v>
      </c>
      <c r="I6377" t="n">
        <v>0</v>
      </c>
      <c r="J6377" t="n">
        <v>0</v>
      </c>
      <c r="K6377" t="n">
        <v>0</v>
      </c>
      <c r="L6377" t="n">
        <v>0</v>
      </c>
      <c r="M6377" t="n">
        <v>0</v>
      </c>
      <c r="N6377" t="n">
        <v>0</v>
      </c>
      <c r="O6377" t="n">
        <v>0</v>
      </c>
      <c r="P6377" t="n">
        <v>0</v>
      </c>
      <c r="Q6377" t="n">
        <v>0</v>
      </c>
      <c r="R6377" s="2" t="inlineStr"/>
    </row>
    <row r="6378" ht="15" customHeight="1">
      <c r="A6378" t="inlineStr">
        <is>
          <t>A 49912-2021</t>
        </is>
      </c>
      <c r="B6378" s="1" t="n">
        <v>44455.8500462963</v>
      </c>
      <c r="C6378" s="1" t="n">
        <v>45952</v>
      </c>
      <c r="D6378" t="inlineStr">
        <is>
          <t>VÄSTRA GÖTALANDS LÄN</t>
        </is>
      </c>
      <c r="E6378" t="inlineStr">
        <is>
          <t>ULRICEHAMN</t>
        </is>
      </c>
      <c r="G6378" t="n">
        <v>1.4</v>
      </c>
      <c r="H6378" t="n">
        <v>0</v>
      </c>
      <c r="I6378" t="n">
        <v>0</v>
      </c>
      <c r="J6378" t="n">
        <v>0</v>
      </c>
      <c r="K6378" t="n">
        <v>0</v>
      </c>
      <c r="L6378" t="n">
        <v>0</v>
      </c>
      <c r="M6378" t="n">
        <v>0</v>
      </c>
      <c r="N6378" t="n">
        <v>0</v>
      </c>
      <c r="O6378" t="n">
        <v>0</v>
      </c>
      <c r="P6378" t="n">
        <v>0</v>
      </c>
      <c r="Q6378" t="n">
        <v>0</v>
      </c>
      <c r="R6378" s="2" t="inlineStr"/>
    </row>
    <row r="6379" ht="15" customHeight="1">
      <c r="A6379" t="inlineStr">
        <is>
          <t>A 46533-2024</t>
        </is>
      </c>
      <c r="B6379" s="1" t="n">
        <v>45582.64207175926</v>
      </c>
      <c r="C6379" s="1" t="n">
        <v>45952</v>
      </c>
      <c r="D6379" t="inlineStr">
        <is>
          <t>VÄSTRA GÖTALANDS LÄN</t>
        </is>
      </c>
      <c r="E6379" t="inlineStr">
        <is>
          <t>TROLLHÄTTAN</t>
        </is>
      </c>
      <c r="G6379" t="n">
        <v>1.8</v>
      </c>
      <c r="H6379" t="n">
        <v>0</v>
      </c>
      <c r="I6379" t="n">
        <v>0</v>
      </c>
      <c r="J6379" t="n">
        <v>0</v>
      </c>
      <c r="K6379" t="n">
        <v>0</v>
      </c>
      <c r="L6379" t="n">
        <v>0</v>
      </c>
      <c r="M6379" t="n">
        <v>0</v>
      </c>
      <c r="N6379" t="n">
        <v>0</v>
      </c>
      <c r="O6379" t="n">
        <v>0</v>
      </c>
      <c r="P6379" t="n">
        <v>0</v>
      </c>
      <c r="Q6379" t="n">
        <v>0</v>
      </c>
      <c r="R6379" s="2" t="inlineStr"/>
    </row>
    <row r="6380" ht="15" customHeight="1">
      <c r="A6380" t="inlineStr">
        <is>
          <t>A 46979-2025</t>
        </is>
      </c>
      <c r="B6380" s="1" t="n">
        <v>45929.52040509259</v>
      </c>
      <c r="C6380" s="1" t="n">
        <v>45952</v>
      </c>
      <c r="D6380" t="inlineStr">
        <is>
          <t>VÄSTRA GÖTALANDS LÄN</t>
        </is>
      </c>
      <c r="E6380" t="inlineStr">
        <is>
          <t>DALS-ED</t>
        </is>
      </c>
      <c r="G6380" t="n">
        <v>0.6</v>
      </c>
      <c r="H6380" t="n">
        <v>0</v>
      </c>
      <c r="I6380" t="n">
        <v>0</v>
      </c>
      <c r="J6380" t="n">
        <v>0</v>
      </c>
      <c r="K6380" t="n">
        <v>0</v>
      </c>
      <c r="L6380" t="n">
        <v>0</v>
      </c>
      <c r="M6380" t="n">
        <v>0</v>
      </c>
      <c r="N6380" t="n">
        <v>0</v>
      </c>
      <c r="O6380" t="n">
        <v>0</v>
      </c>
      <c r="P6380" t="n">
        <v>0</v>
      </c>
      <c r="Q6380" t="n">
        <v>0</v>
      </c>
      <c r="R6380" s="2" t="inlineStr"/>
    </row>
    <row r="6381" ht="15" customHeight="1">
      <c r="A6381" t="inlineStr">
        <is>
          <t>A 16577-2022</t>
        </is>
      </c>
      <c r="B6381" s="1" t="n">
        <v>44672.46112268518</v>
      </c>
      <c r="C6381" s="1" t="n">
        <v>45952</v>
      </c>
      <c r="D6381" t="inlineStr">
        <is>
          <t>VÄSTRA GÖTALANDS LÄN</t>
        </is>
      </c>
      <c r="E6381" t="inlineStr">
        <is>
          <t>ULRICEHAMN</t>
        </is>
      </c>
      <c r="G6381" t="n">
        <v>1.4</v>
      </c>
      <c r="H6381" t="n">
        <v>0</v>
      </c>
      <c r="I6381" t="n">
        <v>0</v>
      </c>
      <c r="J6381" t="n">
        <v>0</v>
      </c>
      <c r="K6381" t="n">
        <v>0</v>
      </c>
      <c r="L6381" t="n">
        <v>0</v>
      </c>
      <c r="M6381" t="n">
        <v>0</v>
      </c>
      <c r="N6381" t="n">
        <v>0</v>
      </c>
      <c r="O6381" t="n">
        <v>0</v>
      </c>
      <c r="P6381" t="n">
        <v>0</v>
      </c>
      <c r="Q6381" t="n">
        <v>0</v>
      </c>
      <c r="R6381" s="2" t="inlineStr"/>
    </row>
    <row r="6382" ht="15" customHeight="1">
      <c r="A6382" t="inlineStr">
        <is>
          <t>A 47050-2025</t>
        </is>
      </c>
      <c r="B6382" s="1" t="n">
        <v>45929.61418981481</v>
      </c>
      <c r="C6382" s="1" t="n">
        <v>45952</v>
      </c>
      <c r="D6382" t="inlineStr">
        <is>
          <t>VÄSTRA GÖTALANDS LÄN</t>
        </is>
      </c>
      <c r="E6382" t="inlineStr">
        <is>
          <t>TANUM</t>
        </is>
      </c>
      <c r="G6382" t="n">
        <v>5.3</v>
      </c>
      <c r="H6382" t="n">
        <v>0</v>
      </c>
      <c r="I6382" t="n">
        <v>0</v>
      </c>
      <c r="J6382" t="n">
        <v>0</v>
      </c>
      <c r="K6382" t="n">
        <v>0</v>
      </c>
      <c r="L6382" t="n">
        <v>0</v>
      </c>
      <c r="M6382" t="n">
        <v>0</v>
      </c>
      <c r="N6382" t="n">
        <v>0</v>
      </c>
      <c r="O6382" t="n">
        <v>0</v>
      </c>
      <c r="P6382" t="n">
        <v>0</v>
      </c>
      <c r="Q6382" t="n">
        <v>0</v>
      </c>
      <c r="R6382" s="2" t="inlineStr"/>
    </row>
    <row r="6383" ht="15" customHeight="1">
      <c r="A6383" t="inlineStr">
        <is>
          <t>A 53179-2023</t>
        </is>
      </c>
      <c r="B6383" s="1" t="n">
        <v>45229.40875</v>
      </c>
      <c r="C6383" s="1" t="n">
        <v>45952</v>
      </c>
      <c r="D6383" t="inlineStr">
        <is>
          <t>VÄSTRA GÖTALANDS LÄN</t>
        </is>
      </c>
      <c r="E6383" t="inlineStr">
        <is>
          <t>TIBRO</t>
        </is>
      </c>
      <c r="G6383" t="n">
        <v>4.5</v>
      </c>
      <c r="H6383" t="n">
        <v>0</v>
      </c>
      <c r="I6383" t="n">
        <v>0</v>
      </c>
      <c r="J6383" t="n">
        <v>0</v>
      </c>
      <c r="K6383" t="n">
        <v>0</v>
      </c>
      <c r="L6383" t="n">
        <v>0</v>
      </c>
      <c r="M6383" t="n">
        <v>0</v>
      </c>
      <c r="N6383" t="n">
        <v>0</v>
      </c>
      <c r="O6383" t="n">
        <v>0</v>
      </c>
      <c r="P6383" t="n">
        <v>0</v>
      </c>
      <c r="Q6383" t="n">
        <v>0</v>
      </c>
      <c r="R6383" s="2" t="inlineStr"/>
    </row>
    <row r="6384" ht="15" customHeight="1">
      <c r="A6384" t="inlineStr">
        <is>
          <t>A 61716-2022</t>
        </is>
      </c>
      <c r="B6384" s="1" t="n">
        <v>44917</v>
      </c>
      <c r="C6384" s="1" t="n">
        <v>45952</v>
      </c>
      <c r="D6384" t="inlineStr">
        <is>
          <t>VÄSTRA GÖTALANDS LÄN</t>
        </is>
      </c>
      <c r="E6384" t="inlineStr">
        <is>
          <t>MARIESTAD</t>
        </is>
      </c>
      <c r="G6384" t="n">
        <v>2.9</v>
      </c>
      <c r="H6384" t="n">
        <v>0</v>
      </c>
      <c r="I6384" t="n">
        <v>0</v>
      </c>
      <c r="J6384" t="n">
        <v>0</v>
      </c>
      <c r="K6384" t="n">
        <v>0</v>
      </c>
      <c r="L6384" t="n">
        <v>0</v>
      </c>
      <c r="M6384" t="n">
        <v>0</v>
      </c>
      <c r="N6384" t="n">
        <v>0</v>
      </c>
      <c r="O6384" t="n">
        <v>0</v>
      </c>
      <c r="P6384" t="n">
        <v>0</v>
      </c>
      <c r="Q6384" t="n">
        <v>0</v>
      </c>
      <c r="R6384" s="2" t="inlineStr"/>
    </row>
    <row r="6385" ht="15" customHeight="1">
      <c r="A6385" t="inlineStr">
        <is>
          <t>A 61877-2020</t>
        </is>
      </c>
      <c r="B6385" s="1" t="n">
        <v>44155</v>
      </c>
      <c r="C6385" s="1" t="n">
        <v>45952</v>
      </c>
      <c r="D6385" t="inlineStr">
        <is>
          <t>VÄSTRA GÖTALANDS LÄN</t>
        </is>
      </c>
      <c r="E6385" t="inlineStr">
        <is>
          <t>BENGTSFORS</t>
        </is>
      </c>
      <c r="G6385" t="n">
        <v>11</v>
      </c>
      <c r="H6385" t="n">
        <v>0</v>
      </c>
      <c r="I6385" t="n">
        <v>0</v>
      </c>
      <c r="J6385" t="n">
        <v>0</v>
      </c>
      <c r="K6385" t="n">
        <v>0</v>
      </c>
      <c r="L6385" t="n">
        <v>0</v>
      </c>
      <c r="M6385" t="n">
        <v>0</v>
      </c>
      <c r="N6385" t="n">
        <v>0</v>
      </c>
      <c r="O6385" t="n">
        <v>0</v>
      </c>
      <c r="P6385" t="n">
        <v>0</v>
      </c>
      <c r="Q6385" t="n">
        <v>0</v>
      </c>
      <c r="R6385" s="2" t="inlineStr"/>
    </row>
    <row r="6386" ht="15" customHeight="1">
      <c r="A6386" t="inlineStr">
        <is>
          <t>A 54130-2023</t>
        </is>
      </c>
      <c r="B6386" s="1" t="n">
        <v>45232</v>
      </c>
      <c r="C6386" s="1" t="n">
        <v>45952</v>
      </c>
      <c r="D6386" t="inlineStr">
        <is>
          <t>VÄSTRA GÖTALANDS LÄN</t>
        </is>
      </c>
      <c r="E6386" t="inlineStr">
        <is>
          <t>TIDAHOLM</t>
        </is>
      </c>
      <c r="F6386" t="inlineStr">
        <is>
          <t>Kyrkan</t>
        </is>
      </c>
      <c r="G6386" t="n">
        <v>6</v>
      </c>
      <c r="H6386" t="n">
        <v>0</v>
      </c>
      <c r="I6386" t="n">
        <v>0</v>
      </c>
      <c r="J6386" t="n">
        <v>0</v>
      </c>
      <c r="K6386" t="n">
        <v>0</v>
      </c>
      <c r="L6386" t="n">
        <v>0</v>
      </c>
      <c r="M6386" t="n">
        <v>0</v>
      </c>
      <c r="N6386" t="n">
        <v>0</v>
      </c>
      <c r="O6386" t="n">
        <v>0</v>
      </c>
      <c r="P6386" t="n">
        <v>0</v>
      </c>
      <c r="Q6386" t="n">
        <v>0</v>
      </c>
      <c r="R6386" s="2" t="inlineStr"/>
    </row>
    <row r="6387" ht="15" customHeight="1">
      <c r="A6387" t="inlineStr">
        <is>
          <t>A 61883-2020</t>
        </is>
      </c>
      <c r="B6387" s="1" t="n">
        <v>44159</v>
      </c>
      <c r="C6387" s="1" t="n">
        <v>45952</v>
      </c>
      <c r="D6387" t="inlineStr">
        <is>
          <t>VÄSTRA GÖTALANDS LÄN</t>
        </is>
      </c>
      <c r="E6387" t="inlineStr">
        <is>
          <t>BORÅS</t>
        </is>
      </c>
      <c r="G6387" t="n">
        <v>1.8</v>
      </c>
      <c r="H6387" t="n">
        <v>0</v>
      </c>
      <c r="I6387" t="n">
        <v>0</v>
      </c>
      <c r="J6387" t="n">
        <v>0</v>
      </c>
      <c r="K6387" t="n">
        <v>0</v>
      </c>
      <c r="L6387" t="n">
        <v>0</v>
      </c>
      <c r="M6387" t="n">
        <v>0</v>
      </c>
      <c r="N6387" t="n">
        <v>0</v>
      </c>
      <c r="O6387" t="n">
        <v>0</v>
      </c>
      <c r="P6387" t="n">
        <v>0</v>
      </c>
      <c r="Q6387" t="n">
        <v>0</v>
      </c>
      <c r="R6387" s="2" t="inlineStr"/>
    </row>
    <row r="6388" ht="15" customHeight="1">
      <c r="A6388" t="inlineStr">
        <is>
          <t>A 56334-2024</t>
        </is>
      </c>
      <c r="B6388" s="1" t="n">
        <v>45624.80081018519</v>
      </c>
      <c r="C6388" s="1" t="n">
        <v>45952</v>
      </c>
      <c r="D6388" t="inlineStr">
        <is>
          <t>VÄSTRA GÖTALANDS LÄN</t>
        </is>
      </c>
      <c r="E6388" t="inlineStr">
        <is>
          <t>BOLLEBYGD</t>
        </is>
      </c>
      <c r="G6388" t="n">
        <v>0.3</v>
      </c>
      <c r="H6388" t="n">
        <v>0</v>
      </c>
      <c r="I6388" t="n">
        <v>0</v>
      </c>
      <c r="J6388" t="n">
        <v>0</v>
      </c>
      <c r="K6388" t="n">
        <v>0</v>
      </c>
      <c r="L6388" t="n">
        <v>0</v>
      </c>
      <c r="M6388" t="n">
        <v>0</v>
      </c>
      <c r="N6388" t="n">
        <v>0</v>
      </c>
      <c r="O6388" t="n">
        <v>0</v>
      </c>
      <c r="P6388" t="n">
        <v>0</v>
      </c>
      <c r="Q6388" t="n">
        <v>0</v>
      </c>
      <c r="R6388" s="2" t="inlineStr"/>
    </row>
    <row r="6389" ht="15" customHeight="1">
      <c r="A6389" t="inlineStr">
        <is>
          <t>A 11331-2023</t>
        </is>
      </c>
      <c r="B6389" s="1" t="n">
        <v>44993.25908564815</v>
      </c>
      <c r="C6389" s="1" t="n">
        <v>45952</v>
      </c>
      <c r="D6389" t="inlineStr">
        <is>
          <t>VÄSTRA GÖTALANDS LÄN</t>
        </is>
      </c>
      <c r="E6389" t="inlineStr">
        <is>
          <t>MARK</t>
        </is>
      </c>
      <c r="G6389" t="n">
        <v>1.3</v>
      </c>
      <c r="H6389" t="n">
        <v>0</v>
      </c>
      <c r="I6389" t="n">
        <v>0</v>
      </c>
      <c r="J6389" t="n">
        <v>0</v>
      </c>
      <c r="K6389" t="n">
        <v>0</v>
      </c>
      <c r="L6389" t="n">
        <v>0</v>
      </c>
      <c r="M6389" t="n">
        <v>0</v>
      </c>
      <c r="N6389" t="n">
        <v>0</v>
      </c>
      <c r="O6389" t="n">
        <v>0</v>
      </c>
      <c r="P6389" t="n">
        <v>0</v>
      </c>
      <c r="Q6389" t="n">
        <v>0</v>
      </c>
      <c r="R6389" s="2" t="inlineStr"/>
    </row>
    <row r="6390" ht="15" customHeight="1">
      <c r="A6390" t="inlineStr">
        <is>
          <t>A 48986-2023</t>
        </is>
      </c>
      <c r="B6390" s="1" t="n">
        <v>45209.64098379629</v>
      </c>
      <c r="C6390" s="1" t="n">
        <v>45952</v>
      </c>
      <c r="D6390" t="inlineStr">
        <is>
          <t>VÄSTRA GÖTALANDS LÄN</t>
        </is>
      </c>
      <c r="E6390" t="inlineStr">
        <is>
          <t>ULRICEHAMN</t>
        </is>
      </c>
      <c r="G6390" t="n">
        <v>2.1</v>
      </c>
      <c r="H6390" t="n">
        <v>0</v>
      </c>
      <c r="I6390" t="n">
        <v>0</v>
      </c>
      <c r="J6390" t="n">
        <v>0</v>
      </c>
      <c r="K6390" t="n">
        <v>0</v>
      </c>
      <c r="L6390" t="n">
        <v>0</v>
      </c>
      <c r="M6390" t="n">
        <v>0</v>
      </c>
      <c r="N6390" t="n">
        <v>0</v>
      </c>
      <c r="O6390" t="n">
        <v>0</v>
      </c>
      <c r="P6390" t="n">
        <v>0</v>
      </c>
      <c r="Q6390" t="n">
        <v>0</v>
      </c>
      <c r="R6390" s="2" t="inlineStr"/>
    </row>
    <row r="6391" ht="15" customHeight="1">
      <c r="A6391" t="inlineStr">
        <is>
          <t>A 48987-2023</t>
        </is>
      </c>
      <c r="B6391" s="1" t="n">
        <v>45209.64253472222</v>
      </c>
      <c r="C6391" s="1" t="n">
        <v>45952</v>
      </c>
      <c r="D6391" t="inlineStr">
        <is>
          <t>VÄSTRA GÖTALANDS LÄN</t>
        </is>
      </c>
      <c r="E6391" t="inlineStr">
        <is>
          <t>TANUM</t>
        </is>
      </c>
      <c r="G6391" t="n">
        <v>1.7</v>
      </c>
      <c r="H6391" t="n">
        <v>0</v>
      </c>
      <c r="I6391" t="n">
        <v>0</v>
      </c>
      <c r="J6391" t="n">
        <v>0</v>
      </c>
      <c r="K6391" t="n">
        <v>0</v>
      </c>
      <c r="L6391" t="n">
        <v>0</v>
      </c>
      <c r="M6391" t="n">
        <v>0</v>
      </c>
      <c r="N6391" t="n">
        <v>0</v>
      </c>
      <c r="O6391" t="n">
        <v>0</v>
      </c>
      <c r="P6391" t="n">
        <v>0</v>
      </c>
      <c r="Q6391" t="n">
        <v>0</v>
      </c>
      <c r="R6391" s="2" t="inlineStr"/>
    </row>
    <row r="6392" ht="15" customHeight="1">
      <c r="A6392" t="inlineStr">
        <is>
          <t>A 29288-2023</t>
        </is>
      </c>
      <c r="B6392" s="1" t="n">
        <v>45105</v>
      </c>
      <c r="C6392" s="1" t="n">
        <v>45952</v>
      </c>
      <c r="D6392" t="inlineStr">
        <is>
          <t>VÄSTRA GÖTALANDS LÄN</t>
        </is>
      </c>
      <c r="E6392" t="inlineStr">
        <is>
          <t>TIDAHOLM</t>
        </is>
      </c>
      <c r="G6392" t="n">
        <v>1.9</v>
      </c>
      <c r="H6392" t="n">
        <v>0</v>
      </c>
      <c r="I6392" t="n">
        <v>0</v>
      </c>
      <c r="J6392" t="n">
        <v>0</v>
      </c>
      <c r="K6392" t="n">
        <v>0</v>
      </c>
      <c r="L6392" t="n">
        <v>0</v>
      </c>
      <c r="M6392" t="n">
        <v>0</v>
      </c>
      <c r="N6392" t="n">
        <v>0</v>
      </c>
      <c r="O6392" t="n">
        <v>0</v>
      </c>
      <c r="P6392" t="n">
        <v>0</v>
      </c>
      <c r="Q6392" t="n">
        <v>0</v>
      </c>
      <c r="R6392" s="2" t="inlineStr"/>
    </row>
    <row r="6393" ht="15" customHeight="1">
      <c r="A6393" t="inlineStr">
        <is>
          <t>A 11414-2023</t>
        </is>
      </c>
      <c r="B6393" s="1" t="n">
        <v>44993</v>
      </c>
      <c r="C6393" s="1" t="n">
        <v>45952</v>
      </c>
      <c r="D6393" t="inlineStr">
        <is>
          <t>VÄSTRA GÖTALANDS LÄN</t>
        </is>
      </c>
      <c r="E6393" t="inlineStr">
        <is>
          <t>MARIESTAD</t>
        </is>
      </c>
      <c r="F6393" t="inlineStr">
        <is>
          <t>Sveaskog</t>
        </is>
      </c>
      <c r="G6393" t="n">
        <v>2.6</v>
      </c>
      <c r="H6393" t="n">
        <v>0</v>
      </c>
      <c r="I6393" t="n">
        <v>0</v>
      </c>
      <c r="J6393" t="n">
        <v>0</v>
      </c>
      <c r="K6393" t="n">
        <v>0</v>
      </c>
      <c r="L6393" t="n">
        <v>0</v>
      </c>
      <c r="M6393" t="n">
        <v>0</v>
      </c>
      <c r="N6393" t="n">
        <v>0</v>
      </c>
      <c r="O6393" t="n">
        <v>0</v>
      </c>
      <c r="P6393" t="n">
        <v>0</v>
      </c>
      <c r="Q6393" t="n">
        <v>0</v>
      </c>
      <c r="R6393" s="2" t="inlineStr"/>
    </row>
    <row r="6394" ht="15" customHeight="1">
      <c r="A6394" t="inlineStr">
        <is>
          <t>A 9056-2024</t>
        </is>
      </c>
      <c r="B6394" s="1" t="n">
        <v>45357.68982638889</v>
      </c>
      <c r="C6394" s="1" t="n">
        <v>45952</v>
      </c>
      <c r="D6394" t="inlineStr">
        <is>
          <t>VÄSTRA GÖTALANDS LÄN</t>
        </is>
      </c>
      <c r="E6394" t="inlineStr">
        <is>
          <t>BORÅS</t>
        </is>
      </c>
      <c r="G6394" t="n">
        <v>4.1</v>
      </c>
      <c r="H6394" t="n">
        <v>0</v>
      </c>
      <c r="I6394" t="n">
        <v>0</v>
      </c>
      <c r="J6394" t="n">
        <v>0</v>
      </c>
      <c r="K6394" t="n">
        <v>0</v>
      </c>
      <c r="L6394" t="n">
        <v>0</v>
      </c>
      <c r="M6394" t="n">
        <v>0</v>
      </c>
      <c r="N6394" t="n">
        <v>0</v>
      </c>
      <c r="O6394" t="n">
        <v>0</v>
      </c>
      <c r="P6394" t="n">
        <v>0</v>
      </c>
      <c r="Q6394" t="n">
        <v>0</v>
      </c>
      <c r="R6394" s="2" t="inlineStr"/>
    </row>
    <row r="6395" ht="15" customHeight="1">
      <c r="A6395" t="inlineStr">
        <is>
          <t>A 11171-2025</t>
        </is>
      </c>
      <c r="B6395" s="1" t="n">
        <v>45724.47848379629</v>
      </c>
      <c r="C6395" s="1" t="n">
        <v>45952</v>
      </c>
      <c r="D6395" t="inlineStr">
        <is>
          <t>VÄSTRA GÖTALANDS LÄN</t>
        </is>
      </c>
      <c r="E6395" t="inlineStr">
        <is>
          <t>GRÄSTORP</t>
        </is>
      </c>
      <c r="G6395" t="n">
        <v>1.3</v>
      </c>
      <c r="H6395" t="n">
        <v>0</v>
      </c>
      <c r="I6395" t="n">
        <v>0</v>
      </c>
      <c r="J6395" t="n">
        <v>0</v>
      </c>
      <c r="K6395" t="n">
        <v>0</v>
      </c>
      <c r="L6395" t="n">
        <v>0</v>
      </c>
      <c r="M6395" t="n">
        <v>0</v>
      </c>
      <c r="N6395" t="n">
        <v>0</v>
      </c>
      <c r="O6395" t="n">
        <v>0</v>
      </c>
      <c r="P6395" t="n">
        <v>0</v>
      </c>
      <c r="Q6395" t="n">
        <v>0</v>
      </c>
      <c r="R6395" s="2" t="inlineStr"/>
    </row>
    <row r="6396" ht="15" customHeight="1">
      <c r="A6396" t="inlineStr">
        <is>
          <t>A 57178-2022</t>
        </is>
      </c>
      <c r="B6396" s="1" t="n">
        <v>44895</v>
      </c>
      <c r="C6396" s="1" t="n">
        <v>45952</v>
      </c>
      <c r="D6396" t="inlineStr">
        <is>
          <t>VÄSTRA GÖTALANDS LÄN</t>
        </is>
      </c>
      <c r="E6396" t="inlineStr">
        <is>
          <t>LERUM</t>
        </is>
      </c>
      <c r="G6396" t="n">
        <v>0.5</v>
      </c>
      <c r="H6396" t="n">
        <v>0</v>
      </c>
      <c r="I6396" t="n">
        <v>0</v>
      </c>
      <c r="J6396" t="n">
        <v>0</v>
      </c>
      <c r="K6396" t="n">
        <v>0</v>
      </c>
      <c r="L6396" t="n">
        <v>0</v>
      </c>
      <c r="M6396" t="n">
        <v>0</v>
      </c>
      <c r="N6396" t="n">
        <v>0</v>
      </c>
      <c r="O6396" t="n">
        <v>0</v>
      </c>
      <c r="P6396" t="n">
        <v>0</v>
      </c>
      <c r="Q6396" t="n">
        <v>0</v>
      </c>
      <c r="R6396" s="2" t="inlineStr"/>
    </row>
    <row r="6397" ht="15" customHeight="1">
      <c r="A6397" t="inlineStr">
        <is>
          <t>A 47083-2025</t>
        </is>
      </c>
      <c r="B6397" s="1" t="n">
        <v>45929.64208333333</v>
      </c>
      <c r="C6397" s="1" t="n">
        <v>45952</v>
      </c>
      <c r="D6397" t="inlineStr">
        <is>
          <t>VÄSTRA GÖTALANDS LÄN</t>
        </is>
      </c>
      <c r="E6397" t="inlineStr">
        <is>
          <t>UDDEVALLA</t>
        </is>
      </c>
      <c r="G6397" t="n">
        <v>2.6</v>
      </c>
      <c r="H6397" t="n">
        <v>0</v>
      </c>
      <c r="I6397" t="n">
        <v>0</v>
      </c>
      <c r="J6397" t="n">
        <v>0</v>
      </c>
      <c r="K6397" t="n">
        <v>0</v>
      </c>
      <c r="L6397" t="n">
        <v>0</v>
      </c>
      <c r="M6397" t="n">
        <v>0</v>
      </c>
      <c r="N6397" t="n">
        <v>0</v>
      </c>
      <c r="O6397" t="n">
        <v>0</v>
      </c>
      <c r="P6397" t="n">
        <v>0</v>
      </c>
      <c r="Q6397" t="n">
        <v>0</v>
      </c>
      <c r="R6397" s="2" t="inlineStr"/>
    </row>
    <row r="6398" ht="15" customHeight="1">
      <c r="A6398" t="inlineStr">
        <is>
          <t>A 11443-2023</t>
        </is>
      </c>
      <c r="B6398" s="1" t="n">
        <v>44993</v>
      </c>
      <c r="C6398" s="1" t="n">
        <v>45952</v>
      </c>
      <c r="D6398" t="inlineStr">
        <is>
          <t>VÄSTRA GÖTALANDS LÄN</t>
        </is>
      </c>
      <c r="E6398" t="inlineStr">
        <is>
          <t>BENGTSFORS</t>
        </is>
      </c>
      <c r="G6398" t="n">
        <v>0.5</v>
      </c>
      <c r="H6398" t="n">
        <v>0</v>
      </c>
      <c r="I6398" t="n">
        <v>0</v>
      </c>
      <c r="J6398" t="n">
        <v>0</v>
      </c>
      <c r="K6398" t="n">
        <v>0</v>
      </c>
      <c r="L6398" t="n">
        <v>0</v>
      </c>
      <c r="M6398" t="n">
        <v>0</v>
      </c>
      <c r="N6398" t="n">
        <v>0</v>
      </c>
      <c r="O6398" t="n">
        <v>0</v>
      </c>
      <c r="P6398" t="n">
        <v>0</v>
      </c>
      <c r="Q6398" t="n">
        <v>0</v>
      </c>
      <c r="R6398" s="2" t="inlineStr"/>
    </row>
    <row r="6399" ht="15" customHeight="1">
      <c r="A6399" t="inlineStr">
        <is>
          <t>A 29399-2023</t>
        </is>
      </c>
      <c r="B6399" s="1" t="n">
        <v>45106.4499074074</v>
      </c>
      <c r="C6399" s="1" t="n">
        <v>45952</v>
      </c>
      <c r="D6399" t="inlineStr">
        <is>
          <t>VÄSTRA GÖTALANDS LÄN</t>
        </is>
      </c>
      <c r="E6399" t="inlineStr">
        <is>
          <t>FÄRGELANDA</t>
        </is>
      </c>
      <c r="G6399" t="n">
        <v>0.8</v>
      </c>
      <c r="H6399" t="n">
        <v>0</v>
      </c>
      <c r="I6399" t="n">
        <v>0</v>
      </c>
      <c r="J6399" t="n">
        <v>0</v>
      </c>
      <c r="K6399" t="n">
        <v>0</v>
      </c>
      <c r="L6399" t="n">
        <v>0</v>
      </c>
      <c r="M6399" t="n">
        <v>0</v>
      </c>
      <c r="N6399" t="n">
        <v>0</v>
      </c>
      <c r="O6399" t="n">
        <v>0</v>
      </c>
      <c r="P6399" t="n">
        <v>0</v>
      </c>
      <c r="Q6399" t="n">
        <v>0</v>
      </c>
      <c r="R6399" s="2" t="inlineStr"/>
    </row>
    <row r="6400" ht="15" customHeight="1">
      <c r="A6400" t="inlineStr">
        <is>
          <t>A 27444-2023</t>
        </is>
      </c>
      <c r="B6400" s="1" t="n">
        <v>45097.40554398148</v>
      </c>
      <c r="C6400" s="1" t="n">
        <v>45952</v>
      </c>
      <c r="D6400" t="inlineStr">
        <is>
          <t>VÄSTRA GÖTALANDS LÄN</t>
        </is>
      </c>
      <c r="E6400" t="inlineStr">
        <is>
          <t>MARIESTAD</t>
        </is>
      </c>
      <c r="G6400" t="n">
        <v>2</v>
      </c>
      <c r="H6400" t="n">
        <v>0</v>
      </c>
      <c r="I6400" t="n">
        <v>0</v>
      </c>
      <c r="J6400" t="n">
        <v>0</v>
      </c>
      <c r="K6400" t="n">
        <v>0</v>
      </c>
      <c r="L6400" t="n">
        <v>0</v>
      </c>
      <c r="M6400" t="n">
        <v>0</v>
      </c>
      <c r="N6400" t="n">
        <v>0</v>
      </c>
      <c r="O6400" t="n">
        <v>0</v>
      </c>
      <c r="P6400" t="n">
        <v>0</v>
      </c>
      <c r="Q6400" t="n">
        <v>0</v>
      </c>
      <c r="R6400" s="2" t="inlineStr"/>
    </row>
    <row r="6401" ht="15" customHeight="1">
      <c r="A6401" t="inlineStr">
        <is>
          <t>A 3884-2022</t>
        </is>
      </c>
      <c r="B6401" s="1" t="n">
        <v>44587.46003472222</v>
      </c>
      <c r="C6401" s="1" t="n">
        <v>45952</v>
      </c>
      <c r="D6401" t="inlineStr">
        <is>
          <t>VÄSTRA GÖTALANDS LÄN</t>
        </is>
      </c>
      <c r="E6401" t="inlineStr">
        <is>
          <t>VÄNERSBORG</t>
        </is>
      </c>
      <c r="G6401" t="n">
        <v>1.9</v>
      </c>
      <c r="H6401" t="n">
        <v>0</v>
      </c>
      <c r="I6401" t="n">
        <v>0</v>
      </c>
      <c r="J6401" t="n">
        <v>0</v>
      </c>
      <c r="K6401" t="n">
        <v>0</v>
      </c>
      <c r="L6401" t="n">
        <v>0</v>
      </c>
      <c r="M6401" t="n">
        <v>0</v>
      </c>
      <c r="N6401" t="n">
        <v>0</v>
      </c>
      <c r="O6401" t="n">
        <v>0</v>
      </c>
      <c r="P6401" t="n">
        <v>0</v>
      </c>
      <c r="Q6401" t="n">
        <v>0</v>
      </c>
      <c r="R6401" s="2" t="inlineStr"/>
    </row>
    <row r="6402" ht="15" customHeight="1">
      <c r="A6402" t="inlineStr">
        <is>
          <t>A 3960-2022</t>
        </is>
      </c>
      <c r="B6402" s="1" t="n">
        <v>44587.59861111111</v>
      </c>
      <c r="C6402" s="1" t="n">
        <v>45952</v>
      </c>
      <c r="D6402" t="inlineStr">
        <is>
          <t>VÄSTRA GÖTALANDS LÄN</t>
        </is>
      </c>
      <c r="E6402" t="inlineStr">
        <is>
          <t>TRANEMO</t>
        </is>
      </c>
      <c r="G6402" t="n">
        <v>1.3</v>
      </c>
      <c r="H6402" t="n">
        <v>0</v>
      </c>
      <c r="I6402" t="n">
        <v>0</v>
      </c>
      <c r="J6402" t="n">
        <v>0</v>
      </c>
      <c r="K6402" t="n">
        <v>0</v>
      </c>
      <c r="L6402" t="n">
        <v>0</v>
      </c>
      <c r="M6402" t="n">
        <v>0</v>
      </c>
      <c r="N6402" t="n">
        <v>0</v>
      </c>
      <c r="O6402" t="n">
        <v>0</v>
      </c>
      <c r="P6402" t="n">
        <v>0</v>
      </c>
      <c r="Q6402" t="n">
        <v>0</v>
      </c>
      <c r="R6402" s="2" t="inlineStr"/>
    </row>
    <row r="6403" ht="15" customHeight="1">
      <c r="A6403" t="inlineStr">
        <is>
          <t>A 57767-2024</t>
        </is>
      </c>
      <c r="B6403" s="1" t="n">
        <v>45630.87564814815</v>
      </c>
      <c r="C6403" s="1" t="n">
        <v>45952</v>
      </c>
      <c r="D6403" t="inlineStr">
        <is>
          <t>VÄSTRA GÖTALANDS LÄN</t>
        </is>
      </c>
      <c r="E6403" t="inlineStr">
        <is>
          <t>STENUNGSUND</t>
        </is>
      </c>
      <c r="G6403" t="n">
        <v>1.3</v>
      </c>
      <c r="H6403" t="n">
        <v>0</v>
      </c>
      <c r="I6403" t="n">
        <v>0</v>
      </c>
      <c r="J6403" t="n">
        <v>0</v>
      </c>
      <c r="K6403" t="n">
        <v>0</v>
      </c>
      <c r="L6403" t="n">
        <v>0</v>
      </c>
      <c r="M6403" t="n">
        <v>0</v>
      </c>
      <c r="N6403" t="n">
        <v>0</v>
      </c>
      <c r="O6403" t="n">
        <v>0</v>
      </c>
      <c r="P6403" t="n">
        <v>0</v>
      </c>
      <c r="Q6403" t="n">
        <v>0</v>
      </c>
      <c r="R6403" s="2" t="inlineStr"/>
    </row>
    <row r="6404" ht="15" customHeight="1">
      <c r="A6404" t="inlineStr">
        <is>
          <t>A 57768-2024</t>
        </is>
      </c>
      <c r="B6404" s="1" t="n">
        <v>45630.87756944444</v>
      </c>
      <c r="C6404" s="1" t="n">
        <v>45952</v>
      </c>
      <c r="D6404" t="inlineStr">
        <is>
          <t>VÄSTRA GÖTALANDS LÄN</t>
        </is>
      </c>
      <c r="E6404" t="inlineStr">
        <is>
          <t>STENUNGSUND</t>
        </is>
      </c>
      <c r="G6404" t="n">
        <v>1</v>
      </c>
      <c r="H6404" t="n">
        <v>0</v>
      </c>
      <c r="I6404" t="n">
        <v>0</v>
      </c>
      <c r="J6404" t="n">
        <v>0</v>
      </c>
      <c r="K6404" t="n">
        <v>0</v>
      </c>
      <c r="L6404" t="n">
        <v>0</v>
      </c>
      <c r="M6404" t="n">
        <v>0</v>
      </c>
      <c r="N6404" t="n">
        <v>0</v>
      </c>
      <c r="O6404" t="n">
        <v>0</v>
      </c>
      <c r="P6404" t="n">
        <v>0</v>
      </c>
      <c r="Q6404" t="n">
        <v>0</v>
      </c>
      <c r="R6404" s="2" t="inlineStr"/>
    </row>
    <row r="6405" ht="15" customHeight="1">
      <c r="A6405" t="inlineStr">
        <is>
          <t>A 57824-2024</t>
        </is>
      </c>
      <c r="B6405" s="1" t="n">
        <v>45631.38447916666</v>
      </c>
      <c r="C6405" s="1" t="n">
        <v>45952</v>
      </c>
      <c r="D6405" t="inlineStr">
        <is>
          <t>VÄSTRA GÖTALANDS LÄN</t>
        </is>
      </c>
      <c r="E6405" t="inlineStr">
        <is>
          <t>UDDEVALLA</t>
        </is>
      </c>
      <c r="G6405" t="n">
        <v>2.5</v>
      </c>
      <c r="H6405" t="n">
        <v>0</v>
      </c>
      <c r="I6405" t="n">
        <v>0</v>
      </c>
      <c r="J6405" t="n">
        <v>0</v>
      </c>
      <c r="K6405" t="n">
        <v>0</v>
      </c>
      <c r="L6405" t="n">
        <v>0</v>
      </c>
      <c r="M6405" t="n">
        <v>0</v>
      </c>
      <c r="N6405" t="n">
        <v>0</v>
      </c>
      <c r="O6405" t="n">
        <v>0</v>
      </c>
      <c r="P6405" t="n">
        <v>0</v>
      </c>
      <c r="Q6405" t="n">
        <v>0</v>
      </c>
      <c r="R6405" s="2" t="inlineStr"/>
    </row>
    <row r="6406" ht="15" customHeight="1">
      <c r="A6406" t="inlineStr">
        <is>
          <t>A 14690-2024</t>
        </is>
      </c>
      <c r="B6406" s="1" t="n">
        <v>45397</v>
      </c>
      <c r="C6406" s="1" t="n">
        <v>45952</v>
      </c>
      <c r="D6406" t="inlineStr">
        <is>
          <t>VÄSTRA GÖTALANDS LÄN</t>
        </is>
      </c>
      <c r="E6406" t="inlineStr">
        <is>
          <t>VARA</t>
        </is>
      </c>
      <c r="G6406" t="n">
        <v>1.8</v>
      </c>
      <c r="H6406" t="n">
        <v>0</v>
      </c>
      <c r="I6406" t="n">
        <v>0</v>
      </c>
      <c r="J6406" t="n">
        <v>0</v>
      </c>
      <c r="K6406" t="n">
        <v>0</v>
      </c>
      <c r="L6406" t="n">
        <v>0</v>
      </c>
      <c r="M6406" t="n">
        <v>0</v>
      </c>
      <c r="N6406" t="n">
        <v>0</v>
      </c>
      <c r="O6406" t="n">
        <v>0</v>
      </c>
      <c r="P6406" t="n">
        <v>0</v>
      </c>
      <c r="Q6406" t="n">
        <v>0</v>
      </c>
      <c r="R6406" s="2" t="inlineStr"/>
    </row>
    <row r="6407" ht="15" customHeight="1">
      <c r="A6407" t="inlineStr">
        <is>
          <t>A 43922-2024</t>
        </is>
      </c>
      <c r="B6407" s="1" t="n">
        <v>45572.44581018519</v>
      </c>
      <c r="C6407" s="1" t="n">
        <v>45952</v>
      </c>
      <c r="D6407" t="inlineStr">
        <is>
          <t>VÄSTRA GÖTALANDS LÄN</t>
        </is>
      </c>
      <c r="E6407" t="inlineStr">
        <is>
          <t>MARK</t>
        </is>
      </c>
      <c r="G6407" t="n">
        <v>2.7</v>
      </c>
      <c r="H6407" t="n">
        <v>0</v>
      </c>
      <c r="I6407" t="n">
        <v>0</v>
      </c>
      <c r="J6407" t="n">
        <v>0</v>
      </c>
      <c r="K6407" t="n">
        <v>0</v>
      </c>
      <c r="L6407" t="n">
        <v>0</v>
      </c>
      <c r="M6407" t="n">
        <v>0</v>
      </c>
      <c r="N6407" t="n">
        <v>0</v>
      </c>
      <c r="O6407" t="n">
        <v>0</v>
      </c>
      <c r="P6407" t="n">
        <v>0</v>
      </c>
      <c r="Q6407" t="n">
        <v>0</v>
      </c>
      <c r="R6407" s="2" t="inlineStr"/>
    </row>
    <row r="6408" ht="15" customHeight="1">
      <c r="A6408" t="inlineStr">
        <is>
          <t>A 21639-2024</t>
        </is>
      </c>
      <c r="B6408" s="1" t="n">
        <v>45442.34746527778</v>
      </c>
      <c r="C6408" s="1" t="n">
        <v>45952</v>
      </c>
      <c r="D6408" t="inlineStr">
        <is>
          <t>VÄSTRA GÖTALANDS LÄN</t>
        </is>
      </c>
      <c r="E6408" t="inlineStr">
        <is>
          <t>MARK</t>
        </is>
      </c>
      <c r="G6408" t="n">
        <v>0.6</v>
      </c>
      <c r="H6408" t="n">
        <v>0</v>
      </c>
      <c r="I6408" t="n">
        <v>0</v>
      </c>
      <c r="J6408" t="n">
        <v>0</v>
      </c>
      <c r="K6408" t="n">
        <v>0</v>
      </c>
      <c r="L6408" t="n">
        <v>0</v>
      </c>
      <c r="M6408" t="n">
        <v>0</v>
      </c>
      <c r="N6408" t="n">
        <v>0</v>
      </c>
      <c r="O6408" t="n">
        <v>0</v>
      </c>
      <c r="P6408" t="n">
        <v>0</v>
      </c>
      <c r="Q6408" t="n">
        <v>0</v>
      </c>
      <c r="R6408" s="2" t="inlineStr"/>
    </row>
    <row r="6409" ht="15" customHeight="1">
      <c r="A6409" t="inlineStr">
        <is>
          <t>A 22144-2022</t>
        </is>
      </c>
      <c r="B6409" s="1" t="n">
        <v>44712.40928240741</v>
      </c>
      <c r="C6409" s="1" t="n">
        <v>45952</v>
      </c>
      <c r="D6409" t="inlineStr">
        <is>
          <t>VÄSTRA GÖTALANDS LÄN</t>
        </is>
      </c>
      <c r="E6409" t="inlineStr">
        <is>
          <t>MARK</t>
        </is>
      </c>
      <c r="G6409" t="n">
        <v>0.7</v>
      </c>
      <c r="H6409" t="n">
        <v>0</v>
      </c>
      <c r="I6409" t="n">
        <v>0</v>
      </c>
      <c r="J6409" t="n">
        <v>0</v>
      </c>
      <c r="K6409" t="n">
        <v>0</v>
      </c>
      <c r="L6409" t="n">
        <v>0</v>
      </c>
      <c r="M6409" t="n">
        <v>0</v>
      </c>
      <c r="N6409" t="n">
        <v>0</v>
      </c>
      <c r="O6409" t="n">
        <v>0</v>
      </c>
      <c r="P6409" t="n">
        <v>0</v>
      </c>
      <c r="Q6409" t="n">
        <v>0</v>
      </c>
      <c r="R6409" s="2" t="inlineStr"/>
    </row>
    <row r="6410" ht="15" customHeight="1">
      <c r="A6410" t="inlineStr">
        <is>
          <t>A 44816-2024</t>
        </is>
      </c>
      <c r="B6410" s="1" t="n">
        <v>45574.6596875</v>
      </c>
      <c r="C6410" s="1" t="n">
        <v>45952</v>
      </c>
      <c r="D6410" t="inlineStr">
        <is>
          <t>VÄSTRA GÖTALANDS LÄN</t>
        </is>
      </c>
      <c r="E6410" t="inlineStr">
        <is>
          <t>BENGTSFORS</t>
        </is>
      </c>
      <c r="G6410" t="n">
        <v>0.7</v>
      </c>
      <c r="H6410" t="n">
        <v>0</v>
      </c>
      <c r="I6410" t="n">
        <v>0</v>
      </c>
      <c r="J6410" t="n">
        <v>0</v>
      </c>
      <c r="K6410" t="n">
        <v>0</v>
      </c>
      <c r="L6410" t="n">
        <v>0</v>
      </c>
      <c r="M6410" t="n">
        <v>0</v>
      </c>
      <c r="N6410" t="n">
        <v>0</v>
      </c>
      <c r="O6410" t="n">
        <v>0</v>
      </c>
      <c r="P6410" t="n">
        <v>0</v>
      </c>
      <c r="Q6410" t="n">
        <v>0</v>
      </c>
      <c r="R6410" s="2" t="inlineStr"/>
    </row>
    <row r="6411" ht="15" customHeight="1">
      <c r="A6411" t="inlineStr">
        <is>
          <t>A 2167-2025</t>
        </is>
      </c>
      <c r="B6411" s="1" t="n">
        <v>45673.25934027778</v>
      </c>
      <c r="C6411" s="1" t="n">
        <v>45952</v>
      </c>
      <c r="D6411" t="inlineStr">
        <is>
          <t>VÄSTRA GÖTALANDS LÄN</t>
        </is>
      </c>
      <c r="E6411" t="inlineStr">
        <is>
          <t>ALINGSÅS</t>
        </is>
      </c>
      <c r="F6411" t="inlineStr">
        <is>
          <t>Kyrkan</t>
        </is>
      </c>
      <c r="G6411" t="n">
        <v>8.4</v>
      </c>
      <c r="H6411" t="n">
        <v>0</v>
      </c>
      <c r="I6411" t="n">
        <v>0</v>
      </c>
      <c r="J6411" t="n">
        <v>0</v>
      </c>
      <c r="K6411" t="n">
        <v>0</v>
      </c>
      <c r="L6411" t="n">
        <v>0</v>
      </c>
      <c r="M6411" t="n">
        <v>0</v>
      </c>
      <c r="N6411" t="n">
        <v>0</v>
      </c>
      <c r="O6411" t="n">
        <v>0</v>
      </c>
      <c r="P6411" t="n">
        <v>0</v>
      </c>
      <c r="Q6411" t="n">
        <v>0</v>
      </c>
      <c r="R6411" s="2" t="inlineStr"/>
    </row>
    <row r="6412" ht="15" customHeight="1">
      <c r="A6412" t="inlineStr">
        <is>
          <t>A 2168-2025</t>
        </is>
      </c>
      <c r="B6412" s="1" t="n">
        <v>45673.27136574074</v>
      </c>
      <c r="C6412" s="1" t="n">
        <v>45952</v>
      </c>
      <c r="D6412" t="inlineStr">
        <is>
          <t>VÄSTRA GÖTALANDS LÄN</t>
        </is>
      </c>
      <c r="E6412" t="inlineStr">
        <is>
          <t>ALINGSÅS</t>
        </is>
      </c>
      <c r="F6412" t="inlineStr">
        <is>
          <t>Kyrkan</t>
        </is>
      </c>
      <c r="G6412" t="n">
        <v>2.8</v>
      </c>
      <c r="H6412" t="n">
        <v>0</v>
      </c>
      <c r="I6412" t="n">
        <v>0</v>
      </c>
      <c r="J6412" t="n">
        <v>0</v>
      </c>
      <c r="K6412" t="n">
        <v>0</v>
      </c>
      <c r="L6412" t="n">
        <v>0</v>
      </c>
      <c r="M6412" t="n">
        <v>0</v>
      </c>
      <c r="N6412" t="n">
        <v>0</v>
      </c>
      <c r="O6412" t="n">
        <v>0</v>
      </c>
      <c r="P6412" t="n">
        <v>0</v>
      </c>
      <c r="Q6412" t="n">
        <v>0</v>
      </c>
      <c r="R6412" s="2" t="inlineStr"/>
    </row>
    <row r="6413" ht="15" customHeight="1">
      <c r="A6413" t="inlineStr">
        <is>
          <t>A 2178-2025</t>
        </is>
      </c>
      <c r="B6413" s="1" t="n">
        <v>45673.34253472222</v>
      </c>
      <c r="C6413" s="1" t="n">
        <v>45952</v>
      </c>
      <c r="D6413" t="inlineStr">
        <is>
          <t>VÄSTRA GÖTALANDS LÄN</t>
        </is>
      </c>
      <c r="E6413" t="inlineStr">
        <is>
          <t>BENGTSFORS</t>
        </is>
      </c>
      <c r="G6413" t="n">
        <v>1.1</v>
      </c>
      <c r="H6413" t="n">
        <v>0</v>
      </c>
      <c r="I6413" t="n">
        <v>0</v>
      </c>
      <c r="J6413" t="n">
        <v>0</v>
      </c>
      <c r="K6413" t="n">
        <v>0</v>
      </c>
      <c r="L6413" t="n">
        <v>0</v>
      </c>
      <c r="M6413" t="n">
        <v>0</v>
      </c>
      <c r="N6413" t="n">
        <v>0</v>
      </c>
      <c r="O6413" t="n">
        <v>0</v>
      </c>
      <c r="P6413" t="n">
        <v>0</v>
      </c>
      <c r="Q6413" t="n">
        <v>0</v>
      </c>
      <c r="R6413" s="2" t="inlineStr"/>
    </row>
    <row r="6414" ht="15" customHeight="1">
      <c r="A6414" t="inlineStr">
        <is>
          <t>A 9771-2024</t>
        </is>
      </c>
      <c r="B6414" s="1" t="n">
        <v>45362</v>
      </c>
      <c r="C6414" s="1" t="n">
        <v>45952</v>
      </c>
      <c r="D6414" t="inlineStr">
        <is>
          <t>VÄSTRA GÖTALANDS LÄN</t>
        </is>
      </c>
      <c r="E6414" t="inlineStr">
        <is>
          <t>KARLSBORG</t>
        </is>
      </c>
      <c r="G6414" t="n">
        <v>2.3</v>
      </c>
      <c r="H6414" t="n">
        <v>0</v>
      </c>
      <c r="I6414" t="n">
        <v>0</v>
      </c>
      <c r="J6414" t="n">
        <v>0</v>
      </c>
      <c r="K6414" t="n">
        <v>0</v>
      </c>
      <c r="L6414" t="n">
        <v>0</v>
      </c>
      <c r="M6414" t="n">
        <v>0</v>
      </c>
      <c r="N6414" t="n">
        <v>0</v>
      </c>
      <c r="O6414" t="n">
        <v>0</v>
      </c>
      <c r="P6414" t="n">
        <v>0</v>
      </c>
      <c r="Q6414" t="n">
        <v>0</v>
      </c>
      <c r="R6414" s="2" t="inlineStr"/>
    </row>
    <row r="6415" ht="15" customHeight="1">
      <c r="A6415" t="inlineStr">
        <is>
          <t>A 2213-2025</t>
        </is>
      </c>
      <c r="B6415" s="1" t="n">
        <v>45673.4359837963</v>
      </c>
      <c r="C6415" s="1" t="n">
        <v>45952</v>
      </c>
      <c r="D6415" t="inlineStr">
        <is>
          <t>VÄSTRA GÖTALANDS LÄN</t>
        </is>
      </c>
      <c r="E6415" t="inlineStr">
        <is>
          <t>ORUST</t>
        </is>
      </c>
      <c r="G6415" t="n">
        <v>1.3</v>
      </c>
      <c r="H6415" t="n">
        <v>0</v>
      </c>
      <c r="I6415" t="n">
        <v>0</v>
      </c>
      <c r="J6415" t="n">
        <v>0</v>
      </c>
      <c r="K6415" t="n">
        <v>0</v>
      </c>
      <c r="L6415" t="n">
        <v>0</v>
      </c>
      <c r="M6415" t="n">
        <v>0</v>
      </c>
      <c r="N6415" t="n">
        <v>0</v>
      </c>
      <c r="O6415" t="n">
        <v>0</v>
      </c>
      <c r="P6415" t="n">
        <v>0</v>
      </c>
      <c r="Q6415" t="n">
        <v>0</v>
      </c>
      <c r="R6415" s="2" t="inlineStr"/>
    </row>
    <row r="6416" ht="15" customHeight="1">
      <c r="A6416" t="inlineStr">
        <is>
          <t>A 28473-2022</t>
        </is>
      </c>
      <c r="B6416" s="1" t="n">
        <v>44747.82956018519</v>
      </c>
      <c r="C6416" s="1" t="n">
        <v>45952</v>
      </c>
      <c r="D6416" t="inlineStr">
        <is>
          <t>VÄSTRA GÖTALANDS LÄN</t>
        </is>
      </c>
      <c r="E6416" t="inlineStr">
        <is>
          <t>FALKÖPING</t>
        </is>
      </c>
      <c r="G6416" t="n">
        <v>6.5</v>
      </c>
      <c r="H6416" t="n">
        <v>0</v>
      </c>
      <c r="I6416" t="n">
        <v>0</v>
      </c>
      <c r="J6416" t="n">
        <v>0</v>
      </c>
      <c r="K6416" t="n">
        <v>0</v>
      </c>
      <c r="L6416" t="n">
        <v>0</v>
      </c>
      <c r="M6416" t="n">
        <v>0</v>
      </c>
      <c r="N6416" t="n">
        <v>0</v>
      </c>
      <c r="O6416" t="n">
        <v>0</v>
      </c>
      <c r="P6416" t="n">
        <v>0</v>
      </c>
      <c r="Q6416" t="n">
        <v>0</v>
      </c>
      <c r="R6416" s="2" t="inlineStr"/>
    </row>
    <row r="6417" ht="15" customHeight="1">
      <c r="A6417" t="inlineStr">
        <is>
          <t>A 52950-2022</t>
        </is>
      </c>
      <c r="B6417" s="1" t="n">
        <v>44875.65717592592</v>
      </c>
      <c r="C6417" s="1" t="n">
        <v>45952</v>
      </c>
      <c r="D6417" t="inlineStr">
        <is>
          <t>VÄSTRA GÖTALANDS LÄN</t>
        </is>
      </c>
      <c r="E6417" t="inlineStr">
        <is>
          <t>STRÖMSTAD</t>
        </is>
      </c>
      <c r="G6417" t="n">
        <v>1.5</v>
      </c>
      <c r="H6417" t="n">
        <v>0</v>
      </c>
      <c r="I6417" t="n">
        <v>0</v>
      </c>
      <c r="J6417" t="n">
        <v>0</v>
      </c>
      <c r="K6417" t="n">
        <v>0</v>
      </c>
      <c r="L6417" t="n">
        <v>0</v>
      </c>
      <c r="M6417" t="n">
        <v>0</v>
      </c>
      <c r="N6417" t="n">
        <v>0</v>
      </c>
      <c r="O6417" t="n">
        <v>0</v>
      </c>
      <c r="P6417" t="n">
        <v>0</v>
      </c>
      <c r="Q6417" t="n">
        <v>0</v>
      </c>
      <c r="R6417" s="2" t="inlineStr"/>
    </row>
    <row r="6418" ht="15" customHeight="1">
      <c r="A6418" t="inlineStr">
        <is>
          <t>A 62375-2023</t>
        </is>
      </c>
      <c r="B6418" s="1" t="n">
        <v>45268</v>
      </c>
      <c r="C6418" s="1" t="n">
        <v>45952</v>
      </c>
      <c r="D6418" t="inlineStr">
        <is>
          <t>VÄSTRA GÖTALANDS LÄN</t>
        </is>
      </c>
      <c r="E6418" t="inlineStr">
        <is>
          <t>MARK</t>
        </is>
      </c>
      <c r="G6418" t="n">
        <v>1.3</v>
      </c>
      <c r="H6418" t="n">
        <v>0</v>
      </c>
      <c r="I6418" t="n">
        <v>0</v>
      </c>
      <c r="J6418" t="n">
        <v>0</v>
      </c>
      <c r="K6418" t="n">
        <v>0</v>
      </c>
      <c r="L6418" t="n">
        <v>0</v>
      </c>
      <c r="M6418" t="n">
        <v>0</v>
      </c>
      <c r="N6418" t="n">
        <v>0</v>
      </c>
      <c r="O6418" t="n">
        <v>0</v>
      </c>
      <c r="P6418" t="n">
        <v>0</v>
      </c>
      <c r="Q6418" t="n">
        <v>0</v>
      </c>
      <c r="R6418" s="2" t="inlineStr"/>
    </row>
    <row r="6419" ht="15" customHeight="1">
      <c r="A6419" t="inlineStr">
        <is>
          <t>A 62377-2023</t>
        </is>
      </c>
      <c r="B6419" s="1" t="n">
        <v>45266</v>
      </c>
      <c r="C6419" s="1" t="n">
        <v>45952</v>
      </c>
      <c r="D6419" t="inlineStr">
        <is>
          <t>VÄSTRA GÖTALANDS LÄN</t>
        </is>
      </c>
      <c r="E6419" t="inlineStr">
        <is>
          <t>TROLLHÄTTAN</t>
        </is>
      </c>
      <c r="F6419" t="inlineStr">
        <is>
          <t>Kyrkan</t>
        </is>
      </c>
      <c r="G6419" t="n">
        <v>0.8</v>
      </c>
      <c r="H6419" t="n">
        <v>0</v>
      </c>
      <c r="I6419" t="n">
        <v>0</v>
      </c>
      <c r="J6419" t="n">
        <v>0</v>
      </c>
      <c r="K6419" t="n">
        <v>0</v>
      </c>
      <c r="L6419" t="n">
        <v>0</v>
      </c>
      <c r="M6419" t="n">
        <v>0</v>
      </c>
      <c r="N6419" t="n">
        <v>0</v>
      </c>
      <c r="O6419" t="n">
        <v>0</v>
      </c>
      <c r="P6419" t="n">
        <v>0</v>
      </c>
      <c r="Q6419" t="n">
        <v>0</v>
      </c>
      <c r="R6419" s="2" t="inlineStr"/>
    </row>
    <row r="6420" ht="15" customHeight="1">
      <c r="A6420" t="inlineStr">
        <is>
          <t>A 62380-2023</t>
        </is>
      </c>
      <c r="B6420" s="1" t="n">
        <v>45266</v>
      </c>
      <c r="C6420" s="1" t="n">
        <v>45952</v>
      </c>
      <c r="D6420" t="inlineStr">
        <is>
          <t>VÄSTRA GÖTALANDS LÄN</t>
        </is>
      </c>
      <c r="E6420" t="inlineStr">
        <is>
          <t>TROLLHÄTTAN</t>
        </is>
      </c>
      <c r="F6420" t="inlineStr">
        <is>
          <t>Kyrkan</t>
        </is>
      </c>
      <c r="G6420" t="n">
        <v>0.9</v>
      </c>
      <c r="H6420" t="n">
        <v>0</v>
      </c>
      <c r="I6420" t="n">
        <v>0</v>
      </c>
      <c r="J6420" t="n">
        <v>0</v>
      </c>
      <c r="K6420" t="n">
        <v>0</v>
      </c>
      <c r="L6420" t="n">
        <v>0</v>
      </c>
      <c r="M6420" t="n">
        <v>0</v>
      </c>
      <c r="N6420" t="n">
        <v>0</v>
      </c>
      <c r="O6420" t="n">
        <v>0</v>
      </c>
      <c r="P6420" t="n">
        <v>0</v>
      </c>
      <c r="Q6420" t="n">
        <v>0</v>
      </c>
      <c r="R6420" s="2" t="inlineStr"/>
    </row>
    <row r="6421" ht="15" customHeight="1">
      <c r="A6421" t="inlineStr">
        <is>
          <t>A 31426-2021</t>
        </is>
      </c>
      <c r="B6421" s="1" t="n">
        <v>44369</v>
      </c>
      <c r="C6421" s="1" t="n">
        <v>45952</v>
      </c>
      <c r="D6421" t="inlineStr">
        <is>
          <t>VÄSTRA GÖTALANDS LÄN</t>
        </is>
      </c>
      <c r="E6421" t="inlineStr">
        <is>
          <t>BENGTSFORS</t>
        </is>
      </c>
      <c r="G6421" t="n">
        <v>1.6</v>
      </c>
      <c r="H6421" t="n">
        <v>0</v>
      </c>
      <c r="I6421" t="n">
        <v>0</v>
      </c>
      <c r="J6421" t="n">
        <v>0</v>
      </c>
      <c r="K6421" t="n">
        <v>0</v>
      </c>
      <c r="L6421" t="n">
        <v>0</v>
      </c>
      <c r="M6421" t="n">
        <v>0</v>
      </c>
      <c r="N6421" t="n">
        <v>0</v>
      </c>
      <c r="O6421" t="n">
        <v>0</v>
      </c>
      <c r="P6421" t="n">
        <v>0</v>
      </c>
      <c r="Q6421" t="n">
        <v>0</v>
      </c>
      <c r="R6421" s="2" t="inlineStr"/>
    </row>
    <row r="6422" ht="15" customHeight="1">
      <c r="A6422" t="inlineStr">
        <is>
          <t>A 58819-2020</t>
        </is>
      </c>
      <c r="B6422" s="1" t="n">
        <v>44141</v>
      </c>
      <c r="C6422" s="1" t="n">
        <v>45952</v>
      </c>
      <c r="D6422" t="inlineStr">
        <is>
          <t>VÄSTRA GÖTALANDS LÄN</t>
        </is>
      </c>
      <c r="E6422" t="inlineStr">
        <is>
          <t>ORUST</t>
        </is>
      </c>
      <c r="G6422" t="n">
        <v>3.6</v>
      </c>
      <c r="H6422" t="n">
        <v>0</v>
      </c>
      <c r="I6422" t="n">
        <v>0</v>
      </c>
      <c r="J6422" t="n">
        <v>0</v>
      </c>
      <c r="K6422" t="n">
        <v>0</v>
      </c>
      <c r="L6422" t="n">
        <v>0</v>
      </c>
      <c r="M6422" t="n">
        <v>0</v>
      </c>
      <c r="N6422" t="n">
        <v>0</v>
      </c>
      <c r="O6422" t="n">
        <v>0</v>
      </c>
      <c r="P6422" t="n">
        <v>0</v>
      </c>
      <c r="Q6422" t="n">
        <v>0</v>
      </c>
      <c r="R6422" s="2" t="inlineStr"/>
    </row>
    <row r="6423" ht="15" customHeight="1">
      <c r="A6423" t="inlineStr">
        <is>
          <t>A 60524-2023</t>
        </is>
      </c>
      <c r="B6423" s="1" t="n">
        <v>45259</v>
      </c>
      <c r="C6423" s="1" t="n">
        <v>45952</v>
      </c>
      <c r="D6423" t="inlineStr">
        <is>
          <t>VÄSTRA GÖTALANDS LÄN</t>
        </is>
      </c>
      <c r="E6423" t="inlineStr">
        <is>
          <t>FALKÖPING</t>
        </is>
      </c>
      <c r="G6423" t="n">
        <v>15.8</v>
      </c>
      <c r="H6423" t="n">
        <v>0</v>
      </c>
      <c r="I6423" t="n">
        <v>0</v>
      </c>
      <c r="J6423" t="n">
        <v>0</v>
      </c>
      <c r="K6423" t="n">
        <v>0</v>
      </c>
      <c r="L6423" t="n">
        <v>0</v>
      </c>
      <c r="M6423" t="n">
        <v>0</v>
      </c>
      <c r="N6423" t="n">
        <v>0</v>
      </c>
      <c r="O6423" t="n">
        <v>0</v>
      </c>
      <c r="P6423" t="n">
        <v>0</v>
      </c>
      <c r="Q6423" t="n">
        <v>0</v>
      </c>
      <c r="R6423" s="2" t="inlineStr"/>
    </row>
    <row r="6424" ht="15" customHeight="1">
      <c r="A6424" t="inlineStr">
        <is>
          <t>A 56054-2023</t>
        </is>
      </c>
      <c r="B6424" s="1" t="n">
        <v>45240</v>
      </c>
      <c r="C6424" s="1" t="n">
        <v>45952</v>
      </c>
      <c r="D6424" t="inlineStr">
        <is>
          <t>VÄSTRA GÖTALANDS LÄN</t>
        </is>
      </c>
      <c r="E6424" t="inlineStr">
        <is>
          <t>MARIESTAD</t>
        </is>
      </c>
      <c r="G6424" t="n">
        <v>1</v>
      </c>
      <c r="H6424" t="n">
        <v>0</v>
      </c>
      <c r="I6424" t="n">
        <v>0</v>
      </c>
      <c r="J6424" t="n">
        <v>0</v>
      </c>
      <c r="K6424" t="n">
        <v>0</v>
      </c>
      <c r="L6424" t="n">
        <v>0</v>
      </c>
      <c r="M6424" t="n">
        <v>0</v>
      </c>
      <c r="N6424" t="n">
        <v>0</v>
      </c>
      <c r="O6424" t="n">
        <v>0</v>
      </c>
      <c r="P6424" t="n">
        <v>0</v>
      </c>
      <c r="Q6424" t="n">
        <v>0</v>
      </c>
      <c r="R6424" s="2" t="inlineStr"/>
    </row>
    <row r="6425" ht="15" customHeight="1">
      <c r="A6425" t="inlineStr">
        <is>
          <t>A 60550-2023</t>
        </is>
      </c>
      <c r="B6425" s="1" t="n">
        <v>45259.84060185185</v>
      </c>
      <c r="C6425" s="1" t="n">
        <v>45952</v>
      </c>
      <c r="D6425" t="inlineStr">
        <is>
          <t>VÄSTRA GÖTALANDS LÄN</t>
        </is>
      </c>
      <c r="E6425" t="inlineStr">
        <is>
          <t>STENUNGSUND</t>
        </is>
      </c>
      <c r="G6425" t="n">
        <v>0.5</v>
      </c>
      <c r="H6425" t="n">
        <v>0</v>
      </c>
      <c r="I6425" t="n">
        <v>0</v>
      </c>
      <c r="J6425" t="n">
        <v>0</v>
      </c>
      <c r="K6425" t="n">
        <v>0</v>
      </c>
      <c r="L6425" t="n">
        <v>0</v>
      </c>
      <c r="M6425" t="n">
        <v>0</v>
      </c>
      <c r="N6425" t="n">
        <v>0</v>
      </c>
      <c r="O6425" t="n">
        <v>0</v>
      </c>
      <c r="P6425" t="n">
        <v>0</v>
      </c>
      <c r="Q6425" t="n">
        <v>0</v>
      </c>
      <c r="R6425" s="2" t="inlineStr"/>
    </row>
    <row r="6426" ht="15" customHeight="1">
      <c r="A6426" t="inlineStr">
        <is>
          <t>A 37050-2023</t>
        </is>
      </c>
      <c r="B6426" s="1" t="n">
        <v>45155.42420138889</v>
      </c>
      <c r="C6426" s="1" t="n">
        <v>45952</v>
      </c>
      <c r="D6426" t="inlineStr">
        <is>
          <t>VÄSTRA GÖTALANDS LÄN</t>
        </is>
      </c>
      <c r="E6426" t="inlineStr">
        <is>
          <t>LYSEKIL</t>
        </is>
      </c>
      <c r="G6426" t="n">
        <v>4.4</v>
      </c>
      <c r="H6426" t="n">
        <v>0</v>
      </c>
      <c r="I6426" t="n">
        <v>0</v>
      </c>
      <c r="J6426" t="n">
        <v>0</v>
      </c>
      <c r="K6426" t="n">
        <v>0</v>
      </c>
      <c r="L6426" t="n">
        <v>0</v>
      </c>
      <c r="M6426" t="n">
        <v>0</v>
      </c>
      <c r="N6426" t="n">
        <v>0</v>
      </c>
      <c r="O6426" t="n">
        <v>0</v>
      </c>
      <c r="P6426" t="n">
        <v>0</v>
      </c>
      <c r="Q6426" t="n">
        <v>0</v>
      </c>
      <c r="R6426" s="2" t="inlineStr"/>
    </row>
    <row r="6427" ht="15" customHeight="1">
      <c r="A6427" t="inlineStr">
        <is>
          <t>A 60558-2023</t>
        </is>
      </c>
      <c r="B6427" s="1" t="n">
        <v>45259.86798611111</v>
      </c>
      <c r="C6427" s="1" t="n">
        <v>45952</v>
      </c>
      <c r="D6427" t="inlineStr">
        <is>
          <t>VÄSTRA GÖTALANDS LÄN</t>
        </is>
      </c>
      <c r="E6427" t="inlineStr">
        <is>
          <t>SKÖVDE</t>
        </is>
      </c>
      <c r="G6427" t="n">
        <v>0.8</v>
      </c>
      <c r="H6427" t="n">
        <v>0</v>
      </c>
      <c r="I6427" t="n">
        <v>0</v>
      </c>
      <c r="J6427" t="n">
        <v>0</v>
      </c>
      <c r="K6427" t="n">
        <v>0</v>
      </c>
      <c r="L6427" t="n">
        <v>0</v>
      </c>
      <c r="M6427" t="n">
        <v>0</v>
      </c>
      <c r="N6427" t="n">
        <v>0</v>
      </c>
      <c r="O6427" t="n">
        <v>0</v>
      </c>
      <c r="P6427" t="n">
        <v>0</v>
      </c>
      <c r="Q6427" t="n">
        <v>0</v>
      </c>
      <c r="R6427" s="2" t="inlineStr"/>
    </row>
    <row r="6428" ht="15" customHeight="1">
      <c r="A6428" t="inlineStr">
        <is>
          <t>A 34331-2022</t>
        </is>
      </c>
      <c r="B6428" s="1" t="n">
        <v>44792</v>
      </c>
      <c r="C6428" s="1" t="n">
        <v>45952</v>
      </c>
      <c r="D6428" t="inlineStr">
        <is>
          <t>VÄSTRA GÖTALANDS LÄN</t>
        </is>
      </c>
      <c r="E6428" t="inlineStr">
        <is>
          <t>TANUM</t>
        </is>
      </c>
      <c r="G6428" t="n">
        <v>1.7</v>
      </c>
      <c r="H6428" t="n">
        <v>0</v>
      </c>
      <c r="I6428" t="n">
        <v>0</v>
      </c>
      <c r="J6428" t="n">
        <v>0</v>
      </c>
      <c r="K6428" t="n">
        <v>0</v>
      </c>
      <c r="L6428" t="n">
        <v>0</v>
      </c>
      <c r="M6428" t="n">
        <v>0</v>
      </c>
      <c r="N6428" t="n">
        <v>0</v>
      </c>
      <c r="O6428" t="n">
        <v>0</v>
      </c>
      <c r="P6428" t="n">
        <v>0</v>
      </c>
      <c r="Q6428" t="n">
        <v>0</v>
      </c>
      <c r="R6428" s="2" t="inlineStr"/>
    </row>
    <row r="6429" ht="15" customHeight="1">
      <c r="A6429" t="inlineStr">
        <is>
          <t>A 21836-2022</t>
        </is>
      </c>
      <c r="B6429" s="1" t="n">
        <v>44710.9250462963</v>
      </c>
      <c r="C6429" s="1" t="n">
        <v>45952</v>
      </c>
      <c r="D6429" t="inlineStr">
        <is>
          <t>VÄSTRA GÖTALANDS LÄN</t>
        </is>
      </c>
      <c r="E6429" t="inlineStr">
        <is>
          <t>LERUM</t>
        </is>
      </c>
      <c r="G6429" t="n">
        <v>5.9</v>
      </c>
      <c r="H6429" t="n">
        <v>0</v>
      </c>
      <c r="I6429" t="n">
        <v>0</v>
      </c>
      <c r="J6429" t="n">
        <v>0</v>
      </c>
      <c r="K6429" t="n">
        <v>0</v>
      </c>
      <c r="L6429" t="n">
        <v>0</v>
      </c>
      <c r="M6429" t="n">
        <v>0</v>
      </c>
      <c r="N6429" t="n">
        <v>0</v>
      </c>
      <c r="O6429" t="n">
        <v>0</v>
      </c>
      <c r="P6429" t="n">
        <v>0</v>
      </c>
      <c r="Q6429" t="n">
        <v>0</v>
      </c>
      <c r="R6429" s="2" t="inlineStr"/>
    </row>
    <row r="6430" ht="15" customHeight="1">
      <c r="A6430" t="inlineStr">
        <is>
          <t>A 48879-2024</t>
        </is>
      </c>
      <c r="B6430" s="1" t="n">
        <v>45594.32021990741</v>
      </c>
      <c r="C6430" s="1" t="n">
        <v>45952</v>
      </c>
      <c r="D6430" t="inlineStr">
        <is>
          <t>VÄSTRA GÖTALANDS LÄN</t>
        </is>
      </c>
      <c r="E6430" t="inlineStr">
        <is>
          <t>MELLERUD</t>
        </is>
      </c>
      <c r="G6430" t="n">
        <v>1.1</v>
      </c>
      <c r="H6430" t="n">
        <v>0</v>
      </c>
      <c r="I6430" t="n">
        <v>0</v>
      </c>
      <c r="J6430" t="n">
        <v>0</v>
      </c>
      <c r="K6430" t="n">
        <v>0</v>
      </c>
      <c r="L6430" t="n">
        <v>0</v>
      </c>
      <c r="M6430" t="n">
        <v>0</v>
      </c>
      <c r="N6430" t="n">
        <v>0</v>
      </c>
      <c r="O6430" t="n">
        <v>0</v>
      </c>
      <c r="P6430" t="n">
        <v>0</v>
      </c>
      <c r="Q6430" t="n">
        <v>0</v>
      </c>
      <c r="R6430" s="2" t="inlineStr"/>
    </row>
    <row r="6431" ht="15" customHeight="1">
      <c r="A6431" t="inlineStr">
        <is>
          <t>A 10426-2023</t>
        </is>
      </c>
      <c r="B6431" s="1" t="n">
        <v>44981</v>
      </c>
      <c r="C6431" s="1" t="n">
        <v>45952</v>
      </c>
      <c r="D6431" t="inlineStr">
        <is>
          <t>VÄSTRA GÖTALANDS LÄN</t>
        </is>
      </c>
      <c r="E6431" t="inlineStr">
        <is>
          <t>UDDEVALLA</t>
        </is>
      </c>
      <c r="F6431" t="inlineStr">
        <is>
          <t>Kyrkan</t>
        </is>
      </c>
      <c r="G6431" t="n">
        <v>2</v>
      </c>
      <c r="H6431" t="n">
        <v>0</v>
      </c>
      <c r="I6431" t="n">
        <v>0</v>
      </c>
      <c r="J6431" t="n">
        <v>0</v>
      </c>
      <c r="K6431" t="n">
        <v>0</v>
      </c>
      <c r="L6431" t="n">
        <v>0</v>
      </c>
      <c r="M6431" t="n">
        <v>0</v>
      </c>
      <c r="N6431" t="n">
        <v>0</v>
      </c>
      <c r="O6431" t="n">
        <v>0</v>
      </c>
      <c r="P6431" t="n">
        <v>0</v>
      </c>
      <c r="Q6431" t="n">
        <v>0</v>
      </c>
      <c r="R6431" s="2" t="inlineStr"/>
    </row>
    <row r="6432" ht="15" customHeight="1">
      <c r="A6432" t="inlineStr">
        <is>
          <t>A 30636-2023</t>
        </is>
      </c>
      <c r="B6432" s="1" t="n">
        <v>45112.46046296296</v>
      </c>
      <c r="C6432" s="1" t="n">
        <v>45952</v>
      </c>
      <c r="D6432" t="inlineStr">
        <is>
          <t>VÄSTRA GÖTALANDS LÄN</t>
        </is>
      </c>
      <c r="E6432" t="inlineStr">
        <is>
          <t>HJO</t>
        </is>
      </c>
      <c r="F6432" t="inlineStr">
        <is>
          <t>Kyrkan</t>
        </is>
      </c>
      <c r="G6432" t="n">
        <v>0.8</v>
      </c>
      <c r="H6432" t="n">
        <v>0</v>
      </c>
      <c r="I6432" t="n">
        <v>0</v>
      </c>
      <c r="J6432" t="n">
        <v>0</v>
      </c>
      <c r="K6432" t="n">
        <v>0</v>
      </c>
      <c r="L6432" t="n">
        <v>0</v>
      </c>
      <c r="M6432" t="n">
        <v>0</v>
      </c>
      <c r="N6432" t="n">
        <v>0</v>
      </c>
      <c r="O6432" t="n">
        <v>0</v>
      </c>
      <c r="P6432" t="n">
        <v>0</v>
      </c>
      <c r="Q6432" t="n">
        <v>0</v>
      </c>
      <c r="R6432" s="2" t="inlineStr"/>
    </row>
    <row r="6433" ht="15" customHeight="1">
      <c r="A6433" t="inlineStr">
        <is>
          <t>A 30637-2023</t>
        </is>
      </c>
      <c r="B6433" s="1" t="n">
        <v>45112.46177083333</v>
      </c>
      <c r="C6433" s="1" t="n">
        <v>45952</v>
      </c>
      <c r="D6433" t="inlineStr">
        <is>
          <t>VÄSTRA GÖTALANDS LÄN</t>
        </is>
      </c>
      <c r="E6433" t="inlineStr">
        <is>
          <t>BOLLEBYGD</t>
        </is>
      </c>
      <c r="G6433" t="n">
        <v>0.8</v>
      </c>
      <c r="H6433" t="n">
        <v>0</v>
      </c>
      <c r="I6433" t="n">
        <v>0</v>
      </c>
      <c r="J6433" t="n">
        <v>0</v>
      </c>
      <c r="K6433" t="n">
        <v>0</v>
      </c>
      <c r="L6433" t="n">
        <v>0</v>
      </c>
      <c r="M6433" t="n">
        <v>0</v>
      </c>
      <c r="N6433" t="n">
        <v>0</v>
      </c>
      <c r="O6433" t="n">
        <v>0</v>
      </c>
      <c r="P6433" t="n">
        <v>0</v>
      </c>
      <c r="Q6433" t="n">
        <v>0</v>
      </c>
      <c r="R6433" s="2" t="inlineStr"/>
    </row>
    <row r="6434" ht="15" customHeight="1">
      <c r="A6434" t="inlineStr">
        <is>
          <t>A 30674-2023</t>
        </is>
      </c>
      <c r="B6434" s="1" t="n">
        <v>45112</v>
      </c>
      <c r="C6434" s="1" t="n">
        <v>45952</v>
      </c>
      <c r="D6434" t="inlineStr">
        <is>
          <t>VÄSTRA GÖTALANDS LÄN</t>
        </is>
      </c>
      <c r="E6434" t="inlineStr">
        <is>
          <t>VÅRGÅRDA</t>
        </is>
      </c>
      <c r="G6434" t="n">
        <v>2.4</v>
      </c>
      <c r="H6434" t="n">
        <v>0</v>
      </c>
      <c r="I6434" t="n">
        <v>0</v>
      </c>
      <c r="J6434" t="n">
        <v>0</v>
      </c>
      <c r="K6434" t="n">
        <v>0</v>
      </c>
      <c r="L6434" t="n">
        <v>0</v>
      </c>
      <c r="M6434" t="n">
        <v>0</v>
      </c>
      <c r="N6434" t="n">
        <v>0</v>
      </c>
      <c r="O6434" t="n">
        <v>0</v>
      </c>
      <c r="P6434" t="n">
        <v>0</v>
      </c>
      <c r="Q6434" t="n">
        <v>0</v>
      </c>
      <c r="R6434" s="2" t="inlineStr"/>
    </row>
    <row r="6435" ht="15" customHeight="1">
      <c r="A6435" t="inlineStr">
        <is>
          <t>A 69487-2021</t>
        </is>
      </c>
      <c r="B6435" s="1" t="n">
        <v>44531</v>
      </c>
      <c r="C6435" s="1" t="n">
        <v>45952</v>
      </c>
      <c r="D6435" t="inlineStr">
        <is>
          <t>VÄSTRA GÖTALANDS LÄN</t>
        </is>
      </c>
      <c r="E6435" t="inlineStr">
        <is>
          <t>ÅMÅL</t>
        </is>
      </c>
      <c r="G6435" t="n">
        <v>2</v>
      </c>
      <c r="H6435" t="n">
        <v>0</v>
      </c>
      <c r="I6435" t="n">
        <v>0</v>
      </c>
      <c r="J6435" t="n">
        <v>0</v>
      </c>
      <c r="K6435" t="n">
        <v>0</v>
      </c>
      <c r="L6435" t="n">
        <v>0</v>
      </c>
      <c r="M6435" t="n">
        <v>0</v>
      </c>
      <c r="N6435" t="n">
        <v>0</v>
      </c>
      <c r="O6435" t="n">
        <v>0</v>
      </c>
      <c r="P6435" t="n">
        <v>0</v>
      </c>
      <c r="Q6435" t="n">
        <v>0</v>
      </c>
      <c r="R6435" s="2" t="inlineStr"/>
    </row>
    <row r="6436" ht="15" customHeight="1">
      <c r="A6436" t="inlineStr">
        <is>
          <t>A 29255-2025</t>
        </is>
      </c>
      <c r="B6436" s="1" t="n">
        <v>45824.38359953704</v>
      </c>
      <c r="C6436" s="1" t="n">
        <v>45952</v>
      </c>
      <c r="D6436" t="inlineStr">
        <is>
          <t>VÄSTRA GÖTALANDS LÄN</t>
        </is>
      </c>
      <c r="E6436" t="inlineStr">
        <is>
          <t>SKARA</t>
        </is>
      </c>
      <c r="G6436" t="n">
        <v>1.7</v>
      </c>
      <c r="H6436" t="n">
        <v>0</v>
      </c>
      <c r="I6436" t="n">
        <v>0</v>
      </c>
      <c r="J6436" t="n">
        <v>0</v>
      </c>
      <c r="K6436" t="n">
        <v>0</v>
      </c>
      <c r="L6436" t="n">
        <v>0</v>
      </c>
      <c r="M6436" t="n">
        <v>0</v>
      </c>
      <c r="N6436" t="n">
        <v>0</v>
      </c>
      <c r="O6436" t="n">
        <v>0</v>
      </c>
      <c r="P6436" t="n">
        <v>0</v>
      </c>
      <c r="Q6436" t="n">
        <v>0</v>
      </c>
      <c r="R6436" s="2" t="inlineStr"/>
    </row>
    <row r="6437" ht="15" customHeight="1">
      <c r="A6437" t="inlineStr">
        <is>
          <t>A 50518-2022</t>
        </is>
      </c>
      <c r="B6437" s="1" t="n">
        <v>44866</v>
      </c>
      <c r="C6437" s="1" t="n">
        <v>45952</v>
      </c>
      <c r="D6437" t="inlineStr">
        <is>
          <t>VÄSTRA GÖTALANDS LÄN</t>
        </is>
      </c>
      <c r="E6437" t="inlineStr">
        <is>
          <t>TRANEMO</t>
        </is>
      </c>
      <c r="F6437" t="inlineStr">
        <is>
          <t>Sveaskog</t>
        </is>
      </c>
      <c r="G6437" t="n">
        <v>0.9</v>
      </c>
      <c r="H6437" t="n">
        <v>0</v>
      </c>
      <c r="I6437" t="n">
        <v>0</v>
      </c>
      <c r="J6437" t="n">
        <v>0</v>
      </c>
      <c r="K6437" t="n">
        <v>0</v>
      </c>
      <c r="L6437" t="n">
        <v>0</v>
      </c>
      <c r="M6437" t="n">
        <v>0</v>
      </c>
      <c r="N6437" t="n">
        <v>0</v>
      </c>
      <c r="O6437" t="n">
        <v>0</v>
      </c>
      <c r="P6437" t="n">
        <v>0</v>
      </c>
      <c r="Q6437" t="n">
        <v>0</v>
      </c>
      <c r="R6437" s="2" t="inlineStr"/>
    </row>
    <row r="6438" ht="15" customHeight="1">
      <c r="A6438" t="inlineStr">
        <is>
          <t>A 70345-2021</t>
        </is>
      </c>
      <c r="B6438" s="1" t="n">
        <v>44536</v>
      </c>
      <c r="C6438" s="1" t="n">
        <v>45952</v>
      </c>
      <c r="D6438" t="inlineStr">
        <is>
          <t>VÄSTRA GÖTALANDS LÄN</t>
        </is>
      </c>
      <c r="E6438" t="inlineStr">
        <is>
          <t>ÅMÅL</t>
        </is>
      </c>
      <c r="G6438" t="n">
        <v>1.5</v>
      </c>
      <c r="H6438" t="n">
        <v>0</v>
      </c>
      <c r="I6438" t="n">
        <v>0</v>
      </c>
      <c r="J6438" t="n">
        <v>0</v>
      </c>
      <c r="K6438" t="n">
        <v>0</v>
      </c>
      <c r="L6438" t="n">
        <v>0</v>
      </c>
      <c r="M6438" t="n">
        <v>0</v>
      </c>
      <c r="N6438" t="n">
        <v>0</v>
      </c>
      <c r="O6438" t="n">
        <v>0</v>
      </c>
      <c r="P6438" t="n">
        <v>0</v>
      </c>
      <c r="Q6438" t="n">
        <v>0</v>
      </c>
      <c r="R6438" s="2" t="inlineStr"/>
    </row>
    <row r="6439" ht="15" customHeight="1">
      <c r="A6439" t="inlineStr">
        <is>
          <t>A 5420-2025</t>
        </is>
      </c>
      <c r="B6439" s="1" t="n">
        <v>45692.68938657407</v>
      </c>
      <c r="C6439" s="1" t="n">
        <v>45952</v>
      </c>
      <c r="D6439" t="inlineStr">
        <is>
          <t>VÄSTRA GÖTALANDS LÄN</t>
        </is>
      </c>
      <c r="E6439" t="inlineStr">
        <is>
          <t>LILLA EDET</t>
        </is>
      </c>
      <c r="G6439" t="n">
        <v>0.6</v>
      </c>
      <c r="H6439" t="n">
        <v>0</v>
      </c>
      <c r="I6439" t="n">
        <v>0</v>
      </c>
      <c r="J6439" t="n">
        <v>0</v>
      </c>
      <c r="K6439" t="n">
        <v>0</v>
      </c>
      <c r="L6439" t="n">
        <v>0</v>
      </c>
      <c r="M6439" t="n">
        <v>0</v>
      </c>
      <c r="N6439" t="n">
        <v>0</v>
      </c>
      <c r="O6439" t="n">
        <v>0</v>
      </c>
      <c r="P6439" t="n">
        <v>0</v>
      </c>
      <c r="Q6439" t="n">
        <v>0</v>
      </c>
      <c r="R6439" s="2" t="inlineStr"/>
    </row>
    <row r="6440" ht="15" customHeight="1">
      <c r="A6440" t="inlineStr">
        <is>
          <t>A 37521-2024</t>
        </is>
      </c>
      <c r="B6440" s="1" t="n">
        <v>45541.39284722223</v>
      </c>
      <c r="C6440" s="1" t="n">
        <v>45952</v>
      </c>
      <c r="D6440" t="inlineStr">
        <is>
          <t>VÄSTRA GÖTALANDS LÄN</t>
        </is>
      </c>
      <c r="E6440" t="inlineStr">
        <is>
          <t>KARLSBORG</t>
        </is>
      </c>
      <c r="F6440" t="inlineStr">
        <is>
          <t>Sveaskog</t>
        </is>
      </c>
      <c r="G6440" t="n">
        <v>5.7</v>
      </c>
      <c r="H6440" t="n">
        <v>0</v>
      </c>
      <c r="I6440" t="n">
        <v>0</v>
      </c>
      <c r="J6440" t="n">
        <v>0</v>
      </c>
      <c r="K6440" t="n">
        <v>0</v>
      </c>
      <c r="L6440" t="n">
        <v>0</v>
      </c>
      <c r="M6440" t="n">
        <v>0</v>
      </c>
      <c r="N6440" t="n">
        <v>0</v>
      </c>
      <c r="O6440" t="n">
        <v>0</v>
      </c>
      <c r="P6440" t="n">
        <v>0</v>
      </c>
      <c r="Q6440" t="n">
        <v>0</v>
      </c>
      <c r="R6440" s="2" t="inlineStr"/>
    </row>
    <row r="6441" ht="15" customHeight="1">
      <c r="A6441" t="inlineStr">
        <is>
          <t>A 35047-2022</t>
        </is>
      </c>
      <c r="B6441" s="1" t="n">
        <v>44797.32917824074</v>
      </c>
      <c r="C6441" s="1" t="n">
        <v>45952</v>
      </c>
      <c r="D6441" t="inlineStr">
        <is>
          <t>VÄSTRA GÖTALANDS LÄN</t>
        </is>
      </c>
      <c r="E6441" t="inlineStr">
        <is>
          <t>MARIESTAD</t>
        </is>
      </c>
      <c r="G6441" t="n">
        <v>1.3</v>
      </c>
      <c r="H6441" t="n">
        <v>0</v>
      </c>
      <c r="I6441" t="n">
        <v>0</v>
      </c>
      <c r="J6441" t="n">
        <v>0</v>
      </c>
      <c r="K6441" t="n">
        <v>0</v>
      </c>
      <c r="L6441" t="n">
        <v>0</v>
      </c>
      <c r="M6441" t="n">
        <v>0</v>
      </c>
      <c r="N6441" t="n">
        <v>0</v>
      </c>
      <c r="O6441" t="n">
        <v>0</v>
      </c>
      <c r="P6441" t="n">
        <v>0</v>
      </c>
      <c r="Q6441" t="n">
        <v>0</v>
      </c>
      <c r="R6441" s="2" t="inlineStr"/>
    </row>
    <row r="6442" ht="15" customHeight="1">
      <c r="A6442" t="inlineStr">
        <is>
          <t>A 37562-2024</t>
        </is>
      </c>
      <c r="B6442" s="1" t="n">
        <v>45541.44416666667</v>
      </c>
      <c r="C6442" s="1" t="n">
        <v>45952</v>
      </c>
      <c r="D6442" t="inlineStr">
        <is>
          <t>VÄSTRA GÖTALANDS LÄN</t>
        </is>
      </c>
      <c r="E6442" t="inlineStr">
        <is>
          <t>TROLLHÄTTAN</t>
        </is>
      </c>
      <c r="G6442" t="n">
        <v>4.2</v>
      </c>
      <c r="H6442" t="n">
        <v>0</v>
      </c>
      <c r="I6442" t="n">
        <v>0</v>
      </c>
      <c r="J6442" t="n">
        <v>0</v>
      </c>
      <c r="K6442" t="n">
        <v>0</v>
      </c>
      <c r="L6442" t="n">
        <v>0</v>
      </c>
      <c r="M6442" t="n">
        <v>0</v>
      </c>
      <c r="N6442" t="n">
        <v>0</v>
      </c>
      <c r="O6442" t="n">
        <v>0</v>
      </c>
      <c r="P6442" t="n">
        <v>0</v>
      </c>
      <c r="Q6442" t="n">
        <v>0</v>
      </c>
      <c r="R6442" s="2" t="inlineStr"/>
    </row>
    <row r="6443" ht="15" customHeight="1">
      <c r="A6443" t="inlineStr">
        <is>
          <t>A 47123-2025</t>
        </is>
      </c>
      <c r="B6443" s="1" t="n">
        <v>45929.67972222222</v>
      </c>
      <c r="C6443" s="1" t="n">
        <v>45952</v>
      </c>
      <c r="D6443" t="inlineStr">
        <is>
          <t>VÄSTRA GÖTALANDS LÄN</t>
        </is>
      </c>
      <c r="E6443" t="inlineStr">
        <is>
          <t>DALS-ED</t>
        </is>
      </c>
      <c r="G6443" t="n">
        <v>4.2</v>
      </c>
      <c r="H6443" t="n">
        <v>0</v>
      </c>
      <c r="I6443" t="n">
        <v>0</v>
      </c>
      <c r="J6443" t="n">
        <v>0</v>
      </c>
      <c r="K6443" t="n">
        <v>0</v>
      </c>
      <c r="L6443" t="n">
        <v>0</v>
      </c>
      <c r="M6443" t="n">
        <v>0</v>
      </c>
      <c r="N6443" t="n">
        <v>0</v>
      </c>
      <c r="O6443" t="n">
        <v>0</v>
      </c>
      <c r="P6443" t="n">
        <v>0</v>
      </c>
      <c r="Q6443" t="n">
        <v>0</v>
      </c>
      <c r="R6443" s="2" t="inlineStr"/>
    </row>
    <row r="6444" ht="15" customHeight="1">
      <c r="A6444" t="inlineStr">
        <is>
          <t>A 27831-2023</t>
        </is>
      </c>
      <c r="B6444" s="1" t="n">
        <v>45098</v>
      </c>
      <c r="C6444" s="1" t="n">
        <v>45952</v>
      </c>
      <c r="D6444" t="inlineStr">
        <is>
          <t>VÄSTRA GÖTALANDS LÄN</t>
        </is>
      </c>
      <c r="E6444" t="inlineStr">
        <is>
          <t>ÅMÅL</t>
        </is>
      </c>
      <c r="G6444" t="n">
        <v>1.2</v>
      </c>
      <c r="H6444" t="n">
        <v>0</v>
      </c>
      <c r="I6444" t="n">
        <v>0</v>
      </c>
      <c r="J6444" t="n">
        <v>0</v>
      </c>
      <c r="K6444" t="n">
        <v>0</v>
      </c>
      <c r="L6444" t="n">
        <v>0</v>
      </c>
      <c r="M6444" t="n">
        <v>0</v>
      </c>
      <c r="N6444" t="n">
        <v>0</v>
      </c>
      <c r="O6444" t="n">
        <v>0</v>
      </c>
      <c r="P6444" t="n">
        <v>0</v>
      </c>
      <c r="Q6444" t="n">
        <v>0</v>
      </c>
      <c r="R6444" s="2" t="inlineStr"/>
    </row>
    <row r="6445" ht="15" customHeight="1">
      <c r="A6445" t="inlineStr">
        <is>
          <t>A 27832-2023</t>
        </is>
      </c>
      <c r="B6445" s="1" t="n">
        <v>45098.53766203704</v>
      </c>
      <c r="C6445" s="1" t="n">
        <v>45952</v>
      </c>
      <c r="D6445" t="inlineStr">
        <is>
          <t>VÄSTRA GÖTALANDS LÄN</t>
        </is>
      </c>
      <c r="E6445" t="inlineStr">
        <is>
          <t>BENGTSFORS</t>
        </is>
      </c>
      <c r="G6445" t="n">
        <v>3</v>
      </c>
      <c r="H6445" t="n">
        <v>0</v>
      </c>
      <c r="I6445" t="n">
        <v>0</v>
      </c>
      <c r="J6445" t="n">
        <v>0</v>
      </c>
      <c r="K6445" t="n">
        <v>0</v>
      </c>
      <c r="L6445" t="n">
        <v>0</v>
      </c>
      <c r="M6445" t="n">
        <v>0</v>
      </c>
      <c r="N6445" t="n">
        <v>0</v>
      </c>
      <c r="O6445" t="n">
        <v>0</v>
      </c>
      <c r="P6445" t="n">
        <v>0</v>
      </c>
      <c r="Q6445" t="n">
        <v>0</v>
      </c>
      <c r="R6445" s="2" t="inlineStr"/>
    </row>
    <row r="6446" ht="15" customHeight="1">
      <c r="A6446" t="inlineStr">
        <is>
          <t>A 27835-2023</t>
        </is>
      </c>
      <c r="B6446" s="1" t="n">
        <v>45098.54193287037</v>
      </c>
      <c r="C6446" s="1" t="n">
        <v>45952</v>
      </c>
      <c r="D6446" t="inlineStr">
        <is>
          <t>VÄSTRA GÖTALANDS LÄN</t>
        </is>
      </c>
      <c r="E6446" t="inlineStr">
        <is>
          <t>BENGTSFORS</t>
        </is>
      </c>
      <c r="G6446" t="n">
        <v>0.6</v>
      </c>
      <c r="H6446" t="n">
        <v>0</v>
      </c>
      <c r="I6446" t="n">
        <v>0</v>
      </c>
      <c r="J6446" t="n">
        <v>0</v>
      </c>
      <c r="K6446" t="n">
        <v>0</v>
      </c>
      <c r="L6446" t="n">
        <v>0</v>
      </c>
      <c r="M6446" t="n">
        <v>0</v>
      </c>
      <c r="N6446" t="n">
        <v>0</v>
      </c>
      <c r="O6446" t="n">
        <v>0</v>
      </c>
      <c r="P6446" t="n">
        <v>0</v>
      </c>
      <c r="Q6446" t="n">
        <v>0</v>
      </c>
      <c r="R6446" s="2" t="inlineStr"/>
    </row>
    <row r="6447" ht="15" customHeight="1">
      <c r="A6447" t="inlineStr">
        <is>
          <t>A 27850-2023</t>
        </is>
      </c>
      <c r="B6447" s="1" t="n">
        <v>45093</v>
      </c>
      <c r="C6447" s="1" t="n">
        <v>45952</v>
      </c>
      <c r="D6447" t="inlineStr">
        <is>
          <t>VÄSTRA GÖTALANDS LÄN</t>
        </is>
      </c>
      <c r="E6447" t="inlineStr">
        <is>
          <t>MUNKEDAL</t>
        </is>
      </c>
      <c r="F6447" t="inlineStr">
        <is>
          <t>Kyrkan</t>
        </is>
      </c>
      <c r="G6447" t="n">
        <v>7.1</v>
      </c>
      <c r="H6447" t="n">
        <v>0</v>
      </c>
      <c r="I6447" t="n">
        <v>0</v>
      </c>
      <c r="J6447" t="n">
        <v>0</v>
      </c>
      <c r="K6447" t="n">
        <v>0</v>
      </c>
      <c r="L6447" t="n">
        <v>0</v>
      </c>
      <c r="M6447" t="n">
        <v>0</v>
      </c>
      <c r="N6447" t="n">
        <v>0</v>
      </c>
      <c r="O6447" t="n">
        <v>0</v>
      </c>
      <c r="P6447" t="n">
        <v>0</v>
      </c>
      <c r="Q6447" t="n">
        <v>0</v>
      </c>
      <c r="R6447" s="2" t="inlineStr"/>
    </row>
    <row r="6448" ht="15" customHeight="1">
      <c r="A6448" t="inlineStr">
        <is>
          <t>A 37789-2022</t>
        </is>
      </c>
      <c r="B6448" s="1" t="n">
        <v>44810</v>
      </c>
      <c r="C6448" s="1" t="n">
        <v>45952</v>
      </c>
      <c r="D6448" t="inlineStr">
        <is>
          <t>VÄSTRA GÖTALANDS LÄN</t>
        </is>
      </c>
      <c r="E6448" t="inlineStr">
        <is>
          <t>HJO</t>
        </is>
      </c>
      <c r="G6448" t="n">
        <v>2.6</v>
      </c>
      <c r="H6448" t="n">
        <v>0</v>
      </c>
      <c r="I6448" t="n">
        <v>0</v>
      </c>
      <c r="J6448" t="n">
        <v>0</v>
      </c>
      <c r="K6448" t="n">
        <v>0</v>
      </c>
      <c r="L6448" t="n">
        <v>0</v>
      </c>
      <c r="M6448" t="n">
        <v>0</v>
      </c>
      <c r="N6448" t="n">
        <v>0</v>
      </c>
      <c r="O6448" t="n">
        <v>0</v>
      </c>
      <c r="P6448" t="n">
        <v>0</v>
      </c>
      <c r="Q6448" t="n">
        <v>0</v>
      </c>
      <c r="R6448" s="2" t="inlineStr"/>
    </row>
    <row r="6449" ht="15" customHeight="1">
      <c r="A6449" t="inlineStr">
        <is>
          <t>A 5816-2024</t>
        </is>
      </c>
      <c r="B6449" s="1" t="n">
        <v>45335.54832175926</v>
      </c>
      <c r="C6449" s="1" t="n">
        <v>45952</v>
      </c>
      <c r="D6449" t="inlineStr">
        <is>
          <t>VÄSTRA GÖTALANDS LÄN</t>
        </is>
      </c>
      <c r="E6449" t="inlineStr">
        <is>
          <t>SKARA</t>
        </is>
      </c>
      <c r="G6449" t="n">
        <v>1.4</v>
      </c>
      <c r="H6449" t="n">
        <v>0</v>
      </c>
      <c r="I6449" t="n">
        <v>0</v>
      </c>
      <c r="J6449" t="n">
        <v>0</v>
      </c>
      <c r="K6449" t="n">
        <v>0</v>
      </c>
      <c r="L6449" t="n">
        <v>0</v>
      </c>
      <c r="M6449" t="n">
        <v>0</v>
      </c>
      <c r="N6449" t="n">
        <v>0</v>
      </c>
      <c r="O6449" t="n">
        <v>0</v>
      </c>
      <c r="P6449" t="n">
        <v>0</v>
      </c>
      <c r="Q6449" t="n">
        <v>0</v>
      </c>
      <c r="R6449" s="2" t="inlineStr"/>
    </row>
    <row r="6450" ht="15" customHeight="1">
      <c r="A6450" t="inlineStr">
        <is>
          <t>A 4404-2023</t>
        </is>
      </c>
      <c r="B6450" s="1" t="n">
        <v>44956.35644675926</v>
      </c>
      <c r="C6450" s="1" t="n">
        <v>45952</v>
      </c>
      <c r="D6450" t="inlineStr">
        <is>
          <t>VÄSTRA GÖTALANDS LÄN</t>
        </is>
      </c>
      <c r="E6450" t="inlineStr">
        <is>
          <t>BENGTSFORS</t>
        </is>
      </c>
      <c r="G6450" t="n">
        <v>2.1</v>
      </c>
      <c r="H6450" t="n">
        <v>0</v>
      </c>
      <c r="I6450" t="n">
        <v>0</v>
      </c>
      <c r="J6450" t="n">
        <v>0</v>
      </c>
      <c r="K6450" t="n">
        <v>0</v>
      </c>
      <c r="L6450" t="n">
        <v>0</v>
      </c>
      <c r="M6450" t="n">
        <v>0</v>
      </c>
      <c r="N6450" t="n">
        <v>0</v>
      </c>
      <c r="O6450" t="n">
        <v>0</v>
      </c>
      <c r="P6450" t="n">
        <v>0</v>
      </c>
      <c r="Q6450" t="n">
        <v>0</v>
      </c>
      <c r="R6450" s="2" t="inlineStr"/>
    </row>
    <row r="6451" ht="15" customHeight="1">
      <c r="A6451" t="inlineStr">
        <is>
          <t>A 57855-2022</t>
        </is>
      </c>
      <c r="B6451" s="1" t="n">
        <v>44898</v>
      </c>
      <c r="C6451" s="1" t="n">
        <v>45952</v>
      </c>
      <c r="D6451" t="inlineStr">
        <is>
          <t>VÄSTRA GÖTALANDS LÄN</t>
        </is>
      </c>
      <c r="E6451" t="inlineStr">
        <is>
          <t>SVENLJUNGA</t>
        </is>
      </c>
      <c r="G6451" t="n">
        <v>3.3</v>
      </c>
      <c r="H6451" t="n">
        <v>0</v>
      </c>
      <c r="I6451" t="n">
        <v>0</v>
      </c>
      <c r="J6451" t="n">
        <v>0</v>
      </c>
      <c r="K6451" t="n">
        <v>0</v>
      </c>
      <c r="L6451" t="n">
        <v>0</v>
      </c>
      <c r="M6451" t="n">
        <v>0</v>
      </c>
      <c r="N6451" t="n">
        <v>0</v>
      </c>
      <c r="O6451" t="n">
        <v>0</v>
      </c>
      <c r="P6451" t="n">
        <v>0</v>
      </c>
      <c r="Q6451" t="n">
        <v>0</v>
      </c>
      <c r="R6451" s="2" t="inlineStr"/>
    </row>
    <row r="6452" ht="15" customHeight="1">
      <c r="A6452" t="inlineStr">
        <is>
          <t>A 47167-2025</t>
        </is>
      </c>
      <c r="B6452" s="1" t="n">
        <v>45929.76333333334</v>
      </c>
      <c r="C6452" s="1" t="n">
        <v>45952</v>
      </c>
      <c r="D6452" t="inlineStr">
        <is>
          <t>VÄSTRA GÖTALANDS LÄN</t>
        </is>
      </c>
      <c r="E6452" t="inlineStr">
        <is>
          <t>TANUM</t>
        </is>
      </c>
      <c r="G6452" t="n">
        <v>2.3</v>
      </c>
      <c r="H6452" t="n">
        <v>0</v>
      </c>
      <c r="I6452" t="n">
        <v>0</v>
      </c>
      <c r="J6452" t="n">
        <v>0</v>
      </c>
      <c r="K6452" t="n">
        <v>0</v>
      </c>
      <c r="L6452" t="n">
        <v>0</v>
      </c>
      <c r="M6452" t="n">
        <v>0</v>
      </c>
      <c r="N6452" t="n">
        <v>0</v>
      </c>
      <c r="O6452" t="n">
        <v>0</v>
      </c>
      <c r="P6452" t="n">
        <v>0</v>
      </c>
      <c r="Q6452" t="n">
        <v>0</v>
      </c>
      <c r="R6452" s="2" t="inlineStr"/>
    </row>
    <row r="6453" ht="15" customHeight="1">
      <c r="A6453" t="inlineStr">
        <is>
          <t>A 15182-2025</t>
        </is>
      </c>
      <c r="B6453" s="1" t="n">
        <v>45744</v>
      </c>
      <c r="C6453" s="1" t="n">
        <v>45952</v>
      </c>
      <c r="D6453" t="inlineStr">
        <is>
          <t>VÄSTRA GÖTALANDS LÄN</t>
        </is>
      </c>
      <c r="E6453" t="inlineStr">
        <is>
          <t>BENGTSFORS</t>
        </is>
      </c>
      <c r="G6453" t="n">
        <v>2.7</v>
      </c>
      <c r="H6453" t="n">
        <v>0</v>
      </c>
      <c r="I6453" t="n">
        <v>0</v>
      </c>
      <c r="J6453" t="n">
        <v>0</v>
      </c>
      <c r="K6453" t="n">
        <v>0</v>
      </c>
      <c r="L6453" t="n">
        <v>0</v>
      </c>
      <c r="M6453" t="n">
        <v>0</v>
      </c>
      <c r="N6453" t="n">
        <v>0</v>
      </c>
      <c r="O6453" t="n">
        <v>0</v>
      </c>
      <c r="P6453" t="n">
        <v>0</v>
      </c>
      <c r="Q6453" t="n">
        <v>0</v>
      </c>
      <c r="R6453" s="2" t="inlineStr"/>
    </row>
    <row r="6454" ht="15" customHeight="1">
      <c r="A6454" t="inlineStr">
        <is>
          <t>A 5808-2024</t>
        </is>
      </c>
      <c r="B6454" s="1" t="n">
        <v>45335.50540509259</v>
      </c>
      <c r="C6454" s="1" t="n">
        <v>45952</v>
      </c>
      <c r="D6454" t="inlineStr">
        <is>
          <t>VÄSTRA GÖTALANDS LÄN</t>
        </is>
      </c>
      <c r="E6454" t="inlineStr">
        <is>
          <t>ALINGSÅS</t>
        </is>
      </c>
      <c r="G6454" t="n">
        <v>3.8</v>
      </c>
      <c r="H6454" t="n">
        <v>0</v>
      </c>
      <c r="I6454" t="n">
        <v>0</v>
      </c>
      <c r="J6454" t="n">
        <v>0</v>
      </c>
      <c r="K6454" t="n">
        <v>0</v>
      </c>
      <c r="L6454" t="n">
        <v>0</v>
      </c>
      <c r="M6454" t="n">
        <v>0</v>
      </c>
      <c r="N6454" t="n">
        <v>0</v>
      </c>
      <c r="O6454" t="n">
        <v>0</v>
      </c>
      <c r="P6454" t="n">
        <v>0</v>
      </c>
      <c r="Q6454" t="n">
        <v>0</v>
      </c>
      <c r="R6454" s="2" t="inlineStr"/>
    </row>
    <row r="6455" ht="15" customHeight="1">
      <c r="A6455" t="inlineStr">
        <is>
          <t>A 5810-2024</t>
        </is>
      </c>
      <c r="B6455" s="1" t="n">
        <v>45335</v>
      </c>
      <c r="C6455" s="1" t="n">
        <v>45952</v>
      </c>
      <c r="D6455" t="inlineStr">
        <is>
          <t>VÄSTRA GÖTALANDS LÄN</t>
        </is>
      </c>
      <c r="E6455" t="inlineStr">
        <is>
          <t>ALINGSÅS</t>
        </is>
      </c>
      <c r="G6455" t="n">
        <v>3.9</v>
      </c>
      <c r="H6455" t="n">
        <v>0</v>
      </c>
      <c r="I6455" t="n">
        <v>0</v>
      </c>
      <c r="J6455" t="n">
        <v>0</v>
      </c>
      <c r="K6455" t="n">
        <v>0</v>
      </c>
      <c r="L6455" t="n">
        <v>0</v>
      </c>
      <c r="M6455" t="n">
        <v>0</v>
      </c>
      <c r="N6455" t="n">
        <v>0</v>
      </c>
      <c r="O6455" t="n">
        <v>0</v>
      </c>
      <c r="P6455" t="n">
        <v>0</v>
      </c>
      <c r="Q6455" t="n">
        <v>0</v>
      </c>
      <c r="R6455" s="2" t="inlineStr"/>
    </row>
    <row r="6456" ht="15" customHeight="1">
      <c r="A6456" t="inlineStr">
        <is>
          <t>A 38628-2024</t>
        </is>
      </c>
      <c r="B6456" s="1" t="n">
        <v>45546.74638888889</v>
      </c>
      <c r="C6456" s="1" t="n">
        <v>45952</v>
      </c>
      <c r="D6456" t="inlineStr">
        <is>
          <t>VÄSTRA GÖTALANDS LÄN</t>
        </is>
      </c>
      <c r="E6456" t="inlineStr">
        <is>
          <t>UDDEVALLA</t>
        </is>
      </c>
      <c r="G6456" t="n">
        <v>6.3</v>
      </c>
      <c r="H6456" t="n">
        <v>0</v>
      </c>
      <c r="I6456" t="n">
        <v>0</v>
      </c>
      <c r="J6456" t="n">
        <v>0</v>
      </c>
      <c r="K6456" t="n">
        <v>0</v>
      </c>
      <c r="L6456" t="n">
        <v>0</v>
      </c>
      <c r="M6456" t="n">
        <v>0</v>
      </c>
      <c r="N6456" t="n">
        <v>0</v>
      </c>
      <c r="O6456" t="n">
        <v>0</v>
      </c>
      <c r="P6456" t="n">
        <v>0</v>
      </c>
      <c r="Q6456" t="n">
        <v>0</v>
      </c>
      <c r="R6456" s="2" t="inlineStr"/>
    </row>
    <row r="6457" ht="15" customHeight="1">
      <c r="A6457" t="inlineStr">
        <is>
          <t>A 17456-2024</t>
        </is>
      </c>
      <c r="B6457" s="1" t="n">
        <v>45415.4027199074</v>
      </c>
      <c r="C6457" s="1" t="n">
        <v>45952</v>
      </c>
      <c r="D6457" t="inlineStr">
        <is>
          <t>VÄSTRA GÖTALANDS LÄN</t>
        </is>
      </c>
      <c r="E6457" t="inlineStr">
        <is>
          <t>FÄRGELANDA</t>
        </is>
      </c>
      <c r="G6457" t="n">
        <v>0.9</v>
      </c>
      <c r="H6457" t="n">
        <v>0</v>
      </c>
      <c r="I6457" t="n">
        <v>0</v>
      </c>
      <c r="J6457" t="n">
        <v>0</v>
      </c>
      <c r="K6457" t="n">
        <v>0</v>
      </c>
      <c r="L6457" t="n">
        <v>0</v>
      </c>
      <c r="M6457" t="n">
        <v>0</v>
      </c>
      <c r="N6457" t="n">
        <v>0</v>
      </c>
      <c r="O6457" t="n">
        <v>0</v>
      </c>
      <c r="P6457" t="n">
        <v>0</v>
      </c>
      <c r="Q6457" t="n">
        <v>0</v>
      </c>
      <c r="R6457" s="2" t="inlineStr"/>
    </row>
    <row r="6458" ht="15" customHeight="1">
      <c r="A6458" t="inlineStr">
        <is>
          <t>A 13250-2024</t>
        </is>
      </c>
      <c r="B6458" s="1" t="n">
        <v>45386.5759375</v>
      </c>
      <c r="C6458" s="1" t="n">
        <v>45952</v>
      </c>
      <c r="D6458" t="inlineStr">
        <is>
          <t>VÄSTRA GÖTALANDS LÄN</t>
        </is>
      </c>
      <c r="E6458" t="inlineStr">
        <is>
          <t>LYSEKIL</t>
        </is>
      </c>
      <c r="G6458" t="n">
        <v>0.6</v>
      </c>
      <c r="H6458" t="n">
        <v>0</v>
      </c>
      <c r="I6458" t="n">
        <v>0</v>
      </c>
      <c r="J6458" t="n">
        <v>0</v>
      </c>
      <c r="K6458" t="n">
        <v>0</v>
      </c>
      <c r="L6458" t="n">
        <v>0</v>
      </c>
      <c r="M6458" t="n">
        <v>0</v>
      </c>
      <c r="N6458" t="n">
        <v>0</v>
      </c>
      <c r="O6458" t="n">
        <v>0</v>
      </c>
      <c r="P6458" t="n">
        <v>0</v>
      </c>
      <c r="Q6458" t="n">
        <v>0</v>
      </c>
      <c r="R6458" s="2" t="inlineStr"/>
    </row>
    <row r="6459" ht="15" customHeight="1">
      <c r="A6459" t="inlineStr">
        <is>
          <t>A 50039-2021</t>
        </is>
      </c>
      <c r="B6459" s="1" t="n">
        <v>44456</v>
      </c>
      <c r="C6459" s="1" t="n">
        <v>45952</v>
      </c>
      <c r="D6459" t="inlineStr">
        <is>
          <t>VÄSTRA GÖTALANDS LÄN</t>
        </is>
      </c>
      <c r="E6459" t="inlineStr">
        <is>
          <t>ALINGSÅS</t>
        </is>
      </c>
      <c r="G6459" t="n">
        <v>4.3</v>
      </c>
      <c r="H6459" t="n">
        <v>0</v>
      </c>
      <c r="I6459" t="n">
        <v>0</v>
      </c>
      <c r="J6459" t="n">
        <v>0</v>
      </c>
      <c r="K6459" t="n">
        <v>0</v>
      </c>
      <c r="L6459" t="n">
        <v>0</v>
      </c>
      <c r="M6459" t="n">
        <v>0</v>
      </c>
      <c r="N6459" t="n">
        <v>0</v>
      </c>
      <c r="O6459" t="n">
        <v>0</v>
      </c>
      <c r="P6459" t="n">
        <v>0</v>
      </c>
      <c r="Q6459" t="n">
        <v>0</v>
      </c>
      <c r="R6459" s="2" t="inlineStr"/>
    </row>
    <row r="6460" ht="15" customHeight="1">
      <c r="A6460" t="inlineStr">
        <is>
          <t>A 51723-2024</t>
        </is>
      </c>
      <c r="B6460" s="1" t="n">
        <v>45607.38168981481</v>
      </c>
      <c r="C6460" s="1" t="n">
        <v>45952</v>
      </c>
      <c r="D6460" t="inlineStr">
        <is>
          <t>VÄSTRA GÖTALANDS LÄN</t>
        </is>
      </c>
      <c r="E6460" t="inlineStr">
        <is>
          <t>ULRICEHAMN</t>
        </is>
      </c>
      <c r="G6460" t="n">
        <v>1.5</v>
      </c>
      <c r="H6460" t="n">
        <v>0</v>
      </c>
      <c r="I6460" t="n">
        <v>0</v>
      </c>
      <c r="J6460" t="n">
        <v>0</v>
      </c>
      <c r="K6460" t="n">
        <v>0</v>
      </c>
      <c r="L6460" t="n">
        <v>0</v>
      </c>
      <c r="M6460" t="n">
        <v>0</v>
      </c>
      <c r="N6460" t="n">
        <v>0</v>
      </c>
      <c r="O6460" t="n">
        <v>0</v>
      </c>
      <c r="P6460" t="n">
        <v>0</v>
      </c>
      <c r="Q6460" t="n">
        <v>0</v>
      </c>
      <c r="R6460" s="2" t="inlineStr"/>
    </row>
    <row r="6461" ht="15" customHeight="1">
      <c r="A6461" t="inlineStr">
        <is>
          <t>A 40118-2023</t>
        </is>
      </c>
      <c r="B6461" s="1" t="n">
        <v>45168.94686342592</v>
      </c>
      <c r="C6461" s="1" t="n">
        <v>45952</v>
      </c>
      <c r="D6461" t="inlineStr">
        <is>
          <t>VÄSTRA GÖTALANDS LÄN</t>
        </is>
      </c>
      <c r="E6461" t="inlineStr">
        <is>
          <t>BORÅS</t>
        </is>
      </c>
      <c r="G6461" t="n">
        <v>0.8</v>
      </c>
      <c r="H6461" t="n">
        <v>0</v>
      </c>
      <c r="I6461" t="n">
        <v>0</v>
      </c>
      <c r="J6461" t="n">
        <v>0</v>
      </c>
      <c r="K6461" t="n">
        <v>0</v>
      </c>
      <c r="L6461" t="n">
        <v>0</v>
      </c>
      <c r="M6461" t="n">
        <v>0</v>
      </c>
      <c r="N6461" t="n">
        <v>0</v>
      </c>
      <c r="O6461" t="n">
        <v>0</v>
      </c>
      <c r="P6461" t="n">
        <v>0</v>
      </c>
      <c r="Q6461" t="n">
        <v>0</v>
      </c>
      <c r="R6461" s="2" t="inlineStr"/>
    </row>
    <row r="6462" ht="15" customHeight="1">
      <c r="A6462" t="inlineStr">
        <is>
          <t>A 41406-2024</t>
        </is>
      </c>
      <c r="B6462" s="1" t="n">
        <v>45560.34092592593</v>
      </c>
      <c r="C6462" s="1" t="n">
        <v>45952</v>
      </c>
      <c r="D6462" t="inlineStr">
        <is>
          <t>VÄSTRA GÖTALANDS LÄN</t>
        </is>
      </c>
      <c r="E6462" t="inlineStr">
        <is>
          <t>MARIESTAD</t>
        </is>
      </c>
      <c r="F6462" t="inlineStr">
        <is>
          <t>Sveaskog</t>
        </is>
      </c>
      <c r="G6462" t="n">
        <v>1.6</v>
      </c>
      <c r="H6462" t="n">
        <v>0</v>
      </c>
      <c r="I6462" t="n">
        <v>0</v>
      </c>
      <c r="J6462" t="n">
        <v>0</v>
      </c>
      <c r="K6462" t="n">
        <v>0</v>
      </c>
      <c r="L6462" t="n">
        <v>0</v>
      </c>
      <c r="M6462" t="n">
        <v>0</v>
      </c>
      <c r="N6462" t="n">
        <v>0</v>
      </c>
      <c r="O6462" t="n">
        <v>0</v>
      </c>
      <c r="P6462" t="n">
        <v>0</v>
      </c>
      <c r="Q6462" t="n">
        <v>0</v>
      </c>
      <c r="R6462" s="2" t="inlineStr"/>
    </row>
    <row r="6463" ht="15" customHeight="1">
      <c r="A6463" t="inlineStr">
        <is>
          <t>A 30019-2023</t>
        </is>
      </c>
      <c r="B6463" s="1" t="n">
        <v>45109</v>
      </c>
      <c r="C6463" s="1" t="n">
        <v>45952</v>
      </c>
      <c r="D6463" t="inlineStr">
        <is>
          <t>VÄSTRA GÖTALANDS LÄN</t>
        </is>
      </c>
      <c r="E6463" t="inlineStr">
        <is>
          <t>SKARA</t>
        </is>
      </c>
      <c r="G6463" t="n">
        <v>1.2</v>
      </c>
      <c r="H6463" t="n">
        <v>0</v>
      </c>
      <c r="I6463" t="n">
        <v>0</v>
      </c>
      <c r="J6463" t="n">
        <v>0</v>
      </c>
      <c r="K6463" t="n">
        <v>0</v>
      </c>
      <c r="L6463" t="n">
        <v>0</v>
      </c>
      <c r="M6463" t="n">
        <v>0</v>
      </c>
      <c r="N6463" t="n">
        <v>0</v>
      </c>
      <c r="O6463" t="n">
        <v>0</v>
      </c>
      <c r="P6463" t="n">
        <v>0</v>
      </c>
      <c r="Q6463" t="n">
        <v>0</v>
      </c>
      <c r="R6463" s="2" t="inlineStr"/>
    </row>
    <row r="6464" ht="15" customHeight="1">
      <c r="A6464" t="inlineStr">
        <is>
          <t>A 30724-2023</t>
        </is>
      </c>
      <c r="B6464" s="1" t="n">
        <v>45112</v>
      </c>
      <c r="C6464" s="1" t="n">
        <v>45952</v>
      </c>
      <c r="D6464" t="inlineStr">
        <is>
          <t>VÄSTRA GÖTALANDS LÄN</t>
        </is>
      </c>
      <c r="E6464" t="inlineStr">
        <is>
          <t>BOLLEBYGD</t>
        </is>
      </c>
      <c r="G6464" t="n">
        <v>1.7</v>
      </c>
      <c r="H6464" t="n">
        <v>0</v>
      </c>
      <c r="I6464" t="n">
        <v>0</v>
      </c>
      <c r="J6464" t="n">
        <v>0</v>
      </c>
      <c r="K6464" t="n">
        <v>0</v>
      </c>
      <c r="L6464" t="n">
        <v>0</v>
      </c>
      <c r="M6464" t="n">
        <v>0</v>
      </c>
      <c r="N6464" t="n">
        <v>0</v>
      </c>
      <c r="O6464" t="n">
        <v>0</v>
      </c>
      <c r="P6464" t="n">
        <v>0</v>
      </c>
      <c r="Q6464" t="n">
        <v>0</v>
      </c>
      <c r="R6464" s="2" t="inlineStr"/>
    </row>
    <row r="6465" ht="15" customHeight="1">
      <c r="A6465" t="inlineStr">
        <is>
          <t>A 46306-2021</t>
        </is>
      </c>
      <c r="B6465" s="1" t="n">
        <v>44442</v>
      </c>
      <c r="C6465" s="1" t="n">
        <v>45952</v>
      </c>
      <c r="D6465" t="inlineStr">
        <is>
          <t>VÄSTRA GÖTALANDS LÄN</t>
        </is>
      </c>
      <c r="E6465" t="inlineStr">
        <is>
          <t>DALS-ED</t>
        </is>
      </c>
      <c r="G6465" t="n">
        <v>0.8</v>
      </c>
      <c r="H6465" t="n">
        <v>0</v>
      </c>
      <c r="I6465" t="n">
        <v>0</v>
      </c>
      <c r="J6465" t="n">
        <v>0</v>
      </c>
      <c r="K6465" t="n">
        <v>0</v>
      </c>
      <c r="L6465" t="n">
        <v>0</v>
      </c>
      <c r="M6465" t="n">
        <v>0</v>
      </c>
      <c r="N6465" t="n">
        <v>0</v>
      </c>
      <c r="O6465" t="n">
        <v>0</v>
      </c>
      <c r="P6465" t="n">
        <v>0</v>
      </c>
      <c r="Q6465" t="n">
        <v>0</v>
      </c>
      <c r="R6465" s="2" t="inlineStr"/>
    </row>
    <row r="6466" ht="15" customHeight="1">
      <c r="A6466" t="inlineStr">
        <is>
          <t>A 29719-2024</t>
        </is>
      </c>
      <c r="B6466" s="1" t="n">
        <v>45485.36423611111</v>
      </c>
      <c r="C6466" s="1" t="n">
        <v>45952</v>
      </c>
      <c r="D6466" t="inlineStr">
        <is>
          <t>VÄSTRA GÖTALANDS LÄN</t>
        </is>
      </c>
      <c r="E6466" t="inlineStr">
        <is>
          <t>FALKÖPING</t>
        </is>
      </c>
      <c r="F6466" t="inlineStr">
        <is>
          <t>Sveaskog</t>
        </is>
      </c>
      <c r="G6466" t="n">
        <v>0.6</v>
      </c>
      <c r="H6466" t="n">
        <v>0</v>
      </c>
      <c r="I6466" t="n">
        <v>0</v>
      </c>
      <c r="J6466" t="n">
        <v>0</v>
      </c>
      <c r="K6466" t="n">
        <v>0</v>
      </c>
      <c r="L6466" t="n">
        <v>0</v>
      </c>
      <c r="M6466" t="n">
        <v>0</v>
      </c>
      <c r="N6466" t="n">
        <v>0</v>
      </c>
      <c r="O6466" t="n">
        <v>0</v>
      </c>
      <c r="P6466" t="n">
        <v>0</v>
      </c>
      <c r="Q6466" t="n">
        <v>0</v>
      </c>
      <c r="R6466" s="2" t="inlineStr"/>
    </row>
    <row r="6467" ht="15" customHeight="1">
      <c r="A6467" t="inlineStr">
        <is>
          <t>A 6147-2022</t>
        </is>
      </c>
      <c r="B6467" s="1" t="n">
        <v>44599</v>
      </c>
      <c r="C6467" s="1" t="n">
        <v>45952</v>
      </c>
      <c r="D6467" t="inlineStr">
        <is>
          <t>VÄSTRA GÖTALANDS LÄN</t>
        </is>
      </c>
      <c r="E6467" t="inlineStr">
        <is>
          <t>STENUNGSUND</t>
        </is>
      </c>
      <c r="G6467" t="n">
        <v>2.2</v>
      </c>
      <c r="H6467" t="n">
        <v>0</v>
      </c>
      <c r="I6467" t="n">
        <v>0</v>
      </c>
      <c r="J6467" t="n">
        <v>0</v>
      </c>
      <c r="K6467" t="n">
        <v>0</v>
      </c>
      <c r="L6467" t="n">
        <v>0</v>
      </c>
      <c r="M6467" t="n">
        <v>0</v>
      </c>
      <c r="N6467" t="n">
        <v>0</v>
      </c>
      <c r="O6467" t="n">
        <v>0</v>
      </c>
      <c r="P6467" t="n">
        <v>0</v>
      </c>
      <c r="Q6467" t="n">
        <v>0</v>
      </c>
      <c r="R6467" s="2" t="inlineStr"/>
    </row>
    <row r="6468" ht="15" customHeight="1">
      <c r="A6468" t="inlineStr">
        <is>
          <t>A 63319-2021</t>
        </is>
      </c>
      <c r="B6468" s="1" t="n">
        <v>44508.45226851852</v>
      </c>
      <c r="C6468" s="1" t="n">
        <v>45952</v>
      </c>
      <c r="D6468" t="inlineStr">
        <is>
          <t>VÄSTRA GÖTALANDS LÄN</t>
        </is>
      </c>
      <c r="E6468" t="inlineStr">
        <is>
          <t>KUNGÄLV</t>
        </is>
      </c>
      <c r="G6468" t="n">
        <v>1.6</v>
      </c>
      <c r="H6468" t="n">
        <v>0</v>
      </c>
      <c r="I6468" t="n">
        <v>0</v>
      </c>
      <c r="J6468" t="n">
        <v>0</v>
      </c>
      <c r="K6468" t="n">
        <v>0</v>
      </c>
      <c r="L6468" t="n">
        <v>0</v>
      </c>
      <c r="M6468" t="n">
        <v>0</v>
      </c>
      <c r="N6468" t="n">
        <v>0</v>
      </c>
      <c r="O6468" t="n">
        <v>0</v>
      </c>
      <c r="P6468" t="n">
        <v>0</v>
      </c>
      <c r="Q6468" t="n">
        <v>0</v>
      </c>
      <c r="R6468" s="2" t="inlineStr"/>
    </row>
    <row r="6469" ht="15" customHeight="1">
      <c r="A6469" t="inlineStr">
        <is>
          <t>A 27342-2022</t>
        </is>
      </c>
      <c r="B6469" s="1" t="n">
        <v>44742.39810185185</v>
      </c>
      <c r="C6469" s="1" t="n">
        <v>45952</v>
      </c>
      <c r="D6469" t="inlineStr">
        <is>
          <t>VÄSTRA GÖTALANDS LÄN</t>
        </is>
      </c>
      <c r="E6469" t="inlineStr">
        <is>
          <t>BORÅS</t>
        </is>
      </c>
      <c r="G6469" t="n">
        <v>2.3</v>
      </c>
      <c r="H6469" t="n">
        <v>0</v>
      </c>
      <c r="I6469" t="n">
        <v>0</v>
      </c>
      <c r="J6469" t="n">
        <v>0</v>
      </c>
      <c r="K6469" t="n">
        <v>0</v>
      </c>
      <c r="L6469" t="n">
        <v>0</v>
      </c>
      <c r="M6469" t="n">
        <v>0</v>
      </c>
      <c r="N6469" t="n">
        <v>0</v>
      </c>
      <c r="O6469" t="n">
        <v>0</v>
      </c>
      <c r="P6469" t="n">
        <v>0</v>
      </c>
      <c r="Q6469" t="n">
        <v>0</v>
      </c>
      <c r="R6469" s="2" t="inlineStr"/>
    </row>
    <row r="6470" ht="15" customHeight="1">
      <c r="A6470" t="inlineStr">
        <is>
          <t>A 62373-2021</t>
        </is>
      </c>
      <c r="B6470" s="1" t="n">
        <v>44503.46652777777</v>
      </c>
      <c r="C6470" s="1" t="n">
        <v>45952</v>
      </c>
      <c r="D6470" t="inlineStr">
        <is>
          <t>VÄSTRA GÖTALANDS LÄN</t>
        </is>
      </c>
      <c r="E6470" t="inlineStr">
        <is>
          <t>ESSUNGA</t>
        </is>
      </c>
      <c r="G6470" t="n">
        <v>0.7</v>
      </c>
      <c r="H6470" t="n">
        <v>0</v>
      </c>
      <c r="I6470" t="n">
        <v>0</v>
      </c>
      <c r="J6470" t="n">
        <v>0</v>
      </c>
      <c r="K6470" t="n">
        <v>0</v>
      </c>
      <c r="L6470" t="n">
        <v>0</v>
      </c>
      <c r="M6470" t="n">
        <v>0</v>
      </c>
      <c r="N6470" t="n">
        <v>0</v>
      </c>
      <c r="O6470" t="n">
        <v>0</v>
      </c>
      <c r="P6470" t="n">
        <v>0</v>
      </c>
      <c r="Q6470" t="n">
        <v>0</v>
      </c>
      <c r="R6470" s="2" t="inlineStr"/>
    </row>
    <row r="6471" ht="15" customHeight="1">
      <c r="A6471" t="inlineStr">
        <is>
          <t>A 44620-2021</t>
        </is>
      </c>
      <c r="B6471" s="1" t="n">
        <v>44436</v>
      </c>
      <c r="C6471" s="1" t="n">
        <v>45952</v>
      </c>
      <c r="D6471" t="inlineStr">
        <is>
          <t>VÄSTRA GÖTALANDS LÄN</t>
        </is>
      </c>
      <c r="E6471" t="inlineStr">
        <is>
          <t>MUNKEDAL</t>
        </is>
      </c>
      <c r="G6471" t="n">
        <v>4.7</v>
      </c>
      <c r="H6471" t="n">
        <v>0</v>
      </c>
      <c r="I6471" t="n">
        <v>0</v>
      </c>
      <c r="J6471" t="n">
        <v>0</v>
      </c>
      <c r="K6471" t="n">
        <v>0</v>
      </c>
      <c r="L6471" t="n">
        <v>0</v>
      </c>
      <c r="M6471" t="n">
        <v>0</v>
      </c>
      <c r="N6471" t="n">
        <v>0</v>
      </c>
      <c r="O6471" t="n">
        <v>0</v>
      </c>
      <c r="P6471" t="n">
        <v>0</v>
      </c>
      <c r="Q6471" t="n">
        <v>0</v>
      </c>
      <c r="R6471" s="2" t="inlineStr"/>
    </row>
    <row r="6472" ht="15" customHeight="1">
      <c r="A6472" t="inlineStr">
        <is>
          <t>A 12132-2023</t>
        </is>
      </c>
      <c r="B6472" s="1" t="n">
        <v>44998.45515046296</v>
      </c>
      <c r="C6472" s="1" t="n">
        <v>45952</v>
      </c>
      <c r="D6472" t="inlineStr">
        <is>
          <t>VÄSTRA GÖTALANDS LÄN</t>
        </is>
      </c>
      <c r="E6472" t="inlineStr">
        <is>
          <t>BENGTSFORS</t>
        </is>
      </c>
      <c r="G6472" t="n">
        <v>6.8</v>
      </c>
      <c r="H6472" t="n">
        <v>0</v>
      </c>
      <c r="I6472" t="n">
        <v>0</v>
      </c>
      <c r="J6472" t="n">
        <v>0</v>
      </c>
      <c r="K6472" t="n">
        <v>0</v>
      </c>
      <c r="L6472" t="n">
        <v>0</v>
      </c>
      <c r="M6472" t="n">
        <v>0</v>
      </c>
      <c r="N6472" t="n">
        <v>0</v>
      </c>
      <c r="O6472" t="n">
        <v>0</v>
      </c>
      <c r="P6472" t="n">
        <v>0</v>
      </c>
      <c r="Q6472" t="n">
        <v>0</v>
      </c>
      <c r="R6472" s="2" t="inlineStr"/>
    </row>
    <row r="6473" ht="15" customHeight="1">
      <c r="A6473" t="inlineStr">
        <is>
          <t>A 14802-2023</t>
        </is>
      </c>
      <c r="B6473" s="1" t="n">
        <v>45014</v>
      </c>
      <c r="C6473" s="1" t="n">
        <v>45952</v>
      </c>
      <c r="D6473" t="inlineStr">
        <is>
          <t>VÄSTRA GÖTALANDS LÄN</t>
        </is>
      </c>
      <c r="E6473" t="inlineStr">
        <is>
          <t>ORUST</t>
        </is>
      </c>
      <c r="G6473" t="n">
        <v>1.9</v>
      </c>
      <c r="H6473" t="n">
        <v>0</v>
      </c>
      <c r="I6473" t="n">
        <v>0</v>
      </c>
      <c r="J6473" t="n">
        <v>0</v>
      </c>
      <c r="K6473" t="n">
        <v>0</v>
      </c>
      <c r="L6473" t="n">
        <v>0</v>
      </c>
      <c r="M6473" t="n">
        <v>0</v>
      </c>
      <c r="N6473" t="n">
        <v>0</v>
      </c>
      <c r="O6473" t="n">
        <v>0</v>
      </c>
      <c r="P6473" t="n">
        <v>0</v>
      </c>
      <c r="Q6473" t="n">
        <v>0</v>
      </c>
      <c r="R6473" s="2" t="inlineStr"/>
    </row>
    <row r="6474" ht="15" customHeight="1">
      <c r="A6474" t="inlineStr">
        <is>
          <t>A 4556-2021</t>
        </is>
      </c>
      <c r="B6474" s="1" t="n">
        <v>44221</v>
      </c>
      <c r="C6474" s="1" t="n">
        <v>45952</v>
      </c>
      <c r="D6474" t="inlineStr">
        <is>
          <t>VÄSTRA GÖTALANDS LÄN</t>
        </is>
      </c>
      <c r="E6474" t="inlineStr">
        <is>
          <t>ULRICEHAMN</t>
        </is>
      </c>
      <c r="G6474" t="n">
        <v>1.8</v>
      </c>
      <c r="H6474" t="n">
        <v>0</v>
      </c>
      <c r="I6474" t="n">
        <v>0</v>
      </c>
      <c r="J6474" t="n">
        <v>0</v>
      </c>
      <c r="K6474" t="n">
        <v>0</v>
      </c>
      <c r="L6474" t="n">
        <v>0</v>
      </c>
      <c r="M6474" t="n">
        <v>0</v>
      </c>
      <c r="N6474" t="n">
        <v>0</v>
      </c>
      <c r="O6474" t="n">
        <v>0</v>
      </c>
      <c r="P6474" t="n">
        <v>0</v>
      </c>
      <c r="Q6474" t="n">
        <v>0</v>
      </c>
      <c r="R6474" s="2" t="inlineStr"/>
    </row>
    <row r="6475" ht="15" customHeight="1">
      <c r="A6475" t="inlineStr">
        <is>
          <t>A 28267-2023</t>
        </is>
      </c>
      <c r="B6475" s="1" t="n">
        <v>45099</v>
      </c>
      <c r="C6475" s="1" t="n">
        <v>45952</v>
      </c>
      <c r="D6475" t="inlineStr">
        <is>
          <t>VÄSTRA GÖTALANDS LÄN</t>
        </is>
      </c>
      <c r="E6475" t="inlineStr">
        <is>
          <t>GÖTENE</t>
        </is>
      </c>
      <c r="G6475" t="n">
        <v>0.4</v>
      </c>
      <c r="H6475" t="n">
        <v>0</v>
      </c>
      <c r="I6475" t="n">
        <v>0</v>
      </c>
      <c r="J6475" t="n">
        <v>0</v>
      </c>
      <c r="K6475" t="n">
        <v>0</v>
      </c>
      <c r="L6475" t="n">
        <v>0</v>
      </c>
      <c r="M6475" t="n">
        <v>0</v>
      </c>
      <c r="N6475" t="n">
        <v>0</v>
      </c>
      <c r="O6475" t="n">
        <v>0</v>
      </c>
      <c r="P6475" t="n">
        <v>0</v>
      </c>
      <c r="Q6475" t="n">
        <v>0</v>
      </c>
      <c r="R6475" s="2" t="inlineStr"/>
    </row>
    <row r="6476" ht="15" customHeight="1">
      <c r="A6476" t="inlineStr">
        <is>
          <t>A 28273-2023</t>
        </is>
      </c>
      <c r="B6476" s="1" t="n">
        <v>45099.62096064815</v>
      </c>
      <c r="C6476" s="1" t="n">
        <v>45952</v>
      </c>
      <c r="D6476" t="inlineStr">
        <is>
          <t>VÄSTRA GÖTALANDS LÄN</t>
        </is>
      </c>
      <c r="E6476" t="inlineStr">
        <is>
          <t>GÖTENE</t>
        </is>
      </c>
      <c r="G6476" t="n">
        <v>5.1</v>
      </c>
      <c r="H6476" t="n">
        <v>0</v>
      </c>
      <c r="I6476" t="n">
        <v>0</v>
      </c>
      <c r="J6476" t="n">
        <v>0</v>
      </c>
      <c r="K6476" t="n">
        <v>0</v>
      </c>
      <c r="L6476" t="n">
        <v>0</v>
      </c>
      <c r="M6476" t="n">
        <v>0</v>
      </c>
      <c r="N6476" t="n">
        <v>0</v>
      </c>
      <c r="O6476" t="n">
        <v>0</v>
      </c>
      <c r="P6476" t="n">
        <v>0</v>
      </c>
      <c r="Q6476" t="n">
        <v>0</v>
      </c>
      <c r="R6476" s="2" t="inlineStr"/>
    </row>
    <row r="6477" ht="15" customHeight="1">
      <c r="A6477" t="inlineStr">
        <is>
          <t>A 8670-2022</t>
        </is>
      </c>
      <c r="B6477" s="1" t="n">
        <v>44613.67236111111</v>
      </c>
      <c r="C6477" s="1" t="n">
        <v>45952</v>
      </c>
      <c r="D6477" t="inlineStr">
        <is>
          <t>VÄSTRA GÖTALANDS LÄN</t>
        </is>
      </c>
      <c r="E6477" t="inlineStr">
        <is>
          <t>ULRICEHAMN</t>
        </is>
      </c>
      <c r="F6477" t="inlineStr">
        <is>
          <t>Sveaskog</t>
        </is>
      </c>
      <c r="G6477" t="n">
        <v>2.1</v>
      </c>
      <c r="H6477" t="n">
        <v>0</v>
      </c>
      <c r="I6477" t="n">
        <v>0</v>
      </c>
      <c r="J6477" t="n">
        <v>0</v>
      </c>
      <c r="K6477" t="n">
        <v>0</v>
      </c>
      <c r="L6477" t="n">
        <v>0</v>
      </c>
      <c r="M6477" t="n">
        <v>0</v>
      </c>
      <c r="N6477" t="n">
        <v>0</v>
      </c>
      <c r="O6477" t="n">
        <v>0</v>
      </c>
      <c r="P6477" t="n">
        <v>0</v>
      </c>
      <c r="Q6477" t="n">
        <v>0</v>
      </c>
      <c r="R6477" s="2" t="inlineStr"/>
    </row>
    <row r="6478" ht="15" customHeight="1">
      <c r="A6478" t="inlineStr">
        <is>
          <t>A 5600-2023</t>
        </is>
      </c>
      <c r="B6478" s="1" t="n">
        <v>44960.54981481482</v>
      </c>
      <c r="C6478" s="1" t="n">
        <v>45952</v>
      </c>
      <c r="D6478" t="inlineStr">
        <is>
          <t>VÄSTRA GÖTALANDS LÄN</t>
        </is>
      </c>
      <c r="E6478" t="inlineStr">
        <is>
          <t>MUNKEDAL</t>
        </is>
      </c>
      <c r="G6478" t="n">
        <v>1.2</v>
      </c>
      <c r="H6478" t="n">
        <v>0</v>
      </c>
      <c r="I6478" t="n">
        <v>0</v>
      </c>
      <c r="J6478" t="n">
        <v>0</v>
      </c>
      <c r="K6478" t="n">
        <v>0</v>
      </c>
      <c r="L6478" t="n">
        <v>0</v>
      </c>
      <c r="M6478" t="n">
        <v>0</v>
      </c>
      <c r="N6478" t="n">
        <v>0</v>
      </c>
      <c r="O6478" t="n">
        <v>0</v>
      </c>
      <c r="P6478" t="n">
        <v>0</v>
      </c>
      <c r="Q6478" t="n">
        <v>0</v>
      </c>
      <c r="R6478" s="2" t="inlineStr"/>
    </row>
    <row r="6479" ht="15" customHeight="1">
      <c r="A6479" t="inlineStr">
        <is>
          <t>A 38667-2025</t>
        </is>
      </c>
      <c r="B6479" s="1" t="n">
        <v>45884.61957175926</v>
      </c>
      <c r="C6479" s="1" t="n">
        <v>45952</v>
      </c>
      <c r="D6479" t="inlineStr">
        <is>
          <t>VÄSTRA GÖTALANDS LÄN</t>
        </is>
      </c>
      <c r="E6479" t="inlineStr">
        <is>
          <t>MELLERUD</t>
        </is>
      </c>
      <c r="G6479" t="n">
        <v>4.1</v>
      </c>
      <c r="H6479" t="n">
        <v>0</v>
      </c>
      <c r="I6479" t="n">
        <v>0</v>
      </c>
      <c r="J6479" t="n">
        <v>0</v>
      </c>
      <c r="K6479" t="n">
        <v>0</v>
      </c>
      <c r="L6479" t="n">
        <v>0</v>
      </c>
      <c r="M6479" t="n">
        <v>0</v>
      </c>
      <c r="N6479" t="n">
        <v>0</v>
      </c>
      <c r="O6479" t="n">
        <v>0</v>
      </c>
      <c r="P6479" t="n">
        <v>0</v>
      </c>
      <c r="Q6479" t="n">
        <v>0</v>
      </c>
      <c r="R6479" s="2" t="inlineStr"/>
    </row>
    <row r="6480" ht="15" customHeight="1">
      <c r="A6480" t="inlineStr">
        <is>
          <t>A 38691-2025</t>
        </is>
      </c>
      <c r="B6480" s="1" t="n">
        <v>45884.67460648148</v>
      </c>
      <c r="C6480" s="1" t="n">
        <v>45952</v>
      </c>
      <c r="D6480" t="inlineStr">
        <is>
          <t>VÄSTRA GÖTALANDS LÄN</t>
        </is>
      </c>
      <c r="E6480" t="inlineStr">
        <is>
          <t>MARK</t>
        </is>
      </c>
      <c r="G6480" t="n">
        <v>1.3</v>
      </c>
      <c r="H6480" t="n">
        <v>0</v>
      </c>
      <c r="I6480" t="n">
        <v>0</v>
      </c>
      <c r="J6480" t="n">
        <v>0</v>
      </c>
      <c r="K6480" t="n">
        <v>0</v>
      </c>
      <c r="L6480" t="n">
        <v>0</v>
      </c>
      <c r="M6480" t="n">
        <v>0</v>
      </c>
      <c r="N6480" t="n">
        <v>0</v>
      </c>
      <c r="O6480" t="n">
        <v>0</v>
      </c>
      <c r="P6480" t="n">
        <v>0</v>
      </c>
      <c r="Q6480" t="n">
        <v>0</v>
      </c>
      <c r="R6480" s="2" t="inlineStr"/>
    </row>
    <row r="6481" ht="15" customHeight="1">
      <c r="A6481" t="inlineStr">
        <is>
          <t>A 15217-2025</t>
        </is>
      </c>
      <c r="B6481" s="1" t="n">
        <v>45744.58045138889</v>
      </c>
      <c r="C6481" s="1" t="n">
        <v>45952</v>
      </c>
      <c r="D6481" t="inlineStr">
        <is>
          <t>VÄSTRA GÖTALANDS LÄN</t>
        </is>
      </c>
      <c r="E6481" t="inlineStr">
        <is>
          <t>TANUM</t>
        </is>
      </c>
      <c r="G6481" t="n">
        <v>2.5</v>
      </c>
      <c r="H6481" t="n">
        <v>0</v>
      </c>
      <c r="I6481" t="n">
        <v>0</v>
      </c>
      <c r="J6481" t="n">
        <v>0</v>
      </c>
      <c r="K6481" t="n">
        <v>0</v>
      </c>
      <c r="L6481" t="n">
        <v>0</v>
      </c>
      <c r="M6481" t="n">
        <v>0</v>
      </c>
      <c r="N6481" t="n">
        <v>0</v>
      </c>
      <c r="O6481" t="n">
        <v>0</v>
      </c>
      <c r="P6481" t="n">
        <v>0</v>
      </c>
      <c r="Q6481" t="n">
        <v>0</v>
      </c>
      <c r="R6481" s="2" t="inlineStr"/>
    </row>
    <row r="6482" ht="15" customHeight="1">
      <c r="A6482" t="inlineStr">
        <is>
          <t>A 37658-2022</t>
        </is>
      </c>
      <c r="B6482" s="1" t="n">
        <v>44810.44122685185</v>
      </c>
      <c r="C6482" s="1" t="n">
        <v>45952</v>
      </c>
      <c r="D6482" t="inlineStr">
        <is>
          <t>VÄSTRA GÖTALANDS LÄN</t>
        </is>
      </c>
      <c r="E6482" t="inlineStr">
        <is>
          <t>TROLLHÄTTAN</t>
        </is>
      </c>
      <c r="G6482" t="n">
        <v>1.3</v>
      </c>
      <c r="H6482" t="n">
        <v>0</v>
      </c>
      <c r="I6482" t="n">
        <v>0</v>
      </c>
      <c r="J6482" t="n">
        <v>0</v>
      </c>
      <c r="K6482" t="n">
        <v>0</v>
      </c>
      <c r="L6482" t="n">
        <v>0</v>
      </c>
      <c r="M6482" t="n">
        <v>0</v>
      </c>
      <c r="N6482" t="n">
        <v>0</v>
      </c>
      <c r="O6482" t="n">
        <v>0</v>
      </c>
      <c r="P6482" t="n">
        <v>0</v>
      </c>
      <c r="Q6482" t="n">
        <v>0</v>
      </c>
      <c r="R6482" s="2" t="inlineStr"/>
    </row>
    <row r="6483" ht="15" customHeight="1">
      <c r="A6483" t="inlineStr">
        <is>
          <t>A 39997-2023</t>
        </is>
      </c>
      <c r="B6483" s="1" t="n">
        <v>45168.61142361111</v>
      </c>
      <c r="C6483" s="1" t="n">
        <v>45952</v>
      </c>
      <c r="D6483" t="inlineStr">
        <is>
          <t>VÄSTRA GÖTALANDS LÄN</t>
        </is>
      </c>
      <c r="E6483" t="inlineStr">
        <is>
          <t>FALKÖPING</t>
        </is>
      </c>
      <c r="G6483" t="n">
        <v>1.7</v>
      </c>
      <c r="H6483" t="n">
        <v>0</v>
      </c>
      <c r="I6483" t="n">
        <v>0</v>
      </c>
      <c r="J6483" t="n">
        <v>0</v>
      </c>
      <c r="K6483" t="n">
        <v>0</v>
      </c>
      <c r="L6483" t="n">
        <v>0</v>
      </c>
      <c r="M6483" t="n">
        <v>0</v>
      </c>
      <c r="N6483" t="n">
        <v>0</v>
      </c>
      <c r="O6483" t="n">
        <v>0</v>
      </c>
      <c r="P6483" t="n">
        <v>0</v>
      </c>
      <c r="Q6483" t="n">
        <v>0</v>
      </c>
      <c r="R6483" s="2" t="inlineStr"/>
    </row>
    <row r="6484" ht="15" customHeight="1">
      <c r="A6484" t="inlineStr">
        <is>
          <t>A 40048-2023</t>
        </is>
      </c>
      <c r="B6484" s="1" t="n">
        <v>45168.69461805555</v>
      </c>
      <c r="C6484" s="1" t="n">
        <v>45952</v>
      </c>
      <c r="D6484" t="inlineStr">
        <is>
          <t>VÄSTRA GÖTALANDS LÄN</t>
        </is>
      </c>
      <c r="E6484" t="inlineStr">
        <is>
          <t>TANUM</t>
        </is>
      </c>
      <c r="G6484" t="n">
        <v>2.2</v>
      </c>
      <c r="H6484" t="n">
        <v>0</v>
      </c>
      <c r="I6484" t="n">
        <v>0</v>
      </c>
      <c r="J6484" t="n">
        <v>0</v>
      </c>
      <c r="K6484" t="n">
        <v>0</v>
      </c>
      <c r="L6484" t="n">
        <v>0</v>
      </c>
      <c r="M6484" t="n">
        <v>0</v>
      </c>
      <c r="N6484" t="n">
        <v>0</v>
      </c>
      <c r="O6484" t="n">
        <v>0</v>
      </c>
      <c r="P6484" t="n">
        <v>0</v>
      </c>
      <c r="Q6484" t="n">
        <v>0</v>
      </c>
      <c r="R6484" s="2" t="inlineStr"/>
    </row>
    <row r="6485" ht="15" customHeight="1">
      <c r="A6485" t="inlineStr">
        <is>
          <t>A 13161-2023</t>
        </is>
      </c>
      <c r="B6485" s="1" t="n">
        <v>45002</v>
      </c>
      <c r="C6485" s="1" t="n">
        <v>45952</v>
      </c>
      <c r="D6485" t="inlineStr">
        <is>
          <t>VÄSTRA GÖTALANDS LÄN</t>
        </is>
      </c>
      <c r="E6485" t="inlineStr">
        <is>
          <t>SVENLJUNGA</t>
        </is>
      </c>
      <c r="G6485" t="n">
        <v>3</v>
      </c>
      <c r="H6485" t="n">
        <v>0</v>
      </c>
      <c r="I6485" t="n">
        <v>0</v>
      </c>
      <c r="J6485" t="n">
        <v>0</v>
      </c>
      <c r="K6485" t="n">
        <v>0</v>
      </c>
      <c r="L6485" t="n">
        <v>0</v>
      </c>
      <c r="M6485" t="n">
        <v>0</v>
      </c>
      <c r="N6485" t="n">
        <v>0</v>
      </c>
      <c r="O6485" t="n">
        <v>0</v>
      </c>
      <c r="P6485" t="n">
        <v>0</v>
      </c>
      <c r="Q6485" t="n">
        <v>0</v>
      </c>
      <c r="R6485" s="2" t="inlineStr"/>
    </row>
    <row r="6486" ht="15" customHeight="1">
      <c r="A6486" t="inlineStr">
        <is>
          <t>A 40369-2024</t>
        </is>
      </c>
      <c r="B6486" s="1" t="n">
        <v>45555.39053240741</v>
      </c>
      <c r="C6486" s="1" t="n">
        <v>45952</v>
      </c>
      <c r="D6486" t="inlineStr">
        <is>
          <t>VÄSTRA GÖTALANDS LÄN</t>
        </is>
      </c>
      <c r="E6486" t="inlineStr">
        <is>
          <t>STRÖMSTAD</t>
        </is>
      </c>
      <c r="G6486" t="n">
        <v>14.5</v>
      </c>
      <c r="H6486" t="n">
        <v>0</v>
      </c>
      <c r="I6486" t="n">
        <v>0</v>
      </c>
      <c r="J6486" t="n">
        <v>0</v>
      </c>
      <c r="K6486" t="n">
        <v>0</v>
      </c>
      <c r="L6486" t="n">
        <v>0</v>
      </c>
      <c r="M6486" t="n">
        <v>0</v>
      </c>
      <c r="N6486" t="n">
        <v>0</v>
      </c>
      <c r="O6486" t="n">
        <v>0</v>
      </c>
      <c r="P6486" t="n">
        <v>0</v>
      </c>
      <c r="Q6486" t="n">
        <v>0</v>
      </c>
      <c r="R6486" s="2" t="inlineStr"/>
    </row>
    <row r="6487" ht="15" customHeight="1">
      <c r="A6487" t="inlineStr">
        <is>
          <t>A 67782-2021</t>
        </is>
      </c>
      <c r="B6487" s="1" t="n">
        <v>44525</v>
      </c>
      <c r="C6487" s="1" t="n">
        <v>45952</v>
      </c>
      <c r="D6487" t="inlineStr">
        <is>
          <t>VÄSTRA GÖTALANDS LÄN</t>
        </is>
      </c>
      <c r="E6487" t="inlineStr">
        <is>
          <t>HERRLJUNGA</t>
        </is>
      </c>
      <c r="G6487" t="n">
        <v>1.5</v>
      </c>
      <c r="H6487" t="n">
        <v>0</v>
      </c>
      <c r="I6487" t="n">
        <v>0</v>
      </c>
      <c r="J6487" t="n">
        <v>0</v>
      </c>
      <c r="K6487" t="n">
        <v>0</v>
      </c>
      <c r="L6487" t="n">
        <v>0</v>
      </c>
      <c r="M6487" t="n">
        <v>0</v>
      </c>
      <c r="N6487" t="n">
        <v>0</v>
      </c>
      <c r="O6487" t="n">
        <v>0</v>
      </c>
      <c r="P6487" t="n">
        <v>0</v>
      </c>
      <c r="Q6487" t="n">
        <v>0</v>
      </c>
      <c r="R6487" s="2" t="inlineStr"/>
    </row>
    <row r="6488" ht="15" customHeight="1">
      <c r="A6488" t="inlineStr">
        <is>
          <t>A 6161-2023</t>
        </is>
      </c>
      <c r="B6488" s="1" t="n">
        <v>44964</v>
      </c>
      <c r="C6488" s="1" t="n">
        <v>45952</v>
      </c>
      <c r="D6488" t="inlineStr">
        <is>
          <t>VÄSTRA GÖTALANDS LÄN</t>
        </is>
      </c>
      <c r="E6488" t="inlineStr">
        <is>
          <t>BORÅS</t>
        </is>
      </c>
      <c r="G6488" t="n">
        <v>1.2</v>
      </c>
      <c r="H6488" t="n">
        <v>0</v>
      </c>
      <c r="I6488" t="n">
        <v>0</v>
      </c>
      <c r="J6488" t="n">
        <v>0</v>
      </c>
      <c r="K6488" t="n">
        <v>0</v>
      </c>
      <c r="L6488" t="n">
        <v>0</v>
      </c>
      <c r="M6488" t="n">
        <v>0</v>
      </c>
      <c r="N6488" t="n">
        <v>0</v>
      </c>
      <c r="O6488" t="n">
        <v>0</v>
      </c>
      <c r="P6488" t="n">
        <v>0</v>
      </c>
      <c r="Q6488" t="n">
        <v>0</v>
      </c>
      <c r="R6488" s="2" t="inlineStr"/>
    </row>
    <row r="6489" ht="15" customHeight="1">
      <c r="A6489" t="inlineStr">
        <is>
          <t>A 177-2024</t>
        </is>
      </c>
      <c r="B6489" s="1" t="n">
        <v>45294.55914351852</v>
      </c>
      <c r="C6489" s="1" t="n">
        <v>45952</v>
      </c>
      <c r="D6489" t="inlineStr">
        <is>
          <t>VÄSTRA GÖTALANDS LÄN</t>
        </is>
      </c>
      <c r="E6489" t="inlineStr">
        <is>
          <t>BORÅS</t>
        </is>
      </c>
      <c r="G6489" t="n">
        <v>1.6</v>
      </c>
      <c r="H6489" t="n">
        <v>0</v>
      </c>
      <c r="I6489" t="n">
        <v>0</v>
      </c>
      <c r="J6489" t="n">
        <v>0</v>
      </c>
      <c r="K6489" t="n">
        <v>0</v>
      </c>
      <c r="L6489" t="n">
        <v>0</v>
      </c>
      <c r="M6489" t="n">
        <v>0</v>
      </c>
      <c r="N6489" t="n">
        <v>0</v>
      </c>
      <c r="O6489" t="n">
        <v>0</v>
      </c>
      <c r="P6489" t="n">
        <v>0</v>
      </c>
      <c r="Q6489" t="n">
        <v>0</v>
      </c>
      <c r="R6489" s="2" t="inlineStr"/>
    </row>
    <row r="6490" ht="15" customHeight="1">
      <c r="A6490" t="inlineStr">
        <is>
          <t>A 11812-2025</t>
        </is>
      </c>
      <c r="B6490" s="1" t="n">
        <v>45728.24693287037</v>
      </c>
      <c r="C6490" s="1" t="n">
        <v>45952</v>
      </c>
      <c r="D6490" t="inlineStr">
        <is>
          <t>VÄSTRA GÖTALANDS LÄN</t>
        </is>
      </c>
      <c r="E6490" t="inlineStr">
        <is>
          <t>MUNKEDAL</t>
        </is>
      </c>
      <c r="F6490" t="inlineStr">
        <is>
          <t>Kommuner</t>
        </is>
      </c>
      <c r="G6490" t="n">
        <v>2.2</v>
      </c>
      <c r="H6490" t="n">
        <v>0</v>
      </c>
      <c r="I6490" t="n">
        <v>0</v>
      </c>
      <c r="J6490" t="n">
        <v>0</v>
      </c>
      <c r="K6490" t="n">
        <v>0</v>
      </c>
      <c r="L6490" t="n">
        <v>0</v>
      </c>
      <c r="M6490" t="n">
        <v>0</v>
      </c>
      <c r="N6490" t="n">
        <v>0</v>
      </c>
      <c r="O6490" t="n">
        <v>0</v>
      </c>
      <c r="P6490" t="n">
        <v>0</v>
      </c>
      <c r="Q6490" t="n">
        <v>0</v>
      </c>
      <c r="R6490" s="2" t="inlineStr"/>
    </row>
    <row r="6491" ht="15" customHeight="1">
      <c r="A6491" t="inlineStr">
        <is>
          <t>A 54176-2024</t>
        </is>
      </c>
      <c r="B6491" s="1" t="n">
        <v>45616.63513888889</v>
      </c>
      <c r="C6491" s="1" t="n">
        <v>45952</v>
      </c>
      <c r="D6491" t="inlineStr">
        <is>
          <t>VÄSTRA GÖTALANDS LÄN</t>
        </is>
      </c>
      <c r="E6491" t="inlineStr">
        <is>
          <t>ÅMÅL</t>
        </is>
      </c>
      <c r="G6491" t="n">
        <v>4.4</v>
      </c>
      <c r="H6491" t="n">
        <v>0</v>
      </c>
      <c r="I6491" t="n">
        <v>0</v>
      </c>
      <c r="J6491" t="n">
        <v>0</v>
      </c>
      <c r="K6491" t="n">
        <v>0</v>
      </c>
      <c r="L6491" t="n">
        <v>0</v>
      </c>
      <c r="M6491" t="n">
        <v>0</v>
      </c>
      <c r="N6491" t="n">
        <v>0</v>
      </c>
      <c r="O6491" t="n">
        <v>0</v>
      </c>
      <c r="P6491" t="n">
        <v>0</v>
      </c>
      <c r="Q6491" t="n">
        <v>0</v>
      </c>
      <c r="R6491" s="2" t="inlineStr"/>
    </row>
    <row r="6492" ht="15" customHeight="1">
      <c r="A6492" t="inlineStr">
        <is>
          <t>A 12918-2021</t>
        </is>
      </c>
      <c r="B6492" s="1" t="n">
        <v>44271</v>
      </c>
      <c r="C6492" s="1" t="n">
        <v>45952</v>
      </c>
      <c r="D6492" t="inlineStr">
        <is>
          <t>VÄSTRA GÖTALANDS LÄN</t>
        </is>
      </c>
      <c r="E6492" t="inlineStr">
        <is>
          <t>VÅRGÅRDA</t>
        </is>
      </c>
      <c r="G6492" t="n">
        <v>7</v>
      </c>
      <c r="H6492" t="n">
        <v>0</v>
      </c>
      <c r="I6492" t="n">
        <v>0</v>
      </c>
      <c r="J6492" t="n">
        <v>0</v>
      </c>
      <c r="K6492" t="n">
        <v>0</v>
      </c>
      <c r="L6492" t="n">
        <v>0</v>
      </c>
      <c r="M6492" t="n">
        <v>0</v>
      </c>
      <c r="N6492" t="n">
        <v>0</v>
      </c>
      <c r="O6492" t="n">
        <v>0</v>
      </c>
      <c r="P6492" t="n">
        <v>0</v>
      </c>
      <c r="Q6492" t="n">
        <v>0</v>
      </c>
      <c r="R6492" s="2" t="inlineStr"/>
    </row>
    <row r="6493" ht="15" customHeight="1">
      <c r="A6493" t="inlineStr">
        <is>
          <t>A 15344-2024</t>
        </is>
      </c>
      <c r="B6493" s="1" t="n">
        <v>45400.74315972222</v>
      </c>
      <c r="C6493" s="1" t="n">
        <v>45952</v>
      </c>
      <c r="D6493" t="inlineStr">
        <is>
          <t>VÄSTRA GÖTALANDS LÄN</t>
        </is>
      </c>
      <c r="E6493" t="inlineStr">
        <is>
          <t>SVENLJUNGA</t>
        </is>
      </c>
      <c r="G6493" t="n">
        <v>1.7</v>
      </c>
      <c r="H6493" t="n">
        <v>0</v>
      </c>
      <c r="I6493" t="n">
        <v>0</v>
      </c>
      <c r="J6493" t="n">
        <v>0</v>
      </c>
      <c r="K6493" t="n">
        <v>0</v>
      </c>
      <c r="L6493" t="n">
        <v>0</v>
      </c>
      <c r="M6493" t="n">
        <v>0</v>
      </c>
      <c r="N6493" t="n">
        <v>0</v>
      </c>
      <c r="O6493" t="n">
        <v>0</v>
      </c>
      <c r="P6493" t="n">
        <v>0</v>
      </c>
      <c r="Q6493" t="n">
        <v>0</v>
      </c>
      <c r="R6493" s="2" t="inlineStr"/>
    </row>
    <row r="6494" ht="15" customHeight="1">
      <c r="A6494" t="inlineStr">
        <is>
          <t>A 219-2024</t>
        </is>
      </c>
      <c r="B6494" s="1" t="n">
        <v>45293</v>
      </c>
      <c r="C6494" s="1" t="n">
        <v>45952</v>
      </c>
      <c r="D6494" t="inlineStr">
        <is>
          <t>VÄSTRA GÖTALANDS LÄN</t>
        </is>
      </c>
      <c r="E6494" t="inlineStr">
        <is>
          <t>MUNKEDAL</t>
        </is>
      </c>
      <c r="F6494" t="inlineStr">
        <is>
          <t>Övriga Aktiebolag</t>
        </is>
      </c>
      <c r="G6494" t="n">
        <v>1</v>
      </c>
      <c r="H6494" t="n">
        <v>0</v>
      </c>
      <c r="I6494" t="n">
        <v>0</v>
      </c>
      <c r="J6494" t="n">
        <v>0</v>
      </c>
      <c r="K6494" t="n">
        <v>0</v>
      </c>
      <c r="L6494" t="n">
        <v>0</v>
      </c>
      <c r="M6494" t="n">
        <v>0</v>
      </c>
      <c r="N6494" t="n">
        <v>0</v>
      </c>
      <c r="O6494" t="n">
        <v>0</v>
      </c>
      <c r="P6494" t="n">
        <v>0</v>
      </c>
      <c r="Q6494" t="n">
        <v>0</v>
      </c>
      <c r="R6494" s="2" t="inlineStr"/>
    </row>
    <row r="6495" ht="15" customHeight="1">
      <c r="A6495" t="inlineStr">
        <is>
          <t>A 28528-2024</t>
        </is>
      </c>
      <c r="B6495" s="1" t="n">
        <v>45478.3252199074</v>
      </c>
      <c r="C6495" s="1" t="n">
        <v>45952</v>
      </c>
      <c r="D6495" t="inlineStr">
        <is>
          <t>VÄSTRA GÖTALANDS LÄN</t>
        </is>
      </c>
      <c r="E6495" t="inlineStr">
        <is>
          <t>KARLSBORG</t>
        </is>
      </c>
      <c r="G6495" t="n">
        <v>0.5</v>
      </c>
      <c r="H6495" t="n">
        <v>0</v>
      </c>
      <c r="I6495" t="n">
        <v>0</v>
      </c>
      <c r="J6495" t="n">
        <v>0</v>
      </c>
      <c r="K6495" t="n">
        <v>0</v>
      </c>
      <c r="L6495" t="n">
        <v>0</v>
      </c>
      <c r="M6495" t="n">
        <v>0</v>
      </c>
      <c r="N6495" t="n">
        <v>0</v>
      </c>
      <c r="O6495" t="n">
        <v>0</v>
      </c>
      <c r="P6495" t="n">
        <v>0</v>
      </c>
      <c r="Q6495" t="n">
        <v>0</v>
      </c>
      <c r="R6495" s="2" t="inlineStr"/>
    </row>
    <row r="6496" ht="15" customHeight="1">
      <c r="A6496" t="inlineStr">
        <is>
          <t>A 15363-2024</t>
        </is>
      </c>
      <c r="B6496" s="1" t="n">
        <v>45400.9152662037</v>
      </c>
      <c r="C6496" s="1" t="n">
        <v>45952</v>
      </c>
      <c r="D6496" t="inlineStr">
        <is>
          <t>VÄSTRA GÖTALANDS LÄN</t>
        </is>
      </c>
      <c r="E6496" t="inlineStr">
        <is>
          <t>DALS-ED</t>
        </is>
      </c>
      <c r="G6496" t="n">
        <v>1</v>
      </c>
      <c r="H6496" t="n">
        <v>0</v>
      </c>
      <c r="I6496" t="n">
        <v>0</v>
      </c>
      <c r="J6496" t="n">
        <v>0</v>
      </c>
      <c r="K6496" t="n">
        <v>0</v>
      </c>
      <c r="L6496" t="n">
        <v>0</v>
      </c>
      <c r="M6496" t="n">
        <v>0</v>
      </c>
      <c r="N6496" t="n">
        <v>0</v>
      </c>
      <c r="O6496" t="n">
        <v>0</v>
      </c>
      <c r="P6496" t="n">
        <v>0</v>
      </c>
      <c r="Q6496" t="n">
        <v>0</v>
      </c>
      <c r="R6496" s="2" t="inlineStr"/>
    </row>
    <row r="6497" ht="15" customHeight="1">
      <c r="A6497" t="inlineStr">
        <is>
          <t>A 22634-2024</t>
        </is>
      </c>
      <c r="B6497" s="1" t="n">
        <v>45447.67667824074</v>
      </c>
      <c r="C6497" s="1" t="n">
        <v>45952</v>
      </c>
      <c r="D6497" t="inlineStr">
        <is>
          <t>VÄSTRA GÖTALANDS LÄN</t>
        </is>
      </c>
      <c r="E6497" t="inlineStr">
        <is>
          <t>GULLSPÅNG</t>
        </is>
      </c>
      <c r="G6497" t="n">
        <v>8.199999999999999</v>
      </c>
      <c r="H6497" t="n">
        <v>0</v>
      </c>
      <c r="I6497" t="n">
        <v>0</v>
      </c>
      <c r="J6497" t="n">
        <v>0</v>
      </c>
      <c r="K6497" t="n">
        <v>0</v>
      </c>
      <c r="L6497" t="n">
        <v>0</v>
      </c>
      <c r="M6497" t="n">
        <v>0</v>
      </c>
      <c r="N6497" t="n">
        <v>0</v>
      </c>
      <c r="O6497" t="n">
        <v>0</v>
      </c>
      <c r="P6497" t="n">
        <v>0</v>
      </c>
      <c r="Q6497" t="n">
        <v>0</v>
      </c>
      <c r="R6497" s="2" t="inlineStr"/>
    </row>
    <row r="6498" ht="15" customHeight="1">
      <c r="A6498" t="inlineStr">
        <is>
          <t>A 40611-2021</t>
        </is>
      </c>
      <c r="B6498" s="1" t="n">
        <v>44420.49086805555</v>
      </c>
      <c r="C6498" s="1" t="n">
        <v>45952</v>
      </c>
      <c r="D6498" t="inlineStr">
        <is>
          <t>VÄSTRA GÖTALANDS LÄN</t>
        </is>
      </c>
      <c r="E6498" t="inlineStr">
        <is>
          <t>BORÅS</t>
        </is>
      </c>
      <c r="G6498" t="n">
        <v>0.5</v>
      </c>
      <c r="H6498" t="n">
        <v>0</v>
      </c>
      <c r="I6498" t="n">
        <v>0</v>
      </c>
      <c r="J6498" t="n">
        <v>0</v>
      </c>
      <c r="K6498" t="n">
        <v>0</v>
      </c>
      <c r="L6498" t="n">
        <v>0</v>
      </c>
      <c r="M6498" t="n">
        <v>0</v>
      </c>
      <c r="N6498" t="n">
        <v>0</v>
      </c>
      <c r="O6498" t="n">
        <v>0</v>
      </c>
      <c r="P6498" t="n">
        <v>0</v>
      </c>
      <c r="Q6498" t="n">
        <v>0</v>
      </c>
      <c r="R6498" s="2" t="inlineStr"/>
    </row>
    <row r="6499" ht="15" customHeight="1">
      <c r="A6499" t="inlineStr">
        <is>
          <t>A 49218-2022</t>
        </is>
      </c>
      <c r="B6499" s="1" t="n">
        <v>44861.33518518518</v>
      </c>
      <c r="C6499" s="1" t="n">
        <v>45952</v>
      </c>
      <c r="D6499" t="inlineStr">
        <is>
          <t>VÄSTRA GÖTALANDS LÄN</t>
        </is>
      </c>
      <c r="E6499" t="inlineStr">
        <is>
          <t>MUNKEDAL</t>
        </is>
      </c>
      <c r="G6499" t="n">
        <v>0.7</v>
      </c>
      <c r="H6499" t="n">
        <v>0</v>
      </c>
      <c r="I6499" t="n">
        <v>0</v>
      </c>
      <c r="J6499" t="n">
        <v>0</v>
      </c>
      <c r="K6499" t="n">
        <v>0</v>
      </c>
      <c r="L6499" t="n">
        <v>0</v>
      </c>
      <c r="M6499" t="n">
        <v>0</v>
      </c>
      <c r="N6499" t="n">
        <v>0</v>
      </c>
      <c r="O6499" t="n">
        <v>0</v>
      </c>
      <c r="P6499" t="n">
        <v>0</v>
      </c>
      <c r="Q6499" t="n">
        <v>0</v>
      </c>
      <c r="R6499" s="2" t="inlineStr"/>
    </row>
    <row r="6500" ht="15" customHeight="1">
      <c r="A6500" t="inlineStr">
        <is>
          <t>A 61289-2023</t>
        </is>
      </c>
      <c r="B6500" s="1" t="n">
        <v>45260</v>
      </c>
      <c r="C6500" s="1" t="n">
        <v>45952</v>
      </c>
      <c r="D6500" t="inlineStr">
        <is>
          <t>VÄSTRA GÖTALANDS LÄN</t>
        </is>
      </c>
      <c r="E6500" t="inlineStr">
        <is>
          <t>GULLSPÅNG</t>
        </is>
      </c>
      <c r="G6500" t="n">
        <v>1.4</v>
      </c>
      <c r="H6500" t="n">
        <v>0</v>
      </c>
      <c r="I6500" t="n">
        <v>0</v>
      </c>
      <c r="J6500" t="n">
        <v>0</v>
      </c>
      <c r="K6500" t="n">
        <v>0</v>
      </c>
      <c r="L6500" t="n">
        <v>0</v>
      </c>
      <c r="M6500" t="n">
        <v>0</v>
      </c>
      <c r="N6500" t="n">
        <v>0</v>
      </c>
      <c r="O6500" t="n">
        <v>0</v>
      </c>
      <c r="P6500" t="n">
        <v>0</v>
      </c>
      <c r="Q6500" t="n">
        <v>0</v>
      </c>
      <c r="R6500" s="2" t="inlineStr"/>
    </row>
    <row r="6501" ht="15" customHeight="1">
      <c r="A6501" t="inlineStr">
        <is>
          <t>A 5436-2022</t>
        </is>
      </c>
      <c r="B6501" s="1" t="n">
        <v>44595</v>
      </c>
      <c r="C6501" s="1" t="n">
        <v>45952</v>
      </c>
      <c r="D6501" t="inlineStr">
        <is>
          <t>VÄSTRA GÖTALANDS LÄN</t>
        </is>
      </c>
      <c r="E6501" t="inlineStr">
        <is>
          <t>FÄRGELANDA</t>
        </is>
      </c>
      <c r="G6501" t="n">
        <v>11.3</v>
      </c>
      <c r="H6501" t="n">
        <v>0</v>
      </c>
      <c r="I6501" t="n">
        <v>0</v>
      </c>
      <c r="J6501" t="n">
        <v>0</v>
      </c>
      <c r="K6501" t="n">
        <v>0</v>
      </c>
      <c r="L6501" t="n">
        <v>0</v>
      </c>
      <c r="M6501" t="n">
        <v>0</v>
      </c>
      <c r="N6501" t="n">
        <v>0</v>
      </c>
      <c r="O6501" t="n">
        <v>0</v>
      </c>
      <c r="P6501" t="n">
        <v>0</v>
      </c>
      <c r="Q6501" t="n">
        <v>0</v>
      </c>
      <c r="R6501" s="2" t="inlineStr"/>
    </row>
    <row r="6502" ht="15" customHeight="1">
      <c r="A6502" t="inlineStr">
        <is>
          <t>A 55780-2021</t>
        </is>
      </c>
      <c r="B6502" s="1" t="n">
        <v>44476.55728009259</v>
      </c>
      <c r="C6502" s="1" t="n">
        <v>45952</v>
      </c>
      <c r="D6502" t="inlineStr">
        <is>
          <t>VÄSTRA GÖTALANDS LÄN</t>
        </is>
      </c>
      <c r="E6502" t="inlineStr">
        <is>
          <t>TIDAHOLM</t>
        </is>
      </c>
      <c r="G6502" t="n">
        <v>5.1</v>
      </c>
      <c r="H6502" t="n">
        <v>0</v>
      </c>
      <c r="I6502" t="n">
        <v>0</v>
      </c>
      <c r="J6502" t="n">
        <v>0</v>
      </c>
      <c r="K6502" t="n">
        <v>0</v>
      </c>
      <c r="L6502" t="n">
        <v>0</v>
      </c>
      <c r="M6502" t="n">
        <v>0</v>
      </c>
      <c r="N6502" t="n">
        <v>0</v>
      </c>
      <c r="O6502" t="n">
        <v>0</v>
      </c>
      <c r="P6502" t="n">
        <v>0</v>
      </c>
      <c r="Q6502" t="n">
        <v>0</v>
      </c>
      <c r="R6502" s="2" t="inlineStr"/>
    </row>
    <row r="6503" ht="15" customHeight="1">
      <c r="A6503" t="inlineStr">
        <is>
          <t>A 17452-2023</t>
        </is>
      </c>
      <c r="B6503" s="1" t="n">
        <v>45036</v>
      </c>
      <c r="C6503" s="1" t="n">
        <v>45952</v>
      </c>
      <c r="D6503" t="inlineStr">
        <is>
          <t>VÄSTRA GÖTALANDS LÄN</t>
        </is>
      </c>
      <c r="E6503" t="inlineStr">
        <is>
          <t>SKÖVDE</t>
        </is>
      </c>
      <c r="G6503" t="n">
        <v>1.1</v>
      </c>
      <c r="H6503" t="n">
        <v>0</v>
      </c>
      <c r="I6503" t="n">
        <v>0</v>
      </c>
      <c r="J6503" t="n">
        <v>0</v>
      </c>
      <c r="K6503" t="n">
        <v>0</v>
      </c>
      <c r="L6503" t="n">
        <v>0</v>
      </c>
      <c r="M6503" t="n">
        <v>0</v>
      </c>
      <c r="N6503" t="n">
        <v>0</v>
      </c>
      <c r="O6503" t="n">
        <v>0</v>
      </c>
      <c r="P6503" t="n">
        <v>0</v>
      </c>
      <c r="Q6503" t="n">
        <v>0</v>
      </c>
      <c r="R6503" s="2" t="inlineStr"/>
    </row>
    <row r="6504" ht="15" customHeight="1">
      <c r="A6504" t="inlineStr">
        <is>
          <t>A 69264-2020</t>
        </is>
      </c>
      <c r="B6504" s="1" t="n">
        <v>44193.32032407408</v>
      </c>
      <c r="C6504" s="1" t="n">
        <v>45952</v>
      </c>
      <c r="D6504" t="inlineStr">
        <is>
          <t>VÄSTRA GÖTALANDS LÄN</t>
        </is>
      </c>
      <c r="E6504" t="inlineStr">
        <is>
          <t>BORÅS</t>
        </is>
      </c>
      <c r="G6504" t="n">
        <v>2.7</v>
      </c>
      <c r="H6504" t="n">
        <v>0</v>
      </c>
      <c r="I6504" t="n">
        <v>0</v>
      </c>
      <c r="J6504" t="n">
        <v>0</v>
      </c>
      <c r="K6504" t="n">
        <v>0</v>
      </c>
      <c r="L6504" t="n">
        <v>0</v>
      </c>
      <c r="M6504" t="n">
        <v>0</v>
      </c>
      <c r="N6504" t="n">
        <v>0</v>
      </c>
      <c r="O6504" t="n">
        <v>0</v>
      </c>
      <c r="P6504" t="n">
        <v>0</v>
      </c>
      <c r="Q6504" t="n">
        <v>0</v>
      </c>
      <c r="R6504" s="2" t="inlineStr"/>
    </row>
    <row r="6505" ht="15" customHeight="1">
      <c r="A6505" t="inlineStr">
        <is>
          <t>A 51783-2023</t>
        </is>
      </c>
      <c r="B6505" s="1" t="n">
        <v>45222</v>
      </c>
      <c r="C6505" s="1" t="n">
        <v>45952</v>
      </c>
      <c r="D6505" t="inlineStr">
        <is>
          <t>VÄSTRA GÖTALANDS LÄN</t>
        </is>
      </c>
      <c r="E6505" t="inlineStr">
        <is>
          <t>MELLERUD</t>
        </is>
      </c>
      <c r="G6505" t="n">
        <v>1.8</v>
      </c>
      <c r="H6505" t="n">
        <v>0</v>
      </c>
      <c r="I6505" t="n">
        <v>0</v>
      </c>
      <c r="J6505" t="n">
        <v>0</v>
      </c>
      <c r="K6505" t="n">
        <v>0</v>
      </c>
      <c r="L6505" t="n">
        <v>0</v>
      </c>
      <c r="M6505" t="n">
        <v>0</v>
      </c>
      <c r="N6505" t="n">
        <v>0</v>
      </c>
      <c r="O6505" t="n">
        <v>0</v>
      </c>
      <c r="P6505" t="n">
        <v>0</v>
      </c>
      <c r="Q6505" t="n">
        <v>0</v>
      </c>
      <c r="R6505" s="2" t="inlineStr"/>
    </row>
    <row r="6506" ht="15" customHeight="1">
      <c r="A6506" t="inlineStr">
        <is>
          <t>A 8403-2022</t>
        </is>
      </c>
      <c r="B6506" s="1" t="n">
        <v>44610.69429398148</v>
      </c>
      <c r="C6506" s="1" t="n">
        <v>45952</v>
      </c>
      <c r="D6506" t="inlineStr">
        <is>
          <t>VÄSTRA GÖTALANDS LÄN</t>
        </is>
      </c>
      <c r="E6506" t="inlineStr">
        <is>
          <t>MARK</t>
        </is>
      </c>
      <c r="G6506" t="n">
        <v>5.4</v>
      </c>
      <c r="H6506" t="n">
        <v>0</v>
      </c>
      <c r="I6506" t="n">
        <v>0</v>
      </c>
      <c r="J6506" t="n">
        <v>0</v>
      </c>
      <c r="K6506" t="n">
        <v>0</v>
      </c>
      <c r="L6506" t="n">
        <v>0</v>
      </c>
      <c r="M6506" t="n">
        <v>0</v>
      </c>
      <c r="N6506" t="n">
        <v>0</v>
      </c>
      <c r="O6506" t="n">
        <v>0</v>
      </c>
      <c r="P6506" t="n">
        <v>0</v>
      </c>
      <c r="Q6506" t="n">
        <v>0</v>
      </c>
      <c r="R6506" s="2" t="inlineStr"/>
    </row>
    <row r="6507" ht="15" customHeight="1">
      <c r="A6507" t="inlineStr">
        <is>
          <t>A 57267-2022</t>
        </is>
      </c>
      <c r="B6507" s="1" t="n">
        <v>44895.90114583333</v>
      </c>
      <c r="C6507" s="1" t="n">
        <v>45952</v>
      </c>
      <c r="D6507" t="inlineStr">
        <is>
          <t>VÄSTRA GÖTALANDS LÄN</t>
        </is>
      </c>
      <c r="E6507" t="inlineStr">
        <is>
          <t>FÄRGELANDA</t>
        </is>
      </c>
      <c r="G6507" t="n">
        <v>7.2</v>
      </c>
      <c r="H6507" t="n">
        <v>0</v>
      </c>
      <c r="I6507" t="n">
        <v>0</v>
      </c>
      <c r="J6507" t="n">
        <v>0</v>
      </c>
      <c r="K6507" t="n">
        <v>0</v>
      </c>
      <c r="L6507" t="n">
        <v>0</v>
      </c>
      <c r="M6507" t="n">
        <v>0</v>
      </c>
      <c r="N6507" t="n">
        <v>0</v>
      </c>
      <c r="O6507" t="n">
        <v>0</v>
      </c>
      <c r="P6507" t="n">
        <v>0</v>
      </c>
      <c r="Q6507" t="n">
        <v>0</v>
      </c>
      <c r="R6507" s="2" t="inlineStr"/>
    </row>
    <row r="6508" ht="15" customHeight="1">
      <c r="A6508" t="inlineStr">
        <is>
          <t>A 2590-2024</t>
        </is>
      </c>
      <c r="B6508" s="1" t="n">
        <v>45313</v>
      </c>
      <c r="C6508" s="1" t="n">
        <v>45952</v>
      </c>
      <c r="D6508" t="inlineStr">
        <is>
          <t>VÄSTRA GÖTALANDS LÄN</t>
        </is>
      </c>
      <c r="E6508" t="inlineStr">
        <is>
          <t>SKARA</t>
        </is>
      </c>
      <c r="G6508" t="n">
        <v>11.7</v>
      </c>
      <c r="H6508" t="n">
        <v>0</v>
      </c>
      <c r="I6508" t="n">
        <v>0</v>
      </c>
      <c r="J6508" t="n">
        <v>0</v>
      </c>
      <c r="K6508" t="n">
        <v>0</v>
      </c>
      <c r="L6508" t="n">
        <v>0</v>
      </c>
      <c r="M6508" t="n">
        <v>0</v>
      </c>
      <c r="N6508" t="n">
        <v>0</v>
      </c>
      <c r="O6508" t="n">
        <v>0</v>
      </c>
      <c r="P6508" t="n">
        <v>0</v>
      </c>
      <c r="Q6508" t="n">
        <v>0</v>
      </c>
      <c r="R6508" s="2" t="inlineStr"/>
    </row>
    <row r="6509" ht="15" customHeight="1">
      <c r="A6509" t="inlineStr">
        <is>
          <t>A 2610-2024</t>
        </is>
      </c>
      <c r="B6509" s="1" t="n">
        <v>45313.7837037037</v>
      </c>
      <c r="C6509" s="1" t="n">
        <v>45952</v>
      </c>
      <c r="D6509" t="inlineStr">
        <is>
          <t>VÄSTRA GÖTALANDS LÄN</t>
        </is>
      </c>
      <c r="E6509" t="inlineStr">
        <is>
          <t>TRANEMO</t>
        </is>
      </c>
      <c r="G6509" t="n">
        <v>1.3</v>
      </c>
      <c r="H6509" t="n">
        <v>0</v>
      </c>
      <c r="I6509" t="n">
        <v>0</v>
      </c>
      <c r="J6509" t="n">
        <v>0</v>
      </c>
      <c r="K6509" t="n">
        <v>0</v>
      </c>
      <c r="L6509" t="n">
        <v>0</v>
      </c>
      <c r="M6509" t="n">
        <v>0</v>
      </c>
      <c r="N6509" t="n">
        <v>0</v>
      </c>
      <c r="O6509" t="n">
        <v>0</v>
      </c>
      <c r="P6509" t="n">
        <v>0</v>
      </c>
      <c r="Q6509" t="n">
        <v>0</v>
      </c>
      <c r="R6509" s="2" t="inlineStr"/>
    </row>
    <row r="6510" ht="15" customHeight="1">
      <c r="A6510" t="inlineStr">
        <is>
          <t>A 2632-2024</t>
        </is>
      </c>
      <c r="B6510" s="1" t="n">
        <v>45313.97175925926</v>
      </c>
      <c r="C6510" s="1" t="n">
        <v>45952</v>
      </c>
      <c r="D6510" t="inlineStr">
        <is>
          <t>VÄSTRA GÖTALANDS LÄN</t>
        </is>
      </c>
      <c r="E6510" t="inlineStr">
        <is>
          <t>ORUST</t>
        </is>
      </c>
      <c r="G6510" t="n">
        <v>8.199999999999999</v>
      </c>
      <c r="H6510" t="n">
        <v>0</v>
      </c>
      <c r="I6510" t="n">
        <v>0</v>
      </c>
      <c r="J6510" t="n">
        <v>0</v>
      </c>
      <c r="K6510" t="n">
        <v>0</v>
      </c>
      <c r="L6510" t="n">
        <v>0</v>
      </c>
      <c r="M6510" t="n">
        <v>0</v>
      </c>
      <c r="N6510" t="n">
        <v>0</v>
      </c>
      <c r="O6510" t="n">
        <v>0</v>
      </c>
      <c r="P6510" t="n">
        <v>0</v>
      </c>
      <c r="Q6510" t="n">
        <v>0</v>
      </c>
      <c r="R6510" s="2" t="inlineStr"/>
    </row>
    <row r="6511" ht="15" customHeight="1">
      <c r="A6511" t="inlineStr">
        <is>
          <t>A 38743-2025</t>
        </is>
      </c>
      <c r="B6511" s="1" t="n">
        <v>45887.37728009259</v>
      </c>
      <c r="C6511" s="1" t="n">
        <v>45952</v>
      </c>
      <c r="D6511" t="inlineStr">
        <is>
          <t>VÄSTRA GÖTALANDS LÄN</t>
        </is>
      </c>
      <c r="E6511" t="inlineStr">
        <is>
          <t>LERUM</t>
        </is>
      </c>
      <c r="G6511" t="n">
        <v>0.3</v>
      </c>
      <c r="H6511" t="n">
        <v>0</v>
      </c>
      <c r="I6511" t="n">
        <v>0</v>
      </c>
      <c r="J6511" t="n">
        <v>0</v>
      </c>
      <c r="K6511" t="n">
        <v>0</v>
      </c>
      <c r="L6511" t="n">
        <v>0</v>
      </c>
      <c r="M6511" t="n">
        <v>0</v>
      </c>
      <c r="N6511" t="n">
        <v>0</v>
      </c>
      <c r="O6511" t="n">
        <v>0</v>
      </c>
      <c r="P6511" t="n">
        <v>0</v>
      </c>
      <c r="Q6511" t="n">
        <v>0</v>
      </c>
      <c r="R6511" s="2" t="inlineStr"/>
    </row>
    <row r="6512" ht="15" customHeight="1">
      <c r="A6512" t="inlineStr">
        <is>
          <t>A 27652-2022</t>
        </is>
      </c>
      <c r="B6512" s="1" t="n">
        <v>44743</v>
      </c>
      <c r="C6512" s="1" t="n">
        <v>45952</v>
      </c>
      <c r="D6512" t="inlineStr">
        <is>
          <t>VÄSTRA GÖTALANDS LÄN</t>
        </is>
      </c>
      <c r="E6512" t="inlineStr">
        <is>
          <t>TROLLHÄTTAN</t>
        </is>
      </c>
      <c r="G6512" t="n">
        <v>9.1</v>
      </c>
      <c r="H6512" t="n">
        <v>0</v>
      </c>
      <c r="I6512" t="n">
        <v>0</v>
      </c>
      <c r="J6512" t="n">
        <v>0</v>
      </c>
      <c r="K6512" t="n">
        <v>0</v>
      </c>
      <c r="L6512" t="n">
        <v>0</v>
      </c>
      <c r="M6512" t="n">
        <v>0</v>
      </c>
      <c r="N6512" t="n">
        <v>0</v>
      </c>
      <c r="O6512" t="n">
        <v>0</v>
      </c>
      <c r="P6512" t="n">
        <v>0</v>
      </c>
      <c r="Q6512" t="n">
        <v>0</v>
      </c>
      <c r="R6512" s="2" t="inlineStr"/>
    </row>
    <row r="6513" ht="15" customHeight="1">
      <c r="A6513" t="inlineStr">
        <is>
          <t>A 55385-2020</t>
        </is>
      </c>
      <c r="B6513" s="1" t="n">
        <v>44131</v>
      </c>
      <c r="C6513" s="1" t="n">
        <v>45952</v>
      </c>
      <c r="D6513" t="inlineStr">
        <is>
          <t>VÄSTRA GÖTALANDS LÄN</t>
        </is>
      </c>
      <c r="E6513" t="inlineStr">
        <is>
          <t>MARK</t>
        </is>
      </c>
      <c r="G6513" t="n">
        <v>3.3</v>
      </c>
      <c r="H6513" t="n">
        <v>0</v>
      </c>
      <c r="I6513" t="n">
        <v>0</v>
      </c>
      <c r="J6513" t="n">
        <v>0</v>
      </c>
      <c r="K6513" t="n">
        <v>0</v>
      </c>
      <c r="L6513" t="n">
        <v>0</v>
      </c>
      <c r="M6513" t="n">
        <v>0</v>
      </c>
      <c r="N6513" t="n">
        <v>0</v>
      </c>
      <c r="O6513" t="n">
        <v>0</v>
      </c>
      <c r="P6513" t="n">
        <v>0</v>
      </c>
      <c r="Q6513" t="n">
        <v>0</v>
      </c>
      <c r="R6513" s="2" t="inlineStr"/>
    </row>
    <row r="6514" ht="15" customHeight="1">
      <c r="A6514" t="inlineStr">
        <is>
          <t>A 55413-2020</t>
        </is>
      </c>
      <c r="B6514" s="1" t="n">
        <v>44131</v>
      </c>
      <c r="C6514" s="1" t="n">
        <v>45952</v>
      </c>
      <c r="D6514" t="inlineStr">
        <is>
          <t>VÄSTRA GÖTALANDS LÄN</t>
        </is>
      </c>
      <c r="E6514" t="inlineStr">
        <is>
          <t>TRANEMO</t>
        </is>
      </c>
      <c r="G6514" t="n">
        <v>1.1</v>
      </c>
      <c r="H6514" t="n">
        <v>0</v>
      </c>
      <c r="I6514" t="n">
        <v>0</v>
      </c>
      <c r="J6514" t="n">
        <v>0</v>
      </c>
      <c r="K6514" t="n">
        <v>0</v>
      </c>
      <c r="L6514" t="n">
        <v>0</v>
      </c>
      <c r="M6514" t="n">
        <v>0</v>
      </c>
      <c r="N6514" t="n">
        <v>0</v>
      </c>
      <c r="O6514" t="n">
        <v>0</v>
      </c>
      <c r="P6514" t="n">
        <v>0</v>
      </c>
      <c r="Q6514" t="n">
        <v>0</v>
      </c>
      <c r="R6514" s="2" t="inlineStr"/>
    </row>
    <row r="6515" ht="15" customHeight="1">
      <c r="A6515" t="inlineStr">
        <is>
          <t>A 9021-2024</t>
        </is>
      </c>
      <c r="B6515" s="1" t="n">
        <v>45356</v>
      </c>
      <c r="C6515" s="1" t="n">
        <v>45952</v>
      </c>
      <c r="D6515" t="inlineStr">
        <is>
          <t>VÄSTRA GÖTALANDS LÄN</t>
        </is>
      </c>
      <c r="E6515" t="inlineStr">
        <is>
          <t>MUNKEDAL</t>
        </is>
      </c>
      <c r="F6515" t="inlineStr">
        <is>
          <t>Övriga Aktiebolag</t>
        </is>
      </c>
      <c r="G6515" t="n">
        <v>0.7</v>
      </c>
      <c r="H6515" t="n">
        <v>0</v>
      </c>
      <c r="I6515" t="n">
        <v>0</v>
      </c>
      <c r="J6515" t="n">
        <v>0</v>
      </c>
      <c r="K6515" t="n">
        <v>0</v>
      </c>
      <c r="L6515" t="n">
        <v>0</v>
      </c>
      <c r="M6515" t="n">
        <v>0</v>
      </c>
      <c r="N6515" t="n">
        <v>0</v>
      </c>
      <c r="O6515" t="n">
        <v>0</v>
      </c>
      <c r="P6515" t="n">
        <v>0</v>
      </c>
      <c r="Q6515" t="n">
        <v>0</v>
      </c>
      <c r="R6515" s="2" t="inlineStr"/>
    </row>
    <row r="6516" ht="15" customHeight="1">
      <c r="A6516" t="inlineStr">
        <is>
          <t>A 65095-2023</t>
        </is>
      </c>
      <c r="B6516" s="1" t="n">
        <v>45288.40486111111</v>
      </c>
      <c r="C6516" s="1" t="n">
        <v>45952</v>
      </c>
      <c r="D6516" t="inlineStr">
        <is>
          <t>VÄSTRA GÖTALANDS LÄN</t>
        </is>
      </c>
      <c r="E6516" t="inlineStr">
        <is>
          <t>SKARA</t>
        </is>
      </c>
      <c r="G6516" t="n">
        <v>0.4</v>
      </c>
      <c r="H6516" t="n">
        <v>0</v>
      </c>
      <c r="I6516" t="n">
        <v>0</v>
      </c>
      <c r="J6516" t="n">
        <v>0</v>
      </c>
      <c r="K6516" t="n">
        <v>0</v>
      </c>
      <c r="L6516" t="n">
        <v>0</v>
      </c>
      <c r="M6516" t="n">
        <v>0</v>
      </c>
      <c r="N6516" t="n">
        <v>0</v>
      </c>
      <c r="O6516" t="n">
        <v>0</v>
      </c>
      <c r="P6516" t="n">
        <v>0</v>
      </c>
      <c r="Q6516" t="n">
        <v>0</v>
      </c>
      <c r="R6516" s="2" t="inlineStr"/>
    </row>
    <row r="6517" ht="15" customHeight="1">
      <c r="A6517" t="inlineStr">
        <is>
          <t>A 38056-2024</t>
        </is>
      </c>
      <c r="B6517" s="1" t="n">
        <v>45544.72979166666</v>
      </c>
      <c r="C6517" s="1" t="n">
        <v>45952</v>
      </c>
      <c r="D6517" t="inlineStr">
        <is>
          <t>VÄSTRA GÖTALANDS LÄN</t>
        </is>
      </c>
      <c r="E6517" t="inlineStr">
        <is>
          <t>ULRICEHAMN</t>
        </is>
      </c>
      <c r="G6517" t="n">
        <v>1.8</v>
      </c>
      <c r="H6517" t="n">
        <v>0</v>
      </c>
      <c r="I6517" t="n">
        <v>0</v>
      </c>
      <c r="J6517" t="n">
        <v>0</v>
      </c>
      <c r="K6517" t="n">
        <v>0</v>
      </c>
      <c r="L6517" t="n">
        <v>0</v>
      </c>
      <c r="M6517" t="n">
        <v>0</v>
      </c>
      <c r="N6517" t="n">
        <v>0</v>
      </c>
      <c r="O6517" t="n">
        <v>0</v>
      </c>
      <c r="P6517" t="n">
        <v>0</v>
      </c>
      <c r="Q6517" t="n">
        <v>0</v>
      </c>
      <c r="R6517" s="2" t="inlineStr"/>
    </row>
    <row r="6518" ht="15" customHeight="1">
      <c r="A6518" t="inlineStr">
        <is>
          <t>A 16745-2023</t>
        </is>
      </c>
      <c r="B6518" s="1" t="n">
        <v>45030.83834490741</v>
      </c>
      <c r="C6518" s="1" t="n">
        <v>45952</v>
      </c>
      <c r="D6518" t="inlineStr">
        <is>
          <t>VÄSTRA GÖTALANDS LÄN</t>
        </is>
      </c>
      <c r="E6518" t="inlineStr">
        <is>
          <t>MELLERUD</t>
        </is>
      </c>
      <c r="G6518" t="n">
        <v>1.9</v>
      </c>
      <c r="H6518" t="n">
        <v>0</v>
      </c>
      <c r="I6518" t="n">
        <v>0</v>
      </c>
      <c r="J6518" t="n">
        <v>0</v>
      </c>
      <c r="K6518" t="n">
        <v>0</v>
      </c>
      <c r="L6518" t="n">
        <v>0</v>
      </c>
      <c r="M6518" t="n">
        <v>0</v>
      </c>
      <c r="N6518" t="n">
        <v>0</v>
      </c>
      <c r="O6518" t="n">
        <v>0</v>
      </c>
      <c r="P6518" t="n">
        <v>0</v>
      </c>
      <c r="Q6518" t="n">
        <v>0</v>
      </c>
      <c r="R6518" s="2" t="inlineStr"/>
    </row>
    <row r="6519" ht="15" customHeight="1">
      <c r="A6519" t="inlineStr">
        <is>
          <t>A 22402-2024</t>
        </is>
      </c>
      <c r="B6519" s="1" t="n">
        <v>45446.6730787037</v>
      </c>
      <c r="C6519" s="1" t="n">
        <v>45952</v>
      </c>
      <c r="D6519" t="inlineStr">
        <is>
          <t>VÄSTRA GÖTALANDS LÄN</t>
        </is>
      </c>
      <c r="E6519" t="inlineStr">
        <is>
          <t>VÄNERSBORG</t>
        </is>
      </c>
      <c r="G6519" t="n">
        <v>5.4</v>
      </c>
      <c r="H6519" t="n">
        <v>0</v>
      </c>
      <c r="I6519" t="n">
        <v>0</v>
      </c>
      <c r="J6519" t="n">
        <v>0</v>
      </c>
      <c r="K6519" t="n">
        <v>0</v>
      </c>
      <c r="L6519" t="n">
        <v>0</v>
      </c>
      <c r="M6519" t="n">
        <v>0</v>
      </c>
      <c r="N6519" t="n">
        <v>0</v>
      </c>
      <c r="O6519" t="n">
        <v>0</v>
      </c>
      <c r="P6519" t="n">
        <v>0</v>
      </c>
      <c r="Q6519" t="n">
        <v>0</v>
      </c>
      <c r="R6519" s="2" t="inlineStr"/>
    </row>
    <row r="6520" ht="15" customHeight="1">
      <c r="A6520" t="inlineStr">
        <is>
          <t>A 868-2024</t>
        </is>
      </c>
      <c r="B6520" s="1" t="n">
        <v>45301.32887731482</v>
      </c>
      <c r="C6520" s="1" t="n">
        <v>45952</v>
      </c>
      <c r="D6520" t="inlineStr">
        <is>
          <t>VÄSTRA GÖTALANDS LÄN</t>
        </is>
      </c>
      <c r="E6520" t="inlineStr">
        <is>
          <t>TRANEMO</t>
        </is>
      </c>
      <c r="G6520" t="n">
        <v>1.1</v>
      </c>
      <c r="H6520" t="n">
        <v>0</v>
      </c>
      <c r="I6520" t="n">
        <v>0</v>
      </c>
      <c r="J6520" t="n">
        <v>0</v>
      </c>
      <c r="K6520" t="n">
        <v>0</v>
      </c>
      <c r="L6520" t="n">
        <v>0</v>
      </c>
      <c r="M6520" t="n">
        <v>0</v>
      </c>
      <c r="N6520" t="n">
        <v>0</v>
      </c>
      <c r="O6520" t="n">
        <v>0</v>
      </c>
      <c r="P6520" t="n">
        <v>0</v>
      </c>
      <c r="Q6520" t="n">
        <v>0</v>
      </c>
      <c r="R6520" s="2" t="inlineStr"/>
    </row>
    <row r="6521" ht="15" customHeight="1">
      <c r="A6521" t="inlineStr">
        <is>
          <t>A 16746-2023</t>
        </is>
      </c>
      <c r="B6521" s="1" t="n">
        <v>45030.84126157407</v>
      </c>
      <c r="C6521" s="1" t="n">
        <v>45952</v>
      </c>
      <c r="D6521" t="inlineStr">
        <is>
          <t>VÄSTRA GÖTALANDS LÄN</t>
        </is>
      </c>
      <c r="E6521" t="inlineStr">
        <is>
          <t>MELLERUD</t>
        </is>
      </c>
      <c r="G6521" t="n">
        <v>1.2</v>
      </c>
      <c r="H6521" t="n">
        <v>0</v>
      </c>
      <c r="I6521" t="n">
        <v>0</v>
      </c>
      <c r="J6521" t="n">
        <v>0</v>
      </c>
      <c r="K6521" t="n">
        <v>0</v>
      </c>
      <c r="L6521" t="n">
        <v>0</v>
      </c>
      <c r="M6521" t="n">
        <v>0</v>
      </c>
      <c r="N6521" t="n">
        <v>0</v>
      </c>
      <c r="O6521" t="n">
        <v>0</v>
      </c>
      <c r="P6521" t="n">
        <v>0</v>
      </c>
      <c r="Q6521" t="n">
        <v>0</v>
      </c>
      <c r="R6521" s="2" t="inlineStr"/>
    </row>
    <row r="6522" ht="15" customHeight="1">
      <c r="A6522" t="inlineStr">
        <is>
          <t>A 50366-2024</t>
        </is>
      </c>
      <c r="B6522" s="1" t="n">
        <v>45600.87225694444</v>
      </c>
      <c r="C6522" s="1" t="n">
        <v>45952</v>
      </c>
      <c r="D6522" t="inlineStr">
        <is>
          <t>VÄSTRA GÖTALANDS LÄN</t>
        </is>
      </c>
      <c r="E6522" t="inlineStr">
        <is>
          <t>ESSUNGA</t>
        </is>
      </c>
      <c r="G6522" t="n">
        <v>1.4</v>
      </c>
      <c r="H6522" t="n">
        <v>0</v>
      </c>
      <c r="I6522" t="n">
        <v>0</v>
      </c>
      <c r="J6522" t="n">
        <v>0</v>
      </c>
      <c r="K6522" t="n">
        <v>0</v>
      </c>
      <c r="L6522" t="n">
        <v>0</v>
      </c>
      <c r="M6522" t="n">
        <v>0</v>
      </c>
      <c r="N6522" t="n">
        <v>0</v>
      </c>
      <c r="O6522" t="n">
        <v>0</v>
      </c>
      <c r="P6522" t="n">
        <v>0</v>
      </c>
      <c r="Q6522" t="n">
        <v>0</v>
      </c>
      <c r="R6522" s="2" t="inlineStr"/>
    </row>
    <row r="6523" ht="15" customHeight="1">
      <c r="A6523" t="inlineStr">
        <is>
          <t>A 57256-2022</t>
        </is>
      </c>
      <c r="B6523" s="1" t="n">
        <v>44895.78923611111</v>
      </c>
      <c r="C6523" s="1" t="n">
        <v>45952</v>
      </c>
      <c r="D6523" t="inlineStr">
        <is>
          <t>VÄSTRA GÖTALANDS LÄN</t>
        </is>
      </c>
      <c r="E6523" t="inlineStr">
        <is>
          <t>VARA</t>
        </is>
      </c>
      <c r="G6523" t="n">
        <v>2.6</v>
      </c>
      <c r="H6523" t="n">
        <v>0</v>
      </c>
      <c r="I6523" t="n">
        <v>0</v>
      </c>
      <c r="J6523" t="n">
        <v>0</v>
      </c>
      <c r="K6523" t="n">
        <v>0</v>
      </c>
      <c r="L6523" t="n">
        <v>0</v>
      </c>
      <c r="M6523" t="n">
        <v>0</v>
      </c>
      <c r="N6523" t="n">
        <v>0</v>
      </c>
      <c r="O6523" t="n">
        <v>0</v>
      </c>
      <c r="P6523" t="n">
        <v>0</v>
      </c>
      <c r="Q6523" t="n">
        <v>0</v>
      </c>
      <c r="R6523" s="2" t="inlineStr"/>
    </row>
    <row r="6524" ht="15" customHeight="1">
      <c r="A6524" t="inlineStr">
        <is>
          <t>A 57257-2022</t>
        </is>
      </c>
      <c r="B6524" s="1" t="n">
        <v>44895.79283564815</v>
      </c>
      <c r="C6524" s="1" t="n">
        <v>45952</v>
      </c>
      <c r="D6524" t="inlineStr">
        <is>
          <t>VÄSTRA GÖTALANDS LÄN</t>
        </is>
      </c>
      <c r="E6524" t="inlineStr">
        <is>
          <t>VARA</t>
        </is>
      </c>
      <c r="G6524" t="n">
        <v>1.5</v>
      </c>
      <c r="H6524" t="n">
        <v>0</v>
      </c>
      <c r="I6524" t="n">
        <v>0</v>
      </c>
      <c r="J6524" t="n">
        <v>0</v>
      </c>
      <c r="K6524" t="n">
        <v>0</v>
      </c>
      <c r="L6524" t="n">
        <v>0</v>
      </c>
      <c r="M6524" t="n">
        <v>0</v>
      </c>
      <c r="N6524" t="n">
        <v>0</v>
      </c>
      <c r="O6524" t="n">
        <v>0</v>
      </c>
      <c r="P6524" t="n">
        <v>0</v>
      </c>
      <c r="Q6524" t="n">
        <v>0</v>
      </c>
      <c r="R6524" s="2" t="inlineStr"/>
    </row>
    <row r="6525" ht="15" customHeight="1">
      <c r="A6525" t="inlineStr">
        <is>
          <t>A 36929-2023</t>
        </is>
      </c>
      <c r="B6525" s="1" t="n">
        <v>45153</v>
      </c>
      <c r="C6525" s="1" t="n">
        <v>45952</v>
      </c>
      <c r="D6525" t="inlineStr">
        <is>
          <t>VÄSTRA GÖTALANDS LÄN</t>
        </is>
      </c>
      <c r="E6525" t="inlineStr">
        <is>
          <t>TANUM</t>
        </is>
      </c>
      <c r="G6525" t="n">
        <v>2.3</v>
      </c>
      <c r="H6525" t="n">
        <v>0</v>
      </c>
      <c r="I6525" t="n">
        <v>0</v>
      </c>
      <c r="J6525" t="n">
        <v>0</v>
      </c>
      <c r="K6525" t="n">
        <v>0</v>
      </c>
      <c r="L6525" t="n">
        <v>0</v>
      </c>
      <c r="M6525" t="n">
        <v>0</v>
      </c>
      <c r="N6525" t="n">
        <v>0</v>
      </c>
      <c r="O6525" t="n">
        <v>0</v>
      </c>
      <c r="P6525" t="n">
        <v>0</v>
      </c>
      <c r="Q6525" t="n">
        <v>0</v>
      </c>
      <c r="R6525" s="2" t="inlineStr"/>
    </row>
    <row r="6526" ht="15" customHeight="1">
      <c r="A6526" t="inlineStr">
        <is>
          <t>A 15046-2024</t>
        </is>
      </c>
      <c r="B6526" s="1" t="n">
        <v>45399</v>
      </c>
      <c r="C6526" s="1" t="n">
        <v>45952</v>
      </c>
      <c r="D6526" t="inlineStr">
        <is>
          <t>VÄSTRA GÖTALANDS LÄN</t>
        </is>
      </c>
      <c r="E6526" t="inlineStr">
        <is>
          <t>FÄRGELANDA</t>
        </is>
      </c>
      <c r="G6526" t="n">
        <v>0.8</v>
      </c>
      <c r="H6526" t="n">
        <v>0</v>
      </c>
      <c r="I6526" t="n">
        <v>0</v>
      </c>
      <c r="J6526" t="n">
        <v>0</v>
      </c>
      <c r="K6526" t="n">
        <v>0</v>
      </c>
      <c r="L6526" t="n">
        <v>0</v>
      </c>
      <c r="M6526" t="n">
        <v>0</v>
      </c>
      <c r="N6526" t="n">
        <v>0</v>
      </c>
      <c r="O6526" t="n">
        <v>0</v>
      </c>
      <c r="P6526" t="n">
        <v>0</v>
      </c>
      <c r="Q6526" t="n">
        <v>0</v>
      </c>
      <c r="R6526" s="2" t="inlineStr"/>
    </row>
    <row r="6527" ht="15" customHeight="1">
      <c r="A6527" t="inlineStr">
        <is>
          <t>A 44072-2024</t>
        </is>
      </c>
      <c r="B6527" s="1" t="n">
        <v>45572.61049768519</v>
      </c>
      <c r="C6527" s="1" t="n">
        <v>45952</v>
      </c>
      <c r="D6527" t="inlineStr">
        <is>
          <t>VÄSTRA GÖTALANDS LÄN</t>
        </is>
      </c>
      <c r="E6527" t="inlineStr">
        <is>
          <t>TRANEMO</t>
        </is>
      </c>
      <c r="G6527" t="n">
        <v>2.7</v>
      </c>
      <c r="H6527" t="n">
        <v>0</v>
      </c>
      <c r="I6527" t="n">
        <v>0</v>
      </c>
      <c r="J6527" t="n">
        <v>0</v>
      </c>
      <c r="K6527" t="n">
        <v>0</v>
      </c>
      <c r="L6527" t="n">
        <v>0</v>
      </c>
      <c r="M6527" t="n">
        <v>0</v>
      </c>
      <c r="N6527" t="n">
        <v>0</v>
      </c>
      <c r="O6527" t="n">
        <v>0</v>
      </c>
      <c r="P6527" t="n">
        <v>0</v>
      </c>
      <c r="Q6527" t="n">
        <v>0</v>
      </c>
      <c r="R6527" s="2" t="inlineStr"/>
    </row>
    <row r="6528" ht="15" customHeight="1">
      <c r="A6528" t="inlineStr">
        <is>
          <t>A 15080-2024</t>
        </is>
      </c>
      <c r="B6528" s="1" t="n">
        <v>45399.6205787037</v>
      </c>
      <c r="C6528" s="1" t="n">
        <v>45952</v>
      </c>
      <c r="D6528" t="inlineStr">
        <is>
          <t>VÄSTRA GÖTALANDS LÄN</t>
        </is>
      </c>
      <c r="E6528" t="inlineStr">
        <is>
          <t>BENGTSFORS</t>
        </is>
      </c>
      <c r="G6528" t="n">
        <v>0.5</v>
      </c>
      <c r="H6528" t="n">
        <v>0</v>
      </c>
      <c r="I6528" t="n">
        <v>0</v>
      </c>
      <c r="J6528" t="n">
        <v>0</v>
      </c>
      <c r="K6528" t="n">
        <v>0</v>
      </c>
      <c r="L6528" t="n">
        <v>0</v>
      </c>
      <c r="M6528" t="n">
        <v>0</v>
      </c>
      <c r="N6528" t="n">
        <v>0</v>
      </c>
      <c r="O6528" t="n">
        <v>0</v>
      </c>
      <c r="P6528" t="n">
        <v>0</v>
      </c>
      <c r="Q6528" t="n">
        <v>0</v>
      </c>
      <c r="R6528" s="2" t="inlineStr"/>
    </row>
    <row r="6529" ht="15" customHeight="1">
      <c r="A6529" t="inlineStr">
        <is>
          <t>A 16177-2024</t>
        </is>
      </c>
      <c r="B6529" s="1" t="n">
        <v>45406.64324074074</v>
      </c>
      <c r="C6529" s="1" t="n">
        <v>45952</v>
      </c>
      <c r="D6529" t="inlineStr">
        <is>
          <t>VÄSTRA GÖTALANDS LÄN</t>
        </is>
      </c>
      <c r="E6529" t="inlineStr">
        <is>
          <t>BORÅS</t>
        </is>
      </c>
      <c r="G6529" t="n">
        <v>1.8</v>
      </c>
      <c r="H6529" t="n">
        <v>0</v>
      </c>
      <c r="I6529" t="n">
        <v>0</v>
      </c>
      <c r="J6529" t="n">
        <v>0</v>
      </c>
      <c r="K6529" t="n">
        <v>0</v>
      </c>
      <c r="L6529" t="n">
        <v>0</v>
      </c>
      <c r="M6529" t="n">
        <v>0</v>
      </c>
      <c r="N6529" t="n">
        <v>0</v>
      </c>
      <c r="O6529" t="n">
        <v>0</v>
      </c>
      <c r="P6529" t="n">
        <v>0</v>
      </c>
      <c r="Q6529" t="n">
        <v>0</v>
      </c>
      <c r="R6529" s="2" t="inlineStr"/>
    </row>
    <row r="6530" ht="15" customHeight="1">
      <c r="A6530" t="inlineStr">
        <is>
          <t>A 56194-2024</t>
        </is>
      </c>
      <c r="B6530" s="1" t="n">
        <v>45624.58861111111</v>
      </c>
      <c r="C6530" s="1" t="n">
        <v>45952</v>
      </c>
      <c r="D6530" t="inlineStr">
        <is>
          <t>VÄSTRA GÖTALANDS LÄN</t>
        </is>
      </c>
      <c r="E6530" t="inlineStr">
        <is>
          <t>MARK</t>
        </is>
      </c>
      <c r="G6530" t="n">
        <v>5.6</v>
      </c>
      <c r="H6530" t="n">
        <v>0</v>
      </c>
      <c r="I6530" t="n">
        <v>0</v>
      </c>
      <c r="J6530" t="n">
        <v>0</v>
      </c>
      <c r="K6530" t="n">
        <v>0</v>
      </c>
      <c r="L6530" t="n">
        <v>0</v>
      </c>
      <c r="M6530" t="n">
        <v>0</v>
      </c>
      <c r="N6530" t="n">
        <v>0</v>
      </c>
      <c r="O6530" t="n">
        <v>0</v>
      </c>
      <c r="P6530" t="n">
        <v>0</v>
      </c>
      <c r="Q6530" t="n">
        <v>0</v>
      </c>
      <c r="R6530" s="2" t="inlineStr"/>
    </row>
    <row r="6531" ht="15" customHeight="1">
      <c r="A6531" t="inlineStr">
        <is>
          <t>A 29707-2022</t>
        </is>
      </c>
      <c r="B6531" s="1" t="n">
        <v>44755.41650462963</v>
      </c>
      <c r="C6531" s="1" t="n">
        <v>45952</v>
      </c>
      <c r="D6531" t="inlineStr">
        <is>
          <t>VÄSTRA GÖTALANDS LÄN</t>
        </is>
      </c>
      <c r="E6531" t="inlineStr">
        <is>
          <t>MUNKEDAL</t>
        </is>
      </c>
      <c r="G6531" t="n">
        <v>4.9</v>
      </c>
      <c r="H6531" t="n">
        <v>0</v>
      </c>
      <c r="I6531" t="n">
        <v>0</v>
      </c>
      <c r="J6531" t="n">
        <v>0</v>
      </c>
      <c r="K6531" t="n">
        <v>0</v>
      </c>
      <c r="L6531" t="n">
        <v>0</v>
      </c>
      <c r="M6531" t="n">
        <v>0</v>
      </c>
      <c r="N6531" t="n">
        <v>0</v>
      </c>
      <c r="O6531" t="n">
        <v>0</v>
      </c>
      <c r="P6531" t="n">
        <v>0</v>
      </c>
      <c r="Q6531" t="n">
        <v>0</v>
      </c>
      <c r="R6531" s="2" t="inlineStr"/>
    </row>
    <row r="6532" ht="15" customHeight="1">
      <c r="A6532" t="inlineStr">
        <is>
          <t>A 56221-2024</t>
        </is>
      </c>
      <c r="B6532" s="1" t="n">
        <v>45624.60966435185</v>
      </c>
      <c r="C6532" s="1" t="n">
        <v>45952</v>
      </c>
      <c r="D6532" t="inlineStr">
        <is>
          <t>VÄSTRA GÖTALANDS LÄN</t>
        </is>
      </c>
      <c r="E6532" t="inlineStr">
        <is>
          <t>MARK</t>
        </is>
      </c>
      <c r="G6532" t="n">
        <v>1.1</v>
      </c>
      <c r="H6532" t="n">
        <v>0</v>
      </c>
      <c r="I6532" t="n">
        <v>0</v>
      </c>
      <c r="J6532" t="n">
        <v>0</v>
      </c>
      <c r="K6532" t="n">
        <v>0</v>
      </c>
      <c r="L6532" t="n">
        <v>0</v>
      </c>
      <c r="M6532" t="n">
        <v>0</v>
      </c>
      <c r="N6532" t="n">
        <v>0</v>
      </c>
      <c r="O6532" t="n">
        <v>0</v>
      </c>
      <c r="P6532" t="n">
        <v>0</v>
      </c>
      <c r="Q6532" t="n">
        <v>0</v>
      </c>
      <c r="R6532" s="2" t="inlineStr"/>
    </row>
    <row r="6533" ht="15" customHeight="1">
      <c r="A6533" t="inlineStr">
        <is>
          <t>A 37510-2023</t>
        </is>
      </c>
      <c r="B6533" s="1" t="n">
        <v>45158</v>
      </c>
      <c r="C6533" s="1" t="n">
        <v>45952</v>
      </c>
      <c r="D6533" t="inlineStr">
        <is>
          <t>VÄSTRA GÖTALANDS LÄN</t>
        </is>
      </c>
      <c r="E6533" t="inlineStr">
        <is>
          <t>LILLA EDET</t>
        </is>
      </c>
      <c r="G6533" t="n">
        <v>2.1</v>
      </c>
      <c r="H6533" t="n">
        <v>0</v>
      </c>
      <c r="I6533" t="n">
        <v>0</v>
      </c>
      <c r="J6533" t="n">
        <v>0</v>
      </c>
      <c r="K6533" t="n">
        <v>0</v>
      </c>
      <c r="L6533" t="n">
        <v>0</v>
      </c>
      <c r="M6533" t="n">
        <v>0</v>
      </c>
      <c r="N6533" t="n">
        <v>0</v>
      </c>
      <c r="O6533" t="n">
        <v>0</v>
      </c>
      <c r="P6533" t="n">
        <v>0</v>
      </c>
      <c r="Q6533" t="n">
        <v>0</v>
      </c>
      <c r="R6533" s="2" t="inlineStr"/>
    </row>
    <row r="6534" ht="15" customHeight="1">
      <c r="A6534" t="inlineStr">
        <is>
          <t>A 37515-2023</t>
        </is>
      </c>
      <c r="B6534" s="1" t="n">
        <v>45158.5971412037</v>
      </c>
      <c r="C6534" s="1" t="n">
        <v>45952</v>
      </c>
      <c r="D6534" t="inlineStr">
        <is>
          <t>VÄSTRA GÖTALANDS LÄN</t>
        </is>
      </c>
      <c r="E6534" t="inlineStr">
        <is>
          <t>ULRICEHAMN</t>
        </is>
      </c>
      <c r="G6534" t="n">
        <v>2.8</v>
      </c>
      <c r="H6534" t="n">
        <v>0</v>
      </c>
      <c r="I6534" t="n">
        <v>0</v>
      </c>
      <c r="J6534" t="n">
        <v>0</v>
      </c>
      <c r="K6534" t="n">
        <v>0</v>
      </c>
      <c r="L6534" t="n">
        <v>0</v>
      </c>
      <c r="M6534" t="n">
        <v>0</v>
      </c>
      <c r="N6534" t="n">
        <v>0</v>
      </c>
      <c r="O6534" t="n">
        <v>0</v>
      </c>
      <c r="P6534" t="n">
        <v>0</v>
      </c>
      <c r="Q6534" t="n">
        <v>0</v>
      </c>
      <c r="R6534" s="2" t="inlineStr"/>
    </row>
    <row r="6535" ht="15" customHeight="1">
      <c r="A6535" t="inlineStr">
        <is>
          <t>A 3352-2025</t>
        </is>
      </c>
      <c r="B6535" s="1" t="n">
        <v>45679.87385416667</v>
      </c>
      <c r="C6535" s="1" t="n">
        <v>45952</v>
      </c>
      <c r="D6535" t="inlineStr">
        <is>
          <t>VÄSTRA GÖTALANDS LÄN</t>
        </is>
      </c>
      <c r="E6535" t="inlineStr">
        <is>
          <t>ALINGSÅS</t>
        </is>
      </c>
      <c r="G6535" t="n">
        <v>1.1</v>
      </c>
      <c r="H6535" t="n">
        <v>0</v>
      </c>
      <c r="I6535" t="n">
        <v>0</v>
      </c>
      <c r="J6535" t="n">
        <v>0</v>
      </c>
      <c r="K6535" t="n">
        <v>0</v>
      </c>
      <c r="L6535" t="n">
        <v>0</v>
      </c>
      <c r="M6535" t="n">
        <v>0</v>
      </c>
      <c r="N6535" t="n">
        <v>0</v>
      </c>
      <c r="O6535" t="n">
        <v>0</v>
      </c>
      <c r="P6535" t="n">
        <v>0</v>
      </c>
      <c r="Q6535" t="n">
        <v>0</v>
      </c>
      <c r="R6535" s="2" t="inlineStr"/>
    </row>
    <row r="6536" ht="15" customHeight="1">
      <c r="A6536" t="inlineStr">
        <is>
          <t>A 1550-2023</t>
        </is>
      </c>
      <c r="B6536" s="1" t="n">
        <v>44937.58658564815</v>
      </c>
      <c r="C6536" s="1" t="n">
        <v>45952</v>
      </c>
      <c r="D6536" t="inlineStr">
        <is>
          <t>VÄSTRA GÖTALANDS LÄN</t>
        </is>
      </c>
      <c r="E6536" t="inlineStr">
        <is>
          <t>TÖREBODA</t>
        </is>
      </c>
      <c r="F6536" t="inlineStr">
        <is>
          <t>Övriga statliga verk och myndigheter</t>
        </is>
      </c>
      <c r="G6536" t="n">
        <v>0.6</v>
      </c>
      <c r="H6536" t="n">
        <v>0</v>
      </c>
      <c r="I6536" t="n">
        <v>0</v>
      </c>
      <c r="J6536" t="n">
        <v>0</v>
      </c>
      <c r="K6536" t="n">
        <v>0</v>
      </c>
      <c r="L6536" t="n">
        <v>0</v>
      </c>
      <c r="M6536" t="n">
        <v>0</v>
      </c>
      <c r="N6536" t="n">
        <v>0</v>
      </c>
      <c r="O6536" t="n">
        <v>0</v>
      </c>
      <c r="P6536" t="n">
        <v>0</v>
      </c>
      <c r="Q6536" t="n">
        <v>0</v>
      </c>
      <c r="R6536" s="2" t="inlineStr"/>
    </row>
    <row r="6537" ht="15" customHeight="1">
      <c r="A6537" t="inlineStr">
        <is>
          <t>A 4634-2025</t>
        </is>
      </c>
      <c r="B6537" s="1" t="n">
        <v>45687.645</v>
      </c>
      <c r="C6537" s="1" t="n">
        <v>45952</v>
      </c>
      <c r="D6537" t="inlineStr">
        <is>
          <t>VÄSTRA GÖTALANDS LÄN</t>
        </is>
      </c>
      <c r="E6537" t="inlineStr">
        <is>
          <t>TIDAHOLM</t>
        </is>
      </c>
      <c r="G6537" t="n">
        <v>1.8</v>
      </c>
      <c r="H6537" t="n">
        <v>0</v>
      </c>
      <c r="I6537" t="n">
        <v>0</v>
      </c>
      <c r="J6537" t="n">
        <v>0</v>
      </c>
      <c r="K6537" t="n">
        <v>0</v>
      </c>
      <c r="L6537" t="n">
        <v>0</v>
      </c>
      <c r="M6537" t="n">
        <v>0</v>
      </c>
      <c r="N6537" t="n">
        <v>0</v>
      </c>
      <c r="O6537" t="n">
        <v>0</v>
      </c>
      <c r="P6537" t="n">
        <v>0</v>
      </c>
      <c r="Q6537" t="n">
        <v>0</v>
      </c>
      <c r="R6537" s="2" t="inlineStr"/>
    </row>
    <row r="6538" ht="15" customHeight="1">
      <c r="A6538" t="inlineStr">
        <is>
          <t>A 36835-2024</t>
        </is>
      </c>
      <c r="B6538" s="1" t="n">
        <v>45538.52260416667</v>
      </c>
      <c r="C6538" s="1" t="n">
        <v>45952</v>
      </c>
      <c r="D6538" t="inlineStr">
        <is>
          <t>VÄSTRA GÖTALANDS LÄN</t>
        </is>
      </c>
      <c r="E6538" t="inlineStr">
        <is>
          <t>LIDKÖPING</t>
        </is>
      </c>
      <c r="F6538" t="inlineStr">
        <is>
          <t>Kommuner</t>
        </is>
      </c>
      <c r="G6538" t="n">
        <v>2.4</v>
      </c>
      <c r="H6538" t="n">
        <v>0</v>
      </c>
      <c r="I6538" t="n">
        <v>0</v>
      </c>
      <c r="J6538" t="n">
        <v>0</v>
      </c>
      <c r="K6538" t="n">
        <v>0</v>
      </c>
      <c r="L6538" t="n">
        <v>0</v>
      </c>
      <c r="M6538" t="n">
        <v>0</v>
      </c>
      <c r="N6538" t="n">
        <v>0</v>
      </c>
      <c r="O6538" t="n">
        <v>0</v>
      </c>
      <c r="P6538" t="n">
        <v>0</v>
      </c>
      <c r="Q6538" t="n">
        <v>0</v>
      </c>
      <c r="R6538" s="2" t="inlineStr"/>
    </row>
    <row r="6539" ht="15" customHeight="1">
      <c r="A6539" t="inlineStr">
        <is>
          <t>A 36844-2024</t>
        </is>
      </c>
      <c r="B6539" s="1" t="n">
        <v>45538.54412037037</v>
      </c>
      <c r="C6539" s="1" t="n">
        <v>45952</v>
      </c>
      <c r="D6539" t="inlineStr">
        <is>
          <t>VÄSTRA GÖTALANDS LÄN</t>
        </is>
      </c>
      <c r="E6539" t="inlineStr">
        <is>
          <t>TANUM</t>
        </is>
      </c>
      <c r="G6539" t="n">
        <v>2.8</v>
      </c>
      <c r="H6539" t="n">
        <v>0</v>
      </c>
      <c r="I6539" t="n">
        <v>0</v>
      </c>
      <c r="J6539" t="n">
        <v>0</v>
      </c>
      <c r="K6539" t="n">
        <v>0</v>
      </c>
      <c r="L6539" t="n">
        <v>0</v>
      </c>
      <c r="M6539" t="n">
        <v>0</v>
      </c>
      <c r="N6539" t="n">
        <v>0</v>
      </c>
      <c r="O6539" t="n">
        <v>0</v>
      </c>
      <c r="P6539" t="n">
        <v>0</v>
      </c>
      <c r="Q6539" t="n">
        <v>0</v>
      </c>
      <c r="R6539" s="2" t="inlineStr"/>
    </row>
    <row r="6540" ht="15" customHeight="1">
      <c r="A6540" t="inlineStr">
        <is>
          <t>A 22984-2021</t>
        </is>
      </c>
      <c r="B6540" s="1" t="n">
        <v>44327</v>
      </c>
      <c r="C6540" s="1" t="n">
        <v>45952</v>
      </c>
      <c r="D6540" t="inlineStr">
        <is>
          <t>VÄSTRA GÖTALANDS LÄN</t>
        </is>
      </c>
      <c r="E6540" t="inlineStr">
        <is>
          <t>TRANEMO</t>
        </is>
      </c>
      <c r="G6540" t="n">
        <v>4.7</v>
      </c>
      <c r="H6540" t="n">
        <v>0</v>
      </c>
      <c r="I6540" t="n">
        <v>0</v>
      </c>
      <c r="J6540" t="n">
        <v>0</v>
      </c>
      <c r="K6540" t="n">
        <v>0</v>
      </c>
      <c r="L6540" t="n">
        <v>0</v>
      </c>
      <c r="M6540" t="n">
        <v>0</v>
      </c>
      <c r="N6540" t="n">
        <v>0</v>
      </c>
      <c r="O6540" t="n">
        <v>0</v>
      </c>
      <c r="P6540" t="n">
        <v>0</v>
      </c>
      <c r="Q6540" t="n">
        <v>0</v>
      </c>
      <c r="R6540" s="2" t="inlineStr"/>
    </row>
    <row r="6541" ht="15" customHeight="1">
      <c r="A6541" t="inlineStr">
        <is>
          <t>A 28733-2021</t>
        </is>
      </c>
      <c r="B6541" s="1" t="n">
        <v>44357</v>
      </c>
      <c r="C6541" s="1" t="n">
        <v>45952</v>
      </c>
      <c r="D6541" t="inlineStr">
        <is>
          <t>VÄSTRA GÖTALANDS LÄN</t>
        </is>
      </c>
      <c r="E6541" t="inlineStr">
        <is>
          <t>HERRLJUNGA</t>
        </is>
      </c>
      <c r="G6541" t="n">
        <v>1.9</v>
      </c>
      <c r="H6541" t="n">
        <v>0</v>
      </c>
      <c r="I6541" t="n">
        <v>0</v>
      </c>
      <c r="J6541" t="n">
        <v>0</v>
      </c>
      <c r="K6541" t="n">
        <v>0</v>
      </c>
      <c r="L6541" t="n">
        <v>0</v>
      </c>
      <c r="M6541" t="n">
        <v>0</v>
      </c>
      <c r="N6541" t="n">
        <v>0</v>
      </c>
      <c r="O6541" t="n">
        <v>0</v>
      </c>
      <c r="P6541" t="n">
        <v>0</v>
      </c>
      <c r="Q6541" t="n">
        <v>0</v>
      </c>
      <c r="R6541" s="2" t="inlineStr"/>
    </row>
    <row r="6542" ht="15" customHeight="1">
      <c r="A6542" t="inlineStr">
        <is>
          <t>A 5647-2023</t>
        </is>
      </c>
      <c r="B6542" s="1" t="n">
        <v>44960.6078125</v>
      </c>
      <c r="C6542" s="1" t="n">
        <v>45952</v>
      </c>
      <c r="D6542" t="inlineStr">
        <is>
          <t>VÄSTRA GÖTALANDS LÄN</t>
        </is>
      </c>
      <c r="E6542" t="inlineStr">
        <is>
          <t>MELLERUD</t>
        </is>
      </c>
      <c r="G6542" t="n">
        <v>0.7</v>
      </c>
      <c r="H6542" t="n">
        <v>0</v>
      </c>
      <c r="I6542" t="n">
        <v>0</v>
      </c>
      <c r="J6542" t="n">
        <v>0</v>
      </c>
      <c r="K6542" t="n">
        <v>0</v>
      </c>
      <c r="L6542" t="n">
        <v>0</v>
      </c>
      <c r="M6542" t="n">
        <v>0</v>
      </c>
      <c r="N6542" t="n">
        <v>0</v>
      </c>
      <c r="O6542" t="n">
        <v>0</v>
      </c>
      <c r="P6542" t="n">
        <v>0</v>
      </c>
      <c r="Q6542" t="n">
        <v>0</v>
      </c>
      <c r="R6542" s="2" t="inlineStr"/>
    </row>
    <row r="6543" ht="15" customHeight="1">
      <c r="A6543" t="inlineStr">
        <is>
          <t>A 9494-2025</t>
        </is>
      </c>
      <c r="B6543" s="1" t="n">
        <v>45715.503125</v>
      </c>
      <c r="C6543" s="1" t="n">
        <v>45952</v>
      </c>
      <c r="D6543" t="inlineStr">
        <is>
          <t>VÄSTRA GÖTALANDS LÄN</t>
        </is>
      </c>
      <c r="E6543" t="inlineStr">
        <is>
          <t>HÄRRYDA</t>
        </is>
      </c>
      <c r="G6543" t="n">
        <v>0.7</v>
      </c>
      <c r="H6543" t="n">
        <v>0</v>
      </c>
      <c r="I6543" t="n">
        <v>0</v>
      </c>
      <c r="J6543" t="n">
        <v>0</v>
      </c>
      <c r="K6543" t="n">
        <v>0</v>
      </c>
      <c r="L6543" t="n">
        <v>0</v>
      </c>
      <c r="M6543" t="n">
        <v>0</v>
      </c>
      <c r="N6543" t="n">
        <v>0</v>
      </c>
      <c r="O6543" t="n">
        <v>0</v>
      </c>
      <c r="P6543" t="n">
        <v>0</v>
      </c>
      <c r="Q6543" t="n">
        <v>0</v>
      </c>
      <c r="R6543" s="2" t="inlineStr"/>
    </row>
    <row r="6544" ht="15" customHeight="1">
      <c r="A6544" t="inlineStr">
        <is>
          <t>A 12078-2025</t>
        </is>
      </c>
      <c r="B6544" s="1" t="n">
        <v>45728.78711805555</v>
      </c>
      <c r="C6544" s="1" t="n">
        <v>45952</v>
      </c>
      <c r="D6544" t="inlineStr">
        <is>
          <t>VÄSTRA GÖTALANDS LÄN</t>
        </is>
      </c>
      <c r="E6544" t="inlineStr">
        <is>
          <t>HERRLJUNGA</t>
        </is>
      </c>
      <c r="G6544" t="n">
        <v>2.6</v>
      </c>
      <c r="H6544" t="n">
        <v>0</v>
      </c>
      <c r="I6544" t="n">
        <v>0</v>
      </c>
      <c r="J6544" t="n">
        <v>0</v>
      </c>
      <c r="K6544" t="n">
        <v>0</v>
      </c>
      <c r="L6544" t="n">
        <v>0</v>
      </c>
      <c r="M6544" t="n">
        <v>0</v>
      </c>
      <c r="N6544" t="n">
        <v>0</v>
      </c>
      <c r="O6544" t="n">
        <v>0</v>
      </c>
      <c r="P6544" t="n">
        <v>0</v>
      </c>
      <c r="Q6544" t="n">
        <v>0</v>
      </c>
      <c r="R6544" s="2" t="inlineStr"/>
    </row>
    <row r="6545" ht="15" customHeight="1">
      <c r="A6545" t="inlineStr">
        <is>
          <t>A 44325-2023</t>
        </is>
      </c>
      <c r="B6545" s="1" t="n">
        <v>45188.65824074074</v>
      </c>
      <c r="C6545" s="1" t="n">
        <v>45952</v>
      </c>
      <c r="D6545" t="inlineStr">
        <is>
          <t>VÄSTRA GÖTALANDS LÄN</t>
        </is>
      </c>
      <c r="E6545" t="inlineStr">
        <is>
          <t>UDDEVALLA</t>
        </is>
      </c>
      <c r="G6545" t="n">
        <v>2.3</v>
      </c>
      <c r="H6545" t="n">
        <v>0</v>
      </c>
      <c r="I6545" t="n">
        <v>0</v>
      </c>
      <c r="J6545" t="n">
        <v>0</v>
      </c>
      <c r="K6545" t="n">
        <v>0</v>
      </c>
      <c r="L6545" t="n">
        <v>0</v>
      </c>
      <c r="M6545" t="n">
        <v>0</v>
      </c>
      <c r="N6545" t="n">
        <v>0</v>
      </c>
      <c r="O6545" t="n">
        <v>0</v>
      </c>
      <c r="P6545" t="n">
        <v>0</v>
      </c>
      <c r="Q6545" t="n">
        <v>0</v>
      </c>
      <c r="R6545" s="2" t="inlineStr"/>
    </row>
    <row r="6546" ht="15" customHeight="1">
      <c r="A6546" t="inlineStr">
        <is>
          <t>A 62849-2021</t>
        </is>
      </c>
      <c r="B6546" s="1" t="n">
        <v>44504</v>
      </c>
      <c r="C6546" s="1" t="n">
        <v>45952</v>
      </c>
      <c r="D6546" t="inlineStr">
        <is>
          <t>VÄSTRA GÖTALANDS LÄN</t>
        </is>
      </c>
      <c r="E6546" t="inlineStr">
        <is>
          <t>DALS-ED</t>
        </is>
      </c>
      <c r="G6546" t="n">
        <v>3.2</v>
      </c>
      <c r="H6546" t="n">
        <v>0</v>
      </c>
      <c r="I6546" t="n">
        <v>0</v>
      </c>
      <c r="J6546" t="n">
        <v>0</v>
      </c>
      <c r="K6546" t="n">
        <v>0</v>
      </c>
      <c r="L6546" t="n">
        <v>0</v>
      </c>
      <c r="M6546" t="n">
        <v>0</v>
      </c>
      <c r="N6546" t="n">
        <v>0</v>
      </c>
      <c r="O6546" t="n">
        <v>0</v>
      </c>
      <c r="P6546" t="n">
        <v>0</v>
      </c>
      <c r="Q6546" t="n">
        <v>0</v>
      </c>
      <c r="R6546" s="2" t="inlineStr"/>
    </row>
    <row r="6547" ht="15" customHeight="1">
      <c r="A6547" t="inlineStr">
        <is>
          <t>A 44577-2023</t>
        </is>
      </c>
      <c r="B6547" s="1" t="n">
        <v>45183</v>
      </c>
      <c r="C6547" s="1" t="n">
        <v>45952</v>
      </c>
      <c r="D6547" t="inlineStr">
        <is>
          <t>VÄSTRA GÖTALANDS LÄN</t>
        </is>
      </c>
      <c r="E6547" t="inlineStr">
        <is>
          <t>KARLSBORG</t>
        </is>
      </c>
      <c r="G6547" t="n">
        <v>2.2</v>
      </c>
      <c r="H6547" t="n">
        <v>0</v>
      </c>
      <c r="I6547" t="n">
        <v>0</v>
      </c>
      <c r="J6547" t="n">
        <v>0</v>
      </c>
      <c r="K6547" t="n">
        <v>0</v>
      </c>
      <c r="L6547" t="n">
        <v>0</v>
      </c>
      <c r="M6547" t="n">
        <v>0</v>
      </c>
      <c r="N6547" t="n">
        <v>0</v>
      </c>
      <c r="O6547" t="n">
        <v>0</v>
      </c>
      <c r="P6547" t="n">
        <v>0</v>
      </c>
      <c r="Q6547" t="n">
        <v>0</v>
      </c>
      <c r="R6547" s="2" t="inlineStr"/>
    </row>
    <row r="6548" ht="15" customHeight="1">
      <c r="A6548" t="inlineStr">
        <is>
          <t>A 20447-2025</t>
        </is>
      </c>
      <c r="B6548" s="1" t="n">
        <v>45775.49373842592</v>
      </c>
      <c r="C6548" s="1" t="n">
        <v>45952</v>
      </c>
      <c r="D6548" t="inlineStr">
        <is>
          <t>VÄSTRA GÖTALANDS LÄN</t>
        </is>
      </c>
      <c r="E6548" t="inlineStr">
        <is>
          <t>TÖREBODA</t>
        </is>
      </c>
      <c r="G6548" t="n">
        <v>0.8</v>
      </c>
      <c r="H6548" t="n">
        <v>0</v>
      </c>
      <c r="I6548" t="n">
        <v>0</v>
      </c>
      <c r="J6548" t="n">
        <v>0</v>
      </c>
      <c r="K6548" t="n">
        <v>0</v>
      </c>
      <c r="L6548" t="n">
        <v>0</v>
      </c>
      <c r="M6548" t="n">
        <v>0</v>
      </c>
      <c r="N6548" t="n">
        <v>0</v>
      </c>
      <c r="O6548" t="n">
        <v>0</v>
      </c>
      <c r="P6548" t="n">
        <v>0</v>
      </c>
      <c r="Q6548" t="n">
        <v>0</v>
      </c>
      <c r="R6548" s="2" t="inlineStr"/>
    </row>
    <row r="6549" ht="15" customHeight="1">
      <c r="A6549" t="inlineStr">
        <is>
          <t>A 20465-2025</t>
        </is>
      </c>
      <c r="B6549" s="1" t="n">
        <v>45775.53862268518</v>
      </c>
      <c r="C6549" s="1" t="n">
        <v>45952</v>
      </c>
      <c r="D6549" t="inlineStr">
        <is>
          <t>VÄSTRA GÖTALANDS LÄN</t>
        </is>
      </c>
      <c r="E6549" t="inlineStr">
        <is>
          <t>ULRICEHAMN</t>
        </is>
      </c>
      <c r="G6549" t="n">
        <v>3.3</v>
      </c>
      <c r="H6549" t="n">
        <v>0</v>
      </c>
      <c r="I6549" t="n">
        <v>0</v>
      </c>
      <c r="J6549" t="n">
        <v>0</v>
      </c>
      <c r="K6549" t="n">
        <v>0</v>
      </c>
      <c r="L6549" t="n">
        <v>0</v>
      </c>
      <c r="M6549" t="n">
        <v>0</v>
      </c>
      <c r="N6549" t="n">
        <v>0</v>
      </c>
      <c r="O6549" t="n">
        <v>0</v>
      </c>
      <c r="P6549" t="n">
        <v>0</v>
      </c>
      <c r="Q6549" t="n">
        <v>0</v>
      </c>
      <c r="R6549" s="2" t="inlineStr"/>
    </row>
    <row r="6550" ht="15" customHeight="1">
      <c r="A6550" t="inlineStr">
        <is>
          <t>A 32838-2022</t>
        </is>
      </c>
      <c r="B6550" s="1" t="n">
        <v>44784.43820601852</v>
      </c>
      <c r="C6550" s="1" t="n">
        <v>45952</v>
      </c>
      <c r="D6550" t="inlineStr">
        <is>
          <t>VÄSTRA GÖTALANDS LÄN</t>
        </is>
      </c>
      <c r="E6550" t="inlineStr">
        <is>
          <t>VÄNERSBORG</t>
        </is>
      </c>
      <c r="G6550" t="n">
        <v>3</v>
      </c>
      <c r="H6550" t="n">
        <v>0</v>
      </c>
      <c r="I6550" t="n">
        <v>0</v>
      </c>
      <c r="J6550" t="n">
        <v>0</v>
      </c>
      <c r="K6550" t="n">
        <v>0</v>
      </c>
      <c r="L6550" t="n">
        <v>0</v>
      </c>
      <c r="M6550" t="n">
        <v>0</v>
      </c>
      <c r="N6550" t="n">
        <v>0</v>
      </c>
      <c r="O6550" t="n">
        <v>0</v>
      </c>
      <c r="P6550" t="n">
        <v>0</v>
      </c>
      <c r="Q6550" t="n">
        <v>0</v>
      </c>
      <c r="R6550" s="2" t="inlineStr"/>
    </row>
    <row r="6551" ht="15" customHeight="1">
      <c r="A6551" t="inlineStr">
        <is>
          <t>A 270-2025</t>
        </is>
      </c>
      <c r="B6551" s="1" t="n">
        <v>45660.48087962963</v>
      </c>
      <c r="C6551" s="1" t="n">
        <v>45952</v>
      </c>
      <c r="D6551" t="inlineStr">
        <is>
          <t>VÄSTRA GÖTALANDS LÄN</t>
        </is>
      </c>
      <c r="E6551" t="inlineStr">
        <is>
          <t>SOTENÄS</t>
        </is>
      </c>
      <c r="G6551" t="n">
        <v>8.9</v>
      </c>
      <c r="H6551" t="n">
        <v>0</v>
      </c>
      <c r="I6551" t="n">
        <v>0</v>
      </c>
      <c r="J6551" t="n">
        <v>0</v>
      </c>
      <c r="K6551" t="n">
        <v>0</v>
      </c>
      <c r="L6551" t="n">
        <v>0</v>
      </c>
      <c r="M6551" t="n">
        <v>0</v>
      </c>
      <c r="N6551" t="n">
        <v>0</v>
      </c>
      <c r="O6551" t="n">
        <v>0</v>
      </c>
      <c r="P6551" t="n">
        <v>0</v>
      </c>
      <c r="Q6551" t="n">
        <v>0</v>
      </c>
      <c r="R6551" s="2" t="inlineStr"/>
    </row>
    <row r="6552" ht="15" customHeight="1">
      <c r="A6552" t="inlineStr">
        <is>
          <t>A 2522-2023</t>
        </is>
      </c>
      <c r="B6552" s="1" t="n">
        <v>44943.5928587963</v>
      </c>
      <c r="C6552" s="1" t="n">
        <v>45952</v>
      </c>
      <c r="D6552" t="inlineStr">
        <is>
          <t>VÄSTRA GÖTALANDS LÄN</t>
        </is>
      </c>
      <c r="E6552" t="inlineStr">
        <is>
          <t>BENGTSFORS</t>
        </is>
      </c>
      <c r="G6552" t="n">
        <v>15.6</v>
      </c>
      <c r="H6552" t="n">
        <v>0</v>
      </c>
      <c r="I6552" t="n">
        <v>0</v>
      </c>
      <c r="J6552" t="n">
        <v>0</v>
      </c>
      <c r="K6552" t="n">
        <v>0</v>
      </c>
      <c r="L6552" t="n">
        <v>0</v>
      </c>
      <c r="M6552" t="n">
        <v>0</v>
      </c>
      <c r="N6552" t="n">
        <v>0</v>
      </c>
      <c r="O6552" t="n">
        <v>0</v>
      </c>
      <c r="P6552" t="n">
        <v>0</v>
      </c>
      <c r="Q6552" t="n">
        <v>0</v>
      </c>
      <c r="R6552" s="2" t="inlineStr"/>
    </row>
    <row r="6553" ht="15" customHeight="1">
      <c r="A6553" t="inlineStr">
        <is>
          <t>A 333-2025</t>
        </is>
      </c>
      <c r="B6553" s="1" t="n">
        <v>45659</v>
      </c>
      <c r="C6553" s="1" t="n">
        <v>45952</v>
      </c>
      <c r="D6553" t="inlineStr">
        <is>
          <t>VÄSTRA GÖTALANDS LÄN</t>
        </is>
      </c>
      <c r="E6553" t="inlineStr">
        <is>
          <t>ÅMÅL</t>
        </is>
      </c>
      <c r="F6553" t="inlineStr">
        <is>
          <t>Bergvik skog väst AB</t>
        </is>
      </c>
      <c r="G6553" t="n">
        <v>3.7</v>
      </c>
      <c r="H6553" t="n">
        <v>0</v>
      </c>
      <c r="I6553" t="n">
        <v>0</v>
      </c>
      <c r="J6553" t="n">
        <v>0</v>
      </c>
      <c r="K6553" t="n">
        <v>0</v>
      </c>
      <c r="L6553" t="n">
        <v>0</v>
      </c>
      <c r="M6553" t="n">
        <v>0</v>
      </c>
      <c r="N6553" t="n">
        <v>0</v>
      </c>
      <c r="O6553" t="n">
        <v>0</v>
      </c>
      <c r="P6553" t="n">
        <v>0</v>
      </c>
      <c r="Q6553" t="n">
        <v>0</v>
      </c>
      <c r="R6553" s="2" t="inlineStr"/>
    </row>
    <row r="6554" ht="15" customHeight="1">
      <c r="A6554" t="inlineStr">
        <is>
          <t>A 12257-2022</t>
        </is>
      </c>
      <c r="B6554" s="1" t="n">
        <v>44637</v>
      </c>
      <c r="C6554" s="1" t="n">
        <v>45952</v>
      </c>
      <c r="D6554" t="inlineStr">
        <is>
          <t>VÄSTRA GÖTALANDS LÄN</t>
        </is>
      </c>
      <c r="E6554" t="inlineStr">
        <is>
          <t>BENGTSFORS</t>
        </is>
      </c>
      <c r="G6554" t="n">
        <v>1.2</v>
      </c>
      <c r="H6554" t="n">
        <v>0</v>
      </c>
      <c r="I6554" t="n">
        <v>0</v>
      </c>
      <c r="J6554" t="n">
        <v>0</v>
      </c>
      <c r="K6554" t="n">
        <v>0</v>
      </c>
      <c r="L6554" t="n">
        <v>0</v>
      </c>
      <c r="M6554" t="n">
        <v>0</v>
      </c>
      <c r="N6554" t="n">
        <v>0</v>
      </c>
      <c r="O6554" t="n">
        <v>0</v>
      </c>
      <c r="P6554" t="n">
        <v>0</v>
      </c>
      <c r="Q6554" t="n">
        <v>0</v>
      </c>
      <c r="R6554" s="2" t="inlineStr"/>
    </row>
    <row r="6555" ht="15" customHeight="1">
      <c r="A6555" t="inlineStr">
        <is>
          <t>A 1533-2024</t>
        </is>
      </c>
      <c r="B6555" s="1" t="n">
        <v>45306.46153935185</v>
      </c>
      <c r="C6555" s="1" t="n">
        <v>45952</v>
      </c>
      <c r="D6555" t="inlineStr">
        <is>
          <t>VÄSTRA GÖTALANDS LÄN</t>
        </is>
      </c>
      <c r="E6555" t="inlineStr">
        <is>
          <t>TRANEMO</t>
        </is>
      </c>
      <c r="G6555" t="n">
        <v>0.7</v>
      </c>
      <c r="H6555" t="n">
        <v>0</v>
      </c>
      <c r="I6555" t="n">
        <v>0</v>
      </c>
      <c r="J6555" t="n">
        <v>0</v>
      </c>
      <c r="K6555" t="n">
        <v>0</v>
      </c>
      <c r="L6555" t="n">
        <v>0</v>
      </c>
      <c r="M6555" t="n">
        <v>0</v>
      </c>
      <c r="N6555" t="n">
        <v>0</v>
      </c>
      <c r="O6555" t="n">
        <v>0</v>
      </c>
      <c r="P6555" t="n">
        <v>0</v>
      </c>
      <c r="Q6555" t="n">
        <v>0</v>
      </c>
      <c r="R6555" s="2" t="inlineStr"/>
    </row>
    <row r="6556" ht="15" customHeight="1">
      <c r="A6556" t="inlineStr">
        <is>
          <t>A 48411-2022</t>
        </is>
      </c>
      <c r="B6556" s="1" t="n">
        <v>44858</v>
      </c>
      <c r="C6556" s="1" t="n">
        <v>45952</v>
      </c>
      <c r="D6556" t="inlineStr">
        <is>
          <t>VÄSTRA GÖTALANDS LÄN</t>
        </is>
      </c>
      <c r="E6556" t="inlineStr">
        <is>
          <t>LIDKÖPING</t>
        </is>
      </c>
      <c r="G6556" t="n">
        <v>2.2</v>
      </c>
      <c r="H6556" t="n">
        <v>0</v>
      </c>
      <c r="I6556" t="n">
        <v>0</v>
      </c>
      <c r="J6556" t="n">
        <v>0</v>
      </c>
      <c r="K6556" t="n">
        <v>0</v>
      </c>
      <c r="L6556" t="n">
        <v>0</v>
      </c>
      <c r="M6556" t="n">
        <v>0</v>
      </c>
      <c r="N6556" t="n">
        <v>0</v>
      </c>
      <c r="O6556" t="n">
        <v>0</v>
      </c>
      <c r="P6556" t="n">
        <v>0</v>
      </c>
      <c r="Q6556" t="n">
        <v>0</v>
      </c>
      <c r="R6556" s="2" t="inlineStr"/>
    </row>
    <row r="6557" ht="15" customHeight="1">
      <c r="A6557" t="inlineStr">
        <is>
          <t>A 1636-2024</t>
        </is>
      </c>
      <c r="B6557" s="1" t="n">
        <v>45306</v>
      </c>
      <c r="C6557" s="1" t="n">
        <v>45952</v>
      </c>
      <c r="D6557" t="inlineStr">
        <is>
          <t>VÄSTRA GÖTALANDS LÄN</t>
        </is>
      </c>
      <c r="E6557" t="inlineStr">
        <is>
          <t>SKÖVDE</t>
        </is>
      </c>
      <c r="G6557" t="n">
        <v>3.7</v>
      </c>
      <c r="H6557" t="n">
        <v>0</v>
      </c>
      <c r="I6557" t="n">
        <v>0</v>
      </c>
      <c r="J6557" t="n">
        <v>0</v>
      </c>
      <c r="K6557" t="n">
        <v>0</v>
      </c>
      <c r="L6557" t="n">
        <v>0</v>
      </c>
      <c r="M6557" t="n">
        <v>0</v>
      </c>
      <c r="N6557" t="n">
        <v>0</v>
      </c>
      <c r="O6557" t="n">
        <v>0</v>
      </c>
      <c r="P6557" t="n">
        <v>0</v>
      </c>
      <c r="Q6557" t="n">
        <v>0</v>
      </c>
      <c r="R6557" s="2" t="inlineStr"/>
    </row>
    <row r="6558" ht="15" customHeight="1">
      <c r="A6558" t="inlineStr">
        <is>
          <t>A 1663-2024</t>
        </is>
      </c>
      <c r="B6558" s="1" t="n">
        <v>45306</v>
      </c>
      <c r="C6558" s="1" t="n">
        <v>45952</v>
      </c>
      <c r="D6558" t="inlineStr">
        <is>
          <t>VÄSTRA GÖTALANDS LÄN</t>
        </is>
      </c>
      <c r="E6558" t="inlineStr">
        <is>
          <t>ORUST</t>
        </is>
      </c>
      <c r="G6558" t="n">
        <v>6.1</v>
      </c>
      <c r="H6558" t="n">
        <v>0</v>
      </c>
      <c r="I6558" t="n">
        <v>0</v>
      </c>
      <c r="J6558" t="n">
        <v>0</v>
      </c>
      <c r="K6558" t="n">
        <v>0</v>
      </c>
      <c r="L6558" t="n">
        <v>0</v>
      </c>
      <c r="M6558" t="n">
        <v>0</v>
      </c>
      <c r="N6558" t="n">
        <v>0</v>
      </c>
      <c r="O6558" t="n">
        <v>0</v>
      </c>
      <c r="P6558" t="n">
        <v>0</v>
      </c>
      <c r="Q6558" t="n">
        <v>0</v>
      </c>
      <c r="R6558" s="2" t="inlineStr"/>
    </row>
    <row r="6559" ht="15" customHeight="1">
      <c r="A6559" t="inlineStr">
        <is>
          <t>A 11145-2024</t>
        </is>
      </c>
      <c r="B6559" s="1" t="n">
        <v>45371.46417824074</v>
      </c>
      <c r="C6559" s="1" t="n">
        <v>45952</v>
      </c>
      <c r="D6559" t="inlineStr">
        <is>
          <t>VÄSTRA GÖTALANDS LÄN</t>
        </is>
      </c>
      <c r="E6559" t="inlineStr">
        <is>
          <t>TANUM</t>
        </is>
      </c>
      <c r="G6559" t="n">
        <v>1.7</v>
      </c>
      <c r="H6559" t="n">
        <v>0</v>
      </c>
      <c r="I6559" t="n">
        <v>0</v>
      </c>
      <c r="J6559" t="n">
        <v>0</v>
      </c>
      <c r="K6559" t="n">
        <v>0</v>
      </c>
      <c r="L6559" t="n">
        <v>0</v>
      </c>
      <c r="M6559" t="n">
        <v>0</v>
      </c>
      <c r="N6559" t="n">
        <v>0</v>
      </c>
      <c r="O6559" t="n">
        <v>0</v>
      </c>
      <c r="P6559" t="n">
        <v>0</v>
      </c>
      <c r="Q6559" t="n">
        <v>0</v>
      </c>
      <c r="R6559" s="2" t="inlineStr"/>
    </row>
    <row r="6560" ht="15" customHeight="1">
      <c r="A6560" t="inlineStr">
        <is>
          <t>A 46480-2023</t>
        </is>
      </c>
      <c r="B6560" s="1" t="n">
        <v>45197.63927083334</v>
      </c>
      <c r="C6560" s="1" t="n">
        <v>45952</v>
      </c>
      <c r="D6560" t="inlineStr">
        <is>
          <t>VÄSTRA GÖTALANDS LÄN</t>
        </is>
      </c>
      <c r="E6560" t="inlineStr">
        <is>
          <t>UDDEVALLA</t>
        </is>
      </c>
      <c r="G6560" t="n">
        <v>1.1</v>
      </c>
      <c r="H6560" t="n">
        <v>0</v>
      </c>
      <c r="I6560" t="n">
        <v>0</v>
      </c>
      <c r="J6560" t="n">
        <v>0</v>
      </c>
      <c r="K6560" t="n">
        <v>0</v>
      </c>
      <c r="L6560" t="n">
        <v>0</v>
      </c>
      <c r="M6560" t="n">
        <v>0</v>
      </c>
      <c r="N6560" t="n">
        <v>0</v>
      </c>
      <c r="O6560" t="n">
        <v>0</v>
      </c>
      <c r="P6560" t="n">
        <v>0</v>
      </c>
      <c r="Q6560" t="n">
        <v>0</v>
      </c>
      <c r="R6560" s="2" t="inlineStr"/>
    </row>
    <row r="6561" ht="15" customHeight="1">
      <c r="A6561" t="inlineStr">
        <is>
          <t>A 28651-2025</t>
        </is>
      </c>
      <c r="B6561" s="1" t="n">
        <v>45819</v>
      </c>
      <c r="C6561" s="1" t="n">
        <v>45952</v>
      </c>
      <c r="D6561" t="inlineStr">
        <is>
          <t>VÄSTRA GÖTALANDS LÄN</t>
        </is>
      </c>
      <c r="E6561" t="inlineStr">
        <is>
          <t>TRANEMO</t>
        </is>
      </c>
      <c r="G6561" t="n">
        <v>1.2</v>
      </c>
      <c r="H6561" t="n">
        <v>0</v>
      </c>
      <c r="I6561" t="n">
        <v>0</v>
      </c>
      <c r="J6561" t="n">
        <v>0</v>
      </c>
      <c r="K6561" t="n">
        <v>0</v>
      </c>
      <c r="L6561" t="n">
        <v>0</v>
      </c>
      <c r="M6561" t="n">
        <v>0</v>
      </c>
      <c r="N6561" t="n">
        <v>0</v>
      </c>
      <c r="O6561" t="n">
        <v>0</v>
      </c>
      <c r="P6561" t="n">
        <v>0</v>
      </c>
      <c r="Q6561" t="n">
        <v>0</v>
      </c>
      <c r="R6561" s="2" t="inlineStr"/>
    </row>
    <row r="6562" ht="15" customHeight="1">
      <c r="A6562" t="inlineStr">
        <is>
          <t>A 21328-2025</t>
        </is>
      </c>
      <c r="B6562" s="1" t="n">
        <v>45782.35883101852</v>
      </c>
      <c r="C6562" s="1" t="n">
        <v>45952</v>
      </c>
      <c r="D6562" t="inlineStr">
        <is>
          <t>VÄSTRA GÖTALANDS LÄN</t>
        </is>
      </c>
      <c r="E6562" t="inlineStr">
        <is>
          <t>ALINGSÅS</t>
        </is>
      </c>
      <c r="G6562" t="n">
        <v>2.2</v>
      </c>
      <c r="H6562" t="n">
        <v>0</v>
      </c>
      <c r="I6562" t="n">
        <v>0</v>
      </c>
      <c r="J6562" t="n">
        <v>0</v>
      </c>
      <c r="K6562" t="n">
        <v>0</v>
      </c>
      <c r="L6562" t="n">
        <v>0</v>
      </c>
      <c r="M6562" t="n">
        <v>0</v>
      </c>
      <c r="N6562" t="n">
        <v>0</v>
      </c>
      <c r="O6562" t="n">
        <v>0</v>
      </c>
      <c r="P6562" t="n">
        <v>0</v>
      </c>
      <c r="Q6562" t="n">
        <v>0</v>
      </c>
      <c r="R6562" s="2" t="inlineStr"/>
    </row>
    <row r="6563" ht="15" customHeight="1">
      <c r="A6563" t="inlineStr">
        <is>
          <t>A 12081-2025</t>
        </is>
      </c>
      <c r="B6563" s="1" t="n">
        <v>45728.90636574074</v>
      </c>
      <c r="C6563" s="1" t="n">
        <v>45952</v>
      </c>
      <c r="D6563" t="inlineStr">
        <is>
          <t>VÄSTRA GÖTALANDS LÄN</t>
        </is>
      </c>
      <c r="E6563" t="inlineStr">
        <is>
          <t>FALKÖPING</t>
        </is>
      </c>
      <c r="G6563" t="n">
        <v>0.9</v>
      </c>
      <c r="H6563" t="n">
        <v>0</v>
      </c>
      <c r="I6563" t="n">
        <v>0</v>
      </c>
      <c r="J6563" t="n">
        <v>0</v>
      </c>
      <c r="K6563" t="n">
        <v>0</v>
      </c>
      <c r="L6563" t="n">
        <v>0</v>
      </c>
      <c r="M6563" t="n">
        <v>0</v>
      </c>
      <c r="N6563" t="n">
        <v>0</v>
      </c>
      <c r="O6563" t="n">
        <v>0</v>
      </c>
      <c r="P6563" t="n">
        <v>0</v>
      </c>
      <c r="Q6563" t="n">
        <v>0</v>
      </c>
      <c r="R6563" s="2" t="inlineStr"/>
    </row>
    <row r="6564" ht="15" customHeight="1">
      <c r="A6564" t="inlineStr">
        <is>
          <t>A 11261-2024</t>
        </is>
      </c>
      <c r="B6564" s="1" t="n">
        <v>45371.67425925926</v>
      </c>
      <c r="C6564" s="1" t="n">
        <v>45952</v>
      </c>
      <c r="D6564" t="inlineStr">
        <is>
          <t>VÄSTRA GÖTALANDS LÄN</t>
        </is>
      </c>
      <c r="E6564" t="inlineStr">
        <is>
          <t>MÖLNDAL</t>
        </is>
      </c>
      <c r="G6564" t="n">
        <v>2.7</v>
      </c>
      <c r="H6564" t="n">
        <v>0</v>
      </c>
      <c r="I6564" t="n">
        <v>0</v>
      </c>
      <c r="J6564" t="n">
        <v>0</v>
      </c>
      <c r="K6564" t="n">
        <v>0</v>
      </c>
      <c r="L6564" t="n">
        <v>0</v>
      </c>
      <c r="M6564" t="n">
        <v>0</v>
      </c>
      <c r="N6564" t="n">
        <v>0</v>
      </c>
      <c r="O6564" t="n">
        <v>0</v>
      </c>
      <c r="P6564" t="n">
        <v>0</v>
      </c>
      <c r="Q6564" t="n">
        <v>0</v>
      </c>
      <c r="R6564" s="2" t="inlineStr"/>
    </row>
    <row r="6565" ht="15" customHeight="1">
      <c r="A6565" t="inlineStr">
        <is>
          <t>A 11262-2024</t>
        </is>
      </c>
      <c r="B6565" s="1" t="n">
        <v>45371.6761574074</v>
      </c>
      <c r="C6565" s="1" t="n">
        <v>45952</v>
      </c>
      <c r="D6565" t="inlineStr">
        <is>
          <t>VÄSTRA GÖTALANDS LÄN</t>
        </is>
      </c>
      <c r="E6565" t="inlineStr">
        <is>
          <t>MUNKEDAL</t>
        </is>
      </c>
      <c r="G6565" t="n">
        <v>0.5</v>
      </c>
      <c r="H6565" t="n">
        <v>0</v>
      </c>
      <c r="I6565" t="n">
        <v>0</v>
      </c>
      <c r="J6565" t="n">
        <v>0</v>
      </c>
      <c r="K6565" t="n">
        <v>0</v>
      </c>
      <c r="L6565" t="n">
        <v>0</v>
      </c>
      <c r="M6565" t="n">
        <v>0</v>
      </c>
      <c r="N6565" t="n">
        <v>0</v>
      </c>
      <c r="O6565" t="n">
        <v>0</v>
      </c>
      <c r="P6565" t="n">
        <v>0</v>
      </c>
      <c r="Q6565" t="n">
        <v>0</v>
      </c>
      <c r="R6565" s="2" t="inlineStr"/>
    </row>
    <row r="6566" ht="15" customHeight="1">
      <c r="A6566" t="inlineStr">
        <is>
          <t>A 62751-2021</t>
        </is>
      </c>
      <c r="B6566" s="1" t="n">
        <v>44504</v>
      </c>
      <c r="C6566" s="1" t="n">
        <v>45952</v>
      </c>
      <c r="D6566" t="inlineStr">
        <is>
          <t>VÄSTRA GÖTALANDS LÄN</t>
        </is>
      </c>
      <c r="E6566" t="inlineStr">
        <is>
          <t>FÄRGELANDA</t>
        </is>
      </c>
      <c r="G6566" t="n">
        <v>7.1</v>
      </c>
      <c r="H6566" t="n">
        <v>0</v>
      </c>
      <c r="I6566" t="n">
        <v>0</v>
      </c>
      <c r="J6566" t="n">
        <v>0</v>
      </c>
      <c r="K6566" t="n">
        <v>0</v>
      </c>
      <c r="L6566" t="n">
        <v>0</v>
      </c>
      <c r="M6566" t="n">
        <v>0</v>
      </c>
      <c r="N6566" t="n">
        <v>0</v>
      </c>
      <c r="O6566" t="n">
        <v>0</v>
      </c>
      <c r="P6566" t="n">
        <v>0</v>
      </c>
      <c r="Q6566" t="n">
        <v>0</v>
      </c>
      <c r="R6566" s="2" t="inlineStr"/>
    </row>
    <row r="6567" ht="15" customHeight="1">
      <c r="A6567" t="inlineStr">
        <is>
          <t>A 56677-2023</t>
        </is>
      </c>
      <c r="B6567" s="1" t="n">
        <v>45243.9177199074</v>
      </c>
      <c r="C6567" s="1" t="n">
        <v>45952</v>
      </c>
      <c r="D6567" t="inlineStr">
        <is>
          <t>VÄSTRA GÖTALANDS LÄN</t>
        </is>
      </c>
      <c r="E6567" t="inlineStr">
        <is>
          <t>STRÖMSTAD</t>
        </is>
      </c>
      <c r="G6567" t="n">
        <v>0.9</v>
      </c>
      <c r="H6567" t="n">
        <v>0</v>
      </c>
      <c r="I6567" t="n">
        <v>0</v>
      </c>
      <c r="J6567" t="n">
        <v>0</v>
      </c>
      <c r="K6567" t="n">
        <v>0</v>
      </c>
      <c r="L6567" t="n">
        <v>0</v>
      </c>
      <c r="M6567" t="n">
        <v>0</v>
      </c>
      <c r="N6567" t="n">
        <v>0</v>
      </c>
      <c r="O6567" t="n">
        <v>0</v>
      </c>
      <c r="P6567" t="n">
        <v>0</v>
      </c>
      <c r="Q6567" t="n">
        <v>0</v>
      </c>
      <c r="R6567" s="2" t="inlineStr"/>
    </row>
    <row r="6568" ht="15" customHeight="1">
      <c r="A6568" t="inlineStr">
        <is>
          <t>A 56725-2023</t>
        </is>
      </c>
      <c r="B6568" s="1" t="n">
        <v>45244</v>
      </c>
      <c r="C6568" s="1" t="n">
        <v>45952</v>
      </c>
      <c r="D6568" t="inlineStr">
        <is>
          <t>VÄSTRA GÖTALANDS LÄN</t>
        </is>
      </c>
      <c r="E6568" t="inlineStr">
        <is>
          <t>VÄNERSBORG</t>
        </is>
      </c>
      <c r="G6568" t="n">
        <v>1.9</v>
      </c>
      <c r="H6568" t="n">
        <v>0</v>
      </c>
      <c r="I6568" t="n">
        <v>0</v>
      </c>
      <c r="J6568" t="n">
        <v>0</v>
      </c>
      <c r="K6568" t="n">
        <v>0</v>
      </c>
      <c r="L6568" t="n">
        <v>0</v>
      </c>
      <c r="M6568" t="n">
        <v>0</v>
      </c>
      <c r="N6568" t="n">
        <v>0</v>
      </c>
      <c r="O6568" t="n">
        <v>0</v>
      </c>
      <c r="P6568" t="n">
        <v>0</v>
      </c>
      <c r="Q6568" t="n">
        <v>0</v>
      </c>
      <c r="R6568" s="2" t="inlineStr"/>
    </row>
    <row r="6569" ht="15" customHeight="1">
      <c r="A6569" t="inlineStr">
        <is>
          <t>A 5035-2023</t>
        </is>
      </c>
      <c r="B6569" s="1" t="n">
        <v>44958.58</v>
      </c>
      <c r="C6569" s="1" t="n">
        <v>45952</v>
      </c>
      <c r="D6569" t="inlineStr">
        <is>
          <t>VÄSTRA GÖTALANDS LÄN</t>
        </is>
      </c>
      <c r="E6569" t="inlineStr">
        <is>
          <t>TRANEMO</t>
        </is>
      </c>
      <c r="G6569" t="n">
        <v>0.7</v>
      </c>
      <c r="H6569" t="n">
        <v>0</v>
      </c>
      <c r="I6569" t="n">
        <v>0</v>
      </c>
      <c r="J6569" t="n">
        <v>0</v>
      </c>
      <c r="K6569" t="n">
        <v>0</v>
      </c>
      <c r="L6569" t="n">
        <v>0</v>
      </c>
      <c r="M6569" t="n">
        <v>0</v>
      </c>
      <c r="N6569" t="n">
        <v>0</v>
      </c>
      <c r="O6569" t="n">
        <v>0</v>
      </c>
      <c r="P6569" t="n">
        <v>0</v>
      </c>
      <c r="Q6569" t="n">
        <v>0</v>
      </c>
      <c r="R6569" s="2" t="inlineStr"/>
    </row>
    <row r="6570" ht="15" customHeight="1">
      <c r="A6570" t="inlineStr">
        <is>
          <t>A 56739-2023</t>
        </is>
      </c>
      <c r="B6570" s="1" t="n">
        <v>45244</v>
      </c>
      <c r="C6570" s="1" t="n">
        <v>45952</v>
      </c>
      <c r="D6570" t="inlineStr">
        <is>
          <t>VÄSTRA GÖTALANDS LÄN</t>
        </is>
      </c>
      <c r="E6570" t="inlineStr">
        <is>
          <t>VÄNERSBORG</t>
        </is>
      </c>
      <c r="G6570" t="n">
        <v>2</v>
      </c>
      <c r="H6570" t="n">
        <v>0</v>
      </c>
      <c r="I6570" t="n">
        <v>0</v>
      </c>
      <c r="J6570" t="n">
        <v>0</v>
      </c>
      <c r="K6570" t="n">
        <v>0</v>
      </c>
      <c r="L6570" t="n">
        <v>0</v>
      </c>
      <c r="M6570" t="n">
        <v>0</v>
      </c>
      <c r="N6570" t="n">
        <v>0</v>
      </c>
      <c r="O6570" t="n">
        <v>0</v>
      </c>
      <c r="P6570" t="n">
        <v>0</v>
      </c>
      <c r="Q6570" t="n">
        <v>0</v>
      </c>
      <c r="R6570" s="2" t="inlineStr"/>
    </row>
    <row r="6571" ht="15" customHeight="1">
      <c r="A6571" t="inlineStr">
        <is>
          <t>A 56740-2023</t>
        </is>
      </c>
      <c r="B6571" s="1" t="n">
        <v>45244.3609375</v>
      </c>
      <c r="C6571" s="1" t="n">
        <v>45952</v>
      </c>
      <c r="D6571" t="inlineStr">
        <is>
          <t>VÄSTRA GÖTALANDS LÄN</t>
        </is>
      </c>
      <c r="E6571" t="inlineStr">
        <is>
          <t>LIDKÖPING</t>
        </is>
      </c>
      <c r="G6571" t="n">
        <v>4.5</v>
      </c>
      <c r="H6571" t="n">
        <v>0</v>
      </c>
      <c r="I6571" t="n">
        <v>0</v>
      </c>
      <c r="J6571" t="n">
        <v>0</v>
      </c>
      <c r="K6571" t="n">
        <v>0</v>
      </c>
      <c r="L6571" t="n">
        <v>0</v>
      </c>
      <c r="M6571" t="n">
        <v>0</v>
      </c>
      <c r="N6571" t="n">
        <v>0</v>
      </c>
      <c r="O6571" t="n">
        <v>0</v>
      </c>
      <c r="P6571" t="n">
        <v>0</v>
      </c>
      <c r="Q6571" t="n">
        <v>0</v>
      </c>
      <c r="R6571" s="2" t="inlineStr"/>
    </row>
    <row r="6572" ht="15" customHeight="1">
      <c r="A6572" t="inlineStr">
        <is>
          <t>A 56130-2022</t>
        </is>
      </c>
      <c r="B6572" s="1" t="n">
        <v>44886</v>
      </c>
      <c r="C6572" s="1" t="n">
        <v>45952</v>
      </c>
      <c r="D6572" t="inlineStr">
        <is>
          <t>VÄSTRA GÖTALANDS LÄN</t>
        </is>
      </c>
      <c r="E6572" t="inlineStr">
        <is>
          <t>STRÖMSTAD</t>
        </is>
      </c>
      <c r="G6572" t="n">
        <v>4.2</v>
      </c>
      <c r="H6572" t="n">
        <v>0</v>
      </c>
      <c r="I6572" t="n">
        <v>0</v>
      </c>
      <c r="J6572" t="n">
        <v>0</v>
      </c>
      <c r="K6572" t="n">
        <v>0</v>
      </c>
      <c r="L6572" t="n">
        <v>0</v>
      </c>
      <c r="M6572" t="n">
        <v>0</v>
      </c>
      <c r="N6572" t="n">
        <v>0</v>
      </c>
      <c r="O6572" t="n">
        <v>0</v>
      </c>
      <c r="P6572" t="n">
        <v>0</v>
      </c>
      <c r="Q6572" t="n">
        <v>0</v>
      </c>
      <c r="R6572" s="2" t="inlineStr"/>
    </row>
    <row r="6573" ht="15" customHeight="1">
      <c r="A6573" t="inlineStr">
        <is>
          <t>A 47010-2025</t>
        </is>
      </c>
      <c r="B6573" s="1" t="n">
        <v>45929.57181712963</v>
      </c>
      <c r="C6573" s="1" t="n">
        <v>45952</v>
      </c>
      <c r="D6573" t="inlineStr">
        <is>
          <t>VÄSTRA GÖTALANDS LÄN</t>
        </is>
      </c>
      <c r="E6573" t="inlineStr">
        <is>
          <t>SKARA</t>
        </is>
      </c>
      <c r="G6573" t="n">
        <v>2.5</v>
      </c>
      <c r="H6573" t="n">
        <v>0</v>
      </c>
      <c r="I6573" t="n">
        <v>0</v>
      </c>
      <c r="J6573" t="n">
        <v>0</v>
      </c>
      <c r="K6573" t="n">
        <v>0</v>
      </c>
      <c r="L6573" t="n">
        <v>0</v>
      </c>
      <c r="M6573" t="n">
        <v>0</v>
      </c>
      <c r="N6573" t="n">
        <v>0</v>
      </c>
      <c r="O6573" t="n">
        <v>0</v>
      </c>
      <c r="P6573" t="n">
        <v>0</v>
      </c>
      <c r="Q6573" t="n">
        <v>0</v>
      </c>
      <c r="R6573" s="2" t="inlineStr"/>
    </row>
    <row r="6574" ht="15" customHeight="1">
      <c r="A6574" t="inlineStr">
        <is>
          <t>A 3077-2022</t>
        </is>
      </c>
      <c r="B6574" s="1" t="n">
        <v>44582</v>
      </c>
      <c r="C6574" s="1" t="n">
        <v>45952</v>
      </c>
      <c r="D6574" t="inlineStr">
        <is>
          <t>VÄSTRA GÖTALANDS LÄN</t>
        </is>
      </c>
      <c r="E6574" t="inlineStr">
        <is>
          <t>UDDEVALLA</t>
        </is>
      </c>
      <c r="F6574" t="inlineStr">
        <is>
          <t>Kyrkan</t>
        </is>
      </c>
      <c r="G6574" t="n">
        <v>1.5</v>
      </c>
      <c r="H6574" t="n">
        <v>0</v>
      </c>
      <c r="I6574" t="n">
        <v>0</v>
      </c>
      <c r="J6574" t="n">
        <v>0</v>
      </c>
      <c r="K6574" t="n">
        <v>0</v>
      </c>
      <c r="L6574" t="n">
        <v>0</v>
      </c>
      <c r="M6574" t="n">
        <v>0</v>
      </c>
      <c r="N6574" t="n">
        <v>0</v>
      </c>
      <c r="O6574" t="n">
        <v>0</v>
      </c>
      <c r="P6574" t="n">
        <v>0</v>
      </c>
      <c r="Q6574" t="n">
        <v>0</v>
      </c>
      <c r="R6574" s="2" t="inlineStr"/>
    </row>
    <row r="6575" ht="15" customHeight="1">
      <c r="A6575" t="inlineStr">
        <is>
          <t>A 43524-2024</t>
        </is>
      </c>
      <c r="B6575" s="1" t="n">
        <v>45569.34135416667</v>
      </c>
      <c r="C6575" s="1" t="n">
        <v>45952</v>
      </c>
      <c r="D6575" t="inlineStr">
        <is>
          <t>VÄSTRA GÖTALANDS LÄN</t>
        </is>
      </c>
      <c r="E6575" t="inlineStr">
        <is>
          <t>SVENLJUNGA</t>
        </is>
      </c>
      <c r="G6575" t="n">
        <v>2.3</v>
      </c>
      <c r="H6575" t="n">
        <v>0</v>
      </c>
      <c r="I6575" t="n">
        <v>0</v>
      </c>
      <c r="J6575" t="n">
        <v>0</v>
      </c>
      <c r="K6575" t="n">
        <v>0</v>
      </c>
      <c r="L6575" t="n">
        <v>0</v>
      </c>
      <c r="M6575" t="n">
        <v>0</v>
      </c>
      <c r="N6575" t="n">
        <v>0</v>
      </c>
      <c r="O6575" t="n">
        <v>0</v>
      </c>
      <c r="P6575" t="n">
        <v>0</v>
      </c>
      <c r="Q6575" t="n">
        <v>0</v>
      </c>
      <c r="R6575" s="2" t="inlineStr"/>
    </row>
    <row r="6576" ht="15" customHeight="1">
      <c r="A6576" t="inlineStr">
        <is>
          <t>A 55405-2021</t>
        </is>
      </c>
      <c r="B6576" s="1" t="n">
        <v>44475.53733796296</v>
      </c>
      <c r="C6576" s="1" t="n">
        <v>45952</v>
      </c>
      <c r="D6576" t="inlineStr">
        <is>
          <t>VÄSTRA GÖTALANDS LÄN</t>
        </is>
      </c>
      <c r="E6576" t="inlineStr">
        <is>
          <t>ALE</t>
        </is>
      </c>
      <c r="G6576" t="n">
        <v>0.5</v>
      </c>
      <c r="H6576" t="n">
        <v>0</v>
      </c>
      <c r="I6576" t="n">
        <v>0</v>
      </c>
      <c r="J6576" t="n">
        <v>0</v>
      </c>
      <c r="K6576" t="n">
        <v>0</v>
      </c>
      <c r="L6576" t="n">
        <v>0</v>
      </c>
      <c r="M6576" t="n">
        <v>0</v>
      </c>
      <c r="N6576" t="n">
        <v>0</v>
      </c>
      <c r="O6576" t="n">
        <v>0</v>
      </c>
      <c r="P6576" t="n">
        <v>0</v>
      </c>
      <c r="Q6576" t="n">
        <v>0</v>
      </c>
      <c r="R6576" s="2" t="inlineStr"/>
    </row>
    <row r="6577" ht="15" customHeight="1">
      <c r="A6577" t="inlineStr">
        <is>
          <t>A 17260-2021</t>
        </is>
      </c>
      <c r="B6577" s="1" t="n">
        <v>44298</v>
      </c>
      <c r="C6577" s="1" t="n">
        <v>45952</v>
      </c>
      <c r="D6577" t="inlineStr">
        <is>
          <t>VÄSTRA GÖTALANDS LÄN</t>
        </is>
      </c>
      <c r="E6577" t="inlineStr">
        <is>
          <t>ALINGSÅS</t>
        </is>
      </c>
      <c r="G6577" t="n">
        <v>3.1</v>
      </c>
      <c r="H6577" t="n">
        <v>0</v>
      </c>
      <c r="I6577" t="n">
        <v>0</v>
      </c>
      <c r="J6577" t="n">
        <v>0</v>
      </c>
      <c r="K6577" t="n">
        <v>0</v>
      </c>
      <c r="L6577" t="n">
        <v>0</v>
      </c>
      <c r="M6577" t="n">
        <v>0</v>
      </c>
      <c r="N6577" t="n">
        <v>0</v>
      </c>
      <c r="O6577" t="n">
        <v>0</v>
      </c>
      <c r="P6577" t="n">
        <v>0</v>
      </c>
      <c r="Q6577" t="n">
        <v>0</v>
      </c>
      <c r="R6577" s="2" t="inlineStr"/>
    </row>
    <row r="6578" ht="15" customHeight="1">
      <c r="A6578" t="inlineStr">
        <is>
          <t>A 2866-2023</t>
        </is>
      </c>
      <c r="B6578" s="1" t="n">
        <v>44945</v>
      </c>
      <c r="C6578" s="1" t="n">
        <v>45952</v>
      </c>
      <c r="D6578" t="inlineStr">
        <is>
          <t>VÄSTRA GÖTALANDS LÄN</t>
        </is>
      </c>
      <c r="E6578" t="inlineStr">
        <is>
          <t>HJO</t>
        </is>
      </c>
      <c r="G6578" t="n">
        <v>0.6</v>
      </c>
      <c r="H6578" t="n">
        <v>0</v>
      </c>
      <c r="I6578" t="n">
        <v>0</v>
      </c>
      <c r="J6578" t="n">
        <v>0</v>
      </c>
      <c r="K6578" t="n">
        <v>0</v>
      </c>
      <c r="L6578" t="n">
        <v>0</v>
      </c>
      <c r="M6578" t="n">
        <v>0</v>
      </c>
      <c r="N6578" t="n">
        <v>0</v>
      </c>
      <c r="O6578" t="n">
        <v>0</v>
      </c>
      <c r="P6578" t="n">
        <v>0</v>
      </c>
      <c r="Q6578" t="n">
        <v>0</v>
      </c>
      <c r="R6578" s="2" t="inlineStr"/>
    </row>
    <row r="6579" ht="15" customHeight="1">
      <c r="A6579" t="inlineStr">
        <is>
          <t>A 49633-2024</t>
        </is>
      </c>
      <c r="B6579" s="1" t="n">
        <v>45596.59559027778</v>
      </c>
      <c r="C6579" s="1" t="n">
        <v>45952</v>
      </c>
      <c r="D6579" t="inlineStr">
        <is>
          <t>VÄSTRA GÖTALANDS LÄN</t>
        </is>
      </c>
      <c r="E6579" t="inlineStr">
        <is>
          <t>SOTENÄS</t>
        </is>
      </c>
      <c r="G6579" t="n">
        <v>0.8</v>
      </c>
      <c r="H6579" t="n">
        <v>0</v>
      </c>
      <c r="I6579" t="n">
        <v>0</v>
      </c>
      <c r="J6579" t="n">
        <v>0</v>
      </c>
      <c r="K6579" t="n">
        <v>0</v>
      </c>
      <c r="L6579" t="n">
        <v>0</v>
      </c>
      <c r="M6579" t="n">
        <v>0</v>
      </c>
      <c r="N6579" t="n">
        <v>0</v>
      </c>
      <c r="O6579" t="n">
        <v>0</v>
      </c>
      <c r="P6579" t="n">
        <v>0</v>
      </c>
      <c r="Q6579" t="n">
        <v>0</v>
      </c>
      <c r="R6579" s="2" t="inlineStr"/>
    </row>
    <row r="6580" ht="15" customHeight="1">
      <c r="A6580" t="inlineStr">
        <is>
          <t>A 33129-2024</t>
        </is>
      </c>
      <c r="B6580" s="1" t="n">
        <v>45518.02157407408</v>
      </c>
      <c r="C6580" s="1" t="n">
        <v>45952</v>
      </c>
      <c r="D6580" t="inlineStr">
        <is>
          <t>VÄSTRA GÖTALANDS LÄN</t>
        </is>
      </c>
      <c r="E6580" t="inlineStr">
        <is>
          <t>ULRICEHAMN</t>
        </is>
      </c>
      <c r="G6580" t="n">
        <v>2.9</v>
      </c>
      <c r="H6580" t="n">
        <v>0</v>
      </c>
      <c r="I6580" t="n">
        <v>0</v>
      </c>
      <c r="J6580" t="n">
        <v>0</v>
      </c>
      <c r="K6580" t="n">
        <v>0</v>
      </c>
      <c r="L6580" t="n">
        <v>0</v>
      </c>
      <c r="M6580" t="n">
        <v>0</v>
      </c>
      <c r="N6580" t="n">
        <v>0</v>
      </c>
      <c r="O6580" t="n">
        <v>0</v>
      </c>
      <c r="P6580" t="n">
        <v>0</v>
      </c>
      <c r="Q6580" t="n">
        <v>0</v>
      </c>
      <c r="R6580" s="2" t="inlineStr"/>
    </row>
    <row r="6581" ht="15" customHeight="1">
      <c r="A6581" t="inlineStr">
        <is>
          <t>A 40050-2023</t>
        </is>
      </c>
      <c r="B6581" s="1" t="n">
        <v>45168.7025462963</v>
      </c>
      <c r="C6581" s="1" t="n">
        <v>45952</v>
      </c>
      <c r="D6581" t="inlineStr">
        <is>
          <t>VÄSTRA GÖTALANDS LÄN</t>
        </is>
      </c>
      <c r="E6581" t="inlineStr">
        <is>
          <t>TANUM</t>
        </is>
      </c>
      <c r="G6581" t="n">
        <v>8.300000000000001</v>
      </c>
      <c r="H6581" t="n">
        <v>0</v>
      </c>
      <c r="I6581" t="n">
        <v>0</v>
      </c>
      <c r="J6581" t="n">
        <v>0</v>
      </c>
      <c r="K6581" t="n">
        <v>0</v>
      </c>
      <c r="L6581" t="n">
        <v>0</v>
      </c>
      <c r="M6581" t="n">
        <v>0</v>
      </c>
      <c r="N6581" t="n">
        <v>0</v>
      </c>
      <c r="O6581" t="n">
        <v>0</v>
      </c>
      <c r="P6581" t="n">
        <v>0</v>
      </c>
      <c r="Q6581" t="n">
        <v>0</v>
      </c>
      <c r="R6581" s="2" t="inlineStr"/>
    </row>
    <row r="6582" ht="15" customHeight="1">
      <c r="A6582" t="inlineStr">
        <is>
          <t>A 15052-2023</t>
        </is>
      </c>
      <c r="B6582" s="1" t="n">
        <v>45015.67859953704</v>
      </c>
      <c r="C6582" s="1" t="n">
        <v>45952</v>
      </c>
      <c r="D6582" t="inlineStr">
        <is>
          <t>VÄSTRA GÖTALANDS LÄN</t>
        </is>
      </c>
      <c r="E6582" t="inlineStr">
        <is>
          <t>MARIESTAD</t>
        </is>
      </c>
      <c r="G6582" t="n">
        <v>15</v>
      </c>
      <c r="H6582" t="n">
        <v>0</v>
      </c>
      <c r="I6582" t="n">
        <v>0</v>
      </c>
      <c r="J6582" t="n">
        <v>0</v>
      </c>
      <c r="K6582" t="n">
        <v>0</v>
      </c>
      <c r="L6582" t="n">
        <v>0</v>
      </c>
      <c r="M6582" t="n">
        <v>0</v>
      </c>
      <c r="N6582" t="n">
        <v>0</v>
      </c>
      <c r="O6582" t="n">
        <v>0</v>
      </c>
      <c r="P6582" t="n">
        <v>0</v>
      </c>
      <c r="Q6582" t="n">
        <v>0</v>
      </c>
      <c r="R6582" s="2" t="inlineStr"/>
    </row>
    <row r="6583" ht="15" customHeight="1">
      <c r="A6583" t="inlineStr">
        <is>
          <t>A 46928-2025</t>
        </is>
      </c>
      <c r="B6583" s="1" t="n">
        <v>45929.44091435185</v>
      </c>
      <c r="C6583" s="1" t="n">
        <v>45952</v>
      </c>
      <c r="D6583" t="inlineStr">
        <is>
          <t>VÄSTRA GÖTALANDS LÄN</t>
        </is>
      </c>
      <c r="E6583" t="inlineStr">
        <is>
          <t>GRÄSTORP</t>
        </is>
      </c>
      <c r="G6583" t="n">
        <v>1.8</v>
      </c>
      <c r="H6583" t="n">
        <v>0</v>
      </c>
      <c r="I6583" t="n">
        <v>0</v>
      </c>
      <c r="J6583" t="n">
        <v>0</v>
      </c>
      <c r="K6583" t="n">
        <v>0</v>
      </c>
      <c r="L6583" t="n">
        <v>0</v>
      </c>
      <c r="M6583" t="n">
        <v>0</v>
      </c>
      <c r="N6583" t="n">
        <v>0</v>
      </c>
      <c r="O6583" t="n">
        <v>0</v>
      </c>
      <c r="P6583" t="n">
        <v>0</v>
      </c>
      <c r="Q6583" t="n">
        <v>0</v>
      </c>
      <c r="R6583" s="2" t="inlineStr"/>
    </row>
    <row r="6584" ht="15" customHeight="1">
      <c r="A6584" t="inlineStr">
        <is>
          <t>A 43170-2021</t>
        </is>
      </c>
      <c r="B6584" s="1" t="n">
        <v>44431</v>
      </c>
      <c r="C6584" s="1" t="n">
        <v>45952</v>
      </c>
      <c r="D6584" t="inlineStr">
        <is>
          <t>VÄSTRA GÖTALANDS LÄN</t>
        </is>
      </c>
      <c r="E6584" t="inlineStr">
        <is>
          <t>UDDEVALLA</t>
        </is>
      </c>
      <c r="G6584" t="n">
        <v>13</v>
      </c>
      <c r="H6584" t="n">
        <v>0</v>
      </c>
      <c r="I6584" t="n">
        <v>0</v>
      </c>
      <c r="J6584" t="n">
        <v>0</v>
      </c>
      <c r="K6584" t="n">
        <v>0</v>
      </c>
      <c r="L6584" t="n">
        <v>0</v>
      </c>
      <c r="M6584" t="n">
        <v>0</v>
      </c>
      <c r="N6584" t="n">
        <v>0</v>
      </c>
      <c r="O6584" t="n">
        <v>0</v>
      </c>
      <c r="P6584" t="n">
        <v>0</v>
      </c>
      <c r="Q6584" t="n">
        <v>0</v>
      </c>
      <c r="R6584" s="2" t="inlineStr"/>
    </row>
    <row r="6585" ht="15" customHeight="1">
      <c r="A6585" t="inlineStr">
        <is>
          <t>A 32193-2023</t>
        </is>
      </c>
      <c r="B6585" s="1" t="n">
        <v>45119.87762731482</v>
      </c>
      <c r="C6585" s="1" t="n">
        <v>45952</v>
      </c>
      <c r="D6585" t="inlineStr">
        <is>
          <t>VÄSTRA GÖTALANDS LÄN</t>
        </is>
      </c>
      <c r="E6585" t="inlineStr">
        <is>
          <t>BORÅS</t>
        </is>
      </c>
      <c r="G6585" t="n">
        <v>1.6</v>
      </c>
      <c r="H6585" t="n">
        <v>0</v>
      </c>
      <c r="I6585" t="n">
        <v>0</v>
      </c>
      <c r="J6585" t="n">
        <v>0</v>
      </c>
      <c r="K6585" t="n">
        <v>0</v>
      </c>
      <c r="L6585" t="n">
        <v>0</v>
      </c>
      <c r="M6585" t="n">
        <v>0</v>
      </c>
      <c r="N6585" t="n">
        <v>0</v>
      </c>
      <c r="O6585" t="n">
        <v>0</v>
      </c>
      <c r="P6585" t="n">
        <v>0</v>
      </c>
      <c r="Q6585" t="n">
        <v>0</v>
      </c>
      <c r="R6585" s="2" t="inlineStr"/>
    </row>
    <row r="6586" ht="15" customHeight="1">
      <c r="A6586" t="inlineStr">
        <is>
          <t>A 10970-2024</t>
        </is>
      </c>
      <c r="B6586" s="1" t="n">
        <v>45370.51100694444</v>
      </c>
      <c r="C6586" s="1" t="n">
        <v>45952</v>
      </c>
      <c r="D6586" t="inlineStr">
        <is>
          <t>VÄSTRA GÖTALANDS LÄN</t>
        </is>
      </c>
      <c r="E6586" t="inlineStr">
        <is>
          <t>BENGTSFORS</t>
        </is>
      </c>
      <c r="G6586" t="n">
        <v>3.5</v>
      </c>
      <c r="H6586" t="n">
        <v>0</v>
      </c>
      <c r="I6586" t="n">
        <v>0</v>
      </c>
      <c r="J6586" t="n">
        <v>0</v>
      </c>
      <c r="K6586" t="n">
        <v>0</v>
      </c>
      <c r="L6586" t="n">
        <v>0</v>
      </c>
      <c r="M6586" t="n">
        <v>0</v>
      </c>
      <c r="N6586" t="n">
        <v>0</v>
      </c>
      <c r="O6586" t="n">
        <v>0</v>
      </c>
      <c r="P6586" t="n">
        <v>0</v>
      </c>
      <c r="Q6586" t="n">
        <v>0</v>
      </c>
      <c r="R6586" s="2" t="inlineStr"/>
    </row>
    <row r="6587" ht="15" customHeight="1">
      <c r="A6587" t="inlineStr">
        <is>
          <t>A 27167-2023</t>
        </is>
      </c>
      <c r="B6587" s="1" t="n">
        <v>45096</v>
      </c>
      <c r="C6587" s="1" t="n">
        <v>45952</v>
      </c>
      <c r="D6587" t="inlineStr">
        <is>
          <t>VÄSTRA GÖTALANDS LÄN</t>
        </is>
      </c>
      <c r="E6587" t="inlineStr">
        <is>
          <t>TRANEMO</t>
        </is>
      </c>
      <c r="F6587" t="inlineStr">
        <is>
          <t>Kommuner</t>
        </is>
      </c>
      <c r="G6587" t="n">
        <v>1.1</v>
      </c>
      <c r="H6587" t="n">
        <v>0</v>
      </c>
      <c r="I6587" t="n">
        <v>0</v>
      </c>
      <c r="J6587" t="n">
        <v>0</v>
      </c>
      <c r="K6587" t="n">
        <v>0</v>
      </c>
      <c r="L6587" t="n">
        <v>0</v>
      </c>
      <c r="M6587" t="n">
        <v>0</v>
      </c>
      <c r="N6587" t="n">
        <v>0</v>
      </c>
      <c r="O6587" t="n">
        <v>0</v>
      </c>
      <c r="P6587" t="n">
        <v>0</v>
      </c>
      <c r="Q6587" t="n">
        <v>0</v>
      </c>
      <c r="R6587" s="2" t="inlineStr"/>
    </row>
    <row r="6588" ht="15" customHeight="1">
      <c r="A6588" t="inlineStr">
        <is>
          <t>A 27172-2023</t>
        </is>
      </c>
      <c r="B6588" s="1" t="n">
        <v>45096</v>
      </c>
      <c r="C6588" s="1" t="n">
        <v>45952</v>
      </c>
      <c r="D6588" t="inlineStr">
        <is>
          <t>VÄSTRA GÖTALANDS LÄN</t>
        </is>
      </c>
      <c r="E6588" t="inlineStr">
        <is>
          <t>TRANEMO</t>
        </is>
      </c>
      <c r="F6588" t="inlineStr">
        <is>
          <t>Kommuner</t>
        </is>
      </c>
      <c r="G6588" t="n">
        <v>0.5</v>
      </c>
      <c r="H6588" t="n">
        <v>0</v>
      </c>
      <c r="I6588" t="n">
        <v>0</v>
      </c>
      <c r="J6588" t="n">
        <v>0</v>
      </c>
      <c r="K6588" t="n">
        <v>0</v>
      </c>
      <c r="L6588" t="n">
        <v>0</v>
      </c>
      <c r="M6588" t="n">
        <v>0</v>
      </c>
      <c r="N6588" t="n">
        <v>0</v>
      </c>
      <c r="O6588" t="n">
        <v>0</v>
      </c>
      <c r="P6588" t="n">
        <v>0</v>
      </c>
      <c r="Q6588" t="n">
        <v>0</v>
      </c>
      <c r="R6588" s="2" t="inlineStr"/>
    </row>
    <row r="6589" ht="15" customHeight="1">
      <c r="A6589" t="inlineStr">
        <is>
          <t>A 15658-2025</t>
        </is>
      </c>
      <c r="B6589" s="1" t="n">
        <v>45748.42075231481</v>
      </c>
      <c r="C6589" s="1" t="n">
        <v>45952</v>
      </c>
      <c r="D6589" t="inlineStr">
        <is>
          <t>VÄSTRA GÖTALANDS LÄN</t>
        </is>
      </c>
      <c r="E6589" t="inlineStr">
        <is>
          <t>TROLLHÄTTAN</t>
        </is>
      </c>
      <c r="G6589" t="n">
        <v>0.6</v>
      </c>
      <c r="H6589" t="n">
        <v>0</v>
      </c>
      <c r="I6589" t="n">
        <v>0</v>
      </c>
      <c r="J6589" t="n">
        <v>0</v>
      </c>
      <c r="K6589" t="n">
        <v>0</v>
      </c>
      <c r="L6589" t="n">
        <v>0</v>
      </c>
      <c r="M6589" t="n">
        <v>0</v>
      </c>
      <c r="N6589" t="n">
        <v>0</v>
      </c>
      <c r="O6589" t="n">
        <v>0</v>
      </c>
      <c r="P6589" t="n">
        <v>0</v>
      </c>
      <c r="Q6589" t="n">
        <v>0</v>
      </c>
      <c r="R6589" s="2" t="inlineStr"/>
    </row>
    <row r="6590" ht="15" customHeight="1">
      <c r="A6590" t="inlineStr">
        <is>
          <t>A 37358-2022</t>
        </is>
      </c>
      <c r="B6590" s="1" t="n">
        <v>44809.38440972222</v>
      </c>
      <c r="C6590" s="1" t="n">
        <v>45952</v>
      </c>
      <c r="D6590" t="inlineStr">
        <is>
          <t>VÄSTRA GÖTALANDS LÄN</t>
        </is>
      </c>
      <c r="E6590" t="inlineStr">
        <is>
          <t>ULRICEHAMN</t>
        </is>
      </c>
      <c r="G6590" t="n">
        <v>1.5</v>
      </c>
      <c r="H6590" t="n">
        <v>0</v>
      </c>
      <c r="I6590" t="n">
        <v>0</v>
      </c>
      <c r="J6590" t="n">
        <v>0</v>
      </c>
      <c r="K6590" t="n">
        <v>0</v>
      </c>
      <c r="L6590" t="n">
        <v>0</v>
      </c>
      <c r="M6590" t="n">
        <v>0</v>
      </c>
      <c r="N6590" t="n">
        <v>0</v>
      </c>
      <c r="O6590" t="n">
        <v>0</v>
      </c>
      <c r="P6590" t="n">
        <v>0</v>
      </c>
      <c r="Q6590" t="n">
        <v>0</v>
      </c>
      <c r="R6590" s="2" t="inlineStr"/>
    </row>
    <row r="6591" ht="15" customHeight="1">
      <c r="A6591" t="inlineStr">
        <is>
          <t>A 59446-2022</t>
        </is>
      </c>
      <c r="B6591" s="1" t="n">
        <v>44907.40200231481</v>
      </c>
      <c r="C6591" s="1" t="n">
        <v>45952</v>
      </c>
      <c r="D6591" t="inlineStr">
        <is>
          <t>VÄSTRA GÖTALANDS LÄN</t>
        </is>
      </c>
      <c r="E6591" t="inlineStr">
        <is>
          <t>BENGTSFORS</t>
        </is>
      </c>
      <c r="G6591" t="n">
        <v>3</v>
      </c>
      <c r="H6591" t="n">
        <v>0</v>
      </c>
      <c r="I6591" t="n">
        <v>0</v>
      </c>
      <c r="J6591" t="n">
        <v>0</v>
      </c>
      <c r="K6591" t="n">
        <v>0</v>
      </c>
      <c r="L6591" t="n">
        <v>0</v>
      </c>
      <c r="M6591" t="n">
        <v>0</v>
      </c>
      <c r="N6591" t="n">
        <v>0</v>
      </c>
      <c r="O6591" t="n">
        <v>0</v>
      </c>
      <c r="P6591" t="n">
        <v>0</v>
      </c>
      <c r="Q6591" t="n">
        <v>0</v>
      </c>
      <c r="R6591" s="2" t="inlineStr"/>
    </row>
    <row r="6592" ht="15" customHeight="1">
      <c r="A6592" t="inlineStr">
        <is>
          <t>A 15364-2022</t>
        </is>
      </c>
      <c r="B6592" s="1" t="n">
        <v>44659</v>
      </c>
      <c r="C6592" s="1" t="n">
        <v>45952</v>
      </c>
      <c r="D6592" t="inlineStr">
        <is>
          <t>VÄSTRA GÖTALANDS LÄN</t>
        </is>
      </c>
      <c r="E6592" t="inlineStr">
        <is>
          <t>DALS-ED</t>
        </is>
      </c>
      <c r="G6592" t="n">
        <v>6.5</v>
      </c>
      <c r="H6592" t="n">
        <v>0</v>
      </c>
      <c r="I6592" t="n">
        <v>0</v>
      </c>
      <c r="J6592" t="n">
        <v>0</v>
      </c>
      <c r="K6592" t="n">
        <v>0</v>
      </c>
      <c r="L6592" t="n">
        <v>0</v>
      </c>
      <c r="M6592" t="n">
        <v>0</v>
      </c>
      <c r="N6592" t="n">
        <v>0</v>
      </c>
      <c r="O6592" t="n">
        <v>0</v>
      </c>
      <c r="P6592" t="n">
        <v>0</v>
      </c>
      <c r="Q6592" t="n">
        <v>0</v>
      </c>
      <c r="R6592" s="2" t="inlineStr"/>
    </row>
    <row r="6593" ht="15" customHeight="1">
      <c r="A6593" t="inlineStr">
        <is>
          <t>A 45059-2025</t>
        </is>
      </c>
      <c r="B6593" s="1" t="n">
        <v>45919</v>
      </c>
      <c r="C6593" s="1" t="n">
        <v>45952</v>
      </c>
      <c r="D6593" t="inlineStr">
        <is>
          <t>VÄSTRA GÖTALANDS LÄN</t>
        </is>
      </c>
      <c r="E6593" t="inlineStr">
        <is>
          <t>UDDEVALLA</t>
        </is>
      </c>
      <c r="G6593" t="n">
        <v>4</v>
      </c>
      <c r="H6593" t="n">
        <v>0</v>
      </c>
      <c r="I6593" t="n">
        <v>0</v>
      </c>
      <c r="J6593" t="n">
        <v>0</v>
      </c>
      <c r="K6593" t="n">
        <v>0</v>
      </c>
      <c r="L6593" t="n">
        <v>0</v>
      </c>
      <c r="M6593" t="n">
        <v>0</v>
      </c>
      <c r="N6593" t="n">
        <v>0</v>
      </c>
      <c r="O6593" t="n">
        <v>0</v>
      </c>
      <c r="P6593" t="n">
        <v>0</v>
      </c>
      <c r="Q6593" t="n">
        <v>0</v>
      </c>
      <c r="R6593" s="2" t="inlineStr"/>
    </row>
    <row r="6594" ht="15" customHeight="1">
      <c r="A6594" t="inlineStr">
        <is>
          <t>A 24545-2024</t>
        </is>
      </c>
      <c r="B6594" s="1" t="n">
        <v>45460.39697916667</v>
      </c>
      <c r="C6594" s="1" t="n">
        <v>45952</v>
      </c>
      <c r="D6594" t="inlineStr">
        <is>
          <t>VÄSTRA GÖTALANDS LÄN</t>
        </is>
      </c>
      <c r="E6594" t="inlineStr">
        <is>
          <t>TÖREBODA</t>
        </is>
      </c>
      <c r="G6594" t="n">
        <v>2</v>
      </c>
      <c r="H6594" t="n">
        <v>0</v>
      </c>
      <c r="I6594" t="n">
        <v>0</v>
      </c>
      <c r="J6594" t="n">
        <v>0</v>
      </c>
      <c r="K6594" t="n">
        <v>0</v>
      </c>
      <c r="L6594" t="n">
        <v>0</v>
      </c>
      <c r="M6594" t="n">
        <v>0</v>
      </c>
      <c r="N6594" t="n">
        <v>0</v>
      </c>
      <c r="O6594" t="n">
        <v>0</v>
      </c>
      <c r="P6594" t="n">
        <v>0</v>
      </c>
      <c r="Q6594" t="n">
        <v>0</v>
      </c>
      <c r="R6594" s="2" t="inlineStr"/>
    </row>
    <row r="6595" ht="15" customHeight="1">
      <c r="A6595" t="inlineStr">
        <is>
          <t>A 59530-2022</t>
        </is>
      </c>
      <c r="B6595" s="1" t="n">
        <v>44907.55690972223</v>
      </c>
      <c r="C6595" s="1" t="n">
        <v>45952</v>
      </c>
      <c r="D6595" t="inlineStr">
        <is>
          <t>VÄSTRA GÖTALANDS LÄN</t>
        </is>
      </c>
      <c r="E6595" t="inlineStr">
        <is>
          <t>DALS-ED</t>
        </is>
      </c>
      <c r="G6595" t="n">
        <v>0.7</v>
      </c>
      <c r="H6595" t="n">
        <v>0</v>
      </c>
      <c r="I6595" t="n">
        <v>0</v>
      </c>
      <c r="J6595" t="n">
        <v>0</v>
      </c>
      <c r="K6595" t="n">
        <v>0</v>
      </c>
      <c r="L6595" t="n">
        <v>0</v>
      </c>
      <c r="M6595" t="n">
        <v>0</v>
      </c>
      <c r="N6595" t="n">
        <v>0</v>
      </c>
      <c r="O6595" t="n">
        <v>0</v>
      </c>
      <c r="P6595" t="n">
        <v>0</v>
      </c>
      <c r="Q6595" t="n">
        <v>0</v>
      </c>
      <c r="R6595" s="2" t="inlineStr"/>
    </row>
    <row r="6596" ht="15" customHeight="1">
      <c r="A6596" t="inlineStr">
        <is>
          <t>A 60721-2020</t>
        </is>
      </c>
      <c r="B6596" s="1" t="n">
        <v>44153</v>
      </c>
      <c r="C6596" s="1" t="n">
        <v>45952</v>
      </c>
      <c r="D6596" t="inlineStr">
        <is>
          <t>VÄSTRA GÖTALANDS LÄN</t>
        </is>
      </c>
      <c r="E6596" t="inlineStr">
        <is>
          <t>BORÅS</t>
        </is>
      </c>
      <c r="G6596" t="n">
        <v>0.6</v>
      </c>
      <c r="H6596" t="n">
        <v>0</v>
      </c>
      <c r="I6596" t="n">
        <v>0</v>
      </c>
      <c r="J6596" t="n">
        <v>0</v>
      </c>
      <c r="K6596" t="n">
        <v>0</v>
      </c>
      <c r="L6596" t="n">
        <v>0</v>
      </c>
      <c r="M6596" t="n">
        <v>0</v>
      </c>
      <c r="N6596" t="n">
        <v>0</v>
      </c>
      <c r="O6596" t="n">
        <v>0</v>
      </c>
      <c r="P6596" t="n">
        <v>0</v>
      </c>
      <c r="Q6596" t="n">
        <v>0</v>
      </c>
      <c r="R6596" s="2" t="inlineStr"/>
    </row>
    <row r="6597" ht="15" customHeight="1">
      <c r="A6597" t="inlineStr">
        <is>
          <t>A 57255-2022</t>
        </is>
      </c>
      <c r="B6597" s="1" t="n">
        <v>44895.78674768518</v>
      </c>
      <c r="C6597" s="1" t="n">
        <v>45952</v>
      </c>
      <c r="D6597" t="inlineStr">
        <is>
          <t>VÄSTRA GÖTALANDS LÄN</t>
        </is>
      </c>
      <c r="E6597" t="inlineStr">
        <is>
          <t>VARA</t>
        </is>
      </c>
      <c r="G6597" t="n">
        <v>1.1</v>
      </c>
      <c r="H6597" t="n">
        <v>0</v>
      </c>
      <c r="I6597" t="n">
        <v>0</v>
      </c>
      <c r="J6597" t="n">
        <v>0</v>
      </c>
      <c r="K6597" t="n">
        <v>0</v>
      </c>
      <c r="L6597" t="n">
        <v>0</v>
      </c>
      <c r="M6597" t="n">
        <v>0</v>
      </c>
      <c r="N6597" t="n">
        <v>0</v>
      </c>
      <c r="O6597" t="n">
        <v>0</v>
      </c>
      <c r="P6597" t="n">
        <v>0</v>
      </c>
      <c r="Q6597" t="n">
        <v>0</v>
      </c>
      <c r="R6597" s="2" t="inlineStr"/>
    </row>
    <row r="6598" ht="15" customHeight="1">
      <c r="A6598" t="inlineStr">
        <is>
          <t>A 57258-2022</t>
        </is>
      </c>
      <c r="B6598" s="1" t="n">
        <v>44895</v>
      </c>
      <c r="C6598" s="1" t="n">
        <v>45952</v>
      </c>
      <c r="D6598" t="inlineStr">
        <is>
          <t>VÄSTRA GÖTALANDS LÄN</t>
        </is>
      </c>
      <c r="E6598" t="inlineStr">
        <is>
          <t>SKARA</t>
        </is>
      </c>
      <c r="G6598" t="n">
        <v>4.3</v>
      </c>
      <c r="H6598" t="n">
        <v>0</v>
      </c>
      <c r="I6598" t="n">
        <v>0</v>
      </c>
      <c r="J6598" t="n">
        <v>0</v>
      </c>
      <c r="K6598" t="n">
        <v>0</v>
      </c>
      <c r="L6598" t="n">
        <v>0</v>
      </c>
      <c r="M6598" t="n">
        <v>0</v>
      </c>
      <c r="N6598" t="n">
        <v>0</v>
      </c>
      <c r="O6598" t="n">
        <v>0</v>
      </c>
      <c r="P6598" t="n">
        <v>0</v>
      </c>
      <c r="Q6598" t="n">
        <v>0</v>
      </c>
      <c r="R6598" s="2" t="inlineStr"/>
    </row>
    <row r="6599" ht="15" customHeight="1">
      <c r="A6599" t="inlineStr">
        <is>
          <t>A 57262-2022</t>
        </is>
      </c>
      <c r="B6599" s="1" t="n">
        <v>44895</v>
      </c>
      <c r="C6599" s="1" t="n">
        <v>45952</v>
      </c>
      <c r="D6599" t="inlineStr">
        <is>
          <t>VÄSTRA GÖTALANDS LÄN</t>
        </is>
      </c>
      <c r="E6599" t="inlineStr">
        <is>
          <t>DALS-ED</t>
        </is>
      </c>
      <c r="F6599" t="inlineStr">
        <is>
          <t>Kommuner</t>
        </is>
      </c>
      <c r="G6599" t="n">
        <v>0.5</v>
      </c>
      <c r="H6599" t="n">
        <v>0</v>
      </c>
      <c r="I6599" t="n">
        <v>0</v>
      </c>
      <c r="J6599" t="n">
        <v>0</v>
      </c>
      <c r="K6599" t="n">
        <v>0</v>
      </c>
      <c r="L6599" t="n">
        <v>0</v>
      </c>
      <c r="M6599" t="n">
        <v>0</v>
      </c>
      <c r="N6599" t="n">
        <v>0</v>
      </c>
      <c r="O6599" t="n">
        <v>0</v>
      </c>
      <c r="P6599" t="n">
        <v>0</v>
      </c>
      <c r="Q6599" t="n">
        <v>0</v>
      </c>
      <c r="R6599" s="2" t="inlineStr"/>
    </row>
    <row r="6600" ht="15" customHeight="1">
      <c r="A6600" t="inlineStr">
        <is>
          <t>A 51488-2022</t>
        </is>
      </c>
      <c r="B6600" s="1" t="n">
        <v>44869</v>
      </c>
      <c r="C6600" s="1" t="n">
        <v>45952</v>
      </c>
      <c r="D6600" t="inlineStr">
        <is>
          <t>VÄSTRA GÖTALANDS LÄN</t>
        </is>
      </c>
      <c r="E6600" t="inlineStr">
        <is>
          <t>LILLA EDET</t>
        </is>
      </c>
      <c r="G6600" t="n">
        <v>2.5</v>
      </c>
      <c r="H6600" t="n">
        <v>0</v>
      </c>
      <c r="I6600" t="n">
        <v>0</v>
      </c>
      <c r="J6600" t="n">
        <v>0</v>
      </c>
      <c r="K6600" t="n">
        <v>0</v>
      </c>
      <c r="L6600" t="n">
        <v>0</v>
      </c>
      <c r="M6600" t="n">
        <v>0</v>
      </c>
      <c r="N6600" t="n">
        <v>0</v>
      </c>
      <c r="O6600" t="n">
        <v>0</v>
      </c>
      <c r="P6600" t="n">
        <v>0</v>
      </c>
      <c r="Q6600" t="n">
        <v>0</v>
      </c>
      <c r="R6600" s="2" t="inlineStr"/>
    </row>
    <row r="6601" ht="15" customHeight="1">
      <c r="A6601" t="inlineStr">
        <is>
          <t>A 25911-2022</t>
        </is>
      </c>
      <c r="B6601" s="1" t="n">
        <v>44734</v>
      </c>
      <c r="C6601" s="1" t="n">
        <v>45952</v>
      </c>
      <c r="D6601" t="inlineStr">
        <is>
          <t>VÄSTRA GÖTALANDS LÄN</t>
        </is>
      </c>
      <c r="E6601" t="inlineStr">
        <is>
          <t>MARK</t>
        </is>
      </c>
      <c r="G6601" t="n">
        <v>2.2</v>
      </c>
      <c r="H6601" t="n">
        <v>0</v>
      </c>
      <c r="I6601" t="n">
        <v>0</v>
      </c>
      <c r="J6601" t="n">
        <v>0</v>
      </c>
      <c r="K6601" t="n">
        <v>0</v>
      </c>
      <c r="L6601" t="n">
        <v>0</v>
      </c>
      <c r="M6601" t="n">
        <v>0</v>
      </c>
      <c r="N6601" t="n">
        <v>0</v>
      </c>
      <c r="O6601" t="n">
        <v>0</v>
      </c>
      <c r="P6601" t="n">
        <v>0</v>
      </c>
      <c r="Q6601" t="n">
        <v>0</v>
      </c>
      <c r="R6601" s="2" t="inlineStr"/>
    </row>
    <row r="6602" ht="15" customHeight="1">
      <c r="A6602" t="inlineStr">
        <is>
          <t>A 62122-2024</t>
        </is>
      </c>
      <c r="B6602" s="1" t="n">
        <v>45656.57710648148</v>
      </c>
      <c r="C6602" s="1" t="n">
        <v>45952</v>
      </c>
      <c r="D6602" t="inlineStr">
        <is>
          <t>VÄSTRA GÖTALANDS LÄN</t>
        </is>
      </c>
      <c r="E6602" t="inlineStr">
        <is>
          <t>ESSUNGA</t>
        </is>
      </c>
      <c r="G6602" t="n">
        <v>6.5</v>
      </c>
      <c r="H6602" t="n">
        <v>0</v>
      </c>
      <c r="I6602" t="n">
        <v>0</v>
      </c>
      <c r="J6602" t="n">
        <v>0</v>
      </c>
      <c r="K6602" t="n">
        <v>0</v>
      </c>
      <c r="L6602" t="n">
        <v>0</v>
      </c>
      <c r="M6602" t="n">
        <v>0</v>
      </c>
      <c r="N6602" t="n">
        <v>0</v>
      </c>
      <c r="O6602" t="n">
        <v>0</v>
      </c>
      <c r="P6602" t="n">
        <v>0</v>
      </c>
      <c r="Q6602" t="n">
        <v>0</v>
      </c>
      <c r="R6602" s="2" t="inlineStr"/>
    </row>
    <row r="6603" ht="15" customHeight="1">
      <c r="A6603" t="inlineStr">
        <is>
          <t>A 60091-2023</t>
        </is>
      </c>
      <c r="B6603" s="1" t="n">
        <v>45258.44322916667</v>
      </c>
      <c r="C6603" s="1" t="n">
        <v>45952</v>
      </c>
      <c r="D6603" t="inlineStr">
        <is>
          <t>VÄSTRA GÖTALANDS LÄN</t>
        </is>
      </c>
      <c r="E6603" t="inlineStr">
        <is>
          <t>GULLSPÅNG</t>
        </is>
      </c>
      <c r="G6603" t="n">
        <v>1.4</v>
      </c>
      <c r="H6603" t="n">
        <v>0</v>
      </c>
      <c r="I6603" t="n">
        <v>0</v>
      </c>
      <c r="J6603" t="n">
        <v>0</v>
      </c>
      <c r="K6603" t="n">
        <v>0</v>
      </c>
      <c r="L6603" t="n">
        <v>0</v>
      </c>
      <c r="M6603" t="n">
        <v>0</v>
      </c>
      <c r="N6603" t="n">
        <v>0</v>
      </c>
      <c r="O6603" t="n">
        <v>0</v>
      </c>
      <c r="P6603" t="n">
        <v>0</v>
      </c>
      <c r="Q6603" t="n">
        <v>0</v>
      </c>
      <c r="R6603" s="2" t="inlineStr"/>
    </row>
    <row r="6604" ht="15" customHeight="1">
      <c r="A6604" t="inlineStr">
        <is>
          <t>A 26441-2022</t>
        </is>
      </c>
      <c r="B6604" s="1" t="n">
        <v>44738</v>
      </c>
      <c r="C6604" s="1" t="n">
        <v>45952</v>
      </c>
      <c r="D6604" t="inlineStr">
        <is>
          <t>VÄSTRA GÖTALANDS LÄN</t>
        </is>
      </c>
      <c r="E6604" t="inlineStr">
        <is>
          <t>GULLSPÅNG</t>
        </is>
      </c>
      <c r="G6604" t="n">
        <v>3</v>
      </c>
      <c r="H6604" t="n">
        <v>0</v>
      </c>
      <c r="I6604" t="n">
        <v>0</v>
      </c>
      <c r="J6604" t="n">
        <v>0</v>
      </c>
      <c r="K6604" t="n">
        <v>0</v>
      </c>
      <c r="L6604" t="n">
        <v>0</v>
      </c>
      <c r="M6604" t="n">
        <v>0</v>
      </c>
      <c r="N6604" t="n">
        <v>0</v>
      </c>
      <c r="O6604" t="n">
        <v>0</v>
      </c>
      <c r="P6604" t="n">
        <v>0</v>
      </c>
      <c r="Q6604" t="n">
        <v>0</v>
      </c>
      <c r="R6604" s="2" t="inlineStr"/>
    </row>
    <row r="6605" ht="15" customHeight="1">
      <c r="A6605" t="inlineStr">
        <is>
          <t>A 26508-2022</t>
        </is>
      </c>
      <c r="B6605" s="1" t="n">
        <v>44739</v>
      </c>
      <c r="C6605" s="1" t="n">
        <v>45952</v>
      </c>
      <c r="D6605" t="inlineStr">
        <is>
          <t>VÄSTRA GÖTALANDS LÄN</t>
        </is>
      </c>
      <c r="E6605" t="inlineStr">
        <is>
          <t>TANUM</t>
        </is>
      </c>
      <c r="G6605" t="n">
        <v>0.7</v>
      </c>
      <c r="H6605" t="n">
        <v>0</v>
      </c>
      <c r="I6605" t="n">
        <v>0</v>
      </c>
      <c r="J6605" t="n">
        <v>0</v>
      </c>
      <c r="K6605" t="n">
        <v>0</v>
      </c>
      <c r="L6605" t="n">
        <v>0</v>
      </c>
      <c r="M6605" t="n">
        <v>0</v>
      </c>
      <c r="N6605" t="n">
        <v>0</v>
      </c>
      <c r="O6605" t="n">
        <v>0</v>
      </c>
      <c r="P6605" t="n">
        <v>0</v>
      </c>
      <c r="Q6605" t="n">
        <v>0</v>
      </c>
      <c r="R6605" s="2" t="inlineStr"/>
    </row>
    <row r="6606" ht="15" customHeight="1">
      <c r="A6606" t="inlineStr">
        <is>
          <t>A 47357-2022</t>
        </is>
      </c>
      <c r="B6606" s="1" t="n">
        <v>44853.42767361111</v>
      </c>
      <c r="C6606" s="1" t="n">
        <v>45952</v>
      </c>
      <c r="D6606" t="inlineStr">
        <is>
          <t>VÄSTRA GÖTALANDS LÄN</t>
        </is>
      </c>
      <c r="E6606" t="inlineStr">
        <is>
          <t>TRANEMO</t>
        </is>
      </c>
      <c r="G6606" t="n">
        <v>3.1</v>
      </c>
      <c r="H6606" t="n">
        <v>0</v>
      </c>
      <c r="I6606" t="n">
        <v>0</v>
      </c>
      <c r="J6606" t="n">
        <v>0</v>
      </c>
      <c r="K6606" t="n">
        <v>0</v>
      </c>
      <c r="L6606" t="n">
        <v>0</v>
      </c>
      <c r="M6606" t="n">
        <v>0</v>
      </c>
      <c r="N6606" t="n">
        <v>0</v>
      </c>
      <c r="O6606" t="n">
        <v>0</v>
      </c>
      <c r="P6606" t="n">
        <v>0</v>
      </c>
      <c r="Q6606" t="n">
        <v>0</v>
      </c>
      <c r="R6606" s="2" t="inlineStr"/>
    </row>
    <row r="6607" ht="15" customHeight="1">
      <c r="A6607" t="inlineStr">
        <is>
          <t>A 46529-2025</t>
        </is>
      </c>
      <c r="B6607" s="1" t="n">
        <v>45926.33585648148</v>
      </c>
      <c r="C6607" s="1" t="n">
        <v>45952</v>
      </c>
      <c r="D6607" t="inlineStr">
        <is>
          <t>VÄSTRA GÖTALANDS LÄN</t>
        </is>
      </c>
      <c r="E6607" t="inlineStr">
        <is>
          <t>TANUM</t>
        </is>
      </c>
      <c r="G6607" t="n">
        <v>1.5</v>
      </c>
      <c r="H6607" t="n">
        <v>0</v>
      </c>
      <c r="I6607" t="n">
        <v>0</v>
      </c>
      <c r="J6607" t="n">
        <v>0</v>
      </c>
      <c r="K6607" t="n">
        <v>0</v>
      </c>
      <c r="L6607" t="n">
        <v>0</v>
      </c>
      <c r="M6607" t="n">
        <v>0</v>
      </c>
      <c r="N6607" t="n">
        <v>0</v>
      </c>
      <c r="O6607" t="n">
        <v>0</v>
      </c>
      <c r="P6607" t="n">
        <v>0</v>
      </c>
      <c r="Q6607" t="n">
        <v>0</v>
      </c>
      <c r="R6607" s="2" t="inlineStr"/>
    </row>
    <row r="6608" ht="15" customHeight="1">
      <c r="A6608" t="inlineStr">
        <is>
          <t>A 59734-2023</t>
        </is>
      </c>
      <c r="B6608" s="1" t="n">
        <v>45257.36528935185</v>
      </c>
      <c r="C6608" s="1" t="n">
        <v>45952</v>
      </c>
      <c r="D6608" t="inlineStr">
        <is>
          <t>VÄSTRA GÖTALANDS LÄN</t>
        </is>
      </c>
      <c r="E6608" t="inlineStr">
        <is>
          <t>TRANEMO</t>
        </is>
      </c>
      <c r="G6608" t="n">
        <v>3.2</v>
      </c>
      <c r="H6608" t="n">
        <v>0</v>
      </c>
      <c r="I6608" t="n">
        <v>0</v>
      </c>
      <c r="J6608" t="n">
        <v>0</v>
      </c>
      <c r="K6608" t="n">
        <v>0</v>
      </c>
      <c r="L6608" t="n">
        <v>0</v>
      </c>
      <c r="M6608" t="n">
        <v>0</v>
      </c>
      <c r="N6608" t="n">
        <v>0</v>
      </c>
      <c r="O6608" t="n">
        <v>0</v>
      </c>
      <c r="P6608" t="n">
        <v>0</v>
      </c>
      <c r="Q6608" t="n">
        <v>0</v>
      </c>
      <c r="R6608" s="2" t="inlineStr"/>
    </row>
    <row r="6609" ht="15" customHeight="1">
      <c r="A6609" t="inlineStr">
        <is>
          <t>A 46535-2025</t>
        </is>
      </c>
      <c r="B6609" s="1" t="n">
        <v>45926.3405787037</v>
      </c>
      <c r="C6609" s="1" t="n">
        <v>45952</v>
      </c>
      <c r="D6609" t="inlineStr">
        <is>
          <t>VÄSTRA GÖTALANDS LÄN</t>
        </is>
      </c>
      <c r="E6609" t="inlineStr">
        <is>
          <t>ESSUNGA</t>
        </is>
      </c>
      <c r="G6609" t="n">
        <v>2.1</v>
      </c>
      <c r="H6609" t="n">
        <v>0</v>
      </c>
      <c r="I6609" t="n">
        <v>0</v>
      </c>
      <c r="J6609" t="n">
        <v>0</v>
      </c>
      <c r="K6609" t="n">
        <v>0</v>
      </c>
      <c r="L6609" t="n">
        <v>0</v>
      </c>
      <c r="M6609" t="n">
        <v>0</v>
      </c>
      <c r="N6609" t="n">
        <v>0</v>
      </c>
      <c r="O6609" t="n">
        <v>0</v>
      </c>
      <c r="P6609" t="n">
        <v>0</v>
      </c>
      <c r="Q6609" t="n">
        <v>0</v>
      </c>
      <c r="R6609" s="2" t="inlineStr"/>
    </row>
    <row r="6610" ht="15" customHeight="1">
      <c r="A6610" t="inlineStr">
        <is>
          <t>A 45518-2023</t>
        </is>
      </c>
      <c r="B6610" s="1" t="n">
        <v>45194.4964699074</v>
      </c>
      <c r="C6610" s="1" t="n">
        <v>45952</v>
      </c>
      <c r="D6610" t="inlineStr">
        <is>
          <t>VÄSTRA GÖTALANDS LÄN</t>
        </is>
      </c>
      <c r="E6610" t="inlineStr">
        <is>
          <t>HERRLJUNGA</t>
        </is>
      </c>
      <c r="G6610" t="n">
        <v>6.5</v>
      </c>
      <c r="H6610" t="n">
        <v>0</v>
      </c>
      <c r="I6610" t="n">
        <v>0</v>
      </c>
      <c r="J6610" t="n">
        <v>0</v>
      </c>
      <c r="K6610" t="n">
        <v>0</v>
      </c>
      <c r="L6610" t="n">
        <v>0</v>
      </c>
      <c r="M6610" t="n">
        <v>0</v>
      </c>
      <c r="N6610" t="n">
        <v>0</v>
      </c>
      <c r="O6610" t="n">
        <v>0</v>
      </c>
      <c r="P6610" t="n">
        <v>0</v>
      </c>
      <c r="Q6610" t="n">
        <v>0</v>
      </c>
      <c r="R6610" s="2" t="inlineStr"/>
    </row>
    <row r="6611" ht="15" customHeight="1">
      <c r="A6611" t="inlineStr">
        <is>
          <t>A 16703-2025</t>
        </is>
      </c>
      <c r="B6611" s="1" t="n">
        <v>45754.46989583333</v>
      </c>
      <c r="C6611" s="1" t="n">
        <v>45952</v>
      </c>
      <c r="D6611" t="inlineStr">
        <is>
          <t>VÄSTRA GÖTALANDS LÄN</t>
        </is>
      </c>
      <c r="E6611" t="inlineStr">
        <is>
          <t>TÖREBODA</t>
        </is>
      </c>
      <c r="G6611" t="n">
        <v>2.5</v>
      </c>
      <c r="H6611" t="n">
        <v>0</v>
      </c>
      <c r="I6611" t="n">
        <v>0</v>
      </c>
      <c r="J6611" t="n">
        <v>0</v>
      </c>
      <c r="K6611" t="n">
        <v>0</v>
      </c>
      <c r="L6611" t="n">
        <v>0</v>
      </c>
      <c r="M6611" t="n">
        <v>0</v>
      </c>
      <c r="N6611" t="n">
        <v>0</v>
      </c>
      <c r="O6611" t="n">
        <v>0</v>
      </c>
      <c r="P6611" t="n">
        <v>0</v>
      </c>
      <c r="Q6611" t="n">
        <v>0</v>
      </c>
      <c r="R6611" s="2" t="inlineStr"/>
    </row>
    <row r="6612" ht="15" customHeight="1">
      <c r="A6612" t="inlineStr">
        <is>
          <t>A 16716-2025</t>
        </is>
      </c>
      <c r="B6612" s="1" t="n">
        <v>45754.48701388889</v>
      </c>
      <c r="C6612" s="1" t="n">
        <v>45952</v>
      </c>
      <c r="D6612" t="inlineStr">
        <is>
          <t>VÄSTRA GÖTALANDS LÄN</t>
        </is>
      </c>
      <c r="E6612" t="inlineStr">
        <is>
          <t>SKÖVDE</t>
        </is>
      </c>
      <c r="G6612" t="n">
        <v>1.1</v>
      </c>
      <c r="H6612" t="n">
        <v>0</v>
      </c>
      <c r="I6612" t="n">
        <v>0</v>
      </c>
      <c r="J6612" t="n">
        <v>0</v>
      </c>
      <c r="K6612" t="n">
        <v>0</v>
      </c>
      <c r="L6612" t="n">
        <v>0</v>
      </c>
      <c r="M6612" t="n">
        <v>0</v>
      </c>
      <c r="N6612" t="n">
        <v>0</v>
      </c>
      <c r="O6612" t="n">
        <v>0</v>
      </c>
      <c r="P6612" t="n">
        <v>0</v>
      </c>
      <c r="Q6612" t="n">
        <v>0</v>
      </c>
      <c r="R6612" s="2" t="inlineStr"/>
    </row>
    <row r="6613" ht="15" customHeight="1">
      <c r="A6613" t="inlineStr">
        <is>
          <t>A 46959-2025</t>
        </is>
      </c>
      <c r="B6613" s="1" t="n">
        <v>45929.48538194445</v>
      </c>
      <c r="C6613" s="1" t="n">
        <v>45952</v>
      </c>
      <c r="D6613" t="inlineStr">
        <is>
          <t>VÄSTRA GÖTALANDS LÄN</t>
        </is>
      </c>
      <c r="E6613" t="inlineStr">
        <is>
          <t>GÖTENE</t>
        </is>
      </c>
      <c r="G6613" t="n">
        <v>2.6</v>
      </c>
      <c r="H6613" t="n">
        <v>0</v>
      </c>
      <c r="I6613" t="n">
        <v>0</v>
      </c>
      <c r="J6613" t="n">
        <v>0</v>
      </c>
      <c r="K6613" t="n">
        <v>0</v>
      </c>
      <c r="L6613" t="n">
        <v>0</v>
      </c>
      <c r="M6613" t="n">
        <v>0</v>
      </c>
      <c r="N6613" t="n">
        <v>0</v>
      </c>
      <c r="O6613" t="n">
        <v>0</v>
      </c>
      <c r="P6613" t="n">
        <v>0</v>
      </c>
      <c r="Q6613" t="n">
        <v>0</v>
      </c>
      <c r="R6613" s="2" t="inlineStr"/>
    </row>
    <row r="6614" ht="15" customHeight="1">
      <c r="A6614" t="inlineStr">
        <is>
          <t>A 46967-2025</t>
        </is>
      </c>
      <c r="B6614" s="1" t="n">
        <v>45929.49907407408</v>
      </c>
      <c r="C6614" s="1" t="n">
        <v>45952</v>
      </c>
      <c r="D6614" t="inlineStr">
        <is>
          <t>VÄSTRA GÖTALANDS LÄN</t>
        </is>
      </c>
      <c r="E6614" t="inlineStr">
        <is>
          <t>BORÅS</t>
        </is>
      </c>
      <c r="G6614" t="n">
        <v>1.1</v>
      </c>
      <c r="H6614" t="n">
        <v>0</v>
      </c>
      <c r="I6614" t="n">
        <v>0</v>
      </c>
      <c r="J6614" t="n">
        <v>0</v>
      </c>
      <c r="K6614" t="n">
        <v>0</v>
      </c>
      <c r="L6614" t="n">
        <v>0</v>
      </c>
      <c r="M6614" t="n">
        <v>0</v>
      </c>
      <c r="N6614" t="n">
        <v>0</v>
      </c>
      <c r="O6614" t="n">
        <v>0</v>
      </c>
      <c r="P6614" t="n">
        <v>0</v>
      </c>
      <c r="Q6614" t="n">
        <v>0</v>
      </c>
      <c r="R6614" s="2" t="inlineStr"/>
    </row>
    <row r="6615" ht="15" customHeight="1">
      <c r="A6615" t="inlineStr">
        <is>
          <t>A 46977-2025</t>
        </is>
      </c>
      <c r="B6615" s="1" t="n">
        <v>45929.51806712963</v>
      </c>
      <c r="C6615" s="1" t="n">
        <v>45952</v>
      </c>
      <c r="D6615" t="inlineStr">
        <is>
          <t>VÄSTRA GÖTALANDS LÄN</t>
        </is>
      </c>
      <c r="E6615" t="inlineStr">
        <is>
          <t>DALS-ED</t>
        </is>
      </c>
      <c r="G6615" t="n">
        <v>3.5</v>
      </c>
      <c r="H6615" t="n">
        <v>0</v>
      </c>
      <c r="I6615" t="n">
        <v>0</v>
      </c>
      <c r="J6615" t="n">
        <v>0</v>
      </c>
      <c r="K6615" t="n">
        <v>0</v>
      </c>
      <c r="L6615" t="n">
        <v>0</v>
      </c>
      <c r="M6615" t="n">
        <v>0</v>
      </c>
      <c r="N6615" t="n">
        <v>0</v>
      </c>
      <c r="O6615" t="n">
        <v>0</v>
      </c>
      <c r="P6615" t="n">
        <v>0</v>
      </c>
      <c r="Q6615" t="n">
        <v>0</v>
      </c>
      <c r="R6615" s="2" t="inlineStr"/>
    </row>
    <row r="6616" ht="15" customHeight="1">
      <c r="A6616" t="inlineStr">
        <is>
          <t>A 38595-2023</t>
        </is>
      </c>
      <c r="B6616" s="1" t="n">
        <v>45162.64134259259</v>
      </c>
      <c r="C6616" s="1" t="n">
        <v>45952</v>
      </c>
      <c r="D6616" t="inlineStr">
        <is>
          <t>VÄSTRA GÖTALANDS LÄN</t>
        </is>
      </c>
      <c r="E6616" t="inlineStr">
        <is>
          <t>ULRICEHAMN</t>
        </is>
      </c>
      <c r="G6616" t="n">
        <v>3</v>
      </c>
      <c r="H6616" t="n">
        <v>0</v>
      </c>
      <c r="I6616" t="n">
        <v>0</v>
      </c>
      <c r="J6616" t="n">
        <v>0</v>
      </c>
      <c r="K6616" t="n">
        <v>0</v>
      </c>
      <c r="L6616" t="n">
        <v>0</v>
      </c>
      <c r="M6616" t="n">
        <v>0</v>
      </c>
      <c r="N6616" t="n">
        <v>0</v>
      </c>
      <c r="O6616" t="n">
        <v>0</v>
      </c>
      <c r="P6616" t="n">
        <v>0</v>
      </c>
      <c r="Q6616" t="n">
        <v>0</v>
      </c>
      <c r="R6616" s="2" t="inlineStr"/>
    </row>
    <row r="6617" ht="15" customHeight="1">
      <c r="A6617" t="inlineStr">
        <is>
          <t>A 58049-2023</t>
        </is>
      </c>
      <c r="B6617" s="1" t="n">
        <v>45247</v>
      </c>
      <c r="C6617" s="1" t="n">
        <v>45952</v>
      </c>
      <c r="D6617" t="inlineStr">
        <is>
          <t>VÄSTRA GÖTALANDS LÄN</t>
        </is>
      </c>
      <c r="E6617" t="inlineStr">
        <is>
          <t>VÅRGÅRDA</t>
        </is>
      </c>
      <c r="G6617" t="n">
        <v>2.2</v>
      </c>
      <c r="H6617" t="n">
        <v>0</v>
      </c>
      <c r="I6617" t="n">
        <v>0</v>
      </c>
      <c r="J6617" t="n">
        <v>0</v>
      </c>
      <c r="K6617" t="n">
        <v>0</v>
      </c>
      <c r="L6617" t="n">
        <v>0</v>
      </c>
      <c r="M6617" t="n">
        <v>0</v>
      </c>
      <c r="N6617" t="n">
        <v>0</v>
      </c>
      <c r="O6617" t="n">
        <v>0</v>
      </c>
      <c r="P6617" t="n">
        <v>0</v>
      </c>
      <c r="Q6617" t="n">
        <v>0</v>
      </c>
      <c r="R6617" s="2" t="inlineStr"/>
    </row>
    <row r="6618" ht="15" customHeight="1">
      <c r="A6618" t="inlineStr">
        <is>
          <t>A 548-2022</t>
        </is>
      </c>
      <c r="B6618" s="1" t="n">
        <v>44566.64864583333</v>
      </c>
      <c r="C6618" s="1" t="n">
        <v>45952</v>
      </c>
      <c r="D6618" t="inlineStr">
        <is>
          <t>VÄSTRA GÖTALANDS LÄN</t>
        </is>
      </c>
      <c r="E6618" t="inlineStr">
        <is>
          <t>ULRICEHAMN</t>
        </is>
      </c>
      <c r="G6618" t="n">
        <v>0.7</v>
      </c>
      <c r="H6618" t="n">
        <v>0</v>
      </c>
      <c r="I6618" t="n">
        <v>0</v>
      </c>
      <c r="J6618" t="n">
        <v>0</v>
      </c>
      <c r="K6618" t="n">
        <v>0</v>
      </c>
      <c r="L6618" t="n">
        <v>0</v>
      </c>
      <c r="M6618" t="n">
        <v>0</v>
      </c>
      <c r="N6618" t="n">
        <v>0</v>
      </c>
      <c r="O6618" t="n">
        <v>0</v>
      </c>
      <c r="P6618" t="n">
        <v>0</v>
      </c>
      <c r="Q6618" t="n">
        <v>0</v>
      </c>
      <c r="R6618" s="2" t="inlineStr"/>
    </row>
    <row r="6619" ht="15" customHeight="1">
      <c r="A6619" t="inlineStr">
        <is>
          <t>A 58330-2021</t>
        </is>
      </c>
      <c r="B6619" s="1" t="n">
        <v>44488</v>
      </c>
      <c r="C6619" s="1" t="n">
        <v>45952</v>
      </c>
      <c r="D6619" t="inlineStr">
        <is>
          <t>VÄSTRA GÖTALANDS LÄN</t>
        </is>
      </c>
      <c r="E6619" t="inlineStr">
        <is>
          <t>FÄRGELANDA</t>
        </is>
      </c>
      <c r="G6619" t="n">
        <v>10.1</v>
      </c>
      <c r="H6619" t="n">
        <v>0</v>
      </c>
      <c r="I6619" t="n">
        <v>0</v>
      </c>
      <c r="J6619" t="n">
        <v>0</v>
      </c>
      <c r="K6619" t="n">
        <v>0</v>
      </c>
      <c r="L6619" t="n">
        <v>0</v>
      </c>
      <c r="M6619" t="n">
        <v>0</v>
      </c>
      <c r="N6619" t="n">
        <v>0</v>
      </c>
      <c r="O6619" t="n">
        <v>0</v>
      </c>
      <c r="P6619" t="n">
        <v>0</v>
      </c>
      <c r="Q6619" t="n">
        <v>0</v>
      </c>
      <c r="R6619" s="2" t="inlineStr"/>
    </row>
    <row r="6620" ht="15" customHeight="1">
      <c r="A6620" t="inlineStr">
        <is>
          <t>A 38632-2025</t>
        </is>
      </c>
      <c r="B6620" s="1" t="n">
        <v>45884.56457175926</v>
      </c>
      <c r="C6620" s="1" t="n">
        <v>45952</v>
      </c>
      <c r="D6620" t="inlineStr">
        <is>
          <t>VÄSTRA GÖTALANDS LÄN</t>
        </is>
      </c>
      <c r="E6620" t="inlineStr">
        <is>
          <t>SVENLJUNGA</t>
        </is>
      </c>
      <c r="G6620" t="n">
        <v>2.4</v>
      </c>
      <c r="H6620" t="n">
        <v>0</v>
      </c>
      <c r="I6620" t="n">
        <v>0</v>
      </c>
      <c r="J6620" t="n">
        <v>0</v>
      </c>
      <c r="K6620" t="n">
        <v>0</v>
      </c>
      <c r="L6620" t="n">
        <v>0</v>
      </c>
      <c r="M6620" t="n">
        <v>0</v>
      </c>
      <c r="N6620" t="n">
        <v>0</v>
      </c>
      <c r="O6620" t="n">
        <v>0</v>
      </c>
      <c r="P6620" t="n">
        <v>0</v>
      </c>
      <c r="Q6620" t="n">
        <v>0</v>
      </c>
      <c r="R6620" s="2" t="inlineStr"/>
    </row>
    <row r="6621" ht="15" customHeight="1">
      <c r="A6621" t="inlineStr">
        <is>
          <t>A 823-2023</t>
        </is>
      </c>
      <c r="B6621" s="1" t="n">
        <v>44929</v>
      </c>
      <c r="C6621" s="1" t="n">
        <v>45952</v>
      </c>
      <c r="D6621" t="inlineStr">
        <is>
          <t>VÄSTRA GÖTALANDS LÄN</t>
        </is>
      </c>
      <c r="E6621" t="inlineStr">
        <is>
          <t>ULRICEHAMN</t>
        </is>
      </c>
      <c r="G6621" t="n">
        <v>5.4</v>
      </c>
      <c r="H6621" t="n">
        <v>0</v>
      </c>
      <c r="I6621" t="n">
        <v>0</v>
      </c>
      <c r="J6621" t="n">
        <v>0</v>
      </c>
      <c r="K6621" t="n">
        <v>0</v>
      </c>
      <c r="L6621" t="n">
        <v>0</v>
      </c>
      <c r="M6621" t="n">
        <v>0</v>
      </c>
      <c r="N6621" t="n">
        <v>0</v>
      </c>
      <c r="O6621" t="n">
        <v>0</v>
      </c>
      <c r="P6621" t="n">
        <v>0</v>
      </c>
      <c r="Q6621" t="n">
        <v>0</v>
      </c>
      <c r="R6621" s="2" t="inlineStr"/>
    </row>
    <row r="6622" ht="15" customHeight="1">
      <c r="A6622" t="inlineStr">
        <is>
          <t>A 39991-2022</t>
        </is>
      </c>
      <c r="B6622" s="1" t="n">
        <v>44820.35342592592</v>
      </c>
      <c r="C6622" s="1" t="n">
        <v>45952</v>
      </c>
      <c r="D6622" t="inlineStr">
        <is>
          <t>VÄSTRA GÖTALANDS LÄN</t>
        </is>
      </c>
      <c r="E6622" t="inlineStr">
        <is>
          <t>UDDEVALLA</t>
        </is>
      </c>
      <c r="G6622" t="n">
        <v>7.7</v>
      </c>
      <c r="H6622" t="n">
        <v>0</v>
      </c>
      <c r="I6622" t="n">
        <v>0</v>
      </c>
      <c r="J6622" t="n">
        <v>0</v>
      </c>
      <c r="K6622" t="n">
        <v>0</v>
      </c>
      <c r="L6622" t="n">
        <v>0</v>
      </c>
      <c r="M6622" t="n">
        <v>0</v>
      </c>
      <c r="N6622" t="n">
        <v>0</v>
      </c>
      <c r="O6622" t="n">
        <v>0</v>
      </c>
      <c r="P6622" t="n">
        <v>0</v>
      </c>
      <c r="Q6622" t="n">
        <v>0</v>
      </c>
      <c r="R6622" s="2" t="inlineStr"/>
    </row>
    <row r="6623" ht="15" customHeight="1">
      <c r="A6623" t="inlineStr">
        <is>
          <t>A 40650-2022</t>
        </is>
      </c>
      <c r="B6623" s="1" t="n">
        <v>44824.34364583333</v>
      </c>
      <c r="C6623" s="1" t="n">
        <v>45952</v>
      </c>
      <c r="D6623" t="inlineStr">
        <is>
          <t>VÄSTRA GÖTALANDS LÄN</t>
        </is>
      </c>
      <c r="E6623" t="inlineStr">
        <is>
          <t>ULRICEHAMN</t>
        </is>
      </c>
      <c r="G6623" t="n">
        <v>4.7</v>
      </c>
      <c r="H6623" t="n">
        <v>0</v>
      </c>
      <c r="I6623" t="n">
        <v>0</v>
      </c>
      <c r="J6623" t="n">
        <v>0</v>
      </c>
      <c r="K6623" t="n">
        <v>0</v>
      </c>
      <c r="L6623" t="n">
        <v>0</v>
      </c>
      <c r="M6623" t="n">
        <v>0</v>
      </c>
      <c r="N6623" t="n">
        <v>0</v>
      </c>
      <c r="O6623" t="n">
        <v>0</v>
      </c>
      <c r="P6623" t="n">
        <v>0</v>
      </c>
      <c r="Q6623" t="n">
        <v>0</v>
      </c>
      <c r="R6623" s="2" t="inlineStr"/>
    </row>
    <row r="6624" ht="15" customHeight="1">
      <c r="A6624" t="inlineStr">
        <is>
          <t>A 40721-2022</t>
        </is>
      </c>
      <c r="B6624" s="1" t="n">
        <v>44824.50174768519</v>
      </c>
      <c r="C6624" s="1" t="n">
        <v>45952</v>
      </c>
      <c r="D6624" t="inlineStr">
        <is>
          <t>VÄSTRA GÖTALANDS LÄN</t>
        </is>
      </c>
      <c r="E6624" t="inlineStr">
        <is>
          <t>VÄNERSBORG</t>
        </is>
      </c>
      <c r="G6624" t="n">
        <v>1.8</v>
      </c>
      <c r="H6624" t="n">
        <v>0</v>
      </c>
      <c r="I6624" t="n">
        <v>0</v>
      </c>
      <c r="J6624" t="n">
        <v>0</v>
      </c>
      <c r="K6624" t="n">
        <v>0</v>
      </c>
      <c r="L6624" t="n">
        <v>0</v>
      </c>
      <c r="M6624" t="n">
        <v>0</v>
      </c>
      <c r="N6624" t="n">
        <v>0</v>
      </c>
      <c r="O6624" t="n">
        <v>0</v>
      </c>
      <c r="P6624" t="n">
        <v>0</v>
      </c>
      <c r="Q6624" t="n">
        <v>0</v>
      </c>
      <c r="R6624" s="2" t="inlineStr"/>
    </row>
    <row r="6625" ht="15" customHeight="1">
      <c r="A6625" t="inlineStr">
        <is>
          <t>A 40128-2023</t>
        </is>
      </c>
      <c r="B6625" s="1" t="n">
        <v>45169</v>
      </c>
      <c r="C6625" s="1" t="n">
        <v>45952</v>
      </c>
      <c r="D6625" t="inlineStr">
        <is>
          <t>VÄSTRA GÖTALANDS LÄN</t>
        </is>
      </c>
      <c r="E6625" t="inlineStr">
        <is>
          <t>KARLSBORG</t>
        </is>
      </c>
      <c r="F6625" t="inlineStr">
        <is>
          <t>Övriga Aktiebolag</t>
        </is>
      </c>
      <c r="G6625" t="n">
        <v>1.9</v>
      </c>
      <c r="H6625" t="n">
        <v>0</v>
      </c>
      <c r="I6625" t="n">
        <v>0</v>
      </c>
      <c r="J6625" t="n">
        <v>0</v>
      </c>
      <c r="K6625" t="n">
        <v>0</v>
      </c>
      <c r="L6625" t="n">
        <v>0</v>
      </c>
      <c r="M6625" t="n">
        <v>0</v>
      </c>
      <c r="N6625" t="n">
        <v>0</v>
      </c>
      <c r="O6625" t="n">
        <v>0</v>
      </c>
      <c r="P6625" t="n">
        <v>0</v>
      </c>
      <c r="Q6625" t="n">
        <v>0</v>
      </c>
      <c r="R6625" s="2" t="inlineStr"/>
    </row>
    <row r="6626" ht="15" customHeight="1">
      <c r="A6626" t="inlineStr">
        <is>
          <t>A 38645-2025</t>
        </is>
      </c>
      <c r="B6626" s="1" t="n">
        <v>45884.57773148148</v>
      </c>
      <c r="C6626" s="1" t="n">
        <v>45952</v>
      </c>
      <c r="D6626" t="inlineStr">
        <is>
          <t>VÄSTRA GÖTALANDS LÄN</t>
        </is>
      </c>
      <c r="E6626" t="inlineStr">
        <is>
          <t>SVENLJUNGA</t>
        </is>
      </c>
      <c r="G6626" t="n">
        <v>18.8</v>
      </c>
      <c r="H6626" t="n">
        <v>0</v>
      </c>
      <c r="I6626" t="n">
        <v>0</v>
      </c>
      <c r="J6626" t="n">
        <v>0</v>
      </c>
      <c r="K6626" t="n">
        <v>0</v>
      </c>
      <c r="L6626" t="n">
        <v>0</v>
      </c>
      <c r="M6626" t="n">
        <v>0</v>
      </c>
      <c r="N6626" t="n">
        <v>0</v>
      </c>
      <c r="O6626" t="n">
        <v>0</v>
      </c>
      <c r="P6626" t="n">
        <v>0</v>
      </c>
      <c r="Q6626" t="n">
        <v>0</v>
      </c>
      <c r="R6626" s="2" t="inlineStr"/>
    </row>
    <row r="6627" ht="15" customHeight="1">
      <c r="A6627" t="inlineStr">
        <is>
          <t>A 31260-2022</t>
        </is>
      </c>
      <c r="B6627" s="1" t="n">
        <v>44771.57344907407</v>
      </c>
      <c r="C6627" s="1" t="n">
        <v>45952</v>
      </c>
      <c r="D6627" t="inlineStr">
        <is>
          <t>VÄSTRA GÖTALANDS LÄN</t>
        </is>
      </c>
      <c r="E6627" t="inlineStr">
        <is>
          <t>VARA</t>
        </is>
      </c>
      <c r="G6627" t="n">
        <v>1.1</v>
      </c>
      <c r="H6627" t="n">
        <v>0</v>
      </c>
      <c r="I6627" t="n">
        <v>0</v>
      </c>
      <c r="J6627" t="n">
        <v>0</v>
      </c>
      <c r="K6627" t="n">
        <v>0</v>
      </c>
      <c r="L6627" t="n">
        <v>0</v>
      </c>
      <c r="M6627" t="n">
        <v>0</v>
      </c>
      <c r="N6627" t="n">
        <v>0</v>
      </c>
      <c r="O6627" t="n">
        <v>0</v>
      </c>
      <c r="P6627" t="n">
        <v>0</v>
      </c>
      <c r="Q6627" t="n">
        <v>0</v>
      </c>
      <c r="R6627" s="2" t="inlineStr"/>
    </row>
    <row r="6628" ht="15" customHeight="1">
      <c r="A6628" t="inlineStr">
        <is>
          <t>A 46637-2022</t>
        </is>
      </c>
      <c r="B6628" s="1" t="n">
        <v>44849.57127314815</v>
      </c>
      <c r="C6628" s="1" t="n">
        <v>45952</v>
      </c>
      <c r="D6628" t="inlineStr">
        <is>
          <t>VÄSTRA GÖTALANDS LÄN</t>
        </is>
      </c>
      <c r="E6628" t="inlineStr">
        <is>
          <t>SVENLJUNGA</t>
        </is>
      </c>
      <c r="G6628" t="n">
        <v>12</v>
      </c>
      <c r="H6628" t="n">
        <v>0</v>
      </c>
      <c r="I6628" t="n">
        <v>0</v>
      </c>
      <c r="J6628" t="n">
        <v>0</v>
      </c>
      <c r="K6628" t="n">
        <v>0</v>
      </c>
      <c r="L6628" t="n">
        <v>0</v>
      </c>
      <c r="M6628" t="n">
        <v>0</v>
      </c>
      <c r="N6628" t="n">
        <v>0</v>
      </c>
      <c r="O6628" t="n">
        <v>0</v>
      </c>
      <c r="P6628" t="n">
        <v>0</v>
      </c>
      <c r="Q6628" t="n">
        <v>0</v>
      </c>
      <c r="R6628" s="2" t="inlineStr"/>
    </row>
    <row r="6629" ht="15" customHeight="1">
      <c r="A6629" t="inlineStr">
        <is>
          <t>A 53412-2023</t>
        </is>
      </c>
      <c r="B6629" s="1" t="n">
        <v>45229</v>
      </c>
      <c r="C6629" s="1" t="n">
        <v>45952</v>
      </c>
      <c r="D6629" t="inlineStr">
        <is>
          <t>VÄSTRA GÖTALANDS LÄN</t>
        </is>
      </c>
      <c r="E6629" t="inlineStr">
        <is>
          <t>MUNKEDAL</t>
        </is>
      </c>
      <c r="G6629" t="n">
        <v>2.4</v>
      </c>
      <c r="H6629" t="n">
        <v>0</v>
      </c>
      <c r="I6629" t="n">
        <v>0</v>
      </c>
      <c r="J6629" t="n">
        <v>0</v>
      </c>
      <c r="K6629" t="n">
        <v>0</v>
      </c>
      <c r="L6629" t="n">
        <v>0</v>
      </c>
      <c r="M6629" t="n">
        <v>0</v>
      </c>
      <c r="N6629" t="n">
        <v>0</v>
      </c>
      <c r="O6629" t="n">
        <v>0</v>
      </c>
      <c r="P6629" t="n">
        <v>0</v>
      </c>
      <c r="Q6629" t="n">
        <v>0</v>
      </c>
      <c r="R6629" s="2" t="inlineStr"/>
    </row>
    <row r="6630" ht="15" customHeight="1">
      <c r="A6630" t="inlineStr">
        <is>
          <t>A 13511-2024</t>
        </is>
      </c>
      <c r="B6630" s="1" t="n">
        <v>45387</v>
      </c>
      <c r="C6630" s="1" t="n">
        <v>45952</v>
      </c>
      <c r="D6630" t="inlineStr">
        <is>
          <t>VÄSTRA GÖTALANDS LÄN</t>
        </is>
      </c>
      <c r="E6630" t="inlineStr">
        <is>
          <t>VARA</t>
        </is>
      </c>
      <c r="G6630" t="n">
        <v>1</v>
      </c>
      <c r="H6630" t="n">
        <v>0</v>
      </c>
      <c r="I6630" t="n">
        <v>0</v>
      </c>
      <c r="J6630" t="n">
        <v>0</v>
      </c>
      <c r="K6630" t="n">
        <v>0</v>
      </c>
      <c r="L6630" t="n">
        <v>0</v>
      </c>
      <c r="M6630" t="n">
        <v>0</v>
      </c>
      <c r="N6630" t="n">
        <v>0</v>
      </c>
      <c r="O6630" t="n">
        <v>0</v>
      </c>
      <c r="P6630" t="n">
        <v>0</v>
      </c>
      <c r="Q6630" t="n">
        <v>0</v>
      </c>
      <c r="R6630" s="2" t="inlineStr"/>
    </row>
    <row r="6631" ht="15" customHeight="1">
      <c r="A6631" t="inlineStr">
        <is>
          <t>A 14832-2021</t>
        </is>
      </c>
      <c r="B6631" s="1" t="n">
        <v>44280.73239583334</v>
      </c>
      <c r="C6631" s="1" t="n">
        <v>45952</v>
      </c>
      <c r="D6631" t="inlineStr">
        <is>
          <t>VÄSTRA GÖTALANDS LÄN</t>
        </is>
      </c>
      <c r="E6631" t="inlineStr">
        <is>
          <t>GRÄSTORP</t>
        </is>
      </c>
      <c r="G6631" t="n">
        <v>1.7</v>
      </c>
      <c r="H6631" t="n">
        <v>0</v>
      </c>
      <c r="I6631" t="n">
        <v>0</v>
      </c>
      <c r="J6631" t="n">
        <v>0</v>
      </c>
      <c r="K6631" t="n">
        <v>0</v>
      </c>
      <c r="L6631" t="n">
        <v>0</v>
      </c>
      <c r="M6631" t="n">
        <v>0</v>
      </c>
      <c r="N6631" t="n">
        <v>0</v>
      </c>
      <c r="O6631" t="n">
        <v>0</v>
      </c>
      <c r="P6631" t="n">
        <v>0</v>
      </c>
      <c r="Q6631" t="n">
        <v>0</v>
      </c>
      <c r="R6631" s="2" t="inlineStr"/>
    </row>
    <row r="6632" ht="15" customHeight="1">
      <c r="A6632" t="inlineStr">
        <is>
          <t>A 55246-2022</t>
        </is>
      </c>
      <c r="B6632" s="1" t="n">
        <v>44887.2725462963</v>
      </c>
      <c r="C6632" s="1" t="n">
        <v>45952</v>
      </c>
      <c r="D6632" t="inlineStr">
        <is>
          <t>VÄSTRA GÖTALANDS LÄN</t>
        </is>
      </c>
      <c r="E6632" t="inlineStr">
        <is>
          <t>SKARA</t>
        </is>
      </c>
      <c r="G6632" t="n">
        <v>2.8</v>
      </c>
      <c r="H6632" t="n">
        <v>0</v>
      </c>
      <c r="I6632" t="n">
        <v>0</v>
      </c>
      <c r="J6632" t="n">
        <v>0</v>
      </c>
      <c r="K6632" t="n">
        <v>0</v>
      </c>
      <c r="L6632" t="n">
        <v>0</v>
      </c>
      <c r="M6632" t="n">
        <v>0</v>
      </c>
      <c r="N6632" t="n">
        <v>0</v>
      </c>
      <c r="O6632" t="n">
        <v>0</v>
      </c>
      <c r="P6632" t="n">
        <v>0</v>
      </c>
      <c r="Q6632" t="n">
        <v>0</v>
      </c>
      <c r="R6632" s="2" t="inlineStr"/>
    </row>
    <row r="6633" ht="15" customHeight="1">
      <c r="A6633" t="inlineStr">
        <is>
          <t>A 55247-2022</t>
        </is>
      </c>
      <c r="B6633" s="1" t="n">
        <v>44887.28344907407</v>
      </c>
      <c r="C6633" s="1" t="n">
        <v>45952</v>
      </c>
      <c r="D6633" t="inlineStr">
        <is>
          <t>VÄSTRA GÖTALANDS LÄN</t>
        </is>
      </c>
      <c r="E6633" t="inlineStr">
        <is>
          <t>SKARA</t>
        </is>
      </c>
      <c r="G6633" t="n">
        <v>2</v>
      </c>
      <c r="H6633" t="n">
        <v>0</v>
      </c>
      <c r="I6633" t="n">
        <v>0</v>
      </c>
      <c r="J6633" t="n">
        <v>0</v>
      </c>
      <c r="K6633" t="n">
        <v>0</v>
      </c>
      <c r="L6633" t="n">
        <v>0</v>
      </c>
      <c r="M6633" t="n">
        <v>0</v>
      </c>
      <c r="N6633" t="n">
        <v>0</v>
      </c>
      <c r="O6633" t="n">
        <v>0</v>
      </c>
      <c r="P6633" t="n">
        <v>0</v>
      </c>
      <c r="Q6633" t="n">
        <v>0</v>
      </c>
      <c r="R6633" s="2" t="inlineStr"/>
    </row>
    <row r="6634" ht="15" customHeight="1">
      <c r="A6634" t="inlineStr">
        <is>
          <t>A 49954-2023</t>
        </is>
      </c>
      <c r="B6634" s="1" t="n">
        <v>45215.37692129629</v>
      </c>
      <c r="C6634" s="1" t="n">
        <v>45952</v>
      </c>
      <c r="D6634" t="inlineStr">
        <is>
          <t>VÄSTRA GÖTALANDS LÄN</t>
        </is>
      </c>
      <c r="E6634" t="inlineStr">
        <is>
          <t>SKÖVDE</t>
        </is>
      </c>
      <c r="G6634" t="n">
        <v>1.1</v>
      </c>
      <c r="H6634" t="n">
        <v>0</v>
      </c>
      <c r="I6634" t="n">
        <v>0</v>
      </c>
      <c r="J6634" t="n">
        <v>0</v>
      </c>
      <c r="K6634" t="n">
        <v>0</v>
      </c>
      <c r="L6634" t="n">
        <v>0</v>
      </c>
      <c r="M6634" t="n">
        <v>0</v>
      </c>
      <c r="N6634" t="n">
        <v>0</v>
      </c>
      <c r="O6634" t="n">
        <v>0</v>
      </c>
      <c r="P6634" t="n">
        <v>0</v>
      </c>
      <c r="Q6634" t="n">
        <v>0</v>
      </c>
      <c r="R6634" s="2" t="inlineStr"/>
    </row>
    <row r="6635" ht="15" customHeight="1">
      <c r="A6635" t="inlineStr">
        <is>
          <t>A 11910-2023</t>
        </is>
      </c>
      <c r="B6635" s="1" t="n">
        <v>44995</v>
      </c>
      <c r="C6635" s="1" t="n">
        <v>45952</v>
      </c>
      <c r="D6635" t="inlineStr">
        <is>
          <t>VÄSTRA GÖTALANDS LÄN</t>
        </is>
      </c>
      <c r="E6635" t="inlineStr">
        <is>
          <t>ÅMÅL</t>
        </is>
      </c>
      <c r="G6635" t="n">
        <v>9.4</v>
      </c>
      <c r="H6635" t="n">
        <v>0</v>
      </c>
      <c r="I6635" t="n">
        <v>0</v>
      </c>
      <c r="J6635" t="n">
        <v>0</v>
      </c>
      <c r="K6635" t="n">
        <v>0</v>
      </c>
      <c r="L6635" t="n">
        <v>0</v>
      </c>
      <c r="M6635" t="n">
        <v>0</v>
      </c>
      <c r="N6635" t="n">
        <v>0</v>
      </c>
      <c r="O6635" t="n">
        <v>0</v>
      </c>
      <c r="P6635" t="n">
        <v>0</v>
      </c>
      <c r="Q6635" t="n">
        <v>0</v>
      </c>
      <c r="R6635" s="2" t="inlineStr"/>
    </row>
    <row r="6636" ht="15" customHeight="1">
      <c r="A6636" t="inlineStr">
        <is>
          <t>A 65995-2020</t>
        </is>
      </c>
      <c r="B6636" s="1" t="n">
        <v>44173</v>
      </c>
      <c r="C6636" s="1" t="n">
        <v>45952</v>
      </c>
      <c r="D6636" t="inlineStr">
        <is>
          <t>VÄSTRA GÖTALANDS LÄN</t>
        </is>
      </c>
      <c r="E6636" t="inlineStr">
        <is>
          <t>ULRICEHAMN</t>
        </is>
      </c>
      <c r="G6636" t="n">
        <v>5.6</v>
      </c>
      <c r="H6636" t="n">
        <v>0</v>
      </c>
      <c r="I6636" t="n">
        <v>0</v>
      </c>
      <c r="J6636" t="n">
        <v>0</v>
      </c>
      <c r="K6636" t="n">
        <v>0</v>
      </c>
      <c r="L6636" t="n">
        <v>0</v>
      </c>
      <c r="M6636" t="n">
        <v>0</v>
      </c>
      <c r="N6636" t="n">
        <v>0</v>
      </c>
      <c r="O6636" t="n">
        <v>0</v>
      </c>
      <c r="P6636" t="n">
        <v>0</v>
      </c>
      <c r="Q6636" t="n">
        <v>0</v>
      </c>
      <c r="R6636" s="2" t="inlineStr"/>
    </row>
    <row r="6637" ht="15" customHeight="1">
      <c r="A6637" t="inlineStr">
        <is>
          <t>A 66960-2021</t>
        </is>
      </c>
      <c r="B6637" s="1" t="n">
        <v>44522</v>
      </c>
      <c r="C6637" s="1" t="n">
        <v>45952</v>
      </c>
      <c r="D6637" t="inlineStr">
        <is>
          <t>VÄSTRA GÖTALANDS LÄN</t>
        </is>
      </c>
      <c r="E6637" t="inlineStr">
        <is>
          <t>TROLLHÄTTAN</t>
        </is>
      </c>
      <c r="G6637" t="n">
        <v>1.2</v>
      </c>
      <c r="H6637" t="n">
        <v>0</v>
      </c>
      <c r="I6637" t="n">
        <v>0</v>
      </c>
      <c r="J6637" t="n">
        <v>0</v>
      </c>
      <c r="K6637" t="n">
        <v>0</v>
      </c>
      <c r="L6637" t="n">
        <v>0</v>
      </c>
      <c r="M6637" t="n">
        <v>0</v>
      </c>
      <c r="N6637" t="n">
        <v>0</v>
      </c>
      <c r="O6637" t="n">
        <v>0</v>
      </c>
      <c r="P6637" t="n">
        <v>0</v>
      </c>
      <c r="Q6637" t="n">
        <v>0</v>
      </c>
      <c r="R6637" s="2" t="inlineStr"/>
    </row>
    <row r="6638" ht="15" customHeight="1">
      <c r="A6638" t="inlineStr">
        <is>
          <t>A 4944-2025</t>
        </is>
      </c>
      <c r="B6638" s="1" t="n">
        <v>45688.77449074074</v>
      </c>
      <c r="C6638" s="1" t="n">
        <v>45952</v>
      </c>
      <c r="D6638" t="inlineStr">
        <is>
          <t>VÄSTRA GÖTALANDS LÄN</t>
        </is>
      </c>
      <c r="E6638" t="inlineStr">
        <is>
          <t>SVENLJUNGA</t>
        </is>
      </c>
      <c r="G6638" t="n">
        <v>2.3</v>
      </c>
      <c r="H6638" t="n">
        <v>0</v>
      </c>
      <c r="I6638" t="n">
        <v>0</v>
      </c>
      <c r="J6638" t="n">
        <v>0</v>
      </c>
      <c r="K6638" t="n">
        <v>0</v>
      </c>
      <c r="L6638" t="n">
        <v>0</v>
      </c>
      <c r="M6638" t="n">
        <v>0</v>
      </c>
      <c r="N6638" t="n">
        <v>0</v>
      </c>
      <c r="O6638" t="n">
        <v>0</v>
      </c>
      <c r="P6638" t="n">
        <v>0</v>
      </c>
      <c r="Q6638" t="n">
        <v>0</v>
      </c>
      <c r="R6638" s="2" t="inlineStr"/>
    </row>
    <row r="6639" ht="15" customHeight="1">
      <c r="A6639" t="inlineStr">
        <is>
          <t>A 29642-2024</t>
        </is>
      </c>
      <c r="B6639" s="1" t="n">
        <v>45484</v>
      </c>
      <c r="C6639" s="1" t="n">
        <v>45952</v>
      </c>
      <c r="D6639" t="inlineStr">
        <is>
          <t>VÄSTRA GÖTALANDS LÄN</t>
        </is>
      </c>
      <c r="E6639" t="inlineStr">
        <is>
          <t>UDDEVALLA</t>
        </is>
      </c>
      <c r="G6639" t="n">
        <v>2.9</v>
      </c>
      <c r="H6639" t="n">
        <v>0</v>
      </c>
      <c r="I6639" t="n">
        <v>0</v>
      </c>
      <c r="J6639" t="n">
        <v>0</v>
      </c>
      <c r="K6639" t="n">
        <v>0</v>
      </c>
      <c r="L6639" t="n">
        <v>0</v>
      </c>
      <c r="M6639" t="n">
        <v>0</v>
      </c>
      <c r="N6639" t="n">
        <v>0</v>
      </c>
      <c r="O6639" t="n">
        <v>0</v>
      </c>
      <c r="P6639" t="n">
        <v>0</v>
      </c>
      <c r="Q6639" t="n">
        <v>0</v>
      </c>
      <c r="R6639" s="2" t="inlineStr"/>
    </row>
    <row r="6640" ht="15" customHeight="1">
      <c r="A6640" t="inlineStr">
        <is>
          <t>A 38702-2025</t>
        </is>
      </c>
      <c r="B6640" s="1" t="n">
        <v>45885.05005787037</v>
      </c>
      <c r="C6640" s="1" t="n">
        <v>45952</v>
      </c>
      <c r="D6640" t="inlineStr">
        <is>
          <t>VÄSTRA GÖTALANDS LÄN</t>
        </is>
      </c>
      <c r="E6640" t="inlineStr">
        <is>
          <t>LIDKÖPING</t>
        </is>
      </c>
      <c r="G6640" t="n">
        <v>5.5</v>
      </c>
      <c r="H6640" t="n">
        <v>0</v>
      </c>
      <c r="I6640" t="n">
        <v>0</v>
      </c>
      <c r="J6640" t="n">
        <v>0</v>
      </c>
      <c r="K6640" t="n">
        <v>0</v>
      </c>
      <c r="L6640" t="n">
        <v>0</v>
      </c>
      <c r="M6640" t="n">
        <v>0</v>
      </c>
      <c r="N6640" t="n">
        <v>0</v>
      </c>
      <c r="O6640" t="n">
        <v>0</v>
      </c>
      <c r="P6640" t="n">
        <v>0</v>
      </c>
      <c r="Q6640" t="n">
        <v>0</v>
      </c>
      <c r="R6640" s="2" t="inlineStr"/>
    </row>
    <row r="6641" ht="15" customHeight="1">
      <c r="A6641" t="inlineStr">
        <is>
          <t>A 38704-2025</t>
        </is>
      </c>
      <c r="B6641" s="1" t="n">
        <v>45885.43899305556</v>
      </c>
      <c r="C6641" s="1" t="n">
        <v>45952</v>
      </c>
      <c r="D6641" t="inlineStr">
        <is>
          <t>VÄSTRA GÖTALANDS LÄN</t>
        </is>
      </c>
      <c r="E6641" t="inlineStr">
        <is>
          <t>TÖREBODA</t>
        </is>
      </c>
      <c r="G6641" t="n">
        <v>4.5</v>
      </c>
      <c r="H6641" t="n">
        <v>0</v>
      </c>
      <c r="I6641" t="n">
        <v>0</v>
      </c>
      <c r="J6641" t="n">
        <v>0</v>
      </c>
      <c r="K6641" t="n">
        <v>0</v>
      </c>
      <c r="L6641" t="n">
        <v>0</v>
      </c>
      <c r="M6641" t="n">
        <v>0</v>
      </c>
      <c r="N6641" t="n">
        <v>0</v>
      </c>
      <c r="O6641" t="n">
        <v>0</v>
      </c>
      <c r="P6641" t="n">
        <v>0</v>
      </c>
      <c r="Q6641" t="n">
        <v>0</v>
      </c>
      <c r="R6641" s="2" t="inlineStr"/>
    </row>
    <row r="6642" ht="15" customHeight="1">
      <c r="A6642" t="inlineStr">
        <is>
          <t>A 29415-2023</t>
        </is>
      </c>
      <c r="B6642" s="1" t="n">
        <v>45106</v>
      </c>
      <c r="C6642" s="1" t="n">
        <v>45952</v>
      </c>
      <c r="D6642" t="inlineStr">
        <is>
          <t>VÄSTRA GÖTALANDS LÄN</t>
        </is>
      </c>
      <c r="E6642" t="inlineStr">
        <is>
          <t>MUNKEDAL</t>
        </is>
      </c>
      <c r="G6642" t="n">
        <v>1.7</v>
      </c>
      <c r="H6642" t="n">
        <v>0</v>
      </c>
      <c r="I6642" t="n">
        <v>0</v>
      </c>
      <c r="J6642" t="n">
        <v>0</v>
      </c>
      <c r="K6642" t="n">
        <v>0</v>
      </c>
      <c r="L6642" t="n">
        <v>0</v>
      </c>
      <c r="M6642" t="n">
        <v>0</v>
      </c>
      <c r="N6642" t="n">
        <v>0</v>
      </c>
      <c r="O6642" t="n">
        <v>0</v>
      </c>
      <c r="P6642" t="n">
        <v>0</v>
      </c>
      <c r="Q6642" t="n">
        <v>0</v>
      </c>
      <c r="R6642" s="2" t="inlineStr"/>
    </row>
    <row r="6643" ht="15" customHeight="1">
      <c r="A6643" t="inlineStr">
        <is>
          <t>A 3431-2024</t>
        </is>
      </c>
      <c r="B6643" s="1" t="n">
        <v>45317</v>
      </c>
      <c r="C6643" s="1" t="n">
        <v>45952</v>
      </c>
      <c r="D6643" t="inlineStr">
        <is>
          <t>VÄSTRA GÖTALANDS LÄN</t>
        </is>
      </c>
      <c r="E6643" t="inlineStr">
        <is>
          <t>UDDEVALLA</t>
        </is>
      </c>
      <c r="F6643" t="inlineStr">
        <is>
          <t>Kyrkan</t>
        </is>
      </c>
      <c r="G6643" t="n">
        <v>1.1</v>
      </c>
      <c r="H6643" t="n">
        <v>0</v>
      </c>
      <c r="I6643" t="n">
        <v>0</v>
      </c>
      <c r="J6643" t="n">
        <v>0</v>
      </c>
      <c r="K6643" t="n">
        <v>0</v>
      </c>
      <c r="L6643" t="n">
        <v>0</v>
      </c>
      <c r="M6643" t="n">
        <v>0</v>
      </c>
      <c r="N6643" t="n">
        <v>0</v>
      </c>
      <c r="O6643" t="n">
        <v>0</v>
      </c>
      <c r="P6643" t="n">
        <v>0</v>
      </c>
      <c r="Q6643" t="n">
        <v>0</v>
      </c>
      <c r="R6643" s="2" t="inlineStr"/>
    </row>
    <row r="6644" ht="15" customHeight="1">
      <c r="A6644" t="inlineStr">
        <is>
          <t>A 3435-2024</t>
        </is>
      </c>
      <c r="B6644" s="1" t="n">
        <v>45317</v>
      </c>
      <c r="C6644" s="1" t="n">
        <v>45952</v>
      </c>
      <c r="D6644" t="inlineStr">
        <is>
          <t>VÄSTRA GÖTALANDS LÄN</t>
        </is>
      </c>
      <c r="E6644" t="inlineStr">
        <is>
          <t>UDDEVALLA</t>
        </is>
      </c>
      <c r="F6644" t="inlineStr">
        <is>
          <t>Kyrkan</t>
        </is>
      </c>
      <c r="G6644" t="n">
        <v>1.9</v>
      </c>
      <c r="H6644" t="n">
        <v>0</v>
      </c>
      <c r="I6644" t="n">
        <v>0</v>
      </c>
      <c r="J6644" t="n">
        <v>0</v>
      </c>
      <c r="K6644" t="n">
        <v>0</v>
      </c>
      <c r="L6644" t="n">
        <v>0</v>
      </c>
      <c r="M6644" t="n">
        <v>0</v>
      </c>
      <c r="N6644" t="n">
        <v>0</v>
      </c>
      <c r="O6644" t="n">
        <v>0</v>
      </c>
      <c r="P6644" t="n">
        <v>0</v>
      </c>
      <c r="Q6644" t="n">
        <v>0</v>
      </c>
      <c r="R6644" s="2" t="inlineStr"/>
    </row>
    <row r="6645" ht="15" customHeight="1">
      <c r="A6645" t="inlineStr">
        <is>
          <t>A 26016-2023</t>
        </is>
      </c>
      <c r="B6645" s="1" t="n">
        <v>45090.9447337963</v>
      </c>
      <c r="C6645" s="1" t="n">
        <v>45952</v>
      </c>
      <c r="D6645" t="inlineStr">
        <is>
          <t>VÄSTRA GÖTALANDS LÄN</t>
        </is>
      </c>
      <c r="E6645" t="inlineStr">
        <is>
          <t>KARLSBORG</t>
        </is>
      </c>
      <c r="G6645" t="n">
        <v>0.5</v>
      </c>
      <c r="H6645" t="n">
        <v>0</v>
      </c>
      <c r="I6645" t="n">
        <v>0</v>
      </c>
      <c r="J6645" t="n">
        <v>0</v>
      </c>
      <c r="K6645" t="n">
        <v>0</v>
      </c>
      <c r="L6645" t="n">
        <v>0</v>
      </c>
      <c r="M6645" t="n">
        <v>0</v>
      </c>
      <c r="N6645" t="n">
        <v>0</v>
      </c>
      <c r="O6645" t="n">
        <v>0</v>
      </c>
      <c r="P6645" t="n">
        <v>0</v>
      </c>
      <c r="Q6645" t="n">
        <v>0</v>
      </c>
      <c r="R6645" s="2" t="inlineStr"/>
    </row>
    <row r="6646" ht="15" customHeight="1">
      <c r="A6646" t="inlineStr">
        <is>
          <t>A 11881-2023</t>
        </is>
      </c>
      <c r="B6646" s="1" t="n">
        <v>44995</v>
      </c>
      <c r="C6646" s="1" t="n">
        <v>45952</v>
      </c>
      <c r="D6646" t="inlineStr">
        <is>
          <t>VÄSTRA GÖTALANDS LÄN</t>
        </is>
      </c>
      <c r="E6646" t="inlineStr">
        <is>
          <t>HERRLJUNGA</t>
        </is>
      </c>
      <c r="G6646" t="n">
        <v>1.5</v>
      </c>
      <c r="H6646" t="n">
        <v>0</v>
      </c>
      <c r="I6646" t="n">
        <v>0</v>
      </c>
      <c r="J6646" t="n">
        <v>0</v>
      </c>
      <c r="K6646" t="n">
        <v>0</v>
      </c>
      <c r="L6646" t="n">
        <v>0</v>
      </c>
      <c r="M6646" t="n">
        <v>0</v>
      </c>
      <c r="N6646" t="n">
        <v>0</v>
      </c>
      <c r="O6646" t="n">
        <v>0</v>
      </c>
      <c r="P6646" t="n">
        <v>0</v>
      </c>
      <c r="Q6646" t="n">
        <v>0</v>
      </c>
      <c r="R6646" s="2" t="inlineStr"/>
    </row>
    <row r="6647" ht="15" customHeight="1">
      <c r="A6647" t="inlineStr">
        <is>
          <t>A 56830-2022</t>
        </is>
      </c>
      <c r="B6647" s="1" t="n">
        <v>44894</v>
      </c>
      <c r="C6647" s="1" t="n">
        <v>45952</v>
      </c>
      <c r="D6647" t="inlineStr">
        <is>
          <t>VÄSTRA GÖTALANDS LÄN</t>
        </is>
      </c>
      <c r="E6647" t="inlineStr">
        <is>
          <t>ULRICEHAMN</t>
        </is>
      </c>
      <c r="G6647" t="n">
        <v>1.4</v>
      </c>
      <c r="H6647" t="n">
        <v>0</v>
      </c>
      <c r="I6647" t="n">
        <v>0</v>
      </c>
      <c r="J6647" t="n">
        <v>0</v>
      </c>
      <c r="K6647" t="n">
        <v>0</v>
      </c>
      <c r="L6647" t="n">
        <v>0</v>
      </c>
      <c r="M6647" t="n">
        <v>0</v>
      </c>
      <c r="N6647" t="n">
        <v>0</v>
      </c>
      <c r="O6647" t="n">
        <v>0</v>
      </c>
      <c r="P6647" t="n">
        <v>0</v>
      </c>
      <c r="Q6647" t="n">
        <v>0</v>
      </c>
      <c r="R6647" s="2" t="inlineStr"/>
    </row>
    <row r="6648" ht="15" customHeight="1">
      <c r="A6648" t="inlineStr">
        <is>
          <t>A 43799-2024</t>
        </is>
      </c>
      <c r="B6648" s="1" t="n">
        <v>45571.62708333333</v>
      </c>
      <c r="C6648" s="1" t="n">
        <v>45952</v>
      </c>
      <c r="D6648" t="inlineStr">
        <is>
          <t>VÄSTRA GÖTALANDS LÄN</t>
        </is>
      </c>
      <c r="E6648" t="inlineStr">
        <is>
          <t>VÄNERSBORG</t>
        </is>
      </c>
      <c r="G6648" t="n">
        <v>1.3</v>
      </c>
      <c r="H6648" t="n">
        <v>0</v>
      </c>
      <c r="I6648" t="n">
        <v>0</v>
      </c>
      <c r="J6648" t="n">
        <v>0</v>
      </c>
      <c r="K6648" t="n">
        <v>0</v>
      </c>
      <c r="L6648" t="n">
        <v>0</v>
      </c>
      <c r="M6648" t="n">
        <v>0</v>
      </c>
      <c r="N6648" t="n">
        <v>0</v>
      </c>
      <c r="O6648" t="n">
        <v>0</v>
      </c>
      <c r="P6648" t="n">
        <v>0</v>
      </c>
      <c r="Q6648" t="n">
        <v>0</v>
      </c>
      <c r="R6648" s="2" t="inlineStr"/>
    </row>
    <row r="6649" ht="15" customHeight="1">
      <c r="A6649" t="inlineStr">
        <is>
          <t>A 46635-2025</t>
        </is>
      </c>
      <c r="B6649" s="1" t="n">
        <v>45926.46318287037</v>
      </c>
      <c r="C6649" s="1" t="n">
        <v>45952</v>
      </c>
      <c r="D6649" t="inlineStr">
        <is>
          <t>VÄSTRA GÖTALANDS LÄN</t>
        </is>
      </c>
      <c r="E6649" t="inlineStr">
        <is>
          <t>HERRLJUNGA</t>
        </is>
      </c>
      <c r="G6649" t="n">
        <v>0.9</v>
      </c>
      <c r="H6649" t="n">
        <v>0</v>
      </c>
      <c r="I6649" t="n">
        <v>0</v>
      </c>
      <c r="J6649" t="n">
        <v>0</v>
      </c>
      <c r="K6649" t="n">
        <v>0</v>
      </c>
      <c r="L6649" t="n">
        <v>0</v>
      </c>
      <c r="M6649" t="n">
        <v>0</v>
      </c>
      <c r="N6649" t="n">
        <v>0</v>
      </c>
      <c r="O6649" t="n">
        <v>0</v>
      </c>
      <c r="P6649" t="n">
        <v>0</v>
      </c>
      <c r="Q6649" t="n">
        <v>0</v>
      </c>
      <c r="R6649" s="2" t="inlineStr"/>
    </row>
    <row r="6650" ht="15" customHeight="1">
      <c r="A6650" t="inlineStr">
        <is>
          <t>A 47405-2024</t>
        </is>
      </c>
      <c r="B6650" s="1" t="n">
        <v>45587.47545138889</v>
      </c>
      <c r="C6650" s="1" t="n">
        <v>45952</v>
      </c>
      <c r="D6650" t="inlineStr">
        <is>
          <t>VÄSTRA GÖTALANDS LÄN</t>
        </is>
      </c>
      <c r="E6650" t="inlineStr">
        <is>
          <t>MARK</t>
        </is>
      </c>
      <c r="G6650" t="n">
        <v>0.8</v>
      </c>
      <c r="H6650" t="n">
        <v>0</v>
      </c>
      <c r="I6650" t="n">
        <v>0</v>
      </c>
      <c r="J6650" t="n">
        <v>0</v>
      </c>
      <c r="K6650" t="n">
        <v>0</v>
      </c>
      <c r="L6650" t="n">
        <v>0</v>
      </c>
      <c r="M6650" t="n">
        <v>0</v>
      </c>
      <c r="N6650" t="n">
        <v>0</v>
      </c>
      <c r="O6650" t="n">
        <v>0</v>
      </c>
      <c r="P6650" t="n">
        <v>0</v>
      </c>
      <c r="Q6650" t="n">
        <v>0</v>
      </c>
      <c r="R6650" s="2" t="inlineStr"/>
    </row>
    <row r="6651" ht="15" customHeight="1">
      <c r="A6651" t="inlineStr">
        <is>
          <t>A 47434-2024</t>
        </is>
      </c>
      <c r="B6651" s="1" t="n">
        <v>45587.52200231481</v>
      </c>
      <c r="C6651" s="1" t="n">
        <v>45952</v>
      </c>
      <c r="D6651" t="inlineStr">
        <is>
          <t>VÄSTRA GÖTALANDS LÄN</t>
        </is>
      </c>
      <c r="E6651" t="inlineStr">
        <is>
          <t>DALS-ED</t>
        </is>
      </c>
      <c r="G6651" t="n">
        <v>2.6</v>
      </c>
      <c r="H6651" t="n">
        <v>0</v>
      </c>
      <c r="I6651" t="n">
        <v>0</v>
      </c>
      <c r="J6651" t="n">
        <v>0</v>
      </c>
      <c r="K6651" t="n">
        <v>0</v>
      </c>
      <c r="L6651" t="n">
        <v>0</v>
      </c>
      <c r="M6651" t="n">
        <v>0</v>
      </c>
      <c r="N6651" t="n">
        <v>0</v>
      </c>
      <c r="O6651" t="n">
        <v>0</v>
      </c>
      <c r="P6651" t="n">
        <v>0</v>
      </c>
      <c r="Q6651" t="n">
        <v>0</v>
      </c>
      <c r="R6651" s="2" t="inlineStr"/>
    </row>
    <row r="6652" ht="15" customHeight="1">
      <c r="A6652" t="inlineStr">
        <is>
          <t>A 55437-2024</t>
        </is>
      </c>
      <c r="B6652" s="1" t="n">
        <v>45622.4022337963</v>
      </c>
      <c r="C6652" s="1" t="n">
        <v>45952</v>
      </c>
      <c r="D6652" t="inlineStr">
        <is>
          <t>VÄSTRA GÖTALANDS LÄN</t>
        </is>
      </c>
      <c r="E6652" t="inlineStr">
        <is>
          <t>FALKÖPING</t>
        </is>
      </c>
      <c r="G6652" t="n">
        <v>0.6</v>
      </c>
      <c r="H6652" t="n">
        <v>0</v>
      </c>
      <c r="I6652" t="n">
        <v>0</v>
      </c>
      <c r="J6652" t="n">
        <v>0</v>
      </c>
      <c r="K6652" t="n">
        <v>0</v>
      </c>
      <c r="L6652" t="n">
        <v>0</v>
      </c>
      <c r="M6652" t="n">
        <v>0</v>
      </c>
      <c r="N6652" t="n">
        <v>0</v>
      </c>
      <c r="O6652" t="n">
        <v>0</v>
      </c>
      <c r="P6652" t="n">
        <v>0</v>
      </c>
      <c r="Q6652" t="n">
        <v>0</v>
      </c>
      <c r="R6652" s="2" t="inlineStr"/>
    </row>
    <row r="6653" ht="15" customHeight="1">
      <c r="A6653" t="inlineStr">
        <is>
          <t>A 46668-2025</t>
        </is>
      </c>
      <c r="B6653" s="1" t="n">
        <v>45926.53071759259</v>
      </c>
      <c r="C6653" s="1" t="n">
        <v>45952</v>
      </c>
      <c r="D6653" t="inlineStr">
        <is>
          <t>VÄSTRA GÖTALANDS LÄN</t>
        </is>
      </c>
      <c r="E6653" t="inlineStr">
        <is>
          <t>MELLERUD</t>
        </is>
      </c>
      <c r="G6653" t="n">
        <v>0.9</v>
      </c>
      <c r="H6653" t="n">
        <v>0</v>
      </c>
      <c r="I6653" t="n">
        <v>0</v>
      </c>
      <c r="J6653" t="n">
        <v>0</v>
      </c>
      <c r="K6653" t="n">
        <v>0</v>
      </c>
      <c r="L6653" t="n">
        <v>0</v>
      </c>
      <c r="M6653" t="n">
        <v>0</v>
      </c>
      <c r="N6653" t="n">
        <v>0</v>
      </c>
      <c r="O6653" t="n">
        <v>0</v>
      </c>
      <c r="P6653" t="n">
        <v>0</v>
      </c>
      <c r="Q6653" t="n">
        <v>0</v>
      </c>
      <c r="R6653" s="2" t="inlineStr"/>
    </row>
    <row r="6654" ht="15" customHeight="1">
      <c r="A6654" t="inlineStr">
        <is>
          <t>A 26050-2023</t>
        </is>
      </c>
      <c r="B6654" s="1" t="n">
        <v>45091</v>
      </c>
      <c r="C6654" s="1" t="n">
        <v>45952</v>
      </c>
      <c r="D6654" t="inlineStr">
        <is>
          <t>VÄSTRA GÖTALANDS LÄN</t>
        </is>
      </c>
      <c r="E6654" t="inlineStr">
        <is>
          <t>MARK</t>
        </is>
      </c>
      <c r="G6654" t="n">
        <v>1.2</v>
      </c>
      <c r="H6654" t="n">
        <v>0</v>
      </c>
      <c r="I6654" t="n">
        <v>0</v>
      </c>
      <c r="J6654" t="n">
        <v>0</v>
      </c>
      <c r="K6654" t="n">
        <v>0</v>
      </c>
      <c r="L6654" t="n">
        <v>0</v>
      </c>
      <c r="M6654" t="n">
        <v>0</v>
      </c>
      <c r="N6654" t="n">
        <v>0</v>
      </c>
      <c r="O6654" t="n">
        <v>0</v>
      </c>
      <c r="P6654" t="n">
        <v>0</v>
      </c>
      <c r="Q6654" t="n">
        <v>0</v>
      </c>
      <c r="R6654" s="2" t="inlineStr"/>
    </row>
    <row r="6655" ht="15" customHeight="1">
      <c r="A6655" t="inlineStr">
        <is>
          <t>A 60265-2024</t>
        </is>
      </c>
      <c r="B6655" s="1" t="n">
        <v>45642</v>
      </c>
      <c r="C6655" s="1" t="n">
        <v>45952</v>
      </c>
      <c r="D6655" t="inlineStr">
        <is>
          <t>VÄSTRA GÖTALANDS LÄN</t>
        </is>
      </c>
      <c r="E6655" t="inlineStr">
        <is>
          <t>LYSEKIL</t>
        </is>
      </c>
      <c r="G6655" t="n">
        <v>1.7</v>
      </c>
      <c r="H6655" t="n">
        <v>0</v>
      </c>
      <c r="I6655" t="n">
        <v>0</v>
      </c>
      <c r="J6655" t="n">
        <v>0</v>
      </c>
      <c r="K6655" t="n">
        <v>0</v>
      </c>
      <c r="L6655" t="n">
        <v>0</v>
      </c>
      <c r="M6655" t="n">
        <v>0</v>
      </c>
      <c r="N6655" t="n">
        <v>0</v>
      </c>
      <c r="O6655" t="n">
        <v>0</v>
      </c>
      <c r="P6655" t="n">
        <v>0</v>
      </c>
      <c r="Q6655" t="n">
        <v>0</v>
      </c>
      <c r="R6655" s="2" t="inlineStr"/>
    </row>
    <row r="6656" ht="15" customHeight="1">
      <c r="A6656" t="inlineStr">
        <is>
          <t>A 30443-2023</t>
        </is>
      </c>
      <c r="B6656" s="1" t="n">
        <v>45111.56303240741</v>
      </c>
      <c r="C6656" s="1" t="n">
        <v>45952</v>
      </c>
      <c r="D6656" t="inlineStr">
        <is>
          <t>VÄSTRA GÖTALANDS LÄN</t>
        </is>
      </c>
      <c r="E6656" t="inlineStr">
        <is>
          <t>FALKÖPING</t>
        </is>
      </c>
      <c r="G6656" t="n">
        <v>1.6</v>
      </c>
      <c r="H6656" t="n">
        <v>0</v>
      </c>
      <c r="I6656" t="n">
        <v>0</v>
      </c>
      <c r="J6656" t="n">
        <v>0</v>
      </c>
      <c r="K6656" t="n">
        <v>0</v>
      </c>
      <c r="L6656" t="n">
        <v>0</v>
      </c>
      <c r="M6656" t="n">
        <v>0</v>
      </c>
      <c r="N6656" t="n">
        <v>0</v>
      </c>
      <c r="O6656" t="n">
        <v>0</v>
      </c>
      <c r="P6656" t="n">
        <v>0</v>
      </c>
      <c r="Q6656" t="n">
        <v>0</v>
      </c>
      <c r="R6656" s="2" t="inlineStr"/>
    </row>
    <row r="6657" ht="15" customHeight="1">
      <c r="A6657" t="inlineStr">
        <is>
          <t>A 30477-2023</t>
        </is>
      </c>
      <c r="B6657" s="1" t="n">
        <v>45111</v>
      </c>
      <c r="C6657" s="1" t="n">
        <v>45952</v>
      </c>
      <c r="D6657" t="inlineStr">
        <is>
          <t>VÄSTRA GÖTALANDS LÄN</t>
        </is>
      </c>
      <c r="E6657" t="inlineStr">
        <is>
          <t>SVENLJUNGA</t>
        </is>
      </c>
      <c r="G6657" t="n">
        <v>2.2</v>
      </c>
      <c r="H6657" t="n">
        <v>0</v>
      </c>
      <c r="I6657" t="n">
        <v>0</v>
      </c>
      <c r="J6657" t="n">
        <v>0</v>
      </c>
      <c r="K6657" t="n">
        <v>0</v>
      </c>
      <c r="L6657" t="n">
        <v>0</v>
      </c>
      <c r="M6657" t="n">
        <v>0</v>
      </c>
      <c r="N6657" t="n">
        <v>0</v>
      </c>
      <c r="O6657" t="n">
        <v>0</v>
      </c>
      <c r="P6657" t="n">
        <v>0</v>
      </c>
      <c r="Q6657" t="n">
        <v>0</v>
      </c>
      <c r="R6657" s="2" t="inlineStr"/>
    </row>
    <row r="6658" ht="15" customHeight="1">
      <c r="A6658" t="inlineStr">
        <is>
          <t>A 43921-2024</t>
        </is>
      </c>
      <c r="B6658" s="1" t="n">
        <v>45571</v>
      </c>
      <c r="C6658" s="1" t="n">
        <v>45952</v>
      </c>
      <c r="D6658" t="inlineStr">
        <is>
          <t>VÄSTRA GÖTALANDS LÄN</t>
        </is>
      </c>
      <c r="E6658" t="inlineStr">
        <is>
          <t>TANUM</t>
        </is>
      </c>
      <c r="G6658" t="n">
        <v>0.9</v>
      </c>
      <c r="H6658" t="n">
        <v>0</v>
      </c>
      <c r="I6658" t="n">
        <v>0</v>
      </c>
      <c r="J6658" t="n">
        <v>0</v>
      </c>
      <c r="K6658" t="n">
        <v>0</v>
      </c>
      <c r="L6658" t="n">
        <v>0</v>
      </c>
      <c r="M6658" t="n">
        <v>0</v>
      </c>
      <c r="N6658" t="n">
        <v>0</v>
      </c>
      <c r="O6658" t="n">
        <v>0</v>
      </c>
      <c r="P6658" t="n">
        <v>0</v>
      </c>
      <c r="Q6658" t="n">
        <v>0</v>
      </c>
      <c r="R6658" s="2" t="inlineStr"/>
    </row>
    <row r="6659" ht="15" customHeight="1">
      <c r="A6659" t="inlineStr">
        <is>
          <t>A 51111-2024</t>
        </is>
      </c>
      <c r="B6659" s="1" t="n">
        <v>45603.49332175926</v>
      </c>
      <c r="C6659" s="1" t="n">
        <v>45952</v>
      </c>
      <c r="D6659" t="inlineStr">
        <is>
          <t>VÄSTRA GÖTALANDS LÄN</t>
        </is>
      </c>
      <c r="E6659" t="inlineStr">
        <is>
          <t>KARLSBORG</t>
        </is>
      </c>
      <c r="G6659" t="n">
        <v>2</v>
      </c>
      <c r="H6659" t="n">
        <v>0</v>
      </c>
      <c r="I6659" t="n">
        <v>0</v>
      </c>
      <c r="J6659" t="n">
        <v>0</v>
      </c>
      <c r="K6659" t="n">
        <v>0</v>
      </c>
      <c r="L6659" t="n">
        <v>0</v>
      </c>
      <c r="M6659" t="n">
        <v>0</v>
      </c>
      <c r="N6659" t="n">
        <v>0</v>
      </c>
      <c r="O6659" t="n">
        <v>0</v>
      </c>
      <c r="P6659" t="n">
        <v>0</v>
      </c>
      <c r="Q6659" t="n">
        <v>0</v>
      </c>
      <c r="R6659" s="2" t="inlineStr"/>
    </row>
    <row r="6660" ht="15" customHeight="1">
      <c r="A6660" t="inlineStr">
        <is>
          <t>A 15120-2024</t>
        </is>
      </c>
      <c r="B6660" s="1" t="n">
        <v>45399.69380787037</v>
      </c>
      <c r="C6660" s="1" t="n">
        <v>45952</v>
      </c>
      <c r="D6660" t="inlineStr">
        <is>
          <t>VÄSTRA GÖTALANDS LÄN</t>
        </is>
      </c>
      <c r="E6660" t="inlineStr">
        <is>
          <t>ULRICEHAMN</t>
        </is>
      </c>
      <c r="G6660" t="n">
        <v>0.4</v>
      </c>
      <c r="H6660" t="n">
        <v>0</v>
      </c>
      <c r="I6660" t="n">
        <v>0</v>
      </c>
      <c r="J6660" t="n">
        <v>0</v>
      </c>
      <c r="K6660" t="n">
        <v>0</v>
      </c>
      <c r="L6660" t="n">
        <v>0</v>
      </c>
      <c r="M6660" t="n">
        <v>0</v>
      </c>
      <c r="N6660" t="n">
        <v>0</v>
      </c>
      <c r="O6660" t="n">
        <v>0</v>
      </c>
      <c r="P6660" t="n">
        <v>0</v>
      </c>
      <c r="Q6660" t="n">
        <v>0</v>
      </c>
      <c r="R6660" s="2" t="inlineStr"/>
    </row>
    <row r="6661" ht="15" customHeight="1">
      <c r="A6661" t="inlineStr">
        <is>
          <t>A 46583-2025</t>
        </is>
      </c>
      <c r="B6661" s="1" t="n">
        <v>45926.37987268518</v>
      </c>
      <c r="C6661" s="1" t="n">
        <v>45952</v>
      </c>
      <c r="D6661" t="inlineStr">
        <is>
          <t>VÄSTRA GÖTALANDS LÄN</t>
        </is>
      </c>
      <c r="E6661" t="inlineStr">
        <is>
          <t>MUNKEDAL</t>
        </is>
      </c>
      <c r="G6661" t="n">
        <v>2.2</v>
      </c>
      <c r="H6661" t="n">
        <v>0</v>
      </c>
      <c r="I6661" t="n">
        <v>0</v>
      </c>
      <c r="J6661" t="n">
        <v>0</v>
      </c>
      <c r="K6661" t="n">
        <v>0</v>
      </c>
      <c r="L6661" t="n">
        <v>0</v>
      </c>
      <c r="M6661" t="n">
        <v>0</v>
      </c>
      <c r="N6661" t="n">
        <v>0</v>
      </c>
      <c r="O6661" t="n">
        <v>0</v>
      </c>
      <c r="P6661" t="n">
        <v>0</v>
      </c>
      <c r="Q6661" t="n">
        <v>0</v>
      </c>
      <c r="R6661" s="2" t="inlineStr"/>
    </row>
    <row r="6662" ht="15" customHeight="1">
      <c r="A6662" t="inlineStr">
        <is>
          <t>A 46588-2025</t>
        </is>
      </c>
      <c r="B6662" s="1" t="n">
        <v>45926.39152777778</v>
      </c>
      <c r="C6662" s="1" t="n">
        <v>45952</v>
      </c>
      <c r="D6662" t="inlineStr">
        <is>
          <t>VÄSTRA GÖTALANDS LÄN</t>
        </is>
      </c>
      <c r="E6662" t="inlineStr">
        <is>
          <t>KUNGÄLV</t>
        </is>
      </c>
      <c r="G6662" t="n">
        <v>3</v>
      </c>
      <c r="H6662" t="n">
        <v>0</v>
      </c>
      <c r="I6662" t="n">
        <v>0</v>
      </c>
      <c r="J6662" t="n">
        <v>0</v>
      </c>
      <c r="K6662" t="n">
        <v>0</v>
      </c>
      <c r="L6662" t="n">
        <v>0</v>
      </c>
      <c r="M6662" t="n">
        <v>0</v>
      </c>
      <c r="N6662" t="n">
        <v>0</v>
      </c>
      <c r="O6662" t="n">
        <v>0</v>
      </c>
      <c r="P6662" t="n">
        <v>0</v>
      </c>
      <c r="Q6662" t="n">
        <v>0</v>
      </c>
      <c r="R6662" s="2" t="inlineStr"/>
    </row>
    <row r="6663" ht="15" customHeight="1">
      <c r="A6663" t="inlineStr">
        <is>
          <t>A 25928-2023</t>
        </is>
      </c>
      <c r="B6663" s="1" t="n">
        <v>45090.67364583333</v>
      </c>
      <c r="C6663" s="1" t="n">
        <v>45952</v>
      </c>
      <c r="D6663" t="inlineStr">
        <is>
          <t>VÄSTRA GÖTALANDS LÄN</t>
        </is>
      </c>
      <c r="E6663" t="inlineStr">
        <is>
          <t>BOLLEBYGD</t>
        </is>
      </c>
      <c r="G6663" t="n">
        <v>2.7</v>
      </c>
      <c r="H6663" t="n">
        <v>0</v>
      </c>
      <c r="I6663" t="n">
        <v>0</v>
      </c>
      <c r="J6663" t="n">
        <v>0</v>
      </c>
      <c r="K6663" t="n">
        <v>0</v>
      </c>
      <c r="L6663" t="n">
        <v>0</v>
      </c>
      <c r="M6663" t="n">
        <v>0</v>
      </c>
      <c r="N6663" t="n">
        <v>0</v>
      </c>
      <c r="O6663" t="n">
        <v>0</v>
      </c>
      <c r="P6663" t="n">
        <v>0</v>
      </c>
      <c r="Q6663" t="n">
        <v>0</v>
      </c>
      <c r="R6663" s="2" t="inlineStr"/>
    </row>
    <row r="6664" ht="15" customHeight="1">
      <c r="A6664" t="inlineStr">
        <is>
          <t>A 51161-2024</t>
        </is>
      </c>
      <c r="B6664" s="1" t="n">
        <v>45603.57903935185</v>
      </c>
      <c r="C6664" s="1" t="n">
        <v>45952</v>
      </c>
      <c r="D6664" t="inlineStr">
        <is>
          <t>VÄSTRA GÖTALANDS LÄN</t>
        </is>
      </c>
      <c r="E6664" t="inlineStr">
        <is>
          <t>ULRICEHAMN</t>
        </is>
      </c>
      <c r="F6664" t="inlineStr">
        <is>
          <t>Kommuner</t>
        </is>
      </c>
      <c r="G6664" t="n">
        <v>1.1</v>
      </c>
      <c r="H6664" t="n">
        <v>0</v>
      </c>
      <c r="I6664" t="n">
        <v>0</v>
      </c>
      <c r="J6664" t="n">
        <v>0</v>
      </c>
      <c r="K6664" t="n">
        <v>0</v>
      </c>
      <c r="L6664" t="n">
        <v>0</v>
      </c>
      <c r="M6664" t="n">
        <v>0</v>
      </c>
      <c r="N6664" t="n">
        <v>0</v>
      </c>
      <c r="O6664" t="n">
        <v>0</v>
      </c>
      <c r="P6664" t="n">
        <v>0</v>
      </c>
      <c r="Q6664" t="n">
        <v>0</v>
      </c>
      <c r="R6664" s="2" t="inlineStr"/>
    </row>
    <row r="6665" ht="15" customHeight="1">
      <c r="A6665" t="inlineStr">
        <is>
          <t>A 51164-2024</t>
        </is>
      </c>
      <c r="B6665" s="1" t="n">
        <v>45603.5830787037</v>
      </c>
      <c r="C6665" s="1" t="n">
        <v>45952</v>
      </c>
      <c r="D6665" t="inlineStr">
        <is>
          <t>VÄSTRA GÖTALANDS LÄN</t>
        </is>
      </c>
      <c r="E6665" t="inlineStr">
        <is>
          <t>ALE</t>
        </is>
      </c>
      <c r="G6665" t="n">
        <v>1.1</v>
      </c>
      <c r="H6665" t="n">
        <v>0</v>
      </c>
      <c r="I6665" t="n">
        <v>0</v>
      </c>
      <c r="J6665" t="n">
        <v>0</v>
      </c>
      <c r="K6665" t="n">
        <v>0</v>
      </c>
      <c r="L6665" t="n">
        <v>0</v>
      </c>
      <c r="M6665" t="n">
        <v>0</v>
      </c>
      <c r="N6665" t="n">
        <v>0</v>
      </c>
      <c r="O6665" t="n">
        <v>0</v>
      </c>
      <c r="P6665" t="n">
        <v>0</v>
      </c>
      <c r="Q6665" t="n">
        <v>0</v>
      </c>
      <c r="R6665" s="2" t="inlineStr"/>
    </row>
    <row r="6666" ht="15" customHeight="1">
      <c r="A6666" t="inlineStr">
        <is>
          <t>A 19093-2024</t>
        </is>
      </c>
      <c r="B6666" s="1" t="n">
        <v>45428.28443287037</v>
      </c>
      <c r="C6666" s="1" t="n">
        <v>45952</v>
      </c>
      <c r="D6666" t="inlineStr">
        <is>
          <t>VÄSTRA GÖTALANDS LÄN</t>
        </is>
      </c>
      <c r="E6666" t="inlineStr">
        <is>
          <t>ULRICEHAMN</t>
        </is>
      </c>
      <c r="G6666" t="n">
        <v>3.7</v>
      </c>
      <c r="H6666" t="n">
        <v>0</v>
      </c>
      <c r="I6666" t="n">
        <v>0</v>
      </c>
      <c r="J6666" t="n">
        <v>0</v>
      </c>
      <c r="K6666" t="n">
        <v>0</v>
      </c>
      <c r="L6666" t="n">
        <v>0</v>
      </c>
      <c r="M6666" t="n">
        <v>0</v>
      </c>
      <c r="N6666" t="n">
        <v>0</v>
      </c>
      <c r="O6666" t="n">
        <v>0</v>
      </c>
      <c r="P6666" t="n">
        <v>0</v>
      </c>
      <c r="Q6666" t="n">
        <v>0</v>
      </c>
      <c r="R6666" s="2" t="inlineStr"/>
    </row>
    <row r="6667" ht="15" customHeight="1">
      <c r="A6667" t="inlineStr">
        <is>
          <t>A 51289-2024</t>
        </is>
      </c>
      <c r="B6667" s="1" t="n">
        <v>45603.85575231481</v>
      </c>
      <c r="C6667" s="1" t="n">
        <v>45952</v>
      </c>
      <c r="D6667" t="inlineStr">
        <is>
          <t>VÄSTRA GÖTALANDS LÄN</t>
        </is>
      </c>
      <c r="E6667" t="inlineStr">
        <is>
          <t>TIDAHOLM</t>
        </is>
      </c>
      <c r="G6667" t="n">
        <v>0.9</v>
      </c>
      <c r="H6667" t="n">
        <v>0</v>
      </c>
      <c r="I6667" t="n">
        <v>0</v>
      </c>
      <c r="J6667" t="n">
        <v>0</v>
      </c>
      <c r="K6667" t="n">
        <v>0</v>
      </c>
      <c r="L6667" t="n">
        <v>0</v>
      </c>
      <c r="M6667" t="n">
        <v>0</v>
      </c>
      <c r="N6667" t="n">
        <v>0</v>
      </c>
      <c r="O6667" t="n">
        <v>0</v>
      </c>
      <c r="P6667" t="n">
        <v>0</v>
      </c>
      <c r="Q6667" t="n">
        <v>0</v>
      </c>
      <c r="R6667" s="2" t="inlineStr"/>
    </row>
    <row r="6668" ht="15" customHeight="1">
      <c r="A6668" t="inlineStr">
        <is>
          <t>A 23703-2025</t>
        </is>
      </c>
      <c r="B6668" s="1" t="n">
        <v>45793.3621875</v>
      </c>
      <c r="C6668" s="1" t="n">
        <v>45952</v>
      </c>
      <c r="D6668" t="inlineStr">
        <is>
          <t>VÄSTRA GÖTALANDS LÄN</t>
        </is>
      </c>
      <c r="E6668" t="inlineStr">
        <is>
          <t>BENGTSFORS</t>
        </is>
      </c>
      <c r="G6668" t="n">
        <v>3.2</v>
      </c>
      <c r="H6668" t="n">
        <v>0</v>
      </c>
      <c r="I6668" t="n">
        <v>0</v>
      </c>
      <c r="J6668" t="n">
        <v>0</v>
      </c>
      <c r="K6668" t="n">
        <v>0</v>
      </c>
      <c r="L6668" t="n">
        <v>0</v>
      </c>
      <c r="M6668" t="n">
        <v>0</v>
      </c>
      <c r="N6668" t="n">
        <v>0</v>
      </c>
      <c r="O6668" t="n">
        <v>0</v>
      </c>
      <c r="P6668" t="n">
        <v>0</v>
      </c>
      <c r="Q6668" t="n">
        <v>0</v>
      </c>
      <c r="R6668" s="2" t="inlineStr"/>
    </row>
    <row r="6669" ht="15" customHeight="1">
      <c r="A6669" t="inlineStr">
        <is>
          <t>A 30601-2025</t>
        </is>
      </c>
      <c r="B6669" s="1" t="n">
        <v>45831.45100694444</v>
      </c>
      <c r="C6669" s="1" t="n">
        <v>45952</v>
      </c>
      <c r="D6669" t="inlineStr">
        <is>
          <t>VÄSTRA GÖTALANDS LÄN</t>
        </is>
      </c>
      <c r="E6669" t="inlineStr">
        <is>
          <t>FALKÖPING</t>
        </is>
      </c>
      <c r="G6669" t="n">
        <v>3.3</v>
      </c>
      <c r="H6669" t="n">
        <v>0</v>
      </c>
      <c r="I6669" t="n">
        <v>0</v>
      </c>
      <c r="J6669" t="n">
        <v>0</v>
      </c>
      <c r="K6669" t="n">
        <v>0</v>
      </c>
      <c r="L6669" t="n">
        <v>0</v>
      </c>
      <c r="M6669" t="n">
        <v>0</v>
      </c>
      <c r="N6669" t="n">
        <v>0</v>
      </c>
      <c r="O6669" t="n">
        <v>0</v>
      </c>
      <c r="P6669" t="n">
        <v>0</v>
      </c>
      <c r="Q6669" t="n">
        <v>0</v>
      </c>
      <c r="R6669" s="2" t="inlineStr"/>
    </row>
    <row r="6670" ht="15" customHeight="1">
      <c r="A6670" t="inlineStr">
        <is>
          <t>A 46226-2025</t>
        </is>
      </c>
      <c r="B6670" s="1" t="n">
        <v>45924</v>
      </c>
      <c r="C6670" s="1" t="n">
        <v>45952</v>
      </c>
      <c r="D6670" t="inlineStr">
        <is>
          <t>VÄSTRA GÖTALANDS LÄN</t>
        </is>
      </c>
      <c r="E6670" t="inlineStr">
        <is>
          <t>ALE</t>
        </is>
      </c>
      <c r="G6670" t="n">
        <v>2.3</v>
      </c>
      <c r="H6670" t="n">
        <v>0</v>
      </c>
      <c r="I6670" t="n">
        <v>0</v>
      </c>
      <c r="J6670" t="n">
        <v>0</v>
      </c>
      <c r="K6670" t="n">
        <v>0</v>
      </c>
      <c r="L6670" t="n">
        <v>0</v>
      </c>
      <c r="M6670" t="n">
        <v>0</v>
      </c>
      <c r="N6670" t="n">
        <v>0</v>
      </c>
      <c r="O6670" t="n">
        <v>0</v>
      </c>
      <c r="P6670" t="n">
        <v>0</v>
      </c>
      <c r="Q6670" t="n">
        <v>0</v>
      </c>
      <c r="R6670" s="2" t="inlineStr"/>
    </row>
    <row r="6671" ht="15" customHeight="1">
      <c r="A6671" t="inlineStr">
        <is>
          <t>A 943-2025</t>
        </is>
      </c>
      <c r="B6671" s="1" t="n">
        <v>45666.33940972222</v>
      </c>
      <c r="C6671" s="1" t="n">
        <v>45952</v>
      </c>
      <c r="D6671" t="inlineStr">
        <is>
          <t>VÄSTRA GÖTALANDS LÄN</t>
        </is>
      </c>
      <c r="E6671" t="inlineStr">
        <is>
          <t>ULRICEHAMN</t>
        </is>
      </c>
      <c r="G6671" t="n">
        <v>2</v>
      </c>
      <c r="H6671" t="n">
        <v>0</v>
      </c>
      <c r="I6671" t="n">
        <v>0</v>
      </c>
      <c r="J6671" t="n">
        <v>0</v>
      </c>
      <c r="K6671" t="n">
        <v>0</v>
      </c>
      <c r="L6671" t="n">
        <v>0</v>
      </c>
      <c r="M6671" t="n">
        <v>0</v>
      </c>
      <c r="N6671" t="n">
        <v>0</v>
      </c>
      <c r="O6671" t="n">
        <v>0</v>
      </c>
      <c r="P6671" t="n">
        <v>0</v>
      </c>
      <c r="Q6671" t="n">
        <v>0</v>
      </c>
      <c r="R6671" s="2" t="inlineStr"/>
    </row>
    <row r="6672" ht="15" customHeight="1">
      <c r="A6672" t="inlineStr">
        <is>
          <t>A 41971-2023</t>
        </is>
      </c>
      <c r="B6672" s="1" t="n">
        <v>45177.37849537037</v>
      </c>
      <c r="C6672" s="1" t="n">
        <v>45952</v>
      </c>
      <c r="D6672" t="inlineStr">
        <is>
          <t>VÄSTRA GÖTALANDS LÄN</t>
        </is>
      </c>
      <c r="E6672" t="inlineStr">
        <is>
          <t>ALINGSÅS</t>
        </is>
      </c>
      <c r="G6672" t="n">
        <v>1.1</v>
      </c>
      <c r="H6672" t="n">
        <v>0</v>
      </c>
      <c r="I6672" t="n">
        <v>0</v>
      </c>
      <c r="J6672" t="n">
        <v>0</v>
      </c>
      <c r="K6672" t="n">
        <v>0</v>
      </c>
      <c r="L6672" t="n">
        <v>0</v>
      </c>
      <c r="M6672" t="n">
        <v>0</v>
      </c>
      <c r="N6672" t="n">
        <v>0</v>
      </c>
      <c r="O6672" t="n">
        <v>0</v>
      </c>
      <c r="P6672" t="n">
        <v>0</v>
      </c>
      <c r="Q6672" t="n">
        <v>0</v>
      </c>
      <c r="R6672" s="2" t="inlineStr"/>
    </row>
    <row r="6673" ht="15" customHeight="1">
      <c r="A6673" t="inlineStr">
        <is>
          <t>A 53119-2024</t>
        </is>
      </c>
      <c r="B6673" s="1" t="n">
        <v>45611.58608796296</v>
      </c>
      <c r="C6673" s="1" t="n">
        <v>45952</v>
      </c>
      <c r="D6673" t="inlineStr">
        <is>
          <t>VÄSTRA GÖTALANDS LÄN</t>
        </is>
      </c>
      <c r="E6673" t="inlineStr">
        <is>
          <t>LIDKÖPING</t>
        </is>
      </c>
      <c r="G6673" t="n">
        <v>5.1</v>
      </c>
      <c r="H6673" t="n">
        <v>0</v>
      </c>
      <c r="I6673" t="n">
        <v>0</v>
      </c>
      <c r="J6673" t="n">
        <v>0</v>
      </c>
      <c r="K6673" t="n">
        <v>0</v>
      </c>
      <c r="L6673" t="n">
        <v>0</v>
      </c>
      <c r="M6673" t="n">
        <v>0</v>
      </c>
      <c r="N6673" t="n">
        <v>0</v>
      </c>
      <c r="O6673" t="n">
        <v>0</v>
      </c>
      <c r="P6673" t="n">
        <v>0</v>
      </c>
      <c r="Q6673" t="n">
        <v>0</v>
      </c>
      <c r="R6673" s="2" t="inlineStr"/>
    </row>
    <row r="6674" ht="15" customHeight="1">
      <c r="A6674" t="inlineStr">
        <is>
          <t>A 62890-2023</t>
        </is>
      </c>
      <c r="B6674" s="1" t="n">
        <v>45272</v>
      </c>
      <c r="C6674" s="1" t="n">
        <v>45952</v>
      </c>
      <c r="D6674" t="inlineStr">
        <is>
          <t>VÄSTRA GÖTALANDS LÄN</t>
        </is>
      </c>
      <c r="E6674" t="inlineStr">
        <is>
          <t>SKARA</t>
        </is>
      </c>
      <c r="G6674" t="n">
        <v>7.6</v>
      </c>
      <c r="H6674" t="n">
        <v>0</v>
      </c>
      <c r="I6674" t="n">
        <v>0</v>
      </c>
      <c r="J6674" t="n">
        <v>0</v>
      </c>
      <c r="K6674" t="n">
        <v>0</v>
      </c>
      <c r="L6674" t="n">
        <v>0</v>
      </c>
      <c r="M6674" t="n">
        <v>0</v>
      </c>
      <c r="N6674" t="n">
        <v>0</v>
      </c>
      <c r="O6674" t="n">
        <v>0</v>
      </c>
      <c r="P6674" t="n">
        <v>0</v>
      </c>
      <c r="Q6674" t="n">
        <v>0</v>
      </c>
      <c r="R6674" s="2" t="inlineStr"/>
    </row>
    <row r="6675" ht="15" customHeight="1">
      <c r="A6675" t="inlineStr">
        <is>
          <t>A 4237-2024</t>
        </is>
      </c>
      <c r="B6675" s="1" t="n">
        <v>45324</v>
      </c>
      <c r="C6675" s="1" t="n">
        <v>45952</v>
      </c>
      <c r="D6675" t="inlineStr">
        <is>
          <t>VÄSTRA GÖTALANDS LÄN</t>
        </is>
      </c>
      <c r="E6675" t="inlineStr">
        <is>
          <t>SKÖVDE</t>
        </is>
      </c>
      <c r="G6675" t="n">
        <v>3.1</v>
      </c>
      <c r="H6675" t="n">
        <v>0</v>
      </c>
      <c r="I6675" t="n">
        <v>0</v>
      </c>
      <c r="J6675" t="n">
        <v>0</v>
      </c>
      <c r="K6675" t="n">
        <v>0</v>
      </c>
      <c r="L6675" t="n">
        <v>0</v>
      </c>
      <c r="M6675" t="n">
        <v>0</v>
      </c>
      <c r="N6675" t="n">
        <v>0</v>
      </c>
      <c r="O6675" t="n">
        <v>0</v>
      </c>
      <c r="P6675" t="n">
        <v>0</v>
      </c>
      <c r="Q6675" t="n">
        <v>0</v>
      </c>
      <c r="R6675" s="2" t="inlineStr"/>
    </row>
    <row r="6676" ht="15" customHeight="1">
      <c r="A6676" t="inlineStr">
        <is>
          <t>A 4241-2024</t>
        </is>
      </c>
      <c r="B6676" s="1" t="n">
        <v>45324</v>
      </c>
      <c r="C6676" s="1" t="n">
        <v>45952</v>
      </c>
      <c r="D6676" t="inlineStr">
        <is>
          <t>VÄSTRA GÖTALANDS LÄN</t>
        </is>
      </c>
      <c r="E6676" t="inlineStr">
        <is>
          <t>MARIESTAD</t>
        </is>
      </c>
      <c r="F6676" t="inlineStr">
        <is>
          <t>Sveaskog</t>
        </is>
      </c>
      <c r="G6676" t="n">
        <v>1.5</v>
      </c>
      <c r="H6676" t="n">
        <v>0</v>
      </c>
      <c r="I6676" t="n">
        <v>0</v>
      </c>
      <c r="J6676" t="n">
        <v>0</v>
      </c>
      <c r="K6676" t="n">
        <v>0</v>
      </c>
      <c r="L6676" t="n">
        <v>0</v>
      </c>
      <c r="M6676" t="n">
        <v>0</v>
      </c>
      <c r="N6676" t="n">
        <v>0</v>
      </c>
      <c r="O6676" t="n">
        <v>0</v>
      </c>
      <c r="P6676" t="n">
        <v>0</v>
      </c>
      <c r="Q6676" t="n">
        <v>0</v>
      </c>
      <c r="R6676" s="2" t="inlineStr"/>
    </row>
    <row r="6677" ht="15" customHeight="1">
      <c r="A6677" t="inlineStr">
        <is>
          <t>A 11280-2022</t>
        </is>
      </c>
      <c r="B6677" s="1" t="n">
        <v>44629</v>
      </c>
      <c r="C6677" s="1" t="n">
        <v>45952</v>
      </c>
      <c r="D6677" t="inlineStr">
        <is>
          <t>VÄSTRA GÖTALANDS LÄN</t>
        </is>
      </c>
      <c r="E6677" t="inlineStr">
        <is>
          <t>FALKÖPING</t>
        </is>
      </c>
      <c r="G6677" t="n">
        <v>4.1</v>
      </c>
      <c r="H6677" t="n">
        <v>0</v>
      </c>
      <c r="I6677" t="n">
        <v>0</v>
      </c>
      <c r="J6677" t="n">
        <v>0</v>
      </c>
      <c r="K6677" t="n">
        <v>0</v>
      </c>
      <c r="L6677" t="n">
        <v>0</v>
      </c>
      <c r="M6677" t="n">
        <v>0</v>
      </c>
      <c r="N6677" t="n">
        <v>0</v>
      </c>
      <c r="O6677" t="n">
        <v>0</v>
      </c>
      <c r="P6677" t="n">
        <v>0</v>
      </c>
      <c r="Q6677" t="n">
        <v>0</v>
      </c>
      <c r="R6677" s="2" t="inlineStr"/>
    </row>
    <row r="6678" ht="15" customHeight="1">
      <c r="A6678" t="inlineStr">
        <is>
          <t>A 4362-2024</t>
        </is>
      </c>
      <c r="B6678" s="1" t="n">
        <v>45325</v>
      </c>
      <c r="C6678" s="1" t="n">
        <v>45952</v>
      </c>
      <c r="D6678" t="inlineStr">
        <is>
          <t>VÄSTRA GÖTALANDS LÄN</t>
        </is>
      </c>
      <c r="E6678" t="inlineStr">
        <is>
          <t>MUNKEDAL</t>
        </is>
      </c>
      <c r="G6678" t="n">
        <v>2</v>
      </c>
      <c r="H6678" t="n">
        <v>0</v>
      </c>
      <c r="I6678" t="n">
        <v>0</v>
      </c>
      <c r="J6678" t="n">
        <v>0</v>
      </c>
      <c r="K6678" t="n">
        <v>0</v>
      </c>
      <c r="L6678" t="n">
        <v>0</v>
      </c>
      <c r="M6678" t="n">
        <v>0</v>
      </c>
      <c r="N6678" t="n">
        <v>0</v>
      </c>
      <c r="O6678" t="n">
        <v>0</v>
      </c>
      <c r="P6678" t="n">
        <v>0</v>
      </c>
      <c r="Q6678" t="n">
        <v>0</v>
      </c>
      <c r="R6678" s="2" t="inlineStr"/>
    </row>
    <row r="6679" ht="15" customHeight="1">
      <c r="A6679" t="inlineStr">
        <is>
          <t>A 49879-2023</t>
        </is>
      </c>
      <c r="B6679" s="1" t="n">
        <v>45213</v>
      </c>
      <c r="C6679" s="1" t="n">
        <v>45952</v>
      </c>
      <c r="D6679" t="inlineStr">
        <is>
          <t>VÄSTRA GÖTALANDS LÄN</t>
        </is>
      </c>
      <c r="E6679" t="inlineStr">
        <is>
          <t>LILLA EDET</t>
        </is>
      </c>
      <c r="G6679" t="n">
        <v>5</v>
      </c>
      <c r="H6679" t="n">
        <v>0</v>
      </c>
      <c r="I6679" t="n">
        <v>0</v>
      </c>
      <c r="J6679" t="n">
        <v>0</v>
      </c>
      <c r="K6679" t="n">
        <v>0</v>
      </c>
      <c r="L6679" t="n">
        <v>0</v>
      </c>
      <c r="M6679" t="n">
        <v>0</v>
      </c>
      <c r="N6679" t="n">
        <v>0</v>
      </c>
      <c r="O6679" t="n">
        <v>0</v>
      </c>
      <c r="P6679" t="n">
        <v>0</v>
      </c>
      <c r="Q6679" t="n">
        <v>0</v>
      </c>
      <c r="R6679" s="2" t="inlineStr"/>
    </row>
    <row r="6680" ht="15" customHeight="1">
      <c r="A6680" t="inlineStr">
        <is>
          <t>A 9795-2025</t>
        </is>
      </c>
      <c r="B6680" s="1" t="n">
        <v>45716.55226851852</v>
      </c>
      <c r="C6680" s="1" t="n">
        <v>45952</v>
      </c>
      <c r="D6680" t="inlineStr">
        <is>
          <t>VÄSTRA GÖTALANDS LÄN</t>
        </is>
      </c>
      <c r="E6680" t="inlineStr">
        <is>
          <t>MARIESTAD</t>
        </is>
      </c>
      <c r="F6680" t="inlineStr">
        <is>
          <t>Kyrkan</t>
        </is>
      </c>
      <c r="G6680" t="n">
        <v>3.4</v>
      </c>
      <c r="H6680" t="n">
        <v>0</v>
      </c>
      <c r="I6680" t="n">
        <v>0</v>
      </c>
      <c r="J6680" t="n">
        <v>0</v>
      </c>
      <c r="K6680" t="n">
        <v>0</v>
      </c>
      <c r="L6680" t="n">
        <v>0</v>
      </c>
      <c r="M6680" t="n">
        <v>0</v>
      </c>
      <c r="N6680" t="n">
        <v>0</v>
      </c>
      <c r="O6680" t="n">
        <v>0</v>
      </c>
      <c r="P6680" t="n">
        <v>0</v>
      </c>
      <c r="Q6680" t="n">
        <v>0</v>
      </c>
      <c r="R6680" s="2" t="inlineStr"/>
    </row>
    <row r="6681" ht="15" customHeight="1">
      <c r="A6681" t="inlineStr">
        <is>
          <t>A 16651-2023</t>
        </is>
      </c>
      <c r="B6681" s="1" t="n">
        <v>45030.51758101852</v>
      </c>
      <c r="C6681" s="1" t="n">
        <v>45952</v>
      </c>
      <c r="D6681" t="inlineStr">
        <is>
          <t>VÄSTRA GÖTALANDS LÄN</t>
        </is>
      </c>
      <c r="E6681" t="inlineStr">
        <is>
          <t>TIDAHOLM</t>
        </is>
      </c>
      <c r="G6681" t="n">
        <v>1.7</v>
      </c>
      <c r="H6681" t="n">
        <v>0</v>
      </c>
      <c r="I6681" t="n">
        <v>0</v>
      </c>
      <c r="J6681" t="n">
        <v>0</v>
      </c>
      <c r="K6681" t="n">
        <v>0</v>
      </c>
      <c r="L6681" t="n">
        <v>0</v>
      </c>
      <c r="M6681" t="n">
        <v>0</v>
      </c>
      <c r="N6681" t="n">
        <v>0</v>
      </c>
      <c r="O6681" t="n">
        <v>0</v>
      </c>
      <c r="P6681" t="n">
        <v>0</v>
      </c>
      <c r="Q6681" t="n">
        <v>0</v>
      </c>
      <c r="R6681" s="2" t="inlineStr"/>
    </row>
    <row r="6682" ht="15" customHeight="1">
      <c r="A6682" t="inlineStr">
        <is>
          <t>A 44398-2024</t>
        </is>
      </c>
      <c r="B6682" s="1" t="n">
        <v>45573.7003125</v>
      </c>
      <c r="C6682" s="1" t="n">
        <v>45952</v>
      </c>
      <c r="D6682" t="inlineStr">
        <is>
          <t>VÄSTRA GÖTALANDS LÄN</t>
        </is>
      </c>
      <c r="E6682" t="inlineStr">
        <is>
          <t>FÄRGELANDA</t>
        </is>
      </c>
      <c r="G6682" t="n">
        <v>2.2</v>
      </c>
      <c r="H6682" t="n">
        <v>0</v>
      </c>
      <c r="I6682" t="n">
        <v>0</v>
      </c>
      <c r="J6682" t="n">
        <v>0</v>
      </c>
      <c r="K6682" t="n">
        <v>0</v>
      </c>
      <c r="L6682" t="n">
        <v>0</v>
      </c>
      <c r="M6682" t="n">
        <v>0</v>
      </c>
      <c r="N6682" t="n">
        <v>0</v>
      </c>
      <c r="O6682" t="n">
        <v>0</v>
      </c>
      <c r="P6682" t="n">
        <v>0</v>
      </c>
      <c r="Q6682" t="n">
        <v>0</v>
      </c>
      <c r="R6682" s="2" t="inlineStr"/>
    </row>
    <row r="6683" ht="15" customHeight="1">
      <c r="A6683" t="inlineStr">
        <is>
          <t>A 3811-2024</t>
        </is>
      </c>
      <c r="B6683" s="1" t="n">
        <v>45321.673125</v>
      </c>
      <c r="C6683" s="1" t="n">
        <v>45952</v>
      </c>
      <c r="D6683" t="inlineStr">
        <is>
          <t>VÄSTRA GÖTALANDS LÄN</t>
        </is>
      </c>
      <c r="E6683" t="inlineStr">
        <is>
          <t>MÖLNDAL</t>
        </is>
      </c>
      <c r="G6683" t="n">
        <v>0.9</v>
      </c>
      <c r="H6683" t="n">
        <v>0</v>
      </c>
      <c r="I6683" t="n">
        <v>0</v>
      </c>
      <c r="J6683" t="n">
        <v>0</v>
      </c>
      <c r="K6683" t="n">
        <v>0</v>
      </c>
      <c r="L6683" t="n">
        <v>0</v>
      </c>
      <c r="M6683" t="n">
        <v>0</v>
      </c>
      <c r="N6683" t="n">
        <v>0</v>
      </c>
      <c r="O6683" t="n">
        <v>0</v>
      </c>
      <c r="P6683" t="n">
        <v>0</v>
      </c>
      <c r="Q6683" t="n">
        <v>0</v>
      </c>
      <c r="R6683" s="2" t="inlineStr"/>
    </row>
    <row r="6684" ht="15" customHeight="1">
      <c r="A6684" t="inlineStr">
        <is>
          <t>A 29848-2022</t>
        </is>
      </c>
      <c r="B6684" s="1" t="n">
        <v>44756.36030092592</v>
      </c>
      <c r="C6684" s="1" t="n">
        <v>45952</v>
      </c>
      <c r="D6684" t="inlineStr">
        <is>
          <t>VÄSTRA GÖTALANDS LÄN</t>
        </is>
      </c>
      <c r="E6684" t="inlineStr">
        <is>
          <t>MARIESTAD</t>
        </is>
      </c>
      <c r="G6684" t="n">
        <v>1.4</v>
      </c>
      <c r="H6684" t="n">
        <v>0</v>
      </c>
      <c r="I6684" t="n">
        <v>0</v>
      </c>
      <c r="J6684" t="n">
        <v>0</v>
      </c>
      <c r="K6684" t="n">
        <v>0</v>
      </c>
      <c r="L6684" t="n">
        <v>0</v>
      </c>
      <c r="M6684" t="n">
        <v>0</v>
      </c>
      <c r="N6684" t="n">
        <v>0</v>
      </c>
      <c r="O6684" t="n">
        <v>0</v>
      </c>
      <c r="P6684" t="n">
        <v>0</v>
      </c>
      <c r="Q6684" t="n">
        <v>0</v>
      </c>
      <c r="R6684" s="2" t="inlineStr"/>
    </row>
    <row r="6685" ht="15" customHeight="1">
      <c r="A6685" t="inlineStr">
        <is>
          <t>A 9852-2025</t>
        </is>
      </c>
      <c r="B6685" s="1" t="n">
        <v>45716</v>
      </c>
      <c r="C6685" s="1" t="n">
        <v>45952</v>
      </c>
      <c r="D6685" t="inlineStr">
        <is>
          <t>VÄSTRA GÖTALANDS LÄN</t>
        </is>
      </c>
      <c r="E6685" t="inlineStr">
        <is>
          <t>ÅMÅL</t>
        </is>
      </c>
      <c r="F6685" t="inlineStr">
        <is>
          <t>Bergvik skog väst AB</t>
        </is>
      </c>
      <c r="G6685" t="n">
        <v>3.3</v>
      </c>
      <c r="H6685" t="n">
        <v>0</v>
      </c>
      <c r="I6685" t="n">
        <v>0</v>
      </c>
      <c r="J6685" t="n">
        <v>0</v>
      </c>
      <c r="K6685" t="n">
        <v>0</v>
      </c>
      <c r="L6685" t="n">
        <v>0</v>
      </c>
      <c r="M6685" t="n">
        <v>0</v>
      </c>
      <c r="N6685" t="n">
        <v>0</v>
      </c>
      <c r="O6685" t="n">
        <v>0</v>
      </c>
      <c r="P6685" t="n">
        <v>0</v>
      </c>
      <c r="Q6685" t="n">
        <v>0</v>
      </c>
      <c r="R6685" s="2" t="inlineStr"/>
    </row>
    <row r="6686" ht="15" customHeight="1">
      <c r="A6686" t="inlineStr">
        <is>
          <t>A 17842-2021</t>
        </is>
      </c>
      <c r="B6686" s="1" t="n">
        <v>44300</v>
      </c>
      <c r="C6686" s="1" t="n">
        <v>45952</v>
      </c>
      <c r="D6686" t="inlineStr">
        <is>
          <t>VÄSTRA GÖTALANDS LÄN</t>
        </is>
      </c>
      <c r="E6686" t="inlineStr">
        <is>
          <t>DALS-ED</t>
        </is>
      </c>
      <c r="G6686" t="n">
        <v>1.3</v>
      </c>
      <c r="H6686" t="n">
        <v>0</v>
      </c>
      <c r="I6686" t="n">
        <v>0</v>
      </c>
      <c r="J6686" t="n">
        <v>0</v>
      </c>
      <c r="K6686" t="n">
        <v>0</v>
      </c>
      <c r="L6686" t="n">
        <v>0</v>
      </c>
      <c r="M6686" t="n">
        <v>0</v>
      </c>
      <c r="N6686" t="n">
        <v>0</v>
      </c>
      <c r="O6686" t="n">
        <v>0</v>
      </c>
      <c r="P6686" t="n">
        <v>0</v>
      </c>
      <c r="Q6686" t="n">
        <v>0</v>
      </c>
      <c r="R6686" s="2" t="inlineStr"/>
    </row>
    <row r="6687" ht="15" customHeight="1">
      <c r="A6687" t="inlineStr">
        <is>
          <t>A 22304-2023</t>
        </is>
      </c>
      <c r="B6687" s="1" t="n">
        <v>45070.46034722222</v>
      </c>
      <c r="C6687" s="1" t="n">
        <v>45952</v>
      </c>
      <c r="D6687" t="inlineStr">
        <is>
          <t>VÄSTRA GÖTALANDS LÄN</t>
        </is>
      </c>
      <c r="E6687" t="inlineStr">
        <is>
          <t>ULRICEHAMN</t>
        </is>
      </c>
      <c r="G6687" t="n">
        <v>4.5</v>
      </c>
      <c r="H6687" t="n">
        <v>0</v>
      </c>
      <c r="I6687" t="n">
        <v>0</v>
      </c>
      <c r="J6687" t="n">
        <v>0</v>
      </c>
      <c r="K6687" t="n">
        <v>0</v>
      </c>
      <c r="L6687" t="n">
        <v>0</v>
      </c>
      <c r="M6687" t="n">
        <v>0</v>
      </c>
      <c r="N6687" t="n">
        <v>0</v>
      </c>
      <c r="O6687" t="n">
        <v>0</v>
      </c>
      <c r="P6687" t="n">
        <v>0</v>
      </c>
      <c r="Q6687" t="n">
        <v>0</v>
      </c>
      <c r="R6687" s="2" t="inlineStr"/>
    </row>
    <row r="6688" ht="15" customHeight="1">
      <c r="A6688" t="inlineStr">
        <is>
          <t>A 46241-2023</t>
        </is>
      </c>
      <c r="B6688" s="1" t="n">
        <v>45196</v>
      </c>
      <c r="C6688" s="1" t="n">
        <v>45952</v>
      </c>
      <c r="D6688" t="inlineStr">
        <is>
          <t>VÄSTRA GÖTALANDS LÄN</t>
        </is>
      </c>
      <c r="E6688" t="inlineStr">
        <is>
          <t>TANUM</t>
        </is>
      </c>
      <c r="G6688" t="n">
        <v>1.6</v>
      </c>
      <c r="H6688" t="n">
        <v>0</v>
      </c>
      <c r="I6688" t="n">
        <v>0</v>
      </c>
      <c r="J6688" t="n">
        <v>0</v>
      </c>
      <c r="K6688" t="n">
        <v>0</v>
      </c>
      <c r="L6688" t="n">
        <v>0</v>
      </c>
      <c r="M6688" t="n">
        <v>0</v>
      </c>
      <c r="N6688" t="n">
        <v>0</v>
      </c>
      <c r="O6688" t="n">
        <v>0</v>
      </c>
      <c r="P6688" t="n">
        <v>0</v>
      </c>
      <c r="Q6688" t="n">
        <v>0</v>
      </c>
      <c r="R6688" s="2" t="inlineStr"/>
    </row>
    <row r="6689" ht="15" customHeight="1">
      <c r="A6689" t="inlineStr">
        <is>
          <t>A 17391-2024</t>
        </is>
      </c>
      <c r="B6689" s="1" t="n">
        <v>45414.68023148148</v>
      </c>
      <c r="C6689" s="1" t="n">
        <v>45952</v>
      </c>
      <c r="D6689" t="inlineStr">
        <is>
          <t>VÄSTRA GÖTALANDS LÄN</t>
        </is>
      </c>
      <c r="E6689" t="inlineStr">
        <is>
          <t>ÅMÅL</t>
        </is>
      </c>
      <c r="G6689" t="n">
        <v>2.3</v>
      </c>
      <c r="H6689" t="n">
        <v>0</v>
      </c>
      <c r="I6689" t="n">
        <v>0</v>
      </c>
      <c r="J6689" t="n">
        <v>0</v>
      </c>
      <c r="K6689" t="n">
        <v>0</v>
      </c>
      <c r="L6689" t="n">
        <v>0</v>
      </c>
      <c r="M6689" t="n">
        <v>0</v>
      </c>
      <c r="N6689" t="n">
        <v>0</v>
      </c>
      <c r="O6689" t="n">
        <v>0</v>
      </c>
      <c r="P6689" t="n">
        <v>0</v>
      </c>
      <c r="Q6689" t="n">
        <v>0</v>
      </c>
      <c r="R6689" s="2" t="inlineStr"/>
    </row>
    <row r="6690" ht="15" customHeight="1">
      <c r="A6690" t="inlineStr">
        <is>
          <t>A 17394-2024</t>
        </is>
      </c>
      <c r="B6690" s="1" t="n">
        <v>45414.68422453704</v>
      </c>
      <c r="C6690" s="1" t="n">
        <v>45952</v>
      </c>
      <c r="D6690" t="inlineStr">
        <is>
          <t>VÄSTRA GÖTALANDS LÄN</t>
        </is>
      </c>
      <c r="E6690" t="inlineStr">
        <is>
          <t>MARK</t>
        </is>
      </c>
      <c r="F6690" t="inlineStr">
        <is>
          <t>Kommuner</t>
        </is>
      </c>
      <c r="G6690" t="n">
        <v>0.9</v>
      </c>
      <c r="H6690" t="n">
        <v>0</v>
      </c>
      <c r="I6690" t="n">
        <v>0</v>
      </c>
      <c r="J6690" t="n">
        <v>0</v>
      </c>
      <c r="K6690" t="n">
        <v>0</v>
      </c>
      <c r="L6690" t="n">
        <v>0</v>
      </c>
      <c r="M6690" t="n">
        <v>0</v>
      </c>
      <c r="N6690" t="n">
        <v>0</v>
      </c>
      <c r="O6690" t="n">
        <v>0</v>
      </c>
      <c r="P6690" t="n">
        <v>0</v>
      </c>
      <c r="Q6690" t="n">
        <v>0</v>
      </c>
      <c r="R6690" s="2" t="inlineStr"/>
    </row>
    <row r="6691" ht="15" customHeight="1">
      <c r="A6691" t="inlineStr">
        <is>
          <t>A 1315-2023</t>
        </is>
      </c>
      <c r="B6691" s="1" t="n">
        <v>44936</v>
      </c>
      <c r="C6691" s="1" t="n">
        <v>45952</v>
      </c>
      <c r="D6691" t="inlineStr">
        <is>
          <t>VÄSTRA GÖTALANDS LÄN</t>
        </is>
      </c>
      <c r="E6691" t="inlineStr">
        <is>
          <t>MARIESTAD</t>
        </is>
      </c>
      <c r="G6691" t="n">
        <v>0.8</v>
      </c>
      <c r="H6691" t="n">
        <v>0</v>
      </c>
      <c r="I6691" t="n">
        <v>0</v>
      </c>
      <c r="J6691" t="n">
        <v>0</v>
      </c>
      <c r="K6691" t="n">
        <v>0</v>
      </c>
      <c r="L6691" t="n">
        <v>0</v>
      </c>
      <c r="M6691" t="n">
        <v>0</v>
      </c>
      <c r="N6691" t="n">
        <v>0</v>
      </c>
      <c r="O6691" t="n">
        <v>0</v>
      </c>
      <c r="P6691" t="n">
        <v>0</v>
      </c>
      <c r="Q6691" t="n">
        <v>0</v>
      </c>
      <c r="R6691" s="2" t="inlineStr"/>
    </row>
    <row r="6692" ht="15" customHeight="1">
      <c r="A6692" t="inlineStr">
        <is>
          <t>A 27255-2024</t>
        </is>
      </c>
      <c r="B6692" s="1" t="n">
        <v>45471.74104166667</v>
      </c>
      <c r="C6692" s="1" t="n">
        <v>45952</v>
      </c>
      <c r="D6692" t="inlineStr">
        <is>
          <t>VÄSTRA GÖTALANDS LÄN</t>
        </is>
      </c>
      <c r="E6692" t="inlineStr">
        <is>
          <t>ULRICEHAMN</t>
        </is>
      </c>
      <c r="G6692" t="n">
        <v>0.6</v>
      </c>
      <c r="H6692" t="n">
        <v>0</v>
      </c>
      <c r="I6692" t="n">
        <v>0</v>
      </c>
      <c r="J6692" t="n">
        <v>0</v>
      </c>
      <c r="K6692" t="n">
        <v>0</v>
      </c>
      <c r="L6692" t="n">
        <v>0</v>
      </c>
      <c r="M6692" t="n">
        <v>0</v>
      </c>
      <c r="N6692" t="n">
        <v>0</v>
      </c>
      <c r="O6692" t="n">
        <v>0</v>
      </c>
      <c r="P6692" t="n">
        <v>0</v>
      </c>
      <c r="Q6692" t="n">
        <v>0</v>
      </c>
      <c r="R6692" s="2" t="inlineStr"/>
    </row>
    <row r="6693" ht="15" customHeight="1">
      <c r="A6693" t="inlineStr">
        <is>
          <t>A 58324-2022</t>
        </is>
      </c>
      <c r="B6693" s="1" t="n">
        <v>44901</v>
      </c>
      <c r="C6693" s="1" t="n">
        <v>45952</v>
      </c>
      <c r="D6693" t="inlineStr">
        <is>
          <t>VÄSTRA GÖTALANDS LÄN</t>
        </is>
      </c>
      <c r="E6693" t="inlineStr">
        <is>
          <t>FÄRGELANDA</t>
        </is>
      </c>
      <c r="G6693" t="n">
        <v>1.9</v>
      </c>
      <c r="H6693" t="n">
        <v>0</v>
      </c>
      <c r="I6693" t="n">
        <v>0</v>
      </c>
      <c r="J6693" t="n">
        <v>0</v>
      </c>
      <c r="K6693" t="n">
        <v>0</v>
      </c>
      <c r="L6693" t="n">
        <v>0</v>
      </c>
      <c r="M6693" t="n">
        <v>0</v>
      </c>
      <c r="N6693" t="n">
        <v>0</v>
      </c>
      <c r="O6693" t="n">
        <v>0</v>
      </c>
      <c r="P6693" t="n">
        <v>0</v>
      </c>
      <c r="Q6693" t="n">
        <v>0</v>
      </c>
      <c r="R6693" s="2" t="inlineStr"/>
    </row>
    <row r="6694" ht="15" customHeight="1">
      <c r="A6694" t="inlineStr">
        <is>
          <t>A 9246-2021</t>
        </is>
      </c>
      <c r="B6694" s="1" t="n">
        <v>44250</v>
      </c>
      <c r="C6694" s="1" t="n">
        <v>45952</v>
      </c>
      <c r="D6694" t="inlineStr">
        <is>
          <t>VÄSTRA GÖTALANDS LÄN</t>
        </is>
      </c>
      <c r="E6694" t="inlineStr">
        <is>
          <t>SVENLJUNGA</t>
        </is>
      </c>
      <c r="G6694" t="n">
        <v>4.7</v>
      </c>
      <c r="H6694" t="n">
        <v>0</v>
      </c>
      <c r="I6694" t="n">
        <v>0</v>
      </c>
      <c r="J6694" t="n">
        <v>0</v>
      </c>
      <c r="K6694" t="n">
        <v>0</v>
      </c>
      <c r="L6694" t="n">
        <v>0</v>
      </c>
      <c r="M6694" t="n">
        <v>0</v>
      </c>
      <c r="N6694" t="n">
        <v>0</v>
      </c>
      <c r="O6694" t="n">
        <v>0</v>
      </c>
      <c r="P6694" t="n">
        <v>0</v>
      </c>
      <c r="Q6694" t="n">
        <v>0</v>
      </c>
      <c r="R6694" s="2" t="inlineStr"/>
    </row>
    <row r="6695" ht="15" customHeight="1">
      <c r="A6695" t="inlineStr">
        <is>
          <t>A 58393-2022</t>
        </is>
      </c>
      <c r="B6695" s="1" t="n">
        <v>44901</v>
      </c>
      <c r="C6695" s="1" t="n">
        <v>45952</v>
      </c>
      <c r="D6695" t="inlineStr">
        <is>
          <t>VÄSTRA GÖTALANDS LÄN</t>
        </is>
      </c>
      <c r="E6695" t="inlineStr">
        <is>
          <t>LIDKÖPING</t>
        </is>
      </c>
      <c r="G6695" t="n">
        <v>2.1</v>
      </c>
      <c r="H6695" t="n">
        <v>0</v>
      </c>
      <c r="I6695" t="n">
        <v>0</v>
      </c>
      <c r="J6695" t="n">
        <v>0</v>
      </c>
      <c r="K6695" t="n">
        <v>0</v>
      </c>
      <c r="L6695" t="n">
        <v>0</v>
      </c>
      <c r="M6695" t="n">
        <v>0</v>
      </c>
      <c r="N6695" t="n">
        <v>0</v>
      </c>
      <c r="O6695" t="n">
        <v>0</v>
      </c>
      <c r="P6695" t="n">
        <v>0</v>
      </c>
      <c r="Q6695" t="n">
        <v>0</v>
      </c>
      <c r="R6695" s="2" t="inlineStr"/>
    </row>
    <row r="6696" ht="15" customHeight="1">
      <c r="A6696" t="inlineStr">
        <is>
          <t>A 68902-2020</t>
        </is>
      </c>
      <c r="B6696" s="1" t="n">
        <v>44187</v>
      </c>
      <c r="C6696" s="1" t="n">
        <v>45952</v>
      </c>
      <c r="D6696" t="inlineStr">
        <is>
          <t>VÄSTRA GÖTALANDS LÄN</t>
        </is>
      </c>
      <c r="E6696" t="inlineStr">
        <is>
          <t>LIDKÖPING</t>
        </is>
      </c>
      <c r="G6696" t="n">
        <v>2.5</v>
      </c>
      <c r="H6696" t="n">
        <v>0</v>
      </c>
      <c r="I6696" t="n">
        <v>0</v>
      </c>
      <c r="J6696" t="n">
        <v>0</v>
      </c>
      <c r="K6696" t="n">
        <v>0</v>
      </c>
      <c r="L6696" t="n">
        <v>0</v>
      </c>
      <c r="M6696" t="n">
        <v>0</v>
      </c>
      <c r="N6696" t="n">
        <v>0</v>
      </c>
      <c r="O6696" t="n">
        <v>0</v>
      </c>
      <c r="P6696" t="n">
        <v>0</v>
      </c>
      <c r="Q6696" t="n">
        <v>0</v>
      </c>
      <c r="R6696" s="2" t="inlineStr"/>
    </row>
    <row r="6697" ht="15" customHeight="1">
      <c r="A6697" t="inlineStr">
        <is>
          <t>A 10559-2025</t>
        </is>
      </c>
      <c r="B6697" s="1" t="n">
        <v>45721.52329861111</v>
      </c>
      <c r="C6697" s="1" t="n">
        <v>45952</v>
      </c>
      <c r="D6697" t="inlineStr">
        <is>
          <t>VÄSTRA GÖTALANDS LÄN</t>
        </is>
      </c>
      <c r="E6697" t="inlineStr">
        <is>
          <t>SKÖVDE</t>
        </is>
      </c>
      <c r="G6697" t="n">
        <v>1.4</v>
      </c>
      <c r="H6697" t="n">
        <v>0</v>
      </c>
      <c r="I6697" t="n">
        <v>0</v>
      </c>
      <c r="J6697" t="n">
        <v>0</v>
      </c>
      <c r="K6697" t="n">
        <v>0</v>
      </c>
      <c r="L6697" t="n">
        <v>0</v>
      </c>
      <c r="M6697" t="n">
        <v>0</v>
      </c>
      <c r="N6697" t="n">
        <v>0</v>
      </c>
      <c r="O6697" t="n">
        <v>0</v>
      </c>
      <c r="P6697" t="n">
        <v>0</v>
      </c>
      <c r="Q6697" t="n">
        <v>0</v>
      </c>
      <c r="R6697" s="2" t="inlineStr"/>
    </row>
    <row r="6698" ht="15" customHeight="1">
      <c r="A6698" t="inlineStr">
        <is>
          <t>A 63419-2023</t>
        </is>
      </c>
      <c r="B6698" s="1" t="n">
        <v>45274</v>
      </c>
      <c r="C6698" s="1" t="n">
        <v>45952</v>
      </c>
      <c r="D6698" t="inlineStr">
        <is>
          <t>VÄSTRA GÖTALANDS LÄN</t>
        </is>
      </c>
      <c r="E6698" t="inlineStr">
        <is>
          <t>ORUST</t>
        </is>
      </c>
      <c r="G6698" t="n">
        <v>6.4</v>
      </c>
      <c r="H6698" t="n">
        <v>0</v>
      </c>
      <c r="I6698" t="n">
        <v>0</v>
      </c>
      <c r="J6698" t="n">
        <v>0</v>
      </c>
      <c r="K6698" t="n">
        <v>0</v>
      </c>
      <c r="L6698" t="n">
        <v>0</v>
      </c>
      <c r="M6698" t="n">
        <v>0</v>
      </c>
      <c r="N6698" t="n">
        <v>0</v>
      </c>
      <c r="O6698" t="n">
        <v>0</v>
      </c>
      <c r="P6698" t="n">
        <v>0</v>
      </c>
      <c r="Q6698" t="n">
        <v>0</v>
      </c>
      <c r="R6698" s="2" t="inlineStr"/>
    </row>
    <row r="6699" ht="15" customHeight="1">
      <c r="A6699" t="inlineStr">
        <is>
          <t>A 12910-2023</t>
        </is>
      </c>
      <c r="B6699" s="1" t="n">
        <v>45001</v>
      </c>
      <c r="C6699" s="1" t="n">
        <v>45952</v>
      </c>
      <c r="D6699" t="inlineStr">
        <is>
          <t>VÄSTRA GÖTALANDS LÄN</t>
        </is>
      </c>
      <c r="E6699" t="inlineStr">
        <is>
          <t>VÄNERSBORG</t>
        </is>
      </c>
      <c r="G6699" t="n">
        <v>6.9</v>
      </c>
      <c r="H6699" t="n">
        <v>0</v>
      </c>
      <c r="I6699" t="n">
        <v>0</v>
      </c>
      <c r="J6699" t="n">
        <v>0</v>
      </c>
      <c r="K6699" t="n">
        <v>0</v>
      </c>
      <c r="L6699" t="n">
        <v>0</v>
      </c>
      <c r="M6699" t="n">
        <v>0</v>
      </c>
      <c r="N6699" t="n">
        <v>0</v>
      </c>
      <c r="O6699" t="n">
        <v>0</v>
      </c>
      <c r="P6699" t="n">
        <v>0</v>
      </c>
      <c r="Q6699" t="n">
        <v>0</v>
      </c>
      <c r="R6699" s="2" t="inlineStr"/>
    </row>
    <row r="6700" ht="15" customHeight="1">
      <c r="A6700" t="inlineStr">
        <is>
          <t>A 60392-2022</t>
        </is>
      </c>
      <c r="B6700" s="1" t="n">
        <v>44910</v>
      </c>
      <c r="C6700" s="1" t="n">
        <v>45952</v>
      </c>
      <c r="D6700" t="inlineStr">
        <is>
          <t>VÄSTRA GÖTALANDS LÄN</t>
        </is>
      </c>
      <c r="E6700" t="inlineStr">
        <is>
          <t>TJÖRN</t>
        </is>
      </c>
      <c r="G6700" t="n">
        <v>4.1</v>
      </c>
      <c r="H6700" t="n">
        <v>0</v>
      </c>
      <c r="I6700" t="n">
        <v>0</v>
      </c>
      <c r="J6700" t="n">
        <v>0</v>
      </c>
      <c r="K6700" t="n">
        <v>0</v>
      </c>
      <c r="L6700" t="n">
        <v>0</v>
      </c>
      <c r="M6700" t="n">
        <v>0</v>
      </c>
      <c r="N6700" t="n">
        <v>0</v>
      </c>
      <c r="O6700" t="n">
        <v>0</v>
      </c>
      <c r="P6700" t="n">
        <v>0</v>
      </c>
      <c r="Q6700" t="n">
        <v>0</v>
      </c>
      <c r="R6700" s="2" t="inlineStr"/>
    </row>
    <row r="6701" ht="15" customHeight="1">
      <c r="A6701" t="inlineStr">
        <is>
          <t>A 63476-2023</t>
        </is>
      </c>
      <c r="B6701" s="1" t="n">
        <v>45274</v>
      </c>
      <c r="C6701" s="1" t="n">
        <v>45952</v>
      </c>
      <c r="D6701" t="inlineStr">
        <is>
          <t>VÄSTRA GÖTALANDS LÄN</t>
        </is>
      </c>
      <c r="E6701" t="inlineStr">
        <is>
          <t>SVENLJUNGA</t>
        </is>
      </c>
      <c r="G6701" t="n">
        <v>2.3</v>
      </c>
      <c r="H6701" t="n">
        <v>0</v>
      </c>
      <c r="I6701" t="n">
        <v>0</v>
      </c>
      <c r="J6701" t="n">
        <v>0</v>
      </c>
      <c r="K6701" t="n">
        <v>0</v>
      </c>
      <c r="L6701" t="n">
        <v>0</v>
      </c>
      <c r="M6701" t="n">
        <v>0</v>
      </c>
      <c r="N6701" t="n">
        <v>0</v>
      </c>
      <c r="O6701" t="n">
        <v>0</v>
      </c>
      <c r="P6701" t="n">
        <v>0</v>
      </c>
      <c r="Q6701" t="n">
        <v>0</v>
      </c>
      <c r="R6701" s="2" t="inlineStr"/>
    </row>
    <row r="6702" ht="15" customHeight="1">
      <c r="A6702" t="inlineStr">
        <is>
          <t>A 35201-2023</t>
        </is>
      </c>
      <c r="B6702" s="1" t="n">
        <v>45145.62370370371</v>
      </c>
      <c r="C6702" s="1" t="n">
        <v>45952</v>
      </c>
      <c r="D6702" t="inlineStr">
        <is>
          <t>VÄSTRA GÖTALANDS LÄN</t>
        </is>
      </c>
      <c r="E6702" t="inlineStr">
        <is>
          <t>TANUM</t>
        </is>
      </c>
      <c r="G6702" t="n">
        <v>1.1</v>
      </c>
      <c r="H6702" t="n">
        <v>0</v>
      </c>
      <c r="I6702" t="n">
        <v>0</v>
      </c>
      <c r="J6702" t="n">
        <v>0</v>
      </c>
      <c r="K6702" t="n">
        <v>0</v>
      </c>
      <c r="L6702" t="n">
        <v>0</v>
      </c>
      <c r="M6702" t="n">
        <v>0</v>
      </c>
      <c r="N6702" t="n">
        <v>0</v>
      </c>
      <c r="O6702" t="n">
        <v>0</v>
      </c>
      <c r="P6702" t="n">
        <v>0</v>
      </c>
      <c r="Q6702" t="n">
        <v>0</v>
      </c>
      <c r="R6702" s="2" t="inlineStr"/>
    </row>
    <row r="6703" ht="15" customHeight="1">
      <c r="A6703" t="inlineStr">
        <is>
          <t>A 7787-2023</t>
        </is>
      </c>
      <c r="B6703" s="1" t="n">
        <v>44973</v>
      </c>
      <c r="C6703" s="1" t="n">
        <v>45952</v>
      </c>
      <c r="D6703" t="inlineStr">
        <is>
          <t>VÄSTRA GÖTALANDS LÄN</t>
        </is>
      </c>
      <c r="E6703" t="inlineStr">
        <is>
          <t>TJÖRN</t>
        </is>
      </c>
      <c r="G6703" t="n">
        <v>5.7</v>
      </c>
      <c r="H6703" t="n">
        <v>0</v>
      </c>
      <c r="I6703" t="n">
        <v>0</v>
      </c>
      <c r="J6703" t="n">
        <v>0</v>
      </c>
      <c r="K6703" t="n">
        <v>0</v>
      </c>
      <c r="L6703" t="n">
        <v>0</v>
      </c>
      <c r="M6703" t="n">
        <v>0</v>
      </c>
      <c r="N6703" t="n">
        <v>0</v>
      </c>
      <c r="O6703" t="n">
        <v>0</v>
      </c>
      <c r="P6703" t="n">
        <v>0</v>
      </c>
      <c r="Q6703" t="n">
        <v>0</v>
      </c>
      <c r="R6703" s="2" t="inlineStr"/>
    </row>
    <row r="6704" ht="15" customHeight="1">
      <c r="A6704" t="inlineStr">
        <is>
          <t>A 6489-2025</t>
        </is>
      </c>
      <c r="B6704" s="1" t="n">
        <v>45699.62678240741</v>
      </c>
      <c r="C6704" s="1" t="n">
        <v>45952</v>
      </c>
      <c r="D6704" t="inlineStr">
        <is>
          <t>VÄSTRA GÖTALANDS LÄN</t>
        </is>
      </c>
      <c r="E6704" t="inlineStr">
        <is>
          <t>LILLA EDET</t>
        </is>
      </c>
      <c r="G6704" t="n">
        <v>0.6</v>
      </c>
      <c r="H6704" t="n">
        <v>0</v>
      </c>
      <c r="I6704" t="n">
        <v>0</v>
      </c>
      <c r="J6704" t="n">
        <v>0</v>
      </c>
      <c r="K6704" t="n">
        <v>0</v>
      </c>
      <c r="L6704" t="n">
        <v>0</v>
      </c>
      <c r="M6704" t="n">
        <v>0</v>
      </c>
      <c r="N6704" t="n">
        <v>0</v>
      </c>
      <c r="O6704" t="n">
        <v>0</v>
      </c>
      <c r="P6704" t="n">
        <v>0</v>
      </c>
      <c r="Q6704" t="n">
        <v>0</v>
      </c>
      <c r="R6704" s="2" t="inlineStr"/>
    </row>
    <row r="6705" ht="15" customHeight="1">
      <c r="A6705" t="inlineStr">
        <is>
          <t>A 52540-2023</t>
        </is>
      </c>
      <c r="B6705" s="1" t="n">
        <v>45225</v>
      </c>
      <c r="C6705" s="1" t="n">
        <v>45952</v>
      </c>
      <c r="D6705" t="inlineStr">
        <is>
          <t>VÄSTRA GÖTALANDS LÄN</t>
        </is>
      </c>
      <c r="E6705" t="inlineStr">
        <is>
          <t>BORÅS</t>
        </is>
      </c>
      <c r="G6705" t="n">
        <v>3.1</v>
      </c>
      <c r="H6705" t="n">
        <v>0</v>
      </c>
      <c r="I6705" t="n">
        <v>0</v>
      </c>
      <c r="J6705" t="n">
        <v>0</v>
      </c>
      <c r="K6705" t="n">
        <v>0</v>
      </c>
      <c r="L6705" t="n">
        <v>0</v>
      </c>
      <c r="M6705" t="n">
        <v>0</v>
      </c>
      <c r="N6705" t="n">
        <v>0</v>
      </c>
      <c r="O6705" t="n">
        <v>0</v>
      </c>
      <c r="P6705" t="n">
        <v>0</v>
      </c>
      <c r="Q6705" t="n">
        <v>0</v>
      </c>
      <c r="R6705" s="2" t="inlineStr"/>
    </row>
    <row r="6706" ht="15" customHeight="1">
      <c r="A6706" t="inlineStr">
        <is>
          <t>A 6491-2025</t>
        </is>
      </c>
      <c r="B6706" s="1" t="n">
        <v>45699.62943287037</v>
      </c>
      <c r="C6706" s="1" t="n">
        <v>45952</v>
      </c>
      <c r="D6706" t="inlineStr">
        <is>
          <t>VÄSTRA GÖTALANDS LÄN</t>
        </is>
      </c>
      <c r="E6706" t="inlineStr">
        <is>
          <t>LYSEKIL</t>
        </is>
      </c>
      <c r="G6706" t="n">
        <v>2.3</v>
      </c>
      <c r="H6706" t="n">
        <v>0</v>
      </c>
      <c r="I6706" t="n">
        <v>0</v>
      </c>
      <c r="J6706" t="n">
        <v>0</v>
      </c>
      <c r="K6706" t="n">
        <v>0</v>
      </c>
      <c r="L6706" t="n">
        <v>0</v>
      </c>
      <c r="M6706" t="n">
        <v>0</v>
      </c>
      <c r="N6706" t="n">
        <v>0</v>
      </c>
      <c r="O6706" t="n">
        <v>0</v>
      </c>
      <c r="P6706" t="n">
        <v>0</v>
      </c>
      <c r="Q6706" t="n">
        <v>0</v>
      </c>
      <c r="R6706" s="2" t="inlineStr"/>
    </row>
    <row r="6707" ht="15" customHeight="1">
      <c r="A6707" t="inlineStr">
        <is>
          <t>A 19874-2022</t>
        </is>
      </c>
      <c r="B6707" s="1" t="n">
        <v>44697</v>
      </c>
      <c r="C6707" s="1" t="n">
        <v>45952</v>
      </c>
      <c r="D6707" t="inlineStr">
        <is>
          <t>VÄSTRA GÖTALANDS LÄN</t>
        </is>
      </c>
      <c r="E6707" t="inlineStr">
        <is>
          <t>TÖREBODA</t>
        </is>
      </c>
      <c r="G6707" t="n">
        <v>2.3</v>
      </c>
      <c r="H6707" t="n">
        <v>0</v>
      </c>
      <c r="I6707" t="n">
        <v>0</v>
      </c>
      <c r="J6707" t="n">
        <v>0</v>
      </c>
      <c r="K6707" t="n">
        <v>0</v>
      </c>
      <c r="L6707" t="n">
        <v>0</v>
      </c>
      <c r="M6707" t="n">
        <v>0</v>
      </c>
      <c r="N6707" t="n">
        <v>0</v>
      </c>
      <c r="O6707" t="n">
        <v>0</v>
      </c>
      <c r="P6707" t="n">
        <v>0</v>
      </c>
      <c r="Q6707" t="n">
        <v>0</v>
      </c>
      <c r="R6707" s="2" t="inlineStr"/>
    </row>
    <row r="6708" ht="15" customHeight="1">
      <c r="A6708" t="inlineStr">
        <is>
          <t>A 62483-2023</t>
        </is>
      </c>
      <c r="B6708" s="1" t="n">
        <v>45267</v>
      </c>
      <c r="C6708" s="1" t="n">
        <v>45952</v>
      </c>
      <c r="D6708" t="inlineStr">
        <is>
          <t>VÄSTRA GÖTALANDS LÄN</t>
        </is>
      </c>
      <c r="E6708" t="inlineStr">
        <is>
          <t>TRANEMO</t>
        </is>
      </c>
      <c r="G6708" t="n">
        <v>0.9</v>
      </c>
      <c r="H6708" t="n">
        <v>0</v>
      </c>
      <c r="I6708" t="n">
        <v>0</v>
      </c>
      <c r="J6708" t="n">
        <v>0</v>
      </c>
      <c r="K6708" t="n">
        <v>0</v>
      </c>
      <c r="L6708" t="n">
        <v>0</v>
      </c>
      <c r="M6708" t="n">
        <v>0</v>
      </c>
      <c r="N6708" t="n">
        <v>0</v>
      </c>
      <c r="O6708" t="n">
        <v>0</v>
      </c>
      <c r="P6708" t="n">
        <v>0</v>
      </c>
      <c r="Q6708" t="n">
        <v>0</v>
      </c>
      <c r="R6708" s="2" t="inlineStr"/>
    </row>
    <row r="6709" ht="15" customHeight="1">
      <c r="A6709" t="inlineStr">
        <is>
          <t>A 58341-2023</t>
        </is>
      </c>
      <c r="B6709" s="1" t="n">
        <v>45250</v>
      </c>
      <c r="C6709" s="1" t="n">
        <v>45952</v>
      </c>
      <c r="D6709" t="inlineStr">
        <is>
          <t>VÄSTRA GÖTALANDS LÄN</t>
        </is>
      </c>
      <c r="E6709" t="inlineStr">
        <is>
          <t>SVENLJUNGA</t>
        </is>
      </c>
      <c r="G6709" t="n">
        <v>3.3</v>
      </c>
      <c r="H6709" t="n">
        <v>0</v>
      </c>
      <c r="I6709" t="n">
        <v>0</v>
      </c>
      <c r="J6709" t="n">
        <v>0</v>
      </c>
      <c r="K6709" t="n">
        <v>0</v>
      </c>
      <c r="L6709" t="n">
        <v>0</v>
      </c>
      <c r="M6709" t="n">
        <v>0</v>
      </c>
      <c r="N6709" t="n">
        <v>0</v>
      </c>
      <c r="O6709" t="n">
        <v>0</v>
      </c>
      <c r="P6709" t="n">
        <v>0</v>
      </c>
      <c r="Q6709" t="n">
        <v>0</v>
      </c>
      <c r="R6709" s="2" t="inlineStr"/>
    </row>
    <row r="6710" ht="15" customHeight="1">
      <c r="A6710" t="inlineStr">
        <is>
          <t>A 58342-2023</t>
        </is>
      </c>
      <c r="B6710" s="1" t="n">
        <v>45245</v>
      </c>
      <c r="C6710" s="1" t="n">
        <v>45952</v>
      </c>
      <c r="D6710" t="inlineStr">
        <is>
          <t>VÄSTRA GÖTALANDS LÄN</t>
        </is>
      </c>
      <c r="E6710" t="inlineStr">
        <is>
          <t>SKÖVDE</t>
        </is>
      </c>
      <c r="G6710" t="n">
        <v>3.1</v>
      </c>
      <c r="H6710" t="n">
        <v>0</v>
      </c>
      <c r="I6710" t="n">
        <v>0</v>
      </c>
      <c r="J6710" t="n">
        <v>0</v>
      </c>
      <c r="K6710" t="n">
        <v>0</v>
      </c>
      <c r="L6710" t="n">
        <v>0</v>
      </c>
      <c r="M6710" t="n">
        <v>0</v>
      </c>
      <c r="N6710" t="n">
        <v>0</v>
      </c>
      <c r="O6710" t="n">
        <v>0</v>
      </c>
      <c r="P6710" t="n">
        <v>0</v>
      </c>
      <c r="Q6710" t="n">
        <v>0</v>
      </c>
      <c r="R6710" s="2" t="inlineStr"/>
    </row>
    <row r="6711" ht="15" customHeight="1">
      <c r="A6711" t="inlineStr">
        <is>
          <t>A 43927-2022</t>
        </is>
      </c>
      <c r="B6711" s="1" t="n">
        <v>44838</v>
      </c>
      <c r="C6711" s="1" t="n">
        <v>45952</v>
      </c>
      <c r="D6711" t="inlineStr">
        <is>
          <t>VÄSTRA GÖTALANDS LÄN</t>
        </is>
      </c>
      <c r="E6711" t="inlineStr">
        <is>
          <t>TRANEMO</t>
        </is>
      </c>
      <c r="G6711" t="n">
        <v>2.3</v>
      </c>
      <c r="H6711" t="n">
        <v>0</v>
      </c>
      <c r="I6711" t="n">
        <v>0</v>
      </c>
      <c r="J6711" t="n">
        <v>0</v>
      </c>
      <c r="K6711" t="n">
        <v>0</v>
      </c>
      <c r="L6711" t="n">
        <v>0</v>
      </c>
      <c r="M6711" t="n">
        <v>0</v>
      </c>
      <c r="N6711" t="n">
        <v>0</v>
      </c>
      <c r="O6711" t="n">
        <v>0</v>
      </c>
      <c r="P6711" t="n">
        <v>0</v>
      </c>
      <c r="Q6711" t="n">
        <v>0</v>
      </c>
      <c r="R6711" s="2" t="inlineStr"/>
    </row>
    <row r="6712" ht="15" customHeight="1">
      <c r="A6712" t="inlineStr">
        <is>
          <t>A 28498-2023</t>
        </is>
      </c>
      <c r="B6712" s="1" t="n">
        <v>45103</v>
      </c>
      <c r="C6712" s="1" t="n">
        <v>45952</v>
      </c>
      <c r="D6712" t="inlineStr">
        <is>
          <t>VÄSTRA GÖTALANDS LÄN</t>
        </is>
      </c>
      <c r="E6712" t="inlineStr">
        <is>
          <t>BENGTSFORS</t>
        </is>
      </c>
      <c r="G6712" t="n">
        <v>1</v>
      </c>
      <c r="H6712" t="n">
        <v>0</v>
      </c>
      <c r="I6712" t="n">
        <v>0</v>
      </c>
      <c r="J6712" t="n">
        <v>0</v>
      </c>
      <c r="K6712" t="n">
        <v>0</v>
      </c>
      <c r="L6712" t="n">
        <v>0</v>
      </c>
      <c r="M6712" t="n">
        <v>0</v>
      </c>
      <c r="N6712" t="n">
        <v>0</v>
      </c>
      <c r="O6712" t="n">
        <v>0</v>
      </c>
      <c r="P6712" t="n">
        <v>0</v>
      </c>
      <c r="Q6712" t="n">
        <v>0</v>
      </c>
      <c r="R6712" s="2" t="inlineStr"/>
    </row>
    <row r="6713" ht="15" customHeight="1">
      <c r="A6713" t="inlineStr">
        <is>
          <t>A 35969-2024</t>
        </is>
      </c>
      <c r="B6713" s="1" t="n">
        <v>45533</v>
      </c>
      <c r="C6713" s="1" t="n">
        <v>45952</v>
      </c>
      <c r="D6713" t="inlineStr">
        <is>
          <t>VÄSTRA GÖTALANDS LÄN</t>
        </is>
      </c>
      <c r="E6713" t="inlineStr">
        <is>
          <t>TROLLHÄTTAN</t>
        </is>
      </c>
      <c r="G6713" t="n">
        <v>1.3</v>
      </c>
      <c r="H6713" t="n">
        <v>0</v>
      </c>
      <c r="I6713" t="n">
        <v>0</v>
      </c>
      <c r="J6713" t="n">
        <v>0</v>
      </c>
      <c r="K6713" t="n">
        <v>0</v>
      </c>
      <c r="L6713" t="n">
        <v>0</v>
      </c>
      <c r="M6713" t="n">
        <v>0</v>
      </c>
      <c r="N6713" t="n">
        <v>0</v>
      </c>
      <c r="O6713" t="n">
        <v>0</v>
      </c>
      <c r="P6713" t="n">
        <v>0</v>
      </c>
      <c r="Q6713" t="n">
        <v>0</v>
      </c>
      <c r="R6713" s="2" t="inlineStr"/>
    </row>
    <row r="6714" ht="15" customHeight="1">
      <c r="A6714" t="inlineStr">
        <is>
          <t>A 8379-2023</t>
        </is>
      </c>
      <c r="B6714" s="1" t="n">
        <v>44977.39880787037</v>
      </c>
      <c r="C6714" s="1" t="n">
        <v>45952</v>
      </c>
      <c r="D6714" t="inlineStr">
        <is>
          <t>VÄSTRA GÖTALANDS LÄN</t>
        </is>
      </c>
      <c r="E6714" t="inlineStr">
        <is>
          <t>BENGTSFORS</t>
        </is>
      </c>
      <c r="G6714" t="n">
        <v>1.4</v>
      </c>
      <c r="H6714" t="n">
        <v>0</v>
      </c>
      <c r="I6714" t="n">
        <v>0</v>
      </c>
      <c r="J6714" t="n">
        <v>0</v>
      </c>
      <c r="K6714" t="n">
        <v>0</v>
      </c>
      <c r="L6714" t="n">
        <v>0</v>
      </c>
      <c r="M6714" t="n">
        <v>0</v>
      </c>
      <c r="N6714" t="n">
        <v>0</v>
      </c>
      <c r="O6714" t="n">
        <v>0</v>
      </c>
      <c r="P6714" t="n">
        <v>0</v>
      </c>
      <c r="Q6714" t="n">
        <v>0</v>
      </c>
      <c r="R6714" s="2" t="inlineStr"/>
    </row>
    <row r="6715" ht="15" customHeight="1">
      <c r="A6715" t="inlineStr">
        <is>
          <t>A 64733-2023</t>
        </is>
      </c>
      <c r="B6715" s="1" t="n">
        <v>45281.81950231481</v>
      </c>
      <c r="C6715" s="1" t="n">
        <v>45952</v>
      </c>
      <c r="D6715" t="inlineStr">
        <is>
          <t>VÄSTRA GÖTALANDS LÄN</t>
        </is>
      </c>
      <c r="E6715" t="inlineStr">
        <is>
          <t>ULRICEHAMN</t>
        </is>
      </c>
      <c r="G6715" t="n">
        <v>1.1</v>
      </c>
      <c r="H6715" t="n">
        <v>0</v>
      </c>
      <c r="I6715" t="n">
        <v>0</v>
      </c>
      <c r="J6715" t="n">
        <v>0</v>
      </c>
      <c r="K6715" t="n">
        <v>0</v>
      </c>
      <c r="L6715" t="n">
        <v>0</v>
      </c>
      <c r="M6715" t="n">
        <v>0</v>
      </c>
      <c r="N6715" t="n">
        <v>0</v>
      </c>
      <c r="O6715" t="n">
        <v>0</v>
      </c>
      <c r="P6715" t="n">
        <v>0</v>
      </c>
      <c r="Q6715" t="n">
        <v>0</v>
      </c>
      <c r="R6715" s="2" t="inlineStr"/>
    </row>
    <row r="6716" ht="15" customHeight="1">
      <c r="A6716" t="inlineStr">
        <is>
          <t>A 6947-2024</t>
        </is>
      </c>
      <c r="B6716" s="1" t="n">
        <v>45343</v>
      </c>
      <c r="C6716" s="1" t="n">
        <v>45952</v>
      </c>
      <c r="D6716" t="inlineStr">
        <is>
          <t>VÄSTRA GÖTALANDS LÄN</t>
        </is>
      </c>
      <c r="E6716" t="inlineStr">
        <is>
          <t>ALE</t>
        </is>
      </c>
      <c r="G6716" t="n">
        <v>3.7</v>
      </c>
      <c r="H6716" t="n">
        <v>0</v>
      </c>
      <c r="I6716" t="n">
        <v>0</v>
      </c>
      <c r="J6716" t="n">
        <v>0</v>
      </c>
      <c r="K6716" t="n">
        <v>0</v>
      </c>
      <c r="L6716" t="n">
        <v>0</v>
      </c>
      <c r="M6716" t="n">
        <v>0</v>
      </c>
      <c r="N6716" t="n">
        <v>0</v>
      </c>
      <c r="O6716" t="n">
        <v>0</v>
      </c>
      <c r="P6716" t="n">
        <v>0</v>
      </c>
      <c r="Q6716" t="n">
        <v>0</v>
      </c>
      <c r="R6716" s="2" t="inlineStr"/>
    </row>
    <row r="6717" ht="15" customHeight="1">
      <c r="A6717" t="inlineStr">
        <is>
          <t>A 33119-2022</t>
        </is>
      </c>
      <c r="B6717" s="1" t="n">
        <v>44785</v>
      </c>
      <c r="C6717" s="1" t="n">
        <v>45952</v>
      </c>
      <c r="D6717" t="inlineStr">
        <is>
          <t>VÄSTRA GÖTALANDS LÄN</t>
        </is>
      </c>
      <c r="E6717" t="inlineStr">
        <is>
          <t>SVENLJUNGA</t>
        </is>
      </c>
      <c r="G6717" t="n">
        <v>4.9</v>
      </c>
      <c r="H6717" t="n">
        <v>0</v>
      </c>
      <c r="I6717" t="n">
        <v>0</v>
      </c>
      <c r="J6717" t="n">
        <v>0</v>
      </c>
      <c r="K6717" t="n">
        <v>0</v>
      </c>
      <c r="L6717" t="n">
        <v>0</v>
      </c>
      <c r="M6717" t="n">
        <v>0</v>
      </c>
      <c r="N6717" t="n">
        <v>0</v>
      </c>
      <c r="O6717" t="n">
        <v>0</v>
      </c>
      <c r="P6717" t="n">
        <v>0</v>
      </c>
      <c r="Q6717" t="n">
        <v>0</v>
      </c>
      <c r="R6717" s="2" t="inlineStr"/>
    </row>
    <row r="6718" ht="15" customHeight="1">
      <c r="A6718" t="inlineStr">
        <is>
          <t>A 33454-2023</t>
        </is>
      </c>
      <c r="B6718" s="1" t="n">
        <v>45130</v>
      </c>
      <c r="C6718" s="1" t="n">
        <v>45952</v>
      </c>
      <c r="D6718" t="inlineStr">
        <is>
          <t>VÄSTRA GÖTALANDS LÄN</t>
        </is>
      </c>
      <c r="E6718" t="inlineStr">
        <is>
          <t>ORUST</t>
        </is>
      </c>
      <c r="G6718" t="n">
        <v>6</v>
      </c>
      <c r="H6718" t="n">
        <v>0</v>
      </c>
      <c r="I6718" t="n">
        <v>0</v>
      </c>
      <c r="J6718" t="n">
        <v>0</v>
      </c>
      <c r="K6718" t="n">
        <v>0</v>
      </c>
      <c r="L6718" t="n">
        <v>0</v>
      </c>
      <c r="M6718" t="n">
        <v>0</v>
      </c>
      <c r="N6718" t="n">
        <v>0</v>
      </c>
      <c r="O6718" t="n">
        <v>0</v>
      </c>
      <c r="P6718" t="n">
        <v>0</v>
      </c>
      <c r="Q6718" t="n">
        <v>0</v>
      </c>
      <c r="R6718" s="2" t="inlineStr"/>
    </row>
    <row r="6719" ht="15" customHeight="1">
      <c r="A6719" t="inlineStr">
        <is>
          <t>A 33459-2023</t>
        </is>
      </c>
      <c r="B6719" s="1" t="n">
        <v>45131.35476851852</v>
      </c>
      <c r="C6719" s="1" t="n">
        <v>45952</v>
      </c>
      <c r="D6719" t="inlineStr">
        <is>
          <t>VÄSTRA GÖTALANDS LÄN</t>
        </is>
      </c>
      <c r="E6719" t="inlineStr">
        <is>
          <t>TRANEMO</t>
        </is>
      </c>
      <c r="G6719" t="n">
        <v>5.1</v>
      </c>
      <c r="H6719" t="n">
        <v>0</v>
      </c>
      <c r="I6719" t="n">
        <v>0</v>
      </c>
      <c r="J6719" t="n">
        <v>0</v>
      </c>
      <c r="K6719" t="n">
        <v>0</v>
      </c>
      <c r="L6719" t="n">
        <v>0</v>
      </c>
      <c r="M6719" t="n">
        <v>0</v>
      </c>
      <c r="N6719" t="n">
        <v>0</v>
      </c>
      <c r="O6719" t="n">
        <v>0</v>
      </c>
      <c r="P6719" t="n">
        <v>0</v>
      </c>
      <c r="Q6719" t="n">
        <v>0</v>
      </c>
      <c r="R6719" s="2" t="inlineStr"/>
    </row>
    <row r="6720" ht="15" customHeight="1">
      <c r="A6720" t="inlineStr">
        <is>
          <t>A 9559-2023</t>
        </is>
      </c>
      <c r="B6720" s="1" t="n">
        <v>44982</v>
      </c>
      <c r="C6720" s="1" t="n">
        <v>45952</v>
      </c>
      <c r="D6720" t="inlineStr">
        <is>
          <t>VÄSTRA GÖTALANDS LÄN</t>
        </is>
      </c>
      <c r="E6720" t="inlineStr">
        <is>
          <t>MARK</t>
        </is>
      </c>
      <c r="G6720" t="n">
        <v>6.5</v>
      </c>
      <c r="H6720" t="n">
        <v>0</v>
      </c>
      <c r="I6720" t="n">
        <v>0</v>
      </c>
      <c r="J6720" t="n">
        <v>0</v>
      </c>
      <c r="K6720" t="n">
        <v>0</v>
      </c>
      <c r="L6720" t="n">
        <v>0</v>
      </c>
      <c r="M6720" t="n">
        <v>0</v>
      </c>
      <c r="N6720" t="n">
        <v>0</v>
      </c>
      <c r="O6720" t="n">
        <v>0</v>
      </c>
      <c r="P6720" t="n">
        <v>0</v>
      </c>
      <c r="Q6720" t="n">
        <v>0</v>
      </c>
      <c r="R6720" s="2" t="inlineStr"/>
    </row>
    <row r="6721" ht="15" customHeight="1">
      <c r="A6721" t="inlineStr">
        <is>
          <t>A 10710-2023</t>
        </is>
      </c>
      <c r="B6721" s="1" t="n">
        <v>44988.62121527778</v>
      </c>
      <c r="C6721" s="1" t="n">
        <v>45952</v>
      </c>
      <c r="D6721" t="inlineStr">
        <is>
          <t>VÄSTRA GÖTALANDS LÄN</t>
        </is>
      </c>
      <c r="E6721" t="inlineStr">
        <is>
          <t>SVENLJUNGA</t>
        </is>
      </c>
      <c r="G6721" t="n">
        <v>7</v>
      </c>
      <c r="H6721" t="n">
        <v>0</v>
      </c>
      <c r="I6721" t="n">
        <v>0</v>
      </c>
      <c r="J6721" t="n">
        <v>0</v>
      </c>
      <c r="K6721" t="n">
        <v>0</v>
      </c>
      <c r="L6721" t="n">
        <v>0</v>
      </c>
      <c r="M6721" t="n">
        <v>0</v>
      </c>
      <c r="N6721" t="n">
        <v>0</v>
      </c>
      <c r="O6721" t="n">
        <v>0</v>
      </c>
      <c r="P6721" t="n">
        <v>0</v>
      </c>
      <c r="Q6721" t="n">
        <v>0</v>
      </c>
      <c r="R6721" s="2" t="inlineStr"/>
    </row>
    <row r="6722" ht="15" customHeight="1">
      <c r="A6722" t="inlineStr">
        <is>
          <t>A 27976-2023</t>
        </is>
      </c>
      <c r="B6722" s="1" t="n">
        <v>45098.71601851852</v>
      </c>
      <c r="C6722" s="1" t="n">
        <v>45952</v>
      </c>
      <c r="D6722" t="inlineStr">
        <is>
          <t>VÄSTRA GÖTALANDS LÄN</t>
        </is>
      </c>
      <c r="E6722" t="inlineStr">
        <is>
          <t>HERRLJUNGA</t>
        </is>
      </c>
      <c r="G6722" t="n">
        <v>0.6</v>
      </c>
      <c r="H6722" t="n">
        <v>0</v>
      </c>
      <c r="I6722" t="n">
        <v>0</v>
      </c>
      <c r="J6722" t="n">
        <v>0</v>
      </c>
      <c r="K6722" t="n">
        <v>0</v>
      </c>
      <c r="L6722" t="n">
        <v>0</v>
      </c>
      <c r="M6722" t="n">
        <v>0</v>
      </c>
      <c r="N6722" t="n">
        <v>0</v>
      </c>
      <c r="O6722" t="n">
        <v>0</v>
      </c>
      <c r="P6722" t="n">
        <v>0</v>
      </c>
      <c r="Q6722" t="n">
        <v>0</v>
      </c>
      <c r="R6722" s="2" t="inlineStr"/>
    </row>
    <row r="6723" ht="15" customHeight="1">
      <c r="A6723" t="inlineStr">
        <is>
          <t>A 43752-2023</t>
        </is>
      </c>
      <c r="B6723" s="1" t="n">
        <v>45187</v>
      </c>
      <c r="C6723" s="1" t="n">
        <v>45952</v>
      </c>
      <c r="D6723" t="inlineStr">
        <is>
          <t>VÄSTRA GÖTALANDS LÄN</t>
        </is>
      </c>
      <c r="E6723" t="inlineStr">
        <is>
          <t>ORUST</t>
        </is>
      </c>
      <c r="G6723" t="n">
        <v>9.300000000000001</v>
      </c>
      <c r="H6723" t="n">
        <v>0</v>
      </c>
      <c r="I6723" t="n">
        <v>0</v>
      </c>
      <c r="J6723" t="n">
        <v>0</v>
      </c>
      <c r="K6723" t="n">
        <v>0</v>
      </c>
      <c r="L6723" t="n">
        <v>0</v>
      </c>
      <c r="M6723" t="n">
        <v>0</v>
      </c>
      <c r="N6723" t="n">
        <v>0</v>
      </c>
      <c r="O6723" t="n">
        <v>0</v>
      </c>
      <c r="P6723" t="n">
        <v>0</v>
      </c>
      <c r="Q6723" t="n">
        <v>0</v>
      </c>
      <c r="R6723" s="2" t="inlineStr"/>
    </row>
    <row r="6724" ht="15" customHeight="1">
      <c r="A6724" t="inlineStr">
        <is>
          <t>A 19295-2025</t>
        </is>
      </c>
      <c r="B6724" s="1" t="n">
        <v>45769.56212962963</v>
      </c>
      <c r="C6724" s="1" t="n">
        <v>45952</v>
      </c>
      <c r="D6724" t="inlineStr">
        <is>
          <t>VÄSTRA GÖTALANDS LÄN</t>
        </is>
      </c>
      <c r="E6724" t="inlineStr">
        <is>
          <t>MÖLNDAL</t>
        </is>
      </c>
      <c r="G6724" t="n">
        <v>2.8</v>
      </c>
      <c r="H6724" t="n">
        <v>0</v>
      </c>
      <c r="I6724" t="n">
        <v>0</v>
      </c>
      <c r="J6724" t="n">
        <v>0</v>
      </c>
      <c r="K6724" t="n">
        <v>0</v>
      </c>
      <c r="L6724" t="n">
        <v>0</v>
      </c>
      <c r="M6724" t="n">
        <v>0</v>
      </c>
      <c r="N6724" t="n">
        <v>0</v>
      </c>
      <c r="O6724" t="n">
        <v>0</v>
      </c>
      <c r="P6724" t="n">
        <v>0</v>
      </c>
      <c r="Q6724" t="n">
        <v>0</v>
      </c>
      <c r="R6724" s="2" t="inlineStr"/>
    </row>
    <row r="6725" ht="15" customHeight="1">
      <c r="A6725" t="inlineStr">
        <is>
          <t>A 19296-2025</t>
        </is>
      </c>
      <c r="B6725" s="1" t="n">
        <v>45769.5621875</v>
      </c>
      <c r="C6725" s="1" t="n">
        <v>45952</v>
      </c>
      <c r="D6725" t="inlineStr">
        <is>
          <t>VÄSTRA GÖTALANDS LÄN</t>
        </is>
      </c>
      <c r="E6725" t="inlineStr">
        <is>
          <t>STENUNGSUND</t>
        </is>
      </c>
      <c r="G6725" t="n">
        <v>3.3</v>
      </c>
      <c r="H6725" t="n">
        <v>0</v>
      </c>
      <c r="I6725" t="n">
        <v>0</v>
      </c>
      <c r="J6725" t="n">
        <v>0</v>
      </c>
      <c r="K6725" t="n">
        <v>0</v>
      </c>
      <c r="L6725" t="n">
        <v>0</v>
      </c>
      <c r="M6725" t="n">
        <v>0</v>
      </c>
      <c r="N6725" t="n">
        <v>0</v>
      </c>
      <c r="O6725" t="n">
        <v>0</v>
      </c>
      <c r="P6725" t="n">
        <v>0</v>
      </c>
      <c r="Q6725" t="n">
        <v>0</v>
      </c>
      <c r="R6725" s="2" t="inlineStr"/>
    </row>
    <row r="6726" ht="15" customHeight="1">
      <c r="A6726" t="inlineStr">
        <is>
          <t>A 4542-2025</t>
        </is>
      </c>
      <c r="B6726" s="1" t="n">
        <v>45687.39540509259</v>
      </c>
      <c r="C6726" s="1" t="n">
        <v>45952</v>
      </c>
      <c r="D6726" t="inlineStr">
        <is>
          <t>VÄSTRA GÖTALANDS LÄN</t>
        </is>
      </c>
      <c r="E6726" t="inlineStr">
        <is>
          <t>SKARA</t>
        </is>
      </c>
      <c r="G6726" t="n">
        <v>4</v>
      </c>
      <c r="H6726" t="n">
        <v>0</v>
      </c>
      <c r="I6726" t="n">
        <v>0</v>
      </c>
      <c r="J6726" t="n">
        <v>0</v>
      </c>
      <c r="K6726" t="n">
        <v>0</v>
      </c>
      <c r="L6726" t="n">
        <v>0</v>
      </c>
      <c r="M6726" t="n">
        <v>0</v>
      </c>
      <c r="N6726" t="n">
        <v>0</v>
      </c>
      <c r="O6726" t="n">
        <v>0</v>
      </c>
      <c r="P6726" t="n">
        <v>0</v>
      </c>
      <c r="Q6726" t="n">
        <v>0</v>
      </c>
      <c r="R6726" s="2" t="inlineStr"/>
    </row>
    <row r="6727" ht="15" customHeight="1">
      <c r="A6727" t="inlineStr">
        <is>
          <t>A 25078-2023</t>
        </is>
      </c>
      <c r="B6727" s="1" t="n">
        <v>45086</v>
      </c>
      <c r="C6727" s="1" t="n">
        <v>45952</v>
      </c>
      <c r="D6727" t="inlineStr">
        <is>
          <t>VÄSTRA GÖTALANDS LÄN</t>
        </is>
      </c>
      <c r="E6727" t="inlineStr">
        <is>
          <t>ULRICEHAMN</t>
        </is>
      </c>
      <c r="G6727" t="n">
        <v>3.6</v>
      </c>
      <c r="H6727" t="n">
        <v>0</v>
      </c>
      <c r="I6727" t="n">
        <v>0</v>
      </c>
      <c r="J6727" t="n">
        <v>0</v>
      </c>
      <c r="K6727" t="n">
        <v>0</v>
      </c>
      <c r="L6727" t="n">
        <v>0</v>
      </c>
      <c r="M6727" t="n">
        <v>0</v>
      </c>
      <c r="N6727" t="n">
        <v>0</v>
      </c>
      <c r="O6727" t="n">
        <v>0</v>
      </c>
      <c r="P6727" t="n">
        <v>0</v>
      </c>
      <c r="Q6727" t="n">
        <v>0</v>
      </c>
      <c r="R6727" s="2" t="inlineStr"/>
    </row>
    <row r="6728" ht="15" customHeight="1">
      <c r="A6728" t="inlineStr">
        <is>
          <t>A 38800-2023</t>
        </is>
      </c>
      <c r="B6728" s="1" t="n">
        <v>45163.45347222222</v>
      </c>
      <c r="C6728" s="1" t="n">
        <v>45952</v>
      </c>
      <c r="D6728" t="inlineStr">
        <is>
          <t>VÄSTRA GÖTALANDS LÄN</t>
        </is>
      </c>
      <c r="E6728" t="inlineStr">
        <is>
          <t>MARIESTAD</t>
        </is>
      </c>
      <c r="F6728" t="inlineStr">
        <is>
          <t>Sveaskog</t>
        </is>
      </c>
      <c r="G6728" t="n">
        <v>2.4</v>
      </c>
      <c r="H6728" t="n">
        <v>0</v>
      </c>
      <c r="I6728" t="n">
        <v>0</v>
      </c>
      <c r="J6728" t="n">
        <v>0</v>
      </c>
      <c r="K6728" t="n">
        <v>0</v>
      </c>
      <c r="L6728" t="n">
        <v>0</v>
      </c>
      <c r="M6728" t="n">
        <v>0</v>
      </c>
      <c r="N6728" t="n">
        <v>0</v>
      </c>
      <c r="O6728" t="n">
        <v>0</v>
      </c>
      <c r="P6728" t="n">
        <v>0</v>
      </c>
      <c r="Q6728" t="n">
        <v>0</v>
      </c>
      <c r="R6728" s="2" t="inlineStr"/>
    </row>
    <row r="6729" ht="15" customHeight="1">
      <c r="A6729" t="inlineStr">
        <is>
          <t>A 37369-2023</t>
        </is>
      </c>
      <c r="B6729" s="1" t="n">
        <v>45156.50247685185</v>
      </c>
      <c r="C6729" s="1" t="n">
        <v>45952</v>
      </c>
      <c r="D6729" t="inlineStr">
        <is>
          <t>VÄSTRA GÖTALANDS LÄN</t>
        </is>
      </c>
      <c r="E6729" t="inlineStr">
        <is>
          <t>TROLLHÄTTAN</t>
        </is>
      </c>
      <c r="G6729" t="n">
        <v>3</v>
      </c>
      <c r="H6729" t="n">
        <v>0</v>
      </c>
      <c r="I6729" t="n">
        <v>0</v>
      </c>
      <c r="J6729" t="n">
        <v>0</v>
      </c>
      <c r="K6729" t="n">
        <v>0</v>
      </c>
      <c r="L6729" t="n">
        <v>0</v>
      </c>
      <c r="M6729" t="n">
        <v>0</v>
      </c>
      <c r="N6729" t="n">
        <v>0</v>
      </c>
      <c r="O6729" t="n">
        <v>0</v>
      </c>
      <c r="P6729" t="n">
        <v>0</v>
      </c>
      <c r="Q6729" t="n">
        <v>0</v>
      </c>
      <c r="R6729" s="2" t="inlineStr"/>
    </row>
    <row r="6730" ht="15" customHeight="1">
      <c r="A6730" t="inlineStr">
        <is>
          <t>A 55974-2024</t>
        </is>
      </c>
      <c r="B6730" s="1" t="n">
        <v>45623</v>
      </c>
      <c r="C6730" s="1" t="n">
        <v>45952</v>
      </c>
      <c r="D6730" t="inlineStr">
        <is>
          <t>VÄSTRA GÖTALANDS LÄN</t>
        </is>
      </c>
      <c r="E6730" t="inlineStr">
        <is>
          <t>LIDKÖPING</t>
        </is>
      </c>
      <c r="G6730" t="n">
        <v>1.8</v>
      </c>
      <c r="H6730" t="n">
        <v>0</v>
      </c>
      <c r="I6730" t="n">
        <v>0</v>
      </c>
      <c r="J6730" t="n">
        <v>0</v>
      </c>
      <c r="K6730" t="n">
        <v>0</v>
      </c>
      <c r="L6730" t="n">
        <v>0</v>
      </c>
      <c r="M6730" t="n">
        <v>0</v>
      </c>
      <c r="N6730" t="n">
        <v>0</v>
      </c>
      <c r="O6730" t="n">
        <v>0</v>
      </c>
      <c r="P6730" t="n">
        <v>0</v>
      </c>
      <c r="Q6730" t="n">
        <v>0</v>
      </c>
      <c r="R6730" s="2" t="inlineStr"/>
    </row>
    <row r="6731" ht="15" customHeight="1">
      <c r="A6731" t="inlineStr">
        <is>
          <t>A 9099-2025</t>
        </is>
      </c>
      <c r="B6731" s="1" t="n">
        <v>45713.68893518519</v>
      </c>
      <c r="C6731" s="1" t="n">
        <v>45952</v>
      </c>
      <c r="D6731" t="inlineStr">
        <is>
          <t>VÄSTRA GÖTALANDS LÄN</t>
        </is>
      </c>
      <c r="E6731" t="inlineStr">
        <is>
          <t>MARK</t>
        </is>
      </c>
      <c r="G6731" t="n">
        <v>0.8</v>
      </c>
      <c r="H6731" t="n">
        <v>0</v>
      </c>
      <c r="I6731" t="n">
        <v>0</v>
      </c>
      <c r="J6731" t="n">
        <v>0</v>
      </c>
      <c r="K6731" t="n">
        <v>0</v>
      </c>
      <c r="L6731" t="n">
        <v>0</v>
      </c>
      <c r="M6731" t="n">
        <v>0</v>
      </c>
      <c r="N6731" t="n">
        <v>0</v>
      </c>
      <c r="O6731" t="n">
        <v>0</v>
      </c>
      <c r="P6731" t="n">
        <v>0</v>
      </c>
      <c r="Q6731" t="n">
        <v>0</v>
      </c>
      <c r="R6731" s="2" t="inlineStr"/>
    </row>
    <row r="6732" ht="15" customHeight="1">
      <c r="A6732" t="inlineStr">
        <is>
          <t>A 4444-2024</t>
        </is>
      </c>
      <c r="B6732" s="1" t="n">
        <v>45327</v>
      </c>
      <c r="C6732" s="1" t="n">
        <v>45952</v>
      </c>
      <c r="D6732" t="inlineStr">
        <is>
          <t>VÄSTRA GÖTALANDS LÄN</t>
        </is>
      </c>
      <c r="E6732" t="inlineStr">
        <is>
          <t>ALE</t>
        </is>
      </c>
      <c r="G6732" t="n">
        <v>0.6</v>
      </c>
      <c r="H6732" t="n">
        <v>0</v>
      </c>
      <c r="I6732" t="n">
        <v>0</v>
      </c>
      <c r="J6732" t="n">
        <v>0</v>
      </c>
      <c r="K6732" t="n">
        <v>0</v>
      </c>
      <c r="L6732" t="n">
        <v>0</v>
      </c>
      <c r="M6732" t="n">
        <v>0</v>
      </c>
      <c r="N6732" t="n">
        <v>0</v>
      </c>
      <c r="O6732" t="n">
        <v>0</v>
      </c>
      <c r="P6732" t="n">
        <v>0</v>
      </c>
      <c r="Q6732" t="n">
        <v>0</v>
      </c>
      <c r="R6732" s="2" t="inlineStr"/>
    </row>
    <row r="6733" ht="15" customHeight="1">
      <c r="A6733" t="inlineStr">
        <is>
          <t>A 27009-2025</t>
        </is>
      </c>
      <c r="B6733" s="1" t="n">
        <v>45811.55931712963</v>
      </c>
      <c r="C6733" s="1" t="n">
        <v>45952</v>
      </c>
      <c r="D6733" t="inlineStr">
        <is>
          <t>VÄSTRA GÖTALANDS LÄN</t>
        </is>
      </c>
      <c r="E6733" t="inlineStr">
        <is>
          <t>BENGTSFORS</t>
        </is>
      </c>
      <c r="G6733" t="n">
        <v>2.3</v>
      </c>
      <c r="H6733" t="n">
        <v>0</v>
      </c>
      <c r="I6733" t="n">
        <v>0</v>
      </c>
      <c r="J6733" t="n">
        <v>0</v>
      </c>
      <c r="K6733" t="n">
        <v>0</v>
      </c>
      <c r="L6733" t="n">
        <v>0</v>
      </c>
      <c r="M6733" t="n">
        <v>0</v>
      </c>
      <c r="N6733" t="n">
        <v>0</v>
      </c>
      <c r="O6733" t="n">
        <v>0</v>
      </c>
      <c r="P6733" t="n">
        <v>0</v>
      </c>
      <c r="Q6733" t="n">
        <v>0</v>
      </c>
      <c r="R6733" s="2" t="inlineStr"/>
    </row>
    <row r="6734" ht="15" customHeight="1">
      <c r="A6734" t="inlineStr">
        <is>
          <t>A 59399-2022</t>
        </is>
      </c>
      <c r="B6734" s="1" t="n">
        <v>44906.89612268518</v>
      </c>
      <c r="C6734" s="1" t="n">
        <v>45952</v>
      </c>
      <c r="D6734" t="inlineStr">
        <is>
          <t>VÄSTRA GÖTALANDS LÄN</t>
        </is>
      </c>
      <c r="E6734" t="inlineStr">
        <is>
          <t>KARLSBORG</t>
        </is>
      </c>
      <c r="G6734" t="n">
        <v>0.7</v>
      </c>
      <c r="H6734" t="n">
        <v>0</v>
      </c>
      <c r="I6734" t="n">
        <v>0</v>
      </c>
      <c r="J6734" t="n">
        <v>0</v>
      </c>
      <c r="K6734" t="n">
        <v>0</v>
      </c>
      <c r="L6734" t="n">
        <v>0</v>
      </c>
      <c r="M6734" t="n">
        <v>0</v>
      </c>
      <c r="N6734" t="n">
        <v>0</v>
      </c>
      <c r="O6734" t="n">
        <v>0</v>
      </c>
      <c r="P6734" t="n">
        <v>0</v>
      </c>
      <c r="Q6734" t="n">
        <v>0</v>
      </c>
      <c r="R6734" s="2" t="inlineStr"/>
    </row>
    <row r="6735" ht="15" customHeight="1">
      <c r="A6735" t="inlineStr">
        <is>
          <t>A 594-2023</t>
        </is>
      </c>
      <c r="B6735" s="1" t="n">
        <v>44925</v>
      </c>
      <c r="C6735" s="1" t="n">
        <v>45952</v>
      </c>
      <c r="D6735" t="inlineStr">
        <is>
          <t>VÄSTRA GÖTALANDS LÄN</t>
        </is>
      </c>
      <c r="E6735" t="inlineStr">
        <is>
          <t>TANUM</t>
        </is>
      </c>
      <c r="G6735" t="n">
        <v>1</v>
      </c>
      <c r="H6735" t="n">
        <v>0</v>
      </c>
      <c r="I6735" t="n">
        <v>0</v>
      </c>
      <c r="J6735" t="n">
        <v>0</v>
      </c>
      <c r="K6735" t="n">
        <v>0</v>
      </c>
      <c r="L6735" t="n">
        <v>0</v>
      </c>
      <c r="M6735" t="n">
        <v>0</v>
      </c>
      <c r="N6735" t="n">
        <v>0</v>
      </c>
      <c r="O6735" t="n">
        <v>0</v>
      </c>
      <c r="P6735" t="n">
        <v>0</v>
      </c>
      <c r="Q6735" t="n">
        <v>0</v>
      </c>
      <c r="R6735" s="2" t="inlineStr"/>
    </row>
    <row r="6736" ht="15" customHeight="1">
      <c r="A6736" t="inlineStr">
        <is>
          <t>A 7640-2025</t>
        </is>
      </c>
      <c r="B6736" s="1" t="n">
        <v>45705.77997685185</v>
      </c>
      <c r="C6736" s="1" t="n">
        <v>45952</v>
      </c>
      <c r="D6736" t="inlineStr">
        <is>
          <t>VÄSTRA GÖTALANDS LÄN</t>
        </is>
      </c>
      <c r="E6736" t="inlineStr">
        <is>
          <t>GULLSPÅNG</t>
        </is>
      </c>
      <c r="G6736" t="n">
        <v>2.5</v>
      </c>
      <c r="H6736" t="n">
        <v>0</v>
      </c>
      <c r="I6736" t="n">
        <v>0</v>
      </c>
      <c r="J6736" t="n">
        <v>0</v>
      </c>
      <c r="K6736" t="n">
        <v>0</v>
      </c>
      <c r="L6736" t="n">
        <v>0</v>
      </c>
      <c r="M6736" t="n">
        <v>0</v>
      </c>
      <c r="N6736" t="n">
        <v>0</v>
      </c>
      <c r="O6736" t="n">
        <v>0</v>
      </c>
      <c r="P6736" t="n">
        <v>0</v>
      </c>
      <c r="Q6736" t="n">
        <v>0</v>
      </c>
      <c r="R6736" s="2" t="inlineStr"/>
    </row>
    <row r="6737" ht="15" customHeight="1">
      <c r="A6737" t="inlineStr">
        <is>
          <t>A 7641-2025</t>
        </is>
      </c>
      <c r="B6737" s="1" t="n">
        <v>45705.78310185186</v>
      </c>
      <c r="C6737" s="1" t="n">
        <v>45952</v>
      </c>
      <c r="D6737" t="inlineStr">
        <is>
          <t>VÄSTRA GÖTALANDS LÄN</t>
        </is>
      </c>
      <c r="E6737" t="inlineStr">
        <is>
          <t>HERRLJUNGA</t>
        </is>
      </c>
      <c r="G6737" t="n">
        <v>4.8</v>
      </c>
      <c r="H6737" t="n">
        <v>0</v>
      </c>
      <c r="I6737" t="n">
        <v>0</v>
      </c>
      <c r="J6737" t="n">
        <v>0</v>
      </c>
      <c r="K6737" t="n">
        <v>0</v>
      </c>
      <c r="L6737" t="n">
        <v>0</v>
      </c>
      <c r="M6737" t="n">
        <v>0</v>
      </c>
      <c r="N6737" t="n">
        <v>0</v>
      </c>
      <c r="O6737" t="n">
        <v>0</v>
      </c>
      <c r="P6737" t="n">
        <v>0</v>
      </c>
      <c r="Q6737" t="n">
        <v>0</v>
      </c>
      <c r="R6737" s="2" t="inlineStr"/>
    </row>
    <row r="6738" ht="15" customHeight="1">
      <c r="A6738" t="inlineStr">
        <is>
          <t>A 1446-2021</t>
        </is>
      </c>
      <c r="B6738" s="1" t="n">
        <v>44208</v>
      </c>
      <c r="C6738" s="1" t="n">
        <v>45952</v>
      </c>
      <c r="D6738" t="inlineStr">
        <is>
          <t>VÄSTRA GÖTALANDS LÄN</t>
        </is>
      </c>
      <c r="E6738" t="inlineStr">
        <is>
          <t>HERRLJUNGA</t>
        </is>
      </c>
      <c r="G6738" t="n">
        <v>2.9</v>
      </c>
      <c r="H6738" t="n">
        <v>0</v>
      </c>
      <c r="I6738" t="n">
        <v>0</v>
      </c>
      <c r="J6738" t="n">
        <v>0</v>
      </c>
      <c r="K6738" t="n">
        <v>0</v>
      </c>
      <c r="L6738" t="n">
        <v>0</v>
      </c>
      <c r="M6738" t="n">
        <v>0</v>
      </c>
      <c r="N6738" t="n">
        <v>0</v>
      </c>
      <c r="O6738" t="n">
        <v>0</v>
      </c>
      <c r="P6738" t="n">
        <v>0</v>
      </c>
      <c r="Q6738" t="n">
        <v>0</v>
      </c>
      <c r="R6738" s="2" t="inlineStr"/>
    </row>
    <row r="6739" ht="15" customHeight="1">
      <c r="A6739" t="inlineStr">
        <is>
          <t>A 1122-2024</t>
        </is>
      </c>
      <c r="B6739" s="1" t="n">
        <v>45302</v>
      </c>
      <c r="C6739" s="1" t="n">
        <v>45952</v>
      </c>
      <c r="D6739" t="inlineStr">
        <is>
          <t>VÄSTRA GÖTALANDS LÄN</t>
        </is>
      </c>
      <c r="E6739" t="inlineStr">
        <is>
          <t>BENGTSFORS</t>
        </is>
      </c>
      <c r="G6739" t="n">
        <v>1.1</v>
      </c>
      <c r="H6739" t="n">
        <v>0</v>
      </c>
      <c r="I6739" t="n">
        <v>0</v>
      </c>
      <c r="J6739" t="n">
        <v>0</v>
      </c>
      <c r="K6739" t="n">
        <v>0</v>
      </c>
      <c r="L6739" t="n">
        <v>0</v>
      </c>
      <c r="M6739" t="n">
        <v>0</v>
      </c>
      <c r="N6739" t="n">
        <v>0</v>
      </c>
      <c r="O6739" t="n">
        <v>0</v>
      </c>
      <c r="P6739" t="n">
        <v>0</v>
      </c>
      <c r="Q6739" t="n">
        <v>0</v>
      </c>
      <c r="R6739" s="2" t="inlineStr"/>
    </row>
    <row r="6740" ht="15" customHeight="1">
      <c r="A6740" t="inlineStr">
        <is>
          <t>A 23862-2022</t>
        </is>
      </c>
      <c r="B6740" s="1" t="n">
        <v>44722.551875</v>
      </c>
      <c r="C6740" s="1" t="n">
        <v>45952</v>
      </c>
      <c r="D6740" t="inlineStr">
        <is>
          <t>VÄSTRA GÖTALANDS LÄN</t>
        </is>
      </c>
      <c r="E6740" t="inlineStr">
        <is>
          <t>VÄNERSBORG</t>
        </is>
      </c>
      <c r="G6740" t="n">
        <v>2.1</v>
      </c>
      <c r="H6740" t="n">
        <v>0</v>
      </c>
      <c r="I6740" t="n">
        <v>0</v>
      </c>
      <c r="J6740" t="n">
        <v>0</v>
      </c>
      <c r="K6740" t="n">
        <v>0</v>
      </c>
      <c r="L6740" t="n">
        <v>0</v>
      </c>
      <c r="M6740" t="n">
        <v>0</v>
      </c>
      <c r="N6740" t="n">
        <v>0</v>
      </c>
      <c r="O6740" t="n">
        <v>0</v>
      </c>
      <c r="P6740" t="n">
        <v>0</v>
      </c>
      <c r="Q6740" t="n">
        <v>0</v>
      </c>
      <c r="R6740" s="2" t="inlineStr"/>
    </row>
    <row r="6741" ht="15" customHeight="1">
      <c r="A6741" t="inlineStr">
        <is>
          <t>A 41799-2024</t>
        </is>
      </c>
      <c r="B6741" s="1" t="n">
        <v>45561.36438657407</v>
      </c>
      <c r="C6741" s="1" t="n">
        <v>45952</v>
      </c>
      <c r="D6741" t="inlineStr">
        <is>
          <t>VÄSTRA GÖTALANDS LÄN</t>
        </is>
      </c>
      <c r="E6741" t="inlineStr">
        <is>
          <t>DALS-ED</t>
        </is>
      </c>
      <c r="G6741" t="n">
        <v>2.9</v>
      </c>
      <c r="H6741" t="n">
        <v>0</v>
      </c>
      <c r="I6741" t="n">
        <v>0</v>
      </c>
      <c r="J6741" t="n">
        <v>0</v>
      </c>
      <c r="K6741" t="n">
        <v>0</v>
      </c>
      <c r="L6741" t="n">
        <v>0</v>
      </c>
      <c r="M6741" t="n">
        <v>0</v>
      </c>
      <c r="N6741" t="n">
        <v>0</v>
      </c>
      <c r="O6741" t="n">
        <v>0</v>
      </c>
      <c r="P6741" t="n">
        <v>0</v>
      </c>
      <c r="Q6741" t="n">
        <v>0</v>
      </c>
      <c r="R6741" s="2" t="inlineStr"/>
    </row>
    <row r="6742" ht="15" customHeight="1">
      <c r="A6742" t="inlineStr">
        <is>
          <t>A 42753-2024</t>
        </is>
      </c>
      <c r="B6742" s="1" t="n">
        <v>45566.49253472222</v>
      </c>
      <c r="C6742" s="1" t="n">
        <v>45952</v>
      </c>
      <c r="D6742" t="inlineStr">
        <is>
          <t>VÄSTRA GÖTALANDS LÄN</t>
        </is>
      </c>
      <c r="E6742" t="inlineStr">
        <is>
          <t>SKARA</t>
        </is>
      </c>
      <c r="F6742" t="inlineStr">
        <is>
          <t>Sveaskog</t>
        </is>
      </c>
      <c r="G6742" t="n">
        <v>4.8</v>
      </c>
      <c r="H6742" t="n">
        <v>0</v>
      </c>
      <c r="I6742" t="n">
        <v>0</v>
      </c>
      <c r="J6742" t="n">
        <v>0</v>
      </c>
      <c r="K6742" t="n">
        <v>0</v>
      </c>
      <c r="L6742" t="n">
        <v>0</v>
      </c>
      <c r="M6742" t="n">
        <v>0</v>
      </c>
      <c r="N6742" t="n">
        <v>0</v>
      </c>
      <c r="O6742" t="n">
        <v>0</v>
      </c>
      <c r="P6742" t="n">
        <v>0</v>
      </c>
      <c r="Q6742" t="n">
        <v>0</v>
      </c>
      <c r="R6742" s="2" t="inlineStr"/>
    </row>
    <row r="6743" ht="15" customHeight="1">
      <c r="A6743" t="inlineStr">
        <is>
          <t>A 40293-2022</t>
        </is>
      </c>
      <c r="B6743" s="1" t="n">
        <v>44821</v>
      </c>
      <c r="C6743" s="1" t="n">
        <v>45952</v>
      </c>
      <c r="D6743" t="inlineStr">
        <is>
          <t>VÄSTRA GÖTALANDS LÄN</t>
        </is>
      </c>
      <c r="E6743" t="inlineStr">
        <is>
          <t>ALINGSÅS</t>
        </is>
      </c>
      <c r="G6743" t="n">
        <v>5.4</v>
      </c>
      <c r="H6743" t="n">
        <v>0</v>
      </c>
      <c r="I6743" t="n">
        <v>0</v>
      </c>
      <c r="J6743" t="n">
        <v>0</v>
      </c>
      <c r="K6743" t="n">
        <v>0</v>
      </c>
      <c r="L6743" t="n">
        <v>0</v>
      </c>
      <c r="M6743" t="n">
        <v>0</v>
      </c>
      <c r="N6743" t="n">
        <v>0</v>
      </c>
      <c r="O6743" t="n">
        <v>0</v>
      </c>
      <c r="P6743" t="n">
        <v>0</v>
      </c>
      <c r="Q6743" t="n">
        <v>0</v>
      </c>
      <c r="R6743" s="2" t="inlineStr"/>
    </row>
    <row r="6744" ht="15" customHeight="1">
      <c r="A6744" t="inlineStr">
        <is>
          <t>A 59053-2024</t>
        </is>
      </c>
      <c r="B6744" s="1" t="n">
        <v>45636.80626157407</v>
      </c>
      <c r="C6744" s="1" t="n">
        <v>45952</v>
      </c>
      <c r="D6744" t="inlineStr">
        <is>
          <t>VÄSTRA GÖTALANDS LÄN</t>
        </is>
      </c>
      <c r="E6744" t="inlineStr">
        <is>
          <t>SKÖVDE</t>
        </is>
      </c>
      <c r="G6744" t="n">
        <v>3.3</v>
      </c>
      <c r="H6744" t="n">
        <v>0</v>
      </c>
      <c r="I6744" t="n">
        <v>0</v>
      </c>
      <c r="J6744" t="n">
        <v>0</v>
      </c>
      <c r="K6744" t="n">
        <v>0</v>
      </c>
      <c r="L6744" t="n">
        <v>0</v>
      </c>
      <c r="M6744" t="n">
        <v>0</v>
      </c>
      <c r="N6744" t="n">
        <v>0</v>
      </c>
      <c r="O6744" t="n">
        <v>0</v>
      </c>
      <c r="P6744" t="n">
        <v>0</v>
      </c>
      <c r="Q6744" t="n">
        <v>0</v>
      </c>
      <c r="R6744" s="2" t="inlineStr"/>
    </row>
    <row r="6745" ht="15" customHeight="1">
      <c r="A6745" t="inlineStr">
        <is>
          <t>A 59069-2024</t>
        </is>
      </c>
      <c r="B6745" s="1" t="n">
        <v>45636.95501157407</v>
      </c>
      <c r="C6745" s="1" t="n">
        <v>45952</v>
      </c>
      <c r="D6745" t="inlineStr">
        <is>
          <t>VÄSTRA GÖTALANDS LÄN</t>
        </is>
      </c>
      <c r="E6745" t="inlineStr">
        <is>
          <t>ULRICEHAMN</t>
        </is>
      </c>
      <c r="G6745" t="n">
        <v>0.8</v>
      </c>
      <c r="H6745" t="n">
        <v>0</v>
      </c>
      <c r="I6745" t="n">
        <v>0</v>
      </c>
      <c r="J6745" t="n">
        <v>0</v>
      </c>
      <c r="K6745" t="n">
        <v>0</v>
      </c>
      <c r="L6745" t="n">
        <v>0</v>
      </c>
      <c r="M6745" t="n">
        <v>0</v>
      </c>
      <c r="N6745" t="n">
        <v>0</v>
      </c>
      <c r="O6745" t="n">
        <v>0</v>
      </c>
      <c r="P6745" t="n">
        <v>0</v>
      </c>
      <c r="Q6745" t="n">
        <v>0</v>
      </c>
      <c r="R6745" s="2" t="inlineStr"/>
    </row>
    <row r="6746" ht="15" customHeight="1">
      <c r="A6746" t="inlineStr">
        <is>
          <t>A 40712-2021</t>
        </is>
      </c>
      <c r="B6746" s="1" t="n">
        <v>44420</v>
      </c>
      <c r="C6746" s="1" t="n">
        <v>45952</v>
      </c>
      <c r="D6746" t="inlineStr">
        <is>
          <t>VÄSTRA GÖTALANDS LÄN</t>
        </is>
      </c>
      <c r="E6746" t="inlineStr">
        <is>
          <t>SKÖVDE</t>
        </is>
      </c>
      <c r="G6746" t="n">
        <v>1.7</v>
      </c>
      <c r="H6746" t="n">
        <v>0</v>
      </c>
      <c r="I6746" t="n">
        <v>0</v>
      </c>
      <c r="J6746" t="n">
        <v>0</v>
      </c>
      <c r="K6746" t="n">
        <v>0</v>
      </c>
      <c r="L6746" t="n">
        <v>0</v>
      </c>
      <c r="M6746" t="n">
        <v>0</v>
      </c>
      <c r="N6746" t="n">
        <v>0</v>
      </c>
      <c r="O6746" t="n">
        <v>0</v>
      </c>
      <c r="P6746" t="n">
        <v>0</v>
      </c>
      <c r="Q6746" t="n">
        <v>0</v>
      </c>
      <c r="R6746" s="2" t="inlineStr"/>
    </row>
    <row r="6747" ht="15" customHeight="1">
      <c r="A6747" t="inlineStr">
        <is>
          <t>A 13398-2025</t>
        </is>
      </c>
      <c r="B6747" s="1" t="n">
        <v>45735.75422453704</v>
      </c>
      <c r="C6747" s="1" t="n">
        <v>45952</v>
      </c>
      <c r="D6747" t="inlineStr">
        <is>
          <t>VÄSTRA GÖTALANDS LÄN</t>
        </is>
      </c>
      <c r="E6747" t="inlineStr">
        <is>
          <t>SVENLJUNGA</t>
        </is>
      </c>
      <c r="G6747" t="n">
        <v>2.3</v>
      </c>
      <c r="H6747" t="n">
        <v>0</v>
      </c>
      <c r="I6747" t="n">
        <v>0</v>
      </c>
      <c r="J6747" t="n">
        <v>0</v>
      </c>
      <c r="K6747" t="n">
        <v>0</v>
      </c>
      <c r="L6747" t="n">
        <v>0</v>
      </c>
      <c r="M6747" t="n">
        <v>0</v>
      </c>
      <c r="N6747" t="n">
        <v>0</v>
      </c>
      <c r="O6747" t="n">
        <v>0</v>
      </c>
      <c r="P6747" t="n">
        <v>0</v>
      </c>
      <c r="Q6747" t="n">
        <v>0</v>
      </c>
      <c r="R6747" s="2" t="inlineStr"/>
    </row>
    <row r="6748" ht="15" customHeight="1">
      <c r="A6748" t="inlineStr">
        <is>
          <t>A 13997-2025</t>
        </is>
      </c>
      <c r="B6748" s="1" t="n">
        <v>45739.80998842593</v>
      </c>
      <c r="C6748" s="1" t="n">
        <v>45952</v>
      </c>
      <c r="D6748" t="inlineStr">
        <is>
          <t>VÄSTRA GÖTALANDS LÄN</t>
        </is>
      </c>
      <c r="E6748" t="inlineStr">
        <is>
          <t>TANUM</t>
        </is>
      </c>
      <c r="G6748" t="n">
        <v>1.2</v>
      </c>
      <c r="H6748" t="n">
        <v>0</v>
      </c>
      <c r="I6748" t="n">
        <v>0</v>
      </c>
      <c r="J6748" t="n">
        <v>0</v>
      </c>
      <c r="K6748" t="n">
        <v>0</v>
      </c>
      <c r="L6748" t="n">
        <v>0</v>
      </c>
      <c r="M6748" t="n">
        <v>0</v>
      </c>
      <c r="N6748" t="n">
        <v>0</v>
      </c>
      <c r="O6748" t="n">
        <v>0</v>
      </c>
      <c r="P6748" t="n">
        <v>0</v>
      </c>
      <c r="Q6748" t="n">
        <v>0</v>
      </c>
      <c r="R6748" s="2" t="inlineStr"/>
    </row>
    <row r="6749" ht="15" customHeight="1">
      <c r="A6749" t="inlineStr">
        <is>
          <t>A 28688-2024</t>
        </is>
      </c>
      <c r="B6749" s="1" t="n">
        <v>45478.48899305556</v>
      </c>
      <c r="C6749" s="1" t="n">
        <v>45952</v>
      </c>
      <c r="D6749" t="inlineStr">
        <is>
          <t>VÄSTRA GÖTALANDS LÄN</t>
        </is>
      </c>
      <c r="E6749" t="inlineStr">
        <is>
          <t>ÅMÅL</t>
        </is>
      </c>
      <c r="G6749" t="n">
        <v>0.9</v>
      </c>
      <c r="H6749" t="n">
        <v>0</v>
      </c>
      <c r="I6749" t="n">
        <v>0</v>
      </c>
      <c r="J6749" t="n">
        <v>0</v>
      </c>
      <c r="K6749" t="n">
        <v>0</v>
      </c>
      <c r="L6749" t="n">
        <v>0</v>
      </c>
      <c r="M6749" t="n">
        <v>0</v>
      </c>
      <c r="N6749" t="n">
        <v>0</v>
      </c>
      <c r="O6749" t="n">
        <v>0</v>
      </c>
      <c r="P6749" t="n">
        <v>0</v>
      </c>
      <c r="Q6749" t="n">
        <v>0</v>
      </c>
      <c r="R6749" s="2" t="inlineStr"/>
    </row>
    <row r="6750" ht="15" customHeight="1">
      <c r="A6750" t="inlineStr">
        <is>
          <t>A 49384-2023</t>
        </is>
      </c>
      <c r="B6750" s="1" t="n">
        <v>45205</v>
      </c>
      <c r="C6750" s="1" t="n">
        <v>45952</v>
      </c>
      <c r="D6750" t="inlineStr">
        <is>
          <t>VÄSTRA GÖTALANDS LÄN</t>
        </is>
      </c>
      <c r="E6750" t="inlineStr">
        <is>
          <t>LILLA EDET</t>
        </is>
      </c>
      <c r="F6750" t="inlineStr">
        <is>
          <t>Kyrkan</t>
        </is>
      </c>
      <c r="G6750" t="n">
        <v>1.2</v>
      </c>
      <c r="H6750" t="n">
        <v>0</v>
      </c>
      <c r="I6750" t="n">
        <v>0</v>
      </c>
      <c r="J6750" t="n">
        <v>0</v>
      </c>
      <c r="K6750" t="n">
        <v>0</v>
      </c>
      <c r="L6750" t="n">
        <v>0</v>
      </c>
      <c r="M6750" t="n">
        <v>0</v>
      </c>
      <c r="N6750" t="n">
        <v>0</v>
      </c>
      <c r="O6750" t="n">
        <v>0</v>
      </c>
      <c r="P6750" t="n">
        <v>0</v>
      </c>
      <c r="Q6750" t="n">
        <v>0</v>
      </c>
      <c r="R6750" s="2" t="inlineStr"/>
    </row>
    <row r="6751" ht="15" customHeight="1">
      <c r="A6751" t="inlineStr">
        <is>
          <t>A 35486-2023</t>
        </is>
      </c>
      <c r="B6751" s="1" t="n">
        <v>45146</v>
      </c>
      <c r="C6751" s="1" t="n">
        <v>45952</v>
      </c>
      <c r="D6751" t="inlineStr">
        <is>
          <t>VÄSTRA GÖTALANDS LÄN</t>
        </is>
      </c>
      <c r="E6751" t="inlineStr">
        <is>
          <t>HJO</t>
        </is>
      </c>
      <c r="G6751" t="n">
        <v>2.9</v>
      </c>
      <c r="H6751" t="n">
        <v>0</v>
      </c>
      <c r="I6751" t="n">
        <v>0</v>
      </c>
      <c r="J6751" t="n">
        <v>0</v>
      </c>
      <c r="K6751" t="n">
        <v>0</v>
      </c>
      <c r="L6751" t="n">
        <v>0</v>
      </c>
      <c r="M6751" t="n">
        <v>0</v>
      </c>
      <c r="N6751" t="n">
        <v>0</v>
      </c>
      <c r="O6751" t="n">
        <v>0</v>
      </c>
      <c r="P6751" t="n">
        <v>0</v>
      </c>
      <c r="Q6751" t="n">
        <v>0</v>
      </c>
      <c r="R6751" s="2" t="inlineStr"/>
    </row>
    <row r="6752" ht="15" customHeight="1">
      <c r="A6752" t="inlineStr">
        <is>
          <t>A 35515-2023</t>
        </is>
      </c>
      <c r="B6752" s="1" t="n">
        <v>45147</v>
      </c>
      <c r="C6752" s="1" t="n">
        <v>45952</v>
      </c>
      <c r="D6752" t="inlineStr">
        <is>
          <t>VÄSTRA GÖTALANDS LÄN</t>
        </is>
      </c>
      <c r="E6752" t="inlineStr">
        <is>
          <t>GRÄSTORP</t>
        </is>
      </c>
      <c r="G6752" t="n">
        <v>3.9</v>
      </c>
      <c r="H6752" t="n">
        <v>0</v>
      </c>
      <c r="I6752" t="n">
        <v>0</v>
      </c>
      <c r="J6752" t="n">
        <v>0</v>
      </c>
      <c r="K6752" t="n">
        <v>0</v>
      </c>
      <c r="L6752" t="n">
        <v>0</v>
      </c>
      <c r="M6752" t="n">
        <v>0</v>
      </c>
      <c r="N6752" t="n">
        <v>0</v>
      </c>
      <c r="O6752" t="n">
        <v>0</v>
      </c>
      <c r="P6752" t="n">
        <v>0</v>
      </c>
      <c r="Q6752" t="n">
        <v>0</v>
      </c>
      <c r="R6752" s="2" t="inlineStr"/>
    </row>
    <row r="6753" ht="15" customHeight="1">
      <c r="A6753" t="inlineStr">
        <is>
          <t>A 20570-2023</t>
        </is>
      </c>
      <c r="B6753" s="1" t="n">
        <v>45057</v>
      </c>
      <c r="C6753" s="1" t="n">
        <v>45952</v>
      </c>
      <c r="D6753" t="inlineStr">
        <is>
          <t>VÄSTRA GÖTALANDS LÄN</t>
        </is>
      </c>
      <c r="E6753" t="inlineStr">
        <is>
          <t>LERUM</t>
        </is>
      </c>
      <c r="G6753" t="n">
        <v>5.6</v>
      </c>
      <c r="H6753" t="n">
        <v>0</v>
      </c>
      <c r="I6753" t="n">
        <v>0</v>
      </c>
      <c r="J6753" t="n">
        <v>0</v>
      </c>
      <c r="K6753" t="n">
        <v>0</v>
      </c>
      <c r="L6753" t="n">
        <v>0</v>
      </c>
      <c r="M6753" t="n">
        <v>0</v>
      </c>
      <c r="N6753" t="n">
        <v>0</v>
      </c>
      <c r="O6753" t="n">
        <v>0</v>
      </c>
      <c r="P6753" t="n">
        <v>0</v>
      </c>
      <c r="Q6753" t="n">
        <v>0</v>
      </c>
      <c r="R6753" s="2" t="inlineStr"/>
    </row>
    <row r="6754" ht="15" customHeight="1">
      <c r="A6754" t="inlineStr">
        <is>
          <t>A 49955-2021</t>
        </is>
      </c>
      <c r="B6754" s="1" t="n">
        <v>44456</v>
      </c>
      <c r="C6754" s="1" t="n">
        <v>45952</v>
      </c>
      <c r="D6754" t="inlineStr">
        <is>
          <t>VÄSTRA GÖTALANDS LÄN</t>
        </is>
      </c>
      <c r="E6754" t="inlineStr">
        <is>
          <t>ALE</t>
        </is>
      </c>
      <c r="G6754" t="n">
        <v>2.2</v>
      </c>
      <c r="H6754" t="n">
        <v>0</v>
      </c>
      <c r="I6754" t="n">
        <v>0</v>
      </c>
      <c r="J6754" t="n">
        <v>0</v>
      </c>
      <c r="K6754" t="n">
        <v>0</v>
      </c>
      <c r="L6754" t="n">
        <v>0</v>
      </c>
      <c r="M6754" t="n">
        <v>0</v>
      </c>
      <c r="N6754" t="n">
        <v>0</v>
      </c>
      <c r="O6754" t="n">
        <v>0</v>
      </c>
      <c r="P6754" t="n">
        <v>0</v>
      </c>
      <c r="Q6754" t="n">
        <v>0</v>
      </c>
      <c r="R6754" s="2" t="inlineStr"/>
    </row>
    <row r="6755" ht="15" customHeight="1">
      <c r="A6755" t="inlineStr">
        <is>
          <t>A 44463-2023</t>
        </is>
      </c>
      <c r="B6755" s="1" t="n">
        <v>45189</v>
      </c>
      <c r="C6755" s="1" t="n">
        <v>45952</v>
      </c>
      <c r="D6755" t="inlineStr">
        <is>
          <t>VÄSTRA GÖTALANDS LÄN</t>
        </is>
      </c>
      <c r="E6755" t="inlineStr">
        <is>
          <t>ULRICEHAMN</t>
        </is>
      </c>
      <c r="G6755" t="n">
        <v>2.1</v>
      </c>
      <c r="H6755" t="n">
        <v>0</v>
      </c>
      <c r="I6755" t="n">
        <v>0</v>
      </c>
      <c r="J6755" t="n">
        <v>0</v>
      </c>
      <c r="K6755" t="n">
        <v>0</v>
      </c>
      <c r="L6755" t="n">
        <v>0</v>
      </c>
      <c r="M6755" t="n">
        <v>0</v>
      </c>
      <c r="N6755" t="n">
        <v>0</v>
      </c>
      <c r="O6755" t="n">
        <v>0</v>
      </c>
      <c r="P6755" t="n">
        <v>0</v>
      </c>
      <c r="Q6755" t="n">
        <v>0</v>
      </c>
      <c r="R6755" s="2" t="inlineStr"/>
    </row>
    <row r="6756" ht="15" customHeight="1">
      <c r="A6756" t="inlineStr">
        <is>
          <t>A 14116-2025</t>
        </is>
      </c>
      <c r="B6756" s="1" t="n">
        <v>45740</v>
      </c>
      <c r="C6756" s="1" t="n">
        <v>45952</v>
      </c>
      <c r="D6756" t="inlineStr">
        <is>
          <t>VÄSTRA GÖTALANDS LÄN</t>
        </is>
      </c>
      <c r="E6756" t="inlineStr">
        <is>
          <t>VARA</t>
        </is>
      </c>
      <c r="G6756" t="n">
        <v>3.4</v>
      </c>
      <c r="H6756" t="n">
        <v>0</v>
      </c>
      <c r="I6756" t="n">
        <v>0</v>
      </c>
      <c r="J6756" t="n">
        <v>0</v>
      </c>
      <c r="K6756" t="n">
        <v>0</v>
      </c>
      <c r="L6756" t="n">
        <v>0</v>
      </c>
      <c r="M6756" t="n">
        <v>0</v>
      </c>
      <c r="N6756" t="n">
        <v>0</v>
      </c>
      <c r="O6756" t="n">
        <v>0</v>
      </c>
      <c r="P6756" t="n">
        <v>0</v>
      </c>
      <c r="Q6756" t="n">
        <v>0</v>
      </c>
      <c r="R6756" s="2" t="inlineStr"/>
    </row>
    <row r="6757" ht="15" customHeight="1">
      <c r="A6757" t="inlineStr">
        <is>
          <t>A 55364-2024</t>
        </is>
      </c>
      <c r="B6757" s="1" t="n">
        <v>45621.85106481481</v>
      </c>
      <c r="C6757" s="1" t="n">
        <v>45952</v>
      </c>
      <c r="D6757" t="inlineStr">
        <is>
          <t>VÄSTRA GÖTALANDS LÄN</t>
        </is>
      </c>
      <c r="E6757" t="inlineStr">
        <is>
          <t>ULRICEHAMN</t>
        </is>
      </c>
      <c r="G6757" t="n">
        <v>0.2</v>
      </c>
      <c r="H6757" t="n">
        <v>0</v>
      </c>
      <c r="I6757" t="n">
        <v>0</v>
      </c>
      <c r="J6757" t="n">
        <v>0</v>
      </c>
      <c r="K6757" t="n">
        <v>0</v>
      </c>
      <c r="L6757" t="n">
        <v>0</v>
      </c>
      <c r="M6757" t="n">
        <v>0</v>
      </c>
      <c r="N6757" t="n">
        <v>0</v>
      </c>
      <c r="O6757" t="n">
        <v>0</v>
      </c>
      <c r="P6757" t="n">
        <v>0</v>
      </c>
      <c r="Q6757" t="n">
        <v>0</v>
      </c>
      <c r="R6757" s="2" t="inlineStr"/>
    </row>
    <row r="6758" ht="15" customHeight="1">
      <c r="A6758" t="inlineStr">
        <is>
          <t>A 7019-2024</t>
        </is>
      </c>
      <c r="B6758" s="1" t="n">
        <v>45343</v>
      </c>
      <c r="C6758" s="1" t="n">
        <v>45952</v>
      </c>
      <c r="D6758" t="inlineStr">
        <is>
          <t>VÄSTRA GÖTALANDS LÄN</t>
        </is>
      </c>
      <c r="E6758" t="inlineStr">
        <is>
          <t>MARK</t>
        </is>
      </c>
      <c r="G6758" t="n">
        <v>0.7</v>
      </c>
      <c r="H6758" t="n">
        <v>0</v>
      </c>
      <c r="I6758" t="n">
        <v>0</v>
      </c>
      <c r="J6758" t="n">
        <v>0</v>
      </c>
      <c r="K6758" t="n">
        <v>0</v>
      </c>
      <c r="L6758" t="n">
        <v>0</v>
      </c>
      <c r="M6758" t="n">
        <v>0</v>
      </c>
      <c r="N6758" t="n">
        <v>0</v>
      </c>
      <c r="O6758" t="n">
        <v>0</v>
      </c>
      <c r="P6758" t="n">
        <v>0</v>
      </c>
      <c r="Q6758" t="n">
        <v>0</v>
      </c>
      <c r="R6758" s="2" t="inlineStr"/>
    </row>
    <row r="6759" ht="15" customHeight="1">
      <c r="A6759" t="inlineStr">
        <is>
          <t>A 7033-2024</t>
        </is>
      </c>
      <c r="B6759" s="1" t="n">
        <v>45343.59774305556</v>
      </c>
      <c r="C6759" s="1" t="n">
        <v>45952</v>
      </c>
      <c r="D6759" t="inlineStr">
        <is>
          <t>VÄSTRA GÖTALANDS LÄN</t>
        </is>
      </c>
      <c r="E6759" t="inlineStr">
        <is>
          <t>MARIESTAD</t>
        </is>
      </c>
      <c r="G6759" t="n">
        <v>1</v>
      </c>
      <c r="H6759" t="n">
        <v>0</v>
      </c>
      <c r="I6759" t="n">
        <v>0</v>
      </c>
      <c r="J6759" t="n">
        <v>0</v>
      </c>
      <c r="K6759" t="n">
        <v>0</v>
      </c>
      <c r="L6759" t="n">
        <v>0</v>
      </c>
      <c r="M6759" t="n">
        <v>0</v>
      </c>
      <c r="N6759" t="n">
        <v>0</v>
      </c>
      <c r="O6759" t="n">
        <v>0</v>
      </c>
      <c r="P6759" t="n">
        <v>0</v>
      </c>
      <c r="Q6759" t="n">
        <v>0</v>
      </c>
      <c r="R6759" s="2" t="inlineStr"/>
    </row>
    <row r="6760" ht="15" customHeight="1">
      <c r="A6760" t="inlineStr">
        <is>
          <t>A 43856-2024</t>
        </is>
      </c>
      <c r="B6760" s="1" t="n">
        <v>45572.35760416667</v>
      </c>
      <c r="C6760" s="1" t="n">
        <v>45952</v>
      </c>
      <c r="D6760" t="inlineStr">
        <is>
          <t>VÄSTRA GÖTALANDS LÄN</t>
        </is>
      </c>
      <c r="E6760" t="inlineStr">
        <is>
          <t>VÄNERSBORG</t>
        </is>
      </c>
      <c r="G6760" t="n">
        <v>1.6</v>
      </c>
      <c r="H6760" t="n">
        <v>0</v>
      </c>
      <c r="I6760" t="n">
        <v>0</v>
      </c>
      <c r="J6760" t="n">
        <v>0</v>
      </c>
      <c r="K6760" t="n">
        <v>0</v>
      </c>
      <c r="L6760" t="n">
        <v>0</v>
      </c>
      <c r="M6760" t="n">
        <v>0</v>
      </c>
      <c r="N6760" t="n">
        <v>0</v>
      </c>
      <c r="O6760" t="n">
        <v>0</v>
      </c>
      <c r="P6760" t="n">
        <v>0</v>
      </c>
      <c r="Q6760" t="n">
        <v>0</v>
      </c>
      <c r="R6760" s="2" t="inlineStr"/>
    </row>
    <row r="6761" ht="15" customHeight="1">
      <c r="A6761" t="inlineStr">
        <is>
          <t>A 69483-2020</t>
        </is>
      </c>
      <c r="B6761" s="1" t="n">
        <v>44194</v>
      </c>
      <c r="C6761" s="1" t="n">
        <v>45952</v>
      </c>
      <c r="D6761" t="inlineStr">
        <is>
          <t>VÄSTRA GÖTALANDS LÄN</t>
        </is>
      </c>
      <c r="E6761" t="inlineStr">
        <is>
          <t>KARLSBORG</t>
        </is>
      </c>
      <c r="G6761" t="n">
        <v>1.6</v>
      </c>
      <c r="H6761" t="n">
        <v>0</v>
      </c>
      <c r="I6761" t="n">
        <v>0</v>
      </c>
      <c r="J6761" t="n">
        <v>0</v>
      </c>
      <c r="K6761" t="n">
        <v>0</v>
      </c>
      <c r="L6761" t="n">
        <v>0</v>
      </c>
      <c r="M6761" t="n">
        <v>0</v>
      </c>
      <c r="N6761" t="n">
        <v>0</v>
      </c>
      <c r="O6761" t="n">
        <v>0</v>
      </c>
      <c r="P6761" t="n">
        <v>0</v>
      </c>
      <c r="Q6761" t="n">
        <v>0</v>
      </c>
      <c r="R6761" s="2" t="inlineStr"/>
    </row>
    <row r="6762" ht="15" customHeight="1">
      <c r="A6762" t="inlineStr">
        <is>
          <t>A 11170-2025</t>
        </is>
      </c>
      <c r="B6762" s="1" t="n">
        <v>45724.41099537037</v>
      </c>
      <c r="C6762" s="1" t="n">
        <v>45952</v>
      </c>
      <c r="D6762" t="inlineStr">
        <is>
          <t>VÄSTRA GÖTALANDS LÄN</t>
        </is>
      </c>
      <c r="E6762" t="inlineStr">
        <is>
          <t>HERRLJUNGA</t>
        </is>
      </c>
      <c r="G6762" t="n">
        <v>1</v>
      </c>
      <c r="H6762" t="n">
        <v>0</v>
      </c>
      <c r="I6762" t="n">
        <v>0</v>
      </c>
      <c r="J6762" t="n">
        <v>0</v>
      </c>
      <c r="K6762" t="n">
        <v>0</v>
      </c>
      <c r="L6762" t="n">
        <v>0</v>
      </c>
      <c r="M6762" t="n">
        <v>0</v>
      </c>
      <c r="N6762" t="n">
        <v>0</v>
      </c>
      <c r="O6762" t="n">
        <v>0</v>
      </c>
      <c r="P6762" t="n">
        <v>0</v>
      </c>
      <c r="Q6762" t="n">
        <v>0</v>
      </c>
      <c r="R6762" s="2" t="inlineStr"/>
    </row>
    <row r="6763" ht="15" customHeight="1">
      <c r="A6763" t="inlineStr">
        <is>
          <t>A 69543-2020</t>
        </is>
      </c>
      <c r="B6763" s="1" t="n">
        <v>44194</v>
      </c>
      <c r="C6763" s="1" t="n">
        <v>45952</v>
      </c>
      <c r="D6763" t="inlineStr">
        <is>
          <t>VÄSTRA GÖTALANDS LÄN</t>
        </is>
      </c>
      <c r="E6763" t="inlineStr">
        <is>
          <t>BORÅS</t>
        </is>
      </c>
      <c r="G6763" t="n">
        <v>0.7</v>
      </c>
      <c r="H6763" t="n">
        <v>0</v>
      </c>
      <c r="I6763" t="n">
        <v>0</v>
      </c>
      <c r="J6763" t="n">
        <v>0</v>
      </c>
      <c r="K6763" t="n">
        <v>0</v>
      </c>
      <c r="L6763" t="n">
        <v>0</v>
      </c>
      <c r="M6763" t="n">
        <v>0</v>
      </c>
      <c r="N6763" t="n">
        <v>0</v>
      </c>
      <c r="O6763" t="n">
        <v>0</v>
      </c>
      <c r="P6763" t="n">
        <v>0</v>
      </c>
      <c r="Q6763" t="n">
        <v>0</v>
      </c>
      <c r="R6763" s="2" t="inlineStr"/>
    </row>
    <row r="6764" ht="15" customHeight="1">
      <c r="A6764" t="inlineStr">
        <is>
          <t>A 42400-2023</t>
        </is>
      </c>
      <c r="B6764" s="1" t="n">
        <v>45180.59076388889</v>
      </c>
      <c r="C6764" s="1" t="n">
        <v>45952</v>
      </c>
      <c r="D6764" t="inlineStr">
        <is>
          <t>VÄSTRA GÖTALANDS LÄN</t>
        </is>
      </c>
      <c r="E6764" t="inlineStr">
        <is>
          <t>ULRICEHAMN</t>
        </is>
      </c>
      <c r="G6764" t="n">
        <v>3.9</v>
      </c>
      <c r="H6764" t="n">
        <v>0</v>
      </c>
      <c r="I6764" t="n">
        <v>0</v>
      </c>
      <c r="J6764" t="n">
        <v>0</v>
      </c>
      <c r="K6764" t="n">
        <v>0</v>
      </c>
      <c r="L6764" t="n">
        <v>0</v>
      </c>
      <c r="M6764" t="n">
        <v>0</v>
      </c>
      <c r="N6764" t="n">
        <v>0</v>
      </c>
      <c r="O6764" t="n">
        <v>0</v>
      </c>
      <c r="P6764" t="n">
        <v>0</v>
      </c>
      <c r="Q6764" t="n">
        <v>0</v>
      </c>
      <c r="R6764" s="2" t="inlineStr"/>
    </row>
    <row r="6765" ht="15" customHeight="1">
      <c r="A6765" t="inlineStr">
        <is>
          <t>A 49825-2023</t>
        </is>
      </c>
      <c r="B6765" s="1" t="n">
        <v>45212</v>
      </c>
      <c r="C6765" s="1" t="n">
        <v>45952</v>
      </c>
      <c r="D6765" t="inlineStr">
        <is>
          <t>VÄSTRA GÖTALANDS LÄN</t>
        </is>
      </c>
      <c r="E6765" t="inlineStr">
        <is>
          <t>FÄRGELANDA</t>
        </is>
      </c>
      <c r="G6765" t="n">
        <v>4.7</v>
      </c>
      <c r="H6765" t="n">
        <v>0</v>
      </c>
      <c r="I6765" t="n">
        <v>0</v>
      </c>
      <c r="J6765" t="n">
        <v>0</v>
      </c>
      <c r="K6765" t="n">
        <v>0</v>
      </c>
      <c r="L6765" t="n">
        <v>0</v>
      </c>
      <c r="M6765" t="n">
        <v>0</v>
      </c>
      <c r="N6765" t="n">
        <v>0</v>
      </c>
      <c r="O6765" t="n">
        <v>0</v>
      </c>
      <c r="P6765" t="n">
        <v>0</v>
      </c>
      <c r="Q6765" t="n">
        <v>0</v>
      </c>
      <c r="R6765" s="2" t="inlineStr"/>
    </row>
    <row r="6766" ht="15" customHeight="1">
      <c r="A6766" t="inlineStr">
        <is>
          <t>A 35091-2024</t>
        </is>
      </c>
      <c r="B6766" s="1" t="n">
        <v>45527.79959490741</v>
      </c>
      <c r="C6766" s="1" t="n">
        <v>45952</v>
      </c>
      <c r="D6766" t="inlineStr">
        <is>
          <t>VÄSTRA GÖTALANDS LÄN</t>
        </is>
      </c>
      <c r="E6766" t="inlineStr">
        <is>
          <t>GRÄSTORP</t>
        </is>
      </c>
      <c r="G6766" t="n">
        <v>1.5</v>
      </c>
      <c r="H6766" t="n">
        <v>0</v>
      </c>
      <c r="I6766" t="n">
        <v>0</v>
      </c>
      <c r="J6766" t="n">
        <v>0</v>
      </c>
      <c r="K6766" t="n">
        <v>0</v>
      </c>
      <c r="L6766" t="n">
        <v>0</v>
      </c>
      <c r="M6766" t="n">
        <v>0</v>
      </c>
      <c r="N6766" t="n">
        <v>0</v>
      </c>
      <c r="O6766" t="n">
        <v>0</v>
      </c>
      <c r="P6766" t="n">
        <v>0</v>
      </c>
      <c r="Q6766" t="n">
        <v>0</v>
      </c>
      <c r="R6766" s="2" t="inlineStr"/>
    </row>
    <row r="6767" ht="15" customHeight="1">
      <c r="A6767" t="inlineStr">
        <is>
          <t>A 35255-2024</t>
        </is>
      </c>
      <c r="B6767" s="1" t="n">
        <v>45530</v>
      </c>
      <c r="C6767" s="1" t="n">
        <v>45952</v>
      </c>
      <c r="D6767" t="inlineStr">
        <is>
          <t>VÄSTRA GÖTALANDS LÄN</t>
        </is>
      </c>
      <c r="E6767" t="inlineStr">
        <is>
          <t>SVENLJUNGA</t>
        </is>
      </c>
      <c r="G6767" t="n">
        <v>0.8</v>
      </c>
      <c r="H6767" t="n">
        <v>0</v>
      </c>
      <c r="I6767" t="n">
        <v>0</v>
      </c>
      <c r="J6767" t="n">
        <v>0</v>
      </c>
      <c r="K6767" t="n">
        <v>0</v>
      </c>
      <c r="L6767" t="n">
        <v>0</v>
      </c>
      <c r="M6767" t="n">
        <v>0</v>
      </c>
      <c r="N6767" t="n">
        <v>0</v>
      </c>
      <c r="O6767" t="n">
        <v>0</v>
      </c>
      <c r="P6767" t="n">
        <v>0</v>
      </c>
      <c r="Q6767" t="n">
        <v>0</v>
      </c>
      <c r="R6767" s="2" t="inlineStr"/>
    </row>
    <row r="6768" ht="15" customHeight="1">
      <c r="A6768" t="inlineStr">
        <is>
          <t>A 20037-2025</t>
        </is>
      </c>
      <c r="B6768" s="1" t="n">
        <v>45772</v>
      </c>
      <c r="C6768" s="1" t="n">
        <v>45952</v>
      </c>
      <c r="D6768" t="inlineStr">
        <is>
          <t>VÄSTRA GÖTALANDS LÄN</t>
        </is>
      </c>
      <c r="E6768" t="inlineStr">
        <is>
          <t>LILLA EDET</t>
        </is>
      </c>
      <c r="G6768" t="n">
        <v>3.9</v>
      </c>
      <c r="H6768" t="n">
        <v>0</v>
      </c>
      <c r="I6768" t="n">
        <v>0</v>
      </c>
      <c r="J6768" t="n">
        <v>0</v>
      </c>
      <c r="K6768" t="n">
        <v>0</v>
      </c>
      <c r="L6768" t="n">
        <v>0</v>
      </c>
      <c r="M6768" t="n">
        <v>0</v>
      </c>
      <c r="N6768" t="n">
        <v>0</v>
      </c>
      <c r="O6768" t="n">
        <v>0</v>
      </c>
      <c r="P6768" t="n">
        <v>0</v>
      </c>
      <c r="Q6768" t="n">
        <v>0</v>
      </c>
      <c r="R6768" s="2" t="inlineStr"/>
    </row>
    <row r="6769" ht="15" customHeight="1">
      <c r="A6769" t="inlineStr">
        <is>
          <t>A 17678-2024</t>
        </is>
      </c>
      <c r="B6769" s="1" t="n">
        <v>45418.39914351852</v>
      </c>
      <c r="C6769" s="1" t="n">
        <v>45952</v>
      </c>
      <c r="D6769" t="inlineStr">
        <is>
          <t>VÄSTRA GÖTALANDS LÄN</t>
        </is>
      </c>
      <c r="E6769" t="inlineStr">
        <is>
          <t>MUNKEDAL</t>
        </is>
      </c>
      <c r="G6769" t="n">
        <v>1.4</v>
      </c>
      <c r="H6769" t="n">
        <v>0</v>
      </c>
      <c r="I6769" t="n">
        <v>0</v>
      </c>
      <c r="J6769" t="n">
        <v>0</v>
      </c>
      <c r="K6769" t="n">
        <v>0</v>
      </c>
      <c r="L6769" t="n">
        <v>0</v>
      </c>
      <c r="M6769" t="n">
        <v>0</v>
      </c>
      <c r="N6769" t="n">
        <v>0</v>
      </c>
      <c r="O6769" t="n">
        <v>0</v>
      </c>
      <c r="P6769" t="n">
        <v>0</v>
      </c>
      <c r="Q6769" t="n">
        <v>0</v>
      </c>
      <c r="R6769" s="2" t="inlineStr"/>
    </row>
    <row r="6770" ht="15" customHeight="1">
      <c r="A6770" t="inlineStr">
        <is>
          <t>A 65118-2023</t>
        </is>
      </c>
      <c r="B6770" s="1" t="n">
        <v>45288</v>
      </c>
      <c r="C6770" s="1" t="n">
        <v>45952</v>
      </c>
      <c r="D6770" t="inlineStr">
        <is>
          <t>VÄSTRA GÖTALANDS LÄN</t>
        </is>
      </c>
      <c r="E6770" t="inlineStr">
        <is>
          <t>BOLLEBYGD</t>
        </is>
      </c>
      <c r="G6770" t="n">
        <v>1.2</v>
      </c>
      <c r="H6770" t="n">
        <v>0</v>
      </c>
      <c r="I6770" t="n">
        <v>0</v>
      </c>
      <c r="J6770" t="n">
        <v>0</v>
      </c>
      <c r="K6770" t="n">
        <v>0</v>
      </c>
      <c r="L6770" t="n">
        <v>0</v>
      </c>
      <c r="M6770" t="n">
        <v>0</v>
      </c>
      <c r="N6770" t="n">
        <v>0</v>
      </c>
      <c r="O6770" t="n">
        <v>0</v>
      </c>
      <c r="P6770" t="n">
        <v>0</v>
      </c>
      <c r="Q6770" t="n">
        <v>0</v>
      </c>
      <c r="R6770" s="2" t="inlineStr"/>
    </row>
    <row r="6771" ht="15" customHeight="1">
      <c r="A6771" t="inlineStr">
        <is>
          <t>A 65121-2023</t>
        </is>
      </c>
      <c r="B6771" s="1" t="n">
        <v>45288</v>
      </c>
      <c r="C6771" s="1" t="n">
        <v>45952</v>
      </c>
      <c r="D6771" t="inlineStr">
        <is>
          <t>VÄSTRA GÖTALANDS LÄN</t>
        </is>
      </c>
      <c r="E6771" t="inlineStr">
        <is>
          <t>MARK</t>
        </is>
      </c>
      <c r="G6771" t="n">
        <v>6.8</v>
      </c>
      <c r="H6771" t="n">
        <v>0</v>
      </c>
      <c r="I6771" t="n">
        <v>0</v>
      </c>
      <c r="J6771" t="n">
        <v>0</v>
      </c>
      <c r="K6771" t="n">
        <v>0</v>
      </c>
      <c r="L6771" t="n">
        <v>0</v>
      </c>
      <c r="M6771" t="n">
        <v>0</v>
      </c>
      <c r="N6771" t="n">
        <v>0</v>
      </c>
      <c r="O6771" t="n">
        <v>0</v>
      </c>
      <c r="P6771" t="n">
        <v>0</v>
      </c>
      <c r="Q6771" t="n">
        <v>0</v>
      </c>
      <c r="R6771" s="2" t="inlineStr"/>
    </row>
    <row r="6772" ht="15" customHeight="1">
      <c r="A6772" t="inlineStr">
        <is>
          <t>A 53887-2021</t>
        </is>
      </c>
      <c r="B6772" s="1" t="n">
        <v>44469.68799768519</v>
      </c>
      <c r="C6772" s="1" t="n">
        <v>45952</v>
      </c>
      <c r="D6772" t="inlineStr">
        <is>
          <t>VÄSTRA GÖTALANDS LÄN</t>
        </is>
      </c>
      <c r="E6772" t="inlineStr">
        <is>
          <t>ALINGSÅS</t>
        </is>
      </c>
      <c r="G6772" t="n">
        <v>0.6</v>
      </c>
      <c r="H6772" t="n">
        <v>0</v>
      </c>
      <c r="I6772" t="n">
        <v>0</v>
      </c>
      <c r="J6772" t="n">
        <v>0</v>
      </c>
      <c r="K6772" t="n">
        <v>0</v>
      </c>
      <c r="L6772" t="n">
        <v>0</v>
      </c>
      <c r="M6772" t="n">
        <v>0</v>
      </c>
      <c r="N6772" t="n">
        <v>0</v>
      </c>
      <c r="O6772" t="n">
        <v>0</v>
      </c>
      <c r="P6772" t="n">
        <v>0</v>
      </c>
      <c r="Q6772" t="n">
        <v>0</v>
      </c>
      <c r="R6772" s="2" t="inlineStr"/>
    </row>
    <row r="6773" ht="15" customHeight="1">
      <c r="A6773" t="inlineStr">
        <is>
          <t>A 5023-2023</t>
        </is>
      </c>
      <c r="B6773" s="1" t="n">
        <v>44958.55733796296</v>
      </c>
      <c r="C6773" s="1" t="n">
        <v>45952</v>
      </c>
      <c r="D6773" t="inlineStr">
        <is>
          <t>VÄSTRA GÖTALANDS LÄN</t>
        </is>
      </c>
      <c r="E6773" t="inlineStr">
        <is>
          <t>TRANEMO</t>
        </is>
      </c>
      <c r="G6773" t="n">
        <v>0.7</v>
      </c>
      <c r="H6773" t="n">
        <v>0</v>
      </c>
      <c r="I6773" t="n">
        <v>0</v>
      </c>
      <c r="J6773" t="n">
        <v>0</v>
      </c>
      <c r="K6773" t="n">
        <v>0</v>
      </c>
      <c r="L6773" t="n">
        <v>0</v>
      </c>
      <c r="M6773" t="n">
        <v>0</v>
      </c>
      <c r="N6773" t="n">
        <v>0</v>
      </c>
      <c r="O6773" t="n">
        <v>0</v>
      </c>
      <c r="P6773" t="n">
        <v>0</v>
      </c>
      <c r="Q6773" t="n">
        <v>0</v>
      </c>
      <c r="R6773" s="2" t="inlineStr"/>
    </row>
    <row r="6774" ht="15" customHeight="1">
      <c r="A6774" t="inlineStr">
        <is>
          <t>A 47511-2024</t>
        </is>
      </c>
      <c r="B6774" s="1" t="n">
        <v>45587.61174768519</v>
      </c>
      <c r="C6774" s="1" t="n">
        <v>45952</v>
      </c>
      <c r="D6774" t="inlineStr">
        <is>
          <t>VÄSTRA GÖTALANDS LÄN</t>
        </is>
      </c>
      <c r="E6774" t="inlineStr">
        <is>
          <t>LILLA EDET</t>
        </is>
      </c>
      <c r="G6774" t="n">
        <v>1.3</v>
      </c>
      <c r="H6774" t="n">
        <v>0</v>
      </c>
      <c r="I6774" t="n">
        <v>0</v>
      </c>
      <c r="J6774" t="n">
        <v>0</v>
      </c>
      <c r="K6774" t="n">
        <v>0</v>
      </c>
      <c r="L6774" t="n">
        <v>0</v>
      </c>
      <c r="M6774" t="n">
        <v>0</v>
      </c>
      <c r="N6774" t="n">
        <v>0</v>
      </c>
      <c r="O6774" t="n">
        <v>0</v>
      </c>
      <c r="P6774" t="n">
        <v>0</v>
      </c>
      <c r="Q6774" t="n">
        <v>0</v>
      </c>
      <c r="R6774" s="2" t="inlineStr"/>
    </row>
    <row r="6775" ht="15" customHeight="1">
      <c r="A6775" t="inlineStr">
        <is>
          <t>A 44133-2024</t>
        </is>
      </c>
      <c r="B6775" s="1" t="n">
        <v>45572.65665509259</v>
      </c>
      <c r="C6775" s="1" t="n">
        <v>45952</v>
      </c>
      <c r="D6775" t="inlineStr">
        <is>
          <t>VÄSTRA GÖTALANDS LÄN</t>
        </is>
      </c>
      <c r="E6775" t="inlineStr">
        <is>
          <t>UDDEVALLA</t>
        </is>
      </c>
      <c r="G6775" t="n">
        <v>4.4</v>
      </c>
      <c r="H6775" t="n">
        <v>0</v>
      </c>
      <c r="I6775" t="n">
        <v>0</v>
      </c>
      <c r="J6775" t="n">
        <v>0</v>
      </c>
      <c r="K6775" t="n">
        <v>0</v>
      </c>
      <c r="L6775" t="n">
        <v>0</v>
      </c>
      <c r="M6775" t="n">
        <v>0</v>
      </c>
      <c r="N6775" t="n">
        <v>0</v>
      </c>
      <c r="O6775" t="n">
        <v>0</v>
      </c>
      <c r="P6775" t="n">
        <v>0</v>
      </c>
      <c r="Q6775" t="n">
        <v>0</v>
      </c>
      <c r="R6775" s="2" t="inlineStr"/>
    </row>
    <row r="6776" ht="15" customHeight="1">
      <c r="A6776" t="inlineStr">
        <is>
          <t>A 16927-2021</t>
        </is>
      </c>
      <c r="B6776" s="1" t="n">
        <v>44295.51916666667</v>
      </c>
      <c r="C6776" s="1" t="n">
        <v>45952</v>
      </c>
      <c r="D6776" t="inlineStr">
        <is>
          <t>VÄSTRA GÖTALANDS LÄN</t>
        </is>
      </c>
      <c r="E6776" t="inlineStr">
        <is>
          <t>HERRLJUNGA</t>
        </is>
      </c>
      <c r="G6776" t="n">
        <v>2.1</v>
      </c>
      <c r="H6776" t="n">
        <v>0</v>
      </c>
      <c r="I6776" t="n">
        <v>0</v>
      </c>
      <c r="J6776" t="n">
        <v>0</v>
      </c>
      <c r="K6776" t="n">
        <v>0</v>
      </c>
      <c r="L6776" t="n">
        <v>0</v>
      </c>
      <c r="M6776" t="n">
        <v>0</v>
      </c>
      <c r="N6776" t="n">
        <v>0</v>
      </c>
      <c r="O6776" t="n">
        <v>0</v>
      </c>
      <c r="P6776" t="n">
        <v>0</v>
      </c>
      <c r="Q6776" t="n">
        <v>0</v>
      </c>
      <c r="R6776" s="2" t="inlineStr"/>
    </row>
    <row r="6777" ht="15" customHeight="1">
      <c r="A6777" t="inlineStr">
        <is>
          <t>A 516-2024</t>
        </is>
      </c>
      <c r="B6777" s="1" t="n">
        <v>45299.41960648148</v>
      </c>
      <c r="C6777" s="1" t="n">
        <v>45952</v>
      </c>
      <c r="D6777" t="inlineStr">
        <is>
          <t>VÄSTRA GÖTALANDS LÄN</t>
        </is>
      </c>
      <c r="E6777" t="inlineStr">
        <is>
          <t>SKARA</t>
        </is>
      </c>
      <c r="G6777" t="n">
        <v>0.5</v>
      </c>
      <c r="H6777" t="n">
        <v>0</v>
      </c>
      <c r="I6777" t="n">
        <v>0</v>
      </c>
      <c r="J6777" t="n">
        <v>0</v>
      </c>
      <c r="K6777" t="n">
        <v>0</v>
      </c>
      <c r="L6777" t="n">
        <v>0</v>
      </c>
      <c r="M6777" t="n">
        <v>0</v>
      </c>
      <c r="N6777" t="n">
        <v>0</v>
      </c>
      <c r="O6777" t="n">
        <v>0</v>
      </c>
      <c r="P6777" t="n">
        <v>0</v>
      </c>
      <c r="Q6777" t="n">
        <v>0</v>
      </c>
      <c r="R6777" s="2" t="inlineStr"/>
    </row>
    <row r="6778" ht="15" customHeight="1">
      <c r="A6778" t="inlineStr">
        <is>
          <t>A 59857-2024</t>
        </is>
      </c>
      <c r="B6778" s="1" t="n">
        <v>45639.71925925926</v>
      </c>
      <c r="C6778" s="1" t="n">
        <v>45952</v>
      </c>
      <c r="D6778" t="inlineStr">
        <is>
          <t>VÄSTRA GÖTALANDS LÄN</t>
        </is>
      </c>
      <c r="E6778" t="inlineStr">
        <is>
          <t>MARIESTAD</t>
        </is>
      </c>
      <c r="G6778" t="n">
        <v>0.6</v>
      </c>
      <c r="H6778" t="n">
        <v>0</v>
      </c>
      <c r="I6778" t="n">
        <v>0</v>
      </c>
      <c r="J6778" t="n">
        <v>0</v>
      </c>
      <c r="K6778" t="n">
        <v>0</v>
      </c>
      <c r="L6778" t="n">
        <v>0</v>
      </c>
      <c r="M6778" t="n">
        <v>0</v>
      </c>
      <c r="N6778" t="n">
        <v>0</v>
      </c>
      <c r="O6778" t="n">
        <v>0</v>
      </c>
      <c r="P6778" t="n">
        <v>0</v>
      </c>
      <c r="Q6778" t="n">
        <v>0</v>
      </c>
      <c r="R6778" s="2" t="inlineStr"/>
    </row>
    <row r="6779" ht="15" customHeight="1">
      <c r="A6779" t="inlineStr">
        <is>
          <t>A 6320-2025</t>
        </is>
      </c>
      <c r="B6779" s="1" t="n">
        <v>45698.81115740741</v>
      </c>
      <c r="C6779" s="1" t="n">
        <v>45952</v>
      </c>
      <c r="D6779" t="inlineStr">
        <is>
          <t>VÄSTRA GÖTALANDS LÄN</t>
        </is>
      </c>
      <c r="E6779" t="inlineStr">
        <is>
          <t>ULRICEHAMN</t>
        </is>
      </c>
      <c r="G6779" t="n">
        <v>1.1</v>
      </c>
      <c r="H6779" t="n">
        <v>0</v>
      </c>
      <c r="I6779" t="n">
        <v>0</v>
      </c>
      <c r="J6779" t="n">
        <v>0</v>
      </c>
      <c r="K6779" t="n">
        <v>0</v>
      </c>
      <c r="L6779" t="n">
        <v>0</v>
      </c>
      <c r="M6779" t="n">
        <v>0</v>
      </c>
      <c r="N6779" t="n">
        <v>0</v>
      </c>
      <c r="O6779" t="n">
        <v>0</v>
      </c>
      <c r="P6779" t="n">
        <v>0</v>
      </c>
      <c r="Q6779" t="n">
        <v>0</v>
      </c>
      <c r="R6779" s="2" t="inlineStr"/>
    </row>
    <row r="6780" ht="15" customHeight="1">
      <c r="A6780" t="inlineStr">
        <is>
          <t>A 6232-2024</t>
        </is>
      </c>
      <c r="B6780" s="1" t="n">
        <v>45337</v>
      </c>
      <c r="C6780" s="1" t="n">
        <v>45952</v>
      </c>
      <c r="D6780" t="inlineStr">
        <is>
          <t>VÄSTRA GÖTALANDS LÄN</t>
        </is>
      </c>
      <c r="E6780" t="inlineStr">
        <is>
          <t>GULLSPÅNG</t>
        </is>
      </c>
      <c r="G6780" t="n">
        <v>1.1</v>
      </c>
      <c r="H6780" t="n">
        <v>0</v>
      </c>
      <c r="I6780" t="n">
        <v>0</v>
      </c>
      <c r="J6780" t="n">
        <v>0</v>
      </c>
      <c r="K6780" t="n">
        <v>0</v>
      </c>
      <c r="L6780" t="n">
        <v>0</v>
      </c>
      <c r="M6780" t="n">
        <v>0</v>
      </c>
      <c r="N6780" t="n">
        <v>0</v>
      </c>
      <c r="O6780" t="n">
        <v>0</v>
      </c>
      <c r="P6780" t="n">
        <v>0</v>
      </c>
      <c r="Q6780" t="n">
        <v>0</v>
      </c>
      <c r="R6780" s="2" t="inlineStr"/>
    </row>
    <row r="6781" ht="15" customHeight="1">
      <c r="A6781" t="inlineStr">
        <is>
          <t>A 4300-2025</t>
        </is>
      </c>
      <c r="B6781" s="1" t="n">
        <v>45685</v>
      </c>
      <c r="C6781" s="1" t="n">
        <v>45952</v>
      </c>
      <c r="D6781" t="inlineStr">
        <is>
          <t>VÄSTRA GÖTALANDS LÄN</t>
        </is>
      </c>
      <c r="E6781" t="inlineStr">
        <is>
          <t>TÖREBODA</t>
        </is>
      </c>
      <c r="G6781" t="n">
        <v>0.4</v>
      </c>
      <c r="H6781" t="n">
        <v>0</v>
      </c>
      <c r="I6781" t="n">
        <v>0</v>
      </c>
      <c r="J6781" t="n">
        <v>0</v>
      </c>
      <c r="K6781" t="n">
        <v>0</v>
      </c>
      <c r="L6781" t="n">
        <v>0</v>
      </c>
      <c r="M6781" t="n">
        <v>0</v>
      </c>
      <c r="N6781" t="n">
        <v>0</v>
      </c>
      <c r="O6781" t="n">
        <v>0</v>
      </c>
      <c r="P6781" t="n">
        <v>0</v>
      </c>
      <c r="Q6781" t="n">
        <v>0</v>
      </c>
      <c r="R6781" s="2" t="inlineStr"/>
    </row>
    <row r="6782" ht="15" customHeight="1">
      <c r="A6782" t="inlineStr">
        <is>
          <t>A 4301-2025</t>
        </is>
      </c>
      <c r="B6782" s="1" t="n">
        <v>45685</v>
      </c>
      <c r="C6782" s="1" t="n">
        <v>45952</v>
      </c>
      <c r="D6782" t="inlineStr">
        <is>
          <t>VÄSTRA GÖTALANDS LÄN</t>
        </is>
      </c>
      <c r="E6782" t="inlineStr">
        <is>
          <t>FALKÖPING</t>
        </is>
      </c>
      <c r="G6782" t="n">
        <v>2.8</v>
      </c>
      <c r="H6782" t="n">
        <v>0</v>
      </c>
      <c r="I6782" t="n">
        <v>0</v>
      </c>
      <c r="J6782" t="n">
        <v>0</v>
      </c>
      <c r="K6782" t="n">
        <v>0</v>
      </c>
      <c r="L6782" t="n">
        <v>0</v>
      </c>
      <c r="M6782" t="n">
        <v>0</v>
      </c>
      <c r="N6782" t="n">
        <v>0</v>
      </c>
      <c r="O6782" t="n">
        <v>0</v>
      </c>
      <c r="P6782" t="n">
        <v>0</v>
      </c>
      <c r="Q6782" t="n">
        <v>0</v>
      </c>
      <c r="R6782" s="2" t="inlineStr"/>
    </row>
    <row r="6783" ht="15" customHeight="1">
      <c r="A6783" t="inlineStr">
        <is>
          <t>A 40931-2024</t>
        </is>
      </c>
      <c r="B6783" s="1" t="n">
        <v>45558.64050925926</v>
      </c>
      <c r="C6783" s="1" t="n">
        <v>45952</v>
      </c>
      <c r="D6783" t="inlineStr">
        <is>
          <t>VÄSTRA GÖTALANDS LÄN</t>
        </is>
      </c>
      <c r="E6783" t="inlineStr">
        <is>
          <t>TRANEMO</t>
        </is>
      </c>
      <c r="G6783" t="n">
        <v>2.9</v>
      </c>
      <c r="H6783" t="n">
        <v>0</v>
      </c>
      <c r="I6783" t="n">
        <v>0</v>
      </c>
      <c r="J6783" t="n">
        <v>0</v>
      </c>
      <c r="K6783" t="n">
        <v>0</v>
      </c>
      <c r="L6783" t="n">
        <v>0</v>
      </c>
      <c r="M6783" t="n">
        <v>0</v>
      </c>
      <c r="N6783" t="n">
        <v>0</v>
      </c>
      <c r="O6783" t="n">
        <v>0</v>
      </c>
      <c r="P6783" t="n">
        <v>0</v>
      </c>
      <c r="Q6783" t="n">
        <v>0</v>
      </c>
      <c r="R6783" s="2" t="inlineStr"/>
    </row>
    <row r="6784" ht="15" customHeight="1">
      <c r="A6784" t="inlineStr">
        <is>
          <t>A 134-2022</t>
        </is>
      </c>
      <c r="B6784" s="1" t="n">
        <v>44564</v>
      </c>
      <c r="C6784" s="1" t="n">
        <v>45952</v>
      </c>
      <c r="D6784" t="inlineStr">
        <is>
          <t>VÄSTRA GÖTALANDS LÄN</t>
        </is>
      </c>
      <c r="E6784" t="inlineStr">
        <is>
          <t>SVENLJUNGA</t>
        </is>
      </c>
      <c r="G6784" t="n">
        <v>8.199999999999999</v>
      </c>
      <c r="H6784" t="n">
        <v>0</v>
      </c>
      <c r="I6784" t="n">
        <v>0</v>
      </c>
      <c r="J6784" t="n">
        <v>0</v>
      </c>
      <c r="K6784" t="n">
        <v>0</v>
      </c>
      <c r="L6784" t="n">
        <v>0</v>
      </c>
      <c r="M6784" t="n">
        <v>0</v>
      </c>
      <c r="N6784" t="n">
        <v>0</v>
      </c>
      <c r="O6784" t="n">
        <v>0</v>
      </c>
      <c r="P6784" t="n">
        <v>0</v>
      </c>
      <c r="Q6784" t="n">
        <v>0</v>
      </c>
      <c r="R6784" s="2" t="inlineStr"/>
    </row>
    <row r="6785" ht="15" customHeight="1">
      <c r="A6785" t="inlineStr">
        <is>
          <t>A 10457-2023</t>
        </is>
      </c>
      <c r="B6785" s="1" t="n">
        <v>44987</v>
      </c>
      <c r="C6785" s="1" t="n">
        <v>45952</v>
      </c>
      <c r="D6785" t="inlineStr">
        <is>
          <t>VÄSTRA GÖTALANDS LÄN</t>
        </is>
      </c>
      <c r="E6785" t="inlineStr">
        <is>
          <t>STRÖMSTAD</t>
        </is>
      </c>
      <c r="G6785" t="n">
        <v>6.6</v>
      </c>
      <c r="H6785" t="n">
        <v>0</v>
      </c>
      <c r="I6785" t="n">
        <v>0</v>
      </c>
      <c r="J6785" t="n">
        <v>0</v>
      </c>
      <c r="K6785" t="n">
        <v>0</v>
      </c>
      <c r="L6785" t="n">
        <v>0</v>
      </c>
      <c r="M6785" t="n">
        <v>0</v>
      </c>
      <c r="N6785" t="n">
        <v>0</v>
      </c>
      <c r="O6785" t="n">
        <v>0</v>
      </c>
      <c r="P6785" t="n">
        <v>0</v>
      </c>
      <c r="Q6785" t="n">
        <v>0</v>
      </c>
      <c r="R6785" s="2" t="inlineStr"/>
    </row>
    <row r="6786" ht="15" customHeight="1">
      <c r="A6786" t="inlineStr">
        <is>
          <t>A 48888-2023</t>
        </is>
      </c>
      <c r="B6786" s="1" t="n">
        <v>45209</v>
      </c>
      <c r="C6786" s="1" t="n">
        <v>45952</v>
      </c>
      <c r="D6786" t="inlineStr">
        <is>
          <t>VÄSTRA GÖTALANDS LÄN</t>
        </is>
      </c>
      <c r="E6786" t="inlineStr">
        <is>
          <t>KARLSBORG</t>
        </is>
      </c>
      <c r="G6786" t="n">
        <v>0.2</v>
      </c>
      <c r="H6786" t="n">
        <v>0</v>
      </c>
      <c r="I6786" t="n">
        <v>0</v>
      </c>
      <c r="J6786" t="n">
        <v>0</v>
      </c>
      <c r="K6786" t="n">
        <v>0</v>
      </c>
      <c r="L6786" t="n">
        <v>0</v>
      </c>
      <c r="M6786" t="n">
        <v>0</v>
      </c>
      <c r="N6786" t="n">
        <v>0</v>
      </c>
      <c r="O6786" t="n">
        <v>0</v>
      </c>
      <c r="P6786" t="n">
        <v>0</v>
      </c>
      <c r="Q6786" t="n">
        <v>0</v>
      </c>
      <c r="R6786" s="2" t="inlineStr"/>
    </row>
    <row r="6787" ht="15" customHeight="1">
      <c r="A6787" t="inlineStr">
        <is>
          <t>A 48895-2023</t>
        </is>
      </c>
      <c r="B6787" s="1" t="n">
        <v>45209.49538194444</v>
      </c>
      <c r="C6787" s="1" t="n">
        <v>45952</v>
      </c>
      <c r="D6787" t="inlineStr">
        <is>
          <t>VÄSTRA GÖTALANDS LÄN</t>
        </is>
      </c>
      <c r="E6787" t="inlineStr">
        <is>
          <t>STENUNGSUND</t>
        </is>
      </c>
      <c r="G6787" t="n">
        <v>3.1</v>
      </c>
      <c r="H6787" t="n">
        <v>0</v>
      </c>
      <c r="I6787" t="n">
        <v>0</v>
      </c>
      <c r="J6787" t="n">
        <v>0</v>
      </c>
      <c r="K6787" t="n">
        <v>0</v>
      </c>
      <c r="L6787" t="n">
        <v>0</v>
      </c>
      <c r="M6787" t="n">
        <v>0</v>
      </c>
      <c r="N6787" t="n">
        <v>0</v>
      </c>
      <c r="O6787" t="n">
        <v>0</v>
      </c>
      <c r="P6787" t="n">
        <v>0</v>
      </c>
      <c r="Q6787" t="n">
        <v>0</v>
      </c>
      <c r="R6787" s="2" t="inlineStr"/>
    </row>
    <row r="6788" ht="15" customHeight="1">
      <c r="A6788" t="inlineStr">
        <is>
          <t>A 19171-2024</t>
        </is>
      </c>
      <c r="B6788" s="1" t="n">
        <v>45428.46391203703</v>
      </c>
      <c r="C6788" s="1" t="n">
        <v>45952</v>
      </c>
      <c r="D6788" t="inlineStr">
        <is>
          <t>VÄSTRA GÖTALANDS LÄN</t>
        </is>
      </c>
      <c r="E6788" t="inlineStr">
        <is>
          <t>DALS-ED</t>
        </is>
      </c>
      <c r="G6788" t="n">
        <v>0.5</v>
      </c>
      <c r="H6788" t="n">
        <v>0</v>
      </c>
      <c r="I6788" t="n">
        <v>0</v>
      </c>
      <c r="J6788" t="n">
        <v>0</v>
      </c>
      <c r="K6788" t="n">
        <v>0</v>
      </c>
      <c r="L6788" t="n">
        <v>0</v>
      </c>
      <c r="M6788" t="n">
        <v>0</v>
      </c>
      <c r="N6788" t="n">
        <v>0</v>
      </c>
      <c r="O6788" t="n">
        <v>0</v>
      </c>
      <c r="P6788" t="n">
        <v>0</v>
      </c>
      <c r="Q6788" t="n">
        <v>0</v>
      </c>
      <c r="R6788" s="2" t="inlineStr"/>
    </row>
    <row r="6789" ht="15" customHeight="1">
      <c r="A6789" t="inlineStr">
        <is>
          <t>A 5056-2023</t>
        </is>
      </c>
      <c r="B6789" s="1" t="n">
        <v>44958</v>
      </c>
      <c r="C6789" s="1" t="n">
        <v>45952</v>
      </c>
      <c r="D6789" t="inlineStr">
        <is>
          <t>VÄSTRA GÖTALANDS LÄN</t>
        </is>
      </c>
      <c r="E6789" t="inlineStr">
        <is>
          <t>TRANEMO</t>
        </is>
      </c>
      <c r="G6789" t="n">
        <v>0.8</v>
      </c>
      <c r="H6789" t="n">
        <v>0</v>
      </c>
      <c r="I6789" t="n">
        <v>0</v>
      </c>
      <c r="J6789" t="n">
        <v>0</v>
      </c>
      <c r="K6789" t="n">
        <v>0</v>
      </c>
      <c r="L6789" t="n">
        <v>0</v>
      </c>
      <c r="M6789" t="n">
        <v>0</v>
      </c>
      <c r="N6789" t="n">
        <v>0</v>
      </c>
      <c r="O6789" t="n">
        <v>0</v>
      </c>
      <c r="P6789" t="n">
        <v>0</v>
      </c>
      <c r="Q6789" t="n">
        <v>0</v>
      </c>
      <c r="R6789" s="2" t="inlineStr"/>
    </row>
    <row r="6790" ht="15" customHeight="1">
      <c r="A6790" t="inlineStr">
        <is>
          <t>A 26521-2024</t>
        </is>
      </c>
      <c r="B6790" s="1" t="n">
        <v>45469.60047453704</v>
      </c>
      <c r="C6790" s="1" t="n">
        <v>45952</v>
      </c>
      <c r="D6790" t="inlineStr">
        <is>
          <t>VÄSTRA GÖTALANDS LÄN</t>
        </is>
      </c>
      <c r="E6790" t="inlineStr">
        <is>
          <t>TIDAHOLM</t>
        </is>
      </c>
      <c r="F6790" t="inlineStr">
        <is>
          <t>Sveaskog</t>
        </is>
      </c>
      <c r="G6790" t="n">
        <v>5.4</v>
      </c>
      <c r="H6790" t="n">
        <v>0</v>
      </c>
      <c r="I6790" t="n">
        <v>0</v>
      </c>
      <c r="J6790" t="n">
        <v>0</v>
      </c>
      <c r="K6790" t="n">
        <v>0</v>
      </c>
      <c r="L6790" t="n">
        <v>0</v>
      </c>
      <c r="M6790" t="n">
        <v>0</v>
      </c>
      <c r="N6790" t="n">
        <v>0</v>
      </c>
      <c r="O6790" t="n">
        <v>0</v>
      </c>
      <c r="P6790" t="n">
        <v>0</v>
      </c>
      <c r="Q6790" t="n">
        <v>0</v>
      </c>
      <c r="R6790" s="2" t="inlineStr"/>
    </row>
    <row r="6791" ht="15" customHeight="1">
      <c r="A6791" t="inlineStr">
        <is>
          <t>A 26525-2024</t>
        </is>
      </c>
      <c r="B6791" s="1" t="n">
        <v>45469.6058449074</v>
      </c>
      <c r="C6791" s="1" t="n">
        <v>45952</v>
      </c>
      <c r="D6791" t="inlineStr">
        <is>
          <t>VÄSTRA GÖTALANDS LÄN</t>
        </is>
      </c>
      <c r="E6791" t="inlineStr">
        <is>
          <t>TIDAHOLM</t>
        </is>
      </c>
      <c r="F6791" t="inlineStr">
        <is>
          <t>Sveaskog</t>
        </is>
      </c>
      <c r="G6791" t="n">
        <v>2</v>
      </c>
      <c r="H6791" t="n">
        <v>0</v>
      </c>
      <c r="I6791" t="n">
        <v>0</v>
      </c>
      <c r="J6791" t="n">
        <v>0</v>
      </c>
      <c r="K6791" t="n">
        <v>0</v>
      </c>
      <c r="L6791" t="n">
        <v>0</v>
      </c>
      <c r="M6791" t="n">
        <v>0</v>
      </c>
      <c r="N6791" t="n">
        <v>0</v>
      </c>
      <c r="O6791" t="n">
        <v>0</v>
      </c>
      <c r="P6791" t="n">
        <v>0</v>
      </c>
      <c r="Q6791" t="n">
        <v>0</v>
      </c>
      <c r="R6791" s="2" t="inlineStr"/>
    </row>
    <row r="6792" ht="15" customHeight="1">
      <c r="A6792" t="inlineStr">
        <is>
          <t>A 26532-2024</t>
        </is>
      </c>
      <c r="B6792" s="1" t="n">
        <v>45469.61131944445</v>
      </c>
      <c r="C6792" s="1" t="n">
        <v>45952</v>
      </c>
      <c r="D6792" t="inlineStr">
        <is>
          <t>VÄSTRA GÖTALANDS LÄN</t>
        </is>
      </c>
      <c r="E6792" t="inlineStr">
        <is>
          <t>TIDAHOLM</t>
        </is>
      </c>
      <c r="F6792" t="inlineStr">
        <is>
          <t>Sveaskog</t>
        </is>
      </c>
      <c r="G6792" t="n">
        <v>3</v>
      </c>
      <c r="H6792" t="n">
        <v>0</v>
      </c>
      <c r="I6792" t="n">
        <v>0</v>
      </c>
      <c r="J6792" t="n">
        <v>0</v>
      </c>
      <c r="K6792" t="n">
        <v>0</v>
      </c>
      <c r="L6792" t="n">
        <v>0</v>
      </c>
      <c r="M6792" t="n">
        <v>0</v>
      </c>
      <c r="N6792" t="n">
        <v>0</v>
      </c>
      <c r="O6792" t="n">
        <v>0</v>
      </c>
      <c r="P6792" t="n">
        <v>0</v>
      </c>
      <c r="Q6792" t="n">
        <v>0</v>
      </c>
      <c r="R6792" s="2" t="inlineStr"/>
    </row>
    <row r="6793" ht="15" customHeight="1">
      <c r="A6793" t="inlineStr">
        <is>
          <t>A 26538-2024</t>
        </is>
      </c>
      <c r="B6793" s="1" t="n">
        <v>45469</v>
      </c>
      <c r="C6793" s="1" t="n">
        <v>45952</v>
      </c>
      <c r="D6793" t="inlineStr">
        <is>
          <t>VÄSTRA GÖTALANDS LÄN</t>
        </is>
      </c>
      <c r="E6793" t="inlineStr">
        <is>
          <t>TIDAHOLM</t>
        </is>
      </c>
      <c r="F6793" t="inlineStr">
        <is>
          <t>Sveaskog</t>
        </is>
      </c>
      <c r="G6793" t="n">
        <v>0.6</v>
      </c>
      <c r="H6793" t="n">
        <v>0</v>
      </c>
      <c r="I6793" t="n">
        <v>0</v>
      </c>
      <c r="J6793" t="n">
        <v>0</v>
      </c>
      <c r="K6793" t="n">
        <v>0</v>
      </c>
      <c r="L6793" t="n">
        <v>0</v>
      </c>
      <c r="M6793" t="n">
        <v>0</v>
      </c>
      <c r="N6793" t="n">
        <v>0</v>
      </c>
      <c r="O6793" t="n">
        <v>0</v>
      </c>
      <c r="P6793" t="n">
        <v>0</v>
      </c>
      <c r="Q6793" t="n">
        <v>0</v>
      </c>
      <c r="R6793" s="2" t="inlineStr"/>
    </row>
    <row r="6794" ht="15" customHeight="1">
      <c r="A6794" t="inlineStr">
        <is>
          <t>A 2872-2023</t>
        </is>
      </c>
      <c r="B6794" s="1" t="n">
        <v>44945.44319444444</v>
      </c>
      <c r="C6794" s="1" t="n">
        <v>45952</v>
      </c>
      <c r="D6794" t="inlineStr">
        <is>
          <t>VÄSTRA GÖTALANDS LÄN</t>
        </is>
      </c>
      <c r="E6794" t="inlineStr">
        <is>
          <t>LIDKÖPING</t>
        </is>
      </c>
      <c r="G6794" t="n">
        <v>0.5</v>
      </c>
      <c r="H6794" t="n">
        <v>0</v>
      </c>
      <c r="I6794" t="n">
        <v>0</v>
      </c>
      <c r="J6794" t="n">
        <v>0</v>
      </c>
      <c r="K6794" t="n">
        <v>0</v>
      </c>
      <c r="L6794" t="n">
        <v>0</v>
      </c>
      <c r="M6794" t="n">
        <v>0</v>
      </c>
      <c r="N6794" t="n">
        <v>0</v>
      </c>
      <c r="O6794" t="n">
        <v>0</v>
      </c>
      <c r="P6794" t="n">
        <v>0</v>
      </c>
      <c r="Q6794" t="n">
        <v>0</v>
      </c>
      <c r="R6794" s="2" t="inlineStr"/>
    </row>
    <row r="6795" ht="15" customHeight="1">
      <c r="A6795" t="inlineStr">
        <is>
          <t>A 68631-2021</t>
        </is>
      </c>
      <c r="B6795" s="1" t="n">
        <v>44529</v>
      </c>
      <c r="C6795" s="1" t="n">
        <v>45952</v>
      </c>
      <c r="D6795" t="inlineStr">
        <is>
          <t>VÄSTRA GÖTALANDS LÄN</t>
        </is>
      </c>
      <c r="E6795" t="inlineStr">
        <is>
          <t>TIDAHOLM</t>
        </is>
      </c>
      <c r="G6795" t="n">
        <v>0.9</v>
      </c>
      <c r="H6795" t="n">
        <v>0</v>
      </c>
      <c r="I6795" t="n">
        <v>0</v>
      </c>
      <c r="J6795" t="n">
        <v>0</v>
      </c>
      <c r="K6795" t="n">
        <v>0</v>
      </c>
      <c r="L6795" t="n">
        <v>0</v>
      </c>
      <c r="M6795" t="n">
        <v>0</v>
      </c>
      <c r="N6795" t="n">
        <v>0</v>
      </c>
      <c r="O6795" t="n">
        <v>0</v>
      </c>
      <c r="P6795" t="n">
        <v>0</v>
      </c>
      <c r="Q6795" t="n">
        <v>0</v>
      </c>
      <c r="R6795" s="2" t="inlineStr"/>
    </row>
    <row r="6796" ht="15" customHeight="1">
      <c r="A6796" t="inlineStr">
        <is>
          <t>A 2233-2022</t>
        </is>
      </c>
      <c r="B6796" s="1" t="n">
        <v>44578.57564814815</v>
      </c>
      <c r="C6796" s="1" t="n">
        <v>45952</v>
      </c>
      <c r="D6796" t="inlineStr">
        <is>
          <t>VÄSTRA GÖTALANDS LÄN</t>
        </is>
      </c>
      <c r="E6796" t="inlineStr">
        <is>
          <t>TRANEMO</t>
        </is>
      </c>
      <c r="G6796" t="n">
        <v>1.2</v>
      </c>
      <c r="H6796" t="n">
        <v>0</v>
      </c>
      <c r="I6796" t="n">
        <v>0</v>
      </c>
      <c r="J6796" t="n">
        <v>0</v>
      </c>
      <c r="K6796" t="n">
        <v>0</v>
      </c>
      <c r="L6796" t="n">
        <v>0</v>
      </c>
      <c r="M6796" t="n">
        <v>0</v>
      </c>
      <c r="N6796" t="n">
        <v>0</v>
      </c>
      <c r="O6796" t="n">
        <v>0</v>
      </c>
      <c r="P6796" t="n">
        <v>0</v>
      </c>
      <c r="Q6796" t="n">
        <v>0</v>
      </c>
      <c r="R6796" s="2" t="inlineStr"/>
    </row>
    <row r="6797" ht="15" customHeight="1">
      <c r="A6797" t="inlineStr">
        <is>
          <t>A 60158-2024</t>
        </is>
      </c>
      <c r="B6797" s="1" t="n">
        <v>45642.62672453704</v>
      </c>
      <c r="C6797" s="1" t="n">
        <v>45952</v>
      </c>
      <c r="D6797" t="inlineStr">
        <is>
          <t>VÄSTRA GÖTALANDS LÄN</t>
        </is>
      </c>
      <c r="E6797" t="inlineStr">
        <is>
          <t>STENUNGSUND</t>
        </is>
      </c>
      <c r="G6797" t="n">
        <v>4.4</v>
      </c>
      <c r="H6797" t="n">
        <v>0</v>
      </c>
      <c r="I6797" t="n">
        <v>0</v>
      </c>
      <c r="J6797" t="n">
        <v>0</v>
      </c>
      <c r="K6797" t="n">
        <v>0</v>
      </c>
      <c r="L6797" t="n">
        <v>0</v>
      </c>
      <c r="M6797" t="n">
        <v>0</v>
      </c>
      <c r="N6797" t="n">
        <v>0</v>
      </c>
      <c r="O6797" t="n">
        <v>0</v>
      </c>
      <c r="P6797" t="n">
        <v>0</v>
      </c>
      <c r="Q6797" t="n">
        <v>0</v>
      </c>
      <c r="R6797" s="2" t="inlineStr"/>
    </row>
    <row r="6798" ht="15" customHeight="1">
      <c r="A6798" t="inlineStr">
        <is>
          <t>A 20172-2025</t>
        </is>
      </c>
      <c r="B6798" s="1" t="n">
        <v>45772.57979166666</v>
      </c>
      <c r="C6798" s="1" t="n">
        <v>45952</v>
      </c>
      <c r="D6798" t="inlineStr">
        <is>
          <t>VÄSTRA GÖTALANDS LÄN</t>
        </is>
      </c>
      <c r="E6798" t="inlineStr">
        <is>
          <t>VÅRGÅRDA</t>
        </is>
      </c>
      <c r="G6798" t="n">
        <v>4.9</v>
      </c>
      <c r="H6798" t="n">
        <v>0</v>
      </c>
      <c r="I6798" t="n">
        <v>0</v>
      </c>
      <c r="J6798" t="n">
        <v>0</v>
      </c>
      <c r="K6798" t="n">
        <v>0</v>
      </c>
      <c r="L6798" t="n">
        <v>0</v>
      </c>
      <c r="M6798" t="n">
        <v>0</v>
      </c>
      <c r="N6798" t="n">
        <v>0</v>
      </c>
      <c r="O6798" t="n">
        <v>0</v>
      </c>
      <c r="P6798" t="n">
        <v>0</v>
      </c>
      <c r="Q6798" t="n">
        <v>0</v>
      </c>
      <c r="R6798" s="2" t="inlineStr"/>
    </row>
    <row r="6799" ht="15" customHeight="1">
      <c r="A6799" t="inlineStr">
        <is>
          <t>A 38424-2024</t>
        </is>
      </c>
      <c r="B6799" s="1" t="n">
        <v>45546.37292824074</v>
      </c>
      <c r="C6799" s="1" t="n">
        <v>45952</v>
      </c>
      <c r="D6799" t="inlineStr">
        <is>
          <t>VÄSTRA GÖTALANDS LÄN</t>
        </is>
      </c>
      <c r="E6799" t="inlineStr">
        <is>
          <t>BORÅS</t>
        </is>
      </c>
      <c r="G6799" t="n">
        <v>1.3</v>
      </c>
      <c r="H6799" t="n">
        <v>0</v>
      </c>
      <c r="I6799" t="n">
        <v>0</v>
      </c>
      <c r="J6799" t="n">
        <v>0</v>
      </c>
      <c r="K6799" t="n">
        <v>0</v>
      </c>
      <c r="L6799" t="n">
        <v>0</v>
      </c>
      <c r="M6799" t="n">
        <v>0</v>
      </c>
      <c r="N6799" t="n">
        <v>0</v>
      </c>
      <c r="O6799" t="n">
        <v>0</v>
      </c>
      <c r="P6799" t="n">
        <v>0</v>
      </c>
      <c r="Q6799" t="n">
        <v>0</v>
      </c>
      <c r="R6799" s="2" t="inlineStr"/>
    </row>
    <row r="6800" ht="15" customHeight="1">
      <c r="A6800" t="inlineStr">
        <is>
          <t>A 38437-2024</t>
        </is>
      </c>
      <c r="B6800" s="1" t="n">
        <v>45546.41631944444</v>
      </c>
      <c r="C6800" s="1" t="n">
        <v>45952</v>
      </c>
      <c r="D6800" t="inlineStr">
        <is>
          <t>VÄSTRA GÖTALANDS LÄN</t>
        </is>
      </c>
      <c r="E6800" t="inlineStr">
        <is>
          <t>TRANEMO</t>
        </is>
      </c>
      <c r="G6800" t="n">
        <v>4.5</v>
      </c>
      <c r="H6800" t="n">
        <v>0</v>
      </c>
      <c r="I6800" t="n">
        <v>0</v>
      </c>
      <c r="J6800" t="n">
        <v>0</v>
      </c>
      <c r="K6800" t="n">
        <v>0</v>
      </c>
      <c r="L6800" t="n">
        <v>0</v>
      </c>
      <c r="M6800" t="n">
        <v>0</v>
      </c>
      <c r="N6800" t="n">
        <v>0</v>
      </c>
      <c r="O6800" t="n">
        <v>0</v>
      </c>
      <c r="P6800" t="n">
        <v>0</v>
      </c>
      <c r="Q6800" t="n">
        <v>0</v>
      </c>
      <c r="R6800" s="2" t="inlineStr"/>
    </row>
    <row r="6801" ht="15" customHeight="1">
      <c r="A6801" t="inlineStr">
        <is>
          <t>A 38446-2024</t>
        </is>
      </c>
      <c r="B6801" s="1" t="n">
        <v>45546.43177083333</v>
      </c>
      <c r="C6801" s="1" t="n">
        <v>45952</v>
      </c>
      <c r="D6801" t="inlineStr">
        <is>
          <t>VÄSTRA GÖTALANDS LÄN</t>
        </is>
      </c>
      <c r="E6801" t="inlineStr">
        <is>
          <t>ULRICEHAMN</t>
        </is>
      </c>
      <c r="F6801" t="inlineStr">
        <is>
          <t>Sveaskog</t>
        </is>
      </c>
      <c r="G6801" t="n">
        <v>3.4</v>
      </c>
      <c r="H6801" t="n">
        <v>0</v>
      </c>
      <c r="I6801" t="n">
        <v>0</v>
      </c>
      <c r="J6801" t="n">
        <v>0</v>
      </c>
      <c r="K6801" t="n">
        <v>0</v>
      </c>
      <c r="L6801" t="n">
        <v>0</v>
      </c>
      <c r="M6801" t="n">
        <v>0</v>
      </c>
      <c r="N6801" t="n">
        <v>0</v>
      </c>
      <c r="O6801" t="n">
        <v>0</v>
      </c>
      <c r="P6801" t="n">
        <v>0</v>
      </c>
      <c r="Q6801" t="n">
        <v>0</v>
      </c>
      <c r="R6801" s="2" t="inlineStr"/>
    </row>
    <row r="6802" ht="15" customHeight="1">
      <c r="A6802" t="inlineStr">
        <is>
          <t>A 63113-2023</t>
        </is>
      </c>
      <c r="B6802" s="1" t="n">
        <v>45273.43495370371</v>
      </c>
      <c r="C6802" s="1" t="n">
        <v>45952</v>
      </c>
      <c r="D6802" t="inlineStr">
        <is>
          <t>VÄSTRA GÖTALANDS LÄN</t>
        </is>
      </c>
      <c r="E6802" t="inlineStr">
        <is>
          <t>TÖREBODA</t>
        </is>
      </c>
      <c r="G6802" t="n">
        <v>1.4</v>
      </c>
      <c r="H6802" t="n">
        <v>0</v>
      </c>
      <c r="I6802" t="n">
        <v>0</v>
      </c>
      <c r="J6802" t="n">
        <v>0</v>
      </c>
      <c r="K6802" t="n">
        <v>0</v>
      </c>
      <c r="L6802" t="n">
        <v>0</v>
      </c>
      <c r="M6802" t="n">
        <v>0</v>
      </c>
      <c r="N6802" t="n">
        <v>0</v>
      </c>
      <c r="O6802" t="n">
        <v>0</v>
      </c>
      <c r="P6802" t="n">
        <v>0</v>
      </c>
      <c r="Q6802" t="n">
        <v>0</v>
      </c>
      <c r="R6802" s="2" t="inlineStr"/>
    </row>
    <row r="6803" ht="15" customHeight="1">
      <c r="A6803" t="inlineStr">
        <is>
          <t>A 27494-2023</t>
        </is>
      </c>
      <c r="B6803" s="1" t="n">
        <v>45097</v>
      </c>
      <c r="C6803" s="1" t="n">
        <v>45952</v>
      </c>
      <c r="D6803" t="inlineStr">
        <is>
          <t>VÄSTRA GÖTALANDS LÄN</t>
        </is>
      </c>
      <c r="E6803" t="inlineStr">
        <is>
          <t>ULRICEHAMN</t>
        </is>
      </c>
      <c r="G6803" t="n">
        <v>3.1</v>
      </c>
      <c r="H6803" t="n">
        <v>0</v>
      </c>
      <c r="I6803" t="n">
        <v>0</v>
      </c>
      <c r="J6803" t="n">
        <v>0</v>
      </c>
      <c r="K6803" t="n">
        <v>0</v>
      </c>
      <c r="L6803" t="n">
        <v>0</v>
      </c>
      <c r="M6803" t="n">
        <v>0</v>
      </c>
      <c r="N6803" t="n">
        <v>0</v>
      </c>
      <c r="O6803" t="n">
        <v>0</v>
      </c>
      <c r="P6803" t="n">
        <v>0</v>
      </c>
      <c r="Q6803" t="n">
        <v>0</v>
      </c>
      <c r="R6803" s="2" t="inlineStr"/>
    </row>
    <row r="6804" ht="15" customHeight="1">
      <c r="A6804" t="inlineStr">
        <is>
          <t>A 35645-2023</t>
        </is>
      </c>
      <c r="B6804" s="1" t="n">
        <v>45147</v>
      </c>
      <c r="C6804" s="1" t="n">
        <v>45952</v>
      </c>
      <c r="D6804" t="inlineStr">
        <is>
          <t>VÄSTRA GÖTALANDS LÄN</t>
        </is>
      </c>
      <c r="E6804" t="inlineStr">
        <is>
          <t>MUNKEDAL</t>
        </is>
      </c>
      <c r="G6804" t="n">
        <v>2.3</v>
      </c>
      <c r="H6804" t="n">
        <v>0</v>
      </c>
      <c r="I6804" t="n">
        <v>0</v>
      </c>
      <c r="J6804" t="n">
        <v>0</v>
      </c>
      <c r="K6804" t="n">
        <v>0</v>
      </c>
      <c r="L6804" t="n">
        <v>0</v>
      </c>
      <c r="M6804" t="n">
        <v>0</v>
      </c>
      <c r="N6804" t="n">
        <v>0</v>
      </c>
      <c r="O6804" t="n">
        <v>0</v>
      </c>
      <c r="P6804" t="n">
        <v>0</v>
      </c>
      <c r="Q6804" t="n">
        <v>0</v>
      </c>
      <c r="R6804" s="2" t="inlineStr"/>
    </row>
    <row r="6805" ht="15" customHeight="1">
      <c r="A6805" t="inlineStr">
        <is>
          <t>A 13529-2024</t>
        </is>
      </c>
      <c r="B6805" s="1" t="n">
        <v>45387.84504629629</v>
      </c>
      <c r="C6805" s="1" t="n">
        <v>45952</v>
      </c>
      <c r="D6805" t="inlineStr">
        <is>
          <t>VÄSTRA GÖTALANDS LÄN</t>
        </is>
      </c>
      <c r="E6805" t="inlineStr">
        <is>
          <t>KUNGÄLV</t>
        </is>
      </c>
      <c r="G6805" t="n">
        <v>1.1</v>
      </c>
      <c r="H6805" t="n">
        <v>0</v>
      </c>
      <c r="I6805" t="n">
        <v>0</v>
      </c>
      <c r="J6805" t="n">
        <v>0</v>
      </c>
      <c r="K6805" t="n">
        <v>0</v>
      </c>
      <c r="L6805" t="n">
        <v>0</v>
      </c>
      <c r="M6805" t="n">
        <v>0</v>
      </c>
      <c r="N6805" t="n">
        <v>0</v>
      </c>
      <c r="O6805" t="n">
        <v>0</v>
      </c>
      <c r="P6805" t="n">
        <v>0</v>
      </c>
      <c r="Q6805" t="n">
        <v>0</v>
      </c>
      <c r="R6805" s="2" t="inlineStr"/>
    </row>
    <row r="6806" ht="15" customHeight="1">
      <c r="A6806" t="inlineStr">
        <is>
          <t>A 9058-2025</t>
        </is>
      </c>
      <c r="B6806" s="1" t="n">
        <v>45713.64200231482</v>
      </c>
      <c r="C6806" s="1" t="n">
        <v>45952</v>
      </c>
      <c r="D6806" t="inlineStr">
        <is>
          <t>VÄSTRA GÖTALANDS LÄN</t>
        </is>
      </c>
      <c r="E6806" t="inlineStr">
        <is>
          <t>VARA</t>
        </is>
      </c>
      <c r="G6806" t="n">
        <v>1.1</v>
      </c>
      <c r="H6806" t="n">
        <v>0</v>
      </c>
      <c r="I6806" t="n">
        <v>0</v>
      </c>
      <c r="J6806" t="n">
        <v>0</v>
      </c>
      <c r="K6806" t="n">
        <v>0</v>
      </c>
      <c r="L6806" t="n">
        <v>0</v>
      </c>
      <c r="M6806" t="n">
        <v>0</v>
      </c>
      <c r="N6806" t="n">
        <v>0</v>
      </c>
      <c r="O6806" t="n">
        <v>0</v>
      </c>
      <c r="P6806" t="n">
        <v>0</v>
      </c>
      <c r="Q6806" t="n">
        <v>0</v>
      </c>
      <c r="R6806" s="2" t="inlineStr"/>
    </row>
    <row r="6807" ht="15" customHeight="1">
      <c r="A6807" t="inlineStr">
        <is>
          <t>A 63094-2023</t>
        </is>
      </c>
      <c r="B6807" s="1" t="n">
        <v>45273</v>
      </c>
      <c r="C6807" s="1" t="n">
        <v>45952</v>
      </c>
      <c r="D6807" t="inlineStr">
        <is>
          <t>VÄSTRA GÖTALANDS LÄN</t>
        </is>
      </c>
      <c r="E6807" t="inlineStr">
        <is>
          <t>ULRICEHAMN</t>
        </is>
      </c>
      <c r="G6807" t="n">
        <v>3.8</v>
      </c>
      <c r="H6807" t="n">
        <v>0</v>
      </c>
      <c r="I6807" t="n">
        <v>0</v>
      </c>
      <c r="J6807" t="n">
        <v>0</v>
      </c>
      <c r="K6807" t="n">
        <v>0</v>
      </c>
      <c r="L6807" t="n">
        <v>0</v>
      </c>
      <c r="M6807" t="n">
        <v>0</v>
      </c>
      <c r="N6807" t="n">
        <v>0</v>
      </c>
      <c r="O6807" t="n">
        <v>0</v>
      </c>
      <c r="P6807" t="n">
        <v>0</v>
      </c>
      <c r="Q6807" t="n">
        <v>0</v>
      </c>
      <c r="R6807" s="2" t="inlineStr"/>
    </row>
    <row r="6808" ht="15" customHeight="1">
      <c r="A6808" t="inlineStr">
        <is>
          <t>A 14132-2024</t>
        </is>
      </c>
      <c r="B6808" s="1" t="n">
        <v>45392.71190972222</v>
      </c>
      <c r="C6808" s="1" t="n">
        <v>45952</v>
      </c>
      <c r="D6808" t="inlineStr">
        <is>
          <t>VÄSTRA GÖTALANDS LÄN</t>
        </is>
      </c>
      <c r="E6808" t="inlineStr">
        <is>
          <t>MARK</t>
        </is>
      </c>
      <c r="G6808" t="n">
        <v>1.8</v>
      </c>
      <c r="H6808" t="n">
        <v>0</v>
      </c>
      <c r="I6808" t="n">
        <v>0</v>
      </c>
      <c r="J6808" t="n">
        <v>0</v>
      </c>
      <c r="K6808" t="n">
        <v>0</v>
      </c>
      <c r="L6808" t="n">
        <v>0</v>
      </c>
      <c r="M6808" t="n">
        <v>0</v>
      </c>
      <c r="N6808" t="n">
        <v>0</v>
      </c>
      <c r="O6808" t="n">
        <v>0</v>
      </c>
      <c r="P6808" t="n">
        <v>0</v>
      </c>
      <c r="Q6808" t="n">
        <v>0</v>
      </c>
      <c r="R6808" s="2" t="inlineStr"/>
    </row>
    <row r="6809" ht="15" customHeight="1">
      <c r="A6809" t="inlineStr">
        <is>
          <t>A 63132-2023</t>
        </is>
      </c>
      <c r="B6809" s="1" t="n">
        <v>45273.460625</v>
      </c>
      <c r="C6809" s="1" t="n">
        <v>45952</v>
      </c>
      <c r="D6809" t="inlineStr">
        <is>
          <t>VÄSTRA GÖTALANDS LÄN</t>
        </is>
      </c>
      <c r="E6809" t="inlineStr">
        <is>
          <t>TANUM</t>
        </is>
      </c>
      <c r="G6809" t="n">
        <v>3</v>
      </c>
      <c r="H6809" t="n">
        <v>0</v>
      </c>
      <c r="I6809" t="n">
        <v>0</v>
      </c>
      <c r="J6809" t="n">
        <v>0</v>
      </c>
      <c r="K6809" t="n">
        <v>0</v>
      </c>
      <c r="L6809" t="n">
        <v>0</v>
      </c>
      <c r="M6809" t="n">
        <v>0</v>
      </c>
      <c r="N6809" t="n">
        <v>0</v>
      </c>
      <c r="O6809" t="n">
        <v>0</v>
      </c>
      <c r="P6809" t="n">
        <v>0</v>
      </c>
      <c r="Q6809" t="n">
        <v>0</v>
      </c>
      <c r="R6809" s="2" t="inlineStr"/>
    </row>
    <row r="6810" ht="15" customHeight="1">
      <c r="A6810" t="inlineStr">
        <is>
          <t>A 9046-2022</t>
        </is>
      </c>
      <c r="B6810" s="1" t="n">
        <v>44615.44694444445</v>
      </c>
      <c r="C6810" s="1" t="n">
        <v>45952</v>
      </c>
      <c r="D6810" t="inlineStr">
        <is>
          <t>VÄSTRA GÖTALANDS LÄN</t>
        </is>
      </c>
      <c r="E6810" t="inlineStr">
        <is>
          <t>LILLA EDET</t>
        </is>
      </c>
      <c r="G6810" t="n">
        <v>1</v>
      </c>
      <c r="H6810" t="n">
        <v>0</v>
      </c>
      <c r="I6810" t="n">
        <v>0</v>
      </c>
      <c r="J6810" t="n">
        <v>0</v>
      </c>
      <c r="K6810" t="n">
        <v>0</v>
      </c>
      <c r="L6810" t="n">
        <v>0</v>
      </c>
      <c r="M6810" t="n">
        <v>0</v>
      </c>
      <c r="N6810" t="n">
        <v>0</v>
      </c>
      <c r="O6810" t="n">
        <v>0</v>
      </c>
      <c r="P6810" t="n">
        <v>0</v>
      </c>
      <c r="Q6810" t="n">
        <v>0</v>
      </c>
      <c r="R6810" s="2" t="inlineStr"/>
    </row>
    <row r="6811" ht="15" customHeight="1">
      <c r="A6811" t="inlineStr">
        <is>
          <t>A 18159-2024</t>
        </is>
      </c>
      <c r="B6811" s="1" t="n">
        <v>45420.61472222222</v>
      </c>
      <c r="C6811" s="1" t="n">
        <v>45952</v>
      </c>
      <c r="D6811" t="inlineStr">
        <is>
          <t>VÄSTRA GÖTALANDS LÄN</t>
        </is>
      </c>
      <c r="E6811" t="inlineStr">
        <is>
          <t>ALINGSÅS</t>
        </is>
      </c>
      <c r="G6811" t="n">
        <v>1</v>
      </c>
      <c r="H6811" t="n">
        <v>0</v>
      </c>
      <c r="I6811" t="n">
        <v>0</v>
      </c>
      <c r="J6811" t="n">
        <v>0</v>
      </c>
      <c r="K6811" t="n">
        <v>0</v>
      </c>
      <c r="L6811" t="n">
        <v>0</v>
      </c>
      <c r="M6811" t="n">
        <v>0</v>
      </c>
      <c r="N6811" t="n">
        <v>0</v>
      </c>
      <c r="O6811" t="n">
        <v>0</v>
      </c>
      <c r="P6811" t="n">
        <v>0</v>
      </c>
      <c r="Q6811" t="n">
        <v>0</v>
      </c>
      <c r="R6811" s="2" t="inlineStr"/>
    </row>
    <row r="6812" ht="15" customHeight="1">
      <c r="A6812" t="inlineStr">
        <is>
          <t>A 12552-2022</t>
        </is>
      </c>
      <c r="B6812" s="1" t="n">
        <v>44638.75981481482</v>
      </c>
      <c r="C6812" s="1" t="n">
        <v>45952</v>
      </c>
      <c r="D6812" t="inlineStr">
        <is>
          <t>VÄSTRA GÖTALANDS LÄN</t>
        </is>
      </c>
      <c r="E6812" t="inlineStr">
        <is>
          <t>ULRICEHAMN</t>
        </is>
      </c>
      <c r="F6812" t="inlineStr">
        <is>
          <t>Kommuner</t>
        </is>
      </c>
      <c r="G6812" t="n">
        <v>0.6</v>
      </c>
      <c r="H6812" t="n">
        <v>0</v>
      </c>
      <c r="I6812" t="n">
        <v>0</v>
      </c>
      <c r="J6812" t="n">
        <v>0</v>
      </c>
      <c r="K6812" t="n">
        <v>0</v>
      </c>
      <c r="L6812" t="n">
        <v>0</v>
      </c>
      <c r="M6812" t="n">
        <v>0</v>
      </c>
      <c r="N6812" t="n">
        <v>0</v>
      </c>
      <c r="O6812" t="n">
        <v>0</v>
      </c>
      <c r="P6812" t="n">
        <v>0</v>
      </c>
      <c r="Q6812" t="n">
        <v>0</v>
      </c>
      <c r="R6812" s="2" t="inlineStr"/>
    </row>
    <row r="6813" ht="15" customHeight="1">
      <c r="A6813" t="inlineStr">
        <is>
          <t>A 18427-2024</t>
        </is>
      </c>
      <c r="B6813" s="1" t="n">
        <v>45425.42435185185</v>
      </c>
      <c r="C6813" s="1" t="n">
        <v>45952</v>
      </c>
      <c r="D6813" t="inlineStr">
        <is>
          <t>VÄSTRA GÖTALANDS LÄN</t>
        </is>
      </c>
      <c r="E6813" t="inlineStr">
        <is>
          <t>HERRLJUNGA</t>
        </is>
      </c>
      <c r="G6813" t="n">
        <v>0.6</v>
      </c>
      <c r="H6813" t="n">
        <v>0</v>
      </c>
      <c r="I6813" t="n">
        <v>0</v>
      </c>
      <c r="J6813" t="n">
        <v>0</v>
      </c>
      <c r="K6813" t="n">
        <v>0</v>
      </c>
      <c r="L6813" t="n">
        <v>0</v>
      </c>
      <c r="M6813" t="n">
        <v>0</v>
      </c>
      <c r="N6813" t="n">
        <v>0</v>
      </c>
      <c r="O6813" t="n">
        <v>0</v>
      </c>
      <c r="P6813" t="n">
        <v>0</v>
      </c>
      <c r="Q6813" t="n">
        <v>0</v>
      </c>
      <c r="R6813" s="2" t="inlineStr"/>
    </row>
    <row r="6814" ht="15" customHeight="1">
      <c r="A6814" t="inlineStr">
        <is>
          <t>A 4499-2024</t>
        </is>
      </c>
      <c r="B6814" s="1" t="n">
        <v>45327.61145833333</v>
      </c>
      <c r="C6814" s="1" t="n">
        <v>45952</v>
      </c>
      <c r="D6814" t="inlineStr">
        <is>
          <t>VÄSTRA GÖTALANDS LÄN</t>
        </is>
      </c>
      <c r="E6814" t="inlineStr">
        <is>
          <t>DALS-ED</t>
        </is>
      </c>
      <c r="G6814" t="n">
        <v>2.8</v>
      </c>
      <c r="H6814" t="n">
        <v>0</v>
      </c>
      <c r="I6814" t="n">
        <v>0</v>
      </c>
      <c r="J6814" t="n">
        <v>0</v>
      </c>
      <c r="K6814" t="n">
        <v>0</v>
      </c>
      <c r="L6814" t="n">
        <v>0</v>
      </c>
      <c r="M6814" t="n">
        <v>0</v>
      </c>
      <c r="N6814" t="n">
        <v>0</v>
      </c>
      <c r="O6814" t="n">
        <v>0</v>
      </c>
      <c r="P6814" t="n">
        <v>0</v>
      </c>
      <c r="Q6814" t="n">
        <v>0</v>
      </c>
      <c r="R6814" s="2" t="inlineStr"/>
    </row>
    <row r="6815" ht="15" customHeight="1">
      <c r="A6815" t="inlineStr">
        <is>
          <t>A 5702-2025</t>
        </is>
      </c>
      <c r="B6815" s="1" t="n">
        <v>45694.43144675926</v>
      </c>
      <c r="C6815" s="1" t="n">
        <v>45952</v>
      </c>
      <c r="D6815" t="inlineStr">
        <is>
          <t>VÄSTRA GÖTALANDS LÄN</t>
        </is>
      </c>
      <c r="E6815" t="inlineStr">
        <is>
          <t>FALKÖPING</t>
        </is>
      </c>
      <c r="G6815" t="n">
        <v>3.1</v>
      </c>
      <c r="H6815" t="n">
        <v>0</v>
      </c>
      <c r="I6815" t="n">
        <v>0</v>
      </c>
      <c r="J6815" t="n">
        <v>0</v>
      </c>
      <c r="K6815" t="n">
        <v>0</v>
      </c>
      <c r="L6815" t="n">
        <v>0</v>
      </c>
      <c r="M6815" t="n">
        <v>0</v>
      </c>
      <c r="N6815" t="n">
        <v>0</v>
      </c>
      <c r="O6815" t="n">
        <v>0</v>
      </c>
      <c r="P6815" t="n">
        <v>0</v>
      </c>
      <c r="Q6815" t="n">
        <v>0</v>
      </c>
      <c r="R6815" s="2" t="inlineStr"/>
    </row>
    <row r="6816" ht="15" customHeight="1">
      <c r="A6816" t="inlineStr">
        <is>
          <t>A 5714-2025</t>
        </is>
      </c>
      <c r="B6816" s="1" t="n">
        <v>45694.46822916667</v>
      </c>
      <c r="C6816" s="1" t="n">
        <v>45952</v>
      </c>
      <c r="D6816" t="inlineStr">
        <is>
          <t>VÄSTRA GÖTALANDS LÄN</t>
        </is>
      </c>
      <c r="E6816" t="inlineStr">
        <is>
          <t>SKÖVDE</t>
        </is>
      </c>
      <c r="G6816" t="n">
        <v>1.1</v>
      </c>
      <c r="H6816" t="n">
        <v>0</v>
      </c>
      <c r="I6816" t="n">
        <v>0</v>
      </c>
      <c r="J6816" t="n">
        <v>0</v>
      </c>
      <c r="K6816" t="n">
        <v>0</v>
      </c>
      <c r="L6816" t="n">
        <v>0</v>
      </c>
      <c r="M6816" t="n">
        <v>0</v>
      </c>
      <c r="N6816" t="n">
        <v>0</v>
      </c>
      <c r="O6816" t="n">
        <v>0</v>
      </c>
      <c r="P6816" t="n">
        <v>0</v>
      </c>
      <c r="Q6816" t="n">
        <v>0</v>
      </c>
      <c r="R6816" s="2" t="inlineStr"/>
    </row>
    <row r="6817" ht="15" customHeight="1">
      <c r="A6817" t="inlineStr">
        <is>
          <t>A 22867-2024</t>
        </is>
      </c>
      <c r="B6817" s="1" t="n">
        <v>45448</v>
      </c>
      <c r="C6817" s="1" t="n">
        <v>45952</v>
      </c>
      <c r="D6817" t="inlineStr">
        <is>
          <t>VÄSTRA GÖTALANDS LÄN</t>
        </is>
      </c>
      <c r="E6817" t="inlineStr">
        <is>
          <t>SKARA</t>
        </is>
      </c>
      <c r="F6817" t="inlineStr">
        <is>
          <t>Sveaskog</t>
        </is>
      </c>
      <c r="G6817" t="n">
        <v>2.4</v>
      </c>
      <c r="H6817" t="n">
        <v>0</v>
      </c>
      <c r="I6817" t="n">
        <v>0</v>
      </c>
      <c r="J6817" t="n">
        <v>0</v>
      </c>
      <c r="K6817" t="n">
        <v>0</v>
      </c>
      <c r="L6817" t="n">
        <v>0</v>
      </c>
      <c r="M6817" t="n">
        <v>0</v>
      </c>
      <c r="N6817" t="n">
        <v>0</v>
      </c>
      <c r="O6817" t="n">
        <v>0</v>
      </c>
      <c r="P6817" t="n">
        <v>0</v>
      </c>
      <c r="Q6817" t="n">
        <v>0</v>
      </c>
      <c r="R6817" s="2" t="inlineStr"/>
    </row>
    <row r="6818" ht="15" customHeight="1">
      <c r="A6818" t="inlineStr">
        <is>
          <t>A 40722-2024</t>
        </is>
      </c>
      <c r="B6818" s="1" t="n">
        <v>45558.44460648148</v>
      </c>
      <c r="C6818" s="1" t="n">
        <v>45952</v>
      </c>
      <c r="D6818" t="inlineStr">
        <is>
          <t>VÄSTRA GÖTALANDS LÄN</t>
        </is>
      </c>
      <c r="E6818" t="inlineStr">
        <is>
          <t>ORUST</t>
        </is>
      </c>
      <c r="G6818" t="n">
        <v>1.3</v>
      </c>
      <c r="H6818" t="n">
        <v>0</v>
      </c>
      <c r="I6818" t="n">
        <v>0</v>
      </c>
      <c r="J6818" t="n">
        <v>0</v>
      </c>
      <c r="K6818" t="n">
        <v>0</v>
      </c>
      <c r="L6818" t="n">
        <v>0</v>
      </c>
      <c r="M6818" t="n">
        <v>0</v>
      </c>
      <c r="N6818" t="n">
        <v>0</v>
      </c>
      <c r="O6818" t="n">
        <v>0</v>
      </c>
      <c r="P6818" t="n">
        <v>0</v>
      </c>
      <c r="Q6818" t="n">
        <v>0</v>
      </c>
      <c r="R6818" s="2" t="inlineStr"/>
    </row>
    <row r="6819" ht="15" customHeight="1">
      <c r="A6819" t="inlineStr">
        <is>
          <t>A 55777-2023</t>
        </is>
      </c>
      <c r="B6819" s="1" t="n">
        <v>45239.49313657408</v>
      </c>
      <c r="C6819" s="1" t="n">
        <v>45952</v>
      </c>
      <c r="D6819" t="inlineStr">
        <is>
          <t>VÄSTRA GÖTALANDS LÄN</t>
        </is>
      </c>
      <c r="E6819" t="inlineStr">
        <is>
          <t>MARIESTAD</t>
        </is>
      </c>
      <c r="F6819" t="inlineStr">
        <is>
          <t>Sveaskog</t>
        </is>
      </c>
      <c r="G6819" t="n">
        <v>3.7</v>
      </c>
      <c r="H6819" t="n">
        <v>0</v>
      </c>
      <c r="I6819" t="n">
        <v>0</v>
      </c>
      <c r="J6819" t="n">
        <v>0</v>
      </c>
      <c r="K6819" t="n">
        <v>0</v>
      </c>
      <c r="L6819" t="n">
        <v>0</v>
      </c>
      <c r="M6819" t="n">
        <v>0</v>
      </c>
      <c r="N6819" t="n">
        <v>0</v>
      </c>
      <c r="O6819" t="n">
        <v>0</v>
      </c>
      <c r="P6819" t="n">
        <v>0</v>
      </c>
      <c r="Q6819" t="n">
        <v>0</v>
      </c>
      <c r="R6819" s="2" t="inlineStr"/>
    </row>
    <row r="6820" ht="15" customHeight="1">
      <c r="A6820" t="inlineStr">
        <is>
          <t>A 55788-2023</t>
        </is>
      </c>
      <c r="B6820" s="1" t="n">
        <v>45239</v>
      </c>
      <c r="C6820" s="1" t="n">
        <v>45952</v>
      </c>
      <c r="D6820" t="inlineStr">
        <is>
          <t>VÄSTRA GÖTALANDS LÄN</t>
        </is>
      </c>
      <c r="E6820" t="inlineStr">
        <is>
          <t>TIBRO</t>
        </is>
      </c>
      <c r="G6820" t="n">
        <v>2.2</v>
      </c>
      <c r="H6820" t="n">
        <v>0</v>
      </c>
      <c r="I6820" t="n">
        <v>0</v>
      </c>
      <c r="J6820" t="n">
        <v>0</v>
      </c>
      <c r="K6820" t="n">
        <v>0</v>
      </c>
      <c r="L6820" t="n">
        <v>0</v>
      </c>
      <c r="M6820" t="n">
        <v>0</v>
      </c>
      <c r="N6820" t="n">
        <v>0</v>
      </c>
      <c r="O6820" t="n">
        <v>0</v>
      </c>
      <c r="P6820" t="n">
        <v>0</v>
      </c>
      <c r="Q6820" t="n">
        <v>0</v>
      </c>
      <c r="R6820" s="2" t="inlineStr"/>
    </row>
    <row r="6821" ht="15" customHeight="1">
      <c r="A6821" t="inlineStr">
        <is>
          <t>A 36399-2024</t>
        </is>
      </c>
      <c r="B6821" s="1" t="n">
        <v>45535.51828703703</v>
      </c>
      <c r="C6821" s="1" t="n">
        <v>45952</v>
      </c>
      <c r="D6821" t="inlineStr">
        <is>
          <t>VÄSTRA GÖTALANDS LÄN</t>
        </is>
      </c>
      <c r="E6821" t="inlineStr">
        <is>
          <t>MARIESTAD</t>
        </is>
      </c>
      <c r="G6821" t="n">
        <v>0.6</v>
      </c>
      <c r="H6821" t="n">
        <v>0</v>
      </c>
      <c r="I6821" t="n">
        <v>0</v>
      </c>
      <c r="J6821" t="n">
        <v>0</v>
      </c>
      <c r="K6821" t="n">
        <v>0</v>
      </c>
      <c r="L6821" t="n">
        <v>0</v>
      </c>
      <c r="M6821" t="n">
        <v>0</v>
      </c>
      <c r="N6821" t="n">
        <v>0</v>
      </c>
      <c r="O6821" t="n">
        <v>0</v>
      </c>
      <c r="P6821" t="n">
        <v>0</v>
      </c>
      <c r="Q6821" t="n">
        <v>0</v>
      </c>
      <c r="R6821" s="2" t="inlineStr"/>
    </row>
    <row r="6822" ht="15" customHeight="1">
      <c r="A6822" t="inlineStr">
        <is>
          <t>A 36404-2024</t>
        </is>
      </c>
      <c r="B6822" s="1" t="n">
        <v>45535.70535879629</v>
      </c>
      <c r="C6822" s="1" t="n">
        <v>45952</v>
      </c>
      <c r="D6822" t="inlineStr">
        <is>
          <t>VÄSTRA GÖTALANDS LÄN</t>
        </is>
      </c>
      <c r="E6822" t="inlineStr">
        <is>
          <t>ORUST</t>
        </is>
      </c>
      <c r="G6822" t="n">
        <v>4</v>
      </c>
      <c r="H6822" t="n">
        <v>0</v>
      </c>
      <c r="I6822" t="n">
        <v>0</v>
      </c>
      <c r="J6822" t="n">
        <v>0</v>
      </c>
      <c r="K6822" t="n">
        <v>0</v>
      </c>
      <c r="L6822" t="n">
        <v>0</v>
      </c>
      <c r="M6822" t="n">
        <v>0</v>
      </c>
      <c r="N6822" t="n">
        <v>0</v>
      </c>
      <c r="O6822" t="n">
        <v>0</v>
      </c>
      <c r="P6822" t="n">
        <v>0</v>
      </c>
      <c r="Q6822" t="n">
        <v>0</v>
      </c>
      <c r="R6822" s="2" t="inlineStr"/>
    </row>
    <row r="6823" ht="15" customHeight="1">
      <c r="A6823" t="inlineStr">
        <is>
          <t>A 28581-2023</t>
        </is>
      </c>
      <c r="B6823" s="1" t="n">
        <v>45103.55524305555</v>
      </c>
      <c r="C6823" s="1" t="n">
        <v>45952</v>
      </c>
      <c r="D6823" t="inlineStr">
        <is>
          <t>VÄSTRA GÖTALANDS LÄN</t>
        </is>
      </c>
      <c r="E6823" t="inlineStr">
        <is>
          <t>BORÅS</t>
        </is>
      </c>
      <c r="G6823" t="n">
        <v>1.5</v>
      </c>
      <c r="H6823" t="n">
        <v>0</v>
      </c>
      <c r="I6823" t="n">
        <v>0</v>
      </c>
      <c r="J6823" t="n">
        <v>0</v>
      </c>
      <c r="K6823" t="n">
        <v>0</v>
      </c>
      <c r="L6823" t="n">
        <v>0</v>
      </c>
      <c r="M6823" t="n">
        <v>0</v>
      </c>
      <c r="N6823" t="n">
        <v>0</v>
      </c>
      <c r="O6823" t="n">
        <v>0</v>
      </c>
      <c r="P6823" t="n">
        <v>0</v>
      </c>
      <c r="Q6823" t="n">
        <v>0</v>
      </c>
      <c r="R6823" s="2" t="inlineStr"/>
    </row>
    <row r="6824" ht="15" customHeight="1">
      <c r="A6824" t="inlineStr">
        <is>
          <t>A 46140-2022</t>
        </is>
      </c>
      <c r="B6824" s="1" t="n">
        <v>44846</v>
      </c>
      <c r="C6824" s="1" t="n">
        <v>45952</v>
      </c>
      <c r="D6824" t="inlineStr">
        <is>
          <t>VÄSTRA GÖTALANDS LÄN</t>
        </is>
      </c>
      <c r="E6824" t="inlineStr">
        <is>
          <t>TANUM</t>
        </is>
      </c>
      <c r="G6824" t="n">
        <v>1.3</v>
      </c>
      <c r="H6824" t="n">
        <v>0</v>
      </c>
      <c r="I6824" t="n">
        <v>0</v>
      </c>
      <c r="J6824" t="n">
        <v>0</v>
      </c>
      <c r="K6824" t="n">
        <v>0</v>
      </c>
      <c r="L6824" t="n">
        <v>0</v>
      </c>
      <c r="M6824" t="n">
        <v>0</v>
      </c>
      <c r="N6824" t="n">
        <v>0</v>
      </c>
      <c r="O6824" t="n">
        <v>0</v>
      </c>
      <c r="P6824" t="n">
        <v>0</v>
      </c>
      <c r="Q6824" t="n">
        <v>0</v>
      </c>
      <c r="R6824" s="2" t="inlineStr"/>
    </row>
    <row r="6825" ht="15" customHeight="1">
      <c r="A6825" t="inlineStr">
        <is>
          <t>A 9631-2024</t>
        </is>
      </c>
      <c r="B6825" s="1" t="n">
        <v>45362.30850694444</v>
      </c>
      <c r="C6825" s="1" t="n">
        <v>45952</v>
      </c>
      <c r="D6825" t="inlineStr">
        <is>
          <t>VÄSTRA GÖTALANDS LÄN</t>
        </is>
      </c>
      <c r="E6825" t="inlineStr">
        <is>
          <t>TIDAHOLM</t>
        </is>
      </c>
      <c r="G6825" t="n">
        <v>2.5</v>
      </c>
      <c r="H6825" t="n">
        <v>0</v>
      </c>
      <c r="I6825" t="n">
        <v>0</v>
      </c>
      <c r="J6825" t="n">
        <v>0</v>
      </c>
      <c r="K6825" t="n">
        <v>0</v>
      </c>
      <c r="L6825" t="n">
        <v>0</v>
      </c>
      <c r="M6825" t="n">
        <v>0</v>
      </c>
      <c r="N6825" t="n">
        <v>0</v>
      </c>
      <c r="O6825" t="n">
        <v>0</v>
      </c>
      <c r="P6825" t="n">
        <v>0</v>
      </c>
      <c r="Q6825" t="n">
        <v>0</v>
      </c>
      <c r="R6825" s="2" t="inlineStr"/>
    </row>
    <row r="6826" ht="15" customHeight="1">
      <c r="A6826" t="inlineStr">
        <is>
          <t>A 16991-2025</t>
        </is>
      </c>
      <c r="B6826" s="1" t="n">
        <v>45755.49856481481</v>
      </c>
      <c r="C6826" s="1" t="n">
        <v>45952</v>
      </c>
      <c r="D6826" t="inlineStr">
        <is>
          <t>VÄSTRA GÖTALANDS LÄN</t>
        </is>
      </c>
      <c r="E6826" t="inlineStr">
        <is>
          <t>MUNKEDAL</t>
        </is>
      </c>
      <c r="G6826" t="n">
        <v>2.2</v>
      </c>
      <c r="H6826" t="n">
        <v>0</v>
      </c>
      <c r="I6826" t="n">
        <v>0</v>
      </c>
      <c r="J6826" t="n">
        <v>0</v>
      </c>
      <c r="K6826" t="n">
        <v>0</v>
      </c>
      <c r="L6826" t="n">
        <v>0</v>
      </c>
      <c r="M6826" t="n">
        <v>0</v>
      </c>
      <c r="N6826" t="n">
        <v>0</v>
      </c>
      <c r="O6826" t="n">
        <v>0</v>
      </c>
      <c r="P6826" t="n">
        <v>0</v>
      </c>
      <c r="Q6826" t="n">
        <v>0</v>
      </c>
      <c r="R6826" s="2" t="inlineStr"/>
    </row>
    <row r="6827" ht="15" customHeight="1">
      <c r="A6827" t="inlineStr">
        <is>
          <t>A 32775-2024</t>
        </is>
      </c>
      <c r="B6827" s="1" t="n">
        <v>45515</v>
      </c>
      <c r="C6827" s="1" t="n">
        <v>45952</v>
      </c>
      <c r="D6827" t="inlineStr">
        <is>
          <t>VÄSTRA GÖTALANDS LÄN</t>
        </is>
      </c>
      <c r="E6827" t="inlineStr">
        <is>
          <t>TANUM</t>
        </is>
      </c>
      <c r="G6827" t="n">
        <v>1.1</v>
      </c>
      <c r="H6827" t="n">
        <v>0</v>
      </c>
      <c r="I6827" t="n">
        <v>0</v>
      </c>
      <c r="J6827" t="n">
        <v>0</v>
      </c>
      <c r="K6827" t="n">
        <v>0</v>
      </c>
      <c r="L6827" t="n">
        <v>0</v>
      </c>
      <c r="M6827" t="n">
        <v>0</v>
      </c>
      <c r="N6827" t="n">
        <v>0</v>
      </c>
      <c r="O6827" t="n">
        <v>0</v>
      </c>
      <c r="P6827" t="n">
        <v>0</v>
      </c>
      <c r="Q6827" t="n">
        <v>0</v>
      </c>
      <c r="R6827" s="2" t="inlineStr"/>
    </row>
    <row r="6828" ht="15" customHeight="1">
      <c r="A6828" t="inlineStr">
        <is>
          <t>A 62772-2023</t>
        </is>
      </c>
      <c r="B6828" s="1" t="n">
        <v>45268</v>
      </c>
      <c r="C6828" s="1" t="n">
        <v>45952</v>
      </c>
      <c r="D6828" t="inlineStr">
        <is>
          <t>VÄSTRA GÖTALANDS LÄN</t>
        </is>
      </c>
      <c r="E6828" t="inlineStr">
        <is>
          <t>MARIESTAD</t>
        </is>
      </c>
      <c r="G6828" t="n">
        <v>0.7</v>
      </c>
      <c r="H6828" t="n">
        <v>0</v>
      </c>
      <c r="I6828" t="n">
        <v>0</v>
      </c>
      <c r="J6828" t="n">
        <v>0</v>
      </c>
      <c r="K6828" t="n">
        <v>0</v>
      </c>
      <c r="L6828" t="n">
        <v>0</v>
      </c>
      <c r="M6828" t="n">
        <v>0</v>
      </c>
      <c r="N6828" t="n">
        <v>0</v>
      </c>
      <c r="O6828" t="n">
        <v>0</v>
      </c>
      <c r="P6828" t="n">
        <v>0</v>
      </c>
      <c r="Q6828" t="n">
        <v>0</v>
      </c>
      <c r="R6828" s="2" t="inlineStr"/>
    </row>
    <row r="6829" ht="15" customHeight="1">
      <c r="A6829" t="inlineStr">
        <is>
          <t>A 62773-2023</t>
        </is>
      </c>
      <c r="B6829" s="1" t="n">
        <v>45271</v>
      </c>
      <c r="C6829" s="1" t="n">
        <v>45952</v>
      </c>
      <c r="D6829" t="inlineStr">
        <is>
          <t>VÄSTRA GÖTALANDS LÄN</t>
        </is>
      </c>
      <c r="E6829" t="inlineStr">
        <is>
          <t>BORÅS</t>
        </is>
      </c>
      <c r="G6829" t="n">
        <v>1.1</v>
      </c>
      <c r="H6829" t="n">
        <v>0</v>
      </c>
      <c r="I6829" t="n">
        <v>0</v>
      </c>
      <c r="J6829" t="n">
        <v>0</v>
      </c>
      <c r="K6829" t="n">
        <v>0</v>
      </c>
      <c r="L6829" t="n">
        <v>0</v>
      </c>
      <c r="M6829" t="n">
        <v>0</v>
      </c>
      <c r="N6829" t="n">
        <v>0</v>
      </c>
      <c r="O6829" t="n">
        <v>0</v>
      </c>
      <c r="P6829" t="n">
        <v>0</v>
      </c>
      <c r="Q6829" t="n">
        <v>0</v>
      </c>
      <c r="R6829" s="2" t="inlineStr"/>
    </row>
    <row r="6830" ht="15" customHeight="1">
      <c r="A6830" t="inlineStr">
        <is>
          <t>A 63206-2023</t>
        </is>
      </c>
      <c r="B6830" s="1" t="n">
        <v>45273</v>
      </c>
      <c r="C6830" s="1" t="n">
        <v>45952</v>
      </c>
      <c r="D6830" t="inlineStr">
        <is>
          <t>VÄSTRA GÖTALANDS LÄN</t>
        </is>
      </c>
      <c r="E6830" t="inlineStr">
        <is>
          <t>GULLSPÅNG</t>
        </is>
      </c>
      <c r="G6830" t="n">
        <v>0.7</v>
      </c>
      <c r="H6830" t="n">
        <v>0</v>
      </c>
      <c r="I6830" t="n">
        <v>0</v>
      </c>
      <c r="J6830" t="n">
        <v>0</v>
      </c>
      <c r="K6830" t="n">
        <v>0</v>
      </c>
      <c r="L6830" t="n">
        <v>0</v>
      </c>
      <c r="M6830" t="n">
        <v>0</v>
      </c>
      <c r="N6830" t="n">
        <v>0</v>
      </c>
      <c r="O6830" t="n">
        <v>0</v>
      </c>
      <c r="P6830" t="n">
        <v>0</v>
      </c>
      <c r="Q6830" t="n">
        <v>0</v>
      </c>
      <c r="R6830" s="2" t="inlineStr"/>
    </row>
    <row r="6831" ht="15" customHeight="1">
      <c r="A6831" t="inlineStr">
        <is>
          <t>A 63226-2023</t>
        </is>
      </c>
      <c r="B6831" s="1" t="n">
        <v>45273</v>
      </c>
      <c r="C6831" s="1" t="n">
        <v>45952</v>
      </c>
      <c r="D6831" t="inlineStr">
        <is>
          <t>VÄSTRA GÖTALANDS LÄN</t>
        </is>
      </c>
      <c r="E6831" t="inlineStr">
        <is>
          <t>HERRLJUNGA</t>
        </is>
      </c>
      <c r="G6831" t="n">
        <v>0.7</v>
      </c>
      <c r="H6831" t="n">
        <v>0</v>
      </c>
      <c r="I6831" t="n">
        <v>0</v>
      </c>
      <c r="J6831" t="n">
        <v>0</v>
      </c>
      <c r="K6831" t="n">
        <v>0</v>
      </c>
      <c r="L6831" t="n">
        <v>0</v>
      </c>
      <c r="M6831" t="n">
        <v>0</v>
      </c>
      <c r="N6831" t="n">
        <v>0</v>
      </c>
      <c r="O6831" t="n">
        <v>0</v>
      </c>
      <c r="P6831" t="n">
        <v>0</v>
      </c>
      <c r="Q6831" t="n">
        <v>0</v>
      </c>
      <c r="R6831" s="2" t="inlineStr"/>
    </row>
    <row r="6832" ht="15" customHeight="1">
      <c r="A6832" t="inlineStr">
        <is>
          <t>A 39514-2024</t>
        </is>
      </c>
      <c r="B6832" s="1" t="n">
        <v>45551.69674768519</v>
      </c>
      <c r="C6832" s="1" t="n">
        <v>45952</v>
      </c>
      <c r="D6832" t="inlineStr">
        <is>
          <t>VÄSTRA GÖTALANDS LÄN</t>
        </is>
      </c>
      <c r="E6832" t="inlineStr">
        <is>
          <t>FALKÖPING</t>
        </is>
      </c>
      <c r="G6832" t="n">
        <v>0.6</v>
      </c>
      <c r="H6832" t="n">
        <v>0</v>
      </c>
      <c r="I6832" t="n">
        <v>0</v>
      </c>
      <c r="J6832" t="n">
        <v>0</v>
      </c>
      <c r="K6832" t="n">
        <v>0</v>
      </c>
      <c r="L6832" t="n">
        <v>0</v>
      </c>
      <c r="M6832" t="n">
        <v>0</v>
      </c>
      <c r="N6832" t="n">
        <v>0</v>
      </c>
      <c r="O6832" t="n">
        <v>0</v>
      </c>
      <c r="P6832" t="n">
        <v>0</v>
      </c>
      <c r="Q6832" t="n">
        <v>0</v>
      </c>
      <c r="R6832" s="2" t="inlineStr"/>
    </row>
    <row r="6833" ht="15" customHeight="1">
      <c r="A6833" t="inlineStr">
        <is>
          <t>A 39534-2024</t>
        </is>
      </c>
      <c r="B6833" s="1" t="n">
        <v>45551</v>
      </c>
      <c r="C6833" s="1" t="n">
        <v>45952</v>
      </c>
      <c r="D6833" t="inlineStr">
        <is>
          <t>VÄSTRA GÖTALANDS LÄN</t>
        </is>
      </c>
      <c r="E6833" t="inlineStr">
        <is>
          <t>ÅMÅL</t>
        </is>
      </c>
      <c r="G6833" t="n">
        <v>2.5</v>
      </c>
      <c r="H6833" t="n">
        <v>0</v>
      </c>
      <c r="I6833" t="n">
        <v>0</v>
      </c>
      <c r="J6833" t="n">
        <v>0</v>
      </c>
      <c r="K6833" t="n">
        <v>0</v>
      </c>
      <c r="L6833" t="n">
        <v>0</v>
      </c>
      <c r="M6833" t="n">
        <v>0</v>
      </c>
      <c r="N6833" t="n">
        <v>0</v>
      </c>
      <c r="O6833" t="n">
        <v>0</v>
      </c>
      <c r="P6833" t="n">
        <v>0</v>
      </c>
      <c r="Q6833" t="n">
        <v>0</v>
      </c>
      <c r="R6833" s="2" t="inlineStr"/>
    </row>
    <row r="6834" ht="15" customHeight="1">
      <c r="A6834" t="inlineStr">
        <is>
          <t>A 39535-2024</t>
        </is>
      </c>
      <c r="B6834" s="1" t="n">
        <v>45551.87788194444</v>
      </c>
      <c r="C6834" s="1" t="n">
        <v>45952</v>
      </c>
      <c r="D6834" t="inlineStr">
        <is>
          <t>VÄSTRA GÖTALANDS LÄN</t>
        </is>
      </c>
      <c r="E6834" t="inlineStr">
        <is>
          <t>MELLERUD</t>
        </is>
      </c>
      <c r="G6834" t="n">
        <v>4.7</v>
      </c>
      <c r="H6834" t="n">
        <v>0</v>
      </c>
      <c r="I6834" t="n">
        <v>0</v>
      </c>
      <c r="J6834" t="n">
        <v>0</v>
      </c>
      <c r="K6834" t="n">
        <v>0</v>
      </c>
      <c r="L6834" t="n">
        <v>0</v>
      </c>
      <c r="M6834" t="n">
        <v>0</v>
      </c>
      <c r="N6834" t="n">
        <v>0</v>
      </c>
      <c r="O6834" t="n">
        <v>0</v>
      </c>
      <c r="P6834" t="n">
        <v>0</v>
      </c>
      <c r="Q6834" t="n">
        <v>0</v>
      </c>
      <c r="R6834" s="2" t="inlineStr"/>
    </row>
    <row r="6835" ht="15" customHeight="1">
      <c r="A6835" t="inlineStr">
        <is>
          <t>A 5515-2025</t>
        </is>
      </c>
      <c r="B6835" s="1" t="n">
        <v>45693.40458333334</v>
      </c>
      <c r="C6835" s="1" t="n">
        <v>45952</v>
      </c>
      <c r="D6835" t="inlineStr">
        <is>
          <t>VÄSTRA GÖTALANDS LÄN</t>
        </is>
      </c>
      <c r="E6835" t="inlineStr">
        <is>
          <t>FÄRGELANDA</t>
        </is>
      </c>
      <c r="G6835" t="n">
        <v>2.6</v>
      </c>
      <c r="H6835" t="n">
        <v>0</v>
      </c>
      <c r="I6835" t="n">
        <v>0</v>
      </c>
      <c r="J6835" t="n">
        <v>0</v>
      </c>
      <c r="K6835" t="n">
        <v>0</v>
      </c>
      <c r="L6835" t="n">
        <v>0</v>
      </c>
      <c r="M6835" t="n">
        <v>0</v>
      </c>
      <c r="N6835" t="n">
        <v>0</v>
      </c>
      <c r="O6835" t="n">
        <v>0</v>
      </c>
      <c r="P6835" t="n">
        <v>0</v>
      </c>
      <c r="Q6835" t="n">
        <v>0</v>
      </c>
      <c r="R6835" s="2" t="inlineStr"/>
    </row>
    <row r="6836" ht="15" customHeight="1">
      <c r="A6836" t="inlineStr">
        <is>
          <t>A 28205-2021</t>
        </is>
      </c>
      <c r="B6836" s="1" t="n">
        <v>44355</v>
      </c>
      <c r="C6836" s="1" t="n">
        <v>45952</v>
      </c>
      <c r="D6836" t="inlineStr">
        <is>
          <t>VÄSTRA GÖTALANDS LÄN</t>
        </is>
      </c>
      <c r="E6836" t="inlineStr">
        <is>
          <t>GÖTENE</t>
        </is>
      </c>
      <c r="G6836" t="n">
        <v>1.6</v>
      </c>
      <c r="H6836" t="n">
        <v>0</v>
      </c>
      <c r="I6836" t="n">
        <v>0</v>
      </c>
      <c r="J6836" t="n">
        <v>0</v>
      </c>
      <c r="K6836" t="n">
        <v>0</v>
      </c>
      <c r="L6836" t="n">
        <v>0</v>
      </c>
      <c r="M6836" t="n">
        <v>0</v>
      </c>
      <c r="N6836" t="n">
        <v>0</v>
      </c>
      <c r="O6836" t="n">
        <v>0</v>
      </c>
      <c r="P6836" t="n">
        <v>0</v>
      </c>
      <c r="Q6836" t="n">
        <v>0</v>
      </c>
      <c r="R6836" s="2" t="inlineStr"/>
    </row>
    <row r="6837" ht="15" customHeight="1">
      <c r="A6837" t="inlineStr">
        <is>
          <t>A 57710-2022</t>
        </is>
      </c>
      <c r="B6837" s="1" t="n">
        <v>44897.5384375</v>
      </c>
      <c r="C6837" s="1" t="n">
        <v>45952</v>
      </c>
      <c r="D6837" t="inlineStr">
        <is>
          <t>VÄSTRA GÖTALANDS LÄN</t>
        </is>
      </c>
      <c r="E6837" t="inlineStr">
        <is>
          <t>ÅMÅL</t>
        </is>
      </c>
      <c r="G6837" t="n">
        <v>0.5</v>
      </c>
      <c r="H6837" t="n">
        <v>0</v>
      </c>
      <c r="I6837" t="n">
        <v>0</v>
      </c>
      <c r="J6837" t="n">
        <v>0</v>
      </c>
      <c r="K6837" t="n">
        <v>0</v>
      </c>
      <c r="L6837" t="n">
        <v>0</v>
      </c>
      <c r="M6837" t="n">
        <v>0</v>
      </c>
      <c r="N6837" t="n">
        <v>0</v>
      </c>
      <c r="O6837" t="n">
        <v>0</v>
      </c>
      <c r="P6837" t="n">
        <v>0</v>
      </c>
      <c r="Q6837" t="n">
        <v>0</v>
      </c>
      <c r="R6837" s="2" t="inlineStr"/>
    </row>
    <row r="6838" ht="15" customHeight="1">
      <c r="A6838" t="inlineStr">
        <is>
          <t>A 7162-2025</t>
        </is>
      </c>
      <c r="B6838" s="1" t="n">
        <v>45702.39122685185</v>
      </c>
      <c r="C6838" s="1" t="n">
        <v>45952</v>
      </c>
      <c r="D6838" t="inlineStr">
        <is>
          <t>VÄSTRA GÖTALANDS LÄN</t>
        </is>
      </c>
      <c r="E6838" t="inlineStr">
        <is>
          <t>MARIESTAD</t>
        </is>
      </c>
      <c r="F6838" t="inlineStr">
        <is>
          <t>Sveaskog</t>
        </is>
      </c>
      <c r="G6838" t="n">
        <v>2</v>
      </c>
      <c r="H6838" t="n">
        <v>0</v>
      </c>
      <c r="I6838" t="n">
        <v>0</v>
      </c>
      <c r="J6838" t="n">
        <v>0</v>
      </c>
      <c r="K6838" t="n">
        <v>0</v>
      </c>
      <c r="L6838" t="n">
        <v>0</v>
      </c>
      <c r="M6838" t="n">
        <v>0</v>
      </c>
      <c r="N6838" t="n">
        <v>0</v>
      </c>
      <c r="O6838" t="n">
        <v>0</v>
      </c>
      <c r="P6838" t="n">
        <v>0</v>
      </c>
      <c r="Q6838" t="n">
        <v>0</v>
      </c>
      <c r="R6838" s="2" t="inlineStr"/>
    </row>
    <row r="6839" ht="15" customHeight="1">
      <c r="A6839" t="inlineStr">
        <is>
          <t>A 65872-2021</t>
        </is>
      </c>
      <c r="B6839" s="1" t="n">
        <v>44517.39930555555</v>
      </c>
      <c r="C6839" s="1" t="n">
        <v>45952</v>
      </c>
      <c r="D6839" t="inlineStr">
        <is>
          <t>VÄSTRA GÖTALANDS LÄN</t>
        </is>
      </c>
      <c r="E6839" t="inlineStr">
        <is>
          <t>ULRICEHAMN</t>
        </is>
      </c>
      <c r="G6839" t="n">
        <v>2.4</v>
      </c>
      <c r="H6839" t="n">
        <v>0</v>
      </c>
      <c r="I6839" t="n">
        <v>0</v>
      </c>
      <c r="J6839" t="n">
        <v>0</v>
      </c>
      <c r="K6839" t="n">
        <v>0</v>
      </c>
      <c r="L6839" t="n">
        <v>0</v>
      </c>
      <c r="M6839" t="n">
        <v>0</v>
      </c>
      <c r="N6839" t="n">
        <v>0</v>
      </c>
      <c r="O6839" t="n">
        <v>0</v>
      </c>
      <c r="P6839" t="n">
        <v>0</v>
      </c>
      <c r="Q6839" t="n">
        <v>0</v>
      </c>
      <c r="R6839" s="2" t="inlineStr"/>
    </row>
    <row r="6840" ht="15" customHeight="1">
      <c r="A6840" t="inlineStr">
        <is>
          <t>A 35056-2023</t>
        </is>
      </c>
      <c r="B6840" s="1" t="n">
        <v>45142</v>
      </c>
      <c r="C6840" s="1" t="n">
        <v>45952</v>
      </c>
      <c r="D6840" t="inlineStr">
        <is>
          <t>VÄSTRA GÖTALANDS LÄN</t>
        </is>
      </c>
      <c r="E6840" t="inlineStr">
        <is>
          <t>VARA</t>
        </is>
      </c>
      <c r="G6840" t="n">
        <v>7</v>
      </c>
      <c r="H6840" t="n">
        <v>0</v>
      </c>
      <c r="I6840" t="n">
        <v>0</v>
      </c>
      <c r="J6840" t="n">
        <v>0</v>
      </c>
      <c r="K6840" t="n">
        <v>0</v>
      </c>
      <c r="L6840" t="n">
        <v>0</v>
      </c>
      <c r="M6840" t="n">
        <v>0</v>
      </c>
      <c r="N6840" t="n">
        <v>0</v>
      </c>
      <c r="O6840" t="n">
        <v>0</v>
      </c>
      <c r="P6840" t="n">
        <v>0</v>
      </c>
      <c r="Q6840" t="n">
        <v>0</v>
      </c>
      <c r="R6840" s="2" t="inlineStr"/>
    </row>
    <row r="6841" ht="15" customHeight="1">
      <c r="A6841" t="inlineStr">
        <is>
          <t>A 12026-2022</t>
        </is>
      </c>
      <c r="B6841" s="1" t="n">
        <v>44636</v>
      </c>
      <c r="C6841" s="1" t="n">
        <v>45952</v>
      </c>
      <c r="D6841" t="inlineStr">
        <is>
          <t>VÄSTRA GÖTALANDS LÄN</t>
        </is>
      </c>
      <c r="E6841" t="inlineStr">
        <is>
          <t>TIDAHOLM</t>
        </is>
      </c>
      <c r="G6841" t="n">
        <v>18.8</v>
      </c>
      <c r="H6841" t="n">
        <v>0</v>
      </c>
      <c r="I6841" t="n">
        <v>0</v>
      </c>
      <c r="J6841" t="n">
        <v>0</v>
      </c>
      <c r="K6841" t="n">
        <v>0</v>
      </c>
      <c r="L6841" t="n">
        <v>0</v>
      </c>
      <c r="M6841" t="n">
        <v>0</v>
      </c>
      <c r="N6841" t="n">
        <v>0</v>
      </c>
      <c r="O6841" t="n">
        <v>0</v>
      </c>
      <c r="P6841" t="n">
        <v>0</v>
      </c>
      <c r="Q6841" t="n">
        <v>0</v>
      </c>
      <c r="R6841" s="2" t="inlineStr"/>
    </row>
    <row r="6842" ht="15" customHeight="1">
      <c r="A6842" t="inlineStr">
        <is>
          <t>A 32518-2022</t>
        </is>
      </c>
      <c r="B6842" s="1" t="n">
        <v>44782.91590277778</v>
      </c>
      <c r="C6842" s="1" t="n">
        <v>45952</v>
      </c>
      <c r="D6842" t="inlineStr">
        <is>
          <t>VÄSTRA GÖTALANDS LÄN</t>
        </is>
      </c>
      <c r="E6842" t="inlineStr">
        <is>
          <t>HJO</t>
        </is>
      </c>
      <c r="G6842" t="n">
        <v>2.3</v>
      </c>
      <c r="H6842" t="n">
        <v>0</v>
      </c>
      <c r="I6842" t="n">
        <v>0</v>
      </c>
      <c r="J6842" t="n">
        <v>0</v>
      </c>
      <c r="K6842" t="n">
        <v>0</v>
      </c>
      <c r="L6842" t="n">
        <v>0</v>
      </c>
      <c r="M6842" t="n">
        <v>0</v>
      </c>
      <c r="N6842" t="n">
        <v>0</v>
      </c>
      <c r="O6842" t="n">
        <v>0</v>
      </c>
      <c r="P6842" t="n">
        <v>0</v>
      </c>
      <c r="Q6842" t="n">
        <v>0</v>
      </c>
      <c r="R6842" s="2" t="inlineStr"/>
    </row>
    <row r="6843" ht="15" customHeight="1">
      <c r="A6843" t="inlineStr">
        <is>
          <t>A 16939-2023</t>
        </is>
      </c>
      <c r="B6843" s="1" t="n">
        <v>45033.63331018519</v>
      </c>
      <c r="C6843" s="1" t="n">
        <v>45952</v>
      </c>
      <c r="D6843" t="inlineStr">
        <is>
          <t>VÄSTRA GÖTALANDS LÄN</t>
        </is>
      </c>
      <c r="E6843" t="inlineStr">
        <is>
          <t>FALKÖPING</t>
        </is>
      </c>
      <c r="G6843" t="n">
        <v>1</v>
      </c>
      <c r="H6843" t="n">
        <v>0</v>
      </c>
      <c r="I6843" t="n">
        <v>0</v>
      </c>
      <c r="J6843" t="n">
        <v>0</v>
      </c>
      <c r="K6843" t="n">
        <v>0</v>
      </c>
      <c r="L6843" t="n">
        <v>0</v>
      </c>
      <c r="M6843" t="n">
        <v>0</v>
      </c>
      <c r="N6843" t="n">
        <v>0</v>
      </c>
      <c r="O6843" t="n">
        <v>0</v>
      </c>
      <c r="P6843" t="n">
        <v>0</v>
      </c>
      <c r="Q6843" t="n">
        <v>0</v>
      </c>
      <c r="R6843" s="2" t="inlineStr"/>
    </row>
    <row r="6844" ht="15" customHeight="1">
      <c r="A6844" t="inlineStr">
        <is>
          <t>A 19531-2023</t>
        </is>
      </c>
      <c r="B6844" s="1" t="n">
        <v>45050.54896990741</v>
      </c>
      <c r="C6844" s="1" t="n">
        <v>45952</v>
      </c>
      <c r="D6844" t="inlineStr">
        <is>
          <t>VÄSTRA GÖTALANDS LÄN</t>
        </is>
      </c>
      <c r="E6844" t="inlineStr">
        <is>
          <t>KUNGÄLV</t>
        </is>
      </c>
      <c r="G6844" t="n">
        <v>1.9</v>
      </c>
      <c r="H6844" t="n">
        <v>0</v>
      </c>
      <c r="I6844" t="n">
        <v>0</v>
      </c>
      <c r="J6844" t="n">
        <v>0</v>
      </c>
      <c r="K6844" t="n">
        <v>0</v>
      </c>
      <c r="L6844" t="n">
        <v>0</v>
      </c>
      <c r="M6844" t="n">
        <v>0</v>
      </c>
      <c r="N6844" t="n">
        <v>0</v>
      </c>
      <c r="O6844" t="n">
        <v>0</v>
      </c>
      <c r="P6844" t="n">
        <v>0</v>
      </c>
      <c r="Q6844" t="n">
        <v>0</v>
      </c>
      <c r="R6844" s="2" t="inlineStr"/>
    </row>
    <row r="6845" ht="15" customHeight="1">
      <c r="A6845" t="inlineStr">
        <is>
          <t>A 43460-2024</t>
        </is>
      </c>
      <c r="B6845" s="1" t="n">
        <v>45568.70137731481</v>
      </c>
      <c r="C6845" s="1" t="n">
        <v>45952</v>
      </c>
      <c r="D6845" t="inlineStr">
        <is>
          <t>VÄSTRA GÖTALANDS LÄN</t>
        </is>
      </c>
      <c r="E6845" t="inlineStr">
        <is>
          <t>LIDKÖPING</t>
        </is>
      </c>
      <c r="G6845" t="n">
        <v>0.8</v>
      </c>
      <c r="H6845" t="n">
        <v>0</v>
      </c>
      <c r="I6845" t="n">
        <v>0</v>
      </c>
      <c r="J6845" t="n">
        <v>0</v>
      </c>
      <c r="K6845" t="n">
        <v>0</v>
      </c>
      <c r="L6845" t="n">
        <v>0</v>
      </c>
      <c r="M6845" t="n">
        <v>0</v>
      </c>
      <c r="N6845" t="n">
        <v>0</v>
      </c>
      <c r="O6845" t="n">
        <v>0</v>
      </c>
      <c r="P6845" t="n">
        <v>0</v>
      </c>
      <c r="Q6845" t="n">
        <v>0</v>
      </c>
      <c r="R6845" s="2" t="inlineStr"/>
    </row>
    <row r="6846" ht="15" customHeight="1">
      <c r="A6846" t="inlineStr">
        <is>
          <t>A 40864-2021</t>
        </is>
      </c>
      <c r="B6846" s="1" t="n">
        <v>44421</v>
      </c>
      <c r="C6846" s="1" t="n">
        <v>45952</v>
      </c>
      <c r="D6846" t="inlineStr">
        <is>
          <t>VÄSTRA GÖTALANDS LÄN</t>
        </is>
      </c>
      <c r="E6846" t="inlineStr">
        <is>
          <t>TROLLHÄTTAN</t>
        </is>
      </c>
      <c r="G6846" t="n">
        <v>2.4</v>
      </c>
      <c r="H6846" t="n">
        <v>0</v>
      </c>
      <c r="I6846" t="n">
        <v>0</v>
      </c>
      <c r="J6846" t="n">
        <v>0</v>
      </c>
      <c r="K6846" t="n">
        <v>0</v>
      </c>
      <c r="L6846" t="n">
        <v>0</v>
      </c>
      <c r="M6846" t="n">
        <v>0</v>
      </c>
      <c r="N6846" t="n">
        <v>0</v>
      </c>
      <c r="O6846" t="n">
        <v>0</v>
      </c>
      <c r="P6846" t="n">
        <v>0</v>
      </c>
      <c r="Q6846" t="n">
        <v>0</v>
      </c>
      <c r="R6846" s="2" t="inlineStr"/>
    </row>
    <row r="6847" ht="15" customHeight="1">
      <c r="A6847" t="inlineStr">
        <is>
          <t>A 30478-2023</t>
        </is>
      </c>
      <c r="B6847" s="1" t="n">
        <v>45111.600625</v>
      </c>
      <c r="C6847" s="1" t="n">
        <v>45952</v>
      </c>
      <c r="D6847" t="inlineStr">
        <is>
          <t>VÄSTRA GÖTALANDS LÄN</t>
        </is>
      </c>
      <c r="E6847" t="inlineStr">
        <is>
          <t>ALINGSÅS</t>
        </is>
      </c>
      <c r="G6847" t="n">
        <v>5.4</v>
      </c>
      <c r="H6847" t="n">
        <v>0</v>
      </c>
      <c r="I6847" t="n">
        <v>0</v>
      </c>
      <c r="J6847" t="n">
        <v>0</v>
      </c>
      <c r="K6847" t="n">
        <v>0</v>
      </c>
      <c r="L6847" t="n">
        <v>0</v>
      </c>
      <c r="M6847" t="n">
        <v>0</v>
      </c>
      <c r="N6847" t="n">
        <v>0</v>
      </c>
      <c r="O6847" t="n">
        <v>0</v>
      </c>
      <c r="P6847" t="n">
        <v>0</v>
      </c>
      <c r="Q6847" t="n">
        <v>0</v>
      </c>
      <c r="R6847" s="2" t="inlineStr"/>
    </row>
    <row r="6848" ht="15" customHeight="1">
      <c r="A6848" t="inlineStr">
        <is>
          <t>A 30479-2023</t>
        </is>
      </c>
      <c r="B6848" s="1" t="n">
        <v>45111.60162037037</v>
      </c>
      <c r="C6848" s="1" t="n">
        <v>45952</v>
      </c>
      <c r="D6848" t="inlineStr">
        <is>
          <t>VÄSTRA GÖTALANDS LÄN</t>
        </is>
      </c>
      <c r="E6848" t="inlineStr">
        <is>
          <t>SKARA</t>
        </is>
      </c>
      <c r="G6848" t="n">
        <v>0.5</v>
      </c>
      <c r="H6848" t="n">
        <v>0</v>
      </c>
      <c r="I6848" t="n">
        <v>0</v>
      </c>
      <c r="J6848" t="n">
        <v>0</v>
      </c>
      <c r="K6848" t="n">
        <v>0</v>
      </c>
      <c r="L6848" t="n">
        <v>0</v>
      </c>
      <c r="M6848" t="n">
        <v>0</v>
      </c>
      <c r="N6848" t="n">
        <v>0</v>
      </c>
      <c r="O6848" t="n">
        <v>0</v>
      </c>
      <c r="P6848" t="n">
        <v>0</v>
      </c>
      <c r="Q6848" t="n">
        <v>0</v>
      </c>
      <c r="R6848" s="2" t="inlineStr"/>
    </row>
    <row r="6849" ht="15" customHeight="1">
      <c r="A6849" t="inlineStr">
        <is>
          <t>A 56904-2023</t>
        </is>
      </c>
      <c r="B6849" s="1" t="n">
        <v>45244</v>
      </c>
      <c r="C6849" s="1" t="n">
        <v>45952</v>
      </c>
      <c r="D6849" t="inlineStr">
        <is>
          <t>VÄSTRA GÖTALANDS LÄN</t>
        </is>
      </c>
      <c r="E6849" t="inlineStr">
        <is>
          <t>MARK</t>
        </is>
      </c>
      <c r="G6849" t="n">
        <v>1.9</v>
      </c>
      <c r="H6849" t="n">
        <v>0</v>
      </c>
      <c r="I6849" t="n">
        <v>0</v>
      </c>
      <c r="J6849" t="n">
        <v>0</v>
      </c>
      <c r="K6849" t="n">
        <v>0</v>
      </c>
      <c r="L6849" t="n">
        <v>0</v>
      </c>
      <c r="M6849" t="n">
        <v>0</v>
      </c>
      <c r="N6849" t="n">
        <v>0</v>
      </c>
      <c r="O6849" t="n">
        <v>0</v>
      </c>
      <c r="P6849" t="n">
        <v>0</v>
      </c>
      <c r="Q6849" t="n">
        <v>0</v>
      </c>
      <c r="R6849" s="2" t="inlineStr"/>
    </row>
    <row r="6850" ht="15" customHeight="1">
      <c r="A6850" t="inlineStr">
        <is>
          <t>A 58354-2024</t>
        </is>
      </c>
      <c r="B6850" s="1" t="n">
        <v>45632.6547337963</v>
      </c>
      <c r="C6850" s="1" t="n">
        <v>45952</v>
      </c>
      <c r="D6850" t="inlineStr">
        <is>
          <t>VÄSTRA GÖTALANDS LÄN</t>
        </is>
      </c>
      <c r="E6850" t="inlineStr">
        <is>
          <t>DALS-ED</t>
        </is>
      </c>
      <c r="G6850" t="n">
        <v>3.3</v>
      </c>
      <c r="H6850" t="n">
        <v>0</v>
      </c>
      <c r="I6850" t="n">
        <v>0</v>
      </c>
      <c r="J6850" t="n">
        <v>0</v>
      </c>
      <c r="K6850" t="n">
        <v>0</v>
      </c>
      <c r="L6850" t="n">
        <v>0</v>
      </c>
      <c r="M6850" t="n">
        <v>0</v>
      </c>
      <c r="N6850" t="n">
        <v>0</v>
      </c>
      <c r="O6850" t="n">
        <v>0</v>
      </c>
      <c r="P6850" t="n">
        <v>0</v>
      </c>
      <c r="Q6850" t="n">
        <v>0</v>
      </c>
      <c r="R6850" s="2" t="inlineStr"/>
    </row>
    <row r="6851" ht="15" customHeight="1">
      <c r="A6851" t="inlineStr">
        <is>
          <t>A 30440-2024</t>
        </is>
      </c>
      <c r="B6851" s="1" t="n">
        <v>45491.81488425926</v>
      </c>
      <c r="C6851" s="1" t="n">
        <v>45952</v>
      </c>
      <c r="D6851" t="inlineStr">
        <is>
          <t>VÄSTRA GÖTALANDS LÄN</t>
        </is>
      </c>
      <c r="E6851" t="inlineStr">
        <is>
          <t>ORUST</t>
        </is>
      </c>
      <c r="G6851" t="n">
        <v>1.9</v>
      </c>
      <c r="H6851" t="n">
        <v>0</v>
      </c>
      <c r="I6851" t="n">
        <v>0</v>
      </c>
      <c r="J6851" t="n">
        <v>0</v>
      </c>
      <c r="K6851" t="n">
        <v>0</v>
      </c>
      <c r="L6851" t="n">
        <v>0</v>
      </c>
      <c r="M6851" t="n">
        <v>0</v>
      </c>
      <c r="N6851" t="n">
        <v>0</v>
      </c>
      <c r="O6851" t="n">
        <v>0</v>
      </c>
      <c r="P6851" t="n">
        <v>0</v>
      </c>
      <c r="Q6851" t="n">
        <v>0</v>
      </c>
      <c r="R6851" s="2" t="inlineStr"/>
    </row>
    <row r="6852" ht="15" customHeight="1">
      <c r="A6852" t="inlineStr">
        <is>
          <t>A 4513-2025</t>
        </is>
      </c>
      <c r="B6852" s="1" t="n">
        <v>45686.83392361111</v>
      </c>
      <c r="C6852" s="1" t="n">
        <v>45952</v>
      </c>
      <c r="D6852" t="inlineStr">
        <is>
          <t>VÄSTRA GÖTALANDS LÄN</t>
        </is>
      </c>
      <c r="E6852" t="inlineStr">
        <is>
          <t>ULRICEHAMN</t>
        </is>
      </c>
      <c r="G6852" t="n">
        <v>0.7</v>
      </c>
      <c r="H6852" t="n">
        <v>0</v>
      </c>
      <c r="I6852" t="n">
        <v>0</v>
      </c>
      <c r="J6852" t="n">
        <v>0</v>
      </c>
      <c r="K6852" t="n">
        <v>0</v>
      </c>
      <c r="L6852" t="n">
        <v>0</v>
      </c>
      <c r="M6852" t="n">
        <v>0</v>
      </c>
      <c r="N6852" t="n">
        <v>0</v>
      </c>
      <c r="O6852" t="n">
        <v>0</v>
      </c>
      <c r="P6852" t="n">
        <v>0</v>
      </c>
      <c r="Q6852" t="n">
        <v>0</v>
      </c>
      <c r="R6852" s="2" t="inlineStr"/>
    </row>
    <row r="6853" ht="15" customHeight="1">
      <c r="A6853" t="inlineStr">
        <is>
          <t>A 57692-2023</t>
        </is>
      </c>
      <c r="B6853" s="1" t="n">
        <v>45243</v>
      </c>
      <c r="C6853" s="1" t="n">
        <v>45952</v>
      </c>
      <c r="D6853" t="inlineStr">
        <is>
          <t>VÄSTRA GÖTALANDS LÄN</t>
        </is>
      </c>
      <c r="E6853" t="inlineStr">
        <is>
          <t>MARIESTAD</t>
        </is>
      </c>
      <c r="G6853" t="n">
        <v>9.699999999999999</v>
      </c>
      <c r="H6853" t="n">
        <v>0</v>
      </c>
      <c r="I6853" t="n">
        <v>0</v>
      </c>
      <c r="J6853" t="n">
        <v>0</v>
      </c>
      <c r="K6853" t="n">
        <v>0</v>
      </c>
      <c r="L6853" t="n">
        <v>0</v>
      </c>
      <c r="M6853" t="n">
        <v>0</v>
      </c>
      <c r="N6853" t="n">
        <v>0</v>
      </c>
      <c r="O6853" t="n">
        <v>0</v>
      </c>
      <c r="P6853" t="n">
        <v>0</v>
      </c>
      <c r="Q6853" t="n">
        <v>0</v>
      </c>
      <c r="R6853" s="2" t="inlineStr"/>
    </row>
    <row r="6854" ht="15" customHeight="1">
      <c r="A6854" t="inlineStr">
        <is>
          <t>A 58097-2023</t>
        </is>
      </c>
      <c r="B6854" s="1" t="n">
        <v>45248.84173611111</v>
      </c>
      <c r="C6854" s="1" t="n">
        <v>45952</v>
      </c>
      <c r="D6854" t="inlineStr">
        <is>
          <t>VÄSTRA GÖTALANDS LÄN</t>
        </is>
      </c>
      <c r="E6854" t="inlineStr">
        <is>
          <t>ÅMÅL</t>
        </is>
      </c>
      <c r="G6854" t="n">
        <v>0.5</v>
      </c>
      <c r="H6854" t="n">
        <v>0</v>
      </c>
      <c r="I6854" t="n">
        <v>0</v>
      </c>
      <c r="J6854" t="n">
        <v>0</v>
      </c>
      <c r="K6854" t="n">
        <v>0</v>
      </c>
      <c r="L6854" t="n">
        <v>0</v>
      </c>
      <c r="M6854" t="n">
        <v>0</v>
      </c>
      <c r="N6854" t="n">
        <v>0</v>
      </c>
      <c r="O6854" t="n">
        <v>0</v>
      </c>
      <c r="P6854" t="n">
        <v>0</v>
      </c>
      <c r="Q6854" t="n">
        <v>0</v>
      </c>
      <c r="R6854" s="2" t="inlineStr"/>
    </row>
    <row r="6855" ht="15" customHeight="1">
      <c r="A6855" t="inlineStr">
        <is>
          <t>A 9368-2024</t>
        </is>
      </c>
      <c r="B6855" s="1" t="n">
        <v>45359</v>
      </c>
      <c r="C6855" s="1" t="n">
        <v>45952</v>
      </c>
      <c r="D6855" t="inlineStr">
        <is>
          <t>VÄSTRA GÖTALANDS LÄN</t>
        </is>
      </c>
      <c r="E6855" t="inlineStr">
        <is>
          <t>TRANEMO</t>
        </is>
      </c>
      <c r="G6855" t="n">
        <v>1.1</v>
      </c>
      <c r="H6855" t="n">
        <v>0</v>
      </c>
      <c r="I6855" t="n">
        <v>0</v>
      </c>
      <c r="J6855" t="n">
        <v>0</v>
      </c>
      <c r="K6855" t="n">
        <v>0</v>
      </c>
      <c r="L6855" t="n">
        <v>0</v>
      </c>
      <c r="M6855" t="n">
        <v>0</v>
      </c>
      <c r="N6855" t="n">
        <v>0</v>
      </c>
      <c r="O6855" t="n">
        <v>0</v>
      </c>
      <c r="P6855" t="n">
        <v>0</v>
      </c>
      <c r="Q6855" t="n">
        <v>0</v>
      </c>
      <c r="R6855" s="2" t="inlineStr"/>
    </row>
    <row r="6856" ht="15" customHeight="1">
      <c r="A6856" t="inlineStr">
        <is>
          <t>A 50034-2022</t>
        </is>
      </c>
      <c r="B6856" s="1" t="n">
        <v>44865.45782407407</v>
      </c>
      <c r="C6856" s="1" t="n">
        <v>45952</v>
      </c>
      <c r="D6856" t="inlineStr">
        <is>
          <t>VÄSTRA GÖTALANDS LÄN</t>
        </is>
      </c>
      <c r="E6856" t="inlineStr">
        <is>
          <t>STRÖMSTAD</t>
        </is>
      </c>
      <c r="G6856" t="n">
        <v>2.7</v>
      </c>
      <c r="H6856" t="n">
        <v>0</v>
      </c>
      <c r="I6856" t="n">
        <v>0</v>
      </c>
      <c r="J6856" t="n">
        <v>0</v>
      </c>
      <c r="K6856" t="n">
        <v>0</v>
      </c>
      <c r="L6856" t="n">
        <v>0</v>
      </c>
      <c r="M6856" t="n">
        <v>0</v>
      </c>
      <c r="N6856" t="n">
        <v>0</v>
      </c>
      <c r="O6856" t="n">
        <v>0</v>
      </c>
      <c r="P6856" t="n">
        <v>0</v>
      </c>
      <c r="Q6856" t="n">
        <v>0</v>
      </c>
      <c r="R6856" s="2" t="inlineStr"/>
    </row>
    <row r="6857" ht="15" customHeight="1">
      <c r="A6857" t="inlineStr">
        <is>
          <t>A 72801-2021</t>
        </is>
      </c>
      <c r="B6857" s="1" t="n">
        <v>44546</v>
      </c>
      <c r="C6857" s="1" t="n">
        <v>45952</v>
      </c>
      <c r="D6857" t="inlineStr">
        <is>
          <t>VÄSTRA GÖTALANDS LÄN</t>
        </is>
      </c>
      <c r="E6857" t="inlineStr">
        <is>
          <t>ALE</t>
        </is>
      </c>
      <c r="F6857" t="inlineStr">
        <is>
          <t>Naturvårdsverket</t>
        </is>
      </c>
      <c r="G6857" t="n">
        <v>1.4</v>
      </c>
      <c r="H6857" t="n">
        <v>0</v>
      </c>
      <c r="I6857" t="n">
        <v>0</v>
      </c>
      <c r="J6857" t="n">
        <v>0</v>
      </c>
      <c r="K6857" t="n">
        <v>0</v>
      </c>
      <c r="L6857" t="n">
        <v>0</v>
      </c>
      <c r="M6857" t="n">
        <v>0</v>
      </c>
      <c r="N6857" t="n">
        <v>0</v>
      </c>
      <c r="O6857" t="n">
        <v>0</v>
      </c>
      <c r="P6857" t="n">
        <v>0</v>
      </c>
      <c r="Q6857" t="n">
        <v>0</v>
      </c>
      <c r="R6857" s="2" t="inlineStr"/>
    </row>
    <row r="6858" ht="15" customHeight="1">
      <c r="A6858" t="inlineStr">
        <is>
          <t>A 7889-2025</t>
        </is>
      </c>
      <c r="B6858" s="1" t="n">
        <v>45707.23298611111</v>
      </c>
      <c r="C6858" s="1" t="n">
        <v>45952</v>
      </c>
      <c r="D6858" t="inlineStr">
        <is>
          <t>VÄSTRA GÖTALANDS LÄN</t>
        </is>
      </c>
      <c r="E6858" t="inlineStr">
        <is>
          <t>HERRLJUNGA</t>
        </is>
      </c>
      <c r="G6858" t="n">
        <v>4.5</v>
      </c>
      <c r="H6858" t="n">
        <v>0</v>
      </c>
      <c r="I6858" t="n">
        <v>0</v>
      </c>
      <c r="J6858" t="n">
        <v>0</v>
      </c>
      <c r="K6858" t="n">
        <v>0</v>
      </c>
      <c r="L6858" t="n">
        <v>0</v>
      </c>
      <c r="M6858" t="n">
        <v>0</v>
      </c>
      <c r="N6858" t="n">
        <v>0</v>
      </c>
      <c r="O6858" t="n">
        <v>0</v>
      </c>
      <c r="P6858" t="n">
        <v>0</v>
      </c>
      <c r="Q6858" t="n">
        <v>0</v>
      </c>
      <c r="R6858" s="2" t="inlineStr"/>
    </row>
    <row r="6859" ht="15" customHeight="1">
      <c r="A6859" t="inlineStr">
        <is>
          <t>A 67453-2020</t>
        </is>
      </c>
      <c r="B6859" s="1" t="n">
        <v>44181</v>
      </c>
      <c r="C6859" s="1" t="n">
        <v>45952</v>
      </c>
      <c r="D6859" t="inlineStr">
        <is>
          <t>VÄSTRA GÖTALANDS LÄN</t>
        </is>
      </c>
      <c r="E6859" t="inlineStr">
        <is>
          <t>VARA</t>
        </is>
      </c>
      <c r="G6859" t="n">
        <v>2.2</v>
      </c>
      <c r="H6859" t="n">
        <v>0</v>
      </c>
      <c r="I6859" t="n">
        <v>0</v>
      </c>
      <c r="J6859" t="n">
        <v>0</v>
      </c>
      <c r="K6859" t="n">
        <v>0</v>
      </c>
      <c r="L6859" t="n">
        <v>0</v>
      </c>
      <c r="M6859" t="n">
        <v>0</v>
      </c>
      <c r="N6859" t="n">
        <v>0</v>
      </c>
      <c r="O6859" t="n">
        <v>0</v>
      </c>
      <c r="P6859" t="n">
        <v>0</v>
      </c>
      <c r="Q6859" t="n">
        <v>0</v>
      </c>
      <c r="R6859" s="2" t="inlineStr"/>
    </row>
    <row r="6860" ht="15" customHeight="1">
      <c r="A6860" t="inlineStr">
        <is>
          <t>A 35487-2024</t>
        </is>
      </c>
      <c r="B6860" s="1" t="n">
        <v>45531</v>
      </c>
      <c r="C6860" s="1" t="n">
        <v>45952</v>
      </c>
      <c r="D6860" t="inlineStr">
        <is>
          <t>VÄSTRA GÖTALANDS LÄN</t>
        </is>
      </c>
      <c r="E6860" t="inlineStr">
        <is>
          <t>TÖREBODA</t>
        </is>
      </c>
      <c r="G6860" t="n">
        <v>7.2</v>
      </c>
      <c r="H6860" t="n">
        <v>0</v>
      </c>
      <c r="I6860" t="n">
        <v>0</v>
      </c>
      <c r="J6860" t="n">
        <v>0</v>
      </c>
      <c r="K6860" t="n">
        <v>0</v>
      </c>
      <c r="L6860" t="n">
        <v>0</v>
      </c>
      <c r="M6860" t="n">
        <v>0</v>
      </c>
      <c r="N6860" t="n">
        <v>0</v>
      </c>
      <c r="O6860" t="n">
        <v>0</v>
      </c>
      <c r="P6860" t="n">
        <v>0</v>
      </c>
      <c r="Q6860" t="n">
        <v>0</v>
      </c>
      <c r="R6860" s="2" t="inlineStr"/>
    </row>
    <row r="6861" ht="15" customHeight="1">
      <c r="A6861" t="inlineStr">
        <is>
          <t>A 10180-2024</t>
        </is>
      </c>
      <c r="B6861" s="1" t="n">
        <v>45364.8280787037</v>
      </c>
      <c r="C6861" s="1" t="n">
        <v>45952</v>
      </c>
      <c r="D6861" t="inlineStr">
        <is>
          <t>VÄSTRA GÖTALANDS LÄN</t>
        </is>
      </c>
      <c r="E6861" t="inlineStr">
        <is>
          <t>VARA</t>
        </is>
      </c>
      <c r="G6861" t="n">
        <v>2.6</v>
      </c>
      <c r="H6861" t="n">
        <v>0</v>
      </c>
      <c r="I6861" t="n">
        <v>0</v>
      </c>
      <c r="J6861" t="n">
        <v>0</v>
      </c>
      <c r="K6861" t="n">
        <v>0</v>
      </c>
      <c r="L6861" t="n">
        <v>0</v>
      </c>
      <c r="M6861" t="n">
        <v>0</v>
      </c>
      <c r="N6861" t="n">
        <v>0</v>
      </c>
      <c r="O6861" t="n">
        <v>0</v>
      </c>
      <c r="P6861" t="n">
        <v>0</v>
      </c>
      <c r="Q6861" t="n">
        <v>0</v>
      </c>
      <c r="R6861" s="2" t="inlineStr"/>
    </row>
    <row r="6862" ht="15" customHeight="1">
      <c r="A6862" t="inlineStr">
        <is>
          <t>A 38266-2021</t>
        </is>
      </c>
      <c r="B6862" s="1" t="n">
        <v>44405.86967592593</v>
      </c>
      <c r="C6862" s="1" t="n">
        <v>45952</v>
      </c>
      <c r="D6862" t="inlineStr">
        <is>
          <t>VÄSTRA GÖTALANDS LÄN</t>
        </is>
      </c>
      <c r="E6862" t="inlineStr">
        <is>
          <t>TÖREBODA</t>
        </is>
      </c>
      <c r="G6862" t="n">
        <v>3.3</v>
      </c>
      <c r="H6862" t="n">
        <v>0</v>
      </c>
      <c r="I6862" t="n">
        <v>0</v>
      </c>
      <c r="J6862" t="n">
        <v>0</v>
      </c>
      <c r="K6862" t="n">
        <v>0</v>
      </c>
      <c r="L6862" t="n">
        <v>0</v>
      </c>
      <c r="M6862" t="n">
        <v>0</v>
      </c>
      <c r="N6862" t="n">
        <v>0</v>
      </c>
      <c r="O6862" t="n">
        <v>0</v>
      </c>
      <c r="P6862" t="n">
        <v>0</v>
      </c>
      <c r="Q6862" t="n">
        <v>0</v>
      </c>
      <c r="R6862" s="2" t="inlineStr"/>
    </row>
    <row r="6863" ht="15" customHeight="1">
      <c r="A6863" t="inlineStr">
        <is>
          <t>A 30275-2024</t>
        </is>
      </c>
      <c r="B6863" s="1" t="n">
        <v>45490</v>
      </c>
      <c r="C6863" s="1" t="n">
        <v>45952</v>
      </c>
      <c r="D6863" t="inlineStr">
        <is>
          <t>VÄSTRA GÖTALANDS LÄN</t>
        </is>
      </c>
      <c r="E6863" t="inlineStr">
        <is>
          <t>MARK</t>
        </is>
      </c>
      <c r="G6863" t="n">
        <v>1.8</v>
      </c>
      <c r="H6863" t="n">
        <v>0</v>
      </c>
      <c r="I6863" t="n">
        <v>0</v>
      </c>
      <c r="J6863" t="n">
        <v>0</v>
      </c>
      <c r="K6863" t="n">
        <v>0</v>
      </c>
      <c r="L6863" t="n">
        <v>0</v>
      </c>
      <c r="M6863" t="n">
        <v>0</v>
      </c>
      <c r="N6863" t="n">
        <v>0</v>
      </c>
      <c r="O6863" t="n">
        <v>0</v>
      </c>
      <c r="P6863" t="n">
        <v>0</v>
      </c>
      <c r="Q6863" t="n">
        <v>0</v>
      </c>
      <c r="R6863" s="2" t="inlineStr"/>
    </row>
    <row r="6864" ht="15" customHeight="1">
      <c r="A6864" t="inlineStr">
        <is>
          <t>A 7628-2022</t>
        </is>
      </c>
      <c r="B6864" s="1" t="n">
        <v>44607</v>
      </c>
      <c r="C6864" s="1" t="n">
        <v>45952</v>
      </c>
      <c r="D6864" t="inlineStr">
        <is>
          <t>VÄSTRA GÖTALANDS LÄN</t>
        </is>
      </c>
      <c r="E6864" t="inlineStr">
        <is>
          <t>TROLLHÄTTAN</t>
        </is>
      </c>
      <c r="G6864" t="n">
        <v>2.1</v>
      </c>
      <c r="H6864" t="n">
        <v>0</v>
      </c>
      <c r="I6864" t="n">
        <v>0</v>
      </c>
      <c r="J6864" t="n">
        <v>0</v>
      </c>
      <c r="K6864" t="n">
        <v>0</v>
      </c>
      <c r="L6864" t="n">
        <v>0</v>
      </c>
      <c r="M6864" t="n">
        <v>0</v>
      </c>
      <c r="N6864" t="n">
        <v>0</v>
      </c>
      <c r="O6864" t="n">
        <v>0</v>
      </c>
      <c r="P6864" t="n">
        <v>0</v>
      </c>
      <c r="Q6864" t="n">
        <v>0</v>
      </c>
      <c r="R6864" s="2" t="inlineStr"/>
    </row>
    <row r="6865" ht="15" customHeight="1">
      <c r="A6865" t="inlineStr">
        <is>
          <t>A 48346-2024</t>
        </is>
      </c>
      <c r="B6865" s="1" t="n">
        <v>45590.55582175926</v>
      </c>
      <c r="C6865" s="1" t="n">
        <v>45952</v>
      </c>
      <c r="D6865" t="inlineStr">
        <is>
          <t>VÄSTRA GÖTALANDS LÄN</t>
        </is>
      </c>
      <c r="E6865" t="inlineStr">
        <is>
          <t>LIDKÖPING</t>
        </is>
      </c>
      <c r="G6865" t="n">
        <v>0.8</v>
      </c>
      <c r="H6865" t="n">
        <v>0</v>
      </c>
      <c r="I6865" t="n">
        <v>0</v>
      </c>
      <c r="J6865" t="n">
        <v>0</v>
      </c>
      <c r="K6865" t="n">
        <v>0</v>
      </c>
      <c r="L6865" t="n">
        <v>0</v>
      </c>
      <c r="M6865" t="n">
        <v>0</v>
      </c>
      <c r="N6865" t="n">
        <v>0</v>
      </c>
      <c r="O6865" t="n">
        <v>0</v>
      </c>
      <c r="P6865" t="n">
        <v>0</v>
      </c>
      <c r="Q6865" t="n">
        <v>0</v>
      </c>
      <c r="R6865" s="2" t="inlineStr"/>
    </row>
    <row r="6866" ht="15" customHeight="1">
      <c r="A6866" t="inlineStr">
        <is>
          <t>A 7443-2023</t>
        </is>
      </c>
      <c r="B6866" s="1" t="n">
        <v>44971</v>
      </c>
      <c r="C6866" s="1" t="n">
        <v>45952</v>
      </c>
      <c r="D6866" t="inlineStr">
        <is>
          <t>VÄSTRA GÖTALANDS LÄN</t>
        </is>
      </c>
      <c r="E6866" t="inlineStr">
        <is>
          <t>MELLERUD</t>
        </is>
      </c>
      <c r="G6866" t="n">
        <v>0.6</v>
      </c>
      <c r="H6866" t="n">
        <v>0</v>
      </c>
      <c r="I6866" t="n">
        <v>0</v>
      </c>
      <c r="J6866" t="n">
        <v>0</v>
      </c>
      <c r="K6866" t="n">
        <v>0</v>
      </c>
      <c r="L6866" t="n">
        <v>0</v>
      </c>
      <c r="M6866" t="n">
        <v>0</v>
      </c>
      <c r="N6866" t="n">
        <v>0</v>
      </c>
      <c r="O6866" t="n">
        <v>0</v>
      </c>
      <c r="P6866" t="n">
        <v>0</v>
      </c>
      <c r="Q6866" t="n">
        <v>0</v>
      </c>
      <c r="R6866" s="2" t="inlineStr"/>
    </row>
    <row r="6867" ht="15" customHeight="1">
      <c r="A6867" t="inlineStr">
        <is>
          <t>A 697-2024</t>
        </is>
      </c>
      <c r="B6867" s="1" t="n">
        <v>45300.3849537037</v>
      </c>
      <c r="C6867" s="1" t="n">
        <v>45952</v>
      </c>
      <c r="D6867" t="inlineStr">
        <is>
          <t>VÄSTRA GÖTALANDS LÄN</t>
        </is>
      </c>
      <c r="E6867" t="inlineStr">
        <is>
          <t>TANUM</t>
        </is>
      </c>
      <c r="G6867" t="n">
        <v>5.9</v>
      </c>
      <c r="H6867" t="n">
        <v>0</v>
      </c>
      <c r="I6867" t="n">
        <v>0</v>
      </c>
      <c r="J6867" t="n">
        <v>0</v>
      </c>
      <c r="K6867" t="n">
        <v>0</v>
      </c>
      <c r="L6867" t="n">
        <v>0</v>
      </c>
      <c r="M6867" t="n">
        <v>0</v>
      </c>
      <c r="N6867" t="n">
        <v>0</v>
      </c>
      <c r="O6867" t="n">
        <v>0</v>
      </c>
      <c r="P6867" t="n">
        <v>0</v>
      </c>
      <c r="Q6867" t="n">
        <v>0</v>
      </c>
      <c r="R6867" s="2" t="inlineStr"/>
    </row>
    <row r="6868" ht="15" customHeight="1">
      <c r="A6868" t="inlineStr">
        <is>
          <t>A 705-2024</t>
        </is>
      </c>
      <c r="B6868" s="1" t="n">
        <v>45300</v>
      </c>
      <c r="C6868" s="1" t="n">
        <v>45952</v>
      </c>
      <c r="D6868" t="inlineStr">
        <is>
          <t>VÄSTRA GÖTALANDS LÄN</t>
        </is>
      </c>
      <c r="E6868" t="inlineStr">
        <is>
          <t>ÅMÅL</t>
        </is>
      </c>
      <c r="F6868" t="inlineStr">
        <is>
          <t>Kyrkan</t>
        </is>
      </c>
      <c r="G6868" t="n">
        <v>2.7</v>
      </c>
      <c r="H6868" t="n">
        <v>0</v>
      </c>
      <c r="I6868" t="n">
        <v>0</v>
      </c>
      <c r="J6868" t="n">
        <v>0</v>
      </c>
      <c r="K6868" t="n">
        <v>0</v>
      </c>
      <c r="L6868" t="n">
        <v>0</v>
      </c>
      <c r="M6868" t="n">
        <v>0</v>
      </c>
      <c r="N6868" t="n">
        <v>0</v>
      </c>
      <c r="O6868" t="n">
        <v>0</v>
      </c>
      <c r="P6868" t="n">
        <v>0</v>
      </c>
      <c r="Q6868" t="n">
        <v>0</v>
      </c>
      <c r="R6868" s="2" t="inlineStr"/>
    </row>
    <row r="6869" ht="15" customHeight="1">
      <c r="A6869" t="inlineStr">
        <is>
          <t>A 53386-2023</t>
        </is>
      </c>
      <c r="B6869" s="1" t="n">
        <v>45223</v>
      </c>
      <c r="C6869" s="1" t="n">
        <v>45952</v>
      </c>
      <c r="D6869" t="inlineStr">
        <is>
          <t>VÄSTRA GÖTALANDS LÄN</t>
        </is>
      </c>
      <c r="E6869" t="inlineStr">
        <is>
          <t>BORÅS</t>
        </is>
      </c>
      <c r="G6869" t="n">
        <v>1</v>
      </c>
      <c r="H6869" t="n">
        <v>0</v>
      </c>
      <c r="I6869" t="n">
        <v>0</v>
      </c>
      <c r="J6869" t="n">
        <v>0</v>
      </c>
      <c r="K6869" t="n">
        <v>0</v>
      </c>
      <c r="L6869" t="n">
        <v>0</v>
      </c>
      <c r="M6869" t="n">
        <v>0</v>
      </c>
      <c r="N6869" t="n">
        <v>0</v>
      </c>
      <c r="O6869" t="n">
        <v>0</v>
      </c>
      <c r="P6869" t="n">
        <v>0</v>
      </c>
      <c r="Q6869" t="n">
        <v>0</v>
      </c>
      <c r="R6869" s="2" t="inlineStr"/>
    </row>
    <row r="6870" ht="15" customHeight="1">
      <c r="A6870" t="inlineStr">
        <is>
          <t>A 53424-2023</t>
        </is>
      </c>
      <c r="B6870" s="1" t="n">
        <v>45229</v>
      </c>
      <c r="C6870" s="1" t="n">
        <v>45952</v>
      </c>
      <c r="D6870" t="inlineStr">
        <is>
          <t>VÄSTRA GÖTALANDS LÄN</t>
        </is>
      </c>
      <c r="E6870" t="inlineStr">
        <is>
          <t>MUNKEDAL</t>
        </is>
      </c>
      <c r="G6870" t="n">
        <v>0.7</v>
      </c>
      <c r="H6870" t="n">
        <v>0</v>
      </c>
      <c r="I6870" t="n">
        <v>0</v>
      </c>
      <c r="J6870" t="n">
        <v>0</v>
      </c>
      <c r="K6870" t="n">
        <v>0</v>
      </c>
      <c r="L6870" t="n">
        <v>0</v>
      </c>
      <c r="M6870" t="n">
        <v>0</v>
      </c>
      <c r="N6870" t="n">
        <v>0</v>
      </c>
      <c r="O6870" t="n">
        <v>0</v>
      </c>
      <c r="P6870" t="n">
        <v>0</v>
      </c>
      <c r="Q6870" t="n">
        <v>0</v>
      </c>
      <c r="R6870" s="2" t="inlineStr"/>
    </row>
    <row r="6871" ht="15" customHeight="1">
      <c r="A6871" t="inlineStr">
        <is>
          <t>A 53425-2023</t>
        </is>
      </c>
      <c r="B6871" s="1" t="n">
        <v>45229</v>
      </c>
      <c r="C6871" s="1" t="n">
        <v>45952</v>
      </c>
      <c r="D6871" t="inlineStr">
        <is>
          <t>VÄSTRA GÖTALANDS LÄN</t>
        </is>
      </c>
      <c r="E6871" t="inlineStr">
        <is>
          <t>MUNKEDAL</t>
        </is>
      </c>
      <c r="G6871" t="n">
        <v>1.6</v>
      </c>
      <c r="H6871" t="n">
        <v>0</v>
      </c>
      <c r="I6871" t="n">
        <v>0</v>
      </c>
      <c r="J6871" t="n">
        <v>0</v>
      </c>
      <c r="K6871" t="n">
        <v>0</v>
      </c>
      <c r="L6871" t="n">
        <v>0</v>
      </c>
      <c r="M6871" t="n">
        <v>0</v>
      </c>
      <c r="N6871" t="n">
        <v>0</v>
      </c>
      <c r="O6871" t="n">
        <v>0</v>
      </c>
      <c r="P6871" t="n">
        <v>0</v>
      </c>
      <c r="Q6871" t="n">
        <v>0</v>
      </c>
      <c r="R6871" s="2" t="inlineStr"/>
    </row>
    <row r="6872" ht="15" customHeight="1">
      <c r="A6872" t="inlineStr">
        <is>
          <t>A 35887-2024</t>
        </is>
      </c>
      <c r="B6872" s="1" t="n">
        <v>45533.35982638889</v>
      </c>
      <c r="C6872" s="1" t="n">
        <v>45952</v>
      </c>
      <c r="D6872" t="inlineStr">
        <is>
          <t>VÄSTRA GÖTALANDS LÄN</t>
        </is>
      </c>
      <c r="E6872" t="inlineStr">
        <is>
          <t>DALS-ED</t>
        </is>
      </c>
      <c r="G6872" t="n">
        <v>3.2</v>
      </c>
      <c r="H6872" t="n">
        <v>0</v>
      </c>
      <c r="I6872" t="n">
        <v>0</v>
      </c>
      <c r="J6872" t="n">
        <v>0</v>
      </c>
      <c r="K6872" t="n">
        <v>0</v>
      </c>
      <c r="L6872" t="n">
        <v>0</v>
      </c>
      <c r="M6872" t="n">
        <v>0</v>
      </c>
      <c r="N6872" t="n">
        <v>0</v>
      </c>
      <c r="O6872" t="n">
        <v>0</v>
      </c>
      <c r="P6872" t="n">
        <v>0</v>
      </c>
      <c r="Q6872" t="n">
        <v>0</v>
      </c>
      <c r="R6872" s="2" t="inlineStr"/>
    </row>
    <row r="6873" ht="15" customHeight="1">
      <c r="A6873" t="inlineStr">
        <is>
          <t>A 73273-2021</t>
        </is>
      </c>
      <c r="B6873" s="1" t="n">
        <v>44550.92103009259</v>
      </c>
      <c r="C6873" s="1" t="n">
        <v>45952</v>
      </c>
      <c r="D6873" t="inlineStr">
        <is>
          <t>VÄSTRA GÖTALANDS LÄN</t>
        </is>
      </c>
      <c r="E6873" t="inlineStr">
        <is>
          <t>ÅMÅL</t>
        </is>
      </c>
      <c r="G6873" t="n">
        <v>2.7</v>
      </c>
      <c r="H6873" t="n">
        <v>0</v>
      </c>
      <c r="I6873" t="n">
        <v>0</v>
      </c>
      <c r="J6873" t="n">
        <v>0</v>
      </c>
      <c r="K6873" t="n">
        <v>0</v>
      </c>
      <c r="L6873" t="n">
        <v>0</v>
      </c>
      <c r="M6873" t="n">
        <v>0</v>
      </c>
      <c r="N6873" t="n">
        <v>0</v>
      </c>
      <c r="O6873" t="n">
        <v>0</v>
      </c>
      <c r="P6873" t="n">
        <v>0</v>
      </c>
      <c r="Q6873" t="n">
        <v>0</v>
      </c>
      <c r="R6873" s="2" t="inlineStr"/>
    </row>
    <row r="6874" ht="15" customHeight="1">
      <c r="A6874" t="inlineStr">
        <is>
          <t>A 22719-2023</t>
        </is>
      </c>
      <c r="B6874" s="1" t="n">
        <v>45071</v>
      </c>
      <c r="C6874" s="1" t="n">
        <v>45952</v>
      </c>
      <c r="D6874" t="inlineStr">
        <is>
          <t>VÄSTRA GÖTALANDS LÄN</t>
        </is>
      </c>
      <c r="E6874" t="inlineStr">
        <is>
          <t>FÄRGELANDA</t>
        </is>
      </c>
      <c r="G6874" t="n">
        <v>3.2</v>
      </c>
      <c r="H6874" t="n">
        <v>0</v>
      </c>
      <c r="I6874" t="n">
        <v>0</v>
      </c>
      <c r="J6874" t="n">
        <v>0</v>
      </c>
      <c r="K6874" t="n">
        <v>0</v>
      </c>
      <c r="L6874" t="n">
        <v>0</v>
      </c>
      <c r="M6874" t="n">
        <v>0</v>
      </c>
      <c r="N6874" t="n">
        <v>0</v>
      </c>
      <c r="O6874" t="n">
        <v>0</v>
      </c>
      <c r="P6874" t="n">
        <v>0</v>
      </c>
      <c r="Q6874" t="n">
        <v>0</v>
      </c>
      <c r="R6874" s="2" t="inlineStr"/>
    </row>
    <row r="6875" ht="15" customHeight="1">
      <c r="A6875" t="inlineStr">
        <is>
          <t>A 57902-2022</t>
        </is>
      </c>
      <c r="B6875" s="1" t="n">
        <v>44900.35104166667</v>
      </c>
      <c r="C6875" s="1" t="n">
        <v>45952</v>
      </c>
      <c r="D6875" t="inlineStr">
        <is>
          <t>VÄSTRA GÖTALANDS LÄN</t>
        </is>
      </c>
      <c r="E6875" t="inlineStr">
        <is>
          <t>VÅRGÅRDA</t>
        </is>
      </c>
      <c r="G6875" t="n">
        <v>1.3</v>
      </c>
      <c r="H6875" t="n">
        <v>0</v>
      </c>
      <c r="I6875" t="n">
        <v>0</v>
      </c>
      <c r="J6875" t="n">
        <v>0</v>
      </c>
      <c r="K6875" t="n">
        <v>0</v>
      </c>
      <c r="L6875" t="n">
        <v>0</v>
      </c>
      <c r="M6875" t="n">
        <v>0</v>
      </c>
      <c r="N6875" t="n">
        <v>0</v>
      </c>
      <c r="O6875" t="n">
        <v>0</v>
      </c>
      <c r="P6875" t="n">
        <v>0</v>
      </c>
      <c r="Q6875" t="n">
        <v>0</v>
      </c>
      <c r="R6875" s="2" t="inlineStr"/>
    </row>
    <row r="6876" ht="15" customHeight="1">
      <c r="A6876" t="inlineStr">
        <is>
          <t>A 21-2025</t>
        </is>
      </c>
      <c r="B6876" s="1" t="n">
        <v>45658.803125</v>
      </c>
      <c r="C6876" s="1" t="n">
        <v>45952</v>
      </c>
      <c r="D6876" t="inlineStr">
        <is>
          <t>VÄSTRA GÖTALANDS LÄN</t>
        </is>
      </c>
      <c r="E6876" t="inlineStr">
        <is>
          <t>GRÄSTORP</t>
        </is>
      </c>
      <c r="G6876" t="n">
        <v>6.5</v>
      </c>
      <c r="H6876" t="n">
        <v>0</v>
      </c>
      <c r="I6876" t="n">
        <v>0</v>
      </c>
      <c r="J6876" t="n">
        <v>0</v>
      </c>
      <c r="K6876" t="n">
        <v>0</v>
      </c>
      <c r="L6876" t="n">
        <v>0</v>
      </c>
      <c r="M6876" t="n">
        <v>0</v>
      </c>
      <c r="N6876" t="n">
        <v>0</v>
      </c>
      <c r="O6876" t="n">
        <v>0</v>
      </c>
      <c r="P6876" t="n">
        <v>0</v>
      </c>
      <c r="Q6876" t="n">
        <v>0</v>
      </c>
      <c r="R6876" s="2" t="inlineStr"/>
    </row>
    <row r="6877" ht="15" customHeight="1">
      <c r="A6877" t="inlineStr">
        <is>
          <t>A 56978-2022</t>
        </is>
      </c>
      <c r="B6877" s="1" t="n">
        <v>44894</v>
      </c>
      <c r="C6877" s="1" t="n">
        <v>45952</v>
      </c>
      <c r="D6877" t="inlineStr">
        <is>
          <t>VÄSTRA GÖTALANDS LÄN</t>
        </is>
      </c>
      <c r="E6877" t="inlineStr">
        <is>
          <t>BENGTSFORS</t>
        </is>
      </c>
      <c r="G6877" t="n">
        <v>1.7</v>
      </c>
      <c r="H6877" t="n">
        <v>0</v>
      </c>
      <c r="I6877" t="n">
        <v>0</v>
      </c>
      <c r="J6877" t="n">
        <v>0</v>
      </c>
      <c r="K6877" t="n">
        <v>0</v>
      </c>
      <c r="L6877" t="n">
        <v>0</v>
      </c>
      <c r="M6877" t="n">
        <v>0</v>
      </c>
      <c r="N6877" t="n">
        <v>0</v>
      </c>
      <c r="O6877" t="n">
        <v>0</v>
      </c>
      <c r="P6877" t="n">
        <v>0</v>
      </c>
      <c r="Q6877" t="n">
        <v>0</v>
      </c>
      <c r="R6877" s="2" t="inlineStr"/>
    </row>
    <row r="6878" ht="15" customHeight="1">
      <c r="A6878" t="inlineStr">
        <is>
          <t>A 57733-2023</t>
        </is>
      </c>
      <c r="B6878" s="1" t="n">
        <v>45246.71253472222</v>
      </c>
      <c r="C6878" s="1" t="n">
        <v>45952</v>
      </c>
      <c r="D6878" t="inlineStr">
        <is>
          <t>VÄSTRA GÖTALANDS LÄN</t>
        </is>
      </c>
      <c r="E6878" t="inlineStr">
        <is>
          <t>TROLLHÄTTAN</t>
        </is>
      </c>
      <c r="G6878" t="n">
        <v>2.8</v>
      </c>
      <c r="H6878" t="n">
        <v>0</v>
      </c>
      <c r="I6878" t="n">
        <v>0</v>
      </c>
      <c r="J6878" t="n">
        <v>0</v>
      </c>
      <c r="K6878" t="n">
        <v>0</v>
      </c>
      <c r="L6878" t="n">
        <v>0</v>
      </c>
      <c r="M6878" t="n">
        <v>0</v>
      </c>
      <c r="N6878" t="n">
        <v>0</v>
      </c>
      <c r="O6878" t="n">
        <v>0</v>
      </c>
      <c r="P6878" t="n">
        <v>0</v>
      </c>
      <c r="Q6878" t="n">
        <v>0</v>
      </c>
      <c r="R6878" s="2" t="inlineStr"/>
    </row>
    <row r="6879" ht="15" customHeight="1">
      <c r="A6879" t="inlineStr">
        <is>
          <t>A 11551-2025</t>
        </is>
      </c>
      <c r="B6879" s="1" t="n">
        <v>45727.34619212963</v>
      </c>
      <c r="C6879" s="1" t="n">
        <v>45952</v>
      </c>
      <c r="D6879" t="inlineStr">
        <is>
          <t>VÄSTRA GÖTALANDS LÄN</t>
        </is>
      </c>
      <c r="E6879" t="inlineStr">
        <is>
          <t>MARIESTAD</t>
        </is>
      </c>
      <c r="G6879" t="n">
        <v>1.9</v>
      </c>
      <c r="H6879" t="n">
        <v>0</v>
      </c>
      <c r="I6879" t="n">
        <v>0</v>
      </c>
      <c r="J6879" t="n">
        <v>0</v>
      </c>
      <c r="K6879" t="n">
        <v>0</v>
      </c>
      <c r="L6879" t="n">
        <v>0</v>
      </c>
      <c r="M6879" t="n">
        <v>0</v>
      </c>
      <c r="N6879" t="n">
        <v>0</v>
      </c>
      <c r="O6879" t="n">
        <v>0</v>
      </c>
      <c r="P6879" t="n">
        <v>0</v>
      </c>
      <c r="Q6879" t="n">
        <v>0</v>
      </c>
      <c r="R6879" s="2" t="inlineStr"/>
    </row>
    <row r="6880" ht="15" customHeight="1">
      <c r="A6880" t="inlineStr">
        <is>
          <t>A 16395-2021</t>
        </is>
      </c>
      <c r="B6880" s="1" t="n">
        <v>44293</v>
      </c>
      <c r="C6880" s="1" t="n">
        <v>45952</v>
      </c>
      <c r="D6880" t="inlineStr">
        <is>
          <t>VÄSTRA GÖTALANDS LÄN</t>
        </is>
      </c>
      <c r="E6880" t="inlineStr">
        <is>
          <t>HJO</t>
        </is>
      </c>
      <c r="G6880" t="n">
        <v>1.9</v>
      </c>
      <c r="H6880" t="n">
        <v>0</v>
      </c>
      <c r="I6880" t="n">
        <v>0</v>
      </c>
      <c r="J6880" t="n">
        <v>0</v>
      </c>
      <c r="K6880" t="n">
        <v>0</v>
      </c>
      <c r="L6880" t="n">
        <v>0</v>
      </c>
      <c r="M6880" t="n">
        <v>0</v>
      </c>
      <c r="N6880" t="n">
        <v>0</v>
      </c>
      <c r="O6880" t="n">
        <v>0</v>
      </c>
      <c r="P6880" t="n">
        <v>0</v>
      </c>
      <c r="Q6880" t="n">
        <v>0</v>
      </c>
      <c r="R6880" s="2" t="inlineStr"/>
    </row>
    <row r="6881" ht="15" customHeight="1">
      <c r="A6881" t="inlineStr">
        <is>
          <t>A 23325-2024</t>
        </is>
      </c>
      <c r="B6881" s="1" t="n">
        <v>45453.46512731481</v>
      </c>
      <c r="C6881" s="1" t="n">
        <v>45952</v>
      </c>
      <c r="D6881" t="inlineStr">
        <is>
          <t>VÄSTRA GÖTALANDS LÄN</t>
        </is>
      </c>
      <c r="E6881" t="inlineStr">
        <is>
          <t>BORÅS</t>
        </is>
      </c>
      <c r="G6881" t="n">
        <v>1.6</v>
      </c>
      <c r="H6881" t="n">
        <v>0</v>
      </c>
      <c r="I6881" t="n">
        <v>0</v>
      </c>
      <c r="J6881" t="n">
        <v>0</v>
      </c>
      <c r="K6881" t="n">
        <v>0</v>
      </c>
      <c r="L6881" t="n">
        <v>0</v>
      </c>
      <c r="M6881" t="n">
        <v>0</v>
      </c>
      <c r="N6881" t="n">
        <v>0</v>
      </c>
      <c r="O6881" t="n">
        <v>0</v>
      </c>
      <c r="P6881" t="n">
        <v>0</v>
      </c>
      <c r="Q6881" t="n">
        <v>0</v>
      </c>
      <c r="R6881" s="2" t="inlineStr"/>
    </row>
    <row r="6882" ht="15" customHeight="1">
      <c r="A6882" t="inlineStr">
        <is>
          <t>A 7766-2023</t>
        </is>
      </c>
      <c r="B6882" s="1" t="n">
        <v>44973</v>
      </c>
      <c r="C6882" s="1" t="n">
        <v>45952</v>
      </c>
      <c r="D6882" t="inlineStr">
        <is>
          <t>VÄSTRA GÖTALANDS LÄN</t>
        </is>
      </c>
      <c r="E6882" t="inlineStr">
        <is>
          <t>TIDAHOLM</t>
        </is>
      </c>
      <c r="G6882" t="n">
        <v>1</v>
      </c>
      <c r="H6882" t="n">
        <v>0</v>
      </c>
      <c r="I6882" t="n">
        <v>0</v>
      </c>
      <c r="J6882" t="n">
        <v>0</v>
      </c>
      <c r="K6882" t="n">
        <v>0</v>
      </c>
      <c r="L6882" t="n">
        <v>0</v>
      </c>
      <c r="M6882" t="n">
        <v>0</v>
      </c>
      <c r="N6882" t="n">
        <v>0</v>
      </c>
      <c r="O6882" t="n">
        <v>0</v>
      </c>
      <c r="P6882" t="n">
        <v>0</v>
      </c>
      <c r="Q6882" t="n">
        <v>0</v>
      </c>
      <c r="R6882" s="2" t="inlineStr"/>
    </row>
    <row r="6883" ht="15" customHeight="1">
      <c r="A6883" t="inlineStr">
        <is>
          <t>A 7771-2023</t>
        </is>
      </c>
      <c r="B6883" s="1" t="n">
        <v>44973</v>
      </c>
      <c r="C6883" s="1" t="n">
        <v>45952</v>
      </c>
      <c r="D6883" t="inlineStr">
        <is>
          <t>VÄSTRA GÖTALANDS LÄN</t>
        </is>
      </c>
      <c r="E6883" t="inlineStr">
        <is>
          <t>UDDEVALLA</t>
        </is>
      </c>
      <c r="G6883" t="n">
        <v>1.2</v>
      </c>
      <c r="H6883" t="n">
        <v>0</v>
      </c>
      <c r="I6883" t="n">
        <v>0</v>
      </c>
      <c r="J6883" t="n">
        <v>0</v>
      </c>
      <c r="K6883" t="n">
        <v>0</v>
      </c>
      <c r="L6883" t="n">
        <v>0</v>
      </c>
      <c r="M6883" t="n">
        <v>0</v>
      </c>
      <c r="N6883" t="n">
        <v>0</v>
      </c>
      <c r="O6883" t="n">
        <v>0</v>
      </c>
      <c r="P6883" t="n">
        <v>0</v>
      </c>
      <c r="Q6883" t="n">
        <v>0</v>
      </c>
      <c r="R6883" s="2" t="inlineStr"/>
    </row>
    <row r="6884" ht="15" customHeight="1">
      <c r="A6884" t="inlineStr">
        <is>
          <t>A 7795-2023</t>
        </is>
      </c>
      <c r="B6884" s="1" t="n">
        <v>44973</v>
      </c>
      <c r="C6884" s="1" t="n">
        <v>45952</v>
      </c>
      <c r="D6884" t="inlineStr">
        <is>
          <t>VÄSTRA GÖTALANDS LÄN</t>
        </is>
      </c>
      <c r="E6884" t="inlineStr">
        <is>
          <t>VÄNERSBORG</t>
        </is>
      </c>
      <c r="G6884" t="n">
        <v>2.5</v>
      </c>
      <c r="H6884" t="n">
        <v>0</v>
      </c>
      <c r="I6884" t="n">
        <v>0</v>
      </c>
      <c r="J6884" t="n">
        <v>0</v>
      </c>
      <c r="K6884" t="n">
        <v>0</v>
      </c>
      <c r="L6884" t="n">
        <v>0</v>
      </c>
      <c r="M6884" t="n">
        <v>0</v>
      </c>
      <c r="N6884" t="n">
        <v>0</v>
      </c>
      <c r="O6884" t="n">
        <v>0</v>
      </c>
      <c r="P6884" t="n">
        <v>0</v>
      </c>
      <c r="Q6884" t="n">
        <v>0</v>
      </c>
      <c r="R6884" s="2" t="inlineStr"/>
    </row>
    <row r="6885" ht="15" customHeight="1">
      <c r="A6885" t="inlineStr">
        <is>
          <t>A 38500-2023</t>
        </is>
      </c>
      <c r="B6885" s="1" t="n">
        <v>45162.49694444444</v>
      </c>
      <c r="C6885" s="1" t="n">
        <v>45952</v>
      </c>
      <c r="D6885" t="inlineStr">
        <is>
          <t>VÄSTRA GÖTALANDS LÄN</t>
        </is>
      </c>
      <c r="E6885" t="inlineStr">
        <is>
          <t>TANUM</t>
        </is>
      </c>
      <c r="G6885" t="n">
        <v>0.5</v>
      </c>
      <c r="H6885" t="n">
        <v>0</v>
      </c>
      <c r="I6885" t="n">
        <v>0</v>
      </c>
      <c r="J6885" t="n">
        <v>0</v>
      </c>
      <c r="K6885" t="n">
        <v>0</v>
      </c>
      <c r="L6885" t="n">
        <v>0</v>
      </c>
      <c r="M6885" t="n">
        <v>0</v>
      </c>
      <c r="N6885" t="n">
        <v>0</v>
      </c>
      <c r="O6885" t="n">
        <v>0</v>
      </c>
      <c r="P6885" t="n">
        <v>0</v>
      </c>
      <c r="Q6885" t="n">
        <v>0</v>
      </c>
      <c r="R6885" s="2" t="inlineStr"/>
    </row>
    <row r="6886" ht="15" customHeight="1">
      <c r="A6886" t="inlineStr">
        <is>
          <t>A 38548-2023</t>
        </is>
      </c>
      <c r="B6886" s="1" t="n">
        <v>45162.59163194444</v>
      </c>
      <c r="C6886" s="1" t="n">
        <v>45952</v>
      </c>
      <c r="D6886" t="inlineStr">
        <is>
          <t>VÄSTRA GÖTALANDS LÄN</t>
        </is>
      </c>
      <c r="E6886" t="inlineStr">
        <is>
          <t>DALS-ED</t>
        </is>
      </c>
      <c r="G6886" t="n">
        <v>1.1</v>
      </c>
      <c r="H6886" t="n">
        <v>0</v>
      </c>
      <c r="I6886" t="n">
        <v>0</v>
      </c>
      <c r="J6886" t="n">
        <v>0</v>
      </c>
      <c r="K6886" t="n">
        <v>0</v>
      </c>
      <c r="L6886" t="n">
        <v>0</v>
      </c>
      <c r="M6886" t="n">
        <v>0</v>
      </c>
      <c r="N6886" t="n">
        <v>0</v>
      </c>
      <c r="O6886" t="n">
        <v>0</v>
      </c>
      <c r="P6886" t="n">
        <v>0</v>
      </c>
      <c r="Q6886" t="n">
        <v>0</v>
      </c>
      <c r="R6886" s="2" t="inlineStr"/>
    </row>
    <row r="6887" ht="15" customHeight="1">
      <c r="A6887" t="inlineStr">
        <is>
          <t>A 12334-2024</t>
        </is>
      </c>
      <c r="B6887" s="1" t="n">
        <v>45378.69398148148</v>
      </c>
      <c r="C6887" s="1" t="n">
        <v>45952</v>
      </c>
      <c r="D6887" t="inlineStr">
        <is>
          <t>VÄSTRA GÖTALANDS LÄN</t>
        </is>
      </c>
      <c r="E6887" t="inlineStr">
        <is>
          <t>MELLERUD</t>
        </is>
      </c>
      <c r="G6887" t="n">
        <v>2</v>
      </c>
      <c r="H6887" t="n">
        <v>0</v>
      </c>
      <c r="I6887" t="n">
        <v>0</v>
      </c>
      <c r="J6887" t="n">
        <v>0</v>
      </c>
      <c r="K6887" t="n">
        <v>0</v>
      </c>
      <c r="L6887" t="n">
        <v>0</v>
      </c>
      <c r="M6887" t="n">
        <v>0</v>
      </c>
      <c r="N6887" t="n">
        <v>0</v>
      </c>
      <c r="O6887" t="n">
        <v>0</v>
      </c>
      <c r="P6887" t="n">
        <v>0</v>
      </c>
      <c r="Q6887" t="n">
        <v>0</v>
      </c>
      <c r="R6887" s="2" t="inlineStr"/>
    </row>
    <row r="6888" ht="15" customHeight="1">
      <c r="A6888" t="inlineStr">
        <is>
          <t>A 17143-2024</t>
        </is>
      </c>
      <c r="B6888" s="1" t="n">
        <v>45412.63918981481</v>
      </c>
      <c r="C6888" s="1" t="n">
        <v>45952</v>
      </c>
      <c r="D6888" t="inlineStr">
        <is>
          <t>VÄSTRA GÖTALANDS LÄN</t>
        </is>
      </c>
      <c r="E6888" t="inlineStr">
        <is>
          <t>MARIESTAD</t>
        </is>
      </c>
      <c r="G6888" t="n">
        <v>4.1</v>
      </c>
      <c r="H6888" t="n">
        <v>0</v>
      </c>
      <c r="I6888" t="n">
        <v>0</v>
      </c>
      <c r="J6888" t="n">
        <v>0</v>
      </c>
      <c r="K6888" t="n">
        <v>0</v>
      </c>
      <c r="L6888" t="n">
        <v>0</v>
      </c>
      <c r="M6888" t="n">
        <v>0</v>
      </c>
      <c r="N6888" t="n">
        <v>0</v>
      </c>
      <c r="O6888" t="n">
        <v>0</v>
      </c>
      <c r="P6888" t="n">
        <v>0</v>
      </c>
      <c r="Q6888" t="n">
        <v>0</v>
      </c>
      <c r="R6888" s="2" t="inlineStr"/>
    </row>
    <row r="6889" ht="15" customHeight="1">
      <c r="A6889" t="inlineStr">
        <is>
          <t>A 17166-2024</t>
        </is>
      </c>
      <c r="B6889" s="1" t="n">
        <v>45412.85439814815</v>
      </c>
      <c r="C6889" s="1" t="n">
        <v>45952</v>
      </c>
      <c r="D6889" t="inlineStr">
        <is>
          <t>VÄSTRA GÖTALANDS LÄN</t>
        </is>
      </c>
      <c r="E6889" t="inlineStr">
        <is>
          <t>MARIESTAD</t>
        </is>
      </c>
      <c r="G6889" t="n">
        <v>0.3</v>
      </c>
      <c r="H6889" t="n">
        <v>0</v>
      </c>
      <c r="I6889" t="n">
        <v>0</v>
      </c>
      <c r="J6889" t="n">
        <v>0</v>
      </c>
      <c r="K6889" t="n">
        <v>0</v>
      </c>
      <c r="L6889" t="n">
        <v>0</v>
      </c>
      <c r="M6889" t="n">
        <v>0</v>
      </c>
      <c r="N6889" t="n">
        <v>0</v>
      </c>
      <c r="O6889" t="n">
        <v>0</v>
      </c>
      <c r="P6889" t="n">
        <v>0</v>
      </c>
      <c r="Q6889" t="n">
        <v>0</v>
      </c>
      <c r="R6889" s="2" t="inlineStr"/>
    </row>
    <row r="6890" ht="15" customHeight="1">
      <c r="A6890" t="inlineStr">
        <is>
          <t>A 365-2022</t>
        </is>
      </c>
      <c r="B6890" s="1" t="n">
        <v>44565</v>
      </c>
      <c r="C6890" s="1" t="n">
        <v>45952</v>
      </c>
      <c r="D6890" t="inlineStr">
        <is>
          <t>VÄSTRA GÖTALANDS LÄN</t>
        </is>
      </c>
      <c r="E6890" t="inlineStr">
        <is>
          <t>VARA</t>
        </is>
      </c>
      <c r="G6890" t="n">
        <v>7.8</v>
      </c>
      <c r="H6890" t="n">
        <v>0</v>
      </c>
      <c r="I6890" t="n">
        <v>0</v>
      </c>
      <c r="J6890" t="n">
        <v>0</v>
      </c>
      <c r="K6890" t="n">
        <v>0</v>
      </c>
      <c r="L6890" t="n">
        <v>0</v>
      </c>
      <c r="M6890" t="n">
        <v>0</v>
      </c>
      <c r="N6890" t="n">
        <v>0</v>
      </c>
      <c r="O6890" t="n">
        <v>0</v>
      </c>
      <c r="P6890" t="n">
        <v>0</v>
      </c>
      <c r="Q6890" t="n">
        <v>0</v>
      </c>
      <c r="R6890" s="2" t="inlineStr"/>
    </row>
    <row r="6891" ht="15" customHeight="1">
      <c r="A6891" t="inlineStr">
        <is>
          <t>A 46190-2023</t>
        </is>
      </c>
      <c r="B6891" s="1" t="n">
        <v>45196</v>
      </c>
      <c r="C6891" s="1" t="n">
        <v>45952</v>
      </c>
      <c r="D6891" t="inlineStr">
        <is>
          <t>VÄSTRA GÖTALANDS LÄN</t>
        </is>
      </c>
      <c r="E6891" t="inlineStr">
        <is>
          <t>SKARA</t>
        </is>
      </c>
      <c r="G6891" t="n">
        <v>1.1</v>
      </c>
      <c r="H6891" t="n">
        <v>0</v>
      </c>
      <c r="I6891" t="n">
        <v>0</v>
      </c>
      <c r="J6891" t="n">
        <v>0</v>
      </c>
      <c r="K6891" t="n">
        <v>0</v>
      </c>
      <c r="L6891" t="n">
        <v>0</v>
      </c>
      <c r="M6891" t="n">
        <v>0</v>
      </c>
      <c r="N6891" t="n">
        <v>0</v>
      </c>
      <c r="O6891" t="n">
        <v>0</v>
      </c>
      <c r="P6891" t="n">
        <v>0</v>
      </c>
      <c r="Q6891" t="n">
        <v>0</v>
      </c>
      <c r="R6891" s="2" t="inlineStr"/>
    </row>
    <row r="6892" ht="15" customHeight="1">
      <c r="A6892" t="inlineStr">
        <is>
          <t>A 18916-2025</t>
        </is>
      </c>
      <c r="B6892" s="1" t="n">
        <v>45764.47046296296</v>
      </c>
      <c r="C6892" s="1" t="n">
        <v>45952</v>
      </c>
      <c r="D6892" t="inlineStr">
        <is>
          <t>VÄSTRA GÖTALANDS LÄN</t>
        </is>
      </c>
      <c r="E6892" t="inlineStr">
        <is>
          <t>UDDEVALLA</t>
        </is>
      </c>
      <c r="G6892" t="n">
        <v>0.8</v>
      </c>
      <c r="H6892" t="n">
        <v>0</v>
      </c>
      <c r="I6892" t="n">
        <v>0</v>
      </c>
      <c r="J6892" t="n">
        <v>0</v>
      </c>
      <c r="K6892" t="n">
        <v>0</v>
      </c>
      <c r="L6892" t="n">
        <v>0</v>
      </c>
      <c r="M6892" t="n">
        <v>0</v>
      </c>
      <c r="N6892" t="n">
        <v>0</v>
      </c>
      <c r="O6892" t="n">
        <v>0</v>
      </c>
      <c r="P6892" t="n">
        <v>0</v>
      </c>
      <c r="Q6892" t="n">
        <v>0</v>
      </c>
      <c r="R6892" s="2" t="inlineStr"/>
    </row>
    <row r="6893" ht="15" customHeight="1">
      <c r="A6893" t="inlineStr">
        <is>
          <t>A 38046-2022</t>
        </is>
      </c>
      <c r="B6893" s="1" t="n">
        <v>44811.64700231481</v>
      </c>
      <c r="C6893" s="1" t="n">
        <v>45952</v>
      </c>
      <c r="D6893" t="inlineStr">
        <is>
          <t>VÄSTRA GÖTALANDS LÄN</t>
        </is>
      </c>
      <c r="E6893" t="inlineStr">
        <is>
          <t>VÅRGÅRDA</t>
        </is>
      </c>
      <c r="G6893" t="n">
        <v>2.2</v>
      </c>
      <c r="H6893" t="n">
        <v>0</v>
      </c>
      <c r="I6893" t="n">
        <v>0</v>
      </c>
      <c r="J6893" t="n">
        <v>0</v>
      </c>
      <c r="K6893" t="n">
        <v>0</v>
      </c>
      <c r="L6893" t="n">
        <v>0</v>
      </c>
      <c r="M6893" t="n">
        <v>0</v>
      </c>
      <c r="N6893" t="n">
        <v>0</v>
      </c>
      <c r="O6893" t="n">
        <v>0</v>
      </c>
      <c r="P6893" t="n">
        <v>0</v>
      </c>
      <c r="Q6893" t="n">
        <v>0</v>
      </c>
      <c r="R6893" s="2" t="inlineStr"/>
    </row>
    <row r="6894" ht="15" customHeight="1">
      <c r="A6894" t="inlineStr">
        <is>
          <t>A 37784-2023</t>
        </is>
      </c>
      <c r="B6894" s="1" t="n">
        <v>45159.83563657408</v>
      </c>
      <c r="C6894" s="1" t="n">
        <v>45952</v>
      </c>
      <c r="D6894" t="inlineStr">
        <is>
          <t>VÄSTRA GÖTALANDS LÄN</t>
        </is>
      </c>
      <c r="E6894" t="inlineStr">
        <is>
          <t>FÄRGELANDA</t>
        </is>
      </c>
      <c r="G6894" t="n">
        <v>0.5</v>
      </c>
      <c r="H6894" t="n">
        <v>0</v>
      </c>
      <c r="I6894" t="n">
        <v>0</v>
      </c>
      <c r="J6894" t="n">
        <v>0</v>
      </c>
      <c r="K6894" t="n">
        <v>0</v>
      </c>
      <c r="L6894" t="n">
        <v>0</v>
      </c>
      <c r="M6894" t="n">
        <v>0</v>
      </c>
      <c r="N6894" t="n">
        <v>0</v>
      </c>
      <c r="O6894" t="n">
        <v>0</v>
      </c>
      <c r="P6894" t="n">
        <v>0</v>
      </c>
      <c r="Q6894" t="n">
        <v>0</v>
      </c>
      <c r="R6894" s="2" t="inlineStr"/>
    </row>
    <row r="6895" ht="15" customHeight="1">
      <c r="A6895" t="inlineStr">
        <is>
          <t>A 37787-2023</t>
        </is>
      </c>
      <c r="B6895" s="1" t="n">
        <v>45159.83638888889</v>
      </c>
      <c r="C6895" s="1" t="n">
        <v>45952</v>
      </c>
      <c r="D6895" t="inlineStr">
        <is>
          <t>VÄSTRA GÖTALANDS LÄN</t>
        </is>
      </c>
      <c r="E6895" t="inlineStr">
        <is>
          <t>FÄRGELANDA</t>
        </is>
      </c>
      <c r="G6895" t="n">
        <v>1.2</v>
      </c>
      <c r="H6895" t="n">
        <v>0</v>
      </c>
      <c r="I6895" t="n">
        <v>0</v>
      </c>
      <c r="J6895" t="n">
        <v>0</v>
      </c>
      <c r="K6895" t="n">
        <v>0</v>
      </c>
      <c r="L6895" t="n">
        <v>0</v>
      </c>
      <c r="M6895" t="n">
        <v>0</v>
      </c>
      <c r="N6895" t="n">
        <v>0</v>
      </c>
      <c r="O6895" t="n">
        <v>0</v>
      </c>
      <c r="P6895" t="n">
        <v>0</v>
      </c>
      <c r="Q6895" t="n">
        <v>0</v>
      </c>
      <c r="R6895" s="2" t="inlineStr"/>
    </row>
    <row r="6896" ht="15" customHeight="1">
      <c r="A6896" t="inlineStr">
        <is>
          <t>A 37788-2023</t>
        </is>
      </c>
      <c r="B6896" s="1" t="n">
        <v>45159.83733796296</v>
      </c>
      <c r="C6896" s="1" t="n">
        <v>45952</v>
      </c>
      <c r="D6896" t="inlineStr">
        <is>
          <t>VÄSTRA GÖTALANDS LÄN</t>
        </is>
      </c>
      <c r="E6896" t="inlineStr">
        <is>
          <t>FÄRGELANDA</t>
        </is>
      </c>
      <c r="G6896" t="n">
        <v>1.9</v>
      </c>
      <c r="H6896" t="n">
        <v>0</v>
      </c>
      <c r="I6896" t="n">
        <v>0</v>
      </c>
      <c r="J6896" t="n">
        <v>0</v>
      </c>
      <c r="K6896" t="n">
        <v>0</v>
      </c>
      <c r="L6896" t="n">
        <v>0</v>
      </c>
      <c r="M6896" t="n">
        <v>0</v>
      </c>
      <c r="N6896" t="n">
        <v>0</v>
      </c>
      <c r="O6896" t="n">
        <v>0</v>
      </c>
      <c r="P6896" t="n">
        <v>0</v>
      </c>
      <c r="Q6896" t="n">
        <v>0</v>
      </c>
      <c r="R6896" s="2" t="inlineStr"/>
    </row>
    <row r="6897" ht="15" customHeight="1">
      <c r="A6897" t="inlineStr">
        <is>
          <t>A 20240-2023</t>
        </is>
      </c>
      <c r="B6897" s="1" t="n">
        <v>45055.68784722222</v>
      </c>
      <c r="C6897" s="1" t="n">
        <v>45952</v>
      </c>
      <c r="D6897" t="inlineStr">
        <is>
          <t>VÄSTRA GÖTALANDS LÄN</t>
        </is>
      </c>
      <c r="E6897" t="inlineStr">
        <is>
          <t>VARA</t>
        </is>
      </c>
      <c r="G6897" t="n">
        <v>1.9</v>
      </c>
      <c r="H6897" t="n">
        <v>0</v>
      </c>
      <c r="I6897" t="n">
        <v>0</v>
      </c>
      <c r="J6897" t="n">
        <v>0</v>
      </c>
      <c r="K6897" t="n">
        <v>0</v>
      </c>
      <c r="L6897" t="n">
        <v>0</v>
      </c>
      <c r="M6897" t="n">
        <v>0</v>
      </c>
      <c r="N6897" t="n">
        <v>0</v>
      </c>
      <c r="O6897" t="n">
        <v>0</v>
      </c>
      <c r="P6897" t="n">
        <v>0</v>
      </c>
      <c r="Q6897" t="n">
        <v>0</v>
      </c>
      <c r="R6897" s="2" t="inlineStr"/>
    </row>
    <row r="6898" ht="15" customHeight="1">
      <c r="A6898" t="inlineStr">
        <is>
          <t>A 62985-2023</t>
        </is>
      </c>
      <c r="B6898" s="1" t="n">
        <v>45272.60196759259</v>
      </c>
      <c r="C6898" s="1" t="n">
        <v>45952</v>
      </c>
      <c r="D6898" t="inlineStr">
        <is>
          <t>VÄSTRA GÖTALANDS LÄN</t>
        </is>
      </c>
      <c r="E6898" t="inlineStr">
        <is>
          <t>DALS-ED</t>
        </is>
      </c>
      <c r="G6898" t="n">
        <v>8.300000000000001</v>
      </c>
      <c r="H6898" t="n">
        <v>0</v>
      </c>
      <c r="I6898" t="n">
        <v>0</v>
      </c>
      <c r="J6898" t="n">
        <v>0</v>
      </c>
      <c r="K6898" t="n">
        <v>0</v>
      </c>
      <c r="L6898" t="n">
        <v>0</v>
      </c>
      <c r="M6898" t="n">
        <v>0</v>
      </c>
      <c r="N6898" t="n">
        <v>0</v>
      </c>
      <c r="O6898" t="n">
        <v>0</v>
      </c>
      <c r="P6898" t="n">
        <v>0</v>
      </c>
      <c r="Q6898" t="n">
        <v>0</v>
      </c>
      <c r="R6898" s="2" t="inlineStr"/>
    </row>
    <row r="6899" ht="15" customHeight="1">
      <c r="A6899" t="inlineStr">
        <is>
          <t>A 61318-2023</t>
        </is>
      </c>
      <c r="B6899" s="1" t="n">
        <v>45264</v>
      </c>
      <c r="C6899" s="1" t="n">
        <v>45952</v>
      </c>
      <c r="D6899" t="inlineStr">
        <is>
          <t>VÄSTRA GÖTALANDS LÄN</t>
        </is>
      </c>
      <c r="E6899" t="inlineStr">
        <is>
          <t>BOLLEBYGD</t>
        </is>
      </c>
      <c r="G6899" t="n">
        <v>7.2</v>
      </c>
      <c r="H6899" t="n">
        <v>0</v>
      </c>
      <c r="I6899" t="n">
        <v>0</v>
      </c>
      <c r="J6899" t="n">
        <v>0</v>
      </c>
      <c r="K6899" t="n">
        <v>0</v>
      </c>
      <c r="L6899" t="n">
        <v>0</v>
      </c>
      <c r="M6899" t="n">
        <v>0</v>
      </c>
      <c r="N6899" t="n">
        <v>0</v>
      </c>
      <c r="O6899" t="n">
        <v>0</v>
      </c>
      <c r="P6899" t="n">
        <v>0</v>
      </c>
      <c r="Q6899" t="n">
        <v>0</v>
      </c>
      <c r="R6899" s="2" t="inlineStr"/>
    </row>
    <row r="6900" ht="15" customHeight="1">
      <c r="A6900" t="inlineStr">
        <is>
          <t>A 9297-2022</t>
        </is>
      </c>
      <c r="B6900" s="1" t="n">
        <v>44616.47766203704</v>
      </c>
      <c r="C6900" s="1" t="n">
        <v>45952</v>
      </c>
      <c r="D6900" t="inlineStr">
        <is>
          <t>VÄSTRA GÖTALANDS LÄN</t>
        </is>
      </c>
      <c r="E6900" t="inlineStr">
        <is>
          <t>HJO</t>
        </is>
      </c>
      <c r="G6900" t="n">
        <v>1.5</v>
      </c>
      <c r="H6900" t="n">
        <v>0</v>
      </c>
      <c r="I6900" t="n">
        <v>0</v>
      </c>
      <c r="J6900" t="n">
        <v>0</v>
      </c>
      <c r="K6900" t="n">
        <v>0</v>
      </c>
      <c r="L6900" t="n">
        <v>0</v>
      </c>
      <c r="M6900" t="n">
        <v>0</v>
      </c>
      <c r="N6900" t="n">
        <v>0</v>
      </c>
      <c r="O6900" t="n">
        <v>0</v>
      </c>
      <c r="P6900" t="n">
        <v>0</v>
      </c>
      <c r="Q6900" t="n">
        <v>0</v>
      </c>
      <c r="R6900" s="2" t="inlineStr"/>
    </row>
    <row r="6901" ht="15" customHeight="1">
      <c r="A6901" t="inlineStr">
        <is>
          <t>A 43242-2022</t>
        </is>
      </c>
      <c r="B6901" s="1" t="n">
        <v>44834.43748842592</v>
      </c>
      <c r="C6901" s="1" t="n">
        <v>45952</v>
      </c>
      <c r="D6901" t="inlineStr">
        <is>
          <t>VÄSTRA GÖTALANDS LÄN</t>
        </is>
      </c>
      <c r="E6901" t="inlineStr">
        <is>
          <t>TANUM</t>
        </is>
      </c>
      <c r="G6901" t="n">
        <v>3</v>
      </c>
      <c r="H6901" t="n">
        <v>0</v>
      </c>
      <c r="I6901" t="n">
        <v>0</v>
      </c>
      <c r="J6901" t="n">
        <v>0</v>
      </c>
      <c r="K6901" t="n">
        <v>0</v>
      </c>
      <c r="L6901" t="n">
        <v>0</v>
      </c>
      <c r="M6901" t="n">
        <v>0</v>
      </c>
      <c r="N6901" t="n">
        <v>0</v>
      </c>
      <c r="O6901" t="n">
        <v>0</v>
      </c>
      <c r="P6901" t="n">
        <v>0</v>
      </c>
      <c r="Q6901" t="n">
        <v>0</v>
      </c>
      <c r="R6901" s="2" t="inlineStr"/>
    </row>
    <row r="6902" ht="15" customHeight="1">
      <c r="A6902" t="inlineStr">
        <is>
          <t>A 61377-2023</t>
        </is>
      </c>
      <c r="B6902" s="1" t="n">
        <v>45264</v>
      </c>
      <c r="C6902" s="1" t="n">
        <v>45952</v>
      </c>
      <c r="D6902" t="inlineStr">
        <is>
          <t>VÄSTRA GÖTALANDS LÄN</t>
        </is>
      </c>
      <c r="E6902" t="inlineStr">
        <is>
          <t>MUNKEDAL</t>
        </is>
      </c>
      <c r="G6902" t="n">
        <v>4.3</v>
      </c>
      <c r="H6902" t="n">
        <v>0</v>
      </c>
      <c r="I6902" t="n">
        <v>0</v>
      </c>
      <c r="J6902" t="n">
        <v>0</v>
      </c>
      <c r="K6902" t="n">
        <v>0</v>
      </c>
      <c r="L6902" t="n">
        <v>0</v>
      </c>
      <c r="M6902" t="n">
        <v>0</v>
      </c>
      <c r="N6902" t="n">
        <v>0</v>
      </c>
      <c r="O6902" t="n">
        <v>0</v>
      </c>
      <c r="P6902" t="n">
        <v>0</v>
      </c>
      <c r="Q6902" t="n">
        <v>0</v>
      </c>
      <c r="R6902" s="2" t="inlineStr"/>
    </row>
    <row r="6903" ht="15" customHeight="1">
      <c r="A6903" t="inlineStr">
        <is>
          <t>A 14592-2024</t>
        </is>
      </c>
      <c r="B6903" s="1" t="n">
        <v>45395.5187962963</v>
      </c>
      <c r="C6903" s="1" t="n">
        <v>45952</v>
      </c>
      <c r="D6903" t="inlineStr">
        <is>
          <t>VÄSTRA GÖTALANDS LÄN</t>
        </is>
      </c>
      <c r="E6903" t="inlineStr">
        <is>
          <t>ULRICEHAMN</t>
        </is>
      </c>
      <c r="G6903" t="n">
        <v>1.1</v>
      </c>
      <c r="H6903" t="n">
        <v>0</v>
      </c>
      <c r="I6903" t="n">
        <v>0</v>
      </c>
      <c r="J6903" t="n">
        <v>0</v>
      </c>
      <c r="K6903" t="n">
        <v>0</v>
      </c>
      <c r="L6903" t="n">
        <v>0</v>
      </c>
      <c r="M6903" t="n">
        <v>0</v>
      </c>
      <c r="N6903" t="n">
        <v>0</v>
      </c>
      <c r="O6903" t="n">
        <v>0</v>
      </c>
      <c r="P6903" t="n">
        <v>0</v>
      </c>
      <c r="Q6903" t="n">
        <v>0</v>
      </c>
      <c r="R6903" s="2" t="inlineStr"/>
    </row>
    <row r="6904" ht="15" customHeight="1">
      <c r="A6904" t="inlineStr">
        <is>
          <t>A 49101-2022</t>
        </is>
      </c>
      <c r="B6904" s="1" t="n">
        <v>44860.60222222222</v>
      </c>
      <c r="C6904" s="1" t="n">
        <v>45952</v>
      </c>
      <c r="D6904" t="inlineStr">
        <is>
          <t>VÄSTRA GÖTALANDS LÄN</t>
        </is>
      </c>
      <c r="E6904" t="inlineStr">
        <is>
          <t>SVENLJUNGA</t>
        </is>
      </c>
      <c r="G6904" t="n">
        <v>2.4</v>
      </c>
      <c r="H6904" t="n">
        <v>0</v>
      </c>
      <c r="I6904" t="n">
        <v>0</v>
      </c>
      <c r="J6904" t="n">
        <v>0</v>
      </c>
      <c r="K6904" t="n">
        <v>0</v>
      </c>
      <c r="L6904" t="n">
        <v>0</v>
      </c>
      <c r="M6904" t="n">
        <v>0</v>
      </c>
      <c r="N6904" t="n">
        <v>0</v>
      </c>
      <c r="O6904" t="n">
        <v>0</v>
      </c>
      <c r="P6904" t="n">
        <v>0</v>
      </c>
      <c r="Q6904" t="n">
        <v>0</v>
      </c>
      <c r="R6904" s="2" t="inlineStr"/>
    </row>
    <row r="6905" ht="15" customHeight="1">
      <c r="A6905" t="inlineStr">
        <is>
          <t>A 17136-2025</t>
        </is>
      </c>
      <c r="B6905" s="1" t="n">
        <v>45755</v>
      </c>
      <c r="C6905" s="1" t="n">
        <v>45952</v>
      </c>
      <c r="D6905" t="inlineStr">
        <is>
          <t>VÄSTRA GÖTALANDS LÄN</t>
        </is>
      </c>
      <c r="E6905" t="inlineStr">
        <is>
          <t>MUNKEDAL</t>
        </is>
      </c>
      <c r="F6905" t="inlineStr">
        <is>
          <t>Övriga Aktiebolag</t>
        </is>
      </c>
      <c r="G6905" t="n">
        <v>5.2</v>
      </c>
      <c r="H6905" t="n">
        <v>0</v>
      </c>
      <c r="I6905" t="n">
        <v>0</v>
      </c>
      <c r="J6905" t="n">
        <v>0</v>
      </c>
      <c r="K6905" t="n">
        <v>0</v>
      </c>
      <c r="L6905" t="n">
        <v>0</v>
      </c>
      <c r="M6905" t="n">
        <v>0</v>
      </c>
      <c r="N6905" t="n">
        <v>0</v>
      </c>
      <c r="O6905" t="n">
        <v>0</v>
      </c>
      <c r="P6905" t="n">
        <v>0</v>
      </c>
      <c r="Q6905" t="n">
        <v>0</v>
      </c>
      <c r="R6905" s="2" t="inlineStr"/>
    </row>
    <row r="6906" ht="15" customHeight="1">
      <c r="A6906" t="inlineStr">
        <is>
          <t>A 14396-2025</t>
        </is>
      </c>
      <c r="B6906" s="1" t="n">
        <v>45741.44355324074</v>
      </c>
      <c r="C6906" s="1" t="n">
        <v>45952</v>
      </c>
      <c r="D6906" t="inlineStr">
        <is>
          <t>VÄSTRA GÖTALANDS LÄN</t>
        </is>
      </c>
      <c r="E6906" t="inlineStr">
        <is>
          <t>BORÅS</t>
        </is>
      </c>
      <c r="G6906" t="n">
        <v>0.7</v>
      </c>
      <c r="H6906" t="n">
        <v>0</v>
      </c>
      <c r="I6906" t="n">
        <v>0</v>
      </c>
      <c r="J6906" t="n">
        <v>0</v>
      </c>
      <c r="K6906" t="n">
        <v>0</v>
      </c>
      <c r="L6906" t="n">
        <v>0</v>
      </c>
      <c r="M6906" t="n">
        <v>0</v>
      </c>
      <c r="N6906" t="n">
        <v>0</v>
      </c>
      <c r="O6906" t="n">
        <v>0</v>
      </c>
      <c r="P6906" t="n">
        <v>0</v>
      </c>
      <c r="Q6906" t="n">
        <v>0</v>
      </c>
      <c r="R6906" s="2" t="inlineStr"/>
    </row>
    <row r="6907" ht="15" customHeight="1">
      <c r="A6907" t="inlineStr">
        <is>
          <t>A 13540-2025</t>
        </is>
      </c>
      <c r="B6907" s="1" t="n">
        <v>45736.53384259259</v>
      </c>
      <c r="C6907" s="1" t="n">
        <v>45952</v>
      </c>
      <c r="D6907" t="inlineStr">
        <is>
          <t>VÄSTRA GÖTALANDS LÄN</t>
        </is>
      </c>
      <c r="E6907" t="inlineStr">
        <is>
          <t>SVENLJUNGA</t>
        </is>
      </c>
      <c r="G6907" t="n">
        <v>3.8</v>
      </c>
      <c r="H6907" t="n">
        <v>0</v>
      </c>
      <c r="I6907" t="n">
        <v>0</v>
      </c>
      <c r="J6907" t="n">
        <v>0</v>
      </c>
      <c r="K6907" t="n">
        <v>0</v>
      </c>
      <c r="L6907" t="n">
        <v>0</v>
      </c>
      <c r="M6907" t="n">
        <v>0</v>
      </c>
      <c r="N6907" t="n">
        <v>0</v>
      </c>
      <c r="O6907" t="n">
        <v>0</v>
      </c>
      <c r="P6907" t="n">
        <v>0</v>
      </c>
      <c r="Q6907" t="n">
        <v>0</v>
      </c>
      <c r="R6907" s="2" t="inlineStr"/>
    </row>
    <row r="6908" ht="15" customHeight="1">
      <c r="A6908" t="inlineStr">
        <is>
          <t>A 17187-2025</t>
        </is>
      </c>
      <c r="B6908" s="1" t="n">
        <v>45756.38744212963</v>
      </c>
      <c r="C6908" s="1" t="n">
        <v>45952</v>
      </c>
      <c r="D6908" t="inlineStr">
        <is>
          <t>VÄSTRA GÖTALANDS LÄN</t>
        </is>
      </c>
      <c r="E6908" t="inlineStr">
        <is>
          <t>TÖREBODA</t>
        </is>
      </c>
      <c r="F6908" t="inlineStr">
        <is>
          <t>Sveaskog</t>
        </is>
      </c>
      <c r="G6908" t="n">
        <v>4.1</v>
      </c>
      <c r="H6908" t="n">
        <v>0</v>
      </c>
      <c r="I6908" t="n">
        <v>0</v>
      </c>
      <c r="J6908" t="n">
        <v>0</v>
      </c>
      <c r="K6908" t="n">
        <v>0</v>
      </c>
      <c r="L6908" t="n">
        <v>0</v>
      </c>
      <c r="M6908" t="n">
        <v>0</v>
      </c>
      <c r="N6908" t="n">
        <v>0</v>
      </c>
      <c r="O6908" t="n">
        <v>0</v>
      </c>
      <c r="P6908" t="n">
        <v>0</v>
      </c>
      <c r="Q6908" t="n">
        <v>0</v>
      </c>
      <c r="R6908" s="2" t="inlineStr"/>
    </row>
    <row r="6909" ht="15" customHeight="1">
      <c r="A6909" t="inlineStr">
        <is>
          <t>A 17195-2025</t>
        </is>
      </c>
      <c r="B6909" s="1" t="n">
        <v>45756.40695601852</v>
      </c>
      <c r="C6909" s="1" t="n">
        <v>45952</v>
      </c>
      <c r="D6909" t="inlineStr">
        <is>
          <t>VÄSTRA GÖTALANDS LÄN</t>
        </is>
      </c>
      <c r="E6909" t="inlineStr">
        <is>
          <t>VÅRGÅRDA</t>
        </is>
      </c>
      <c r="G6909" t="n">
        <v>0.7</v>
      </c>
      <c r="H6909" t="n">
        <v>0</v>
      </c>
      <c r="I6909" t="n">
        <v>0</v>
      </c>
      <c r="J6909" t="n">
        <v>0</v>
      </c>
      <c r="K6909" t="n">
        <v>0</v>
      </c>
      <c r="L6909" t="n">
        <v>0</v>
      </c>
      <c r="M6909" t="n">
        <v>0</v>
      </c>
      <c r="N6909" t="n">
        <v>0</v>
      </c>
      <c r="O6909" t="n">
        <v>0</v>
      </c>
      <c r="P6909" t="n">
        <v>0</v>
      </c>
      <c r="Q6909" t="n">
        <v>0</v>
      </c>
      <c r="R6909" s="2" t="inlineStr"/>
    </row>
    <row r="6910" ht="15" customHeight="1">
      <c r="A6910" t="inlineStr">
        <is>
          <t>A 12127-2024</t>
        </is>
      </c>
      <c r="B6910" s="1" t="n">
        <v>45377.64670138889</v>
      </c>
      <c r="C6910" s="1" t="n">
        <v>45952</v>
      </c>
      <c r="D6910" t="inlineStr">
        <is>
          <t>VÄSTRA GÖTALANDS LÄN</t>
        </is>
      </c>
      <c r="E6910" t="inlineStr">
        <is>
          <t>MARK</t>
        </is>
      </c>
      <c r="F6910" t="inlineStr">
        <is>
          <t>Kyrkan</t>
        </is>
      </c>
      <c r="G6910" t="n">
        <v>6.9</v>
      </c>
      <c r="H6910" t="n">
        <v>0</v>
      </c>
      <c r="I6910" t="n">
        <v>0</v>
      </c>
      <c r="J6910" t="n">
        <v>0</v>
      </c>
      <c r="K6910" t="n">
        <v>0</v>
      </c>
      <c r="L6910" t="n">
        <v>0</v>
      </c>
      <c r="M6910" t="n">
        <v>0</v>
      </c>
      <c r="N6910" t="n">
        <v>0</v>
      </c>
      <c r="O6910" t="n">
        <v>0</v>
      </c>
      <c r="P6910" t="n">
        <v>0</v>
      </c>
      <c r="Q6910" t="n">
        <v>0</v>
      </c>
      <c r="R6910" s="2" t="inlineStr"/>
    </row>
    <row r="6911" ht="15" customHeight="1">
      <c r="A6911" t="inlineStr">
        <is>
          <t>A 21061-2022</t>
        </is>
      </c>
      <c r="B6911" s="1" t="n">
        <v>44704</v>
      </c>
      <c r="C6911" s="1" t="n">
        <v>45952</v>
      </c>
      <c r="D6911" t="inlineStr">
        <is>
          <t>VÄSTRA GÖTALANDS LÄN</t>
        </is>
      </c>
      <c r="E6911" t="inlineStr">
        <is>
          <t>STRÖMSTAD</t>
        </is>
      </c>
      <c r="G6911" t="n">
        <v>0.9</v>
      </c>
      <c r="H6911" t="n">
        <v>0</v>
      </c>
      <c r="I6911" t="n">
        <v>0</v>
      </c>
      <c r="J6911" t="n">
        <v>0</v>
      </c>
      <c r="K6911" t="n">
        <v>0</v>
      </c>
      <c r="L6911" t="n">
        <v>0</v>
      </c>
      <c r="M6911" t="n">
        <v>0</v>
      </c>
      <c r="N6911" t="n">
        <v>0</v>
      </c>
      <c r="O6911" t="n">
        <v>0</v>
      </c>
      <c r="P6911" t="n">
        <v>0</v>
      </c>
      <c r="Q6911" t="n">
        <v>0</v>
      </c>
      <c r="R6911" s="2" t="inlineStr"/>
    </row>
    <row r="6912" ht="15" customHeight="1">
      <c r="A6912" t="inlineStr">
        <is>
          <t>A 21125-2022</t>
        </is>
      </c>
      <c r="B6912" s="1" t="n">
        <v>44704.61283564815</v>
      </c>
      <c r="C6912" s="1" t="n">
        <v>45952</v>
      </c>
      <c r="D6912" t="inlineStr">
        <is>
          <t>VÄSTRA GÖTALANDS LÄN</t>
        </is>
      </c>
      <c r="E6912" t="inlineStr">
        <is>
          <t>MUNKEDAL</t>
        </is>
      </c>
      <c r="G6912" t="n">
        <v>3</v>
      </c>
      <c r="H6912" t="n">
        <v>0</v>
      </c>
      <c r="I6912" t="n">
        <v>0</v>
      </c>
      <c r="J6912" t="n">
        <v>0</v>
      </c>
      <c r="K6912" t="n">
        <v>0</v>
      </c>
      <c r="L6912" t="n">
        <v>0</v>
      </c>
      <c r="M6912" t="n">
        <v>0</v>
      </c>
      <c r="N6912" t="n">
        <v>0</v>
      </c>
      <c r="O6912" t="n">
        <v>0</v>
      </c>
      <c r="P6912" t="n">
        <v>0</v>
      </c>
      <c r="Q6912" t="n">
        <v>0</v>
      </c>
      <c r="R6912" s="2" t="inlineStr"/>
    </row>
    <row r="6913" ht="15" customHeight="1">
      <c r="A6913" t="inlineStr">
        <is>
          <t>A 13664-2021</t>
        </is>
      </c>
      <c r="B6913" s="1" t="n">
        <v>44274</v>
      </c>
      <c r="C6913" s="1" t="n">
        <v>45952</v>
      </c>
      <c r="D6913" t="inlineStr">
        <is>
          <t>VÄSTRA GÖTALANDS LÄN</t>
        </is>
      </c>
      <c r="E6913" t="inlineStr">
        <is>
          <t>BENGTSFORS</t>
        </is>
      </c>
      <c r="G6913" t="n">
        <v>0.8</v>
      </c>
      <c r="H6913" t="n">
        <v>0</v>
      </c>
      <c r="I6913" t="n">
        <v>0</v>
      </c>
      <c r="J6913" t="n">
        <v>0</v>
      </c>
      <c r="K6913" t="n">
        <v>0</v>
      </c>
      <c r="L6913" t="n">
        <v>0</v>
      </c>
      <c r="M6913" t="n">
        <v>0</v>
      </c>
      <c r="N6913" t="n">
        <v>0</v>
      </c>
      <c r="O6913" t="n">
        <v>0</v>
      </c>
      <c r="P6913" t="n">
        <v>0</v>
      </c>
      <c r="Q6913" t="n">
        <v>0</v>
      </c>
      <c r="R6913" s="2" t="inlineStr"/>
    </row>
    <row r="6914" ht="15" customHeight="1">
      <c r="A6914" t="inlineStr">
        <is>
          <t>A 22824-2022</t>
        </is>
      </c>
      <c r="B6914" s="1" t="n">
        <v>44715.42887731481</v>
      </c>
      <c r="C6914" s="1" t="n">
        <v>45952</v>
      </c>
      <c r="D6914" t="inlineStr">
        <is>
          <t>VÄSTRA GÖTALANDS LÄN</t>
        </is>
      </c>
      <c r="E6914" t="inlineStr">
        <is>
          <t>ULRICEHAMN</t>
        </is>
      </c>
      <c r="G6914" t="n">
        <v>5.8</v>
      </c>
      <c r="H6914" t="n">
        <v>0</v>
      </c>
      <c r="I6914" t="n">
        <v>0</v>
      </c>
      <c r="J6914" t="n">
        <v>0</v>
      </c>
      <c r="K6914" t="n">
        <v>0</v>
      </c>
      <c r="L6914" t="n">
        <v>0</v>
      </c>
      <c r="M6914" t="n">
        <v>0</v>
      </c>
      <c r="N6914" t="n">
        <v>0</v>
      </c>
      <c r="O6914" t="n">
        <v>0</v>
      </c>
      <c r="P6914" t="n">
        <v>0</v>
      </c>
      <c r="Q6914" t="n">
        <v>0</v>
      </c>
      <c r="R6914" s="2" t="inlineStr"/>
    </row>
    <row r="6915" ht="15" customHeight="1">
      <c r="A6915" t="inlineStr">
        <is>
          <t>A 30753-2022</t>
        </is>
      </c>
      <c r="B6915" s="1" t="n">
        <v>44764.50056712963</v>
      </c>
      <c r="C6915" s="1" t="n">
        <v>45952</v>
      </c>
      <c r="D6915" t="inlineStr">
        <is>
          <t>VÄSTRA GÖTALANDS LÄN</t>
        </is>
      </c>
      <c r="E6915" t="inlineStr">
        <is>
          <t>MARK</t>
        </is>
      </c>
      <c r="G6915" t="n">
        <v>2.6</v>
      </c>
      <c r="H6915" t="n">
        <v>0</v>
      </c>
      <c r="I6915" t="n">
        <v>0</v>
      </c>
      <c r="J6915" t="n">
        <v>0</v>
      </c>
      <c r="K6915" t="n">
        <v>0</v>
      </c>
      <c r="L6915" t="n">
        <v>0</v>
      </c>
      <c r="M6915" t="n">
        <v>0</v>
      </c>
      <c r="N6915" t="n">
        <v>0</v>
      </c>
      <c r="O6915" t="n">
        <v>0</v>
      </c>
      <c r="P6915" t="n">
        <v>0</v>
      </c>
      <c r="Q6915" t="n">
        <v>0</v>
      </c>
      <c r="R6915" s="2" t="inlineStr"/>
    </row>
    <row r="6916" ht="15" customHeight="1">
      <c r="A6916" t="inlineStr">
        <is>
          <t>A 39762-2023</t>
        </is>
      </c>
      <c r="B6916" s="1" t="n">
        <v>45167.71539351852</v>
      </c>
      <c r="C6916" s="1" t="n">
        <v>45952</v>
      </c>
      <c r="D6916" t="inlineStr">
        <is>
          <t>VÄSTRA GÖTALANDS LÄN</t>
        </is>
      </c>
      <c r="E6916" t="inlineStr">
        <is>
          <t>HÄRRYDA</t>
        </is>
      </c>
      <c r="G6916" t="n">
        <v>0.5</v>
      </c>
      <c r="H6916" t="n">
        <v>0</v>
      </c>
      <c r="I6916" t="n">
        <v>0</v>
      </c>
      <c r="J6916" t="n">
        <v>0</v>
      </c>
      <c r="K6916" t="n">
        <v>0</v>
      </c>
      <c r="L6916" t="n">
        <v>0</v>
      </c>
      <c r="M6916" t="n">
        <v>0</v>
      </c>
      <c r="N6916" t="n">
        <v>0</v>
      </c>
      <c r="O6916" t="n">
        <v>0</v>
      </c>
      <c r="P6916" t="n">
        <v>0</v>
      </c>
      <c r="Q6916" t="n">
        <v>0</v>
      </c>
      <c r="R6916" s="2" t="inlineStr"/>
    </row>
    <row r="6917" ht="15" customHeight="1">
      <c r="A6917" t="inlineStr">
        <is>
          <t>A 37070-2022</t>
        </is>
      </c>
      <c r="B6917" s="1" t="n">
        <v>44806</v>
      </c>
      <c r="C6917" s="1" t="n">
        <v>45952</v>
      </c>
      <c r="D6917" t="inlineStr">
        <is>
          <t>VÄSTRA GÖTALANDS LÄN</t>
        </is>
      </c>
      <c r="E6917" t="inlineStr">
        <is>
          <t>TIDAHOLM</t>
        </is>
      </c>
      <c r="G6917" t="n">
        <v>4.5</v>
      </c>
      <c r="H6917" t="n">
        <v>0</v>
      </c>
      <c r="I6917" t="n">
        <v>0</v>
      </c>
      <c r="J6917" t="n">
        <v>0</v>
      </c>
      <c r="K6917" t="n">
        <v>0</v>
      </c>
      <c r="L6917" t="n">
        <v>0</v>
      </c>
      <c r="M6917" t="n">
        <v>0</v>
      </c>
      <c r="N6917" t="n">
        <v>0</v>
      </c>
      <c r="O6917" t="n">
        <v>0</v>
      </c>
      <c r="P6917" t="n">
        <v>0</v>
      </c>
      <c r="Q6917" t="n">
        <v>0</v>
      </c>
      <c r="R6917" s="2" t="inlineStr"/>
    </row>
    <row r="6918" ht="15" customHeight="1">
      <c r="A6918" t="inlineStr">
        <is>
          <t>A 3676-2022</t>
        </is>
      </c>
      <c r="B6918" s="1" t="n">
        <v>44586</v>
      </c>
      <c r="C6918" s="1" t="n">
        <v>45952</v>
      </c>
      <c r="D6918" t="inlineStr">
        <is>
          <t>VÄSTRA GÖTALANDS LÄN</t>
        </is>
      </c>
      <c r="E6918" t="inlineStr">
        <is>
          <t>MÖLNDAL</t>
        </is>
      </c>
      <c r="G6918" t="n">
        <v>0.5</v>
      </c>
      <c r="H6918" t="n">
        <v>0</v>
      </c>
      <c r="I6918" t="n">
        <v>0</v>
      </c>
      <c r="J6918" t="n">
        <v>0</v>
      </c>
      <c r="K6918" t="n">
        <v>0</v>
      </c>
      <c r="L6918" t="n">
        <v>0</v>
      </c>
      <c r="M6918" t="n">
        <v>0</v>
      </c>
      <c r="N6918" t="n">
        <v>0</v>
      </c>
      <c r="O6918" t="n">
        <v>0</v>
      </c>
      <c r="P6918" t="n">
        <v>0</v>
      </c>
      <c r="Q6918" t="n">
        <v>0</v>
      </c>
      <c r="R6918" s="2" t="inlineStr"/>
    </row>
    <row r="6919" ht="15" customHeight="1">
      <c r="A6919" t="inlineStr">
        <is>
          <t>A 52410-2023</t>
        </is>
      </c>
      <c r="B6919" s="1" t="n">
        <v>45224</v>
      </c>
      <c r="C6919" s="1" t="n">
        <v>45952</v>
      </c>
      <c r="D6919" t="inlineStr">
        <is>
          <t>VÄSTRA GÖTALANDS LÄN</t>
        </is>
      </c>
      <c r="E6919" t="inlineStr">
        <is>
          <t>BORÅS</t>
        </is>
      </c>
      <c r="G6919" t="n">
        <v>0.8</v>
      </c>
      <c r="H6919" t="n">
        <v>0</v>
      </c>
      <c r="I6919" t="n">
        <v>0</v>
      </c>
      <c r="J6919" t="n">
        <v>0</v>
      </c>
      <c r="K6919" t="n">
        <v>0</v>
      </c>
      <c r="L6919" t="n">
        <v>0</v>
      </c>
      <c r="M6919" t="n">
        <v>0</v>
      </c>
      <c r="N6919" t="n">
        <v>0</v>
      </c>
      <c r="O6919" t="n">
        <v>0</v>
      </c>
      <c r="P6919" t="n">
        <v>0</v>
      </c>
      <c r="Q6919" t="n">
        <v>0</v>
      </c>
      <c r="R6919" s="2" t="inlineStr"/>
    </row>
    <row r="6920" ht="15" customHeight="1">
      <c r="A6920" t="inlineStr">
        <is>
          <t>A 59614-2023</t>
        </is>
      </c>
      <c r="B6920" s="1" t="n">
        <v>45254.64460648148</v>
      </c>
      <c r="C6920" s="1" t="n">
        <v>45952</v>
      </c>
      <c r="D6920" t="inlineStr">
        <is>
          <t>VÄSTRA GÖTALANDS LÄN</t>
        </is>
      </c>
      <c r="E6920" t="inlineStr">
        <is>
          <t>MARK</t>
        </is>
      </c>
      <c r="G6920" t="n">
        <v>0.6</v>
      </c>
      <c r="H6920" t="n">
        <v>0</v>
      </c>
      <c r="I6920" t="n">
        <v>0</v>
      </c>
      <c r="J6920" t="n">
        <v>0</v>
      </c>
      <c r="K6920" t="n">
        <v>0</v>
      </c>
      <c r="L6920" t="n">
        <v>0</v>
      </c>
      <c r="M6920" t="n">
        <v>0</v>
      </c>
      <c r="N6920" t="n">
        <v>0</v>
      </c>
      <c r="O6920" t="n">
        <v>0</v>
      </c>
      <c r="P6920" t="n">
        <v>0</v>
      </c>
      <c r="Q6920" t="n">
        <v>0</v>
      </c>
      <c r="R6920" s="2" t="inlineStr"/>
    </row>
    <row r="6921" ht="15" customHeight="1">
      <c r="A6921" t="inlineStr">
        <is>
          <t>A 16159-2025</t>
        </is>
      </c>
      <c r="B6921" s="1" t="n">
        <v>45750.49517361111</v>
      </c>
      <c r="C6921" s="1" t="n">
        <v>45952</v>
      </c>
      <c r="D6921" t="inlineStr">
        <is>
          <t>VÄSTRA GÖTALANDS LÄN</t>
        </is>
      </c>
      <c r="E6921" t="inlineStr">
        <is>
          <t>MARK</t>
        </is>
      </c>
      <c r="G6921" t="n">
        <v>5.2</v>
      </c>
      <c r="H6921" t="n">
        <v>0</v>
      </c>
      <c r="I6921" t="n">
        <v>0</v>
      </c>
      <c r="J6921" t="n">
        <v>0</v>
      </c>
      <c r="K6921" t="n">
        <v>0</v>
      </c>
      <c r="L6921" t="n">
        <v>0</v>
      </c>
      <c r="M6921" t="n">
        <v>0</v>
      </c>
      <c r="N6921" t="n">
        <v>0</v>
      </c>
      <c r="O6921" t="n">
        <v>0</v>
      </c>
      <c r="P6921" t="n">
        <v>0</v>
      </c>
      <c r="Q6921" t="n">
        <v>0</v>
      </c>
      <c r="R6921" s="2" t="inlineStr"/>
    </row>
    <row r="6922" ht="15" customHeight="1">
      <c r="A6922" t="inlineStr">
        <is>
          <t>A 17787-2025</t>
        </is>
      </c>
      <c r="B6922" s="1" t="n">
        <v>45758.5375462963</v>
      </c>
      <c r="C6922" s="1" t="n">
        <v>45952</v>
      </c>
      <c r="D6922" t="inlineStr">
        <is>
          <t>VÄSTRA GÖTALANDS LÄN</t>
        </is>
      </c>
      <c r="E6922" t="inlineStr">
        <is>
          <t>BENGTSFORS</t>
        </is>
      </c>
      <c r="G6922" t="n">
        <v>1.3</v>
      </c>
      <c r="H6922" t="n">
        <v>0</v>
      </c>
      <c r="I6922" t="n">
        <v>0</v>
      </c>
      <c r="J6922" t="n">
        <v>0</v>
      </c>
      <c r="K6922" t="n">
        <v>0</v>
      </c>
      <c r="L6922" t="n">
        <v>0</v>
      </c>
      <c r="M6922" t="n">
        <v>0</v>
      </c>
      <c r="N6922" t="n">
        <v>0</v>
      </c>
      <c r="O6922" t="n">
        <v>0</v>
      </c>
      <c r="P6922" t="n">
        <v>0</v>
      </c>
      <c r="Q6922" t="n">
        <v>0</v>
      </c>
      <c r="R6922" s="2" t="inlineStr"/>
    </row>
    <row r="6923" ht="15" customHeight="1">
      <c r="A6923" t="inlineStr">
        <is>
          <t>A 12016-2025</t>
        </is>
      </c>
      <c r="B6923" s="1" t="n">
        <v>45728</v>
      </c>
      <c r="C6923" s="1" t="n">
        <v>45952</v>
      </c>
      <c r="D6923" t="inlineStr">
        <is>
          <t>VÄSTRA GÖTALANDS LÄN</t>
        </is>
      </c>
      <c r="E6923" t="inlineStr">
        <is>
          <t>VARA</t>
        </is>
      </c>
      <c r="G6923" t="n">
        <v>1.5</v>
      </c>
      <c r="H6923" t="n">
        <v>0</v>
      </c>
      <c r="I6923" t="n">
        <v>0</v>
      </c>
      <c r="J6923" t="n">
        <v>0</v>
      </c>
      <c r="K6923" t="n">
        <v>0</v>
      </c>
      <c r="L6923" t="n">
        <v>0</v>
      </c>
      <c r="M6923" t="n">
        <v>0</v>
      </c>
      <c r="N6923" t="n">
        <v>0</v>
      </c>
      <c r="O6923" t="n">
        <v>0</v>
      </c>
      <c r="P6923" t="n">
        <v>0</v>
      </c>
      <c r="Q6923" t="n">
        <v>0</v>
      </c>
      <c r="R6923" s="2" t="inlineStr"/>
    </row>
    <row r="6924" ht="15" customHeight="1">
      <c r="A6924" t="inlineStr">
        <is>
          <t>A 33591-2024</t>
        </is>
      </c>
      <c r="B6924" s="1" t="n">
        <v>45520.35515046296</v>
      </c>
      <c r="C6924" s="1" t="n">
        <v>45952</v>
      </c>
      <c r="D6924" t="inlineStr">
        <is>
          <t>VÄSTRA GÖTALANDS LÄN</t>
        </is>
      </c>
      <c r="E6924" t="inlineStr">
        <is>
          <t>BENGTSFORS</t>
        </is>
      </c>
      <c r="F6924" t="inlineStr">
        <is>
          <t>Övriga Aktiebolag</t>
        </is>
      </c>
      <c r="G6924" t="n">
        <v>3.5</v>
      </c>
      <c r="H6924" t="n">
        <v>0</v>
      </c>
      <c r="I6924" t="n">
        <v>0</v>
      </c>
      <c r="J6924" t="n">
        <v>0</v>
      </c>
      <c r="K6924" t="n">
        <v>0</v>
      </c>
      <c r="L6924" t="n">
        <v>0</v>
      </c>
      <c r="M6924" t="n">
        <v>0</v>
      </c>
      <c r="N6924" t="n">
        <v>0</v>
      </c>
      <c r="O6924" t="n">
        <v>0</v>
      </c>
      <c r="P6924" t="n">
        <v>0</v>
      </c>
      <c r="Q6924" t="n">
        <v>0</v>
      </c>
      <c r="R6924" s="2" t="inlineStr"/>
    </row>
    <row r="6925" ht="15" customHeight="1">
      <c r="A6925" t="inlineStr">
        <is>
          <t>A 30308-2022</t>
        </is>
      </c>
      <c r="B6925" s="1" t="n">
        <v>44760</v>
      </c>
      <c r="C6925" s="1" t="n">
        <v>45952</v>
      </c>
      <c r="D6925" t="inlineStr">
        <is>
          <t>VÄSTRA GÖTALANDS LÄN</t>
        </is>
      </c>
      <c r="E6925" t="inlineStr">
        <is>
          <t>MUNKEDAL</t>
        </is>
      </c>
      <c r="G6925" t="n">
        <v>8.300000000000001</v>
      </c>
      <c r="H6925" t="n">
        <v>0</v>
      </c>
      <c r="I6925" t="n">
        <v>0</v>
      </c>
      <c r="J6925" t="n">
        <v>0</v>
      </c>
      <c r="K6925" t="n">
        <v>0</v>
      </c>
      <c r="L6925" t="n">
        <v>0</v>
      </c>
      <c r="M6925" t="n">
        <v>0</v>
      </c>
      <c r="N6925" t="n">
        <v>0</v>
      </c>
      <c r="O6925" t="n">
        <v>0</v>
      </c>
      <c r="P6925" t="n">
        <v>0</v>
      </c>
      <c r="Q6925" t="n">
        <v>0</v>
      </c>
      <c r="R6925" s="2" t="inlineStr"/>
    </row>
    <row r="6926" ht="15" customHeight="1">
      <c r="A6926" t="inlineStr">
        <is>
          <t>A 30381-2022</t>
        </is>
      </c>
      <c r="B6926" s="1" t="n">
        <v>44760.71414351852</v>
      </c>
      <c r="C6926" s="1" t="n">
        <v>45952</v>
      </c>
      <c r="D6926" t="inlineStr">
        <is>
          <t>VÄSTRA GÖTALANDS LÄN</t>
        </is>
      </c>
      <c r="E6926" t="inlineStr">
        <is>
          <t>MARK</t>
        </is>
      </c>
      <c r="G6926" t="n">
        <v>1.2</v>
      </c>
      <c r="H6926" t="n">
        <v>0</v>
      </c>
      <c r="I6926" t="n">
        <v>0</v>
      </c>
      <c r="J6926" t="n">
        <v>0</v>
      </c>
      <c r="K6926" t="n">
        <v>0</v>
      </c>
      <c r="L6926" t="n">
        <v>0</v>
      </c>
      <c r="M6926" t="n">
        <v>0</v>
      </c>
      <c r="N6926" t="n">
        <v>0</v>
      </c>
      <c r="O6926" t="n">
        <v>0</v>
      </c>
      <c r="P6926" t="n">
        <v>0</v>
      </c>
      <c r="Q6926" t="n">
        <v>0</v>
      </c>
      <c r="R6926" s="2" t="inlineStr"/>
    </row>
    <row r="6927" ht="15" customHeight="1">
      <c r="A6927" t="inlineStr">
        <is>
          <t>A 44445-2023</t>
        </is>
      </c>
      <c r="B6927" s="1" t="n">
        <v>45189.37668981482</v>
      </c>
      <c r="C6927" s="1" t="n">
        <v>45952</v>
      </c>
      <c r="D6927" t="inlineStr">
        <is>
          <t>VÄSTRA GÖTALANDS LÄN</t>
        </is>
      </c>
      <c r="E6927" t="inlineStr">
        <is>
          <t>LILLA EDET</t>
        </is>
      </c>
      <c r="G6927" t="n">
        <v>3.8</v>
      </c>
      <c r="H6927" t="n">
        <v>0</v>
      </c>
      <c r="I6927" t="n">
        <v>0</v>
      </c>
      <c r="J6927" t="n">
        <v>0</v>
      </c>
      <c r="K6927" t="n">
        <v>0</v>
      </c>
      <c r="L6927" t="n">
        <v>0</v>
      </c>
      <c r="M6927" t="n">
        <v>0</v>
      </c>
      <c r="N6927" t="n">
        <v>0</v>
      </c>
      <c r="O6927" t="n">
        <v>0</v>
      </c>
      <c r="P6927" t="n">
        <v>0</v>
      </c>
      <c r="Q6927" t="n">
        <v>0</v>
      </c>
      <c r="R6927" s="2" t="inlineStr"/>
    </row>
    <row r="6928" ht="15" customHeight="1">
      <c r="A6928" t="inlineStr">
        <is>
          <t>A 44451-2023</t>
        </is>
      </c>
      <c r="B6928" s="1" t="n">
        <v>45183</v>
      </c>
      <c r="C6928" s="1" t="n">
        <v>45952</v>
      </c>
      <c r="D6928" t="inlineStr">
        <is>
          <t>VÄSTRA GÖTALANDS LÄN</t>
        </is>
      </c>
      <c r="E6928" t="inlineStr">
        <is>
          <t>TIDAHOLM</t>
        </is>
      </c>
      <c r="F6928" t="inlineStr">
        <is>
          <t>Allmännings- och besparingsskogar</t>
        </is>
      </c>
      <c r="G6928" t="n">
        <v>5.1</v>
      </c>
      <c r="H6928" t="n">
        <v>0</v>
      </c>
      <c r="I6928" t="n">
        <v>0</v>
      </c>
      <c r="J6928" t="n">
        <v>0</v>
      </c>
      <c r="K6928" t="n">
        <v>0</v>
      </c>
      <c r="L6928" t="n">
        <v>0</v>
      </c>
      <c r="M6928" t="n">
        <v>0</v>
      </c>
      <c r="N6928" t="n">
        <v>0</v>
      </c>
      <c r="O6928" t="n">
        <v>0</v>
      </c>
      <c r="P6928" t="n">
        <v>0</v>
      </c>
      <c r="Q6928" t="n">
        <v>0</v>
      </c>
      <c r="R6928" s="2" t="inlineStr"/>
    </row>
    <row r="6929" ht="15" customHeight="1">
      <c r="A6929" t="inlineStr">
        <is>
          <t>A 15180-2022</t>
        </is>
      </c>
      <c r="B6929" s="1" t="n">
        <v>44658</v>
      </c>
      <c r="C6929" s="1" t="n">
        <v>45952</v>
      </c>
      <c r="D6929" t="inlineStr">
        <is>
          <t>VÄSTRA GÖTALANDS LÄN</t>
        </is>
      </c>
      <c r="E6929" t="inlineStr">
        <is>
          <t>ULRICEHAMN</t>
        </is>
      </c>
      <c r="G6929" t="n">
        <v>1.6</v>
      </c>
      <c r="H6929" t="n">
        <v>0</v>
      </c>
      <c r="I6929" t="n">
        <v>0</v>
      </c>
      <c r="J6929" t="n">
        <v>0</v>
      </c>
      <c r="K6929" t="n">
        <v>0</v>
      </c>
      <c r="L6929" t="n">
        <v>0</v>
      </c>
      <c r="M6929" t="n">
        <v>0</v>
      </c>
      <c r="N6929" t="n">
        <v>0</v>
      </c>
      <c r="O6929" t="n">
        <v>0</v>
      </c>
      <c r="P6929" t="n">
        <v>0</v>
      </c>
      <c r="Q6929" t="n">
        <v>0</v>
      </c>
      <c r="R6929" s="2" t="inlineStr"/>
    </row>
    <row r="6930" ht="15" customHeight="1">
      <c r="A6930" t="inlineStr">
        <is>
          <t>A 5146-2025</t>
        </is>
      </c>
      <c r="B6930" s="1" t="n">
        <v>45691.58796296296</v>
      </c>
      <c r="C6930" s="1" t="n">
        <v>45952</v>
      </c>
      <c r="D6930" t="inlineStr">
        <is>
          <t>VÄSTRA GÖTALANDS LÄN</t>
        </is>
      </c>
      <c r="E6930" t="inlineStr">
        <is>
          <t>MARIESTAD</t>
        </is>
      </c>
      <c r="G6930" t="n">
        <v>0.6</v>
      </c>
      <c r="H6930" t="n">
        <v>0</v>
      </c>
      <c r="I6930" t="n">
        <v>0</v>
      </c>
      <c r="J6930" t="n">
        <v>0</v>
      </c>
      <c r="K6930" t="n">
        <v>0</v>
      </c>
      <c r="L6930" t="n">
        <v>0</v>
      </c>
      <c r="M6930" t="n">
        <v>0</v>
      </c>
      <c r="N6930" t="n">
        <v>0</v>
      </c>
      <c r="O6930" t="n">
        <v>0</v>
      </c>
      <c r="P6930" t="n">
        <v>0</v>
      </c>
      <c r="Q6930" t="n">
        <v>0</v>
      </c>
      <c r="R6930" s="2" t="inlineStr"/>
    </row>
    <row r="6931" ht="15" customHeight="1">
      <c r="A6931" t="inlineStr">
        <is>
          <t>A 5180-2025</t>
        </is>
      </c>
      <c r="B6931" s="1" t="n">
        <v>45691.6365625</v>
      </c>
      <c r="C6931" s="1" t="n">
        <v>45952</v>
      </c>
      <c r="D6931" t="inlineStr">
        <is>
          <t>VÄSTRA GÖTALANDS LÄN</t>
        </is>
      </c>
      <c r="E6931" t="inlineStr">
        <is>
          <t>ULRICEHAMN</t>
        </is>
      </c>
      <c r="G6931" t="n">
        <v>1.9</v>
      </c>
      <c r="H6931" t="n">
        <v>0</v>
      </c>
      <c r="I6931" t="n">
        <v>0</v>
      </c>
      <c r="J6931" t="n">
        <v>0</v>
      </c>
      <c r="K6931" t="n">
        <v>0</v>
      </c>
      <c r="L6931" t="n">
        <v>0</v>
      </c>
      <c r="M6931" t="n">
        <v>0</v>
      </c>
      <c r="N6931" t="n">
        <v>0</v>
      </c>
      <c r="O6931" t="n">
        <v>0</v>
      </c>
      <c r="P6931" t="n">
        <v>0</v>
      </c>
      <c r="Q6931" t="n">
        <v>0</v>
      </c>
      <c r="R6931" s="2" t="inlineStr"/>
    </row>
    <row r="6932" ht="15" customHeight="1">
      <c r="A6932" t="inlineStr">
        <is>
          <t>A 48354-2024</t>
        </is>
      </c>
      <c r="B6932" s="1" t="n">
        <v>45590.56171296296</v>
      </c>
      <c r="C6932" s="1" t="n">
        <v>45952</v>
      </c>
      <c r="D6932" t="inlineStr">
        <is>
          <t>VÄSTRA GÖTALANDS LÄN</t>
        </is>
      </c>
      <c r="E6932" t="inlineStr">
        <is>
          <t>BOLLEBYGD</t>
        </is>
      </c>
      <c r="G6932" t="n">
        <v>3.9</v>
      </c>
      <c r="H6932" t="n">
        <v>0</v>
      </c>
      <c r="I6932" t="n">
        <v>0</v>
      </c>
      <c r="J6932" t="n">
        <v>0</v>
      </c>
      <c r="K6932" t="n">
        <v>0</v>
      </c>
      <c r="L6932" t="n">
        <v>0</v>
      </c>
      <c r="M6932" t="n">
        <v>0</v>
      </c>
      <c r="N6932" t="n">
        <v>0</v>
      </c>
      <c r="O6932" t="n">
        <v>0</v>
      </c>
      <c r="P6932" t="n">
        <v>0</v>
      </c>
      <c r="Q6932" t="n">
        <v>0</v>
      </c>
      <c r="R6932" s="2" t="inlineStr"/>
    </row>
    <row r="6933" ht="15" customHeight="1">
      <c r="A6933" t="inlineStr">
        <is>
          <t>A 4376-2025</t>
        </is>
      </c>
      <c r="B6933" s="1" t="n">
        <v>45686.38752314815</v>
      </c>
      <c r="C6933" s="1" t="n">
        <v>45952</v>
      </c>
      <c r="D6933" t="inlineStr">
        <is>
          <t>VÄSTRA GÖTALANDS LÄN</t>
        </is>
      </c>
      <c r="E6933" t="inlineStr">
        <is>
          <t>MARK</t>
        </is>
      </c>
      <c r="G6933" t="n">
        <v>2.6</v>
      </c>
      <c r="H6933" t="n">
        <v>0</v>
      </c>
      <c r="I6933" t="n">
        <v>0</v>
      </c>
      <c r="J6933" t="n">
        <v>0</v>
      </c>
      <c r="K6933" t="n">
        <v>0</v>
      </c>
      <c r="L6933" t="n">
        <v>0</v>
      </c>
      <c r="M6933" t="n">
        <v>0</v>
      </c>
      <c r="N6933" t="n">
        <v>0</v>
      </c>
      <c r="O6933" t="n">
        <v>0</v>
      </c>
      <c r="P6933" t="n">
        <v>0</v>
      </c>
      <c r="Q6933" t="n">
        <v>0</v>
      </c>
      <c r="R6933" s="2" t="inlineStr"/>
    </row>
    <row r="6934" ht="15" customHeight="1">
      <c r="A6934" t="inlineStr">
        <is>
          <t>A 16541-2025</t>
        </is>
      </c>
      <c r="B6934" s="1" t="n">
        <v>45751.66748842593</v>
      </c>
      <c r="C6934" s="1" t="n">
        <v>45952</v>
      </c>
      <c r="D6934" t="inlineStr">
        <is>
          <t>VÄSTRA GÖTALANDS LÄN</t>
        </is>
      </c>
      <c r="E6934" t="inlineStr">
        <is>
          <t>MARK</t>
        </is>
      </c>
      <c r="G6934" t="n">
        <v>2.9</v>
      </c>
      <c r="H6934" t="n">
        <v>0</v>
      </c>
      <c r="I6934" t="n">
        <v>0</v>
      </c>
      <c r="J6934" t="n">
        <v>0</v>
      </c>
      <c r="K6934" t="n">
        <v>0</v>
      </c>
      <c r="L6934" t="n">
        <v>0</v>
      </c>
      <c r="M6934" t="n">
        <v>0</v>
      </c>
      <c r="N6934" t="n">
        <v>0</v>
      </c>
      <c r="O6934" t="n">
        <v>0</v>
      </c>
      <c r="P6934" t="n">
        <v>0</v>
      </c>
      <c r="Q6934" t="n">
        <v>0</v>
      </c>
      <c r="R6934" s="2" t="inlineStr"/>
    </row>
    <row r="6935" ht="15" customHeight="1">
      <c r="A6935" t="inlineStr">
        <is>
          <t>A 58138-2024</t>
        </is>
      </c>
      <c r="B6935" s="1" t="n">
        <v>45631</v>
      </c>
      <c r="C6935" s="1" t="n">
        <v>45952</v>
      </c>
      <c r="D6935" t="inlineStr">
        <is>
          <t>VÄSTRA GÖTALANDS LÄN</t>
        </is>
      </c>
      <c r="E6935" t="inlineStr">
        <is>
          <t>SKÖVDE</t>
        </is>
      </c>
      <c r="G6935" t="n">
        <v>0.8</v>
      </c>
      <c r="H6935" t="n">
        <v>0</v>
      </c>
      <c r="I6935" t="n">
        <v>0</v>
      </c>
      <c r="J6935" t="n">
        <v>0</v>
      </c>
      <c r="K6935" t="n">
        <v>0</v>
      </c>
      <c r="L6935" t="n">
        <v>0</v>
      </c>
      <c r="M6935" t="n">
        <v>0</v>
      </c>
      <c r="N6935" t="n">
        <v>0</v>
      </c>
      <c r="O6935" t="n">
        <v>0</v>
      </c>
      <c r="P6935" t="n">
        <v>0</v>
      </c>
      <c r="Q6935" t="n">
        <v>0</v>
      </c>
      <c r="R6935" s="2" t="inlineStr"/>
    </row>
    <row r="6936" ht="15" customHeight="1">
      <c r="A6936" t="inlineStr">
        <is>
          <t>A 58335-2021</t>
        </is>
      </c>
      <c r="B6936" s="1" t="n">
        <v>44488</v>
      </c>
      <c r="C6936" s="1" t="n">
        <v>45952</v>
      </c>
      <c r="D6936" t="inlineStr">
        <is>
          <t>VÄSTRA GÖTALANDS LÄN</t>
        </is>
      </c>
      <c r="E6936" t="inlineStr">
        <is>
          <t>TANUM</t>
        </is>
      </c>
      <c r="G6936" t="n">
        <v>0.7</v>
      </c>
      <c r="H6936" t="n">
        <v>0</v>
      </c>
      <c r="I6936" t="n">
        <v>0</v>
      </c>
      <c r="J6936" t="n">
        <v>0</v>
      </c>
      <c r="K6936" t="n">
        <v>0</v>
      </c>
      <c r="L6936" t="n">
        <v>0</v>
      </c>
      <c r="M6936" t="n">
        <v>0</v>
      </c>
      <c r="N6936" t="n">
        <v>0</v>
      </c>
      <c r="O6936" t="n">
        <v>0</v>
      </c>
      <c r="P6936" t="n">
        <v>0</v>
      </c>
      <c r="Q6936" t="n">
        <v>0</v>
      </c>
      <c r="R6936" s="2" t="inlineStr"/>
    </row>
    <row r="6937" ht="15" customHeight="1">
      <c r="A6937" t="inlineStr">
        <is>
          <t>A 56357-2024</t>
        </is>
      </c>
      <c r="B6937" s="1" t="n">
        <v>45624.96618055556</v>
      </c>
      <c r="C6937" s="1" t="n">
        <v>45952</v>
      </c>
      <c r="D6937" t="inlineStr">
        <is>
          <t>VÄSTRA GÖTALANDS LÄN</t>
        </is>
      </c>
      <c r="E6937" t="inlineStr">
        <is>
          <t>ÅMÅL</t>
        </is>
      </c>
      <c r="G6937" t="n">
        <v>1.3</v>
      </c>
      <c r="H6937" t="n">
        <v>0</v>
      </c>
      <c r="I6937" t="n">
        <v>0</v>
      </c>
      <c r="J6937" t="n">
        <v>0</v>
      </c>
      <c r="K6937" t="n">
        <v>0</v>
      </c>
      <c r="L6937" t="n">
        <v>0</v>
      </c>
      <c r="M6937" t="n">
        <v>0</v>
      </c>
      <c r="N6937" t="n">
        <v>0</v>
      </c>
      <c r="O6937" t="n">
        <v>0</v>
      </c>
      <c r="P6937" t="n">
        <v>0</v>
      </c>
      <c r="Q6937" t="n">
        <v>0</v>
      </c>
      <c r="R6937" s="2" t="inlineStr"/>
    </row>
    <row r="6938" ht="15" customHeight="1">
      <c r="A6938" t="inlineStr">
        <is>
          <t>A 59979-2023</t>
        </is>
      </c>
      <c r="B6938" s="1" t="n">
        <v>45257.7878587963</v>
      </c>
      <c r="C6938" s="1" t="n">
        <v>45952</v>
      </c>
      <c r="D6938" t="inlineStr">
        <is>
          <t>VÄSTRA GÖTALANDS LÄN</t>
        </is>
      </c>
      <c r="E6938" t="inlineStr">
        <is>
          <t>BENGTSFORS</t>
        </is>
      </c>
      <c r="G6938" t="n">
        <v>0.5</v>
      </c>
      <c r="H6938" t="n">
        <v>0</v>
      </c>
      <c r="I6938" t="n">
        <v>0</v>
      </c>
      <c r="J6938" t="n">
        <v>0</v>
      </c>
      <c r="K6938" t="n">
        <v>0</v>
      </c>
      <c r="L6938" t="n">
        <v>0</v>
      </c>
      <c r="M6938" t="n">
        <v>0</v>
      </c>
      <c r="N6938" t="n">
        <v>0</v>
      </c>
      <c r="O6938" t="n">
        <v>0</v>
      </c>
      <c r="P6938" t="n">
        <v>0</v>
      </c>
      <c r="Q6938" t="n">
        <v>0</v>
      </c>
      <c r="R6938" s="2" t="inlineStr"/>
    </row>
    <row r="6939" ht="15" customHeight="1">
      <c r="A6939" t="inlineStr">
        <is>
          <t>A 58560-2021</t>
        </is>
      </c>
      <c r="B6939" s="1" t="n">
        <v>44488.83150462963</v>
      </c>
      <c r="C6939" s="1" t="n">
        <v>45952</v>
      </c>
      <c r="D6939" t="inlineStr">
        <is>
          <t>VÄSTRA GÖTALANDS LÄN</t>
        </is>
      </c>
      <c r="E6939" t="inlineStr">
        <is>
          <t>ULRICEHAMN</t>
        </is>
      </c>
      <c r="G6939" t="n">
        <v>1.4</v>
      </c>
      <c r="H6939" t="n">
        <v>0</v>
      </c>
      <c r="I6939" t="n">
        <v>0</v>
      </c>
      <c r="J6939" t="n">
        <v>0</v>
      </c>
      <c r="K6939" t="n">
        <v>0</v>
      </c>
      <c r="L6939" t="n">
        <v>0</v>
      </c>
      <c r="M6939" t="n">
        <v>0</v>
      </c>
      <c r="N6939" t="n">
        <v>0</v>
      </c>
      <c r="O6939" t="n">
        <v>0</v>
      </c>
      <c r="P6939" t="n">
        <v>0</v>
      </c>
      <c r="Q6939" t="n">
        <v>0</v>
      </c>
      <c r="R6939" s="2" t="inlineStr"/>
    </row>
    <row r="6940" ht="15" customHeight="1">
      <c r="A6940" t="inlineStr">
        <is>
          <t>A 61435-2024</t>
        </is>
      </c>
      <c r="B6940" s="1" t="n">
        <v>45646.46203703704</v>
      </c>
      <c r="C6940" s="1" t="n">
        <v>45952</v>
      </c>
      <c r="D6940" t="inlineStr">
        <is>
          <t>VÄSTRA GÖTALANDS LÄN</t>
        </is>
      </c>
      <c r="E6940" t="inlineStr">
        <is>
          <t>LILLA EDET</t>
        </is>
      </c>
      <c r="G6940" t="n">
        <v>0.7</v>
      </c>
      <c r="H6940" t="n">
        <v>0</v>
      </c>
      <c r="I6940" t="n">
        <v>0</v>
      </c>
      <c r="J6940" t="n">
        <v>0</v>
      </c>
      <c r="K6940" t="n">
        <v>0</v>
      </c>
      <c r="L6940" t="n">
        <v>0</v>
      </c>
      <c r="M6940" t="n">
        <v>0</v>
      </c>
      <c r="N6940" t="n">
        <v>0</v>
      </c>
      <c r="O6940" t="n">
        <v>0</v>
      </c>
      <c r="P6940" t="n">
        <v>0</v>
      </c>
      <c r="Q6940" t="n">
        <v>0</v>
      </c>
      <c r="R6940" s="2" t="inlineStr"/>
    </row>
    <row r="6941" ht="15" customHeight="1">
      <c r="A6941" t="inlineStr">
        <is>
          <t>A 30577-2022</t>
        </is>
      </c>
      <c r="B6941" s="1" t="n">
        <v>44762.62707175926</v>
      </c>
      <c r="C6941" s="1" t="n">
        <v>45952</v>
      </c>
      <c r="D6941" t="inlineStr">
        <is>
          <t>VÄSTRA GÖTALANDS LÄN</t>
        </is>
      </c>
      <c r="E6941" t="inlineStr">
        <is>
          <t>MARK</t>
        </is>
      </c>
      <c r="G6941" t="n">
        <v>3.9</v>
      </c>
      <c r="H6941" t="n">
        <v>0</v>
      </c>
      <c r="I6941" t="n">
        <v>0</v>
      </c>
      <c r="J6941" t="n">
        <v>0</v>
      </c>
      <c r="K6941" t="n">
        <v>0</v>
      </c>
      <c r="L6941" t="n">
        <v>0</v>
      </c>
      <c r="M6941" t="n">
        <v>0</v>
      </c>
      <c r="N6941" t="n">
        <v>0</v>
      </c>
      <c r="O6941" t="n">
        <v>0</v>
      </c>
      <c r="P6941" t="n">
        <v>0</v>
      </c>
      <c r="Q6941" t="n">
        <v>0</v>
      </c>
      <c r="R6941" s="2" t="inlineStr"/>
    </row>
    <row r="6942" ht="15" customHeight="1">
      <c r="A6942" t="inlineStr">
        <is>
          <t>A 13527-2024</t>
        </is>
      </c>
      <c r="B6942" s="1" t="n">
        <v>45387</v>
      </c>
      <c r="C6942" s="1" t="n">
        <v>45952</v>
      </c>
      <c r="D6942" t="inlineStr">
        <is>
          <t>VÄSTRA GÖTALANDS LÄN</t>
        </is>
      </c>
      <c r="E6942" t="inlineStr">
        <is>
          <t>UDDEVALLA</t>
        </is>
      </c>
      <c r="G6942" t="n">
        <v>1.2</v>
      </c>
      <c r="H6942" t="n">
        <v>0</v>
      </c>
      <c r="I6942" t="n">
        <v>0</v>
      </c>
      <c r="J6942" t="n">
        <v>0</v>
      </c>
      <c r="K6942" t="n">
        <v>0</v>
      </c>
      <c r="L6942" t="n">
        <v>0</v>
      </c>
      <c r="M6942" t="n">
        <v>0</v>
      </c>
      <c r="N6942" t="n">
        <v>0</v>
      </c>
      <c r="O6942" t="n">
        <v>0</v>
      </c>
      <c r="P6942" t="n">
        <v>0</v>
      </c>
      <c r="Q6942" t="n">
        <v>0</v>
      </c>
      <c r="R6942" s="2" t="inlineStr"/>
    </row>
    <row r="6943" ht="15" customHeight="1">
      <c r="A6943" t="inlineStr">
        <is>
          <t>A 34188-2023</t>
        </is>
      </c>
      <c r="B6943" s="1" t="n">
        <v>45138.39662037037</v>
      </c>
      <c r="C6943" s="1" t="n">
        <v>45952</v>
      </c>
      <c r="D6943" t="inlineStr">
        <is>
          <t>VÄSTRA GÖTALANDS LÄN</t>
        </is>
      </c>
      <c r="E6943" t="inlineStr">
        <is>
          <t>HERRLJUNGA</t>
        </is>
      </c>
      <c r="G6943" t="n">
        <v>1.2</v>
      </c>
      <c r="H6943" t="n">
        <v>0</v>
      </c>
      <c r="I6943" t="n">
        <v>0</v>
      </c>
      <c r="J6943" t="n">
        <v>0</v>
      </c>
      <c r="K6943" t="n">
        <v>0</v>
      </c>
      <c r="L6943" t="n">
        <v>0</v>
      </c>
      <c r="M6943" t="n">
        <v>0</v>
      </c>
      <c r="N6943" t="n">
        <v>0</v>
      </c>
      <c r="O6943" t="n">
        <v>0</v>
      </c>
      <c r="P6943" t="n">
        <v>0</v>
      </c>
      <c r="Q6943" t="n">
        <v>0</v>
      </c>
      <c r="R6943" s="2" t="inlineStr"/>
    </row>
    <row r="6944" ht="15" customHeight="1">
      <c r="A6944" t="inlineStr">
        <is>
          <t>A 13558-2024</t>
        </is>
      </c>
      <c r="B6944" s="1" t="n">
        <v>45388.54862268519</v>
      </c>
      <c r="C6944" s="1" t="n">
        <v>45952</v>
      </c>
      <c r="D6944" t="inlineStr">
        <is>
          <t>VÄSTRA GÖTALANDS LÄN</t>
        </is>
      </c>
      <c r="E6944" t="inlineStr">
        <is>
          <t>TRANEMO</t>
        </is>
      </c>
      <c r="G6944" t="n">
        <v>2.9</v>
      </c>
      <c r="H6944" t="n">
        <v>0</v>
      </c>
      <c r="I6944" t="n">
        <v>0</v>
      </c>
      <c r="J6944" t="n">
        <v>0</v>
      </c>
      <c r="K6944" t="n">
        <v>0</v>
      </c>
      <c r="L6944" t="n">
        <v>0</v>
      </c>
      <c r="M6944" t="n">
        <v>0</v>
      </c>
      <c r="N6944" t="n">
        <v>0</v>
      </c>
      <c r="O6944" t="n">
        <v>0</v>
      </c>
      <c r="P6944" t="n">
        <v>0</v>
      </c>
      <c r="Q6944" t="n">
        <v>0</v>
      </c>
      <c r="R6944" s="2" t="inlineStr"/>
    </row>
    <row r="6945" ht="15" customHeight="1">
      <c r="A6945" t="inlineStr">
        <is>
          <t>A 13559-2024</t>
        </is>
      </c>
      <c r="B6945" s="1" t="n">
        <v>45388.57505787037</v>
      </c>
      <c r="C6945" s="1" t="n">
        <v>45952</v>
      </c>
      <c r="D6945" t="inlineStr">
        <is>
          <t>VÄSTRA GÖTALANDS LÄN</t>
        </is>
      </c>
      <c r="E6945" t="inlineStr">
        <is>
          <t>FÄRGELANDA</t>
        </is>
      </c>
      <c r="G6945" t="n">
        <v>2.5</v>
      </c>
      <c r="H6945" t="n">
        <v>0</v>
      </c>
      <c r="I6945" t="n">
        <v>0</v>
      </c>
      <c r="J6945" t="n">
        <v>0</v>
      </c>
      <c r="K6945" t="n">
        <v>0</v>
      </c>
      <c r="L6945" t="n">
        <v>0</v>
      </c>
      <c r="M6945" t="n">
        <v>0</v>
      </c>
      <c r="N6945" t="n">
        <v>0</v>
      </c>
      <c r="O6945" t="n">
        <v>0</v>
      </c>
      <c r="P6945" t="n">
        <v>0</v>
      </c>
      <c r="Q6945" t="n">
        <v>0</v>
      </c>
      <c r="R6945" s="2" t="inlineStr"/>
    </row>
    <row r="6946" ht="15" customHeight="1">
      <c r="A6946" t="inlineStr">
        <is>
          <t>A 5581-2025</t>
        </is>
      </c>
      <c r="B6946" s="1" t="n">
        <v>45693.55208333334</v>
      </c>
      <c r="C6946" s="1" t="n">
        <v>45952</v>
      </c>
      <c r="D6946" t="inlineStr">
        <is>
          <t>VÄSTRA GÖTALANDS LÄN</t>
        </is>
      </c>
      <c r="E6946" t="inlineStr">
        <is>
          <t>BENGTSFORS</t>
        </is>
      </c>
      <c r="G6946" t="n">
        <v>1.5</v>
      </c>
      <c r="H6946" t="n">
        <v>0</v>
      </c>
      <c r="I6946" t="n">
        <v>0</v>
      </c>
      <c r="J6946" t="n">
        <v>0</v>
      </c>
      <c r="K6946" t="n">
        <v>0</v>
      </c>
      <c r="L6946" t="n">
        <v>0</v>
      </c>
      <c r="M6946" t="n">
        <v>0</v>
      </c>
      <c r="N6946" t="n">
        <v>0</v>
      </c>
      <c r="O6946" t="n">
        <v>0</v>
      </c>
      <c r="P6946" t="n">
        <v>0</v>
      </c>
      <c r="Q6946" t="n">
        <v>0</v>
      </c>
      <c r="R6946" s="2" t="inlineStr"/>
    </row>
    <row r="6947" ht="15" customHeight="1">
      <c r="A6947" t="inlineStr">
        <is>
          <t>A 20125-2023</t>
        </is>
      </c>
      <c r="B6947" s="1" t="n">
        <v>45055.37140046297</v>
      </c>
      <c r="C6947" s="1" t="n">
        <v>45952</v>
      </c>
      <c r="D6947" t="inlineStr">
        <is>
          <t>VÄSTRA GÖTALANDS LÄN</t>
        </is>
      </c>
      <c r="E6947" t="inlineStr">
        <is>
          <t>BENGTSFORS</t>
        </is>
      </c>
      <c r="G6947" t="n">
        <v>1.1</v>
      </c>
      <c r="H6947" t="n">
        <v>0</v>
      </c>
      <c r="I6947" t="n">
        <v>0</v>
      </c>
      <c r="J6947" t="n">
        <v>0</v>
      </c>
      <c r="K6947" t="n">
        <v>0</v>
      </c>
      <c r="L6947" t="n">
        <v>0</v>
      </c>
      <c r="M6947" t="n">
        <v>0</v>
      </c>
      <c r="N6947" t="n">
        <v>0</v>
      </c>
      <c r="O6947" t="n">
        <v>0</v>
      </c>
      <c r="P6947" t="n">
        <v>0</v>
      </c>
      <c r="Q6947" t="n">
        <v>0</v>
      </c>
      <c r="R6947" s="2" t="inlineStr"/>
    </row>
    <row r="6948" ht="15" customHeight="1">
      <c r="A6948" t="inlineStr">
        <is>
          <t>A 20210-2023</t>
        </is>
      </c>
      <c r="B6948" s="1" t="n">
        <v>45055.61012731482</v>
      </c>
      <c r="C6948" s="1" t="n">
        <v>45952</v>
      </c>
      <c r="D6948" t="inlineStr">
        <is>
          <t>VÄSTRA GÖTALANDS LÄN</t>
        </is>
      </c>
      <c r="E6948" t="inlineStr">
        <is>
          <t>LERUM</t>
        </is>
      </c>
      <c r="G6948" t="n">
        <v>0.6</v>
      </c>
      <c r="H6948" t="n">
        <v>0</v>
      </c>
      <c r="I6948" t="n">
        <v>0</v>
      </c>
      <c r="J6948" t="n">
        <v>0</v>
      </c>
      <c r="K6948" t="n">
        <v>0</v>
      </c>
      <c r="L6948" t="n">
        <v>0</v>
      </c>
      <c r="M6948" t="n">
        <v>0</v>
      </c>
      <c r="N6948" t="n">
        <v>0</v>
      </c>
      <c r="O6948" t="n">
        <v>0</v>
      </c>
      <c r="P6948" t="n">
        <v>0</v>
      </c>
      <c r="Q6948" t="n">
        <v>0</v>
      </c>
      <c r="R6948" s="2" t="inlineStr"/>
    </row>
    <row r="6949" ht="15" customHeight="1">
      <c r="A6949" t="inlineStr">
        <is>
          <t>A 69097-2020</t>
        </is>
      </c>
      <c r="B6949" s="1" t="n">
        <v>44188</v>
      </c>
      <c r="C6949" s="1" t="n">
        <v>45952</v>
      </c>
      <c r="D6949" t="inlineStr">
        <is>
          <t>VÄSTRA GÖTALANDS LÄN</t>
        </is>
      </c>
      <c r="E6949" t="inlineStr">
        <is>
          <t>VARA</t>
        </is>
      </c>
      <c r="G6949" t="n">
        <v>2</v>
      </c>
      <c r="H6949" t="n">
        <v>0</v>
      </c>
      <c r="I6949" t="n">
        <v>0</v>
      </c>
      <c r="J6949" t="n">
        <v>0</v>
      </c>
      <c r="K6949" t="n">
        <v>0</v>
      </c>
      <c r="L6949" t="n">
        <v>0</v>
      </c>
      <c r="M6949" t="n">
        <v>0</v>
      </c>
      <c r="N6949" t="n">
        <v>0</v>
      </c>
      <c r="O6949" t="n">
        <v>0</v>
      </c>
      <c r="P6949" t="n">
        <v>0</v>
      </c>
      <c r="Q6949" t="n">
        <v>0</v>
      </c>
      <c r="R6949" s="2" t="inlineStr"/>
    </row>
    <row r="6950" ht="15" customHeight="1">
      <c r="A6950" t="inlineStr">
        <is>
          <t>A 5655-2025</t>
        </is>
      </c>
      <c r="B6950" s="1" t="n">
        <v>45693.72674768518</v>
      </c>
      <c r="C6950" s="1" t="n">
        <v>45952</v>
      </c>
      <c r="D6950" t="inlineStr">
        <is>
          <t>VÄSTRA GÖTALANDS LÄN</t>
        </is>
      </c>
      <c r="E6950" t="inlineStr">
        <is>
          <t>DALS-ED</t>
        </is>
      </c>
      <c r="G6950" t="n">
        <v>4.8</v>
      </c>
      <c r="H6950" t="n">
        <v>0</v>
      </c>
      <c r="I6950" t="n">
        <v>0</v>
      </c>
      <c r="J6950" t="n">
        <v>0</v>
      </c>
      <c r="K6950" t="n">
        <v>0</v>
      </c>
      <c r="L6950" t="n">
        <v>0</v>
      </c>
      <c r="M6950" t="n">
        <v>0</v>
      </c>
      <c r="N6950" t="n">
        <v>0</v>
      </c>
      <c r="O6950" t="n">
        <v>0</v>
      </c>
      <c r="P6950" t="n">
        <v>0</v>
      </c>
      <c r="Q6950" t="n">
        <v>0</v>
      </c>
      <c r="R6950" s="2" t="inlineStr"/>
    </row>
    <row r="6951" ht="15" customHeight="1">
      <c r="A6951" t="inlineStr">
        <is>
          <t>A 5705-2025</t>
        </is>
      </c>
      <c r="B6951" s="1" t="n">
        <v>45694</v>
      </c>
      <c r="C6951" s="1" t="n">
        <v>45952</v>
      </c>
      <c r="D6951" t="inlineStr">
        <is>
          <t>VÄSTRA GÖTALANDS LÄN</t>
        </is>
      </c>
      <c r="E6951" t="inlineStr">
        <is>
          <t>KUNGÄLV</t>
        </is>
      </c>
      <c r="G6951" t="n">
        <v>1.2</v>
      </c>
      <c r="H6951" t="n">
        <v>0</v>
      </c>
      <c r="I6951" t="n">
        <v>0</v>
      </c>
      <c r="J6951" t="n">
        <v>0</v>
      </c>
      <c r="K6951" t="n">
        <v>0</v>
      </c>
      <c r="L6951" t="n">
        <v>0</v>
      </c>
      <c r="M6951" t="n">
        <v>0</v>
      </c>
      <c r="N6951" t="n">
        <v>0</v>
      </c>
      <c r="O6951" t="n">
        <v>0</v>
      </c>
      <c r="P6951" t="n">
        <v>0</v>
      </c>
      <c r="Q6951" t="n">
        <v>0</v>
      </c>
      <c r="R6951" s="2" t="inlineStr"/>
    </row>
    <row r="6952" ht="15" customHeight="1">
      <c r="A6952" t="inlineStr">
        <is>
          <t>A 5711-2025</t>
        </is>
      </c>
      <c r="B6952" s="1" t="n">
        <v>45694.45484953704</v>
      </c>
      <c r="C6952" s="1" t="n">
        <v>45952</v>
      </c>
      <c r="D6952" t="inlineStr">
        <is>
          <t>VÄSTRA GÖTALANDS LÄN</t>
        </is>
      </c>
      <c r="E6952" t="inlineStr">
        <is>
          <t>TRANEMO</t>
        </is>
      </c>
      <c r="F6952" t="inlineStr">
        <is>
          <t>Kyrkan</t>
        </is>
      </c>
      <c r="G6952" t="n">
        <v>1.2</v>
      </c>
      <c r="H6952" t="n">
        <v>0</v>
      </c>
      <c r="I6952" t="n">
        <v>0</v>
      </c>
      <c r="J6952" t="n">
        <v>0</v>
      </c>
      <c r="K6952" t="n">
        <v>0</v>
      </c>
      <c r="L6952" t="n">
        <v>0</v>
      </c>
      <c r="M6952" t="n">
        <v>0</v>
      </c>
      <c r="N6952" t="n">
        <v>0</v>
      </c>
      <c r="O6952" t="n">
        <v>0</v>
      </c>
      <c r="P6952" t="n">
        <v>0</v>
      </c>
      <c r="Q6952" t="n">
        <v>0</v>
      </c>
      <c r="R6952" s="2" t="inlineStr"/>
    </row>
    <row r="6953" ht="15" customHeight="1">
      <c r="A6953" t="inlineStr">
        <is>
          <t>A 48985-2022</t>
        </is>
      </c>
      <c r="B6953" s="1" t="n">
        <v>44860</v>
      </c>
      <c r="C6953" s="1" t="n">
        <v>45952</v>
      </c>
      <c r="D6953" t="inlineStr">
        <is>
          <t>VÄSTRA GÖTALANDS LÄN</t>
        </is>
      </c>
      <c r="E6953" t="inlineStr">
        <is>
          <t>SKARA</t>
        </is>
      </c>
      <c r="G6953" t="n">
        <v>3.3</v>
      </c>
      <c r="H6953" t="n">
        <v>0</v>
      </c>
      <c r="I6953" t="n">
        <v>0</v>
      </c>
      <c r="J6953" t="n">
        <v>0</v>
      </c>
      <c r="K6953" t="n">
        <v>0</v>
      </c>
      <c r="L6953" t="n">
        <v>0</v>
      </c>
      <c r="M6953" t="n">
        <v>0</v>
      </c>
      <c r="N6953" t="n">
        <v>0</v>
      </c>
      <c r="O6953" t="n">
        <v>0</v>
      </c>
      <c r="P6953" t="n">
        <v>0</v>
      </c>
      <c r="Q6953" t="n">
        <v>0</v>
      </c>
      <c r="R6953" s="2" t="inlineStr"/>
    </row>
    <row r="6954" ht="15" customHeight="1">
      <c r="A6954" t="inlineStr">
        <is>
          <t>A 20536-2022</t>
        </is>
      </c>
      <c r="B6954" s="1" t="n">
        <v>44700</v>
      </c>
      <c r="C6954" s="1" t="n">
        <v>45952</v>
      </c>
      <c r="D6954" t="inlineStr">
        <is>
          <t>VÄSTRA GÖTALANDS LÄN</t>
        </is>
      </c>
      <c r="E6954" t="inlineStr">
        <is>
          <t>VARA</t>
        </is>
      </c>
      <c r="G6954" t="n">
        <v>3.9</v>
      </c>
      <c r="H6954" t="n">
        <v>0</v>
      </c>
      <c r="I6954" t="n">
        <v>0</v>
      </c>
      <c r="J6954" t="n">
        <v>0</v>
      </c>
      <c r="K6954" t="n">
        <v>0</v>
      </c>
      <c r="L6954" t="n">
        <v>0</v>
      </c>
      <c r="M6954" t="n">
        <v>0</v>
      </c>
      <c r="N6954" t="n">
        <v>0</v>
      </c>
      <c r="O6954" t="n">
        <v>0</v>
      </c>
      <c r="P6954" t="n">
        <v>0</v>
      </c>
      <c r="Q6954" t="n">
        <v>0</v>
      </c>
      <c r="R6954" s="2" t="inlineStr"/>
    </row>
    <row r="6955" ht="15" customHeight="1">
      <c r="A6955" t="inlineStr">
        <is>
          <t>A 26816-2022</t>
        </is>
      </c>
      <c r="B6955" s="1" t="n">
        <v>44740.44717592592</v>
      </c>
      <c r="C6955" s="1" t="n">
        <v>45952</v>
      </c>
      <c r="D6955" t="inlineStr">
        <is>
          <t>VÄSTRA GÖTALANDS LÄN</t>
        </is>
      </c>
      <c r="E6955" t="inlineStr">
        <is>
          <t>HERRLJUNGA</t>
        </is>
      </c>
      <c r="G6955" t="n">
        <v>0.9</v>
      </c>
      <c r="H6955" t="n">
        <v>0</v>
      </c>
      <c r="I6955" t="n">
        <v>0</v>
      </c>
      <c r="J6955" t="n">
        <v>0</v>
      </c>
      <c r="K6955" t="n">
        <v>0</v>
      </c>
      <c r="L6955" t="n">
        <v>0</v>
      </c>
      <c r="M6955" t="n">
        <v>0</v>
      </c>
      <c r="N6955" t="n">
        <v>0</v>
      </c>
      <c r="O6955" t="n">
        <v>0</v>
      </c>
      <c r="P6955" t="n">
        <v>0</v>
      </c>
      <c r="Q6955" t="n">
        <v>0</v>
      </c>
      <c r="R6955" s="2" t="inlineStr"/>
    </row>
    <row r="6956" ht="15" customHeight="1">
      <c r="A6956" t="inlineStr">
        <is>
          <t>A 49865-2024</t>
        </is>
      </c>
      <c r="B6956" s="1" t="n">
        <v>45596</v>
      </c>
      <c r="C6956" s="1" t="n">
        <v>45952</v>
      </c>
      <c r="D6956" t="inlineStr">
        <is>
          <t>VÄSTRA GÖTALANDS LÄN</t>
        </is>
      </c>
      <c r="E6956" t="inlineStr">
        <is>
          <t>TIDAHOLM</t>
        </is>
      </c>
      <c r="G6956" t="n">
        <v>0.7</v>
      </c>
      <c r="H6956" t="n">
        <v>0</v>
      </c>
      <c r="I6956" t="n">
        <v>0</v>
      </c>
      <c r="J6956" t="n">
        <v>0</v>
      </c>
      <c r="K6956" t="n">
        <v>0</v>
      </c>
      <c r="L6956" t="n">
        <v>0</v>
      </c>
      <c r="M6956" t="n">
        <v>0</v>
      </c>
      <c r="N6956" t="n">
        <v>0</v>
      </c>
      <c r="O6956" t="n">
        <v>0</v>
      </c>
      <c r="P6956" t="n">
        <v>0</v>
      </c>
      <c r="Q6956" t="n">
        <v>0</v>
      </c>
      <c r="R6956" s="2" t="inlineStr"/>
    </row>
    <row r="6957" ht="15" customHeight="1">
      <c r="A6957" t="inlineStr">
        <is>
          <t>A 18533-2025</t>
        </is>
      </c>
      <c r="B6957" s="1" t="n">
        <v>45762</v>
      </c>
      <c r="C6957" s="1" t="n">
        <v>45952</v>
      </c>
      <c r="D6957" t="inlineStr">
        <is>
          <t>VÄSTRA GÖTALANDS LÄN</t>
        </is>
      </c>
      <c r="E6957" t="inlineStr">
        <is>
          <t>BORÅS</t>
        </is>
      </c>
      <c r="F6957" t="inlineStr">
        <is>
          <t>Kommuner</t>
        </is>
      </c>
      <c r="G6957" t="n">
        <v>3.8</v>
      </c>
      <c r="H6957" t="n">
        <v>0</v>
      </c>
      <c r="I6957" t="n">
        <v>0</v>
      </c>
      <c r="J6957" t="n">
        <v>0</v>
      </c>
      <c r="K6957" t="n">
        <v>0</v>
      </c>
      <c r="L6957" t="n">
        <v>0</v>
      </c>
      <c r="M6957" t="n">
        <v>0</v>
      </c>
      <c r="N6957" t="n">
        <v>0</v>
      </c>
      <c r="O6957" t="n">
        <v>0</v>
      </c>
      <c r="P6957" t="n">
        <v>0</v>
      </c>
      <c r="Q6957" t="n">
        <v>0</v>
      </c>
      <c r="R6957" s="2" t="inlineStr"/>
    </row>
    <row r="6958" ht="15" customHeight="1">
      <c r="A6958" t="inlineStr">
        <is>
          <t>A 9633-2024</t>
        </is>
      </c>
      <c r="B6958" s="1" t="n">
        <v>45362.3203125</v>
      </c>
      <c r="C6958" s="1" t="n">
        <v>45952</v>
      </c>
      <c r="D6958" t="inlineStr">
        <is>
          <t>VÄSTRA GÖTALANDS LÄN</t>
        </is>
      </c>
      <c r="E6958" t="inlineStr">
        <is>
          <t>VÅRGÅRDA</t>
        </is>
      </c>
      <c r="G6958" t="n">
        <v>1.6</v>
      </c>
      <c r="H6958" t="n">
        <v>0</v>
      </c>
      <c r="I6958" t="n">
        <v>0</v>
      </c>
      <c r="J6958" t="n">
        <v>0</v>
      </c>
      <c r="K6958" t="n">
        <v>0</v>
      </c>
      <c r="L6958" t="n">
        <v>0</v>
      </c>
      <c r="M6958" t="n">
        <v>0</v>
      </c>
      <c r="N6958" t="n">
        <v>0</v>
      </c>
      <c r="O6958" t="n">
        <v>0</v>
      </c>
      <c r="P6958" t="n">
        <v>0</v>
      </c>
      <c r="Q6958" t="n">
        <v>0</v>
      </c>
      <c r="R6958" s="2" t="inlineStr"/>
    </row>
    <row r="6959" ht="15" customHeight="1">
      <c r="A6959" t="inlineStr">
        <is>
          <t>A 18613-2025</t>
        </is>
      </c>
      <c r="B6959" s="1" t="n">
        <v>45763.49810185185</v>
      </c>
      <c r="C6959" s="1" t="n">
        <v>45952</v>
      </c>
      <c r="D6959" t="inlineStr">
        <is>
          <t>VÄSTRA GÖTALANDS LÄN</t>
        </is>
      </c>
      <c r="E6959" t="inlineStr">
        <is>
          <t>BOLLEBYGD</t>
        </is>
      </c>
      <c r="G6959" t="n">
        <v>4.5</v>
      </c>
      <c r="H6959" t="n">
        <v>0</v>
      </c>
      <c r="I6959" t="n">
        <v>0</v>
      </c>
      <c r="J6959" t="n">
        <v>0</v>
      </c>
      <c r="K6959" t="n">
        <v>0</v>
      </c>
      <c r="L6959" t="n">
        <v>0</v>
      </c>
      <c r="M6959" t="n">
        <v>0</v>
      </c>
      <c r="N6959" t="n">
        <v>0</v>
      </c>
      <c r="O6959" t="n">
        <v>0</v>
      </c>
      <c r="P6959" t="n">
        <v>0</v>
      </c>
      <c r="Q6959" t="n">
        <v>0</v>
      </c>
      <c r="R6959" s="2" t="inlineStr"/>
    </row>
    <row r="6960" ht="15" customHeight="1">
      <c r="A6960" t="inlineStr">
        <is>
          <t>A 18614-2025</t>
        </is>
      </c>
      <c r="B6960" s="1" t="n">
        <v>45763.50244212963</v>
      </c>
      <c r="C6960" s="1" t="n">
        <v>45952</v>
      </c>
      <c r="D6960" t="inlineStr">
        <is>
          <t>VÄSTRA GÖTALANDS LÄN</t>
        </is>
      </c>
      <c r="E6960" t="inlineStr">
        <is>
          <t>BOLLEBYGD</t>
        </is>
      </c>
      <c r="G6960" t="n">
        <v>9.699999999999999</v>
      </c>
      <c r="H6960" t="n">
        <v>0</v>
      </c>
      <c r="I6960" t="n">
        <v>0</v>
      </c>
      <c r="J6960" t="n">
        <v>0</v>
      </c>
      <c r="K6960" t="n">
        <v>0</v>
      </c>
      <c r="L6960" t="n">
        <v>0</v>
      </c>
      <c r="M6960" t="n">
        <v>0</v>
      </c>
      <c r="N6960" t="n">
        <v>0</v>
      </c>
      <c r="O6960" t="n">
        <v>0</v>
      </c>
      <c r="P6960" t="n">
        <v>0</v>
      </c>
      <c r="Q6960" t="n">
        <v>0</v>
      </c>
      <c r="R6960" s="2" t="inlineStr"/>
    </row>
    <row r="6961" ht="15" customHeight="1">
      <c r="A6961" t="inlineStr">
        <is>
          <t>A 33912-2023</t>
        </is>
      </c>
      <c r="B6961" s="1" t="n">
        <v>45134.41664351852</v>
      </c>
      <c r="C6961" s="1" t="n">
        <v>45952</v>
      </c>
      <c r="D6961" t="inlineStr">
        <is>
          <t>VÄSTRA GÖTALANDS LÄN</t>
        </is>
      </c>
      <c r="E6961" t="inlineStr">
        <is>
          <t>VÄNERSBORG</t>
        </is>
      </c>
      <c r="G6961" t="n">
        <v>1.7</v>
      </c>
      <c r="H6961" t="n">
        <v>0</v>
      </c>
      <c r="I6961" t="n">
        <v>0</v>
      </c>
      <c r="J6961" t="n">
        <v>0</v>
      </c>
      <c r="K6961" t="n">
        <v>0</v>
      </c>
      <c r="L6961" t="n">
        <v>0</v>
      </c>
      <c r="M6961" t="n">
        <v>0</v>
      </c>
      <c r="N6961" t="n">
        <v>0</v>
      </c>
      <c r="O6961" t="n">
        <v>0</v>
      </c>
      <c r="P6961" t="n">
        <v>0</v>
      </c>
      <c r="Q6961" t="n">
        <v>0</v>
      </c>
      <c r="R6961" s="2" t="inlineStr"/>
    </row>
    <row r="6962" ht="15" customHeight="1">
      <c r="A6962" t="inlineStr">
        <is>
          <t>A 21285-2024</t>
        </is>
      </c>
      <c r="B6962" s="1" t="n">
        <v>45440.65799768519</v>
      </c>
      <c r="C6962" s="1" t="n">
        <v>45952</v>
      </c>
      <c r="D6962" t="inlineStr">
        <is>
          <t>VÄSTRA GÖTALANDS LÄN</t>
        </is>
      </c>
      <c r="E6962" t="inlineStr">
        <is>
          <t>GÖTENE</t>
        </is>
      </c>
      <c r="G6962" t="n">
        <v>1.3</v>
      </c>
      <c r="H6962" t="n">
        <v>0</v>
      </c>
      <c r="I6962" t="n">
        <v>0</v>
      </c>
      <c r="J6962" t="n">
        <v>0</v>
      </c>
      <c r="K6962" t="n">
        <v>0</v>
      </c>
      <c r="L6962" t="n">
        <v>0</v>
      </c>
      <c r="M6962" t="n">
        <v>0</v>
      </c>
      <c r="N6962" t="n">
        <v>0</v>
      </c>
      <c r="O6962" t="n">
        <v>0</v>
      </c>
      <c r="P6962" t="n">
        <v>0</v>
      </c>
      <c r="Q6962" t="n">
        <v>0</v>
      </c>
      <c r="R6962" s="2" t="inlineStr"/>
    </row>
    <row r="6963" ht="15" customHeight="1">
      <c r="A6963" t="inlineStr">
        <is>
          <t>A 23462-2024</t>
        </is>
      </c>
      <c r="B6963" s="1" t="n">
        <v>45453.65474537037</v>
      </c>
      <c r="C6963" s="1" t="n">
        <v>45952</v>
      </c>
      <c r="D6963" t="inlineStr">
        <is>
          <t>VÄSTRA GÖTALANDS LÄN</t>
        </is>
      </c>
      <c r="E6963" t="inlineStr">
        <is>
          <t>UDDEVALLA</t>
        </is>
      </c>
      <c r="G6963" t="n">
        <v>1</v>
      </c>
      <c r="H6963" t="n">
        <v>0</v>
      </c>
      <c r="I6963" t="n">
        <v>0</v>
      </c>
      <c r="J6963" t="n">
        <v>0</v>
      </c>
      <c r="K6963" t="n">
        <v>0</v>
      </c>
      <c r="L6963" t="n">
        <v>0</v>
      </c>
      <c r="M6963" t="n">
        <v>0</v>
      </c>
      <c r="N6963" t="n">
        <v>0</v>
      </c>
      <c r="O6963" t="n">
        <v>0</v>
      </c>
      <c r="P6963" t="n">
        <v>0</v>
      </c>
      <c r="Q6963" t="n">
        <v>0</v>
      </c>
      <c r="R6963" s="2" t="inlineStr"/>
    </row>
    <row r="6964" ht="15" customHeight="1">
      <c r="A6964" t="inlineStr">
        <is>
          <t>A 49621-2022</t>
        </is>
      </c>
      <c r="B6964" s="1" t="n">
        <v>44862.42416666666</v>
      </c>
      <c r="C6964" s="1" t="n">
        <v>45952</v>
      </c>
      <c r="D6964" t="inlineStr">
        <is>
          <t>VÄSTRA GÖTALANDS LÄN</t>
        </is>
      </c>
      <c r="E6964" t="inlineStr">
        <is>
          <t>GRÄSTORP</t>
        </is>
      </c>
      <c r="G6964" t="n">
        <v>4.9</v>
      </c>
      <c r="H6964" t="n">
        <v>0</v>
      </c>
      <c r="I6964" t="n">
        <v>0</v>
      </c>
      <c r="J6964" t="n">
        <v>0</v>
      </c>
      <c r="K6964" t="n">
        <v>0</v>
      </c>
      <c r="L6964" t="n">
        <v>0</v>
      </c>
      <c r="M6964" t="n">
        <v>0</v>
      </c>
      <c r="N6964" t="n">
        <v>0</v>
      </c>
      <c r="O6964" t="n">
        <v>0</v>
      </c>
      <c r="P6964" t="n">
        <v>0</v>
      </c>
      <c r="Q6964" t="n">
        <v>0</v>
      </c>
      <c r="R6964" s="2" t="inlineStr"/>
    </row>
    <row r="6965" ht="15" customHeight="1">
      <c r="A6965" t="inlineStr">
        <is>
          <t>A 46732-2025</t>
        </is>
      </c>
      <c r="B6965" s="1" t="n">
        <v>45926.59290509259</v>
      </c>
      <c r="C6965" s="1" t="n">
        <v>45952</v>
      </c>
      <c r="D6965" t="inlineStr">
        <is>
          <t>VÄSTRA GÖTALANDS LÄN</t>
        </is>
      </c>
      <c r="E6965" t="inlineStr">
        <is>
          <t>GRÄSTORP</t>
        </is>
      </c>
      <c r="G6965" t="n">
        <v>6.5</v>
      </c>
      <c r="H6965" t="n">
        <v>0</v>
      </c>
      <c r="I6965" t="n">
        <v>0</v>
      </c>
      <c r="J6965" t="n">
        <v>0</v>
      </c>
      <c r="K6965" t="n">
        <v>0</v>
      </c>
      <c r="L6965" t="n">
        <v>0</v>
      </c>
      <c r="M6965" t="n">
        <v>0</v>
      </c>
      <c r="N6965" t="n">
        <v>0</v>
      </c>
      <c r="O6965" t="n">
        <v>0</v>
      </c>
      <c r="P6965" t="n">
        <v>0</v>
      </c>
      <c r="Q6965" t="n">
        <v>0</v>
      </c>
      <c r="R6965" s="2" t="inlineStr"/>
    </row>
    <row r="6966" ht="15" customHeight="1">
      <c r="A6966" t="inlineStr">
        <is>
          <t>A 33894-2024</t>
        </is>
      </c>
      <c r="B6966" s="1" t="n">
        <v>45522</v>
      </c>
      <c r="C6966" s="1" t="n">
        <v>45952</v>
      </c>
      <c r="D6966" t="inlineStr">
        <is>
          <t>VÄSTRA GÖTALANDS LÄN</t>
        </is>
      </c>
      <c r="E6966" t="inlineStr">
        <is>
          <t>TANUM</t>
        </is>
      </c>
      <c r="G6966" t="n">
        <v>1.2</v>
      </c>
      <c r="H6966" t="n">
        <v>0</v>
      </c>
      <c r="I6966" t="n">
        <v>0</v>
      </c>
      <c r="J6966" t="n">
        <v>0</v>
      </c>
      <c r="K6966" t="n">
        <v>0</v>
      </c>
      <c r="L6966" t="n">
        <v>0</v>
      </c>
      <c r="M6966" t="n">
        <v>0</v>
      </c>
      <c r="N6966" t="n">
        <v>0</v>
      </c>
      <c r="O6966" t="n">
        <v>0</v>
      </c>
      <c r="P6966" t="n">
        <v>0</v>
      </c>
      <c r="Q6966" t="n">
        <v>0</v>
      </c>
      <c r="R6966" s="2" t="inlineStr"/>
    </row>
    <row r="6967" ht="15" customHeight="1">
      <c r="A6967" t="inlineStr">
        <is>
          <t>A 38800-2025</t>
        </is>
      </c>
      <c r="B6967" s="1" t="n">
        <v>45887.46082175926</v>
      </c>
      <c r="C6967" s="1" t="n">
        <v>45952</v>
      </c>
      <c r="D6967" t="inlineStr">
        <is>
          <t>VÄSTRA GÖTALANDS LÄN</t>
        </is>
      </c>
      <c r="E6967" t="inlineStr">
        <is>
          <t>ESSUNGA</t>
        </is>
      </c>
      <c r="G6967" t="n">
        <v>3.4</v>
      </c>
      <c r="H6967" t="n">
        <v>0</v>
      </c>
      <c r="I6967" t="n">
        <v>0</v>
      </c>
      <c r="J6967" t="n">
        <v>0</v>
      </c>
      <c r="K6967" t="n">
        <v>0</v>
      </c>
      <c r="L6967" t="n">
        <v>0</v>
      </c>
      <c r="M6967" t="n">
        <v>0</v>
      </c>
      <c r="N6967" t="n">
        <v>0</v>
      </c>
      <c r="O6967" t="n">
        <v>0</v>
      </c>
      <c r="P6967" t="n">
        <v>0</v>
      </c>
      <c r="Q6967" t="n">
        <v>0</v>
      </c>
      <c r="R6967" s="2" t="inlineStr"/>
    </row>
    <row r="6968" ht="15" customHeight="1">
      <c r="A6968" t="inlineStr">
        <is>
          <t>A 54374-2022</t>
        </is>
      </c>
      <c r="B6968" s="1" t="n">
        <v>44879</v>
      </c>
      <c r="C6968" s="1" t="n">
        <v>45952</v>
      </c>
      <c r="D6968" t="inlineStr">
        <is>
          <t>VÄSTRA GÖTALANDS LÄN</t>
        </is>
      </c>
      <c r="E6968" t="inlineStr">
        <is>
          <t>STRÖMSTAD</t>
        </is>
      </c>
      <c r="G6968" t="n">
        <v>0.6</v>
      </c>
      <c r="H6968" t="n">
        <v>0</v>
      </c>
      <c r="I6968" t="n">
        <v>0</v>
      </c>
      <c r="J6968" t="n">
        <v>0</v>
      </c>
      <c r="K6968" t="n">
        <v>0</v>
      </c>
      <c r="L6968" t="n">
        <v>0</v>
      </c>
      <c r="M6968" t="n">
        <v>0</v>
      </c>
      <c r="N6968" t="n">
        <v>0</v>
      </c>
      <c r="O6968" t="n">
        <v>0</v>
      </c>
      <c r="P6968" t="n">
        <v>0</v>
      </c>
      <c r="Q6968" t="n">
        <v>0</v>
      </c>
      <c r="R6968" s="2" t="inlineStr"/>
    </row>
    <row r="6969" ht="15" customHeight="1">
      <c r="A6969" t="inlineStr">
        <is>
          <t>A 37286-2022</t>
        </is>
      </c>
      <c r="B6969" s="1" t="n">
        <v>44808</v>
      </c>
      <c r="C6969" s="1" t="n">
        <v>45952</v>
      </c>
      <c r="D6969" t="inlineStr">
        <is>
          <t>VÄSTRA GÖTALANDS LÄN</t>
        </is>
      </c>
      <c r="E6969" t="inlineStr">
        <is>
          <t>GRÄSTORP</t>
        </is>
      </c>
      <c r="G6969" t="n">
        <v>5.1</v>
      </c>
      <c r="H6969" t="n">
        <v>0</v>
      </c>
      <c r="I6969" t="n">
        <v>0</v>
      </c>
      <c r="J6969" t="n">
        <v>0</v>
      </c>
      <c r="K6969" t="n">
        <v>0</v>
      </c>
      <c r="L6969" t="n">
        <v>0</v>
      </c>
      <c r="M6969" t="n">
        <v>0</v>
      </c>
      <c r="N6969" t="n">
        <v>0</v>
      </c>
      <c r="O6969" t="n">
        <v>0</v>
      </c>
      <c r="P6969" t="n">
        <v>0</v>
      </c>
      <c r="Q6969" t="n">
        <v>0</v>
      </c>
      <c r="R6969" s="2" t="inlineStr"/>
    </row>
    <row r="6970" ht="15" customHeight="1">
      <c r="A6970" t="inlineStr">
        <is>
          <t>A 37305-2022</t>
        </is>
      </c>
      <c r="B6970" s="1" t="n">
        <v>44808.94498842592</v>
      </c>
      <c r="C6970" s="1" t="n">
        <v>45952</v>
      </c>
      <c r="D6970" t="inlineStr">
        <is>
          <t>VÄSTRA GÖTALANDS LÄN</t>
        </is>
      </c>
      <c r="E6970" t="inlineStr">
        <is>
          <t>TROLLHÄTTAN</t>
        </is>
      </c>
      <c r="G6970" t="n">
        <v>9.9</v>
      </c>
      <c r="H6970" t="n">
        <v>0</v>
      </c>
      <c r="I6970" t="n">
        <v>0</v>
      </c>
      <c r="J6970" t="n">
        <v>0</v>
      </c>
      <c r="K6970" t="n">
        <v>0</v>
      </c>
      <c r="L6970" t="n">
        <v>0</v>
      </c>
      <c r="M6970" t="n">
        <v>0</v>
      </c>
      <c r="N6970" t="n">
        <v>0</v>
      </c>
      <c r="O6970" t="n">
        <v>0</v>
      </c>
      <c r="P6970" t="n">
        <v>0</v>
      </c>
      <c r="Q6970" t="n">
        <v>0</v>
      </c>
      <c r="R6970" s="2" t="inlineStr"/>
    </row>
    <row r="6971" ht="15" customHeight="1">
      <c r="A6971" t="inlineStr">
        <is>
          <t>A 9739-2024</t>
        </is>
      </c>
      <c r="B6971" s="1" t="n">
        <v>45362.591875</v>
      </c>
      <c r="C6971" s="1" t="n">
        <v>45952</v>
      </c>
      <c r="D6971" t="inlineStr">
        <is>
          <t>VÄSTRA GÖTALANDS LÄN</t>
        </is>
      </c>
      <c r="E6971" t="inlineStr">
        <is>
          <t>BENGTSFORS</t>
        </is>
      </c>
      <c r="G6971" t="n">
        <v>1.6</v>
      </c>
      <c r="H6971" t="n">
        <v>0</v>
      </c>
      <c r="I6971" t="n">
        <v>0</v>
      </c>
      <c r="J6971" t="n">
        <v>0</v>
      </c>
      <c r="K6971" t="n">
        <v>0</v>
      </c>
      <c r="L6971" t="n">
        <v>0</v>
      </c>
      <c r="M6971" t="n">
        <v>0</v>
      </c>
      <c r="N6971" t="n">
        <v>0</v>
      </c>
      <c r="O6971" t="n">
        <v>0</v>
      </c>
      <c r="P6971" t="n">
        <v>0</v>
      </c>
      <c r="Q6971" t="n">
        <v>0</v>
      </c>
      <c r="R6971" s="2" t="inlineStr"/>
    </row>
    <row r="6972" ht="15" customHeight="1">
      <c r="A6972" t="inlineStr">
        <is>
          <t>A 4632-2024</t>
        </is>
      </c>
      <c r="B6972" s="1" t="n">
        <v>45328.40832175926</v>
      </c>
      <c r="C6972" s="1" t="n">
        <v>45952</v>
      </c>
      <c r="D6972" t="inlineStr">
        <is>
          <t>VÄSTRA GÖTALANDS LÄN</t>
        </is>
      </c>
      <c r="E6972" t="inlineStr">
        <is>
          <t>TROLLHÄTTAN</t>
        </is>
      </c>
      <c r="G6972" t="n">
        <v>2.3</v>
      </c>
      <c r="H6972" t="n">
        <v>0</v>
      </c>
      <c r="I6972" t="n">
        <v>0</v>
      </c>
      <c r="J6972" t="n">
        <v>0</v>
      </c>
      <c r="K6972" t="n">
        <v>0</v>
      </c>
      <c r="L6972" t="n">
        <v>0</v>
      </c>
      <c r="M6972" t="n">
        <v>0</v>
      </c>
      <c r="N6972" t="n">
        <v>0</v>
      </c>
      <c r="O6972" t="n">
        <v>0</v>
      </c>
      <c r="P6972" t="n">
        <v>0</v>
      </c>
      <c r="Q6972" t="n">
        <v>0</v>
      </c>
      <c r="R6972" s="2" t="inlineStr"/>
    </row>
    <row r="6973" ht="15" customHeight="1">
      <c r="A6973" t="inlineStr">
        <is>
          <t>A 5964-2021</t>
        </is>
      </c>
      <c r="B6973" s="1" t="n">
        <v>44231</v>
      </c>
      <c r="C6973" s="1" t="n">
        <v>45952</v>
      </c>
      <c r="D6973" t="inlineStr">
        <is>
          <t>VÄSTRA GÖTALANDS LÄN</t>
        </is>
      </c>
      <c r="E6973" t="inlineStr">
        <is>
          <t>ÅMÅL</t>
        </is>
      </c>
      <c r="G6973" t="n">
        <v>4.3</v>
      </c>
      <c r="H6973" t="n">
        <v>0</v>
      </c>
      <c r="I6973" t="n">
        <v>0</v>
      </c>
      <c r="J6973" t="n">
        <v>0</v>
      </c>
      <c r="K6973" t="n">
        <v>0</v>
      </c>
      <c r="L6973" t="n">
        <v>0</v>
      </c>
      <c r="M6973" t="n">
        <v>0</v>
      </c>
      <c r="N6973" t="n">
        <v>0</v>
      </c>
      <c r="O6973" t="n">
        <v>0</v>
      </c>
      <c r="P6973" t="n">
        <v>0</v>
      </c>
      <c r="Q6973" t="n">
        <v>0</v>
      </c>
      <c r="R6973" s="2" t="inlineStr"/>
    </row>
    <row r="6974" ht="15" customHeight="1">
      <c r="A6974" t="inlineStr">
        <is>
          <t>A 4704-2024</t>
        </is>
      </c>
      <c r="B6974" s="1" t="n">
        <v>45328</v>
      </c>
      <c r="C6974" s="1" t="n">
        <v>45952</v>
      </c>
      <c r="D6974" t="inlineStr">
        <is>
          <t>VÄSTRA GÖTALANDS LÄN</t>
        </is>
      </c>
      <c r="E6974" t="inlineStr">
        <is>
          <t>TRANEMO</t>
        </is>
      </c>
      <c r="F6974" t="inlineStr">
        <is>
          <t>Sveaskog</t>
        </is>
      </c>
      <c r="G6974" t="n">
        <v>1.2</v>
      </c>
      <c r="H6974" t="n">
        <v>0</v>
      </c>
      <c r="I6974" t="n">
        <v>0</v>
      </c>
      <c r="J6974" t="n">
        <v>0</v>
      </c>
      <c r="K6974" t="n">
        <v>0</v>
      </c>
      <c r="L6974" t="n">
        <v>0</v>
      </c>
      <c r="M6974" t="n">
        <v>0</v>
      </c>
      <c r="N6974" t="n">
        <v>0</v>
      </c>
      <c r="O6974" t="n">
        <v>0</v>
      </c>
      <c r="P6974" t="n">
        <v>0</v>
      </c>
      <c r="Q6974" t="n">
        <v>0</v>
      </c>
      <c r="R6974" s="2" t="inlineStr"/>
    </row>
    <row r="6975" ht="15" customHeight="1">
      <c r="A6975" t="inlineStr">
        <is>
          <t>A 57241-2024</t>
        </is>
      </c>
      <c r="B6975" s="1" t="n">
        <v>45629.54954861111</v>
      </c>
      <c r="C6975" s="1" t="n">
        <v>45952</v>
      </c>
      <c r="D6975" t="inlineStr">
        <is>
          <t>VÄSTRA GÖTALANDS LÄN</t>
        </is>
      </c>
      <c r="E6975" t="inlineStr">
        <is>
          <t>SVENLJUNGA</t>
        </is>
      </c>
      <c r="G6975" t="n">
        <v>1.4</v>
      </c>
      <c r="H6975" t="n">
        <v>0</v>
      </c>
      <c r="I6975" t="n">
        <v>0</v>
      </c>
      <c r="J6975" t="n">
        <v>0</v>
      </c>
      <c r="K6975" t="n">
        <v>0</v>
      </c>
      <c r="L6975" t="n">
        <v>0</v>
      </c>
      <c r="M6975" t="n">
        <v>0</v>
      </c>
      <c r="N6975" t="n">
        <v>0</v>
      </c>
      <c r="O6975" t="n">
        <v>0</v>
      </c>
      <c r="P6975" t="n">
        <v>0</v>
      </c>
      <c r="Q6975" t="n">
        <v>0</v>
      </c>
      <c r="R6975" s="2" t="inlineStr"/>
    </row>
    <row r="6976" ht="15" customHeight="1">
      <c r="A6976" t="inlineStr">
        <is>
          <t>A 57249-2024</t>
        </is>
      </c>
      <c r="B6976" s="1" t="n">
        <v>45629.55349537037</v>
      </c>
      <c r="C6976" s="1" t="n">
        <v>45952</v>
      </c>
      <c r="D6976" t="inlineStr">
        <is>
          <t>VÄSTRA GÖTALANDS LÄN</t>
        </is>
      </c>
      <c r="E6976" t="inlineStr">
        <is>
          <t>ULRICEHAMN</t>
        </is>
      </c>
      <c r="G6976" t="n">
        <v>2.9</v>
      </c>
      <c r="H6976" t="n">
        <v>0</v>
      </c>
      <c r="I6976" t="n">
        <v>0</v>
      </c>
      <c r="J6976" t="n">
        <v>0</v>
      </c>
      <c r="K6976" t="n">
        <v>0</v>
      </c>
      <c r="L6976" t="n">
        <v>0</v>
      </c>
      <c r="M6976" t="n">
        <v>0</v>
      </c>
      <c r="N6976" t="n">
        <v>0</v>
      </c>
      <c r="O6976" t="n">
        <v>0</v>
      </c>
      <c r="P6976" t="n">
        <v>0</v>
      </c>
      <c r="Q6976" t="n">
        <v>0</v>
      </c>
      <c r="R6976" s="2" t="inlineStr"/>
    </row>
    <row r="6977" ht="15" customHeight="1">
      <c r="A6977" t="inlineStr">
        <is>
          <t>A 61756-2023</t>
        </is>
      </c>
      <c r="B6977" s="1" t="n">
        <v>45265.83193287037</v>
      </c>
      <c r="C6977" s="1" t="n">
        <v>45952</v>
      </c>
      <c r="D6977" t="inlineStr">
        <is>
          <t>VÄSTRA GÖTALANDS LÄN</t>
        </is>
      </c>
      <c r="E6977" t="inlineStr">
        <is>
          <t>TIDAHOLM</t>
        </is>
      </c>
      <c r="G6977" t="n">
        <v>1.7</v>
      </c>
      <c r="H6977" t="n">
        <v>0</v>
      </c>
      <c r="I6977" t="n">
        <v>0</v>
      </c>
      <c r="J6977" t="n">
        <v>0</v>
      </c>
      <c r="K6977" t="n">
        <v>0</v>
      </c>
      <c r="L6977" t="n">
        <v>0</v>
      </c>
      <c r="M6977" t="n">
        <v>0</v>
      </c>
      <c r="N6977" t="n">
        <v>0</v>
      </c>
      <c r="O6977" t="n">
        <v>0</v>
      </c>
      <c r="P6977" t="n">
        <v>0</v>
      </c>
      <c r="Q6977" t="n">
        <v>0</v>
      </c>
      <c r="R6977" s="2" t="inlineStr"/>
    </row>
    <row r="6978" ht="15" customHeight="1">
      <c r="A6978" t="inlineStr">
        <is>
          <t>A 61757-2023</t>
        </is>
      </c>
      <c r="B6978" s="1" t="n">
        <v>45265.83298611111</v>
      </c>
      <c r="C6978" s="1" t="n">
        <v>45952</v>
      </c>
      <c r="D6978" t="inlineStr">
        <is>
          <t>VÄSTRA GÖTALANDS LÄN</t>
        </is>
      </c>
      <c r="E6978" t="inlineStr">
        <is>
          <t>TIDAHOLM</t>
        </is>
      </c>
      <c r="G6978" t="n">
        <v>1.1</v>
      </c>
      <c r="H6978" t="n">
        <v>0</v>
      </c>
      <c r="I6978" t="n">
        <v>0</v>
      </c>
      <c r="J6978" t="n">
        <v>0</v>
      </c>
      <c r="K6978" t="n">
        <v>0</v>
      </c>
      <c r="L6978" t="n">
        <v>0</v>
      </c>
      <c r="M6978" t="n">
        <v>0</v>
      </c>
      <c r="N6978" t="n">
        <v>0</v>
      </c>
      <c r="O6978" t="n">
        <v>0</v>
      </c>
      <c r="P6978" t="n">
        <v>0</v>
      </c>
      <c r="Q6978" t="n">
        <v>0</v>
      </c>
      <c r="R6978" s="2" t="inlineStr"/>
    </row>
    <row r="6979" ht="15" customHeight="1">
      <c r="A6979" t="inlineStr">
        <is>
          <t>A 16824-2025</t>
        </is>
      </c>
      <c r="B6979" s="1" t="n">
        <v>45754.64701388889</v>
      </c>
      <c r="C6979" s="1" t="n">
        <v>45952</v>
      </c>
      <c r="D6979" t="inlineStr">
        <is>
          <t>VÄSTRA GÖTALANDS LÄN</t>
        </is>
      </c>
      <c r="E6979" t="inlineStr">
        <is>
          <t>ALINGSÅS</t>
        </is>
      </c>
      <c r="G6979" t="n">
        <v>3.3</v>
      </c>
      <c r="H6979" t="n">
        <v>0</v>
      </c>
      <c r="I6979" t="n">
        <v>0</v>
      </c>
      <c r="J6979" t="n">
        <v>0</v>
      </c>
      <c r="K6979" t="n">
        <v>0</v>
      </c>
      <c r="L6979" t="n">
        <v>0</v>
      </c>
      <c r="M6979" t="n">
        <v>0</v>
      </c>
      <c r="N6979" t="n">
        <v>0</v>
      </c>
      <c r="O6979" t="n">
        <v>0</v>
      </c>
      <c r="P6979" t="n">
        <v>0</v>
      </c>
      <c r="Q6979" t="n">
        <v>0</v>
      </c>
      <c r="R6979" s="2" t="inlineStr"/>
    </row>
    <row r="6980" ht="15" customHeight="1">
      <c r="A6980" t="inlineStr">
        <is>
          <t>A 38614-2025</t>
        </is>
      </c>
      <c r="B6980" s="1" t="n">
        <v>45884.54458333334</v>
      </c>
      <c r="C6980" s="1" t="n">
        <v>45952</v>
      </c>
      <c r="D6980" t="inlineStr">
        <is>
          <t>VÄSTRA GÖTALANDS LÄN</t>
        </is>
      </c>
      <c r="E6980" t="inlineStr">
        <is>
          <t>VÄNERSBORG</t>
        </is>
      </c>
      <c r="G6980" t="n">
        <v>1.9</v>
      </c>
      <c r="H6980" t="n">
        <v>0</v>
      </c>
      <c r="I6980" t="n">
        <v>0</v>
      </c>
      <c r="J6980" t="n">
        <v>0</v>
      </c>
      <c r="K6980" t="n">
        <v>0</v>
      </c>
      <c r="L6980" t="n">
        <v>0</v>
      </c>
      <c r="M6980" t="n">
        <v>0</v>
      </c>
      <c r="N6980" t="n">
        <v>0</v>
      </c>
      <c r="O6980" t="n">
        <v>0</v>
      </c>
      <c r="P6980" t="n">
        <v>0</v>
      </c>
      <c r="Q6980" t="n">
        <v>0</v>
      </c>
      <c r="R6980" s="2" t="inlineStr"/>
    </row>
    <row r="6981" ht="15" customHeight="1">
      <c r="A6981" t="inlineStr">
        <is>
          <t>A 7157-2024</t>
        </is>
      </c>
      <c r="B6981" s="1" t="n">
        <v>45344</v>
      </c>
      <c r="C6981" s="1" t="n">
        <v>45952</v>
      </c>
      <c r="D6981" t="inlineStr">
        <is>
          <t>VÄSTRA GÖTALANDS LÄN</t>
        </is>
      </c>
      <c r="E6981" t="inlineStr">
        <is>
          <t>MELLERUD</t>
        </is>
      </c>
      <c r="G6981" t="n">
        <v>1.4</v>
      </c>
      <c r="H6981" t="n">
        <v>0</v>
      </c>
      <c r="I6981" t="n">
        <v>0</v>
      </c>
      <c r="J6981" t="n">
        <v>0</v>
      </c>
      <c r="K6981" t="n">
        <v>0</v>
      </c>
      <c r="L6981" t="n">
        <v>0</v>
      </c>
      <c r="M6981" t="n">
        <v>0</v>
      </c>
      <c r="N6981" t="n">
        <v>0</v>
      </c>
      <c r="O6981" t="n">
        <v>0</v>
      </c>
      <c r="P6981" t="n">
        <v>0</v>
      </c>
      <c r="Q6981" t="n">
        <v>0</v>
      </c>
      <c r="R6981" s="2" t="inlineStr"/>
    </row>
    <row r="6982" ht="15" customHeight="1">
      <c r="A6982" t="inlineStr">
        <is>
          <t>A 59135-2021</t>
        </is>
      </c>
      <c r="B6982" s="1" t="n">
        <v>44490.46706018518</v>
      </c>
      <c r="C6982" s="1" t="n">
        <v>45952</v>
      </c>
      <c r="D6982" t="inlineStr">
        <is>
          <t>VÄSTRA GÖTALANDS LÄN</t>
        </is>
      </c>
      <c r="E6982" t="inlineStr">
        <is>
          <t>TANUM</t>
        </is>
      </c>
      <c r="G6982" t="n">
        <v>6.4</v>
      </c>
      <c r="H6982" t="n">
        <v>0</v>
      </c>
      <c r="I6982" t="n">
        <v>0</v>
      </c>
      <c r="J6982" t="n">
        <v>0</v>
      </c>
      <c r="K6982" t="n">
        <v>0</v>
      </c>
      <c r="L6982" t="n">
        <v>0</v>
      </c>
      <c r="M6982" t="n">
        <v>0</v>
      </c>
      <c r="N6982" t="n">
        <v>0</v>
      </c>
      <c r="O6982" t="n">
        <v>0</v>
      </c>
      <c r="P6982" t="n">
        <v>0</v>
      </c>
      <c r="Q6982" t="n">
        <v>0</v>
      </c>
      <c r="R6982" s="2" t="inlineStr"/>
    </row>
    <row r="6983" ht="15" customHeight="1">
      <c r="A6983" t="inlineStr">
        <is>
          <t>A 62101-2020</t>
        </is>
      </c>
      <c r="B6983" s="1" t="n">
        <v>44159</v>
      </c>
      <c r="C6983" s="1" t="n">
        <v>45952</v>
      </c>
      <c r="D6983" t="inlineStr">
        <is>
          <t>VÄSTRA GÖTALANDS LÄN</t>
        </is>
      </c>
      <c r="E6983" t="inlineStr">
        <is>
          <t>GRÄSTORP</t>
        </is>
      </c>
      <c r="F6983" t="inlineStr">
        <is>
          <t>Kyrkan</t>
        </is>
      </c>
      <c r="G6983" t="n">
        <v>2.6</v>
      </c>
      <c r="H6983" t="n">
        <v>0</v>
      </c>
      <c r="I6983" t="n">
        <v>0</v>
      </c>
      <c r="J6983" t="n">
        <v>0</v>
      </c>
      <c r="K6983" t="n">
        <v>0</v>
      </c>
      <c r="L6983" t="n">
        <v>0</v>
      </c>
      <c r="M6983" t="n">
        <v>0</v>
      </c>
      <c r="N6983" t="n">
        <v>0</v>
      </c>
      <c r="O6983" t="n">
        <v>0</v>
      </c>
      <c r="P6983" t="n">
        <v>0</v>
      </c>
      <c r="Q6983" t="n">
        <v>0</v>
      </c>
      <c r="R6983" s="2" t="inlineStr"/>
    </row>
    <row r="6984" ht="15" customHeight="1">
      <c r="A6984" t="inlineStr">
        <is>
          <t>A 19847-2025</t>
        </is>
      </c>
      <c r="B6984" s="1" t="n">
        <v>45771.48996527777</v>
      </c>
      <c r="C6984" s="1" t="n">
        <v>45952</v>
      </c>
      <c r="D6984" t="inlineStr">
        <is>
          <t>VÄSTRA GÖTALANDS LÄN</t>
        </is>
      </c>
      <c r="E6984" t="inlineStr">
        <is>
          <t>UDDEVALLA</t>
        </is>
      </c>
      <c r="G6984" t="n">
        <v>0.5</v>
      </c>
      <c r="H6984" t="n">
        <v>0</v>
      </c>
      <c r="I6984" t="n">
        <v>0</v>
      </c>
      <c r="J6984" t="n">
        <v>0</v>
      </c>
      <c r="K6984" t="n">
        <v>0</v>
      </c>
      <c r="L6984" t="n">
        <v>0</v>
      </c>
      <c r="M6984" t="n">
        <v>0</v>
      </c>
      <c r="N6984" t="n">
        <v>0</v>
      </c>
      <c r="O6984" t="n">
        <v>0</v>
      </c>
      <c r="P6984" t="n">
        <v>0</v>
      </c>
      <c r="Q6984" t="n">
        <v>0</v>
      </c>
      <c r="R6984" s="2" t="inlineStr"/>
    </row>
    <row r="6985" ht="15" customHeight="1">
      <c r="A6985" t="inlineStr">
        <is>
          <t>A 32816-2023</t>
        </is>
      </c>
      <c r="B6985" s="1" t="n">
        <v>45124</v>
      </c>
      <c r="C6985" s="1" t="n">
        <v>45952</v>
      </c>
      <c r="D6985" t="inlineStr">
        <is>
          <t>VÄSTRA GÖTALANDS LÄN</t>
        </is>
      </c>
      <c r="E6985" t="inlineStr">
        <is>
          <t>BENGTSFORS</t>
        </is>
      </c>
      <c r="G6985" t="n">
        <v>4.3</v>
      </c>
      <c r="H6985" t="n">
        <v>0</v>
      </c>
      <c r="I6985" t="n">
        <v>0</v>
      </c>
      <c r="J6985" t="n">
        <v>0</v>
      </c>
      <c r="K6985" t="n">
        <v>0</v>
      </c>
      <c r="L6985" t="n">
        <v>0</v>
      </c>
      <c r="M6985" t="n">
        <v>0</v>
      </c>
      <c r="N6985" t="n">
        <v>0</v>
      </c>
      <c r="O6985" t="n">
        <v>0</v>
      </c>
      <c r="P6985" t="n">
        <v>0</v>
      </c>
      <c r="Q6985" t="n">
        <v>0</v>
      </c>
      <c r="R6985" s="2" t="inlineStr"/>
    </row>
    <row r="6986" ht="15" customHeight="1">
      <c r="A6986" t="inlineStr">
        <is>
          <t>A 38948-2025</t>
        </is>
      </c>
      <c r="B6986" s="1" t="n">
        <v>45887.65668981482</v>
      </c>
      <c r="C6986" s="1" t="n">
        <v>45952</v>
      </c>
      <c r="D6986" t="inlineStr">
        <is>
          <t>VÄSTRA GÖTALANDS LÄN</t>
        </is>
      </c>
      <c r="E6986" t="inlineStr">
        <is>
          <t>MARIESTAD</t>
        </is>
      </c>
      <c r="F6986" t="inlineStr">
        <is>
          <t>Sveaskog</t>
        </is>
      </c>
      <c r="G6986" t="n">
        <v>2.5</v>
      </c>
      <c r="H6986" t="n">
        <v>0</v>
      </c>
      <c r="I6986" t="n">
        <v>0</v>
      </c>
      <c r="J6986" t="n">
        <v>0</v>
      </c>
      <c r="K6986" t="n">
        <v>0</v>
      </c>
      <c r="L6986" t="n">
        <v>0</v>
      </c>
      <c r="M6986" t="n">
        <v>0</v>
      </c>
      <c r="N6986" t="n">
        <v>0</v>
      </c>
      <c r="O6986" t="n">
        <v>0</v>
      </c>
      <c r="P6986" t="n">
        <v>0</v>
      </c>
      <c r="Q6986" t="n">
        <v>0</v>
      </c>
      <c r="R6986" s="2" t="inlineStr"/>
    </row>
    <row r="6987" ht="15" customHeight="1">
      <c r="A6987" t="inlineStr">
        <is>
          <t>A 20265-2025</t>
        </is>
      </c>
      <c r="B6987" s="1" t="n">
        <v>45773.45891203704</v>
      </c>
      <c r="C6987" s="1" t="n">
        <v>45952</v>
      </c>
      <c r="D6987" t="inlineStr">
        <is>
          <t>VÄSTRA GÖTALANDS LÄN</t>
        </is>
      </c>
      <c r="E6987" t="inlineStr">
        <is>
          <t>DALS-ED</t>
        </is>
      </c>
      <c r="G6987" t="n">
        <v>1.3</v>
      </c>
      <c r="H6987" t="n">
        <v>0</v>
      </c>
      <c r="I6987" t="n">
        <v>0</v>
      </c>
      <c r="J6987" t="n">
        <v>0</v>
      </c>
      <c r="K6987" t="n">
        <v>0</v>
      </c>
      <c r="L6987" t="n">
        <v>0</v>
      </c>
      <c r="M6987" t="n">
        <v>0</v>
      </c>
      <c r="N6987" t="n">
        <v>0</v>
      </c>
      <c r="O6987" t="n">
        <v>0</v>
      </c>
      <c r="P6987" t="n">
        <v>0</v>
      </c>
      <c r="Q6987" t="n">
        <v>0</v>
      </c>
      <c r="R6987" s="2" t="inlineStr"/>
    </row>
    <row r="6988" ht="15" customHeight="1">
      <c r="A6988" t="inlineStr">
        <is>
          <t>A 11729-2024</t>
        </is>
      </c>
      <c r="B6988" s="1" t="n">
        <v>45373.68430555556</v>
      </c>
      <c r="C6988" s="1" t="n">
        <v>45952</v>
      </c>
      <c r="D6988" t="inlineStr">
        <is>
          <t>VÄSTRA GÖTALANDS LÄN</t>
        </is>
      </c>
      <c r="E6988" t="inlineStr">
        <is>
          <t>MARIESTAD</t>
        </is>
      </c>
      <c r="G6988" t="n">
        <v>3.7</v>
      </c>
      <c r="H6988" t="n">
        <v>0</v>
      </c>
      <c r="I6988" t="n">
        <v>0</v>
      </c>
      <c r="J6988" t="n">
        <v>0</v>
      </c>
      <c r="K6988" t="n">
        <v>0</v>
      </c>
      <c r="L6988" t="n">
        <v>0</v>
      </c>
      <c r="M6988" t="n">
        <v>0</v>
      </c>
      <c r="N6988" t="n">
        <v>0</v>
      </c>
      <c r="O6988" t="n">
        <v>0</v>
      </c>
      <c r="P6988" t="n">
        <v>0</v>
      </c>
      <c r="Q6988" t="n">
        <v>0</v>
      </c>
      <c r="R6988" s="2" t="inlineStr"/>
    </row>
    <row r="6989" ht="15" customHeight="1">
      <c r="A6989" t="inlineStr">
        <is>
          <t>A 62171-2023</t>
        </is>
      </c>
      <c r="B6989" s="1" t="n">
        <v>45267.42585648148</v>
      </c>
      <c r="C6989" s="1" t="n">
        <v>45952</v>
      </c>
      <c r="D6989" t="inlineStr">
        <is>
          <t>VÄSTRA GÖTALANDS LÄN</t>
        </is>
      </c>
      <c r="E6989" t="inlineStr">
        <is>
          <t>HJO</t>
        </is>
      </c>
      <c r="F6989" t="inlineStr">
        <is>
          <t>Sveaskog</t>
        </is>
      </c>
      <c r="G6989" t="n">
        <v>1.9</v>
      </c>
      <c r="H6989" t="n">
        <v>0</v>
      </c>
      <c r="I6989" t="n">
        <v>0</v>
      </c>
      <c r="J6989" t="n">
        <v>0</v>
      </c>
      <c r="K6989" t="n">
        <v>0</v>
      </c>
      <c r="L6989" t="n">
        <v>0</v>
      </c>
      <c r="M6989" t="n">
        <v>0</v>
      </c>
      <c r="N6989" t="n">
        <v>0</v>
      </c>
      <c r="O6989" t="n">
        <v>0</v>
      </c>
      <c r="P6989" t="n">
        <v>0</v>
      </c>
      <c r="Q6989" t="n">
        <v>0</v>
      </c>
      <c r="R6989" s="2" t="inlineStr"/>
    </row>
    <row r="6990" ht="15" customHeight="1">
      <c r="A6990" t="inlineStr">
        <is>
          <t>A 8403-2024</t>
        </is>
      </c>
      <c r="B6990" s="1" t="n">
        <v>45352.79046296296</v>
      </c>
      <c r="C6990" s="1" t="n">
        <v>45952</v>
      </c>
      <c r="D6990" t="inlineStr">
        <is>
          <t>VÄSTRA GÖTALANDS LÄN</t>
        </is>
      </c>
      <c r="E6990" t="inlineStr">
        <is>
          <t>TIDAHOLM</t>
        </is>
      </c>
      <c r="G6990" t="n">
        <v>1.9</v>
      </c>
      <c r="H6990" t="n">
        <v>0</v>
      </c>
      <c r="I6990" t="n">
        <v>0</v>
      </c>
      <c r="J6990" t="n">
        <v>0</v>
      </c>
      <c r="K6990" t="n">
        <v>0</v>
      </c>
      <c r="L6990" t="n">
        <v>0</v>
      </c>
      <c r="M6990" t="n">
        <v>0</v>
      </c>
      <c r="N6990" t="n">
        <v>0</v>
      </c>
      <c r="O6990" t="n">
        <v>0</v>
      </c>
      <c r="P6990" t="n">
        <v>0</v>
      </c>
      <c r="Q6990" t="n">
        <v>0</v>
      </c>
      <c r="R6990" s="2" t="inlineStr"/>
    </row>
    <row r="6991" ht="15" customHeight="1">
      <c r="A6991" t="inlineStr">
        <is>
          <t>A 53746-2024</t>
        </is>
      </c>
      <c r="B6991" s="1" t="n">
        <v>45615.47503472222</v>
      </c>
      <c r="C6991" s="1" t="n">
        <v>45952</v>
      </c>
      <c r="D6991" t="inlineStr">
        <is>
          <t>VÄSTRA GÖTALANDS LÄN</t>
        </is>
      </c>
      <c r="E6991" t="inlineStr">
        <is>
          <t>SVENLJUNGA</t>
        </is>
      </c>
      <c r="G6991" t="n">
        <v>2.7</v>
      </c>
      <c r="H6991" t="n">
        <v>0</v>
      </c>
      <c r="I6991" t="n">
        <v>0</v>
      </c>
      <c r="J6991" t="n">
        <v>0</v>
      </c>
      <c r="K6991" t="n">
        <v>0</v>
      </c>
      <c r="L6991" t="n">
        <v>0</v>
      </c>
      <c r="M6991" t="n">
        <v>0</v>
      </c>
      <c r="N6991" t="n">
        <v>0</v>
      </c>
      <c r="O6991" t="n">
        <v>0</v>
      </c>
      <c r="P6991" t="n">
        <v>0</v>
      </c>
      <c r="Q6991" t="n">
        <v>0</v>
      </c>
      <c r="R6991" s="2" t="inlineStr"/>
    </row>
    <row r="6992" ht="15" customHeight="1">
      <c r="A6992" t="inlineStr">
        <is>
          <t>A 22226-2025</t>
        </is>
      </c>
      <c r="B6992" s="1" t="n">
        <v>45785.66313657408</v>
      </c>
      <c r="C6992" s="1" t="n">
        <v>45952</v>
      </c>
      <c r="D6992" t="inlineStr">
        <is>
          <t>VÄSTRA GÖTALANDS LÄN</t>
        </is>
      </c>
      <c r="E6992" t="inlineStr">
        <is>
          <t>SVENLJUNGA</t>
        </is>
      </c>
      <c r="G6992" t="n">
        <v>2.5</v>
      </c>
      <c r="H6992" t="n">
        <v>0</v>
      </c>
      <c r="I6992" t="n">
        <v>0</v>
      </c>
      <c r="J6992" t="n">
        <v>0</v>
      </c>
      <c r="K6992" t="n">
        <v>0</v>
      </c>
      <c r="L6992" t="n">
        <v>0</v>
      </c>
      <c r="M6992" t="n">
        <v>0</v>
      </c>
      <c r="N6992" t="n">
        <v>0</v>
      </c>
      <c r="O6992" t="n">
        <v>0</v>
      </c>
      <c r="P6992" t="n">
        <v>0</v>
      </c>
      <c r="Q6992" t="n">
        <v>0</v>
      </c>
      <c r="R6992" s="2" t="inlineStr"/>
    </row>
    <row r="6993" ht="15" customHeight="1">
      <c r="A6993" t="inlineStr">
        <is>
          <t>A 33991-2023</t>
        </is>
      </c>
      <c r="B6993" s="1" t="n">
        <v>45134.90613425926</v>
      </c>
      <c r="C6993" s="1" t="n">
        <v>45952</v>
      </c>
      <c r="D6993" t="inlineStr">
        <is>
          <t>VÄSTRA GÖTALANDS LÄN</t>
        </is>
      </c>
      <c r="E6993" t="inlineStr">
        <is>
          <t>LILLA EDET</t>
        </is>
      </c>
      <c r="G6993" t="n">
        <v>0.5</v>
      </c>
      <c r="H6993" t="n">
        <v>0</v>
      </c>
      <c r="I6993" t="n">
        <v>0</v>
      </c>
      <c r="J6993" t="n">
        <v>0</v>
      </c>
      <c r="K6993" t="n">
        <v>0</v>
      </c>
      <c r="L6993" t="n">
        <v>0</v>
      </c>
      <c r="M6993" t="n">
        <v>0</v>
      </c>
      <c r="N6993" t="n">
        <v>0</v>
      </c>
      <c r="O6993" t="n">
        <v>0</v>
      </c>
      <c r="P6993" t="n">
        <v>0</v>
      </c>
      <c r="Q6993" t="n">
        <v>0</v>
      </c>
      <c r="R6993" s="2" t="inlineStr"/>
    </row>
    <row r="6994" ht="15" customHeight="1">
      <c r="A6994" t="inlineStr">
        <is>
          <t>A 38264-2023</t>
        </is>
      </c>
      <c r="B6994" s="1" t="n">
        <v>45161</v>
      </c>
      <c r="C6994" s="1" t="n">
        <v>45952</v>
      </c>
      <c r="D6994" t="inlineStr">
        <is>
          <t>VÄSTRA GÖTALANDS LÄN</t>
        </is>
      </c>
      <c r="E6994" t="inlineStr">
        <is>
          <t>SKÖVDE</t>
        </is>
      </c>
      <c r="G6994" t="n">
        <v>1.3</v>
      </c>
      <c r="H6994" t="n">
        <v>0</v>
      </c>
      <c r="I6994" t="n">
        <v>0</v>
      </c>
      <c r="J6994" t="n">
        <v>0</v>
      </c>
      <c r="K6994" t="n">
        <v>0</v>
      </c>
      <c r="L6994" t="n">
        <v>0</v>
      </c>
      <c r="M6994" t="n">
        <v>0</v>
      </c>
      <c r="N6994" t="n">
        <v>0</v>
      </c>
      <c r="O6994" t="n">
        <v>0</v>
      </c>
      <c r="P6994" t="n">
        <v>0</v>
      </c>
      <c r="Q6994" t="n">
        <v>0</v>
      </c>
      <c r="R6994" s="2" t="inlineStr"/>
    </row>
    <row r="6995" ht="15" customHeight="1">
      <c r="A6995" t="inlineStr">
        <is>
          <t>A 30792-2023</t>
        </is>
      </c>
      <c r="B6995" s="1" t="n">
        <v>45112.72848379629</v>
      </c>
      <c r="C6995" s="1" t="n">
        <v>45952</v>
      </c>
      <c r="D6995" t="inlineStr">
        <is>
          <t>VÄSTRA GÖTALANDS LÄN</t>
        </is>
      </c>
      <c r="E6995" t="inlineStr">
        <is>
          <t>BOLLEBYGD</t>
        </is>
      </c>
      <c r="G6995" t="n">
        <v>1.4</v>
      </c>
      <c r="H6995" t="n">
        <v>0</v>
      </c>
      <c r="I6995" t="n">
        <v>0</v>
      </c>
      <c r="J6995" t="n">
        <v>0</v>
      </c>
      <c r="K6995" t="n">
        <v>0</v>
      </c>
      <c r="L6995" t="n">
        <v>0</v>
      </c>
      <c r="M6995" t="n">
        <v>0</v>
      </c>
      <c r="N6995" t="n">
        <v>0</v>
      </c>
      <c r="O6995" t="n">
        <v>0</v>
      </c>
      <c r="P6995" t="n">
        <v>0</v>
      </c>
      <c r="Q6995" t="n">
        <v>0</v>
      </c>
      <c r="R6995" s="2" t="inlineStr"/>
    </row>
    <row r="6996" ht="15" customHeight="1">
      <c r="A6996" t="inlineStr">
        <is>
          <t>A 30982-2023</t>
        </is>
      </c>
      <c r="B6996" s="1" t="n">
        <v>45113</v>
      </c>
      <c r="C6996" s="1" t="n">
        <v>45952</v>
      </c>
      <c r="D6996" t="inlineStr">
        <is>
          <t>VÄSTRA GÖTALANDS LÄN</t>
        </is>
      </c>
      <c r="E6996" t="inlineStr">
        <is>
          <t>TRANEMO</t>
        </is>
      </c>
      <c r="G6996" t="n">
        <v>3.8</v>
      </c>
      <c r="H6996" t="n">
        <v>0</v>
      </c>
      <c r="I6996" t="n">
        <v>0</v>
      </c>
      <c r="J6996" t="n">
        <v>0</v>
      </c>
      <c r="K6996" t="n">
        <v>0</v>
      </c>
      <c r="L6996" t="n">
        <v>0</v>
      </c>
      <c r="M6996" t="n">
        <v>0</v>
      </c>
      <c r="N6996" t="n">
        <v>0</v>
      </c>
      <c r="O6996" t="n">
        <v>0</v>
      </c>
      <c r="P6996" t="n">
        <v>0</v>
      </c>
      <c r="Q6996" t="n">
        <v>0</v>
      </c>
      <c r="R6996" s="2" t="inlineStr"/>
    </row>
    <row r="6997" ht="15" customHeight="1">
      <c r="A6997" t="inlineStr">
        <is>
          <t>A 27552-2023</t>
        </is>
      </c>
      <c r="B6997" s="1" t="n">
        <v>45097</v>
      </c>
      <c r="C6997" s="1" t="n">
        <v>45952</v>
      </c>
      <c r="D6997" t="inlineStr">
        <is>
          <t>VÄSTRA GÖTALANDS LÄN</t>
        </is>
      </c>
      <c r="E6997" t="inlineStr">
        <is>
          <t>BENGTSFORS</t>
        </is>
      </c>
      <c r="G6997" t="n">
        <v>3.7</v>
      </c>
      <c r="H6997" t="n">
        <v>0</v>
      </c>
      <c r="I6997" t="n">
        <v>0</v>
      </c>
      <c r="J6997" t="n">
        <v>0</v>
      </c>
      <c r="K6997" t="n">
        <v>0</v>
      </c>
      <c r="L6997" t="n">
        <v>0</v>
      </c>
      <c r="M6997" t="n">
        <v>0</v>
      </c>
      <c r="N6997" t="n">
        <v>0</v>
      </c>
      <c r="O6997" t="n">
        <v>0</v>
      </c>
      <c r="P6997" t="n">
        <v>0</v>
      </c>
      <c r="Q6997" t="n">
        <v>0</v>
      </c>
      <c r="R6997" s="2" t="inlineStr"/>
    </row>
    <row r="6998" ht="15" customHeight="1">
      <c r="A6998" t="inlineStr">
        <is>
          <t>A 12600-2024</t>
        </is>
      </c>
      <c r="B6998" s="1" t="n">
        <v>45380.80784722222</v>
      </c>
      <c r="C6998" s="1" t="n">
        <v>45952</v>
      </c>
      <c r="D6998" t="inlineStr">
        <is>
          <t>VÄSTRA GÖTALANDS LÄN</t>
        </is>
      </c>
      <c r="E6998" t="inlineStr">
        <is>
          <t>ALINGSÅS</t>
        </is>
      </c>
      <c r="G6998" t="n">
        <v>2.3</v>
      </c>
      <c r="H6998" t="n">
        <v>0</v>
      </c>
      <c r="I6998" t="n">
        <v>0</v>
      </c>
      <c r="J6998" t="n">
        <v>0</v>
      </c>
      <c r="K6998" t="n">
        <v>0</v>
      </c>
      <c r="L6998" t="n">
        <v>0</v>
      </c>
      <c r="M6998" t="n">
        <v>0</v>
      </c>
      <c r="N6998" t="n">
        <v>0</v>
      </c>
      <c r="O6998" t="n">
        <v>0</v>
      </c>
      <c r="P6998" t="n">
        <v>0</v>
      </c>
      <c r="Q6998" t="n">
        <v>0</v>
      </c>
      <c r="R6998" s="2" t="inlineStr"/>
    </row>
    <row r="6999" ht="15" customHeight="1">
      <c r="A6999" t="inlineStr">
        <is>
          <t>A 8956-2025</t>
        </is>
      </c>
      <c r="B6999" s="1" t="n">
        <v>45713.46825231481</v>
      </c>
      <c r="C6999" s="1" t="n">
        <v>45952</v>
      </c>
      <c r="D6999" t="inlineStr">
        <is>
          <t>VÄSTRA GÖTALANDS LÄN</t>
        </is>
      </c>
      <c r="E6999" t="inlineStr">
        <is>
          <t>ALE</t>
        </is>
      </c>
      <c r="G6999" t="n">
        <v>1</v>
      </c>
      <c r="H6999" t="n">
        <v>0</v>
      </c>
      <c r="I6999" t="n">
        <v>0</v>
      </c>
      <c r="J6999" t="n">
        <v>0</v>
      </c>
      <c r="K6999" t="n">
        <v>0</v>
      </c>
      <c r="L6999" t="n">
        <v>0</v>
      </c>
      <c r="M6999" t="n">
        <v>0</v>
      </c>
      <c r="N6999" t="n">
        <v>0</v>
      </c>
      <c r="O6999" t="n">
        <v>0</v>
      </c>
      <c r="P6999" t="n">
        <v>0</v>
      </c>
      <c r="Q6999" t="n">
        <v>0</v>
      </c>
      <c r="R6999" s="2" t="inlineStr"/>
    </row>
    <row r="7000" ht="15" customHeight="1">
      <c r="A7000" t="inlineStr">
        <is>
          <t>A 8977-2025</t>
        </is>
      </c>
      <c r="B7000" s="1" t="n">
        <v>45713.50826388889</v>
      </c>
      <c r="C7000" s="1" t="n">
        <v>45952</v>
      </c>
      <c r="D7000" t="inlineStr">
        <is>
          <t>VÄSTRA GÖTALANDS LÄN</t>
        </is>
      </c>
      <c r="E7000" t="inlineStr">
        <is>
          <t>MARK</t>
        </is>
      </c>
      <c r="G7000" t="n">
        <v>0.7</v>
      </c>
      <c r="H7000" t="n">
        <v>0</v>
      </c>
      <c r="I7000" t="n">
        <v>0</v>
      </c>
      <c r="J7000" t="n">
        <v>0</v>
      </c>
      <c r="K7000" t="n">
        <v>0</v>
      </c>
      <c r="L7000" t="n">
        <v>0</v>
      </c>
      <c r="M7000" t="n">
        <v>0</v>
      </c>
      <c r="N7000" t="n">
        <v>0</v>
      </c>
      <c r="O7000" t="n">
        <v>0</v>
      </c>
      <c r="P7000" t="n">
        <v>0</v>
      </c>
      <c r="Q7000" t="n">
        <v>0</v>
      </c>
      <c r="R7000" s="2" t="inlineStr"/>
    </row>
    <row r="7001" ht="15" customHeight="1">
      <c r="A7001" t="inlineStr">
        <is>
          <t>A 59879-2024</t>
        </is>
      </c>
      <c r="B7001" s="1" t="n">
        <v>45640.716875</v>
      </c>
      <c r="C7001" s="1" t="n">
        <v>45952</v>
      </c>
      <c r="D7001" t="inlineStr">
        <is>
          <t>VÄSTRA GÖTALANDS LÄN</t>
        </is>
      </c>
      <c r="E7001" t="inlineStr">
        <is>
          <t>TROLLHÄTTAN</t>
        </is>
      </c>
      <c r="G7001" t="n">
        <v>0.8</v>
      </c>
      <c r="H7001" t="n">
        <v>0</v>
      </c>
      <c r="I7001" t="n">
        <v>0</v>
      </c>
      <c r="J7001" t="n">
        <v>0</v>
      </c>
      <c r="K7001" t="n">
        <v>0</v>
      </c>
      <c r="L7001" t="n">
        <v>0</v>
      </c>
      <c r="M7001" t="n">
        <v>0</v>
      </c>
      <c r="N7001" t="n">
        <v>0</v>
      </c>
      <c r="O7001" t="n">
        <v>0</v>
      </c>
      <c r="P7001" t="n">
        <v>0</v>
      </c>
      <c r="Q7001" t="n">
        <v>0</v>
      </c>
      <c r="R7001" s="2" t="inlineStr"/>
    </row>
    <row r="7002" ht="15" customHeight="1">
      <c r="A7002" t="inlineStr">
        <is>
          <t>A 61766-2022</t>
        </is>
      </c>
      <c r="B7002" s="1" t="n">
        <v>44917.50943287037</v>
      </c>
      <c r="C7002" s="1" t="n">
        <v>45952</v>
      </c>
      <c r="D7002" t="inlineStr">
        <is>
          <t>VÄSTRA GÖTALANDS LÄN</t>
        </is>
      </c>
      <c r="E7002" t="inlineStr">
        <is>
          <t>HERRLJUNGA</t>
        </is>
      </c>
      <c r="G7002" t="n">
        <v>0.5</v>
      </c>
      <c r="H7002" t="n">
        <v>0</v>
      </c>
      <c r="I7002" t="n">
        <v>0</v>
      </c>
      <c r="J7002" t="n">
        <v>0</v>
      </c>
      <c r="K7002" t="n">
        <v>0</v>
      </c>
      <c r="L7002" t="n">
        <v>0</v>
      </c>
      <c r="M7002" t="n">
        <v>0</v>
      </c>
      <c r="N7002" t="n">
        <v>0</v>
      </c>
      <c r="O7002" t="n">
        <v>0</v>
      </c>
      <c r="P7002" t="n">
        <v>0</v>
      </c>
      <c r="Q7002" t="n">
        <v>0</v>
      </c>
      <c r="R7002" s="2" t="inlineStr"/>
    </row>
    <row r="7003" ht="15" customHeight="1">
      <c r="A7003" t="inlineStr">
        <is>
          <t>A 11425-2022</t>
        </is>
      </c>
      <c r="B7003" s="1" t="n">
        <v>44630.59177083334</v>
      </c>
      <c r="C7003" s="1" t="n">
        <v>45952</v>
      </c>
      <c r="D7003" t="inlineStr">
        <is>
          <t>VÄSTRA GÖTALANDS LÄN</t>
        </is>
      </c>
      <c r="E7003" t="inlineStr">
        <is>
          <t>MUNKEDAL</t>
        </is>
      </c>
      <c r="G7003" t="n">
        <v>1.5</v>
      </c>
      <c r="H7003" t="n">
        <v>0</v>
      </c>
      <c r="I7003" t="n">
        <v>0</v>
      </c>
      <c r="J7003" t="n">
        <v>0</v>
      </c>
      <c r="K7003" t="n">
        <v>0</v>
      </c>
      <c r="L7003" t="n">
        <v>0</v>
      </c>
      <c r="M7003" t="n">
        <v>0</v>
      </c>
      <c r="N7003" t="n">
        <v>0</v>
      </c>
      <c r="O7003" t="n">
        <v>0</v>
      </c>
      <c r="P7003" t="n">
        <v>0</v>
      </c>
      <c r="Q7003" t="n">
        <v>0</v>
      </c>
      <c r="R7003" s="2" t="inlineStr"/>
    </row>
    <row r="7004" ht="15" customHeight="1">
      <c r="A7004" t="inlineStr">
        <is>
          <t>A 12610-2024</t>
        </is>
      </c>
      <c r="B7004" s="1" t="n">
        <v>45382.87498842592</v>
      </c>
      <c r="C7004" s="1" t="n">
        <v>45952</v>
      </c>
      <c r="D7004" t="inlineStr">
        <is>
          <t>VÄSTRA GÖTALANDS LÄN</t>
        </is>
      </c>
      <c r="E7004" t="inlineStr">
        <is>
          <t>VÄNERSBORG</t>
        </is>
      </c>
      <c r="G7004" t="n">
        <v>0.6</v>
      </c>
      <c r="H7004" t="n">
        <v>0</v>
      </c>
      <c r="I7004" t="n">
        <v>0</v>
      </c>
      <c r="J7004" t="n">
        <v>0</v>
      </c>
      <c r="K7004" t="n">
        <v>0</v>
      </c>
      <c r="L7004" t="n">
        <v>0</v>
      </c>
      <c r="M7004" t="n">
        <v>0</v>
      </c>
      <c r="N7004" t="n">
        <v>0</v>
      </c>
      <c r="O7004" t="n">
        <v>0</v>
      </c>
      <c r="P7004" t="n">
        <v>0</v>
      </c>
      <c r="Q7004" t="n">
        <v>0</v>
      </c>
      <c r="R7004" s="2" t="inlineStr"/>
    </row>
    <row r="7005" ht="15" customHeight="1">
      <c r="A7005" t="inlineStr">
        <is>
          <t>A 37812-2021</t>
        </is>
      </c>
      <c r="B7005" s="1" t="n">
        <v>44402</v>
      </c>
      <c r="C7005" s="1" t="n">
        <v>45952</v>
      </c>
      <c r="D7005" t="inlineStr">
        <is>
          <t>VÄSTRA GÖTALANDS LÄN</t>
        </is>
      </c>
      <c r="E7005" t="inlineStr">
        <is>
          <t>ÅMÅL</t>
        </is>
      </c>
      <c r="G7005" t="n">
        <v>0.6</v>
      </c>
      <c r="H7005" t="n">
        <v>0</v>
      </c>
      <c r="I7005" t="n">
        <v>0</v>
      </c>
      <c r="J7005" t="n">
        <v>0</v>
      </c>
      <c r="K7005" t="n">
        <v>0</v>
      </c>
      <c r="L7005" t="n">
        <v>0</v>
      </c>
      <c r="M7005" t="n">
        <v>0</v>
      </c>
      <c r="N7005" t="n">
        <v>0</v>
      </c>
      <c r="O7005" t="n">
        <v>0</v>
      </c>
      <c r="P7005" t="n">
        <v>0</v>
      </c>
      <c r="Q7005" t="n">
        <v>0</v>
      </c>
      <c r="R7005" s="2" t="inlineStr"/>
    </row>
    <row r="7006" ht="15" customHeight="1">
      <c r="A7006" t="inlineStr">
        <is>
          <t>A 61603-2023</t>
        </is>
      </c>
      <c r="B7006" s="1" t="n">
        <v>45265</v>
      </c>
      <c r="C7006" s="1" t="n">
        <v>45952</v>
      </c>
      <c r="D7006" t="inlineStr">
        <is>
          <t>VÄSTRA GÖTALANDS LÄN</t>
        </is>
      </c>
      <c r="E7006" t="inlineStr">
        <is>
          <t>MARIESTAD</t>
        </is>
      </c>
      <c r="F7006" t="inlineStr">
        <is>
          <t>Sveaskog</t>
        </is>
      </c>
      <c r="G7006" t="n">
        <v>0.3</v>
      </c>
      <c r="H7006" t="n">
        <v>0</v>
      </c>
      <c r="I7006" t="n">
        <v>0</v>
      </c>
      <c r="J7006" t="n">
        <v>0</v>
      </c>
      <c r="K7006" t="n">
        <v>0</v>
      </c>
      <c r="L7006" t="n">
        <v>0</v>
      </c>
      <c r="M7006" t="n">
        <v>0</v>
      </c>
      <c r="N7006" t="n">
        <v>0</v>
      </c>
      <c r="O7006" t="n">
        <v>0</v>
      </c>
      <c r="P7006" t="n">
        <v>0</v>
      </c>
      <c r="Q7006" t="n">
        <v>0</v>
      </c>
      <c r="R7006" s="2" t="inlineStr"/>
    </row>
    <row r="7007" ht="15" customHeight="1">
      <c r="A7007" t="inlineStr">
        <is>
          <t>A 39800-2022</t>
        </is>
      </c>
      <c r="B7007" s="1" t="n">
        <v>44819.51783564815</v>
      </c>
      <c r="C7007" s="1" t="n">
        <v>45952</v>
      </c>
      <c r="D7007" t="inlineStr">
        <is>
          <t>VÄSTRA GÖTALANDS LÄN</t>
        </is>
      </c>
      <c r="E7007" t="inlineStr">
        <is>
          <t>LIDKÖPING</t>
        </is>
      </c>
      <c r="G7007" t="n">
        <v>2</v>
      </c>
      <c r="H7007" t="n">
        <v>0</v>
      </c>
      <c r="I7007" t="n">
        <v>0</v>
      </c>
      <c r="J7007" t="n">
        <v>0</v>
      </c>
      <c r="K7007" t="n">
        <v>0</v>
      </c>
      <c r="L7007" t="n">
        <v>0</v>
      </c>
      <c r="M7007" t="n">
        <v>0</v>
      </c>
      <c r="N7007" t="n">
        <v>0</v>
      </c>
      <c r="O7007" t="n">
        <v>0</v>
      </c>
      <c r="P7007" t="n">
        <v>0</v>
      </c>
      <c r="Q7007" t="n">
        <v>0</v>
      </c>
      <c r="R7007" s="2" t="inlineStr"/>
    </row>
    <row r="7008" ht="15" customHeight="1">
      <c r="A7008" t="inlineStr">
        <is>
          <t>A 15656-2024</t>
        </is>
      </c>
      <c r="B7008" s="1" t="n">
        <v>45404</v>
      </c>
      <c r="C7008" s="1" t="n">
        <v>45952</v>
      </c>
      <c r="D7008" t="inlineStr">
        <is>
          <t>VÄSTRA GÖTALANDS LÄN</t>
        </is>
      </c>
      <c r="E7008" t="inlineStr">
        <is>
          <t>KARLSBORG</t>
        </is>
      </c>
      <c r="G7008" t="n">
        <v>3</v>
      </c>
      <c r="H7008" t="n">
        <v>0</v>
      </c>
      <c r="I7008" t="n">
        <v>0</v>
      </c>
      <c r="J7008" t="n">
        <v>0</v>
      </c>
      <c r="K7008" t="n">
        <v>0</v>
      </c>
      <c r="L7008" t="n">
        <v>0</v>
      </c>
      <c r="M7008" t="n">
        <v>0</v>
      </c>
      <c r="N7008" t="n">
        <v>0</v>
      </c>
      <c r="O7008" t="n">
        <v>0</v>
      </c>
      <c r="P7008" t="n">
        <v>0</v>
      </c>
      <c r="Q7008" t="n">
        <v>0</v>
      </c>
      <c r="R7008" s="2" t="inlineStr"/>
    </row>
    <row r="7009" ht="15" customHeight="1">
      <c r="A7009" t="inlineStr">
        <is>
          <t>A 11526-2022</t>
        </is>
      </c>
      <c r="B7009" s="1" t="n">
        <v>44631.37122685185</v>
      </c>
      <c r="C7009" s="1" t="n">
        <v>45952</v>
      </c>
      <c r="D7009" t="inlineStr">
        <is>
          <t>VÄSTRA GÖTALANDS LÄN</t>
        </is>
      </c>
      <c r="E7009" t="inlineStr">
        <is>
          <t>BENGTSFORS</t>
        </is>
      </c>
      <c r="G7009" t="n">
        <v>6.5</v>
      </c>
      <c r="H7009" t="n">
        <v>0</v>
      </c>
      <c r="I7009" t="n">
        <v>0</v>
      </c>
      <c r="J7009" t="n">
        <v>0</v>
      </c>
      <c r="K7009" t="n">
        <v>0</v>
      </c>
      <c r="L7009" t="n">
        <v>0</v>
      </c>
      <c r="M7009" t="n">
        <v>0</v>
      </c>
      <c r="N7009" t="n">
        <v>0</v>
      </c>
      <c r="O7009" t="n">
        <v>0</v>
      </c>
      <c r="P7009" t="n">
        <v>0</v>
      </c>
      <c r="Q7009" t="n">
        <v>0</v>
      </c>
      <c r="R7009" s="2" t="inlineStr"/>
    </row>
    <row r="7010" ht="15" customHeight="1">
      <c r="A7010" t="inlineStr">
        <is>
          <t>A 9127-2023</t>
        </is>
      </c>
      <c r="B7010" s="1" t="n">
        <v>44980</v>
      </c>
      <c r="C7010" s="1" t="n">
        <v>45952</v>
      </c>
      <c r="D7010" t="inlineStr">
        <is>
          <t>VÄSTRA GÖTALANDS LÄN</t>
        </is>
      </c>
      <c r="E7010" t="inlineStr">
        <is>
          <t>BORÅS</t>
        </is>
      </c>
      <c r="G7010" t="n">
        <v>1.7</v>
      </c>
      <c r="H7010" t="n">
        <v>0</v>
      </c>
      <c r="I7010" t="n">
        <v>0</v>
      </c>
      <c r="J7010" t="n">
        <v>0</v>
      </c>
      <c r="K7010" t="n">
        <v>0</v>
      </c>
      <c r="L7010" t="n">
        <v>0</v>
      </c>
      <c r="M7010" t="n">
        <v>0</v>
      </c>
      <c r="N7010" t="n">
        <v>0</v>
      </c>
      <c r="O7010" t="n">
        <v>0</v>
      </c>
      <c r="P7010" t="n">
        <v>0</v>
      </c>
      <c r="Q7010" t="n">
        <v>0</v>
      </c>
      <c r="R7010" s="2" t="inlineStr"/>
    </row>
    <row r="7011" ht="15" customHeight="1">
      <c r="A7011" t="inlineStr">
        <is>
          <t>A 11539-2022</t>
        </is>
      </c>
      <c r="B7011" s="1" t="n">
        <v>44631.40365740741</v>
      </c>
      <c r="C7011" s="1" t="n">
        <v>45952</v>
      </c>
      <c r="D7011" t="inlineStr">
        <is>
          <t>VÄSTRA GÖTALANDS LÄN</t>
        </is>
      </c>
      <c r="E7011" t="inlineStr">
        <is>
          <t>ALINGSÅS</t>
        </is>
      </c>
      <c r="G7011" t="n">
        <v>2.4</v>
      </c>
      <c r="H7011" t="n">
        <v>0</v>
      </c>
      <c r="I7011" t="n">
        <v>0</v>
      </c>
      <c r="J7011" t="n">
        <v>0</v>
      </c>
      <c r="K7011" t="n">
        <v>0</v>
      </c>
      <c r="L7011" t="n">
        <v>0</v>
      </c>
      <c r="M7011" t="n">
        <v>0</v>
      </c>
      <c r="N7011" t="n">
        <v>0</v>
      </c>
      <c r="O7011" t="n">
        <v>0</v>
      </c>
      <c r="P7011" t="n">
        <v>0</v>
      </c>
      <c r="Q7011" t="n">
        <v>0</v>
      </c>
      <c r="R7011" s="2" t="inlineStr"/>
    </row>
    <row r="7012" ht="15" customHeight="1">
      <c r="A7012" t="inlineStr">
        <is>
          <t>A 44982-2024</t>
        </is>
      </c>
      <c r="B7012" s="1" t="n">
        <v>45575.47137731482</v>
      </c>
      <c r="C7012" s="1" t="n">
        <v>45952</v>
      </c>
      <c r="D7012" t="inlineStr">
        <is>
          <t>VÄSTRA GÖTALANDS LÄN</t>
        </is>
      </c>
      <c r="E7012" t="inlineStr">
        <is>
          <t>BENGTSFORS</t>
        </is>
      </c>
      <c r="G7012" t="n">
        <v>0.5</v>
      </c>
      <c r="H7012" t="n">
        <v>0</v>
      </c>
      <c r="I7012" t="n">
        <v>0</v>
      </c>
      <c r="J7012" t="n">
        <v>0</v>
      </c>
      <c r="K7012" t="n">
        <v>0</v>
      </c>
      <c r="L7012" t="n">
        <v>0</v>
      </c>
      <c r="M7012" t="n">
        <v>0</v>
      </c>
      <c r="N7012" t="n">
        <v>0</v>
      </c>
      <c r="O7012" t="n">
        <v>0</v>
      </c>
      <c r="P7012" t="n">
        <v>0</v>
      </c>
      <c r="Q7012" t="n">
        <v>0</v>
      </c>
      <c r="R7012" s="2" t="inlineStr"/>
    </row>
    <row r="7013" ht="15" customHeight="1">
      <c r="A7013" t="inlineStr">
        <is>
          <t>A 44986-2024</t>
        </is>
      </c>
      <c r="B7013" s="1" t="n">
        <v>45575.47695601852</v>
      </c>
      <c r="C7013" s="1" t="n">
        <v>45952</v>
      </c>
      <c r="D7013" t="inlineStr">
        <is>
          <t>VÄSTRA GÖTALANDS LÄN</t>
        </is>
      </c>
      <c r="E7013" t="inlineStr">
        <is>
          <t>SVENLJUNGA</t>
        </is>
      </c>
      <c r="G7013" t="n">
        <v>1</v>
      </c>
      <c r="H7013" t="n">
        <v>0</v>
      </c>
      <c r="I7013" t="n">
        <v>0</v>
      </c>
      <c r="J7013" t="n">
        <v>0</v>
      </c>
      <c r="K7013" t="n">
        <v>0</v>
      </c>
      <c r="L7013" t="n">
        <v>0</v>
      </c>
      <c r="M7013" t="n">
        <v>0</v>
      </c>
      <c r="N7013" t="n">
        <v>0</v>
      </c>
      <c r="O7013" t="n">
        <v>0</v>
      </c>
      <c r="P7013" t="n">
        <v>0</v>
      </c>
      <c r="Q7013" t="n">
        <v>0</v>
      </c>
      <c r="R7013" s="2" t="inlineStr"/>
    </row>
    <row r="7014" ht="15" customHeight="1">
      <c r="A7014" t="inlineStr">
        <is>
          <t>A 56765-2024</t>
        </is>
      </c>
      <c r="B7014" s="1" t="n">
        <v>45628.4080787037</v>
      </c>
      <c r="C7014" s="1" t="n">
        <v>45952</v>
      </c>
      <c r="D7014" t="inlineStr">
        <is>
          <t>VÄSTRA GÖTALANDS LÄN</t>
        </is>
      </c>
      <c r="E7014" t="inlineStr">
        <is>
          <t>DALS-ED</t>
        </is>
      </c>
      <c r="G7014" t="n">
        <v>0.8</v>
      </c>
      <c r="H7014" t="n">
        <v>0</v>
      </c>
      <c r="I7014" t="n">
        <v>0</v>
      </c>
      <c r="J7014" t="n">
        <v>0</v>
      </c>
      <c r="K7014" t="n">
        <v>0</v>
      </c>
      <c r="L7014" t="n">
        <v>0</v>
      </c>
      <c r="M7014" t="n">
        <v>0</v>
      </c>
      <c r="N7014" t="n">
        <v>0</v>
      </c>
      <c r="O7014" t="n">
        <v>0</v>
      </c>
      <c r="P7014" t="n">
        <v>0</v>
      </c>
      <c r="Q7014" t="n">
        <v>0</v>
      </c>
      <c r="R7014" s="2" t="inlineStr"/>
    </row>
    <row r="7015" ht="15" customHeight="1">
      <c r="A7015" t="inlineStr">
        <is>
          <t>A 22968-2023</t>
        </is>
      </c>
      <c r="B7015" s="1" t="n">
        <v>45072.69234953704</v>
      </c>
      <c r="C7015" s="1" t="n">
        <v>45952</v>
      </c>
      <c r="D7015" t="inlineStr">
        <is>
          <t>VÄSTRA GÖTALANDS LÄN</t>
        </is>
      </c>
      <c r="E7015" t="inlineStr">
        <is>
          <t>BENGTSFORS</t>
        </is>
      </c>
      <c r="G7015" t="n">
        <v>1</v>
      </c>
      <c r="H7015" t="n">
        <v>0</v>
      </c>
      <c r="I7015" t="n">
        <v>0</v>
      </c>
      <c r="J7015" t="n">
        <v>0</v>
      </c>
      <c r="K7015" t="n">
        <v>0</v>
      </c>
      <c r="L7015" t="n">
        <v>0</v>
      </c>
      <c r="M7015" t="n">
        <v>0</v>
      </c>
      <c r="N7015" t="n">
        <v>0</v>
      </c>
      <c r="O7015" t="n">
        <v>0</v>
      </c>
      <c r="P7015" t="n">
        <v>0</v>
      </c>
      <c r="Q7015" t="n">
        <v>0</v>
      </c>
      <c r="R7015" s="2" t="inlineStr"/>
    </row>
    <row r="7016" ht="15" customHeight="1">
      <c r="A7016" t="inlineStr">
        <is>
          <t>A 56781-2024</t>
        </is>
      </c>
      <c r="B7016" s="1" t="n">
        <v>45628.44436342592</v>
      </c>
      <c r="C7016" s="1" t="n">
        <v>45952</v>
      </c>
      <c r="D7016" t="inlineStr">
        <is>
          <t>VÄSTRA GÖTALANDS LÄN</t>
        </is>
      </c>
      <c r="E7016" t="inlineStr">
        <is>
          <t>DALS-ED</t>
        </is>
      </c>
      <c r="G7016" t="n">
        <v>1.8</v>
      </c>
      <c r="H7016" t="n">
        <v>0</v>
      </c>
      <c r="I7016" t="n">
        <v>0</v>
      </c>
      <c r="J7016" t="n">
        <v>0</v>
      </c>
      <c r="K7016" t="n">
        <v>0</v>
      </c>
      <c r="L7016" t="n">
        <v>0</v>
      </c>
      <c r="M7016" t="n">
        <v>0</v>
      </c>
      <c r="N7016" t="n">
        <v>0</v>
      </c>
      <c r="O7016" t="n">
        <v>0</v>
      </c>
      <c r="P7016" t="n">
        <v>0</v>
      </c>
      <c r="Q7016" t="n">
        <v>0</v>
      </c>
      <c r="R7016" s="2" t="inlineStr"/>
    </row>
    <row r="7017" ht="15" customHeight="1">
      <c r="A7017" t="inlineStr">
        <is>
          <t>A 61805-2024</t>
        </is>
      </c>
      <c r="B7017" s="1" t="n">
        <v>45646</v>
      </c>
      <c r="C7017" s="1" t="n">
        <v>45952</v>
      </c>
      <c r="D7017" t="inlineStr">
        <is>
          <t>VÄSTRA GÖTALANDS LÄN</t>
        </is>
      </c>
      <c r="E7017" t="inlineStr">
        <is>
          <t>TROLLHÄTTAN</t>
        </is>
      </c>
      <c r="G7017" t="n">
        <v>0.8</v>
      </c>
      <c r="H7017" t="n">
        <v>0</v>
      </c>
      <c r="I7017" t="n">
        <v>0</v>
      </c>
      <c r="J7017" t="n">
        <v>0</v>
      </c>
      <c r="K7017" t="n">
        <v>0</v>
      </c>
      <c r="L7017" t="n">
        <v>0</v>
      </c>
      <c r="M7017" t="n">
        <v>0</v>
      </c>
      <c r="N7017" t="n">
        <v>0</v>
      </c>
      <c r="O7017" t="n">
        <v>0</v>
      </c>
      <c r="P7017" t="n">
        <v>0</v>
      </c>
      <c r="Q7017" t="n">
        <v>0</v>
      </c>
      <c r="R7017" s="2" t="inlineStr"/>
    </row>
    <row r="7018" ht="15" customHeight="1">
      <c r="A7018" t="inlineStr">
        <is>
          <t>A 61857-2024</t>
        </is>
      </c>
      <c r="B7018" s="1" t="n">
        <v>45649</v>
      </c>
      <c r="C7018" s="1" t="n">
        <v>45952</v>
      </c>
      <c r="D7018" t="inlineStr">
        <is>
          <t>VÄSTRA GÖTALANDS LÄN</t>
        </is>
      </c>
      <c r="E7018" t="inlineStr">
        <is>
          <t>FALKÖPING</t>
        </is>
      </c>
      <c r="G7018" t="n">
        <v>0.8</v>
      </c>
      <c r="H7018" t="n">
        <v>0</v>
      </c>
      <c r="I7018" t="n">
        <v>0</v>
      </c>
      <c r="J7018" t="n">
        <v>0</v>
      </c>
      <c r="K7018" t="n">
        <v>0</v>
      </c>
      <c r="L7018" t="n">
        <v>0</v>
      </c>
      <c r="M7018" t="n">
        <v>0</v>
      </c>
      <c r="N7018" t="n">
        <v>0</v>
      </c>
      <c r="O7018" t="n">
        <v>0</v>
      </c>
      <c r="P7018" t="n">
        <v>0</v>
      </c>
      <c r="Q7018" t="n">
        <v>0</v>
      </c>
      <c r="R7018" s="2" t="inlineStr"/>
    </row>
    <row r="7019" ht="15" customHeight="1">
      <c r="A7019" t="inlineStr">
        <is>
          <t>A 10381-2022</t>
        </is>
      </c>
      <c r="B7019" s="1" t="n">
        <v>44623.41340277778</v>
      </c>
      <c r="C7019" s="1" t="n">
        <v>45952</v>
      </c>
      <c r="D7019" t="inlineStr">
        <is>
          <t>VÄSTRA GÖTALANDS LÄN</t>
        </is>
      </c>
      <c r="E7019" t="inlineStr">
        <is>
          <t>FÄRGELANDA</t>
        </is>
      </c>
      <c r="G7019" t="n">
        <v>1.2</v>
      </c>
      <c r="H7019" t="n">
        <v>0</v>
      </c>
      <c r="I7019" t="n">
        <v>0</v>
      </c>
      <c r="J7019" t="n">
        <v>0</v>
      </c>
      <c r="K7019" t="n">
        <v>0</v>
      </c>
      <c r="L7019" t="n">
        <v>0</v>
      </c>
      <c r="M7019" t="n">
        <v>0</v>
      </c>
      <c r="N7019" t="n">
        <v>0</v>
      </c>
      <c r="O7019" t="n">
        <v>0</v>
      </c>
      <c r="P7019" t="n">
        <v>0</v>
      </c>
      <c r="Q7019" t="n">
        <v>0</v>
      </c>
      <c r="R7019" s="2" t="inlineStr"/>
    </row>
    <row r="7020" ht="15" customHeight="1">
      <c r="A7020" t="inlineStr">
        <is>
          <t>A 43322-2024</t>
        </is>
      </c>
      <c r="B7020" s="1" t="n">
        <v>45568.46953703704</v>
      </c>
      <c r="C7020" s="1" t="n">
        <v>45952</v>
      </c>
      <c r="D7020" t="inlineStr">
        <is>
          <t>VÄSTRA GÖTALANDS LÄN</t>
        </is>
      </c>
      <c r="E7020" t="inlineStr">
        <is>
          <t>MUNKEDAL</t>
        </is>
      </c>
      <c r="G7020" t="n">
        <v>1.9</v>
      </c>
      <c r="H7020" t="n">
        <v>0</v>
      </c>
      <c r="I7020" t="n">
        <v>0</v>
      </c>
      <c r="J7020" t="n">
        <v>0</v>
      </c>
      <c r="K7020" t="n">
        <v>0</v>
      </c>
      <c r="L7020" t="n">
        <v>0</v>
      </c>
      <c r="M7020" t="n">
        <v>0</v>
      </c>
      <c r="N7020" t="n">
        <v>0</v>
      </c>
      <c r="O7020" t="n">
        <v>0</v>
      </c>
      <c r="P7020" t="n">
        <v>0</v>
      </c>
      <c r="Q7020" t="n">
        <v>0</v>
      </c>
      <c r="R7020" s="2" t="inlineStr"/>
    </row>
    <row r="7021" ht="15" customHeight="1">
      <c r="A7021" t="inlineStr">
        <is>
          <t>A 17876-2025</t>
        </is>
      </c>
      <c r="B7021" s="1" t="n">
        <v>45758.64768518518</v>
      </c>
      <c r="C7021" s="1" t="n">
        <v>45952</v>
      </c>
      <c r="D7021" t="inlineStr">
        <is>
          <t>VÄSTRA GÖTALANDS LÄN</t>
        </is>
      </c>
      <c r="E7021" t="inlineStr">
        <is>
          <t>GÖTENE</t>
        </is>
      </c>
      <c r="G7021" t="n">
        <v>4.2</v>
      </c>
      <c r="H7021" t="n">
        <v>0</v>
      </c>
      <c r="I7021" t="n">
        <v>0</v>
      </c>
      <c r="J7021" t="n">
        <v>0</v>
      </c>
      <c r="K7021" t="n">
        <v>0</v>
      </c>
      <c r="L7021" t="n">
        <v>0</v>
      </c>
      <c r="M7021" t="n">
        <v>0</v>
      </c>
      <c r="N7021" t="n">
        <v>0</v>
      </c>
      <c r="O7021" t="n">
        <v>0</v>
      </c>
      <c r="P7021" t="n">
        <v>0</v>
      </c>
      <c r="Q7021" t="n">
        <v>0</v>
      </c>
      <c r="R7021" s="2" t="inlineStr"/>
    </row>
    <row r="7022" ht="15" customHeight="1">
      <c r="A7022" t="inlineStr">
        <is>
          <t>A 16088-2025</t>
        </is>
      </c>
      <c r="B7022" s="1" t="n">
        <v>45749.82921296296</v>
      </c>
      <c r="C7022" s="1" t="n">
        <v>45952</v>
      </c>
      <c r="D7022" t="inlineStr">
        <is>
          <t>VÄSTRA GÖTALANDS LÄN</t>
        </is>
      </c>
      <c r="E7022" t="inlineStr">
        <is>
          <t>ALINGSÅS</t>
        </is>
      </c>
      <c r="G7022" t="n">
        <v>0.6</v>
      </c>
      <c r="H7022" t="n">
        <v>0</v>
      </c>
      <c r="I7022" t="n">
        <v>0</v>
      </c>
      <c r="J7022" t="n">
        <v>0</v>
      </c>
      <c r="K7022" t="n">
        <v>0</v>
      </c>
      <c r="L7022" t="n">
        <v>0</v>
      </c>
      <c r="M7022" t="n">
        <v>0</v>
      </c>
      <c r="N7022" t="n">
        <v>0</v>
      </c>
      <c r="O7022" t="n">
        <v>0</v>
      </c>
      <c r="P7022" t="n">
        <v>0</v>
      </c>
      <c r="Q7022" t="n">
        <v>0</v>
      </c>
      <c r="R7022" s="2" t="inlineStr"/>
    </row>
    <row r="7023" ht="15" customHeight="1">
      <c r="A7023" t="inlineStr">
        <is>
          <t>A 61814-2022</t>
        </is>
      </c>
      <c r="B7023" s="1" t="n">
        <v>44917.57796296296</v>
      </c>
      <c r="C7023" s="1" t="n">
        <v>45952</v>
      </c>
      <c r="D7023" t="inlineStr">
        <is>
          <t>VÄSTRA GÖTALANDS LÄN</t>
        </is>
      </c>
      <c r="E7023" t="inlineStr">
        <is>
          <t>ÅMÅL</t>
        </is>
      </c>
      <c r="G7023" t="n">
        <v>2.7</v>
      </c>
      <c r="H7023" t="n">
        <v>0</v>
      </c>
      <c r="I7023" t="n">
        <v>0</v>
      </c>
      <c r="J7023" t="n">
        <v>0</v>
      </c>
      <c r="K7023" t="n">
        <v>0</v>
      </c>
      <c r="L7023" t="n">
        <v>0</v>
      </c>
      <c r="M7023" t="n">
        <v>0</v>
      </c>
      <c r="N7023" t="n">
        <v>0</v>
      </c>
      <c r="O7023" t="n">
        <v>0</v>
      </c>
      <c r="P7023" t="n">
        <v>0</v>
      </c>
      <c r="Q7023" t="n">
        <v>0</v>
      </c>
      <c r="R7023" s="2" t="inlineStr"/>
    </row>
    <row r="7024" ht="15" customHeight="1">
      <c r="A7024" t="inlineStr">
        <is>
          <t>A 40027-2024</t>
        </is>
      </c>
      <c r="B7024" s="1" t="n">
        <v>45553.68471064815</v>
      </c>
      <c r="C7024" s="1" t="n">
        <v>45952</v>
      </c>
      <c r="D7024" t="inlineStr">
        <is>
          <t>VÄSTRA GÖTALANDS LÄN</t>
        </is>
      </c>
      <c r="E7024" t="inlineStr">
        <is>
          <t>UDDEVALLA</t>
        </is>
      </c>
      <c r="G7024" t="n">
        <v>2.3</v>
      </c>
      <c r="H7024" t="n">
        <v>0</v>
      </c>
      <c r="I7024" t="n">
        <v>0</v>
      </c>
      <c r="J7024" t="n">
        <v>0</v>
      </c>
      <c r="K7024" t="n">
        <v>0</v>
      </c>
      <c r="L7024" t="n">
        <v>0</v>
      </c>
      <c r="M7024" t="n">
        <v>0</v>
      </c>
      <c r="N7024" t="n">
        <v>0</v>
      </c>
      <c r="O7024" t="n">
        <v>0</v>
      </c>
      <c r="P7024" t="n">
        <v>0</v>
      </c>
      <c r="Q7024" t="n">
        <v>0</v>
      </c>
      <c r="R7024" s="2" t="inlineStr"/>
    </row>
    <row r="7025" ht="15" customHeight="1">
      <c r="A7025" t="inlineStr">
        <is>
          <t>A 69446-2021</t>
        </is>
      </c>
      <c r="B7025" s="1" t="n">
        <v>44531</v>
      </c>
      <c r="C7025" s="1" t="n">
        <v>45952</v>
      </c>
      <c r="D7025" t="inlineStr">
        <is>
          <t>VÄSTRA GÖTALANDS LÄN</t>
        </is>
      </c>
      <c r="E7025" t="inlineStr">
        <is>
          <t>TIDAHOLM</t>
        </is>
      </c>
      <c r="F7025" t="inlineStr">
        <is>
          <t>Kyrkan</t>
        </is>
      </c>
      <c r="G7025" t="n">
        <v>8.800000000000001</v>
      </c>
      <c r="H7025" t="n">
        <v>0</v>
      </c>
      <c r="I7025" t="n">
        <v>0</v>
      </c>
      <c r="J7025" t="n">
        <v>0</v>
      </c>
      <c r="K7025" t="n">
        <v>0</v>
      </c>
      <c r="L7025" t="n">
        <v>0</v>
      </c>
      <c r="M7025" t="n">
        <v>0</v>
      </c>
      <c r="N7025" t="n">
        <v>0</v>
      </c>
      <c r="O7025" t="n">
        <v>0</v>
      </c>
      <c r="P7025" t="n">
        <v>0</v>
      </c>
      <c r="Q7025" t="n">
        <v>0</v>
      </c>
      <c r="R7025" s="2" t="inlineStr"/>
    </row>
    <row r="7026" ht="15" customHeight="1">
      <c r="A7026" t="inlineStr">
        <is>
          <t>A 509-2025</t>
        </is>
      </c>
      <c r="B7026" s="1" t="n">
        <v>45664.47153935185</v>
      </c>
      <c r="C7026" s="1" t="n">
        <v>45952</v>
      </c>
      <c r="D7026" t="inlineStr">
        <is>
          <t>VÄSTRA GÖTALANDS LÄN</t>
        </is>
      </c>
      <c r="E7026" t="inlineStr">
        <is>
          <t>MELLERUD</t>
        </is>
      </c>
      <c r="G7026" t="n">
        <v>0.8</v>
      </c>
      <c r="H7026" t="n">
        <v>0</v>
      </c>
      <c r="I7026" t="n">
        <v>0</v>
      </c>
      <c r="J7026" t="n">
        <v>0</v>
      </c>
      <c r="K7026" t="n">
        <v>0</v>
      </c>
      <c r="L7026" t="n">
        <v>0</v>
      </c>
      <c r="M7026" t="n">
        <v>0</v>
      </c>
      <c r="N7026" t="n">
        <v>0</v>
      </c>
      <c r="O7026" t="n">
        <v>0</v>
      </c>
      <c r="P7026" t="n">
        <v>0</v>
      </c>
      <c r="Q7026" t="n">
        <v>0</v>
      </c>
      <c r="R7026" s="2" t="inlineStr"/>
    </row>
    <row r="7027" ht="15" customHeight="1">
      <c r="A7027" t="inlineStr">
        <is>
          <t>A 35956-2024</t>
        </is>
      </c>
      <c r="B7027" s="1" t="n">
        <v>45533.47017361111</v>
      </c>
      <c r="C7027" s="1" t="n">
        <v>45952</v>
      </c>
      <c r="D7027" t="inlineStr">
        <is>
          <t>VÄSTRA GÖTALANDS LÄN</t>
        </is>
      </c>
      <c r="E7027" t="inlineStr">
        <is>
          <t>TIDAHOLM</t>
        </is>
      </c>
      <c r="G7027" t="n">
        <v>4.1</v>
      </c>
      <c r="H7027" t="n">
        <v>0</v>
      </c>
      <c r="I7027" t="n">
        <v>0</v>
      </c>
      <c r="J7027" t="n">
        <v>0</v>
      </c>
      <c r="K7027" t="n">
        <v>0</v>
      </c>
      <c r="L7027" t="n">
        <v>0</v>
      </c>
      <c r="M7027" t="n">
        <v>0</v>
      </c>
      <c r="N7027" t="n">
        <v>0</v>
      </c>
      <c r="O7027" t="n">
        <v>0</v>
      </c>
      <c r="P7027" t="n">
        <v>0</v>
      </c>
      <c r="Q7027" t="n">
        <v>0</v>
      </c>
      <c r="R7027" s="2" t="inlineStr"/>
    </row>
    <row r="7028" ht="15" customHeight="1">
      <c r="A7028" t="inlineStr">
        <is>
          <t>A 11739-2025</t>
        </is>
      </c>
      <c r="B7028" s="1" t="n">
        <v>45727.62487268518</v>
      </c>
      <c r="C7028" s="1" t="n">
        <v>45952</v>
      </c>
      <c r="D7028" t="inlineStr">
        <is>
          <t>VÄSTRA GÖTALANDS LÄN</t>
        </is>
      </c>
      <c r="E7028" t="inlineStr">
        <is>
          <t>BENGTSFORS</t>
        </is>
      </c>
      <c r="G7028" t="n">
        <v>1</v>
      </c>
      <c r="H7028" t="n">
        <v>0</v>
      </c>
      <c r="I7028" t="n">
        <v>0</v>
      </c>
      <c r="J7028" t="n">
        <v>0</v>
      </c>
      <c r="K7028" t="n">
        <v>0</v>
      </c>
      <c r="L7028" t="n">
        <v>0</v>
      </c>
      <c r="M7028" t="n">
        <v>0</v>
      </c>
      <c r="N7028" t="n">
        <v>0</v>
      </c>
      <c r="O7028" t="n">
        <v>0</v>
      </c>
      <c r="P7028" t="n">
        <v>0</v>
      </c>
      <c r="Q7028" t="n">
        <v>0</v>
      </c>
      <c r="R7028" s="2" t="inlineStr"/>
    </row>
    <row r="7029" ht="15" customHeight="1">
      <c r="A7029" t="inlineStr">
        <is>
          <t>A 12573-2025</t>
        </is>
      </c>
      <c r="B7029" s="1" t="n">
        <v>45732.35451388889</v>
      </c>
      <c r="C7029" s="1" t="n">
        <v>45952</v>
      </c>
      <c r="D7029" t="inlineStr">
        <is>
          <t>VÄSTRA GÖTALANDS LÄN</t>
        </is>
      </c>
      <c r="E7029" t="inlineStr">
        <is>
          <t>BENGTSFORS</t>
        </is>
      </c>
      <c r="G7029" t="n">
        <v>2.2</v>
      </c>
      <c r="H7029" t="n">
        <v>0</v>
      </c>
      <c r="I7029" t="n">
        <v>0</v>
      </c>
      <c r="J7029" t="n">
        <v>0</v>
      </c>
      <c r="K7029" t="n">
        <v>0</v>
      </c>
      <c r="L7029" t="n">
        <v>0</v>
      </c>
      <c r="M7029" t="n">
        <v>0</v>
      </c>
      <c r="N7029" t="n">
        <v>0</v>
      </c>
      <c r="O7029" t="n">
        <v>0</v>
      </c>
      <c r="P7029" t="n">
        <v>0</v>
      </c>
      <c r="Q7029" t="n">
        <v>0</v>
      </c>
      <c r="R7029" s="2" t="inlineStr"/>
    </row>
    <row r="7030" ht="15" customHeight="1">
      <c r="A7030" t="inlineStr">
        <is>
          <t>A 32314-2021</t>
        </is>
      </c>
      <c r="B7030" s="1" t="n">
        <v>44371.53730324074</v>
      </c>
      <c r="C7030" s="1" t="n">
        <v>45952</v>
      </c>
      <c r="D7030" t="inlineStr">
        <is>
          <t>VÄSTRA GÖTALANDS LÄN</t>
        </is>
      </c>
      <c r="E7030" t="inlineStr">
        <is>
          <t>KARLSBORG</t>
        </is>
      </c>
      <c r="G7030" t="n">
        <v>0.9</v>
      </c>
      <c r="H7030" t="n">
        <v>0</v>
      </c>
      <c r="I7030" t="n">
        <v>0</v>
      </c>
      <c r="J7030" t="n">
        <v>0</v>
      </c>
      <c r="K7030" t="n">
        <v>0</v>
      </c>
      <c r="L7030" t="n">
        <v>0</v>
      </c>
      <c r="M7030" t="n">
        <v>0</v>
      </c>
      <c r="N7030" t="n">
        <v>0</v>
      </c>
      <c r="O7030" t="n">
        <v>0</v>
      </c>
      <c r="P7030" t="n">
        <v>0</v>
      </c>
      <c r="Q7030" t="n">
        <v>0</v>
      </c>
      <c r="R7030" s="2" t="inlineStr"/>
    </row>
    <row r="7031" ht="15" customHeight="1">
      <c r="A7031" t="inlineStr">
        <is>
          <t>A 20260-2021</t>
        </is>
      </c>
      <c r="B7031" s="1" t="n">
        <v>44314</v>
      </c>
      <c r="C7031" s="1" t="n">
        <v>45952</v>
      </c>
      <c r="D7031" t="inlineStr">
        <is>
          <t>VÄSTRA GÖTALANDS LÄN</t>
        </is>
      </c>
      <c r="E7031" t="inlineStr">
        <is>
          <t>VÅRGÅRDA</t>
        </is>
      </c>
      <c r="F7031" t="inlineStr">
        <is>
          <t>Kyrkan</t>
        </is>
      </c>
      <c r="G7031" t="n">
        <v>1.1</v>
      </c>
      <c r="H7031" t="n">
        <v>0</v>
      </c>
      <c r="I7031" t="n">
        <v>0</v>
      </c>
      <c r="J7031" t="n">
        <v>0</v>
      </c>
      <c r="K7031" t="n">
        <v>0</v>
      </c>
      <c r="L7031" t="n">
        <v>0</v>
      </c>
      <c r="M7031" t="n">
        <v>0</v>
      </c>
      <c r="N7031" t="n">
        <v>0</v>
      </c>
      <c r="O7031" t="n">
        <v>0</v>
      </c>
      <c r="P7031" t="n">
        <v>0</v>
      </c>
      <c r="Q7031" t="n">
        <v>0</v>
      </c>
      <c r="R7031" s="2" t="inlineStr"/>
    </row>
    <row r="7032" ht="15" customHeight="1">
      <c r="A7032" t="inlineStr">
        <is>
          <t>A 43870-2024</t>
        </is>
      </c>
      <c r="B7032" s="1" t="n">
        <v>45569</v>
      </c>
      <c r="C7032" s="1" t="n">
        <v>45952</v>
      </c>
      <c r="D7032" t="inlineStr">
        <is>
          <t>VÄSTRA GÖTALANDS LÄN</t>
        </is>
      </c>
      <c r="E7032" t="inlineStr">
        <is>
          <t>BENGTSFORS</t>
        </is>
      </c>
      <c r="G7032" t="n">
        <v>3.6</v>
      </c>
      <c r="H7032" t="n">
        <v>0</v>
      </c>
      <c r="I7032" t="n">
        <v>0</v>
      </c>
      <c r="J7032" t="n">
        <v>0</v>
      </c>
      <c r="K7032" t="n">
        <v>0</v>
      </c>
      <c r="L7032" t="n">
        <v>0</v>
      </c>
      <c r="M7032" t="n">
        <v>0</v>
      </c>
      <c r="N7032" t="n">
        <v>0</v>
      </c>
      <c r="O7032" t="n">
        <v>0</v>
      </c>
      <c r="P7032" t="n">
        <v>0</v>
      </c>
      <c r="Q7032" t="n">
        <v>0</v>
      </c>
      <c r="R7032" s="2" t="inlineStr"/>
    </row>
    <row r="7033" ht="15" customHeight="1">
      <c r="A7033" t="inlineStr">
        <is>
          <t>A 12878-2024</t>
        </is>
      </c>
      <c r="B7033" s="1" t="n">
        <v>45385.32833333333</v>
      </c>
      <c r="C7033" s="1" t="n">
        <v>45952</v>
      </c>
      <c r="D7033" t="inlineStr">
        <is>
          <t>VÄSTRA GÖTALANDS LÄN</t>
        </is>
      </c>
      <c r="E7033" t="inlineStr">
        <is>
          <t>BENGTSFORS</t>
        </is>
      </c>
      <c r="F7033" t="inlineStr">
        <is>
          <t>Övriga Aktiebolag</t>
        </is>
      </c>
      <c r="G7033" t="n">
        <v>2.1</v>
      </c>
      <c r="H7033" t="n">
        <v>0</v>
      </c>
      <c r="I7033" t="n">
        <v>0</v>
      </c>
      <c r="J7033" t="n">
        <v>0</v>
      </c>
      <c r="K7033" t="n">
        <v>0</v>
      </c>
      <c r="L7033" t="n">
        <v>0</v>
      </c>
      <c r="M7033" t="n">
        <v>0</v>
      </c>
      <c r="N7033" t="n">
        <v>0</v>
      </c>
      <c r="O7033" t="n">
        <v>0</v>
      </c>
      <c r="P7033" t="n">
        <v>0</v>
      </c>
      <c r="Q7033" t="n">
        <v>0</v>
      </c>
      <c r="R7033" s="2" t="inlineStr"/>
    </row>
    <row r="7034" ht="15" customHeight="1">
      <c r="A7034" t="inlineStr">
        <is>
          <t>A 62569-2022</t>
        </is>
      </c>
      <c r="B7034" s="1" t="n">
        <v>44924</v>
      </c>
      <c r="C7034" s="1" t="n">
        <v>45952</v>
      </c>
      <c r="D7034" t="inlineStr">
        <is>
          <t>VÄSTRA GÖTALANDS LÄN</t>
        </is>
      </c>
      <c r="E7034" t="inlineStr">
        <is>
          <t>LIDKÖPING</t>
        </is>
      </c>
      <c r="G7034" t="n">
        <v>0.9</v>
      </c>
      <c r="H7034" t="n">
        <v>0</v>
      </c>
      <c r="I7034" t="n">
        <v>0</v>
      </c>
      <c r="J7034" t="n">
        <v>0</v>
      </c>
      <c r="K7034" t="n">
        <v>0</v>
      </c>
      <c r="L7034" t="n">
        <v>0</v>
      </c>
      <c r="M7034" t="n">
        <v>0</v>
      </c>
      <c r="N7034" t="n">
        <v>0</v>
      </c>
      <c r="O7034" t="n">
        <v>0</v>
      </c>
      <c r="P7034" t="n">
        <v>0</v>
      </c>
      <c r="Q7034" t="n">
        <v>0</v>
      </c>
      <c r="R7034" s="2" t="inlineStr"/>
    </row>
    <row r="7035" ht="15" customHeight="1">
      <c r="A7035" t="inlineStr">
        <is>
          <t>A 63372-2020</t>
        </is>
      </c>
      <c r="B7035" s="1" t="n">
        <v>44165</v>
      </c>
      <c r="C7035" s="1" t="n">
        <v>45952</v>
      </c>
      <c r="D7035" t="inlineStr">
        <is>
          <t>VÄSTRA GÖTALANDS LÄN</t>
        </is>
      </c>
      <c r="E7035" t="inlineStr">
        <is>
          <t>SVENLJUNGA</t>
        </is>
      </c>
      <c r="G7035" t="n">
        <v>0.5</v>
      </c>
      <c r="H7035" t="n">
        <v>0</v>
      </c>
      <c r="I7035" t="n">
        <v>0</v>
      </c>
      <c r="J7035" t="n">
        <v>0</v>
      </c>
      <c r="K7035" t="n">
        <v>0</v>
      </c>
      <c r="L7035" t="n">
        <v>0</v>
      </c>
      <c r="M7035" t="n">
        <v>0</v>
      </c>
      <c r="N7035" t="n">
        <v>0</v>
      </c>
      <c r="O7035" t="n">
        <v>0</v>
      </c>
      <c r="P7035" t="n">
        <v>0</v>
      </c>
      <c r="Q7035" t="n">
        <v>0</v>
      </c>
      <c r="R7035" s="2" t="inlineStr"/>
    </row>
    <row r="7036" ht="15" customHeight="1">
      <c r="A7036" t="inlineStr">
        <is>
          <t>A 63460-2020</t>
        </is>
      </c>
      <c r="B7036" s="1" t="n">
        <v>44161</v>
      </c>
      <c r="C7036" s="1" t="n">
        <v>45952</v>
      </c>
      <c r="D7036" t="inlineStr">
        <is>
          <t>VÄSTRA GÖTALANDS LÄN</t>
        </is>
      </c>
      <c r="E7036" t="inlineStr">
        <is>
          <t>ÅMÅL</t>
        </is>
      </c>
      <c r="G7036" t="n">
        <v>2.1</v>
      </c>
      <c r="H7036" t="n">
        <v>0</v>
      </c>
      <c r="I7036" t="n">
        <v>0</v>
      </c>
      <c r="J7036" t="n">
        <v>0</v>
      </c>
      <c r="K7036" t="n">
        <v>0</v>
      </c>
      <c r="L7036" t="n">
        <v>0</v>
      </c>
      <c r="M7036" t="n">
        <v>0</v>
      </c>
      <c r="N7036" t="n">
        <v>0</v>
      </c>
      <c r="O7036" t="n">
        <v>0</v>
      </c>
      <c r="P7036" t="n">
        <v>0</v>
      </c>
      <c r="Q7036" t="n">
        <v>0</v>
      </c>
      <c r="R7036" s="2" t="inlineStr"/>
    </row>
    <row r="7037" ht="15" customHeight="1">
      <c r="A7037" t="inlineStr">
        <is>
          <t>A 37917-2024</t>
        </is>
      </c>
      <c r="B7037" s="1" t="n">
        <v>45544.47037037037</v>
      </c>
      <c r="C7037" s="1" t="n">
        <v>45952</v>
      </c>
      <c r="D7037" t="inlineStr">
        <is>
          <t>VÄSTRA GÖTALANDS LÄN</t>
        </is>
      </c>
      <c r="E7037" t="inlineStr">
        <is>
          <t>MARIESTAD</t>
        </is>
      </c>
      <c r="G7037" t="n">
        <v>1.3</v>
      </c>
      <c r="H7037" t="n">
        <v>0</v>
      </c>
      <c r="I7037" t="n">
        <v>0</v>
      </c>
      <c r="J7037" t="n">
        <v>0</v>
      </c>
      <c r="K7037" t="n">
        <v>0</v>
      </c>
      <c r="L7037" t="n">
        <v>0</v>
      </c>
      <c r="M7037" t="n">
        <v>0</v>
      </c>
      <c r="N7037" t="n">
        <v>0</v>
      </c>
      <c r="O7037" t="n">
        <v>0</v>
      </c>
      <c r="P7037" t="n">
        <v>0</v>
      </c>
      <c r="Q7037" t="n">
        <v>0</v>
      </c>
      <c r="R7037" s="2" t="inlineStr"/>
    </row>
    <row r="7038" ht="15" customHeight="1">
      <c r="A7038" t="inlineStr">
        <is>
          <t>A 6258-2024</t>
        </is>
      </c>
      <c r="B7038" s="1" t="n">
        <v>45337.77947916667</v>
      </c>
      <c r="C7038" s="1" t="n">
        <v>45952</v>
      </c>
      <c r="D7038" t="inlineStr">
        <is>
          <t>VÄSTRA GÖTALANDS LÄN</t>
        </is>
      </c>
      <c r="E7038" t="inlineStr">
        <is>
          <t>MÖLNDAL</t>
        </is>
      </c>
      <c r="G7038" t="n">
        <v>1.4</v>
      </c>
      <c r="H7038" t="n">
        <v>0</v>
      </c>
      <c r="I7038" t="n">
        <v>0</v>
      </c>
      <c r="J7038" t="n">
        <v>0</v>
      </c>
      <c r="K7038" t="n">
        <v>0</v>
      </c>
      <c r="L7038" t="n">
        <v>0</v>
      </c>
      <c r="M7038" t="n">
        <v>0</v>
      </c>
      <c r="N7038" t="n">
        <v>0</v>
      </c>
      <c r="O7038" t="n">
        <v>0</v>
      </c>
      <c r="P7038" t="n">
        <v>0</v>
      </c>
      <c r="Q7038" t="n">
        <v>0</v>
      </c>
      <c r="R7038" s="2" t="inlineStr"/>
    </row>
    <row r="7039" ht="15" customHeight="1">
      <c r="A7039" t="inlineStr">
        <is>
          <t>A 37953-2024</t>
        </is>
      </c>
      <c r="B7039" s="1" t="n">
        <v>45544.52134259259</v>
      </c>
      <c r="C7039" s="1" t="n">
        <v>45952</v>
      </c>
      <c r="D7039" t="inlineStr">
        <is>
          <t>VÄSTRA GÖTALANDS LÄN</t>
        </is>
      </c>
      <c r="E7039" t="inlineStr">
        <is>
          <t>TANUM</t>
        </is>
      </c>
      <c r="G7039" t="n">
        <v>3.8</v>
      </c>
      <c r="H7039" t="n">
        <v>0</v>
      </c>
      <c r="I7039" t="n">
        <v>0</v>
      </c>
      <c r="J7039" t="n">
        <v>0</v>
      </c>
      <c r="K7039" t="n">
        <v>0</v>
      </c>
      <c r="L7039" t="n">
        <v>0</v>
      </c>
      <c r="M7039" t="n">
        <v>0</v>
      </c>
      <c r="N7039" t="n">
        <v>0</v>
      </c>
      <c r="O7039" t="n">
        <v>0</v>
      </c>
      <c r="P7039" t="n">
        <v>0</v>
      </c>
      <c r="Q7039" t="n">
        <v>0</v>
      </c>
      <c r="R7039" s="2" t="inlineStr"/>
    </row>
    <row r="7040" ht="15" customHeight="1">
      <c r="A7040" t="inlineStr">
        <is>
          <t>A 51825-2022</t>
        </is>
      </c>
      <c r="B7040" s="1" t="n">
        <v>44872</v>
      </c>
      <c r="C7040" s="1" t="n">
        <v>45952</v>
      </c>
      <c r="D7040" t="inlineStr">
        <is>
          <t>VÄSTRA GÖTALANDS LÄN</t>
        </is>
      </c>
      <c r="E7040" t="inlineStr">
        <is>
          <t>TANUM</t>
        </is>
      </c>
      <c r="G7040" t="n">
        <v>2.9</v>
      </c>
      <c r="H7040" t="n">
        <v>0</v>
      </c>
      <c r="I7040" t="n">
        <v>0</v>
      </c>
      <c r="J7040" t="n">
        <v>0</v>
      </c>
      <c r="K7040" t="n">
        <v>0</v>
      </c>
      <c r="L7040" t="n">
        <v>0</v>
      </c>
      <c r="M7040" t="n">
        <v>0</v>
      </c>
      <c r="N7040" t="n">
        <v>0</v>
      </c>
      <c r="O7040" t="n">
        <v>0</v>
      </c>
      <c r="P7040" t="n">
        <v>0</v>
      </c>
      <c r="Q7040" t="n">
        <v>0</v>
      </c>
      <c r="R7040" s="2" t="inlineStr"/>
    </row>
    <row r="7041" ht="15" customHeight="1">
      <c r="A7041" t="inlineStr">
        <is>
          <t>A 55584-2020</t>
        </is>
      </c>
      <c r="B7041" s="1" t="n">
        <v>44131</v>
      </c>
      <c r="C7041" s="1" t="n">
        <v>45952</v>
      </c>
      <c r="D7041" t="inlineStr">
        <is>
          <t>VÄSTRA GÖTALANDS LÄN</t>
        </is>
      </c>
      <c r="E7041" t="inlineStr">
        <is>
          <t>TIDAHOLM</t>
        </is>
      </c>
      <c r="G7041" t="n">
        <v>1</v>
      </c>
      <c r="H7041" t="n">
        <v>0</v>
      </c>
      <c r="I7041" t="n">
        <v>0</v>
      </c>
      <c r="J7041" t="n">
        <v>0</v>
      </c>
      <c r="K7041" t="n">
        <v>0</v>
      </c>
      <c r="L7041" t="n">
        <v>0</v>
      </c>
      <c r="M7041" t="n">
        <v>0</v>
      </c>
      <c r="N7041" t="n">
        <v>0</v>
      </c>
      <c r="O7041" t="n">
        <v>0</v>
      </c>
      <c r="P7041" t="n">
        <v>0</v>
      </c>
      <c r="Q7041" t="n">
        <v>0</v>
      </c>
      <c r="R7041" s="2" t="inlineStr"/>
    </row>
    <row r="7042" ht="15" customHeight="1">
      <c r="A7042" t="inlineStr">
        <is>
          <t>A 42435-2023</t>
        </is>
      </c>
      <c r="B7042" s="1" t="n">
        <v>45180.63178240741</v>
      </c>
      <c r="C7042" s="1" t="n">
        <v>45952</v>
      </c>
      <c r="D7042" t="inlineStr">
        <is>
          <t>VÄSTRA GÖTALANDS LÄN</t>
        </is>
      </c>
      <c r="E7042" t="inlineStr">
        <is>
          <t>BORÅS</t>
        </is>
      </c>
      <c r="G7042" t="n">
        <v>2.2</v>
      </c>
      <c r="H7042" t="n">
        <v>0</v>
      </c>
      <c r="I7042" t="n">
        <v>0</v>
      </c>
      <c r="J7042" t="n">
        <v>0</v>
      </c>
      <c r="K7042" t="n">
        <v>0</v>
      </c>
      <c r="L7042" t="n">
        <v>0</v>
      </c>
      <c r="M7042" t="n">
        <v>0</v>
      </c>
      <c r="N7042" t="n">
        <v>0</v>
      </c>
      <c r="O7042" t="n">
        <v>0</v>
      </c>
      <c r="P7042" t="n">
        <v>0</v>
      </c>
      <c r="Q7042" t="n">
        <v>0</v>
      </c>
      <c r="R7042" s="2" t="inlineStr"/>
    </row>
    <row r="7043" ht="15" customHeight="1">
      <c r="A7043" t="inlineStr">
        <is>
          <t>A 42483-2023</t>
        </is>
      </c>
      <c r="B7043" s="1" t="n">
        <v>45180.82547453704</v>
      </c>
      <c r="C7043" s="1" t="n">
        <v>45952</v>
      </c>
      <c r="D7043" t="inlineStr">
        <is>
          <t>VÄSTRA GÖTALANDS LÄN</t>
        </is>
      </c>
      <c r="E7043" t="inlineStr">
        <is>
          <t>BOLLEBYGD</t>
        </is>
      </c>
      <c r="G7043" t="n">
        <v>1</v>
      </c>
      <c r="H7043" t="n">
        <v>0</v>
      </c>
      <c r="I7043" t="n">
        <v>0</v>
      </c>
      <c r="J7043" t="n">
        <v>0</v>
      </c>
      <c r="K7043" t="n">
        <v>0</v>
      </c>
      <c r="L7043" t="n">
        <v>0</v>
      </c>
      <c r="M7043" t="n">
        <v>0</v>
      </c>
      <c r="N7043" t="n">
        <v>0</v>
      </c>
      <c r="O7043" t="n">
        <v>0</v>
      </c>
      <c r="P7043" t="n">
        <v>0</v>
      </c>
      <c r="Q7043" t="n">
        <v>0</v>
      </c>
      <c r="R7043" s="2" t="inlineStr"/>
    </row>
    <row r="7044" ht="15" customHeight="1">
      <c r="A7044" t="inlineStr">
        <is>
          <t>A 32797-2023</t>
        </is>
      </c>
      <c r="B7044" s="1" t="n">
        <v>45124.4128587963</v>
      </c>
      <c r="C7044" s="1" t="n">
        <v>45952</v>
      </c>
      <c r="D7044" t="inlineStr">
        <is>
          <t>VÄSTRA GÖTALANDS LÄN</t>
        </is>
      </c>
      <c r="E7044" t="inlineStr">
        <is>
          <t>DALS-ED</t>
        </is>
      </c>
      <c r="G7044" t="n">
        <v>2.7</v>
      </c>
      <c r="H7044" t="n">
        <v>0</v>
      </c>
      <c r="I7044" t="n">
        <v>0</v>
      </c>
      <c r="J7044" t="n">
        <v>0</v>
      </c>
      <c r="K7044" t="n">
        <v>0</v>
      </c>
      <c r="L7044" t="n">
        <v>0</v>
      </c>
      <c r="M7044" t="n">
        <v>0</v>
      </c>
      <c r="N7044" t="n">
        <v>0</v>
      </c>
      <c r="O7044" t="n">
        <v>0</v>
      </c>
      <c r="P7044" t="n">
        <v>0</v>
      </c>
      <c r="Q7044" t="n">
        <v>0</v>
      </c>
      <c r="R7044" s="2" t="inlineStr"/>
    </row>
    <row r="7045" ht="15" customHeight="1">
      <c r="A7045" t="inlineStr">
        <is>
          <t>A 7346-2023</t>
        </is>
      </c>
      <c r="B7045" s="1" t="n">
        <v>44971</v>
      </c>
      <c r="C7045" s="1" t="n">
        <v>45952</v>
      </c>
      <c r="D7045" t="inlineStr">
        <is>
          <t>VÄSTRA GÖTALANDS LÄN</t>
        </is>
      </c>
      <c r="E7045" t="inlineStr">
        <is>
          <t>ULRICEHAMN</t>
        </is>
      </c>
      <c r="G7045" t="n">
        <v>1.8</v>
      </c>
      <c r="H7045" t="n">
        <v>0</v>
      </c>
      <c r="I7045" t="n">
        <v>0</v>
      </c>
      <c r="J7045" t="n">
        <v>0</v>
      </c>
      <c r="K7045" t="n">
        <v>0</v>
      </c>
      <c r="L7045" t="n">
        <v>0</v>
      </c>
      <c r="M7045" t="n">
        <v>0</v>
      </c>
      <c r="N7045" t="n">
        <v>0</v>
      </c>
      <c r="O7045" t="n">
        <v>0</v>
      </c>
      <c r="P7045" t="n">
        <v>0</v>
      </c>
      <c r="Q7045" t="n">
        <v>0</v>
      </c>
      <c r="R7045" s="2" t="inlineStr"/>
    </row>
    <row r="7046" ht="15" customHeight="1">
      <c r="A7046" t="inlineStr">
        <is>
          <t>A 49164-2024</t>
        </is>
      </c>
      <c r="B7046" s="1" t="n">
        <v>45594.92625</v>
      </c>
      <c r="C7046" s="1" t="n">
        <v>45952</v>
      </c>
      <c r="D7046" t="inlineStr">
        <is>
          <t>VÄSTRA GÖTALANDS LÄN</t>
        </is>
      </c>
      <c r="E7046" t="inlineStr">
        <is>
          <t>ALINGSÅS</t>
        </is>
      </c>
      <c r="G7046" t="n">
        <v>0.6</v>
      </c>
      <c r="H7046" t="n">
        <v>0</v>
      </c>
      <c r="I7046" t="n">
        <v>0</v>
      </c>
      <c r="J7046" t="n">
        <v>0</v>
      </c>
      <c r="K7046" t="n">
        <v>0</v>
      </c>
      <c r="L7046" t="n">
        <v>0</v>
      </c>
      <c r="M7046" t="n">
        <v>0</v>
      </c>
      <c r="N7046" t="n">
        <v>0</v>
      </c>
      <c r="O7046" t="n">
        <v>0</v>
      </c>
      <c r="P7046" t="n">
        <v>0</v>
      </c>
      <c r="Q7046" t="n">
        <v>0</v>
      </c>
      <c r="R7046" s="2" t="inlineStr"/>
    </row>
    <row r="7047" ht="15" customHeight="1">
      <c r="A7047" t="inlineStr">
        <is>
          <t>A 990-2021</t>
        </is>
      </c>
      <c r="B7047" s="1" t="n">
        <v>44206</v>
      </c>
      <c r="C7047" s="1" t="n">
        <v>45952</v>
      </c>
      <c r="D7047" t="inlineStr">
        <is>
          <t>VÄSTRA GÖTALANDS LÄN</t>
        </is>
      </c>
      <c r="E7047" t="inlineStr">
        <is>
          <t>ULRICEHAMN</t>
        </is>
      </c>
      <c r="G7047" t="n">
        <v>0.8</v>
      </c>
      <c r="H7047" t="n">
        <v>0</v>
      </c>
      <c r="I7047" t="n">
        <v>0</v>
      </c>
      <c r="J7047" t="n">
        <v>0</v>
      </c>
      <c r="K7047" t="n">
        <v>0</v>
      </c>
      <c r="L7047" t="n">
        <v>0</v>
      </c>
      <c r="M7047" t="n">
        <v>0</v>
      </c>
      <c r="N7047" t="n">
        <v>0</v>
      </c>
      <c r="O7047" t="n">
        <v>0</v>
      </c>
      <c r="P7047" t="n">
        <v>0</v>
      </c>
      <c r="Q7047" t="n">
        <v>0</v>
      </c>
      <c r="R7047" s="2" t="inlineStr"/>
    </row>
    <row r="7048" ht="15" customHeight="1">
      <c r="A7048" t="inlineStr">
        <is>
          <t>A 992-2021</t>
        </is>
      </c>
      <c r="B7048" s="1" t="n">
        <v>44206</v>
      </c>
      <c r="C7048" s="1" t="n">
        <v>45952</v>
      </c>
      <c r="D7048" t="inlineStr">
        <is>
          <t>VÄSTRA GÖTALANDS LÄN</t>
        </is>
      </c>
      <c r="E7048" t="inlineStr">
        <is>
          <t>ULRICEHAMN</t>
        </is>
      </c>
      <c r="G7048" t="n">
        <v>2</v>
      </c>
      <c r="H7048" t="n">
        <v>0</v>
      </c>
      <c r="I7048" t="n">
        <v>0</v>
      </c>
      <c r="J7048" t="n">
        <v>0</v>
      </c>
      <c r="K7048" t="n">
        <v>0</v>
      </c>
      <c r="L7048" t="n">
        <v>0</v>
      </c>
      <c r="M7048" t="n">
        <v>0</v>
      </c>
      <c r="N7048" t="n">
        <v>0</v>
      </c>
      <c r="O7048" t="n">
        <v>0</v>
      </c>
      <c r="P7048" t="n">
        <v>0</v>
      </c>
      <c r="Q7048" t="n">
        <v>0</v>
      </c>
      <c r="R7048" s="2" t="inlineStr"/>
    </row>
    <row r="7049" ht="15" customHeight="1">
      <c r="A7049" t="inlineStr">
        <is>
          <t>A 48496-2024</t>
        </is>
      </c>
      <c r="B7049" s="1" t="n">
        <v>45592.77157407408</v>
      </c>
      <c r="C7049" s="1" t="n">
        <v>45952</v>
      </c>
      <c r="D7049" t="inlineStr">
        <is>
          <t>VÄSTRA GÖTALANDS LÄN</t>
        </is>
      </c>
      <c r="E7049" t="inlineStr">
        <is>
          <t>VÄNERSBORG</t>
        </is>
      </c>
      <c r="G7049" t="n">
        <v>0.9</v>
      </c>
      <c r="H7049" t="n">
        <v>0</v>
      </c>
      <c r="I7049" t="n">
        <v>0</v>
      </c>
      <c r="J7049" t="n">
        <v>0</v>
      </c>
      <c r="K7049" t="n">
        <v>0</v>
      </c>
      <c r="L7049" t="n">
        <v>0</v>
      </c>
      <c r="M7049" t="n">
        <v>0</v>
      </c>
      <c r="N7049" t="n">
        <v>0</v>
      </c>
      <c r="O7049" t="n">
        <v>0</v>
      </c>
      <c r="P7049" t="n">
        <v>0</v>
      </c>
      <c r="Q7049" t="n">
        <v>0</v>
      </c>
      <c r="R7049" s="2" t="inlineStr"/>
    </row>
    <row r="7050" ht="15" customHeight="1">
      <c r="A7050" t="inlineStr">
        <is>
          <t>A 49595-2023</t>
        </is>
      </c>
      <c r="B7050" s="1" t="n">
        <v>45211.69251157407</v>
      </c>
      <c r="C7050" s="1" t="n">
        <v>45952</v>
      </c>
      <c r="D7050" t="inlineStr">
        <is>
          <t>VÄSTRA GÖTALANDS LÄN</t>
        </is>
      </c>
      <c r="E7050" t="inlineStr">
        <is>
          <t>SVENLJUNGA</t>
        </is>
      </c>
      <c r="F7050" t="inlineStr">
        <is>
          <t>Kommuner</t>
        </is>
      </c>
      <c r="G7050" t="n">
        <v>3.5</v>
      </c>
      <c r="H7050" t="n">
        <v>0</v>
      </c>
      <c r="I7050" t="n">
        <v>0</v>
      </c>
      <c r="J7050" t="n">
        <v>0</v>
      </c>
      <c r="K7050" t="n">
        <v>0</v>
      </c>
      <c r="L7050" t="n">
        <v>0</v>
      </c>
      <c r="M7050" t="n">
        <v>0</v>
      </c>
      <c r="N7050" t="n">
        <v>0</v>
      </c>
      <c r="O7050" t="n">
        <v>0</v>
      </c>
      <c r="P7050" t="n">
        <v>0</v>
      </c>
      <c r="Q7050" t="n">
        <v>0</v>
      </c>
      <c r="R7050" s="2" t="inlineStr"/>
    </row>
    <row r="7051" ht="15" customHeight="1">
      <c r="A7051" t="inlineStr">
        <is>
          <t>A 44947-2024</t>
        </is>
      </c>
      <c r="B7051" s="1" t="n">
        <v>45575.44268518518</v>
      </c>
      <c r="C7051" s="1" t="n">
        <v>45952</v>
      </c>
      <c r="D7051" t="inlineStr">
        <is>
          <t>VÄSTRA GÖTALANDS LÄN</t>
        </is>
      </c>
      <c r="E7051" t="inlineStr">
        <is>
          <t>VARA</t>
        </is>
      </c>
      <c r="F7051" t="inlineStr">
        <is>
          <t>Sveaskog</t>
        </is>
      </c>
      <c r="G7051" t="n">
        <v>2.3</v>
      </c>
      <c r="H7051" t="n">
        <v>0</v>
      </c>
      <c r="I7051" t="n">
        <v>0</v>
      </c>
      <c r="J7051" t="n">
        <v>0</v>
      </c>
      <c r="K7051" t="n">
        <v>0</v>
      </c>
      <c r="L7051" t="n">
        <v>0</v>
      </c>
      <c r="M7051" t="n">
        <v>0</v>
      </c>
      <c r="N7051" t="n">
        <v>0</v>
      </c>
      <c r="O7051" t="n">
        <v>0</v>
      </c>
      <c r="P7051" t="n">
        <v>0</v>
      </c>
      <c r="Q7051" t="n">
        <v>0</v>
      </c>
      <c r="R7051" s="2" t="inlineStr"/>
    </row>
    <row r="7052" ht="15" customHeight="1">
      <c r="A7052" t="inlineStr">
        <is>
          <t>A 12322-2023</t>
        </is>
      </c>
      <c r="B7052" s="1" t="n">
        <v>44999</v>
      </c>
      <c r="C7052" s="1" t="n">
        <v>45952</v>
      </c>
      <c r="D7052" t="inlineStr">
        <is>
          <t>VÄSTRA GÖTALANDS LÄN</t>
        </is>
      </c>
      <c r="E7052" t="inlineStr">
        <is>
          <t>ÅMÅL</t>
        </is>
      </c>
      <c r="G7052" t="n">
        <v>5.2</v>
      </c>
      <c r="H7052" t="n">
        <v>0</v>
      </c>
      <c r="I7052" t="n">
        <v>0</v>
      </c>
      <c r="J7052" t="n">
        <v>0</v>
      </c>
      <c r="K7052" t="n">
        <v>0</v>
      </c>
      <c r="L7052" t="n">
        <v>0</v>
      </c>
      <c r="M7052" t="n">
        <v>0</v>
      </c>
      <c r="N7052" t="n">
        <v>0</v>
      </c>
      <c r="O7052" t="n">
        <v>0</v>
      </c>
      <c r="P7052" t="n">
        <v>0</v>
      </c>
      <c r="Q7052" t="n">
        <v>0</v>
      </c>
      <c r="R7052" s="2" t="inlineStr"/>
    </row>
    <row r="7053" ht="15" customHeight="1">
      <c r="A7053" t="inlineStr">
        <is>
          <t>A 46209-2023</t>
        </is>
      </c>
      <c r="B7053" s="1" t="n">
        <v>45196.6505787037</v>
      </c>
      <c r="C7053" s="1" t="n">
        <v>45952</v>
      </c>
      <c r="D7053" t="inlineStr">
        <is>
          <t>VÄSTRA GÖTALANDS LÄN</t>
        </is>
      </c>
      <c r="E7053" t="inlineStr">
        <is>
          <t>ULRICEHAMN</t>
        </is>
      </c>
      <c r="G7053" t="n">
        <v>0.5</v>
      </c>
      <c r="H7053" t="n">
        <v>0</v>
      </c>
      <c r="I7053" t="n">
        <v>0</v>
      </c>
      <c r="J7053" t="n">
        <v>0</v>
      </c>
      <c r="K7053" t="n">
        <v>0</v>
      </c>
      <c r="L7053" t="n">
        <v>0</v>
      </c>
      <c r="M7053" t="n">
        <v>0</v>
      </c>
      <c r="N7053" t="n">
        <v>0</v>
      </c>
      <c r="O7053" t="n">
        <v>0</v>
      </c>
      <c r="P7053" t="n">
        <v>0</v>
      </c>
      <c r="Q7053" t="n">
        <v>0</v>
      </c>
      <c r="R7053" s="2" t="inlineStr"/>
    </row>
    <row r="7054" ht="15" customHeight="1">
      <c r="A7054" t="inlineStr">
        <is>
          <t>A 46240-2023</t>
        </is>
      </c>
      <c r="B7054" s="1" t="n">
        <v>45196.74399305556</v>
      </c>
      <c r="C7054" s="1" t="n">
        <v>45952</v>
      </c>
      <c r="D7054" t="inlineStr">
        <is>
          <t>VÄSTRA GÖTALANDS LÄN</t>
        </is>
      </c>
      <c r="E7054" t="inlineStr">
        <is>
          <t>ALINGSÅS</t>
        </is>
      </c>
      <c r="G7054" t="n">
        <v>5.3</v>
      </c>
      <c r="H7054" t="n">
        <v>0</v>
      </c>
      <c r="I7054" t="n">
        <v>0</v>
      </c>
      <c r="J7054" t="n">
        <v>0</v>
      </c>
      <c r="K7054" t="n">
        <v>0</v>
      </c>
      <c r="L7054" t="n">
        <v>0</v>
      </c>
      <c r="M7054" t="n">
        <v>0</v>
      </c>
      <c r="N7054" t="n">
        <v>0</v>
      </c>
      <c r="O7054" t="n">
        <v>0</v>
      </c>
      <c r="P7054" t="n">
        <v>0</v>
      </c>
      <c r="Q7054" t="n">
        <v>0</v>
      </c>
      <c r="R7054" s="2" t="inlineStr"/>
    </row>
    <row r="7055" ht="15" customHeight="1">
      <c r="A7055" t="inlineStr">
        <is>
          <t>A 870-2024</t>
        </is>
      </c>
      <c r="B7055" s="1" t="n">
        <v>45301.32994212963</v>
      </c>
      <c r="C7055" s="1" t="n">
        <v>45952</v>
      </c>
      <c r="D7055" t="inlineStr">
        <is>
          <t>VÄSTRA GÖTALANDS LÄN</t>
        </is>
      </c>
      <c r="E7055" t="inlineStr">
        <is>
          <t>TRANEMO</t>
        </is>
      </c>
      <c r="G7055" t="n">
        <v>0.7</v>
      </c>
      <c r="H7055" t="n">
        <v>0</v>
      </c>
      <c r="I7055" t="n">
        <v>0</v>
      </c>
      <c r="J7055" t="n">
        <v>0</v>
      </c>
      <c r="K7055" t="n">
        <v>0</v>
      </c>
      <c r="L7055" t="n">
        <v>0</v>
      </c>
      <c r="M7055" t="n">
        <v>0</v>
      </c>
      <c r="N7055" t="n">
        <v>0</v>
      </c>
      <c r="O7055" t="n">
        <v>0</v>
      </c>
      <c r="P7055" t="n">
        <v>0</v>
      </c>
      <c r="Q7055" t="n">
        <v>0</v>
      </c>
      <c r="R7055" s="2" t="inlineStr"/>
    </row>
    <row r="7056" ht="15" customHeight="1">
      <c r="A7056" t="inlineStr">
        <is>
          <t>A 30131-2024</t>
        </is>
      </c>
      <c r="B7056" s="1" t="n">
        <v>45489.53511574074</v>
      </c>
      <c r="C7056" s="1" t="n">
        <v>45952</v>
      </c>
      <c r="D7056" t="inlineStr">
        <is>
          <t>VÄSTRA GÖTALANDS LÄN</t>
        </is>
      </c>
      <c r="E7056" t="inlineStr">
        <is>
          <t>MUNKEDAL</t>
        </is>
      </c>
      <c r="G7056" t="n">
        <v>2.6</v>
      </c>
      <c r="H7056" t="n">
        <v>0</v>
      </c>
      <c r="I7056" t="n">
        <v>0</v>
      </c>
      <c r="J7056" t="n">
        <v>0</v>
      </c>
      <c r="K7056" t="n">
        <v>0</v>
      </c>
      <c r="L7056" t="n">
        <v>0</v>
      </c>
      <c r="M7056" t="n">
        <v>0</v>
      </c>
      <c r="N7056" t="n">
        <v>0</v>
      </c>
      <c r="O7056" t="n">
        <v>0</v>
      </c>
      <c r="P7056" t="n">
        <v>0</v>
      </c>
      <c r="Q7056" t="n">
        <v>0</v>
      </c>
      <c r="R7056" s="2" t="inlineStr"/>
    </row>
    <row r="7057" ht="15" customHeight="1">
      <c r="A7057" t="inlineStr">
        <is>
          <t>A 48508-2024</t>
        </is>
      </c>
      <c r="B7057" s="1" t="n">
        <v>45593.24738425926</v>
      </c>
      <c r="C7057" s="1" t="n">
        <v>45952</v>
      </c>
      <c r="D7057" t="inlineStr">
        <is>
          <t>VÄSTRA GÖTALANDS LÄN</t>
        </is>
      </c>
      <c r="E7057" t="inlineStr">
        <is>
          <t>BORÅS</t>
        </is>
      </c>
      <c r="G7057" t="n">
        <v>0.7</v>
      </c>
      <c r="H7057" t="n">
        <v>0</v>
      </c>
      <c r="I7057" t="n">
        <v>0</v>
      </c>
      <c r="J7057" t="n">
        <v>0</v>
      </c>
      <c r="K7057" t="n">
        <v>0</v>
      </c>
      <c r="L7057" t="n">
        <v>0</v>
      </c>
      <c r="M7057" t="n">
        <v>0</v>
      </c>
      <c r="N7057" t="n">
        <v>0</v>
      </c>
      <c r="O7057" t="n">
        <v>0</v>
      </c>
      <c r="P7057" t="n">
        <v>0</v>
      </c>
      <c r="Q7057" t="n">
        <v>0</v>
      </c>
      <c r="R7057" s="2" t="inlineStr"/>
    </row>
    <row r="7058" ht="15" customHeight="1">
      <c r="A7058" t="inlineStr">
        <is>
          <t>A 32300-2023</t>
        </is>
      </c>
      <c r="B7058" s="1" t="n">
        <v>45120</v>
      </c>
      <c r="C7058" s="1" t="n">
        <v>45952</v>
      </c>
      <c r="D7058" t="inlineStr">
        <is>
          <t>VÄSTRA GÖTALANDS LÄN</t>
        </is>
      </c>
      <c r="E7058" t="inlineStr">
        <is>
          <t>MUNKEDAL</t>
        </is>
      </c>
      <c r="G7058" t="n">
        <v>2.3</v>
      </c>
      <c r="H7058" t="n">
        <v>0</v>
      </c>
      <c r="I7058" t="n">
        <v>0</v>
      </c>
      <c r="J7058" t="n">
        <v>0</v>
      </c>
      <c r="K7058" t="n">
        <v>0</v>
      </c>
      <c r="L7058" t="n">
        <v>0</v>
      </c>
      <c r="M7058" t="n">
        <v>0</v>
      </c>
      <c r="N7058" t="n">
        <v>0</v>
      </c>
      <c r="O7058" t="n">
        <v>0</v>
      </c>
      <c r="P7058" t="n">
        <v>0</v>
      </c>
      <c r="Q7058" t="n">
        <v>0</v>
      </c>
      <c r="R7058" s="2" t="inlineStr"/>
    </row>
    <row r="7059" ht="15" customHeight="1">
      <c r="A7059" t="inlineStr">
        <is>
          <t>A 48574-2024</t>
        </is>
      </c>
      <c r="B7059" s="1" t="n">
        <v>45593.41086805556</v>
      </c>
      <c r="C7059" s="1" t="n">
        <v>45952</v>
      </c>
      <c r="D7059" t="inlineStr">
        <is>
          <t>VÄSTRA GÖTALANDS LÄN</t>
        </is>
      </c>
      <c r="E7059" t="inlineStr">
        <is>
          <t>DALS-ED</t>
        </is>
      </c>
      <c r="G7059" t="n">
        <v>3.1</v>
      </c>
      <c r="H7059" t="n">
        <v>0</v>
      </c>
      <c r="I7059" t="n">
        <v>0</v>
      </c>
      <c r="J7059" t="n">
        <v>0</v>
      </c>
      <c r="K7059" t="n">
        <v>0</v>
      </c>
      <c r="L7059" t="n">
        <v>0</v>
      </c>
      <c r="M7059" t="n">
        <v>0</v>
      </c>
      <c r="N7059" t="n">
        <v>0</v>
      </c>
      <c r="O7059" t="n">
        <v>0</v>
      </c>
      <c r="P7059" t="n">
        <v>0</v>
      </c>
      <c r="Q7059" t="n">
        <v>0</v>
      </c>
      <c r="R7059" s="2" t="inlineStr"/>
    </row>
    <row r="7060" ht="15" customHeight="1">
      <c r="A7060" t="inlineStr">
        <is>
          <t>A 48579-2024</t>
        </is>
      </c>
      <c r="B7060" s="1" t="n">
        <v>45593.41236111111</v>
      </c>
      <c r="C7060" s="1" t="n">
        <v>45952</v>
      </c>
      <c r="D7060" t="inlineStr">
        <is>
          <t>VÄSTRA GÖTALANDS LÄN</t>
        </is>
      </c>
      <c r="E7060" t="inlineStr">
        <is>
          <t>SKARA</t>
        </is>
      </c>
      <c r="G7060" t="n">
        <v>1.5</v>
      </c>
      <c r="H7060" t="n">
        <v>0</v>
      </c>
      <c r="I7060" t="n">
        <v>0</v>
      </c>
      <c r="J7060" t="n">
        <v>0</v>
      </c>
      <c r="K7060" t="n">
        <v>0</v>
      </c>
      <c r="L7060" t="n">
        <v>0</v>
      </c>
      <c r="M7060" t="n">
        <v>0</v>
      </c>
      <c r="N7060" t="n">
        <v>0</v>
      </c>
      <c r="O7060" t="n">
        <v>0</v>
      </c>
      <c r="P7060" t="n">
        <v>0</v>
      </c>
      <c r="Q7060" t="n">
        <v>0</v>
      </c>
      <c r="R7060" s="2" t="inlineStr"/>
    </row>
    <row r="7061" ht="15" customHeight="1">
      <c r="A7061" t="inlineStr">
        <is>
          <t>A 59010-2024</t>
        </is>
      </c>
      <c r="B7061" s="1" t="n">
        <v>45635</v>
      </c>
      <c r="C7061" s="1" t="n">
        <v>45952</v>
      </c>
      <c r="D7061" t="inlineStr">
        <is>
          <t>VÄSTRA GÖTALANDS LÄN</t>
        </is>
      </c>
      <c r="E7061" t="inlineStr">
        <is>
          <t>LIDKÖPING</t>
        </is>
      </c>
      <c r="G7061" t="n">
        <v>3.5</v>
      </c>
      <c r="H7061" t="n">
        <v>0</v>
      </c>
      <c r="I7061" t="n">
        <v>0</v>
      </c>
      <c r="J7061" t="n">
        <v>0</v>
      </c>
      <c r="K7061" t="n">
        <v>0</v>
      </c>
      <c r="L7061" t="n">
        <v>0</v>
      </c>
      <c r="M7061" t="n">
        <v>0</v>
      </c>
      <c r="N7061" t="n">
        <v>0</v>
      </c>
      <c r="O7061" t="n">
        <v>0</v>
      </c>
      <c r="P7061" t="n">
        <v>0</v>
      </c>
      <c r="Q7061" t="n">
        <v>0</v>
      </c>
      <c r="R7061" s="2" t="inlineStr"/>
    </row>
    <row r="7062" ht="15" customHeight="1">
      <c r="A7062" t="inlineStr">
        <is>
          <t>A 36975-2024</t>
        </is>
      </c>
      <c r="B7062" s="1" t="n">
        <v>45538.9009375</v>
      </c>
      <c r="C7062" s="1" t="n">
        <v>45952</v>
      </c>
      <c r="D7062" t="inlineStr">
        <is>
          <t>VÄSTRA GÖTALANDS LÄN</t>
        </is>
      </c>
      <c r="E7062" t="inlineStr">
        <is>
          <t>BORÅS</t>
        </is>
      </c>
      <c r="G7062" t="n">
        <v>0.7</v>
      </c>
      <c r="H7062" t="n">
        <v>0</v>
      </c>
      <c r="I7062" t="n">
        <v>0</v>
      </c>
      <c r="J7062" t="n">
        <v>0</v>
      </c>
      <c r="K7062" t="n">
        <v>0</v>
      </c>
      <c r="L7062" t="n">
        <v>0</v>
      </c>
      <c r="M7062" t="n">
        <v>0</v>
      </c>
      <c r="N7062" t="n">
        <v>0</v>
      </c>
      <c r="O7062" t="n">
        <v>0</v>
      </c>
      <c r="P7062" t="n">
        <v>0</v>
      </c>
      <c r="Q7062" t="n">
        <v>0</v>
      </c>
      <c r="R7062" s="2" t="inlineStr"/>
    </row>
    <row r="7063" ht="15" customHeight="1">
      <c r="A7063" t="inlineStr">
        <is>
          <t>A 16910-2024</t>
        </is>
      </c>
      <c r="B7063" s="1" t="n">
        <v>45411</v>
      </c>
      <c r="C7063" s="1" t="n">
        <v>45952</v>
      </c>
      <c r="D7063" t="inlineStr">
        <is>
          <t>VÄSTRA GÖTALANDS LÄN</t>
        </is>
      </c>
      <c r="E7063" t="inlineStr">
        <is>
          <t>GULLSPÅNG</t>
        </is>
      </c>
      <c r="G7063" t="n">
        <v>2.7</v>
      </c>
      <c r="H7063" t="n">
        <v>0</v>
      </c>
      <c r="I7063" t="n">
        <v>0</v>
      </c>
      <c r="J7063" t="n">
        <v>0</v>
      </c>
      <c r="K7063" t="n">
        <v>0</v>
      </c>
      <c r="L7063" t="n">
        <v>0</v>
      </c>
      <c r="M7063" t="n">
        <v>0</v>
      </c>
      <c r="N7063" t="n">
        <v>0</v>
      </c>
      <c r="O7063" t="n">
        <v>0</v>
      </c>
      <c r="P7063" t="n">
        <v>0</v>
      </c>
      <c r="Q7063" t="n">
        <v>0</v>
      </c>
      <c r="R7063" s="2" t="inlineStr"/>
    </row>
    <row r="7064" ht="15" customHeight="1">
      <c r="A7064" t="inlineStr">
        <is>
          <t>A 16936-2024</t>
        </is>
      </c>
      <c r="B7064" s="1" t="n">
        <v>45411.70482638889</v>
      </c>
      <c r="C7064" s="1" t="n">
        <v>45952</v>
      </c>
      <c r="D7064" t="inlineStr">
        <is>
          <t>VÄSTRA GÖTALANDS LÄN</t>
        </is>
      </c>
      <c r="E7064" t="inlineStr">
        <is>
          <t>SVENLJUNGA</t>
        </is>
      </c>
      <c r="G7064" t="n">
        <v>2.8</v>
      </c>
      <c r="H7064" t="n">
        <v>0</v>
      </c>
      <c r="I7064" t="n">
        <v>0</v>
      </c>
      <c r="J7064" t="n">
        <v>0</v>
      </c>
      <c r="K7064" t="n">
        <v>0</v>
      </c>
      <c r="L7064" t="n">
        <v>0</v>
      </c>
      <c r="M7064" t="n">
        <v>0</v>
      </c>
      <c r="N7064" t="n">
        <v>0</v>
      </c>
      <c r="O7064" t="n">
        <v>0</v>
      </c>
      <c r="P7064" t="n">
        <v>0</v>
      </c>
      <c r="Q7064" t="n">
        <v>0</v>
      </c>
      <c r="R7064" s="2" t="inlineStr"/>
    </row>
    <row r="7065" ht="15" customHeight="1">
      <c r="A7065" t="inlineStr">
        <is>
          <t>A 8970-2025</t>
        </is>
      </c>
      <c r="B7065" s="1" t="n">
        <v>45713.4978125</v>
      </c>
      <c r="C7065" s="1" t="n">
        <v>45952</v>
      </c>
      <c r="D7065" t="inlineStr">
        <is>
          <t>VÄSTRA GÖTALANDS LÄN</t>
        </is>
      </c>
      <c r="E7065" t="inlineStr">
        <is>
          <t>HERRLJUNGA</t>
        </is>
      </c>
      <c r="G7065" t="n">
        <v>0.8</v>
      </c>
      <c r="H7065" t="n">
        <v>0</v>
      </c>
      <c r="I7065" t="n">
        <v>0</v>
      </c>
      <c r="J7065" t="n">
        <v>0</v>
      </c>
      <c r="K7065" t="n">
        <v>0</v>
      </c>
      <c r="L7065" t="n">
        <v>0</v>
      </c>
      <c r="M7065" t="n">
        <v>0</v>
      </c>
      <c r="N7065" t="n">
        <v>0</v>
      </c>
      <c r="O7065" t="n">
        <v>0</v>
      </c>
      <c r="P7065" t="n">
        <v>0</v>
      </c>
      <c r="Q7065" t="n">
        <v>0</v>
      </c>
      <c r="R7065" s="2" t="inlineStr"/>
    </row>
    <row r="7066" ht="15" customHeight="1">
      <c r="A7066" t="inlineStr">
        <is>
          <t>A 8971-2025</t>
        </is>
      </c>
      <c r="B7066" s="1" t="n">
        <v>45713.49877314815</v>
      </c>
      <c r="C7066" s="1" t="n">
        <v>45952</v>
      </c>
      <c r="D7066" t="inlineStr">
        <is>
          <t>VÄSTRA GÖTALANDS LÄN</t>
        </is>
      </c>
      <c r="E7066" t="inlineStr">
        <is>
          <t>HERRLJUNGA</t>
        </is>
      </c>
      <c r="G7066" t="n">
        <v>0.8</v>
      </c>
      <c r="H7066" t="n">
        <v>0</v>
      </c>
      <c r="I7066" t="n">
        <v>0</v>
      </c>
      <c r="J7066" t="n">
        <v>0</v>
      </c>
      <c r="K7066" t="n">
        <v>0</v>
      </c>
      <c r="L7066" t="n">
        <v>0</v>
      </c>
      <c r="M7066" t="n">
        <v>0</v>
      </c>
      <c r="N7066" t="n">
        <v>0</v>
      </c>
      <c r="O7066" t="n">
        <v>0</v>
      </c>
      <c r="P7066" t="n">
        <v>0</v>
      </c>
      <c r="Q7066" t="n">
        <v>0</v>
      </c>
      <c r="R7066" s="2" t="inlineStr"/>
    </row>
    <row r="7067" ht="15" customHeight="1">
      <c r="A7067" t="inlineStr">
        <is>
          <t>A 52726-2024</t>
        </is>
      </c>
      <c r="B7067" s="1" t="n">
        <v>45610</v>
      </c>
      <c r="C7067" s="1" t="n">
        <v>45952</v>
      </c>
      <c r="D7067" t="inlineStr">
        <is>
          <t>VÄSTRA GÖTALANDS LÄN</t>
        </is>
      </c>
      <c r="E7067" t="inlineStr">
        <is>
          <t>SVENLJUNGA</t>
        </is>
      </c>
      <c r="G7067" t="n">
        <v>12.2</v>
      </c>
      <c r="H7067" t="n">
        <v>0</v>
      </c>
      <c r="I7067" t="n">
        <v>0</v>
      </c>
      <c r="J7067" t="n">
        <v>0</v>
      </c>
      <c r="K7067" t="n">
        <v>0</v>
      </c>
      <c r="L7067" t="n">
        <v>0</v>
      </c>
      <c r="M7067" t="n">
        <v>0</v>
      </c>
      <c r="N7067" t="n">
        <v>0</v>
      </c>
      <c r="O7067" t="n">
        <v>0</v>
      </c>
      <c r="P7067" t="n">
        <v>0</v>
      </c>
      <c r="Q7067" t="n">
        <v>0</v>
      </c>
      <c r="R7067" s="2" t="inlineStr"/>
    </row>
    <row r="7068" ht="15" customHeight="1">
      <c r="A7068" t="inlineStr">
        <is>
          <t>A 46736-2023</t>
        </is>
      </c>
      <c r="B7068" s="1" t="n">
        <v>45198</v>
      </c>
      <c r="C7068" s="1" t="n">
        <v>45952</v>
      </c>
      <c r="D7068" t="inlineStr">
        <is>
          <t>VÄSTRA GÖTALANDS LÄN</t>
        </is>
      </c>
      <c r="E7068" t="inlineStr">
        <is>
          <t>VÅRGÅRDA</t>
        </is>
      </c>
      <c r="F7068" t="inlineStr">
        <is>
          <t>Kyrkan</t>
        </is>
      </c>
      <c r="G7068" t="n">
        <v>2</v>
      </c>
      <c r="H7068" t="n">
        <v>0</v>
      </c>
      <c r="I7068" t="n">
        <v>0</v>
      </c>
      <c r="J7068" t="n">
        <v>0</v>
      </c>
      <c r="K7068" t="n">
        <v>0</v>
      </c>
      <c r="L7068" t="n">
        <v>0</v>
      </c>
      <c r="M7068" t="n">
        <v>0</v>
      </c>
      <c r="N7068" t="n">
        <v>0</v>
      </c>
      <c r="O7068" t="n">
        <v>0</v>
      </c>
      <c r="P7068" t="n">
        <v>0</v>
      </c>
      <c r="Q7068" t="n">
        <v>0</v>
      </c>
      <c r="R7068" s="2" t="inlineStr"/>
    </row>
    <row r="7069" ht="15" customHeight="1">
      <c r="A7069" t="inlineStr">
        <is>
          <t>A 46740-2023</t>
        </is>
      </c>
      <c r="B7069" s="1" t="n">
        <v>45198</v>
      </c>
      <c r="C7069" s="1" t="n">
        <v>45952</v>
      </c>
      <c r="D7069" t="inlineStr">
        <is>
          <t>VÄSTRA GÖTALANDS LÄN</t>
        </is>
      </c>
      <c r="E7069" t="inlineStr">
        <is>
          <t>BENGTSFORS</t>
        </is>
      </c>
      <c r="G7069" t="n">
        <v>1.7</v>
      </c>
      <c r="H7069" t="n">
        <v>0</v>
      </c>
      <c r="I7069" t="n">
        <v>0</v>
      </c>
      <c r="J7069" t="n">
        <v>0</v>
      </c>
      <c r="K7069" t="n">
        <v>0</v>
      </c>
      <c r="L7069" t="n">
        <v>0</v>
      </c>
      <c r="M7069" t="n">
        <v>0</v>
      </c>
      <c r="N7069" t="n">
        <v>0</v>
      </c>
      <c r="O7069" t="n">
        <v>0</v>
      </c>
      <c r="P7069" t="n">
        <v>0</v>
      </c>
      <c r="Q7069" t="n">
        <v>0</v>
      </c>
      <c r="R7069" s="2" t="inlineStr"/>
    </row>
    <row r="7070" ht="15" customHeight="1">
      <c r="A7070" t="inlineStr">
        <is>
          <t>A 11021-2023</t>
        </is>
      </c>
      <c r="B7070" s="1" t="n">
        <v>44991.81690972222</v>
      </c>
      <c r="C7070" s="1" t="n">
        <v>45952</v>
      </c>
      <c r="D7070" t="inlineStr">
        <is>
          <t>VÄSTRA GÖTALANDS LÄN</t>
        </is>
      </c>
      <c r="E7070" t="inlineStr">
        <is>
          <t>UDDEVALLA</t>
        </is>
      </c>
      <c r="G7070" t="n">
        <v>0.6</v>
      </c>
      <c r="H7070" t="n">
        <v>0</v>
      </c>
      <c r="I7070" t="n">
        <v>0</v>
      </c>
      <c r="J7070" t="n">
        <v>0</v>
      </c>
      <c r="K7070" t="n">
        <v>0</v>
      </c>
      <c r="L7070" t="n">
        <v>0</v>
      </c>
      <c r="M7070" t="n">
        <v>0</v>
      </c>
      <c r="N7070" t="n">
        <v>0</v>
      </c>
      <c r="O7070" t="n">
        <v>0</v>
      </c>
      <c r="P7070" t="n">
        <v>0</v>
      </c>
      <c r="Q7070" t="n">
        <v>0</v>
      </c>
      <c r="R7070" s="2" t="inlineStr"/>
    </row>
    <row r="7071" ht="15" customHeight="1">
      <c r="A7071" t="inlineStr">
        <is>
          <t>A 44518-2023</t>
        </is>
      </c>
      <c r="B7071" s="1" t="n">
        <v>45189</v>
      </c>
      <c r="C7071" s="1" t="n">
        <v>45952</v>
      </c>
      <c r="D7071" t="inlineStr">
        <is>
          <t>VÄSTRA GÖTALANDS LÄN</t>
        </is>
      </c>
      <c r="E7071" t="inlineStr">
        <is>
          <t>TÖREBODA</t>
        </is>
      </c>
      <c r="G7071" t="n">
        <v>1.8</v>
      </c>
      <c r="H7071" t="n">
        <v>0</v>
      </c>
      <c r="I7071" t="n">
        <v>0</v>
      </c>
      <c r="J7071" t="n">
        <v>0</v>
      </c>
      <c r="K7071" t="n">
        <v>0</v>
      </c>
      <c r="L7071" t="n">
        <v>0</v>
      </c>
      <c r="M7071" t="n">
        <v>0</v>
      </c>
      <c r="N7071" t="n">
        <v>0</v>
      </c>
      <c r="O7071" t="n">
        <v>0</v>
      </c>
      <c r="P7071" t="n">
        <v>0</v>
      </c>
      <c r="Q7071" t="n">
        <v>0</v>
      </c>
      <c r="R7071" s="2" t="inlineStr"/>
    </row>
    <row r="7072" ht="15" customHeight="1">
      <c r="A7072" t="inlineStr">
        <is>
          <t>A 11024-2023</t>
        </is>
      </c>
      <c r="B7072" s="1" t="n">
        <v>44991.86207175926</v>
      </c>
      <c r="C7072" s="1" t="n">
        <v>45952</v>
      </c>
      <c r="D7072" t="inlineStr">
        <is>
          <t>VÄSTRA GÖTALANDS LÄN</t>
        </is>
      </c>
      <c r="E7072" t="inlineStr">
        <is>
          <t>ALINGSÅS</t>
        </is>
      </c>
      <c r="G7072" t="n">
        <v>0.9</v>
      </c>
      <c r="H7072" t="n">
        <v>0</v>
      </c>
      <c r="I7072" t="n">
        <v>0</v>
      </c>
      <c r="J7072" t="n">
        <v>0</v>
      </c>
      <c r="K7072" t="n">
        <v>0</v>
      </c>
      <c r="L7072" t="n">
        <v>0</v>
      </c>
      <c r="M7072" t="n">
        <v>0</v>
      </c>
      <c r="N7072" t="n">
        <v>0</v>
      </c>
      <c r="O7072" t="n">
        <v>0</v>
      </c>
      <c r="P7072" t="n">
        <v>0</v>
      </c>
      <c r="Q7072" t="n">
        <v>0</v>
      </c>
      <c r="R7072" s="2" t="inlineStr"/>
    </row>
    <row r="7073" ht="15" customHeight="1">
      <c r="A7073" t="inlineStr">
        <is>
          <t>A 44529-2023</t>
        </is>
      </c>
      <c r="B7073" s="1" t="n">
        <v>45189</v>
      </c>
      <c r="C7073" s="1" t="n">
        <v>45952</v>
      </c>
      <c r="D7073" t="inlineStr">
        <is>
          <t>VÄSTRA GÖTALANDS LÄN</t>
        </is>
      </c>
      <c r="E7073" t="inlineStr">
        <is>
          <t>STRÖMSTAD</t>
        </is>
      </c>
      <c r="G7073" t="n">
        <v>4.6</v>
      </c>
      <c r="H7073" t="n">
        <v>0</v>
      </c>
      <c r="I7073" t="n">
        <v>0</v>
      </c>
      <c r="J7073" t="n">
        <v>0</v>
      </c>
      <c r="K7073" t="n">
        <v>0</v>
      </c>
      <c r="L7073" t="n">
        <v>0</v>
      </c>
      <c r="M7073" t="n">
        <v>0</v>
      </c>
      <c r="N7073" t="n">
        <v>0</v>
      </c>
      <c r="O7073" t="n">
        <v>0</v>
      </c>
      <c r="P7073" t="n">
        <v>0</v>
      </c>
      <c r="Q7073" t="n">
        <v>0</v>
      </c>
      <c r="R7073" s="2" t="inlineStr"/>
    </row>
    <row r="7074" ht="15" customHeight="1">
      <c r="A7074" t="inlineStr">
        <is>
          <t>A 22631-2022</t>
        </is>
      </c>
      <c r="B7074" s="1" t="n">
        <v>44714.44008101852</v>
      </c>
      <c r="C7074" s="1" t="n">
        <v>45952</v>
      </c>
      <c r="D7074" t="inlineStr">
        <is>
          <t>VÄSTRA GÖTALANDS LÄN</t>
        </is>
      </c>
      <c r="E7074" t="inlineStr">
        <is>
          <t>VÄNERSBORG</t>
        </is>
      </c>
      <c r="G7074" t="n">
        <v>7.1</v>
      </c>
      <c r="H7074" t="n">
        <v>0</v>
      </c>
      <c r="I7074" t="n">
        <v>0</v>
      </c>
      <c r="J7074" t="n">
        <v>0</v>
      </c>
      <c r="K7074" t="n">
        <v>0</v>
      </c>
      <c r="L7074" t="n">
        <v>0</v>
      </c>
      <c r="M7074" t="n">
        <v>0</v>
      </c>
      <c r="N7074" t="n">
        <v>0</v>
      </c>
      <c r="O7074" t="n">
        <v>0</v>
      </c>
      <c r="P7074" t="n">
        <v>0</v>
      </c>
      <c r="Q7074" t="n">
        <v>0</v>
      </c>
      <c r="R7074" s="2" t="inlineStr"/>
    </row>
    <row r="7075" ht="15" customHeight="1">
      <c r="A7075" t="inlineStr">
        <is>
          <t>A 15649-2023</t>
        </is>
      </c>
      <c r="B7075" s="1" t="n">
        <v>45021.38078703704</v>
      </c>
      <c r="C7075" s="1" t="n">
        <v>45952</v>
      </c>
      <c r="D7075" t="inlineStr">
        <is>
          <t>VÄSTRA GÖTALANDS LÄN</t>
        </is>
      </c>
      <c r="E7075" t="inlineStr">
        <is>
          <t>GÖTENE</t>
        </is>
      </c>
      <c r="G7075" t="n">
        <v>2</v>
      </c>
      <c r="H7075" t="n">
        <v>0</v>
      </c>
      <c r="I7075" t="n">
        <v>0</v>
      </c>
      <c r="J7075" t="n">
        <v>0</v>
      </c>
      <c r="K7075" t="n">
        <v>0</v>
      </c>
      <c r="L7075" t="n">
        <v>0</v>
      </c>
      <c r="M7075" t="n">
        <v>0</v>
      </c>
      <c r="N7075" t="n">
        <v>0</v>
      </c>
      <c r="O7075" t="n">
        <v>0</v>
      </c>
      <c r="P7075" t="n">
        <v>0</v>
      </c>
      <c r="Q7075" t="n">
        <v>0</v>
      </c>
      <c r="R7075" s="2" t="inlineStr"/>
    </row>
    <row r="7076" ht="15" customHeight="1">
      <c r="A7076" t="inlineStr">
        <is>
          <t>A 50528-2022</t>
        </is>
      </c>
      <c r="B7076" s="1" t="n">
        <v>44866</v>
      </c>
      <c r="C7076" s="1" t="n">
        <v>45952</v>
      </c>
      <c r="D7076" t="inlineStr">
        <is>
          <t>VÄSTRA GÖTALANDS LÄN</t>
        </is>
      </c>
      <c r="E7076" t="inlineStr">
        <is>
          <t>TRANEMO</t>
        </is>
      </c>
      <c r="F7076" t="inlineStr">
        <is>
          <t>Sveaskog</t>
        </is>
      </c>
      <c r="G7076" t="n">
        <v>2.4</v>
      </c>
      <c r="H7076" t="n">
        <v>0</v>
      </c>
      <c r="I7076" t="n">
        <v>0</v>
      </c>
      <c r="J7076" t="n">
        <v>0</v>
      </c>
      <c r="K7076" t="n">
        <v>0</v>
      </c>
      <c r="L7076" t="n">
        <v>0</v>
      </c>
      <c r="M7076" t="n">
        <v>0</v>
      </c>
      <c r="N7076" t="n">
        <v>0</v>
      </c>
      <c r="O7076" t="n">
        <v>0</v>
      </c>
      <c r="P7076" t="n">
        <v>0</v>
      </c>
      <c r="Q7076" t="n">
        <v>0</v>
      </c>
      <c r="R7076" s="2" t="inlineStr"/>
    </row>
    <row r="7077" ht="15" customHeight="1">
      <c r="A7077" t="inlineStr">
        <is>
          <t>A 8576-2023</t>
        </is>
      </c>
      <c r="B7077" s="1" t="n">
        <v>44977</v>
      </c>
      <c r="C7077" s="1" t="n">
        <v>45952</v>
      </c>
      <c r="D7077" t="inlineStr">
        <is>
          <t>VÄSTRA GÖTALANDS LÄN</t>
        </is>
      </c>
      <c r="E7077" t="inlineStr">
        <is>
          <t>STENUNGSUND</t>
        </is>
      </c>
      <c r="G7077" t="n">
        <v>2.1</v>
      </c>
      <c r="H7077" t="n">
        <v>0</v>
      </c>
      <c r="I7077" t="n">
        <v>0</v>
      </c>
      <c r="J7077" t="n">
        <v>0</v>
      </c>
      <c r="K7077" t="n">
        <v>0</v>
      </c>
      <c r="L7077" t="n">
        <v>0</v>
      </c>
      <c r="M7077" t="n">
        <v>0</v>
      </c>
      <c r="N7077" t="n">
        <v>0</v>
      </c>
      <c r="O7077" t="n">
        <v>0</v>
      </c>
      <c r="P7077" t="n">
        <v>0</v>
      </c>
      <c r="Q7077" t="n">
        <v>0</v>
      </c>
      <c r="R7077" s="2" t="inlineStr"/>
    </row>
    <row r="7078" ht="15" customHeight="1">
      <c r="A7078" t="inlineStr">
        <is>
          <t>A 19127-2025</t>
        </is>
      </c>
      <c r="B7078" s="1" t="n">
        <v>45768.92784722222</v>
      </c>
      <c r="C7078" s="1" t="n">
        <v>45952</v>
      </c>
      <c r="D7078" t="inlineStr">
        <is>
          <t>VÄSTRA GÖTALANDS LÄN</t>
        </is>
      </c>
      <c r="E7078" t="inlineStr">
        <is>
          <t>ÅMÅL</t>
        </is>
      </c>
      <c r="G7078" t="n">
        <v>2</v>
      </c>
      <c r="H7078" t="n">
        <v>0</v>
      </c>
      <c r="I7078" t="n">
        <v>0</v>
      </c>
      <c r="J7078" t="n">
        <v>0</v>
      </c>
      <c r="K7078" t="n">
        <v>0</v>
      </c>
      <c r="L7078" t="n">
        <v>0</v>
      </c>
      <c r="M7078" t="n">
        <v>0</v>
      </c>
      <c r="N7078" t="n">
        <v>0</v>
      </c>
      <c r="O7078" t="n">
        <v>0</v>
      </c>
      <c r="P7078" t="n">
        <v>0</v>
      </c>
      <c r="Q7078" t="n">
        <v>0</v>
      </c>
      <c r="R7078" s="2" t="inlineStr"/>
    </row>
    <row r="7079" ht="15" customHeight="1">
      <c r="A7079" t="inlineStr">
        <is>
          <t>A 8599-2023</t>
        </is>
      </c>
      <c r="B7079" s="1" t="n">
        <v>44977</v>
      </c>
      <c r="C7079" s="1" t="n">
        <v>45952</v>
      </c>
      <c r="D7079" t="inlineStr">
        <is>
          <t>VÄSTRA GÖTALANDS LÄN</t>
        </is>
      </c>
      <c r="E7079" t="inlineStr">
        <is>
          <t>ALINGSÅS</t>
        </is>
      </c>
      <c r="G7079" t="n">
        <v>0.6</v>
      </c>
      <c r="H7079" t="n">
        <v>0</v>
      </c>
      <c r="I7079" t="n">
        <v>0</v>
      </c>
      <c r="J7079" t="n">
        <v>0</v>
      </c>
      <c r="K7079" t="n">
        <v>0</v>
      </c>
      <c r="L7079" t="n">
        <v>0</v>
      </c>
      <c r="M7079" t="n">
        <v>0</v>
      </c>
      <c r="N7079" t="n">
        <v>0</v>
      </c>
      <c r="O7079" t="n">
        <v>0</v>
      </c>
      <c r="P7079" t="n">
        <v>0</v>
      </c>
      <c r="Q7079" t="n">
        <v>0</v>
      </c>
      <c r="R7079" s="2" t="inlineStr"/>
    </row>
    <row r="7080" ht="15" customHeight="1">
      <c r="A7080" t="inlineStr">
        <is>
          <t>A 6770-2024</t>
        </is>
      </c>
      <c r="B7080" s="1" t="n">
        <v>45342.49490740741</v>
      </c>
      <c r="C7080" s="1" t="n">
        <v>45952</v>
      </c>
      <c r="D7080" t="inlineStr">
        <is>
          <t>VÄSTRA GÖTALANDS LÄN</t>
        </is>
      </c>
      <c r="E7080" t="inlineStr">
        <is>
          <t>MARK</t>
        </is>
      </c>
      <c r="G7080" t="n">
        <v>2.7</v>
      </c>
      <c r="H7080" t="n">
        <v>0</v>
      </c>
      <c r="I7080" t="n">
        <v>0</v>
      </c>
      <c r="J7080" t="n">
        <v>0</v>
      </c>
      <c r="K7080" t="n">
        <v>0</v>
      </c>
      <c r="L7080" t="n">
        <v>0</v>
      </c>
      <c r="M7080" t="n">
        <v>0</v>
      </c>
      <c r="N7080" t="n">
        <v>0</v>
      </c>
      <c r="O7080" t="n">
        <v>0</v>
      </c>
      <c r="P7080" t="n">
        <v>0</v>
      </c>
      <c r="Q7080" t="n">
        <v>0</v>
      </c>
      <c r="R7080" s="2" t="inlineStr"/>
    </row>
    <row r="7081" ht="15" customHeight="1">
      <c r="A7081" t="inlineStr">
        <is>
          <t>A 6772-2024</t>
        </is>
      </c>
      <c r="B7081" s="1" t="n">
        <v>45342.49748842593</v>
      </c>
      <c r="C7081" s="1" t="n">
        <v>45952</v>
      </c>
      <c r="D7081" t="inlineStr">
        <is>
          <t>VÄSTRA GÖTALANDS LÄN</t>
        </is>
      </c>
      <c r="E7081" t="inlineStr">
        <is>
          <t>SVENLJUNGA</t>
        </is>
      </c>
      <c r="F7081" t="inlineStr">
        <is>
          <t>Sveaskog</t>
        </is>
      </c>
      <c r="G7081" t="n">
        <v>2.1</v>
      </c>
      <c r="H7081" t="n">
        <v>0</v>
      </c>
      <c r="I7081" t="n">
        <v>0</v>
      </c>
      <c r="J7081" t="n">
        <v>0</v>
      </c>
      <c r="K7081" t="n">
        <v>0</v>
      </c>
      <c r="L7081" t="n">
        <v>0</v>
      </c>
      <c r="M7081" t="n">
        <v>0</v>
      </c>
      <c r="N7081" t="n">
        <v>0</v>
      </c>
      <c r="O7081" t="n">
        <v>0</v>
      </c>
      <c r="P7081" t="n">
        <v>0</v>
      </c>
      <c r="Q7081" t="n">
        <v>0</v>
      </c>
      <c r="R7081" s="2" t="inlineStr"/>
    </row>
    <row r="7082" ht="15" customHeight="1">
      <c r="A7082" t="inlineStr">
        <is>
          <t>A 6778-2024</t>
        </is>
      </c>
      <c r="B7082" s="1" t="n">
        <v>45342</v>
      </c>
      <c r="C7082" s="1" t="n">
        <v>45952</v>
      </c>
      <c r="D7082" t="inlineStr">
        <is>
          <t>VÄSTRA GÖTALANDS LÄN</t>
        </is>
      </c>
      <c r="E7082" t="inlineStr">
        <is>
          <t>TRANEMO</t>
        </is>
      </c>
      <c r="G7082" t="n">
        <v>2.5</v>
      </c>
      <c r="H7082" t="n">
        <v>0</v>
      </c>
      <c r="I7082" t="n">
        <v>0</v>
      </c>
      <c r="J7082" t="n">
        <v>0</v>
      </c>
      <c r="K7082" t="n">
        <v>0</v>
      </c>
      <c r="L7082" t="n">
        <v>0</v>
      </c>
      <c r="M7082" t="n">
        <v>0</v>
      </c>
      <c r="N7082" t="n">
        <v>0</v>
      </c>
      <c r="O7082" t="n">
        <v>0</v>
      </c>
      <c r="P7082" t="n">
        <v>0</v>
      </c>
      <c r="Q7082" t="n">
        <v>0</v>
      </c>
      <c r="R7082" s="2" t="inlineStr"/>
    </row>
    <row r="7083" ht="15" customHeight="1">
      <c r="A7083" t="inlineStr">
        <is>
          <t>A 6172-2024</t>
        </is>
      </c>
      <c r="B7083" s="1" t="n">
        <v>45337</v>
      </c>
      <c r="C7083" s="1" t="n">
        <v>45952</v>
      </c>
      <c r="D7083" t="inlineStr">
        <is>
          <t>VÄSTRA GÖTALANDS LÄN</t>
        </is>
      </c>
      <c r="E7083" t="inlineStr">
        <is>
          <t>VÄNERSBORG</t>
        </is>
      </c>
      <c r="G7083" t="n">
        <v>0.6</v>
      </c>
      <c r="H7083" t="n">
        <v>0</v>
      </c>
      <c r="I7083" t="n">
        <v>0</v>
      </c>
      <c r="J7083" t="n">
        <v>0</v>
      </c>
      <c r="K7083" t="n">
        <v>0</v>
      </c>
      <c r="L7083" t="n">
        <v>0</v>
      </c>
      <c r="M7083" t="n">
        <v>0</v>
      </c>
      <c r="N7083" t="n">
        <v>0</v>
      </c>
      <c r="O7083" t="n">
        <v>0</v>
      </c>
      <c r="P7083" t="n">
        <v>0</v>
      </c>
      <c r="Q7083" t="n">
        <v>0</v>
      </c>
      <c r="R7083" s="2" t="inlineStr"/>
    </row>
    <row r="7084" ht="15" customHeight="1">
      <c r="A7084" t="inlineStr">
        <is>
          <t>A 2094-2025</t>
        </is>
      </c>
      <c r="B7084" s="1" t="n">
        <v>45672.59924768518</v>
      </c>
      <c r="C7084" s="1" t="n">
        <v>45952</v>
      </c>
      <c r="D7084" t="inlineStr">
        <is>
          <t>VÄSTRA GÖTALANDS LÄN</t>
        </is>
      </c>
      <c r="E7084" t="inlineStr">
        <is>
          <t>TRANEMO</t>
        </is>
      </c>
      <c r="G7084" t="n">
        <v>0.9</v>
      </c>
      <c r="H7084" t="n">
        <v>0</v>
      </c>
      <c r="I7084" t="n">
        <v>0</v>
      </c>
      <c r="J7084" t="n">
        <v>0</v>
      </c>
      <c r="K7084" t="n">
        <v>0</v>
      </c>
      <c r="L7084" t="n">
        <v>0</v>
      </c>
      <c r="M7084" t="n">
        <v>0</v>
      </c>
      <c r="N7084" t="n">
        <v>0</v>
      </c>
      <c r="O7084" t="n">
        <v>0</v>
      </c>
      <c r="P7084" t="n">
        <v>0</v>
      </c>
      <c r="Q7084" t="n">
        <v>0</v>
      </c>
      <c r="R7084" s="2" t="inlineStr"/>
    </row>
    <row r="7085" ht="15" customHeight="1">
      <c r="A7085" t="inlineStr">
        <is>
          <t>A 25880-2024</t>
        </is>
      </c>
      <c r="B7085" s="1" t="n">
        <v>45467.48980324074</v>
      </c>
      <c r="C7085" s="1" t="n">
        <v>45952</v>
      </c>
      <c r="D7085" t="inlineStr">
        <is>
          <t>VÄSTRA GÖTALANDS LÄN</t>
        </is>
      </c>
      <c r="E7085" t="inlineStr">
        <is>
          <t>TRANEMO</t>
        </is>
      </c>
      <c r="G7085" t="n">
        <v>4.2</v>
      </c>
      <c r="H7085" t="n">
        <v>0</v>
      </c>
      <c r="I7085" t="n">
        <v>0</v>
      </c>
      <c r="J7085" t="n">
        <v>0</v>
      </c>
      <c r="K7085" t="n">
        <v>0</v>
      </c>
      <c r="L7085" t="n">
        <v>0</v>
      </c>
      <c r="M7085" t="n">
        <v>0</v>
      </c>
      <c r="N7085" t="n">
        <v>0</v>
      </c>
      <c r="O7085" t="n">
        <v>0</v>
      </c>
      <c r="P7085" t="n">
        <v>0</v>
      </c>
      <c r="Q7085" t="n">
        <v>0</v>
      </c>
      <c r="R7085" s="2" t="inlineStr"/>
    </row>
    <row r="7086" ht="15" customHeight="1">
      <c r="A7086" t="inlineStr">
        <is>
          <t>A 25887-2024</t>
        </is>
      </c>
      <c r="B7086" s="1" t="n">
        <v>45467.50221064815</v>
      </c>
      <c r="C7086" s="1" t="n">
        <v>45952</v>
      </c>
      <c r="D7086" t="inlineStr">
        <is>
          <t>VÄSTRA GÖTALANDS LÄN</t>
        </is>
      </c>
      <c r="E7086" t="inlineStr">
        <is>
          <t>BENGTSFORS</t>
        </is>
      </c>
      <c r="G7086" t="n">
        <v>1.7</v>
      </c>
      <c r="H7086" t="n">
        <v>0</v>
      </c>
      <c r="I7086" t="n">
        <v>0</v>
      </c>
      <c r="J7086" t="n">
        <v>0</v>
      </c>
      <c r="K7086" t="n">
        <v>0</v>
      </c>
      <c r="L7086" t="n">
        <v>0</v>
      </c>
      <c r="M7086" t="n">
        <v>0</v>
      </c>
      <c r="N7086" t="n">
        <v>0</v>
      </c>
      <c r="O7086" t="n">
        <v>0</v>
      </c>
      <c r="P7086" t="n">
        <v>0</v>
      </c>
      <c r="Q7086" t="n">
        <v>0</v>
      </c>
      <c r="R7086" s="2" t="inlineStr"/>
    </row>
    <row r="7087" ht="15" customHeight="1">
      <c r="A7087" t="inlineStr">
        <is>
          <t>A 25901-2024</t>
        </is>
      </c>
      <c r="B7087" s="1" t="n">
        <v>45467.56039351852</v>
      </c>
      <c r="C7087" s="1" t="n">
        <v>45952</v>
      </c>
      <c r="D7087" t="inlineStr">
        <is>
          <t>VÄSTRA GÖTALANDS LÄN</t>
        </is>
      </c>
      <c r="E7087" t="inlineStr">
        <is>
          <t>ULRICEHAMN</t>
        </is>
      </c>
      <c r="G7087" t="n">
        <v>1.1</v>
      </c>
      <c r="H7087" t="n">
        <v>0</v>
      </c>
      <c r="I7087" t="n">
        <v>0</v>
      </c>
      <c r="J7087" t="n">
        <v>0</v>
      </c>
      <c r="K7087" t="n">
        <v>0</v>
      </c>
      <c r="L7087" t="n">
        <v>0</v>
      </c>
      <c r="M7087" t="n">
        <v>0</v>
      </c>
      <c r="N7087" t="n">
        <v>0</v>
      </c>
      <c r="O7087" t="n">
        <v>0</v>
      </c>
      <c r="P7087" t="n">
        <v>0</v>
      </c>
      <c r="Q7087" t="n">
        <v>0</v>
      </c>
      <c r="R7087" s="2" t="inlineStr"/>
    </row>
    <row r="7088" ht="15" customHeight="1">
      <c r="A7088" t="inlineStr">
        <is>
          <t>A 6255-2025</t>
        </is>
      </c>
      <c r="B7088" s="1" t="n">
        <v>45698.59017361111</v>
      </c>
      <c r="C7088" s="1" t="n">
        <v>45952</v>
      </c>
      <c r="D7088" t="inlineStr">
        <is>
          <t>VÄSTRA GÖTALANDS LÄN</t>
        </is>
      </c>
      <c r="E7088" t="inlineStr">
        <is>
          <t>BENGTSFORS</t>
        </is>
      </c>
      <c r="G7088" t="n">
        <v>7.1</v>
      </c>
      <c r="H7088" t="n">
        <v>0</v>
      </c>
      <c r="I7088" t="n">
        <v>0</v>
      </c>
      <c r="J7088" t="n">
        <v>0</v>
      </c>
      <c r="K7088" t="n">
        <v>0</v>
      </c>
      <c r="L7088" t="n">
        <v>0</v>
      </c>
      <c r="M7088" t="n">
        <v>0</v>
      </c>
      <c r="N7088" t="n">
        <v>0</v>
      </c>
      <c r="O7088" t="n">
        <v>0</v>
      </c>
      <c r="P7088" t="n">
        <v>0</v>
      </c>
      <c r="Q7088" t="n">
        <v>0</v>
      </c>
      <c r="R7088" s="2" t="inlineStr"/>
    </row>
    <row r="7089" ht="15" customHeight="1">
      <c r="A7089" t="inlineStr">
        <is>
          <t>A 18559-2021</t>
        </is>
      </c>
      <c r="B7089" s="1" t="n">
        <v>44306.52166666667</v>
      </c>
      <c r="C7089" s="1" t="n">
        <v>45952</v>
      </c>
      <c r="D7089" t="inlineStr">
        <is>
          <t>VÄSTRA GÖTALANDS LÄN</t>
        </is>
      </c>
      <c r="E7089" t="inlineStr">
        <is>
          <t>TANUM</t>
        </is>
      </c>
      <c r="G7089" t="n">
        <v>2</v>
      </c>
      <c r="H7089" t="n">
        <v>0</v>
      </c>
      <c r="I7089" t="n">
        <v>0</v>
      </c>
      <c r="J7089" t="n">
        <v>0</v>
      </c>
      <c r="K7089" t="n">
        <v>0</v>
      </c>
      <c r="L7089" t="n">
        <v>0</v>
      </c>
      <c r="M7089" t="n">
        <v>0</v>
      </c>
      <c r="N7089" t="n">
        <v>0</v>
      </c>
      <c r="O7089" t="n">
        <v>0</v>
      </c>
      <c r="P7089" t="n">
        <v>0</v>
      </c>
      <c r="Q7089" t="n">
        <v>0</v>
      </c>
      <c r="R7089" s="2" t="inlineStr"/>
    </row>
    <row r="7090" ht="15" customHeight="1">
      <c r="A7090" t="inlineStr">
        <is>
          <t>A 2917-2024</t>
        </is>
      </c>
      <c r="B7090" s="1" t="n">
        <v>45315.58524305555</v>
      </c>
      <c r="C7090" s="1" t="n">
        <v>45952</v>
      </c>
      <c r="D7090" t="inlineStr">
        <is>
          <t>VÄSTRA GÖTALANDS LÄN</t>
        </is>
      </c>
      <c r="E7090" t="inlineStr">
        <is>
          <t>SKÖVDE</t>
        </is>
      </c>
      <c r="G7090" t="n">
        <v>0.9</v>
      </c>
      <c r="H7090" t="n">
        <v>0</v>
      </c>
      <c r="I7090" t="n">
        <v>0</v>
      </c>
      <c r="J7090" t="n">
        <v>0</v>
      </c>
      <c r="K7090" t="n">
        <v>0</v>
      </c>
      <c r="L7090" t="n">
        <v>0</v>
      </c>
      <c r="M7090" t="n">
        <v>0</v>
      </c>
      <c r="N7090" t="n">
        <v>0</v>
      </c>
      <c r="O7090" t="n">
        <v>0</v>
      </c>
      <c r="P7090" t="n">
        <v>0</v>
      </c>
      <c r="Q7090" t="n">
        <v>0</v>
      </c>
      <c r="R7090" s="2" t="inlineStr"/>
    </row>
    <row r="7091" ht="15" customHeight="1">
      <c r="A7091" t="inlineStr">
        <is>
          <t>A 73932-2021</t>
        </is>
      </c>
      <c r="B7091" s="1" t="n">
        <v>44553</v>
      </c>
      <c r="C7091" s="1" t="n">
        <v>45952</v>
      </c>
      <c r="D7091" t="inlineStr">
        <is>
          <t>VÄSTRA GÖTALANDS LÄN</t>
        </is>
      </c>
      <c r="E7091" t="inlineStr">
        <is>
          <t>ULRICEHAMN</t>
        </is>
      </c>
      <c r="G7091" t="n">
        <v>0.7</v>
      </c>
      <c r="H7091" t="n">
        <v>0</v>
      </c>
      <c r="I7091" t="n">
        <v>0</v>
      </c>
      <c r="J7091" t="n">
        <v>0</v>
      </c>
      <c r="K7091" t="n">
        <v>0</v>
      </c>
      <c r="L7091" t="n">
        <v>0</v>
      </c>
      <c r="M7091" t="n">
        <v>0</v>
      </c>
      <c r="N7091" t="n">
        <v>0</v>
      </c>
      <c r="O7091" t="n">
        <v>0</v>
      </c>
      <c r="P7091" t="n">
        <v>0</v>
      </c>
      <c r="Q7091" t="n">
        <v>0</v>
      </c>
      <c r="R7091" s="2" t="inlineStr"/>
    </row>
    <row r="7092" ht="15" customHeight="1">
      <c r="A7092" t="inlineStr">
        <is>
          <t>A 40331-2022</t>
        </is>
      </c>
      <c r="B7092" s="1" t="n">
        <v>44823.35134259259</v>
      </c>
      <c r="C7092" s="1" t="n">
        <v>45952</v>
      </c>
      <c r="D7092" t="inlineStr">
        <is>
          <t>VÄSTRA GÖTALANDS LÄN</t>
        </is>
      </c>
      <c r="E7092" t="inlineStr">
        <is>
          <t>VARA</t>
        </is>
      </c>
      <c r="G7092" t="n">
        <v>1.2</v>
      </c>
      <c r="H7092" t="n">
        <v>0</v>
      </c>
      <c r="I7092" t="n">
        <v>0</v>
      </c>
      <c r="J7092" t="n">
        <v>0</v>
      </c>
      <c r="K7092" t="n">
        <v>0</v>
      </c>
      <c r="L7092" t="n">
        <v>0</v>
      </c>
      <c r="M7092" t="n">
        <v>0</v>
      </c>
      <c r="N7092" t="n">
        <v>0</v>
      </c>
      <c r="O7092" t="n">
        <v>0</v>
      </c>
      <c r="P7092" t="n">
        <v>0</v>
      </c>
      <c r="Q7092" t="n">
        <v>0</v>
      </c>
      <c r="R7092" s="2" t="inlineStr"/>
    </row>
    <row r="7093" ht="15" customHeight="1">
      <c r="A7093" t="inlineStr">
        <is>
          <t>A 20353-2023</t>
        </is>
      </c>
      <c r="B7093" s="1" t="n">
        <v>45056</v>
      </c>
      <c r="C7093" s="1" t="n">
        <v>45952</v>
      </c>
      <c r="D7093" t="inlineStr">
        <is>
          <t>VÄSTRA GÖTALANDS LÄN</t>
        </is>
      </c>
      <c r="E7093" t="inlineStr">
        <is>
          <t>MARK</t>
        </is>
      </c>
      <c r="G7093" t="n">
        <v>0.6</v>
      </c>
      <c r="H7093" t="n">
        <v>0</v>
      </c>
      <c r="I7093" t="n">
        <v>0</v>
      </c>
      <c r="J7093" t="n">
        <v>0</v>
      </c>
      <c r="K7093" t="n">
        <v>0</v>
      </c>
      <c r="L7093" t="n">
        <v>0</v>
      </c>
      <c r="M7093" t="n">
        <v>0</v>
      </c>
      <c r="N7093" t="n">
        <v>0</v>
      </c>
      <c r="O7093" t="n">
        <v>0</v>
      </c>
      <c r="P7093" t="n">
        <v>0</v>
      </c>
      <c r="Q7093" t="n">
        <v>0</v>
      </c>
      <c r="R7093" s="2" t="inlineStr"/>
    </row>
    <row r="7094" ht="15" customHeight="1">
      <c r="A7094" t="inlineStr">
        <is>
          <t>A 16359-2021</t>
        </is>
      </c>
      <c r="B7094" s="1" t="n">
        <v>44293</v>
      </c>
      <c r="C7094" s="1" t="n">
        <v>45952</v>
      </c>
      <c r="D7094" t="inlineStr">
        <is>
          <t>VÄSTRA GÖTALANDS LÄN</t>
        </is>
      </c>
      <c r="E7094" t="inlineStr">
        <is>
          <t>FALKÖPING</t>
        </is>
      </c>
      <c r="G7094" t="n">
        <v>1.6</v>
      </c>
      <c r="H7094" t="n">
        <v>0</v>
      </c>
      <c r="I7094" t="n">
        <v>0</v>
      </c>
      <c r="J7094" t="n">
        <v>0</v>
      </c>
      <c r="K7094" t="n">
        <v>0</v>
      </c>
      <c r="L7094" t="n">
        <v>0</v>
      </c>
      <c r="M7094" t="n">
        <v>0</v>
      </c>
      <c r="N7094" t="n">
        <v>0</v>
      </c>
      <c r="O7094" t="n">
        <v>0</v>
      </c>
      <c r="P7094" t="n">
        <v>0</v>
      </c>
      <c r="Q7094" t="n">
        <v>0</v>
      </c>
      <c r="R7094" s="2" t="inlineStr"/>
    </row>
    <row r="7095" ht="15" customHeight="1">
      <c r="A7095" t="inlineStr">
        <is>
          <t>A 61904-2023</t>
        </is>
      </c>
      <c r="B7095" s="1" t="n">
        <v>45266.46422453703</v>
      </c>
      <c r="C7095" s="1" t="n">
        <v>45952</v>
      </c>
      <c r="D7095" t="inlineStr">
        <is>
          <t>VÄSTRA GÖTALANDS LÄN</t>
        </is>
      </c>
      <c r="E7095" t="inlineStr">
        <is>
          <t>TRANEMO</t>
        </is>
      </c>
      <c r="G7095" t="n">
        <v>1.4</v>
      </c>
      <c r="H7095" t="n">
        <v>0</v>
      </c>
      <c r="I7095" t="n">
        <v>0</v>
      </c>
      <c r="J7095" t="n">
        <v>0</v>
      </c>
      <c r="K7095" t="n">
        <v>0</v>
      </c>
      <c r="L7095" t="n">
        <v>0</v>
      </c>
      <c r="M7095" t="n">
        <v>0</v>
      </c>
      <c r="N7095" t="n">
        <v>0</v>
      </c>
      <c r="O7095" t="n">
        <v>0</v>
      </c>
      <c r="P7095" t="n">
        <v>0</v>
      </c>
      <c r="Q7095" t="n">
        <v>0</v>
      </c>
      <c r="R7095" s="2" t="inlineStr"/>
    </row>
    <row r="7096" ht="15" customHeight="1">
      <c r="A7096" t="inlineStr">
        <is>
          <t>A 14911-2023</t>
        </is>
      </c>
      <c r="B7096" s="1" t="n">
        <v>45015.38202546296</v>
      </c>
      <c r="C7096" s="1" t="n">
        <v>45952</v>
      </c>
      <c r="D7096" t="inlineStr">
        <is>
          <t>VÄSTRA GÖTALANDS LÄN</t>
        </is>
      </c>
      <c r="E7096" t="inlineStr">
        <is>
          <t>ULRICEHAMN</t>
        </is>
      </c>
      <c r="G7096" t="n">
        <v>1.6</v>
      </c>
      <c r="H7096" t="n">
        <v>0</v>
      </c>
      <c r="I7096" t="n">
        <v>0</v>
      </c>
      <c r="J7096" t="n">
        <v>0</v>
      </c>
      <c r="K7096" t="n">
        <v>0</v>
      </c>
      <c r="L7096" t="n">
        <v>0</v>
      </c>
      <c r="M7096" t="n">
        <v>0</v>
      </c>
      <c r="N7096" t="n">
        <v>0</v>
      </c>
      <c r="O7096" t="n">
        <v>0</v>
      </c>
      <c r="P7096" t="n">
        <v>0</v>
      </c>
      <c r="Q7096" t="n">
        <v>0</v>
      </c>
      <c r="R7096" s="2" t="inlineStr"/>
    </row>
    <row r="7097" ht="15" customHeight="1">
      <c r="A7097" t="inlineStr">
        <is>
          <t>A 42617-2023</t>
        </is>
      </c>
      <c r="B7097" s="1" t="n">
        <v>45181.47123842593</v>
      </c>
      <c r="C7097" s="1" t="n">
        <v>45952</v>
      </c>
      <c r="D7097" t="inlineStr">
        <is>
          <t>VÄSTRA GÖTALANDS LÄN</t>
        </is>
      </c>
      <c r="E7097" t="inlineStr">
        <is>
          <t>SVENLJUNGA</t>
        </is>
      </c>
      <c r="G7097" t="n">
        <v>1.4</v>
      </c>
      <c r="H7097" t="n">
        <v>0</v>
      </c>
      <c r="I7097" t="n">
        <v>0</v>
      </c>
      <c r="J7097" t="n">
        <v>0</v>
      </c>
      <c r="K7097" t="n">
        <v>0</v>
      </c>
      <c r="L7097" t="n">
        <v>0</v>
      </c>
      <c r="M7097" t="n">
        <v>0</v>
      </c>
      <c r="N7097" t="n">
        <v>0</v>
      </c>
      <c r="O7097" t="n">
        <v>0</v>
      </c>
      <c r="P7097" t="n">
        <v>0</v>
      </c>
      <c r="Q7097" t="n">
        <v>0</v>
      </c>
      <c r="R7097" s="2" t="inlineStr"/>
    </row>
    <row r="7098" ht="15" customHeight="1">
      <c r="A7098" t="inlineStr">
        <is>
          <t>A 16248-2022</t>
        </is>
      </c>
      <c r="B7098" s="1" t="n">
        <v>44670.44054398148</v>
      </c>
      <c r="C7098" s="1" t="n">
        <v>45952</v>
      </c>
      <c r="D7098" t="inlineStr">
        <is>
          <t>VÄSTRA GÖTALANDS LÄN</t>
        </is>
      </c>
      <c r="E7098" t="inlineStr">
        <is>
          <t>ESSUNGA</t>
        </is>
      </c>
      <c r="G7098" t="n">
        <v>1</v>
      </c>
      <c r="H7098" t="n">
        <v>0</v>
      </c>
      <c r="I7098" t="n">
        <v>0</v>
      </c>
      <c r="J7098" t="n">
        <v>0</v>
      </c>
      <c r="K7098" t="n">
        <v>0</v>
      </c>
      <c r="L7098" t="n">
        <v>0</v>
      </c>
      <c r="M7098" t="n">
        <v>0</v>
      </c>
      <c r="N7098" t="n">
        <v>0</v>
      </c>
      <c r="O7098" t="n">
        <v>0</v>
      </c>
      <c r="P7098" t="n">
        <v>0</v>
      </c>
      <c r="Q7098" t="n">
        <v>0</v>
      </c>
      <c r="R7098" s="2" t="inlineStr"/>
    </row>
    <row r="7099" ht="15" customHeight="1">
      <c r="A7099" t="inlineStr">
        <is>
          <t>A 28047-2023</t>
        </is>
      </c>
      <c r="B7099" s="1" t="n">
        <v>45099</v>
      </c>
      <c r="C7099" s="1" t="n">
        <v>45952</v>
      </c>
      <c r="D7099" t="inlineStr">
        <is>
          <t>VÄSTRA GÖTALANDS LÄN</t>
        </is>
      </c>
      <c r="E7099" t="inlineStr">
        <is>
          <t>MARK</t>
        </is>
      </c>
      <c r="G7099" t="n">
        <v>1.5</v>
      </c>
      <c r="H7099" t="n">
        <v>0</v>
      </c>
      <c r="I7099" t="n">
        <v>0</v>
      </c>
      <c r="J7099" t="n">
        <v>0</v>
      </c>
      <c r="K7099" t="n">
        <v>0</v>
      </c>
      <c r="L7099" t="n">
        <v>0</v>
      </c>
      <c r="M7099" t="n">
        <v>0</v>
      </c>
      <c r="N7099" t="n">
        <v>0</v>
      </c>
      <c r="O7099" t="n">
        <v>0</v>
      </c>
      <c r="P7099" t="n">
        <v>0</v>
      </c>
      <c r="Q7099" t="n">
        <v>0</v>
      </c>
      <c r="R7099" s="2" t="inlineStr"/>
    </row>
    <row r="7100" ht="15" customHeight="1">
      <c r="A7100" t="inlineStr">
        <is>
          <t>A 38986-2023</t>
        </is>
      </c>
      <c r="B7100" s="1" t="n">
        <v>45163.65444444444</v>
      </c>
      <c r="C7100" s="1" t="n">
        <v>45952</v>
      </c>
      <c r="D7100" t="inlineStr">
        <is>
          <t>VÄSTRA GÖTALANDS LÄN</t>
        </is>
      </c>
      <c r="E7100" t="inlineStr">
        <is>
          <t>ULRICEHAMN</t>
        </is>
      </c>
      <c r="G7100" t="n">
        <v>5.2</v>
      </c>
      <c r="H7100" t="n">
        <v>0</v>
      </c>
      <c r="I7100" t="n">
        <v>0</v>
      </c>
      <c r="J7100" t="n">
        <v>0</v>
      </c>
      <c r="K7100" t="n">
        <v>0</v>
      </c>
      <c r="L7100" t="n">
        <v>0</v>
      </c>
      <c r="M7100" t="n">
        <v>0</v>
      </c>
      <c r="N7100" t="n">
        <v>0</v>
      </c>
      <c r="O7100" t="n">
        <v>0</v>
      </c>
      <c r="P7100" t="n">
        <v>0</v>
      </c>
      <c r="Q7100" t="n">
        <v>0</v>
      </c>
      <c r="R7100" s="2" t="inlineStr"/>
    </row>
    <row r="7101" ht="15" customHeight="1">
      <c r="A7101" t="inlineStr">
        <is>
          <t>A 12713-2022</t>
        </is>
      </c>
      <c r="B7101" s="1" t="n">
        <v>44641.64945601852</v>
      </c>
      <c r="C7101" s="1" t="n">
        <v>45952</v>
      </c>
      <c r="D7101" t="inlineStr">
        <is>
          <t>VÄSTRA GÖTALANDS LÄN</t>
        </is>
      </c>
      <c r="E7101" t="inlineStr">
        <is>
          <t>MELLERUD</t>
        </is>
      </c>
      <c r="G7101" t="n">
        <v>2.9</v>
      </c>
      <c r="H7101" t="n">
        <v>0</v>
      </c>
      <c r="I7101" t="n">
        <v>0</v>
      </c>
      <c r="J7101" t="n">
        <v>0</v>
      </c>
      <c r="K7101" t="n">
        <v>0</v>
      </c>
      <c r="L7101" t="n">
        <v>0</v>
      </c>
      <c r="M7101" t="n">
        <v>0</v>
      </c>
      <c r="N7101" t="n">
        <v>0</v>
      </c>
      <c r="O7101" t="n">
        <v>0</v>
      </c>
      <c r="P7101" t="n">
        <v>0</v>
      </c>
      <c r="Q7101" t="n">
        <v>0</v>
      </c>
      <c r="R7101" s="2" t="inlineStr"/>
    </row>
    <row r="7102" ht="15" customHeight="1">
      <c r="A7102" t="inlineStr">
        <is>
          <t>A 58097-2024</t>
        </is>
      </c>
      <c r="B7102" s="1" t="n">
        <v>45632</v>
      </c>
      <c r="C7102" s="1" t="n">
        <v>45952</v>
      </c>
      <c r="D7102" t="inlineStr">
        <is>
          <t>VÄSTRA GÖTALANDS LÄN</t>
        </is>
      </c>
      <c r="E7102" t="inlineStr">
        <is>
          <t>TÖREBODA</t>
        </is>
      </c>
      <c r="G7102" t="n">
        <v>8.6</v>
      </c>
      <c r="H7102" t="n">
        <v>0</v>
      </c>
      <c r="I7102" t="n">
        <v>0</v>
      </c>
      <c r="J7102" t="n">
        <v>0</v>
      </c>
      <c r="K7102" t="n">
        <v>0</v>
      </c>
      <c r="L7102" t="n">
        <v>0</v>
      </c>
      <c r="M7102" t="n">
        <v>0</v>
      </c>
      <c r="N7102" t="n">
        <v>0</v>
      </c>
      <c r="O7102" t="n">
        <v>0</v>
      </c>
      <c r="P7102" t="n">
        <v>0</v>
      </c>
      <c r="Q7102" t="n">
        <v>0</v>
      </c>
      <c r="R7102" s="2" t="inlineStr"/>
    </row>
    <row r="7103" ht="15" customHeight="1">
      <c r="A7103" t="inlineStr">
        <is>
          <t>A 58127-2024</t>
        </is>
      </c>
      <c r="B7103" s="1" t="n">
        <v>45632.40393518518</v>
      </c>
      <c r="C7103" s="1" t="n">
        <v>45952</v>
      </c>
      <c r="D7103" t="inlineStr">
        <is>
          <t>VÄSTRA GÖTALANDS LÄN</t>
        </is>
      </c>
      <c r="E7103" t="inlineStr">
        <is>
          <t>KARLSBORG</t>
        </is>
      </c>
      <c r="F7103" t="inlineStr">
        <is>
          <t>Sveaskog</t>
        </is>
      </c>
      <c r="G7103" t="n">
        <v>5.8</v>
      </c>
      <c r="H7103" t="n">
        <v>0</v>
      </c>
      <c r="I7103" t="n">
        <v>0</v>
      </c>
      <c r="J7103" t="n">
        <v>0</v>
      </c>
      <c r="K7103" t="n">
        <v>0</v>
      </c>
      <c r="L7103" t="n">
        <v>0</v>
      </c>
      <c r="M7103" t="n">
        <v>0</v>
      </c>
      <c r="N7103" t="n">
        <v>0</v>
      </c>
      <c r="O7103" t="n">
        <v>0</v>
      </c>
      <c r="P7103" t="n">
        <v>0</v>
      </c>
      <c r="Q7103" t="n">
        <v>0</v>
      </c>
      <c r="R7103" s="2" t="inlineStr"/>
    </row>
    <row r="7104" ht="15" customHeight="1">
      <c r="A7104" t="inlineStr">
        <is>
          <t>A 36300-2024</t>
        </is>
      </c>
      <c r="B7104" s="1" t="n">
        <v>45534.60949074074</v>
      </c>
      <c r="C7104" s="1" t="n">
        <v>45952</v>
      </c>
      <c r="D7104" t="inlineStr">
        <is>
          <t>VÄSTRA GÖTALANDS LÄN</t>
        </is>
      </c>
      <c r="E7104" t="inlineStr">
        <is>
          <t>MARK</t>
        </is>
      </c>
      <c r="G7104" t="n">
        <v>3</v>
      </c>
      <c r="H7104" t="n">
        <v>0</v>
      </c>
      <c r="I7104" t="n">
        <v>0</v>
      </c>
      <c r="J7104" t="n">
        <v>0</v>
      </c>
      <c r="K7104" t="n">
        <v>0</v>
      </c>
      <c r="L7104" t="n">
        <v>0</v>
      </c>
      <c r="M7104" t="n">
        <v>0</v>
      </c>
      <c r="N7104" t="n">
        <v>0</v>
      </c>
      <c r="O7104" t="n">
        <v>0</v>
      </c>
      <c r="P7104" t="n">
        <v>0</v>
      </c>
      <c r="Q7104" t="n">
        <v>0</v>
      </c>
      <c r="R7104" s="2" t="inlineStr"/>
    </row>
    <row r="7105" ht="15" customHeight="1">
      <c r="A7105" t="inlineStr">
        <is>
          <t>A 5690-2022</t>
        </is>
      </c>
      <c r="B7105" s="1" t="n">
        <v>44596.36332175926</v>
      </c>
      <c r="C7105" s="1" t="n">
        <v>45952</v>
      </c>
      <c r="D7105" t="inlineStr">
        <is>
          <t>VÄSTRA GÖTALANDS LÄN</t>
        </is>
      </c>
      <c r="E7105" t="inlineStr">
        <is>
          <t>BENGTSFORS</t>
        </is>
      </c>
      <c r="G7105" t="n">
        <v>2.1</v>
      </c>
      <c r="H7105" t="n">
        <v>0</v>
      </c>
      <c r="I7105" t="n">
        <v>0</v>
      </c>
      <c r="J7105" t="n">
        <v>0</v>
      </c>
      <c r="K7105" t="n">
        <v>0</v>
      </c>
      <c r="L7105" t="n">
        <v>0</v>
      </c>
      <c r="M7105" t="n">
        <v>0</v>
      </c>
      <c r="N7105" t="n">
        <v>0</v>
      </c>
      <c r="O7105" t="n">
        <v>0</v>
      </c>
      <c r="P7105" t="n">
        <v>0</v>
      </c>
      <c r="Q7105" t="n">
        <v>0</v>
      </c>
      <c r="R7105" s="2" t="inlineStr"/>
    </row>
    <row r="7106" ht="15" customHeight="1">
      <c r="A7106" t="inlineStr">
        <is>
          <t>A 37257-2024</t>
        </is>
      </c>
      <c r="B7106" s="1" t="n">
        <v>45540.36935185185</v>
      </c>
      <c r="C7106" s="1" t="n">
        <v>45952</v>
      </c>
      <c r="D7106" t="inlineStr">
        <is>
          <t>VÄSTRA GÖTALANDS LÄN</t>
        </is>
      </c>
      <c r="E7106" t="inlineStr">
        <is>
          <t>FALKÖPING</t>
        </is>
      </c>
      <c r="G7106" t="n">
        <v>1.3</v>
      </c>
      <c r="H7106" t="n">
        <v>0</v>
      </c>
      <c r="I7106" t="n">
        <v>0</v>
      </c>
      <c r="J7106" t="n">
        <v>0</v>
      </c>
      <c r="K7106" t="n">
        <v>0</v>
      </c>
      <c r="L7106" t="n">
        <v>0</v>
      </c>
      <c r="M7106" t="n">
        <v>0</v>
      </c>
      <c r="N7106" t="n">
        <v>0</v>
      </c>
      <c r="O7106" t="n">
        <v>0</v>
      </c>
      <c r="P7106" t="n">
        <v>0</v>
      </c>
      <c r="Q7106" t="n">
        <v>0</v>
      </c>
      <c r="R7106" s="2" t="inlineStr"/>
    </row>
    <row r="7107" ht="15" customHeight="1">
      <c r="A7107" t="inlineStr">
        <is>
          <t>A 37262-2024</t>
        </is>
      </c>
      <c r="B7107" s="1" t="n">
        <v>45540.38136574074</v>
      </c>
      <c r="C7107" s="1" t="n">
        <v>45952</v>
      </c>
      <c r="D7107" t="inlineStr">
        <is>
          <t>VÄSTRA GÖTALANDS LÄN</t>
        </is>
      </c>
      <c r="E7107" t="inlineStr">
        <is>
          <t>FALKÖPING</t>
        </is>
      </c>
      <c r="G7107" t="n">
        <v>2</v>
      </c>
      <c r="H7107" t="n">
        <v>0</v>
      </c>
      <c r="I7107" t="n">
        <v>0</v>
      </c>
      <c r="J7107" t="n">
        <v>0</v>
      </c>
      <c r="K7107" t="n">
        <v>0</v>
      </c>
      <c r="L7107" t="n">
        <v>0</v>
      </c>
      <c r="M7107" t="n">
        <v>0</v>
      </c>
      <c r="N7107" t="n">
        <v>0</v>
      </c>
      <c r="O7107" t="n">
        <v>0</v>
      </c>
      <c r="P7107" t="n">
        <v>0</v>
      </c>
      <c r="Q7107" t="n">
        <v>0</v>
      </c>
      <c r="R7107" s="2" t="inlineStr"/>
    </row>
    <row r="7108" ht="15" customHeight="1">
      <c r="A7108" t="inlineStr">
        <is>
          <t>A 17124-2023</t>
        </is>
      </c>
      <c r="B7108" s="1" t="n">
        <v>45034</v>
      </c>
      <c r="C7108" s="1" t="n">
        <v>45952</v>
      </c>
      <c r="D7108" t="inlineStr">
        <is>
          <t>VÄSTRA GÖTALANDS LÄN</t>
        </is>
      </c>
      <c r="E7108" t="inlineStr">
        <is>
          <t>TRANEMO</t>
        </is>
      </c>
      <c r="G7108" t="n">
        <v>2.8</v>
      </c>
      <c r="H7108" t="n">
        <v>0</v>
      </c>
      <c r="I7108" t="n">
        <v>0</v>
      </c>
      <c r="J7108" t="n">
        <v>0</v>
      </c>
      <c r="K7108" t="n">
        <v>0</v>
      </c>
      <c r="L7108" t="n">
        <v>0</v>
      </c>
      <c r="M7108" t="n">
        <v>0</v>
      </c>
      <c r="N7108" t="n">
        <v>0</v>
      </c>
      <c r="O7108" t="n">
        <v>0</v>
      </c>
      <c r="P7108" t="n">
        <v>0</v>
      </c>
      <c r="Q7108" t="n">
        <v>0</v>
      </c>
      <c r="R7108" s="2" t="inlineStr"/>
    </row>
    <row r="7109" ht="15" customHeight="1">
      <c r="A7109" t="inlineStr">
        <is>
          <t>A 1046-2023</t>
        </is>
      </c>
      <c r="B7109" s="1" t="n">
        <v>44929</v>
      </c>
      <c r="C7109" s="1" t="n">
        <v>45952</v>
      </c>
      <c r="D7109" t="inlineStr">
        <is>
          <t>VÄSTRA GÖTALANDS LÄN</t>
        </is>
      </c>
      <c r="E7109" t="inlineStr">
        <is>
          <t>BENGTSFORS</t>
        </is>
      </c>
      <c r="F7109" t="inlineStr">
        <is>
          <t>Kyrkan</t>
        </is>
      </c>
      <c r="G7109" t="n">
        <v>7.6</v>
      </c>
      <c r="H7109" t="n">
        <v>0</v>
      </c>
      <c r="I7109" t="n">
        <v>0</v>
      </c>
      <c r="J7109" t="n">
        <v>0</v>
      </c>
      <c r="K7109" t="n">
        <v>0</v>
      </c>
      <c r="L7109" t="n">
        <v>0</v>
      </c>
      <c r="M7109" t="n">
        <v>0</v>
      </c>
      <c r="N7109" t="n">
        <v>0</v>
      </c>
      <c r="O7109" t="n">
        <v>0</v>
      </c>
      <c r="P7109" t="n">
        <v>0</v>
      </c>
      <c r="Q7109" t="n">
        <v>0</v>
      </c>
      <c r="R7109" s="2" t="inlineStr"/>
    </row>
    <row r="7110" ht="15" customHeight="1">
      <c r="A7110" t="inlineStr">
        <is>
          <t>A 42116-2023</t>
        </is>
      </c>
      <c r="B7110" s="1" t="n">
        <v>45174</v>
      </c>
      <c r="C7110" s="1" t="n">
        <v>45952</v>
      </c>
      <c r="D7110" t="inlineStr">
        <is>
          <t>VÄSTRA GÖTALANDS LÄN</t>
        </is>
      </c>
      <c r="E7110" t="inlineStr">
        <is>
          <t>TRANEMO</t>
        </is>
      </c>
      <c r="G7110" t="n">
        <v>1.3</v>
      </c>
      <c r="H7110" t="n">
        <v>0</v>
      </c>
      <c r="I7110" t="n">
        <v>0</v>
      </c>
      <c r="J7110" t="n">
        <v>0</v>
      </c>
      <c r="K7110" t="n">
        <v>0</v>
      </c>
      <c r="L7110" t="n">
        <v>0</v>
      </c>
      <c r="M7110" t="n">
        <v>0</v>
      </c>
      <c r="N7110" t="n">
        <v>0</v>
      </c>
      <c r="O7110" t="n">
        <v>0</v>
      </c>
      <c r="P7110" t="n">
        <v>0</v>
      </c>
      <c r="Q7110" t="n">
        <v>0</v>
      </c>
      <c r="R7110" s="2" t="inlineStr"/>
    </row>
    <row r="7111" ht="15" customHeight="1">
      <c r="A7111" t="inlineStr">
        <is>
          <t>A 7092-2025</t>
        </is>
      </c>
      <c r="B7111" s="1" t="n">
        <v>45701.76197916667</v>
      </c>
      <c r="C7111" s="1" t="n">
        <v>45952</v>
      </c>
      <c r="D7111" t="inlineStr">
        <is>
          <t>VÄSTRA GÖTALANDS LÄN</t>
        </is>
      </c>
      <c r="E7111" t="inlineStr">
        <is>
          <t>BORÅS</t>
        </is>
      </c>
      <c r="G7111" t="n">
        <v>3.1</v>
      </c>
      <c r="H7111" t="n">
        <v>0</v>
      </c>
      <c r="I7111" t="n">
        <v>0</v>
      </c>
      <c r="J7111" t="n">
        <v>0</v>
      </c>
      <c r="K7111" t="n">
        <v>0</v>
      </c>
      <c r="L7111" t="n">
        <v>0</v>
      </c>
      <c r="M7111" t="n">
        <v>0</v>
      </c>
      <c r="N7111" t="n">
        <v>0</v>
      </c>
      <c r="O7111" t="n">
        <v>0</v>
      </c>
      <c r="P7111" t="n">
        <v>0</v>
      </c>
      <c r="Q7111" t="n">
        <v>0</v>
      </c>
      <c r="R7111" s="2" t="inlineStr"/>
    </row>
    <row r="7112" ht="15" customHeight="1">
      <c r="A7112" t="inlineStr">
        <is>
          <t>A 10356-2025</t>
        </is>
      </c>
      <c r="B7112" s="1" t="n">
        <v>45720.52783564815</v>
      </c>
      <c r="C7112" s="1" t="n">
        <v>45952</v>
      </c>
      <c r="D7112" t="inlineStr">
        <is>
          <t>VÄSTRA GÖTALANDS LÄN</t>
        </is>
      </c>
      <c r="E7112" t="inlineStr">
        <is>
          <t>MELLERUD</t>
        </is>
      </c>
      <c r="G7112" t="n">
        <v>0.5</v>
      </c>
      <c r="H7112" t="n">
        <v>0</v>
      </c>
      <c r="I7112" t="n">
        <v>0</v>
      </c>
      <c r="J7112" t="n">
        <v>0</v>
      </c>
      <c r="K7112" t="n">
        <v>0</v>
      </c>
      <c r="L7112" t="n">
        <v>0</v>
      </c>
      <c r="M7112" t="n">
        <v>0</v>
      </c>
      <c r="N7112" t="n">
        <v>0</v>
      </c>
      <c r="O7112" t="n">
        <v>0</v>
      </c>
      <c r="P7112" t="n">
        <v>0</v>
      </c>
      <c r="Q7112" t="n">
        <v>0</v>
      </c>
      <c r="R7112" s="2" t="inlineStr"/>
    </row>
    <row r="7113" ht="15" customHeight="1">
      <c r="A7113" t="inlineStr">
        <is>
          <t>A 20198-2023</t>
        </is>
      </c>
      <c r="B7113" s="1" t="n">
        <v>45055.586875</v>
      </c>
      <c r="C7113" s="1" t="n">
        <v>45952</v>
      </c>
      <c r="D7113" t="inlineStr">
        <is>
          <t>VÄSTRA GÖTALANDS LÄN</t>
        </is>
      </c>
      <c r="E7113" t="inlineStr">
        <is>
          <t>GRÄSTORP</t>
        </is>
      </c>
      <c r="G7113" t="n">
        <v>1.6</v>
      </c>
      <c r="H7113" t="n">
        <v>0</v>
      </c>
      <c r="I7113" t="n">
        <v>0</v>
      </c>
      <c r="J7113" t="n">
        <v>0</v>
      </c>
      <c r="K7113" t="n">
        <v>0</v>
      </c>
      <c r="L7113" t="n">
        <v>0</v>
      </c>
      <c r="M7113" t="n">
        <v>0</v>
      </c>
      <c r="N7113" t="n">
        <v>0</v>
      </c>
      <c r="O7113" t="n">
        <v>0</v>
      </c>
      <c r="P7113" t="n">
        <v>0</v>
      </c>
      <c r="Q7113" t="n">
        <v>0</v>
      </c>
      <c r="R7113" s="2" t="inlineStr"/>
    </row>
    <row r="7114" ht="15" customHeight="1">
      <c r="A7114" t="inlineStr">
        <is>
          <t>A 41554-2024</t>
        </is>
      </c>
      <c r="B7114" s="1" t="n">
        <v>45560</v>
      </c>
      <c r="C7114" s="1" t="n">
        <v>45952</v>
      </c>
      <c r="D7114" t="inlineStr">
        <is>
          <t>VÄSTRA GÖTALANDS LÄN</t>
        </is>
      </c>
      <c r="E7114" t="inlineStr">
        <is>
          <t>TROLLHÄTTAN</t>
        </is>
      </c>
      <c r="G7114" t="n">
        <v>1.7</v>
      </c>
      <c r="H7114" t="n">
        <v>0</v>
      </c>
      <c r="I7114" t="n">
        <v>0</v>
      </c>
      <c r="J7114" t="n">
        <v>0</v>
      </c>
      <c r="K7114" t="n">
        <v>0</v>
      </c>
      <c r="L7114" t="n">
        <v>0</v>
      </c>
      <c r="M7114" t="n">
        <v>0</v>
      </c>
      <c r="N7114" t="n">
        <v>0</v>
      </c>
      <c r="O7114" t="n">
        <v>0</v>
      </c>
      <c r="P7114" t="n">
        <v>0</v>
      </c>
      <c r="Q7114" t="n">
        <v>0</v>
      </c>
      <c r="R7114" s="2" t="inlineStr"/>
    </row>
    <row r="7115" ht="15" customHeight="1">
      <c r="A7115" t="inlineStr">
        <is>
          <t>A 41572-2024</t>
        </is>
      </c>
      <c r="B7115" s="1" t="n">
        <v>45560.54604166667</v>
      </c>
      <c r="C7115" s="1" t="n">
        <v>45952</v>
      </c>
      <c r="D7115" t="inlineStr">
        <is>
          <t>VÄSTRA GÖTALANDS LÄN</t>
        </is>
      </c>
      <c r="E7115" t="inlineStr">
        <is>
          <t>ULRICEHAMN</t>
        </is>
      </c>
      <c r="G7115" t="n">
        <v>1.4</v>
      </c>
      <c r="H7115" t="n">
        <v>0</v>
      </c>
      <c r="I7115" t="n">
        <v>0</v>
      </c>
      <c r="J7115" t="n">
        <v>0</v>
      </c>
      <c r="K7115" t="n">
        <v>0</v>
      </c>
      <c r="L7115" t="n">
        <v>0</v>
      </c>
      <c r="M7115" t="n">
        <v>0</v>
      </c>
      <c r="N7115" t="n">
        <v>0</v>
      </c>
      <c r="O7115" t="n">
        <v>0</v>
      </c>
      <c r="P7115" t="n">
        <v>0</v>
      </c>
      <c r="Q7115" t="n">
        <v>0</v>
      </c>
      <c r="R7115" s="2" t="inlineStr"/>
    </row>
    <row r="7116" ht="15" customHeight="1">
      <c r="A7116" t="inlineStr">
        <is>
          <t>A 29718-2024</t>
        </is>
      </c>
      <c r="B7116" s="1" t="n">
        <v>45485.36313657407</v>
      </c>
      <c r="C7116" s="1" t="n">
        <v>45952</v>
      </c>
      <c r="D7116" t="inlineStr">
        <is>
          <t>VÄSTRA GÖTALANDS LÄN</t>
        </is>
      </c>
      <c r="E7116" t="inlineStr">
        <is>
          <t>FALKÖPING</t>
        </is>
      </c>
      <c r="F7116" t="inlineStr">
        <is>
          <t>Sveaskog</t>
        </is>
      </c>
      <c r="G7116" t="n">
        <v>3.7</v>
      </c>
      <c r="H7116" t="n">
        <v>0</v>
      </c>
      <c r="I7116" t="n">
        <v>0</v>
      </c>
      <c r="J7116" t="n">
        <v>0</v>
      </c>
      <c r="K7116" t="n">
        <v>0</v>
      </c>
      <c r="L7116" t="n">
        <v>0</v>
      </c>
      <c r="M7116" t="n">
        <v>0</v>
      </c>
      <c r="N7116" t="n">
        <v>0</v>
      </c>
      <c r="O7116" t="n">
        <v>0</v>
      </c>
      <c r="P7116" t="n">
        <v>0</v>
      </c>
      <c r="Q7116" t="n">
        <v>0</v>
      </c>
      <c r="R7116" s="2" t="inlineStr"/>
    </row>
    <row r="7117" ht="15" customHeight="1">
      <c r="A7117" t="inlineStr">
        <is>
          <t>A 2647-2024</t>
        </is>
      </c>
      <c r="B7117" s="1" t="n">
        <v>45314.36715277778</v>
      </c>
      <c r="C7117" s="1" t="n">
        <v>45952</v>
      </c>
      <c r="D7117" t="inlineStr">
        <is>
          <t>VÄSTRA GÖTALANDS LÄN</t>
        </is>
      </c>
      <c r="E7117" t="inlineStr">
        <is>
          <t>UDDEVALLA</t>
        </is>
      </c>
      <c r="G7117" t="n">
        <v>4.2</v>
      </c>
      <c r="H7117" t="n">
        <v>0</v>
      </c>
      <c r="I7117" t="n">
        <v>0</v>
      </c>
      <c r="J7117" t="n">
        <v>0</v>
      </c>
      <c r="K7117" t="n">
        <v>0</v>
      </c>
      <c r="L7117" t="n">
        <v>0</v>
      </c>
      <c r="M7117" t="n">
        <v>0</v>
      </c>
      <c r="N7117" t="n">
        <v>0</v>
      </c>
      <c r="O7117" t="n">
        <v>0</v>
      </c>
      <c r="P7117" t="n">
        <v>0</v>
      </c>
      <c r="Q7117" t="n">
        <v>0</v>
      </c>
      <c r="R7117" s="2" t="inlineStr"/>
    </row>
    <row r="7118" ht="15" customHeight="1">
      <c r="A7118" t="inlineStr">
        <is>
          <t>A 30377-2024</t>
        </is>
      </c>
      <c r="B7118" s="1" t="n">
        <v>45491</v>
      </c>
      <c r="C7118" s="1" t="n">
        <v>45952</v>
      </c>
      <c r="D7118" t="inlineStr">
        <is>
          <t>VÄSTRA GÖTALANDS LÄN</t>
        </is>
      </c>
      <c r="E7118" t="inlineStr">
        <is>
          <t>HERRLJUNGA</t>
        </is>
      </c>
      <c r="G7118" t="n">
        <v>2.5</v>
      </c>
      <c r="H7118" t="n">
        <v>0</v>
      </c>
      <c r="I7118" t="n">
        <v>0</v>
      </c>
      <c r="J7118" t="n">
        <v>0</v>
      </c>
      <c r="K7118" t="n">
        <v>0</v>
      </c>
      <c r="L7118" t="n">
        <v>0</v>
      </c>
      <c r="M7118" t="n">
        <v>0</v>
      </c>
      <c r="N7118" t="n">
        <v>0</v>
      </c>
      <c r="O7118" t="n">
        <v>0</v>
      </c>
      <c r="P7118" t="n">
        <v>0</v>
      </c>
      <c r="Q7118" t="n">
        <v>0</v>
      </c>
      <c r="R7118" s="2" t="inlineStr"/>
    </row>
    <row r="7119" ht="15" customHeight="1">
      <c r="A7119" t="inlineStr">
        <is>
          <t>A 21536-2024</t>
        </is>
      </c>
      <c r="B7119" s="1" t="n">
        <v>45441.59925925926</v>
      </c>
      <c r="C7119" s="1" t="n">
        <v>45952</v>
      </c>
      <c r="D7119" t="inlineStr">
        <is>
          <t>VÄSTRA GÖTALANDS LÄN</t>
        </is>
      </c>
      <c r="E7119" t="inlineStr">
        <is>
          <t>MÖLNDAL</t>
        </is>
      </c>
      <c r="G7119" t="n">
        <v>2.8</v>
      </c>
      <c r="H7119" t="n">
        <v>0</v>
      </c>
      <c r="I7119" t="n">
        <v>0</v>
      </c>
      <c r="J7119" t="n">
        <v>0</v>
      </c>
      <c r="K7119" t="n">
        <v>0</v>
      </c>
      <c r="L7119" t="n">
        <v>0</v>
      </c>
      <c r="M7119" t="n">
        <v>0</v>
      </c>
      <c r="N7119" t="n">
        <v>0</v>
      </c>
      <c r="O7119" t="n">
        <v>0</v>
      </c>
      <c r="P7119" t="n">
        <v>0</v>
      </c>
      <c r="Q7119" t="n">
        <v>0</v>
      </c>
      <c r="R7119" s="2" t="inlineStr"/>
    </row>
    <row r="7120" ht="15" customHeight="1">
      <c r="A7120" t="inlineStr">
        <is>
          <t>A 59887-2021</t>
        </is>
      </c>
      <c r="B7120" s="1" t="n">
        <v>44494</v>
      </c>
      <c r="C7120" s="1" t="n">
        <v>45952</v>
      </c>
      <c r="D7120" t="inlineStr">
        <is>
          <t>VÄSTRA GÖTALANDS LÄN</t>
        </is>
      </c>
      <c r="E7120" t="inlineStr">
        <is>
          <t>KARLSBORG</t>
        </is>
      </c>
      <c r="F7120" t="inlineStr">
        <is>
          <t>Övriga statliga verk och myndigheter</t>
        </is>
      </c>
      <c r="G7120" t="n">
        <v>4.4</v>
      </c>
      <c r="H7120" t="n">
        <v>0</v>
      </c>
      <c r="I7120" t="n">
        <v>0</v>
      </c>
      <c r="J7120" t="n">
        <v>0</v>
      </c>
      <c r="K7120" t="n">
        <v>0</v>
      </c>
      <c r="L7120" t="n">
        <v>0</v>
      </c>
      <c r="M7120" t="n">
        <v>0</v>
      </c>
      <c r="N7120" t="n">
        <v>0</v>
      </c>
      <c r="O7120" t="n">
        <v>0</v>
      </c>
      <c r="P7120" t="n">
        <v>0</v>
      </c>
      <c r="Q7120" t="n">
        <v>0</v>
      </c>
      <c r="R7120" s="2" t="inlineStr"/>
    </row>
    <row r="7121" ht="15" customHeight="1">
      <c r="A7121" t="inlineStr">
        <is>
          <t>A 16575-2025</t>
        </is>
      </c>
      <c r="B7121" s="1" t="n">
        <v>45752.56149305555</v>
      </c>
      <c r="C7121" s="1" t="n">
        <v>45952</v>
      </c>
      <c r="D7121" t="inlineStr">
        <is>
          <t>VÄSTRA GÖTALANDS LÄN</t>
        </is>
      </c>
      <c r="E7121" t="inlineStr">
        <is>
          <t>TIDAHOLM</t>
        </is>
      </c>
      <c r="G7121" t="n">
        <v>1</v>
      </c>
      <c r="H7121" t="n">
        <v>0</v>
      </c>
      <c r="I7121" t="n">
        <v>0</v>
      </c>
      <c r="J7121" t="n">
        <v>0</v>
      </c>
      <c r="K7121" t="n">
        <v>0</v>
      </c>
      <c r="L7121" t="n">
        <v>0</v>
      </c>
      <c r="M7121" t="n">
        <v>0</v>
      </c>
      <c r="N7121" t="n">
        <v>0</v>
      </c>
      <c r="O7121" t="n">
        <v>0</v>
      </c>
      <c r="P7121" t="n">
        <v>0</v>
      </c>
      <c r="Q7121" t="n">
        <v>0</v>
      </c>
      <c r="R7121" s="2" t="inlineStr"/>
    </row>
    <row r="7122" ht="15" customHeight="1">
      <c r="A7122" t="inlineStr">
        <is>
          <t>A 16590-2025</t>
        </is>
      </c>
      <c r="B7122" s="1" t="n">
        <v>45752.89317129629</v>
      </c>
      <c r="C7122" s="1" t="n">
        <v>45952</v>
      </c>
      <c r="D7122" t="inlineStr">
        <is>
          <t>VÄSTRA GÖTALANDS LÄN</t>
        </is>
      </c>
      <c r="E7122" t="inlineStr">
        <is>
          <t>VÅRGÅRDA</t>
        </is>
      </c>
      <c r="G7122" t="n">
        <v>3.1</v>
      </c>
      <c r="H7122" t="n">
        <v>0</v>
      </c>
      <c r="I7122" t="n">
        <v>0</v>
      </c>
      <c r="J7122" t="n">
        <v>0</v>
      </c>
      <c r="K7122" t="n">
        <v>0</v>
      </c>
      <c r="L7122" t="n">
        <v>0</v>
      </c>
      <c r="M7122" t="n">
        <v>0</v>
      </c>
      <c r="N7122" t="n">
        <v>0</v>
      </c>
      <c r="O7122" t="n">
        <v>0</v>
      </c>
      <c r="P7122" t="n">
        <v>0</v>
      </c>
      <c r="Q7122" t="n">
        <v>0</v>
      </c>
      <c r="R7122" s="2" t="inlineStr"/>
    </row>
    <row r="7123" ht="15" customHeight="1">
      <c r="A7123" t="inlineStr">
        <is>
          <t>A 46561-2024</t>
        </is>
      </c>
      <c r="B7123" s="1" t="n">
        <v>45582.67883101852</v>
      </c>
      <c r="C7123" s="1" t="n">
        <v>45952</v>
      </c>
      <c r="D7123" t="inlineStr">
        <is>
          <t>VÄSTRA GÖTALANDS LÄN</t>
        </is>
      </c>
      <c r="E7123" t="inlineStr">
        <is>
          <t>LILLA EDET</t>
        </is>
      </c>
      <c r="G7123" t="n">
        <v>12.2</v>
      </c>
      <c r="H7123" t="n">
        <v>0</v>
      </c>
      <c r="I7123" t="n">
        <v>0</v>
      </c>
      <c r="J7123" t="n">
        <v>0</v>
      </c>
      <c r="K7123" t="n">
        <v>0</v>
      </c>
      <c r="L7123" t="n">
        <v>0</v>
      </c>
      <c r="M7123" t="n">
        <v>0</v>
      </c>
      <c r="N7123" t="n">
        <v>0</v>
      </c>
      <c r="O7123" t="n">
        <v>0</v>
      </c>
      <c r="P7123" t="n">
        <v>0</v>
      </c>
      <c r="Q7123" t="n">
        <v>0</v>
      </c>
      <c r="R7123" s="2" t="inlineStr"/>
    </row>
    <row r="7124" ht="15" customHeight="1">
      <c r="A7124" t="inlineStr">
        <is>
          <t>A 16644-2025</t>
        </is>
      </c>
      <c r="B7124" s="1" t="n">
        <v>45754.37994212963</v>
      </c>
      <c r="C7124" s="1" t="n">
        <v>45952</v>
      </c>
      <c r="D7124" t="inlineStr">
        <is>
          <t>VÄSTRA GÖTALANDS LÄN</t>
        </is>
      </c>
      <c r="E7124" t="inlineStr">
        <is>
          <t>TANUM</t>
        </is>
      </c>
      <c r="G7124" t="n">
        <v>2.4</v>
      </c>
      <c r="H7124" t="n">
        <v>0</v>
      </c>
      <c r="I7124" t="n">
        <v>0</v>
      </c>
      <c r="J7124" t="n">
        <v>0</v>
      </c>
      <c r="K7124" t="n">
        <v>0</v>
      </c>
      <c r="L7124" t="n">
        <v>0</v>
      </c>
      <c r="M7124" t="n">
        <v>0</v>
      </c>
      <c r="N7124" t="n">
        <v>0</v>
      </c>
      <c r="O7124" t="n">
        <v>0</v>
      </c>
      <c r="P7124" t="n">
        <v>0</v>
      </c>
      <c r="Q7124" t="n">
        <v>0</v>
      </c>
      <c r="R7124" s="2" t="inlineStr"/>
    </row>
    <row r="7125" ht="15" customHeight="1">
      <c r="A7125" t="inlineStr">
        <is>
          <t>A 16646-2025</t>
        </is>
      </c>
      <c r="B7125" s="1" t="n">
        <v>45754.38363425926</v>
      </c>
      <c r="C7125" s="1" t="n">
        <v>45952</v>
      </c>
      <c r="D7125" t="inlineStr">
        <is>
          <t>VÄSTRA GÖTALANDS LÄN</t>
        </is>
      </c>
      <c r="E7125" t="inlineStr">
        <is>
          <t>TANUM</t>
        </is>
      </c>
      <c r="G7125" t="n">
        <v>2.8</v>
      </c>
      <c r="H7125" t="n">
        <v>0</v>
      </c>
      <c r="I7125" t="n">
        <v>0</v>
      </c>
      <c r="J7125" t="n">
        <v>0</v>
      </c>
      <c r="K7125" t="n">
        <v>0</v>
      </c>
      <c r="L7125" t="n">
        <v>0</v>
      </c>
      <c r="M7125" t="n">
        <v>0</v>
      </c>
      <c r="N7125" t="n">
        <v>0</v>
      </c>
      <c r="O7125" t="n">
        <v>0</v>
      </c>
      <c r="P7125" t="n">
        <v>0</v>
      </c>
      <c r="Q7125" t="n">
        <v>0</v>
      </c>
      <c r="R7125" s="2" t="inlineStr"/>
    </row>
    <row r="7126" ht="15" customHeight="1">
      <c r="A7126" t="inlineStr">
        <is>
          <t>A 54119-2024</t>
        </is>
      </c>
      <c r="B7126" s="1" t="n">
        <v>45616.57194444445</v>
      </c>
      <c r="C7126" s="1" t="n">
        <v>45952</v>
      </c>
      <c r="D7126" t="inlineStr">
        <is>
          <t>VÄSTRA GÖTALANDS LÄN</t>
        </is>
      </c>
      <c r="E7126" t="inlineStr">
        <is>
          <t>MARK</t>
        </is>
      </c>
      <c r="G7126" t="n">
        <v>2.1</v>
      </c>
      <c r="H7126" t="n">
        <v>0</v>
      </c>
      <c r="I7126" t="n">
        <v>0</v>
      </c>
      <c r="J7126" t="n">
        <v>0</v>
      </c>
      <c r="K7126" t="n">
        <v>0</v>
      </c>
      <c r="L7126" t="n">
        <v>0</v>
      </c>
      <c r="M7126" t="n">
        <v>0</v>
      </c>
      <c r="N7126" t="n">
        <v>0</v>
      </c>
      <c r="O7126" t="n">
        <v>0</v>
      </c>
      <c r="P7126" t="n">
        <v>0</v>
      </c>
      <c r="Q7126" t="n">
        <v>0</v>
      </c>
      <c r="R7126" s="2" t="inlineStr"/>
    </row>
    <row r="7127" ht="15" customHeight="1">
      <c r="A7127" t="inlineStr">
        <is>
          <t>A 53839-2021</t>
        </is>
      </c>
      <c r="B7127" s="1" t="n">
        <v>44467</v>
      </c>
      <c r="C7127" s="1" t="n">
        <v>45952</v>
      </c>
      <c r="D7127" t="inlineStr">
        <is>
          <t>VÄSTRA GÖTALANDS LÄN</t>
        </is>
      </c>
      <c r="E7127" t="inlineStr">
        <is>
          <t>MUNKEDAL</t>
        </is>
      </c>
      <c r="G7127" t="n">
        <v>1.7</v>
      </c>
      <c r="H7127" t="n">
        <v>0</v>
      </c>
      <c r="I7127" t="n">
        <v>0</v>
      </c>
      <c r="J7127" t="n">
        <v>0</v>
      </c>
      <c r="K7127" t="n">
        <v>0</v>
      </c>
      <c r="L7127" t="n">
        <v>0</v>
      </c>
      <c r="M7127" t="n">
        <v>0</v>
      </c>
      <c r="N7127" t="n">
        <v>0</v>
      </c>
      <c r="O7127" t="n">
        <v>0</v>
      </c>
      <c r="P7127" t="n">
        <v>0</v>
      </c>
      <c r="Q7127" t="n">
        <v>0</v>
      </c>
      <c r="R7127" s="2" t="inlineStr"/>
    </row>
    <row r="7128" ht="15" customHeight="1">
      <c r="A7128" t="inlineStr">
        <is>
          <t>A 42724-2024</t>
        </is>
      </c>
      <c r="B7128" s="1" t="n">
        <v>45566.46574074074</v>
      </c>
      <c r="C7128" s="1" t="n">
        <v>45952</v>
      </c>
      <c r="D7128" t="inlineStr">
        <is>
          <t>VÄSTRA GÖTALANDS LÄN</t>
        </is>
      </c>
      <c r="E7128" t="inlineStr">
        <is>
          <t>KARLSBORG</t>
        </is>
      </c>
      <c r="G7128" t="n">
        <v>8</v>
      </c>
      <c r="H7128" t="n">
        <v>0</v>
      </c>
      <c r="I7128" t="n">
        <v>0</v>
      </c>
      <c r="J7128" t="n">
        <v>0</v>
      </c>
      <c r="K7128" t="n">
        <v>0</v>
      </c>
      <c r="L7128" t="n">
        <v>0</v>
      </c>
      <c r="M7128" t="n">
        <v>0</v>
      </c>
      <c r="N7128" t="n">
        <v>0</v>
      </c>
      <c r="O7128" t="n">
        <v>0</v>
      </c>
      <c r="P7128" t="n">
        <v>0</v>
      </c>
      <c r="Q7128" t="n">
        <v>0</v>
      </c>
      <c r="R7128" s="2" t="inlineStr"/>
    </row>
    <row r="7129" ht="15" customHeight="1">
      <c r="A7129" t="inlineStr">
        <is>
          <t>A 38794-2025</t>
        </is>
      </c>
      <c r="B7129" s="1" t="n">
        <v>45887.45128472222</v>
      </c>
      <c r="C7129" s="1" t="n">
        <v>45952</v>
      </c>
      <c r="D7129" t="inlineStr">
        <is>
          <t>VÄSTRA GÖTALANDS LÄN</t>
        </is>
      </c>
      <c r="E7129" t="inlineStr">
        <is>
          <t>ESSUNGA</t>
        </is>
      </c>
      <c r="G7129" t="n">
        <v>0.7</v>
      </c>
      <c r="H7129" t="n">
        <v>0</v>
      </c>
      <c r="I7129" t="n">
        <v>0</v>
      </c>
      <c r="J7129" t="n">
        <v>0</v>
      </c>
      <c r="K7129" t="n">
        <v>0</v>
      </c>
      <c r="L7129" t="n">
        <v>0</v>
      </c>
      <c r="M7129" t="n">
        <v>0</v>
      </c>
      <c r="N7129" t="n">
        <v>0</v>
      </c>
      <c r="O7129" t="n">
        <v>0</v>
      </c>
      <c r="P7129" t="n">
        <v>0</v>
      </c>
      <c r="Q7129" t="n">
        <v>0</v>
      </c>
      <c r="R7129" s="2" t="inlineStr"/>
    </row>
    <row r="7130" ht="15" customHeight="1">
      <c r="A7130" t="inlineStr">
        <is>
          <t>A 63734-2023</t>
        </is>
      </c>
      <c r="B7130" s="1" t="n">
        <v>45277</v>
      </c>
      <c r="C7130" s="1" t="n">
        <v>45952</v>
      </c>
      <c r="D7130" t="inlineStr">
        <is>
          <t>VÄSTRA GÖTALANDS LÄN</t>
        </is>
      </c>
      <c r="E7130" t="inlineStr">
        <is>
          <t>HERRLJUNGA</t>
        </is>
      </c>
      <c r="G7130" t="n">
        <v>1.2</v>
      </c>
      <c r="H7130" t="n">
        <v>0</v>
      </c>
      <c r="I7130" t="n">
        <v>0</v>
      </c>
      <c r="J7130" t="n">
        <v>0</v>
      </c>
      <c r="K7130" t="n">
        <v>0</v>
      </c>
      <c r="L7130" t="n">
        <v>0</v>
      </c>
      <c r="M7130" t="n">
        <v>0</v>
      </c>
      <c r="N7130" t="n">
        <v>0</v>
      </c>
      <c r="O7130" t="n">
        <v>0</v>
      </c>
      <c r="P7130" t="n">
        <v>0</v>
      </c>
      <c r="Q7130" t="n">
        <v>0</v>
      </c>
      <c r="R7130" s="2" t="inlineStr"/>
    </row>
    <row r="7131" ht="15" customHeight="1">
      <c r="A7131" t="inlineStr">
        <is>
          <t>A 42752-2024</t>
        </is>
      </c>
      <c r="B7131" s="1" t="n">
        <v>45566.49165509259</v>
      </c>
      <c r="C7131" s="1" t="n">
        <v>45952</v>
      </c>
      <c r="D7131" t="inlineStr">
        <is>
          <t>VÄSTRA GÖTALANDS LÄN</t>
        </is>
      </c>
      <c r="E7131" t="inlineStr">
        <is>
          <t>SKARA</t>
        </is>
      </c>
      <c r="F7131" t="inlineStr">
        <is>
          <t>Sveaskog</t>
        </is>
      </c>
      <c r="G7131" t="n">
        <v>6.6</v>
      </c>
      <c r="H7131" t="n">
        <v>0</v>
      </c>
      <c r="I7131" t="n">
        <v>0</v>
      </c>
      <c r="J7131" t="n">
        <v>0</v>
      </c>
      <c r="K7131" t="n">
        <v>0</v>
      </c>
      <c r="L7131" t="n">
        <v>0</v>
      </c>
      <c r="M7131" t="n">
        <v>0</v>
      </c>
      <c r="N7131" t="n">
        <v>0</v>
      </c>
      <c r="O7131" t="n">
        <v>0</v>
      </c>
      <c r="P7131" t="n">
        <v>0</v>
      </c>
      <c r="Q7131" t="n">
        <v>0</v>
      </c>
      <c r="R7131" s="2" t="inlineStr"/>
    </row>
    <row r="7132" ht="15" customHeight="1">
      <c r="A7132" t="inlineStr">
        <is>
          <t>A 30362-2024</t>
        </is>
      </c>
      <c r="B7132" s="1" t="n">
        <v>45491.35975694445</v>
      </c>
      <c r="C7132" s="1" t="n">
        <v>45952</v>
      </c>
      <c r="D7132" t="inlineStr">
        <is>
          <t>VÄSTRA GÖTALANDS LÄN</t>
        </is>
      </c>
      <c r="E7132" t="inlineStr">
        <is>
          <t>VÅRGÅRDA</t>
        </is>
      </c>
      <c r="G7132" t="n">
        <v>2.5</v>
      </c>
      <c r="H7132" t="n">
        <v>0</v>
      </c>
      <c r="I7132" t="n">
        <v>0</v>
      </c>
      <c r="J7132" t="n">
        <v>0</v>
      </c>
      <c r="K7132" t="n">
        <v>0</v>
      </c>
      <c r="L7132" t="n">
        <v>0</v>
      </c>
      <c r="M7132" t="n">
        <v>0</v>
      </c>
      <c r="N7132" t="n">
        <v>0</v>
      </c>
      <c r="O7132" t="n">
        <v>0</v>
      </c>
      <c r="P7132" t="n">
        <v>0</v>
      </c>
      <c r="Q7132" t="n">
        <v>0</v>
      </c>
      <c r="R7132" s="2" t="inlineStr"/>
    </row>
    <row r="7133" ht="15" customHeight="1">
      <c r="A7133" t="inlineStr">
        <is>
          <t>A 45908-2021</t>
        </is>
      </c>
      <c r="B7133" s="1" t="n">
        <v>44441.60664351852</v>
      </c>
      <c r="C7133" s="1" t="n">
        <v>45952</v>
      </c>
      <c r="D7133" t="inlineStr">
        <is>
          <t>VÄSTRA GÖTALANDS LÄN</t>
        </is>
      </c>
      <c r="E7133" t="inlineStr">
        <is>
          <t>FALKÖPING</t>
        </is>
      </c>
      <c r="G7133" t="n">
        <v>3.1</v>
      </c>
      <c r="H7133" t="n">
        <v>0</v>
      </c>
      <c r="I7133" t="n">
        <v>0</v>
      </c>
      <c r="J7133" t="n">
        <v>0</v>
      </c>
      <c r="K7133" t="n">
        <v>0</v>
      </c>
      <c r="L7133" t="n">
        <v>0</v>
      </c>
      <c r="M7133" t="n">
        <v>0</v>
      </c>
      <c r="N7133" t="n">
        <v>0</v>
      </c>
      <c r="O7133" t="n">
        <v>0</v>
      </c>
      <c r="P7133" t="n">
        <v>0</v>
      </c>
      <c r="Q7133" t="n">
        <v>0</v>
      </c>
      <c r="R7133" s="2" t="inlineStr"/>
    </row>
    <row r="7134" ht="15" customHeight="1">
      <c r="A7134" t="inlineStr">
        <is>
          <t>A 54090-2024</t>
        </is>
      </c>
      <c r="B7134" s="1" t="n">
        <v>45616.50922453704</v>
      </c>
      <c r="C7134" s="1" t="n">
        <v>45952</v>
      </c>
      <c r="D7134" t="inlineStr">
        <is>
          <t>VÄSTRA GÖTALANDS LÄN</t>
        </is>
      </c>
      <c r="E7134" t="inlineStr">
        <is>
          <t>FALKÖPING</t>
        </is>
      </c>
      <c r="G7134" t="n">
        <v>7.8</v>
      </c>
      <c r="H7134" t="n">
        <v>0</v>
      </c>
      <c r="I7134" t="n">
        <v>0</v>
      </c>
      <c r="J7134" t="n">
        <v>0</v>
      </c>
      <c r="K7134" t="n">
        <v>0</v>
      </c>
      <c r="L7134" t="n">
        <v>0</v>
      </c>
      <c r="M7134" t="n">
        <v>0</v>
      </c>
      <c r="N7134" t="n">
        <v>0</v>
      </c>
      <c r="O7134" t="n">
        <v>0</v>
      </c>
      <c r="P7134" t="n">
        <v>0</v>
      </c>
      <c r="Q7134" t="n">
        <v>0</v>
      </c>
      <c r="R7134" s="2" t="inlineStr"/>
    </row>
    <row r="7135" ht="15" customHeight="1">
      <c r="A7135" t="inlineStr">
        <is>
          <t>A 54099-2024</t>
        </is>
      </c>
      <c r="B7135" s="1" t="n">
        <v>45616.52010416667</v>
      </c>
      <c r="C7135" s="1" t="n">
        <v>45952</v>
      </c>
      <c r="D7135" t="inlineStr">
        <is>
          <t>VÄSTRA GÖTALANDS LÄN</t>
        </is>
      </c>
      <c r="E7135" t="inlineStr">
        <is>
          <t>BENGTSFORS</t>
        </is>
      </c>
      <c r="G7135" t="n">
        <v>5</v>
      </c>
      <c r="H7135" t="n">
        <v>0</v>
      </c>
      <c r="I7135" t="n">
        <v>0</v>
      </c>
      <c r="J7135" t="n">
        <v>0</v>
      </c>
      <c r="K7135" t="n">
        <v>0</v>
      </c>
      <c r="L7135" t="n">
        <v>0</v>
      </c>
      <c r="M7135" t="n">
        <v>0</v>
      </c>
      <c r="N7135" t="n">
        <v>0</v>
      </c>
      <c r="O7135" t="n">
        <v>0</v>
      </c>
      <c r="P7135" t="n">
        <v>0</v>
      </c>
      <c r="Q7135" t="n">
        <v>0</v>
      </c>
      <c r="R7135" s="2" t="inlineStr"/>
    </row>
    <row r="7136" ht="15" customHeight="1">
      <c r="A7136" t="inlineStr">
        <is>
          <t>A 54100-2024</t>
        </is>
      </c>
      <c r="B7136" s="1" t="n">
        <v>45616.5225</v>
      </c>
      <c r="C7136" s="1" t="n">
        <v>45952</v>
      </c>
      <c r="D7136" t="inlineStr">
        <is>
          <t>VÄSTRA GÖTALANDS LÄN</t>
        </is>
      </c>
      <c r="E7136" t="inlineStr">
        <is>
          <t>FALKÖPING</t>
        </is>
      </c>
      <c r="G7136" t="n">
        <v>3.8</v>
      </c>
      <c r="H7136" t="n">
        <v>0</v>
      </c>
      <c r="I7136" t="n">
        <v>0</v>
      </c>
      <c r="J7136" t="n">
        <v>0</v>
      </c>
      <c r="K7136" t="n">
        <v>0</v>
      </c>
      <c r="L7136" t="n">
        <v>0</v>
      </c>
      <c r="M7136" t="n">
        <v>0</v>
      </c>
      <c r="N7136" t="n">
        <v>0</v>
      </c>
      <c r="O7136" t="n">
        <v>0</v>
      </c>
      <c r="P7136" t="n">
        <v>0</v>
      </c>
      <c r="Q7136" t="n">
        <v>0</v>
      </c>
      <c r="R7136" s="2" t="inlineStr"/>
    </row>
    <row r="7137" ht="15" customHeight="1">
      <c r="A7137" t="inlineStr">
        <is>
          <t>A 54931-2024</t>
        </is>
      </c>
      <c r="B7137" s="1" t="n">
        <v>45618.74254629629</v>
      </c>
      <c r="C7137" s="1" t="n">
        <v>45952</v>
      </c>
      <c r="D7137" t="inlineStr">
        <is>
          <t>VÄSTRA GÖTALANDS LÄN</t>
        </is>
      </c>
      <c r="E7137" t="inlineStr">
        <is>
          <t>STENUNGSUND</t>
        </is>
      </c>
      <c r="G7137" t="n">
        <v>0.5</v>
      </c>
      <c r="H7137" t="n">
        <v>0</v>
      </c>
      <c r="I7137" t="n">
        <v>0</v>
      </c>
      <c r="J7137" t="n">
        <v>0</v>
      </c>
      <c r="K7137" t="n">
        <v>0</v>
      </c>
      <c r="L7137" t="n">
        <v>0</v>
      </c>
      <c r="M7137" t="n">
        <v>0</v>
      </c>
      <c r="N7137" t="n">
        <v>0</v>
      </c>
      <c r="O7137" t="n">
        <v>0</v>
      </c>
      <c r="P7137" t="n">
        <v>0</v>
      </c>
      <c r="Q7137" t="n">
        <v>0</v>
      </c>
      <c r="R7137" s="2" t="inlineStr"/>
    </row>
    <row r="7138" ht="15" customHeight="1">
      <c r="A7138" t="inlineStr">
        <is>
          <t>A 54933-2024</t>
        </is>
      </c>
      <c r="B7138" s="1" t="n">
        <v>45618.77943287037</v>
      </c>
      <c r="C7138" s="1" t="n">
        <v>45952</v>
      </c>
      <c r="D7138" t="inlineStr">
        <is>
          <t>VÄSTRA GÖTALANDS LÄN</t>
        </is>
      </c>
      <c r="E7138" t="inlineStr">
        <is>
          <t>MUNKEDAL</t>
        </is>
      </c>
      <c r="G7138" t="n">
        <v>4.2</v>
      </c>
      <c r="H7138" t="n">
        <v>0</v>
      </c>
      <c r="I7138" t="n">
        <v>0</v>
      </c>
      <c r="J7138" t="n">
        <v>0</v>
      </c>
      <c r="K7138" t="n">
        <v>0</v>
      </c>
      <c r="L7138" t="n">
        <v>0</v>
      </c>
      <c r="M7138" t="n">
        <v>0</v>
      </c>
      <c r="N7138" t="n">
        <v>0</v>
      </c>
      <c r="O7138" t="n">
        <v>0</v>
      </c>
      <c r="P7138" t="n">
        <v>0</v>
      </c>
      <c r="Q7138" t="n">
        <v>0</v>
      </c>
      <c r="R7138" s="2" t="inlineStr"/>
    </row>
    <row r="7139" ht="15" customHeight="1">
      <c r="A7139" t="inlineStr">
        <is>
          <t>A 47624-2021</t>
        </is>
      </c>
      <c r="B7139" s="1" t="n">
        <v>44448</v>
      </c>
      <c r="C7139" s="1" t="n">
        <v>45952</v>
      </c>
      <c r="D7139" t="inlineStr">
        <is>
          <t>VÄSTRA GÖTALANDS LÄN</t>
        </is>
      </c>
      <c r="E7139" t="inlineStr">
        <is>
          <t>BORÅS</t>
        </is>
      </c>
      <c r="G7139" t="n">
        <v>1.6</v>
      </c>
      <c r="H7139" t="n">
        <v>0</v>
      </c>
      <c r="I7139" t="n">
        <v>0</v>
      </c>
      <c r="J7139" t="n">
        <v>0</v>
      </c>
      <c r="K7139" t="n">
        <v>0</v>
      </c>
      <c r="L7139" t="n">
        <v>0</v>
      </c>
      <c r="M7139" t="n">
        <v>0</v>
      </c>
      <c r="N7139" t="n">
        <v>0</v>
      </c>
      <c r="O7139" t="n">
        <v>0</v>
      </c>
      <c r="P7139" t="n">
        <v>0</v>
      </c>
      <c r="Q7139" t="n">
        <v>0</v>
      </c>
      <c r="R7139" s="2" t="inlineStr"/>
    </row>
    <row r="7140" ht="15" customHeight="1">
      <c r="A7140" t="inlineStr">
        <is>
          <t>A 47690-2021</t>
        </is>
      </c>
      <c r="B7140" s="1" t="n">
        <v>44448</v>
      </c>
      <c r="C7140" s="1" t="n">
        <v>45952</v>
      </c>
      <c r="D7140" t="inlineStr">
        <is>
          <t>VÄSTRA GÖTALANDS LÄN</t>
        </is>
      </c>
      <c r="E7140" t="inlineStr">
        <is>
          <t>SVENLJUNGA</t>
        </is>
      </c>
      <c r="G7140" t="n">
        <v>1.5</v>
      </c>
      <c r="H7140" t="n">
        <v>0</v>
      </c>
      <c r="I7140" t="n">
        <v>0</v>
      </c>
      <c r="J7140" t="n">
        <v>0</v>
      </c>
      <c r="K7140" t="n">
        <v>0</v>
      </c>
      <c r="L7140" t="n">
        <v>0</v>
      </c>
      <c r="M7140" t="n">
        <v>0</v>
      </c>
      <c r="N7140" t="n">
        <v>0</v>
      </c>
      <c r="O7140" t="n">
        <v>0</v>
      </c>
      <c r="P7140" t="n">
        <v>0</v>
      </c>
      <c r="Q7140" t="n">
        <v>0</v>
      </c>
      <c r="R7140" s="2" t="inlineStr"/>
    </row>
    <row r="7141" ht="15" customHeight="1">
      <c r="A7141" t="inlineStr">
        <is>
          <t>A 56493-2021</t>
        </is>
      </c>
      <c r="B7141" s="1" t="n">
        <v>44480.57173611111</v>
      </c>
      <c r="C7141" s="1" t="n">
        <v>45952</v>
      </c>
      <c r="D7141" t="inlineStr">
        <is>
          <t>VÄSTRA GÖTALANDS LÄN</t>
        </is>
      </c>
      <c r="E7141" t="inlineStr">
        <is>
          <t>ALE</t>
        </is>
      </c>
      <c r="G7141" t="n">
        <v>1.7</v>
      </c>
      <c r="H7141" t="n">
        <v>0</v>
      </c>
      <c r="I7141" t="n">
        <v>0</v>
      </c>
      <c r="J7141" t="n">
        <v>0</v>
      </c>
      <c r="K7141" t="n">
        <v>0</v>
      </c>
      <c r="L7141" t="n">
        <v>0</v>
      </c>
      <c r="M7141" t="n">
        <v>0</v>
      </c>
      <c r="N7141" t="n">
        <v>0</v>
      </c>
      <c r="O7141" t="n">
        <v>0</v>
      </c>
      <c r="P7141" t="n">
        <v>0</v>
      </c>
      <c r="Q7141" t="n">
        <v>0</v>
      </c>
      <c r="R7141" s="2" t="inlineStr"/>
    </row>
    <row r="7142" ht="15" customHeight="1">
      <c r="A7142" t="inlineStr">
        <is>
          <t>A 28776-2021</t>
        </is>
      </c>
      <c r="B7142" s="1" t="n">
        <v>44357</v>
      </c>
      <c r="C7142" s="1" t="n">
        <v>45952</v>
      </c>
      <c r="D7142" t="inlineStr">
        <is>
          <t>VÄSTRA GÖTALANDS LÄN</t>
        </is>
      </c>
      <c r="E7142" t="inlineStr">
        <is>
          <t>LIDKÖPING</t>
        </is>
      </c>
      <c r="G7142" t="n">
        <v>27.5</v>
      </c>
      <c r="H7142" t="n">
        <v>0</v>
      </c>
      <c r="I7142" t="n">
        <v>0</v>
      </c>
      <c r="J7142" t="n">
        <v>0</v>
      </c>
      <c r="K7142" t="n">
        <v>0</v>
      </c>
      <c r="L7142" t="n">
        <v>0</v>
      </c>
      <c r="M7142" t="n">
        <v>0</v>
      </c>
      <c r="N7142" t="n">
        <v>0</v>
      </c>
      <c r="O7142" t="n">
        <v>0</v>
      </c>
      <c r="P7142" t="n">
        <v>0</v>
      </c>
      <c r="Q7142" t="n">
        <v>0</v>
      </c>
      <c r="R7142" s="2" t="inlineStr"/>
    </row>
    <row r="7143" ht="15" customHeight="1">
      <c r="A7143" t="inlineStr">
        <is>
          <t>A 28782-2021</t>
        </is>
      </c>
      <c r="B7143" s="1" t="n">
        <v>44357</v>
      </c>
      <c r="C7143" s="1" t="n">
        <v>45952</v>
      </c>
      <c r="D7143" t="inlineStr">
        <is>
          <t>VÄSTRA GÖTALANDS LÄN</t>
        </is>
      </c>
      <c r="E7143" t="inlineStr">
        <is>
          <t>BENGTSFORS</t>
        </is>
      </c>
      <c r="G7143" t="n">
        <v>0.9</v>
      </c>
      <c r="H7143" t="n">
        <v>0</v>
      </c>
      <c r="I7143" t="n">
        <v>0</v>
      </c>
      <c r="J7143" t="n">
        <v>0</v>
      </c>
      <c r="K7143" t="n">
        <v>0</v>
      </c>
      <c r="L7143" t="n">
        <v>0</v>
      </c>
      <c r="M7143" t="n">
        <v>0</v>
      </c>
      <c r="N7143" t="n">
        <v>0</v>
      </c>
      <c r="O7143" t="n">
        <v>0</v>
      </c>
      <c r="P7143" t="n">
        <v>0</v>
      </c>
      <c r="Q7143" t="n">
        <v>0</v>
      </c>
      <c r="R7143" s="2" t="inlineStr"/>
    </row>
    <row r="7144" ht="15" customHeight="1">
      <c r="A7144" t="inlineStr">
        <is>
          <t>A 38995-2024</t>
        </is>
      </c>
      <c r="B7144" s="1" t="n">
        <v>45548.41292824074</v>
      </c>
      <c r="C7144" s="1" t="n">
        <v>45952</v>
      </c>
      <c r="D7144" t="inlineStr">
        <is>
          <t>VÄSTRA GÖTALANDS LÄN</t>
        </is>
      </c>
      <c r="E7144" t="inlineStr">
        <is>
          <t>KARLSBORG</t>
        </is>
      </c>
      <c r="G7144" t="n">
        <v>0.7</v>
      </c>
      <c r="H7144" t="n">
        <v>0</v>
      </c>
      <c r="I7144" t="n">
        <v>0</v>
      </c>
      <c r="J7144" t="n">
        <v>0</v>
      </c>
      <c r="K7144" t="n">
        <v>0</v>
      </c>
      <c r="L7144" t="n">
        <v>0</v>
      </c>
      <c r="M7144" t="n">
        <v>0</v>
      </c>
      <c r="N7144" t="n">
        <v>0</v>
      </c>
      <c r="O7144" t="n">
        <v>0</v>
      </c>
      <c r="P7144" t="n">
        <v>0</v>
      </c>
      <c r="Q7144" t="n">
        <v>0</v>
      </c>
      <c r="R7144" s="2" t="inlineStr"/>
    </row>
    <row r="7145" ht="15" customHeight="1">
      <c r="A7145" t="inlineStr">
        <is>
          <t>A 26895-2023</t>
        </is>
      </c>
      <c r="B7145" s="1" t="n">
        <v>45093</v>
      </c>
      <c r="C7145" s="1" t="n">
        <v>45952</v>
      </c>
      <c r="D7145" t="inlineStr">
        <is>
          <t>VÄSTRA GÖTALANDS LÄN</t>
        </is>
      </c>
      <c r="E7145" t="inlineStr">
        <is>
          <t>TRANEMO</t>
        </is>
      </c>
      <c r="G7145" t="n">
        <v>2.1</v>
      </c>
      <c r="H7145" t="n">
        <v>0</v>
      </c>
      <c r="I7145" t="n">
        <v>0</v>
      </c>
      <c r="J7145" t="n">
        <v>0</v>
      </c>
      <c r="K7145" t="n">
        <v>0</v>
      </c>
      <c r="L7145" t="n">
        <v>0</v>
      </c>
      <c r="M7145" t="n">
        <v>0</v>
      </c>
      <c r="N7145" t="n">
        <v>0</v>
      </c>
      <c r="O7145" t="n">
        <v>0</v>
      </c>
      <c r="P7145" t="n">
        <v>0</v>
      </c>
      <c r="Q7145" t="n">
        <v>0</v>
      </c>
      <c r="R7145" s="2" t="inlineStr"/>
    </row>
    <row r="7146" ht="15" customHeight="1">
      <c r="A7146" t="inlineStr">
        <is>
          <t>A 16169-2024</t>
        </is>
      </c>
      <c r="B7146" s="1" t="n">
        <v>45406.61987268519</v>
      </c>
      <c r="C7146" s="1" t="n">
        <v>45952</v>
      </c>
      <c r="D7146" t="inlineStr">
        <is>
          <t>VÄSTRA GÖTALANDS LÄN</t>
        </is>
      </c>
      <c r="E7146" t="inlineStr">
        <is>
          <t>VÅRGÅRDA</t>
        </is>
      </c>
      <c r="G7146" t="n">
        <v>2.1</v>
      </c>
      <c r="H7146" t="n">
        <v>0</v>
      </c>
      <c r="I7146" t="n">
        <v>0</v>
      </c>
      <c r="J7146" t="n">
        <v>0</v>
      </c>
      <c r="K7146" t="n">
        <v>0</v>
      </c>
      <c r="L7146" t="n">
        <v>0</v>
      </c>
      <c r="M7146" t="n">
        <v>0</v>
      </c>
      <c r="N7146" t="n">
        <v>0</v>
      </c>
      <c r="O7146" t="n">
        <v>0</v>
      </c>
      <c r="P7146" t="n">
        <v>0</v>
      </c>
      <c r="Q7146" t="n">
        <v>0</v>
      </c>
      <c r="R7146" s="2" t="inlineStr"/>
    </row>
    <row r="7147" ht="15" customHeight="1">
      <c r="A7147" t="inlineStr">
        <is>
          <t>A 37958-2022</t>
        </is>
      </c>
      <c r="B7147" s="1" t="n">
        <v>44811.49701388889</v>
      </c>
      <c r="C7147" s="1" t="n">
        <v>45952</v>
      </c>
      <c r="D7147" t="inlineStr">
        <is>
          <t>VÄSTRA GÖTALANDS LÄN</t>
        </is>
      </c>
      <c r="E7147" t="inlineStr">
        <is>
          <t>FALKÖPING</t>
        </is>
      </c>
      <c r="G7147" t="n">
        <v>1.2</v>
      </c>
      <c r="H7147" t="n">
        <v>0</v>
      </c>
      <c r="I7147" t="n">
        <v>0</v>
      </c>
      <c r="J7147" t="n">
        <v>0</v>
      </c>
      <c r="K7147" t="n">
        <v>0</v>
      </c>
      <c r="L7147" t="n">
        <v>0</v>
      </c>
      <c r="M7147" t="n">
        <v>0</v>
      </c>
      <c r="N7147" t="n">
        <v>0</v>
      </c>
      <c r="O7147" t="n">
        <v>0</v>
      </c>
      <c r="P7147" t="n">
        <v>0</v>
      </c>
      <c r="Q7147" t="n">
        <v>0</v>
      </c>
      <c r="R7147" s="2" t="inlineStr"/>
    </row>
    <row r="7148" ht="15" customHeight="1">
      <c r="A7148" t="inlineStr">
        <is>
          <t>A 23696-2024</t>
        </is>
      </c>
      <c r="B7148" s="1" t="n">
        <v>45454.66947916667</v>
      </c>
      <c r="C7148" s="1" t="n">
        <v>45952</v>
      </c>
      <c r="D7148" t="inlineStr">
        <is>
          <t>VÄSTRA GÖTALANDS LÄN</t>
        </is>
      </c>
      <c r="E7148" t="inlineStr">
        <is>
          <t>TANUM</t>
        </is>
      </c>
      <c r="G7148" t="n">
        <v>1.4</v>
      </c>
      <c r="H7148" t="n">
        <v>0</v>
      </c>
      <c r="I7148" t="n">
        <v>0</v>
      </c>
      <c r="J7148" t="n">
        <v>0</v>
      </c>
      <c r="K7148" t="n">
        <v>0</v>
      </c>
      <c r="L7148" t="n">
        <v>0</v>
      </c>
      <c r="M7148" t="n">
        <v>0</v>
      </c>
      <c r="N7148" t="n">
        <v>0</v>
      </c>
      <c r="O7148" t="n">
        <v>0</v>
      </c>
      <c r="P7148" t="n">
        <v>0</v>
      </c>
      <c r="Q7148" t="n">
        <v>0</v>
      </c>
      <c r="R7148" s="2" t="inlineStr"/>
    </row>
    <row r="7149" ht="15" customHeight="1">
      <c r="A7149" t="inlineStr">
        <is>
          <t>A 23698-2024</t>
        </is>
      </c>
      <c r="B7149" s="1" t="n">
        <v>45454.67317129629</v>
      </c>
      <c r="C7149" s="1" t="n">
        <v>45952</v>
      </c>
      <c r="D7149" t="inlineStr">
        <is>
          <t>VÄSTRA GÖTALANDS LÄN</t>
        </is>
      </c>
      <c r="E7149" t="inlineStr">
        <is>
          <t>TANUM</t>
        </is>
      </c>
      <c r="G7149" t="n">
        <v>0.8</v>
      </c>
      <c r="H7149" t="n">
        <v>0</v>
      </c>
      <c r="I7149" t="n">
        <v>0</v>
      </c>
      <c r="J7149" t="n">
        <v>0</v>
      </c>
      <c r="K7149" t="n">
        <v>0</v>
      </c>
      <c r="L7149" t="n">
        <v>0</v>
      </c>
      <c r="M7149" t="n">
        <v>0</v>
      </c>
      <c r="N7149" t="n">
        <v>0</v>
      </c>
      <c r="O7149" t="n">
        <v>0</v>
      </c>
      <c r="P7149" t="n">
        <v>0</v>
      </c>
      <c r="Q7149" t="n">
        <v>0</v>
      </c>
      <c r="R7149" s="2" t="inlineStr"/>
    </row>
    <row r="7150" ht="15" customHeight="1">
      <c r="A7150" t="inlineStr">
        <is>
          <t>A 19615-2024</t>
        </is>
      </c>
      <c r="B7150" s="1" t="n">
        <v>45432.31332175926</v>
      </c>
      <c r="C7150" s="1" t="n">
        <v>45952</v>
      </c>
      <c r="D7150" t="inlineStr">
        <is>
          <t>VÄSTRA GÖTALANDS LÄN</t>
        </is>
      </c>
      <c r="E7150" t="inlineStr">
        <is>
          <t>SVENLJUNGA</t>
        </is>
      </c>
      <c r="G7150" t="n">
        <v>0.7</v>
      </c>
      <c r="H7150" t="n">
        <v>0</v>
      </c>
      <c r="I7150" t="n">
        <v>0</v>
      </c>
      <c r="J7150" t="n">
        <v>0</v>
      </c>
      <c r="K7150" t="n">
        <v>0</v>
      </c>
      <c r="L7150" t="n">
        <v>0</v>
      </c>
      <c r="M7150" t="n">
        <v>0</v>
      </c>
      <c r="N7150" t="n">
        <v>0</v>
      </c>
      <c r="O7150" t="n">
        <v>0</v>
      </c>
      <c r="P7150" t="n">
        <v>0</v>
      </c>
      <c r="Q7150" t="n">
        <v>0</v>
      </c>
      <c r="R7150" s="2" t="inlineStr"/>
    </row>
    <row r="7151" ht="15" customHeight="1">
      <c r="A7151" t="inlineStr">
        <is>
          <t>A 47424-2021</t>
        </is>
      </c>
      <c r="B7151" s="1" t="n">
        <v>44447</v>
      </c>
      <c r="C7151" s="1" t="n">
        <v>45952</v>
      </c>
      <c r="D7151" t="inlineStr">
        <is>
          <t>VÄSTRA GÖTALANDS LÄN</t>
        </is>
      </c>
      <c r="E7151" t="inlineStr">
        <is>
          <t>TRANEMO</t>
        </is>
      </c>
      <c r="G7151" t="n">
        <v>1.1</v>
      </c>
      <c r="H7151" t="n">
        <v>0</v>
      </c>
      <c r="I7151" t="n">
        <v>0</v>
      </c>
      <c r="J7151" t="n">
        <v>0</v>
      </c>
      <c r="K7151" t="n">
        <v>0</v>
      </c>
      <c r="L7151" t="n">
        <v>0</v>
      </c>
      <c r="M7151" t="n">
        <v>0</v>
      </c>
      <c r="N7151" t="n">
        <v>0</v>
      </c>
      <c r="O7151" t="n">
        <v>0</v>
      </c>
      <c r="P7151" t="n">
        <v>0</v>
      </c>
      <c r="Q7151" t="n">
        <v>0</v>
      </c>
      <c r="R7151" s="2" t="inlineStr"/>
    </row>
    <row r="7152" ht="15" customHeight="1">
      <c r="A7152" t="inlineStr">
        <is>
          <t>A 49678-2023</t>
        </is>
      </c>
      <c r="B7152" s="1" t="n">
        <v>45212.33935185185</v>
      </c>
      <c r="C7152" s="1" t="n">
        <v>45952</v>
      </c>
      <c r="D7152" t="inlineStr">
        <is>
          <t>VÄSTRA GÖTALANDS LÄN</t>
        </is>
      </c>
      <c r="E7152" t="inlineStr">
        <is>
          <t>VARA</t>
        </is>
      </c>
      <c r="G7152" t="n">
        <v>5.7</v>
      </c>
      <c r="H7152" t="n">
        <v>0</v>
      </c>
      <c r="I7152" t="n">
        <v>0</v>
      </c>
      <c r="J7152" t="n">
        <v>0</v>
      </c>
      <c r="K7152" t="n">
        <v>0</v>
      </c>
      <c r="L7152" t="n">
        <v>0</v>
      </c>
      <c r="M7152" t="n">
        <v>0</v>
      </c>
      <c r="N7152" t="n">
        <v>0</v>
      </c>
      <c r="O7152" t="n">
        <v>0</v>
      </c>
      <c r="P7152" t="n">
        <v>0</v>
      </c>
      <c r="Q7152" t="n">
        <v>0</v>
      </c>
      <c r="R7152" s="2" t="inlineStr"/>
    </row>
    <row r="7153" ht="15" customHeight="1">
      <c r="A7153" t="inlineStr">
        <is>
          <t>A 57670-2022</t>
        </is>
      </c>
      <c r="B7153" s="1" t="n">
        <v>44897.45479166666</v>
      </c>
      <c r="C7153" s="1" t="n">
        <v>45952</v>
      </c>
      <c r="D7153" t="inlineStr">
        <is>
          <t>VÄSTRA GÖTALANDS LÄN</t>
        </is>
      </c>
      <c r="E7153" t="inlineStr">
        <is>
          <t>BORÅS</t>
        </is>
      </c>
      <c r="G7153" t="n">
        <v>1.8</v>
      </c>
      <c r="H7153" t="n">
        <v>0</v>
      </c>
      <c r="I7153" t="n">
        <v>0</v>
      </c>
      <c r="J7153" t="n">
        <v>0</v>
      </c>
      <c r="K7153" t="n">
        <v>0</v>
      </c>
      <c r="L7153" t="n">
        <v>0</v>
      </c>
      <c r="M7153" t="n">
        <v>0</v>
      </c>
      <c r="N7153" t="n">
        <v>0</v>
      </c>
      <c r="O7153" t="n">
        <v>0</v>
      </c>
      <c r="P7153" t="n">
        <v>0</v>
      </c>
      <c r="Q7153" t="n">
        <v>0</v>
      </c>
      <c r="R7153" s="2" t="inlineStr"/>
    </row>
    <row r="7154" ht="15" customHeight="1">
      <c r="A7154" t="inlineStr">
        <is>
          <t>A 46434-2024</t>
        </is>
      </c>
      <c r="B7154" s="1" t="n">
        <v>45582.47346064815</v>
      </c>
      <c r="C7154" s="1" t="n">
        <v>45952</v>
      </c>
      <c r="D7154" t="inlineStr">
        <is>
          <t>VÄSTRA GÖTALANDS LÄN</t>
        </is>
      </c>
      <c r="E7154" t="inlineStr">
        <is>
          <t>MUNKEDAL</t>
        </is>
      </c>
      <c r="G7154" t="n">
        <v>0.7</v>
      </c>
      <c r="H7154" t="n">
        <v>0</v>
      </c>
      <c r="I7154" t="n">
        <v>0</v>
      </c>
      <c r="J7154" t="n">
        <v>0</v>
      </c>
      <c r="K7154" t="n">
        <v>0</v>
      </c>
      <c r="L7154" t="n">
        <v>0</v>
      </c>
      <c r="M7154" t="n">
        <v>0</v>
      </c>
      <c r="N7154" t="n">
        <v>0</v>
      </c>
      <c r="O7154" t="n">
        <v>0</v>
      </c>
      <c r="P7154" t="n">
        <v>0</v>
      </c>
      <c r="Q7154" t="n">
        <v>0</v>
      </c>
      <c r="R7154" s="2" t="inlineStr"/>
    </row>
    <row r="7155" ht="15" customHeight="1">
      <c r="A7155" t="inlineStr">
        <is>
          <t>A 46439-2024</t>
        </is>
      </c>
      <c r="B7155" s="1" t="n">
        <v>45582.48012731481</v>
      </c>
      <c r="C7155" s="1" t="n">
        <v>45952</v>
      </c>
      <c r="D7155" t="inlineStr">
        <is>
          <t>VÄSTRA GÖTALANDS LÄN</t>
        </is>
      </c>
      <c r="E7155" t="inlineStr">
        <is>
          <t>BORÅS</t>
        </is>
      </c>
      <c r="G7155" t="n">
        <v>0.8</v>
      </c>
      <c r="H7155" t="n">
        <v>0</v>
      </c>
      <c r="I7155" t="n">
        <v>0</v>
      </c>
      <c r="J7155" t="n">
        <v>0</v>
      </c>
      <c r="K7155" t="n">
        <v>0</v>
      </c>
      <c r="L7155" t="n">
        <v>0</v>
      </c>
      <c r="M7155" t="n">
        <v>0</v>
      </c>
      <c r="N7155" t="n">
        <v>0</v>
      </c>
      <c r="O7155" t="n">
        <v>0</v>
      </c>
      <c r="P7155" t="n">
        <v>0</v>
      </c>
      <c r="Q7155" t="n">
        <v>0</v>
      </c>
      <c r="R7155" s="2" t="inlineStr"/>
    </row>
    <row r="7156" ht="15" customHeight="1">
      <c r="A7156" t="inlineStr">
        <is>
          <t>A 38810-2025</t>
        </is>
      </c>
      <c r="B7156" s="1" t="n">
        <v>45887.47719907408</v>
      </c>
      <c r="C7156" s="1" t="n">
        <v>45952</v>
      </c>
      <c r="D7156" t="inlineStr">
        <is>
          <t>VÄSTRA GÖTALANDS LÄN</t>
        </is>
      </c>
      <c r="E7156" t="inlineStr">
        <is>
          <t>DALS-ED</t>
        </is>
      </c>
      <c r="G7156" t="n">
        <v>1.6</v>
      </c>
      <c r="H7156" t="n">
        <v>0</v>
      </c>
      <c r="I7156" t="n">
        <v>0</v>
      </c>
      <c r="J7156" t="n">
        <v>0</v>
      </c>
      <c r="K7156" t="n">
        <v>0</v>
      </c>
      <c r="L7156" t="n">
        <v>0</v>
      </c>
      <c r="M7156" t="n">
        <v>0</v>
      </c>
      <c r="N7156" t="n">
        <v>0</v>
      </c>
      <c r="O7156" t="n">
        <v>0</v>
      </c>
      <c r="P7156" t="n">
        <v>0</v>
      </c>
      <c r="Q7156" t="n">
        <v>0</v>
      </c>
      <c r="R7156" s="2" t="inlineStr"/>
    </row>
    <row r="7157" ht="15" customHeight="1">
      <c r="A7157" t="inlineStr">
        <is>
          <t>A 61452-2023</t>
        </is>
      </c>
      <c r="B7157" s="1" t="n">
        <v>45264.83583333333</v>
      </c>
      <c r="C7157" s="1" t="n">
        <v>45952</v>
      </c>
      <c r="D7157" t="inlineStr">
        <is>
          <t>VÄSTRA GÖTALANDS LÄN</t>
        </is>
      </c>
      <c r="E7157" t="inlineStr">
        <is>
          <t>BORÅS</t>
        </is>
      </c>
      <c r="G7157" t="n">
        <v>1</v>
      </c>
      <c r="H7157" t="n">
        <v>0</v>
      </c>
      <c r="I7157" t="n">
        <v>0</v>
      </c>
      <c r="J7157" t="n">
        <v>0</v>
      </c>
      <c r="K7157" t="n">
        <v>0</v>
      </c>
      <c r="L7157" t="n">
        <v>0</v>
      </c>
      <c r="M7157" t="n">
        <v>0</v>
      </c>
      <c r="N7157" t="n">
        <v>0</v>
      </c>
      <c r="O7157" t="n">
        <v>0</v>
      </c>
      <c r="P7157" t="n">
        <v>0</v>
      </c>
      <c r="Q7157" t="n">
        <v>0</v>
      </c>
      <c r="R7157" s="2" t="inlineStr"/>
    </row>
    <row r="7158" ht="15" customHeight="1">
      <c r="A7158" t="inlineStr">
        <is>
          <t>A 2615-2025</t>
        </is>
      </c>
      <c r="B7158" s="1" t="n">
        <v>45675.39164351852</v>
      </c>
      <c r="C7158" s="1" t="n">
        <v>45952</v>
      </c>
      <c r="D7158" t="inlineStr">
        <is>
          <t>VÄSTRA GÖTALANDS LÄN</t>
        </is>
      </c>
      <c r="E7158" t="inlineStr">
        <is>
          <t>BORÅS</t>
        </is>
      </c>
      <c r="G7158" t="n">
        <v>1.5</v>
      </c>
      <c r="H7158" t="n">
        <v>0</v>
      </c>
      <c r="I7158" t="n">
        <v>0</v>
      </c>
      <c r="J7158" t="n">
        <v>0</v>
      </c>
      <c r="K7158" t="n">
        <v>0</v>
      </c>
      <c r="L7158" t="n">
        <v>0</v>
      </c>
      <c r="M7158" t="n">
        <v>0</v>
      </c>
      <c r="N7158" t="n">
        <v>0</v>
      </c>
      <c r="O7158" t="n">
        <v>0</v>
      </c>
      <c r="P7158" t="n">
        <v>0</v>
      </c>
      <c r="Q7158" t="n">
        <v>0</v>
      </c>
      <c r="R7158" s="2" t="inlineStr"/>
    </row>
    <row r="7159" ht="15" customHeight="1">
      <c r="A7159" t="inlineStr">
        <is>
          <t>A 3295-2025</t>
        </is>
      </c>
      <c r="B7159" s="1" t="n">
        <v>45679.64409722222</v>
      </c>
      <c r="C7159" s="1" t="n">
        <v>45952</v>
      </c>
      <c r="D7159" t="inlineStr">
        <is>
          <t>VÄSTRA GÖTALANDS LÄN</t>
        </is>
      </c>
      <c r="E7159" t="inlineStr">
        <is>
          <t>MARK</t>
        </is>
      </c>
      <c r="G7159" t="n">
        <v>2.4</v>
      </c>
      <c r="H7159" t="n">
        <v>0</v>
      </c>
      <c r="I7159" t="n">
        <v>0</v>
      </c>
      <c r="J7159" t="n">
        <v>0</v>
      </c>
      <c r="K7159" t="n">
        <v>0</v>
      </c>
      <c r="L7159" t="n">
        <v>0</v>
      </c>
      <c r="M7159" t="n">
        <v>0</v>
      </c>
      <c r="N7159" t="n">
        <v>0</v>
      </c>
      <c r="O7159" t="n">
        <v>0</v>
      </c>
      <c r="P7159" t="n">
        <v>0</v>
      </c>
      <c r="Q7159" t="n">
        <v>0</v>
      </c>
      <c r="R7159" s="2" t="inlineStr"/>
    </row>
    <row r="7160" ht="15" customHeight="1">
      <c r="A7160" t="inlineStr">
        <is>
          <t>A 44176-2023</t>
        </is>
      </c>
      <c r="B7160" s="1" t="n">
        <v>45188</v>
      </c>
      <c r="C7160" s="1" t="n">
        <v>45952</v>
      </c>
      <c r="D7160" t="inlineStr">
        <is>
          <t>VÄSTRA GÖTALANDS LÄN</t>
        </is>
      </c>
      <c r="E7160" t="inlineStr">
        <is>
          <t>KUNGÄLV</t>
        </is>
      </c>
      <c r="G7160" t="n">
        <v>7.1</v>
      </c>
      <c r="H7160" t="n">
        <v>0</v>
      </c>
      <c r="I7160" t="n">
        <v>0</v>
      </c>
      <c r="J7160" t="n">
        <v>0</v>
      </c>
      <c r="K7160" t="n">
        <v>0</v>
      </c>
      <c r="L7160" t="n">
        <v>0</v>
      </c>
      <c r="M7160" t="n">
        <v>0</v>
      </c>
      <c r="N7160" t="n">
        <v>0</v>
      </c>
      <c r="O7160" t="n">
        <v>0</v>
      </c>
      <c r="P7160" t="n">
        <v>0</v>
      </c>
      <c r="Q7160" t="n">
        <v>0</v>
      </c>
      <c r="R7160" s="2" t="inlineStr"/>
    </row>
    <row r="7161" ht="15" customHeight="1">
      <c r="A7161" t="inlineStr">
        <is>
          <t>A 15953-2022</t>
        </is>
      </c>
      <c r="B7161" s="1" t="n">
        <v>44664</v>
      </c>
      <c r="C7161" s="1" t="n">
        <v>45952</v>
      </c>
      <c r="D7161" t="inlineStr">
        <is>
          <t>VÄSTRA GÖTALANDS LÄN</t>
        </is>
      </c>
      <c r="E7161" t="inlineStr">
        <is>
          <t>TIDAHOLM</t>
        </is>
      </c>
      <c r="G7161" t="n">
        <v>4.4</v>
      </c>
      <c r="H7161" t="n">
        <v>0</v>
      </c>
      <c r="I7161" t="n">
        <v>0</v>
      </c>
      <c r="J7161" t="n">
        <v>0</v>
      </c>
      <c r="K7161" t="n">
        <v>0</v>
      </c>
      <c r="L7161" t="n">
        <v>0</v>
      </c>
      <c r="M7161" t="n">
        <v>0</v>
      </c>
      <c r="N7161" t="n">
        <v>0</v>
      </c>
      <c r="O7161" t="n">
        <v>0</v>
      </c>
      <c r="P7161" t="n">
        <v>0</v>
      </c>
      <c r="Q7161" t="n">
        <v>0</v>
      </c>
      <c r="R7161" s="2" t="inlineStr"/>
    </row>
    <row r="7162" ht="15" customHeight="1">
      <c r="A7162" t="inlineStr">
        <is>
          <t>A 15958-2022</t>
        </is>
      </c>
      <c r="B7162" s="1" t="n">
        <v>44664.84104166667</v>
      </c>
      <c r="C7162" s="1" t="n">
        <v>45952</v>
      </c>
      <c r="D7162" t="inlineStr">
        <is>
          <t>VÄSTRA GÖTALANDS LÄN</t>
        </is>
      </c>
      <c r="E7162" t="inlineStr">
        <is>
          <t>KARLSBORG</t>
        </is>
      </c>
      <c r="F7162" t="inlineStr">
        <is>
          <t>Övriga Aktiebolag</t>
        </is>
      </c>
      <c r="G7162" t="n">
        <v>3.4</v>
      </c>
      <c r="H7162" t="n">
        <v>0</v>
      </c>
      <c r="I7162" t="n">
        <v>0</v>
      </c>
      <c r="J7162" t="n">
        <v>0</v>
      </c>
      <c r="K7162" t="n">
        <v>0</v>
      </c>
      <c r="L7162" t="n">
        <v>0</v>
      </c>
      <c r="M7162" t="n">
        <v>0</v>
      </c>
      <c r="N7162" t="n">
        <v>0</v>
      </c>
      <c r="O7162" t="n">
        <v>0</v>
      </c>
      <c r="P7162" t="n">
        <v>0</v>
      </c>
      <c r="Q7162" t="n">
        <v>0</v>
      </c>
      <c r="R7162" s="2" t="inlineStr"/>
    </row>
    <row r="7163" ht="15" customHeight="1">
      <c r="A7163" t="inlineStr">
        <is>
          <t>A 16001-2022</t>
        </is>
      </c>
      <c r="B7163" s="1" t="n">
        <v>44665.37211805556</v>
      </c>
      <c r="C7163" s="1" t="n">
        <v>45952</v>
      </c>
      <c r="D7163" t="inlineStr">
        <is>
          <t>VÄSTRA GÖTALANDS LÄN</t>
        </is>
      </c>
      <c r="E7163" t="inlineStr">
        <is>
          <t>TRANEMO</t>
        </is>
      </c>
      <c r="G7163" t="n">
        <v>2.1</v>
      </c>
      <c r="H7163" t="n">
        <v>0</v>
      </c>
      <c r="I7163" t="n">
        <v>0</v>
      </c>
      <c r="J7163" t="n">
        <v>0</v>
      </c>
      <c r="K7163" t="n">
        <v>0</v>
      </c>
      <c r="L7163" t="n">
        <v>0</v>
      </c>
      <c r="M7163" t="n">
        <v>0</v>
      </c>
      <c r="N7163" t="n">
        <v>0</v>
      </c>
      <c r="O7163" t="n">
        <v>0</v>
      </c>
      <c r="P7163" t="n">
        <v>0</v>
      </c>
      <c r="Q7163" t="n">
        <v>0</v>
      </c>
      <c r="R7163" s="2" t="inlineStr"/>
    </row>
    <row r="7164" ht="15" customHeight="1">
      <c r="A7164" t="inlineStr">
        <is>
          <t>A 1122-2025</t>
        </is>
      </c>
      <c r="B7164" s="1" t="n">
        <v>45666.66532407407</v>
      </c>
      <c r="C7164" s="1" t="n">
        <v>45952</v>
      </c>
      <c r="D7164" t="inlineStr">
        <is>
          <t>VÄSTRA GÖTALANDS LÄN</t>
        </is>
      </c>
      <c r="E7164" t="inlineStr">
        <is>
          <t>VÅRGÅRDA</t>
        </is>
      </c>
      <c r="G7164" t="n">
        <v>3.6</v>
      </c>
      <c r="H7164" t="n">
        <v>0</v>
      </c>
      <c r="I7164" t="n">
        <v>0</v>
      </c>
      <c r="J7164" t="n">
        <v>0</v>
      </c>
      <c r="K7164" t="n">
        <v>0</v>
      </c>
      <c r="L7164" t="n">
        <v>0</v>
      </c>
      <c r="M7164" t="n">
        <v>0</v>
      </c>
      <c r="N7164" t="n">
        <v>0</v>
      </c>
      <c r="O7164" t="n">
        <v>0</v>
      </c>
      <c r="P7164" t="n">
        <v>0</v>
      </c>
      <c r="Q7164" t="n">
        <v>0</v>
      </c>
      <c r="R7164" s="2" t="inlineStr"/>
    </row>
    <row r="7165" ht="15" customHeight="1">
      <c r="A7165" t="inlineStr">
        <is>
          <t>A 24940-2023</t>
        </is>
      </c>
      <c r="B7165" s="1" t="n">
        <v>45085.54883101852</v>
      </c>
      <c r="C7165" s="1" t="n">
        <v>45952</v>
      </c>
      <c r="D7165" t="inlineStr">
        <is>
          <t>VÄSTRA GÖTALANDS LÄN</t>
        </is>
      </c>
      <c r="E7165" t="inlineStr">
        <is>
          <t>VÄNERSBORG</t>
        </is>
      </c>
      <c r="G7165" t="n">
        <v>4.6</v>
      </c>
      <c r="H7165" t="n">
        <v>0</v>
      </c>
      <c r="I7165" t="n">
        <v>0</v>
      </c>
      <c r="J7165" t="n">
        <v>0</v>
      </c>
      <c r="K7165" t="n">
        <v>0</v>
      </c>
      <c r="L7165" t="n">
        <v>0</v>
      </c>
      <c r="M7165" t="n">
        <v>0</v>
      </c>
      <c r="N7165" t="n">
        <v>0</v>
      </c>
      <c r="O7165" t="n">
        <v>0</v>
      </c>
      <c r="P7165" t="n">
        <v>0</v>
      </c>
      <c r="Q7165" t="n">
        <v>0</v>
      </c>
      <c r="R7165" s="2" t="inlineStr"/>
    </row>
    <row r="7166" ht="15" customHeight="1">
      <c r="A7166" t="inlineStr">
        <is>
          <t>A 27369-2021</t>
        </is>
      </c>
      <c r="B7166" s="1" t="n">
        <v>44351</v>
      </c>
      <c r="C7166" s="1" t="n">
        <v>45952</v>
      </c>
      <c r="D7166" t="inlineStr">
        <is>
          <t>VÄSTRA GÖTALANDS LÄN</t>
        </is>
      </c>
      <c r="E7166" t="inlineStr">
        <is>
          <t>MARIESTAD</t>
        </is>
      </c>
      <c r="F7166" t="inlineStr">
        <is>
          <t>Sveaskog</t>
        </is>
      </c>
      <c r="G7166" t="n">
        <v>2</v>
      </c>
      <c r="H7166" t="n">
        <v>0</v>
      </c>
      <c r="I7166" t="n">
        <v>0</v>
      </c>
      <c r="J7166" t="n">
        <v>0</v>
      </c>
      <c r="K7166" t="n">
        <v>0</v>
      </c>
      <c r="L7166" t="n">
        <v>0</v>
      </c>
      <c r="M7166" t="n">
        <v>0</v>
      </c>
      <c r="N7166" t="n">
        <v>0</v>
      </c>
      <c r="O7166" t="n">
        <v>0</v>
      </c>
      <c r="P7166" t="n">
        <v>0</v>
      </c>
      <c r="Q7166" t="n">
        <v>0</v>
      </c>
      <c r="R7166" s="2" t="inlineStr"/>
    </row>
    <row r="7167" ht="15" customHeight="1">
      <c r="A7167" t="inlineStr">
        <is>
          <t>A 24950-2023</t>
        </is>
      </c>
      <c r="B7167" s="1" t="n">
        <v>45085.57719907408</v>
      </c>
      <c r="C7167" s="1" t="n">
        <v>45952</v>
      </c>
      <c r="D7167" t="inlineStr">
        <is>
          <t>VÄSTRA GÖTALANDS LÄN</t>
        </is>
      </c>
      <c r="E7167" t="inlineStr">
        <is>
          <t>HERRLJUNGA</t>
        </is>
      </c>
      <c r="G7167" t="n">
        <v>1.8</v>
      </c>
      <c r="H7167" t="n">
        <v>0</v>
      </c>
      <c r="I7167" t="n">
        <v>0</v>
      </c>
      <c r="J7167" t="n">
        <v>0</v>
      </c>
      <c r="K7167" t="n">
        <v>0</v>
      </c>
      <c r="L7167" t="n">
        <v>0</v>
      </c>
      <c r="M7167" t="n">
        <v>0</v>
      </c>
      <c r="N7167" t="n">
        <v>0</v>
      </c>
      <c r="O7167" t="n">
        <v>0</v>
      </c>
      <c r="P7167" t="n">
        <v>0</v>
      </c>
      <c r="Q7167" t="n">
        <v>0</v>
      </c>
      <c r="R7167" s="2" t="inlineStr"/>
    </row>
    <row r="7168" ht="15" customHeight="1">
      <c r="A7168" t="inlineStr">
        <is>
          <t>A 52043-2024</t>
        </is>
      </c>
      <c r="B7168" s="1" t="n">
        <v>45608.32934027778</v>
      </c>
      <c r="C7168" s="1" t="n">
        <v>45952</v>
      </c>
      <c r="D7168" t="inlineStr">
        <is>
          <t>VÄSTRA GÖTALANDS LÄN</t>
        </is>
      </c>
      <c r="E7168" t="inlineStr">
        <is>
          <t>HÄRRYDA</t>
        </is>
      </c>
      <c r="G7168" t="n">
        <v>4.4</v>
      </c>
      <c r="H7168" t="n">
        <v>0</v>
      </c>
      <c r="I7168" t="n">
        <v>0</v>
      </c>
      <c r="J7168" t="n">
        <v>0</v>
      </c>
      <c r="K7168" t="n">
        <v>0</v>
      </c>
      <c r="L7168" t="n">
        <v>0</v>
      </c>
      <c r="M7168" t="n">
        <v>0</v>
      </c>
      <c r="N7168" t="n">
        <v>0</v>
      </c>
      <c r="O7168" t="n">
        <v>0</v>
      </c>
      <c r="P7168" t="n">
        <v>0</v>
      </c>
      <c r="Q7168" t="n">
        <v>0</v>
      </c>
      <c r="R7168" s="2" t="inlineStr"/>
    </row>
    <row r="7169" ht="15" customHeight="1">
      <c r="A7169" t="inlineStr">
        <is>
          <t>A 7946-2023</t>
        </is>
      </c>
      <c r="B7169" s="1" t="n">
        <v>44973.66755787037</v>
      </c>
      <c r="C7169" s="1" t="n">
        <v>45952</v>
      </c>
      <c r="D7169" t="inlineStr">
        <is>
          <t>VÄSTRA GÖTALANDS LÄN</t>
        </is>
      </c>
      <c r="E7169" t="inlineStr">
        <is>
          <t>SKARA</t>
        </is>
      </c>
      <c r="G7169" t="n">
        <v>6.8</v>
      </c>
      <c r="H7169" t="n">
        <v>0</v>
      </c>
      <c r="I7169" t="n">
        <v>0</v>
      </c>
      <c r="J7169" t="n">
        <v>0</v>
      </c>
      <c r="K7169" t="n">
        <v>0</v>
      </c>
      <c r="L7169" t="n">
        <v>0</v>
      </c>
      <c r="M7169" t="n">
        <v>0</v>
      </c>
      <c r="N7169" t="n">
        <v>0</v>
      </c>
      <c r="O7169" t="n">
        <v>0</v>
      </c>
      <c r="P7169" t="n">
        <v>0</v>
      </c>
      <c r="Q7169" t="n">
        <v>0</v>
      </c>
      <c r="R7169" s="2" t="inlineStr"/>
    </row>
    <row r="7170" ht="15" customHeight="1">
      <c r="A7170" t="inlineStr">
        <is>
          <t>A 3849-2025</t>
        </is>
      </c>
      <c r="B7170" s="1" t="n">
        <v>45683.84034722222</v>
      </c>
      <c r="C7170" s="1" t="n">
        <v>45952</v>
      </c>
      <c r="D7170" t="inlineStr">
        <is>
          <t>VÄSTRA GÖTALANDS LÄN</t>
        </is>
      </c>
      <c r="E7170" t="inlineStr">
        <is>
          <t>ULRICEHAMN</t>
        </is>
      </c>
      <c r="G7170" t="n">
        <v>0.7</v>
      </c>
      <c r="H7170" t="n">
        <v>0</v>
      </c>
      <c r="I7170" t="n">
        <v>0</v>
      </c>
      <c r="J7170" t="n">
        <v>0</v>
      </c>
      <c r="K7170" t="n">
        <v>0</v>
      </c>
      <c r="L7170" t="n">
        <v>0</v>
      </c>
      <c r="M7170" t="n">
        <v>0</v>
      </c>
      <c r="N7170" t="n">
        <v>0</v>
      </c>
      <c r="O7170" t="n">
        <v>0</v>
      </c>
      <c r="P7170" t="n">
        <v>0</v>
      </c>
      <c r="Q7170" t="n">
        <v>0</v>
      </c>
      <c r="R7170" s="2" t="inlineStr"/>
    </row>
    <row r="7171" ht="15" customHeight="1">
      <c r="A7171" t="inlineStr">
        <is>
          <t>A 3850-2025</t>
        </is>
      </c>
      <c r="B7171" s="1" t="n">
        <v>45683.84642361111</v>
      </c>
      <c r="C7171" s="1" t="n">
        <v>45952</v>
      </c>
      <c r="D7171" t="inlineStr">
        <is>
          <t>VÄSTRA GÖTALANDS LÄN</t>
        </is>
      </c>
      <c r="E7171" t="inlineStr">
        <is>
          <t>ULRICEHAMN</t>
        </is>
      </c>
      <c r="G7171" t="n">
        <v>1.7</v>
      </c>
      <c r="H7171" t="n">
        <v>0</v>
      </c>
      <c r="I7171" t="n">
        <v>0</v>
      </c>
      <c r="J7171" t="n">
        <v>0</v>
      </c>
      <c r="K7171" t="n">
        <v>0</v>
      </c>
      <c r="L7171" t="n">
        <v>0</v>
      </c>
      <c r="M7171" t="n">
        <v>0</v>
      </c>
      <c r="N7171" t="n">
        <v>0</v>
      </c>
      <c r="O7171" t="n">
        <v>0</v>
      </c>
      <c r="P7171" t="n">
        <v>0</v>
      </c>
      <c r="Q7171" t="n">
        <v>0</v>
      </c>
      <c r="R7171" s="2" t="inlineStr"/>
    </row>
    <row r="7172" ht="15" customHeight="1">
      <c r="A7172" t="inlineStr">
        <is>
          <t>A 51287-2024</t>
        </is>
      </c>
      <c r="B7172" s="1" t="n">
        <v>45603.85266203704</v>
      </c>
      <c r="C7172" s="1" t="n">
        <v>45952</v>
      </c>
      <c r="D7172" t="inlineStr">
        <is>
          <t>VÄSTRA GÖTALANDS LÄN</t>
        </is>
      </c>
      <c r="E7172" t="inlineStr">
        <is>
          <t>TIDAHOLM</t>
        </is>
      </c>
      <c r="G7172" t="n">
        <v>2.4</v>
      </c>
      <c r="H7172" t="n">
        <v>0</v>
      </c>
      <c r="I7172" t="n">
        <v>0</v>
      </c>
      <c r="J7172" t="n">
        <v>0</v>
      </c>
      <c r="K7172" t="n">
        <v>0</v>
      </c>
      <c r="L7172" t="n">
        <v>0</v>
      </c>
      <c r="M7172" t="n">
        <v>0</v>
      </c>
      <c r="N7172" t="n">
        <v>0</v>
      </c>
      <c r="O7172" t="n">
        <v>0</v>
      </c>
      <c r="P7172" t="n">
        <v>0</v>
      </c>
      <c r="Q7172" t="n">
        <v>0</v>
      </c>
      <c r="R7172" s="2" t="inlineStr"/>
    </row>
    <row r="7173" ht="15" customHeight="1">
      <c r="A7173" t="inlineStr">
        <is>
          <t>A 57154-2022</t>
        </is>
      </c>
      <c r="B7173" s="1" t="n">
        <v>44895.58527777778</v>
      </c>
      <c r="C7173" s="1" t="n">
        <v>45952</v>
      </c>
      <c r="D7173" t="inlineStr">
        <is>
          <t>VÄSTRA GÖTALANDS LÄN</t>
        </is>
      </c>
      <c r="E7173" t="inlineStr">
        <is>
          <t>LERUM</t>
        </is>
      </c>
      <c r="G7173" t="n">
        <v>1.8</v>
      </c>
      <c r="H7173" t="n">
        <v>0</v>
      </c>
      <c r="I7173" t="n">
        <v>0</v>
      </c>
      <c r="J7173" t="n">
        <v>0</v>
      </c>
      <c r="K7173" t="n">
        <v>0</v>
      </c>
      <c r="L7173" t="n">
        <v>0</v>
      </c>
      <c r="M7173" t="n">
        <v>0</v>
      </c>
      <c r="N7173" t="n">
        <v>0</v>
      </c>
      <c r="O7173" t="n">
        <v>0</v>
      </c>
      <c r="P7173" t="n">
        <v>0</v>
      </c>
      <c r="Q7173" t="n">
        <v>0</v>
      </c>
      <c r="R7173" s="2" t="inlineStr"/>
    </row>
    <row r="7174" ht="15" customHeight="1">
      <c r="A7174" t="inlineStr">
        <is>
          <t>A 51288-2024</t>
        </is>
      </c>
      <c r="B7174" s="1" t="n">
        <v>45603.85405092593</v>
      </c>
      <c r="C7174" s="1" t="n">
        <v>45952</v>
      </c>
      <c r="D7174" t="inlineStr">
        <is>
          <t>VÄSTRA GÖTALANDS LÄN</t>
        </is>
      </c>
      <c r="E7174" t="inlineStr">
        <is>
          <t>TIDAHOLM</t>
        </is>
      </c>
      <c r="G7174" t="n">
        <v>1.8</v>
      </c>
      <c r="H7174" t="n">
        <v>0</v>
      </c>
      <c r="I7174" t="n">
        <v>0</v>
      </c>
      <c r="J7174" t="n">
        <v>0</v>
      </c>
      <c r="K7174" t="n">
        <v>0</v>
      </c>
      <c r="L7174" t="n">
        <v>0</v>
      </c>
      <c r="M7174" t="n">
        <v>0</v>
      </c>
      <c r="N7174" t="n">
        <v>0</v>
      </c>
      <c r="O7174" t="n">
        <v>0</v>
      </c>
      <c r="P7174" t="n">
        <v>0</v>
      </c>
      <c r="Q7174" t="n">
        <v>0</v>
      </c>
      <c r="R7174" s="2" t="inlineStr"/>
    </row>
    <row r="7175" ht="15" customHeight="1">
      <c r="A7175" t="inlineStr">
        <is>
          <t>A 50454-2021</t>
        </is>
      </c>
      <c r="B7175" s="1" t="n">
        <v>44459.52819444444</v>
      </c>
      <c r="C7175" s="1" t="n">
        <v>45952</v>
      </c>
      <c r="D7175" t="inlineStr">
        <is>
          <t>VÄSTRA GÖTALANDS LÄN</t>
        </is>
      </c>
      <c r="E7175" t="inlineStr">
        <is>
          <t>FÄRGELANDA</t>
        </is>
      </c>
      <c r="G7175" t="n">
        <v>1.5</v>
      </c>
      <c r="H7175" t="n">
        <v>0</v>
      </c>
      <c r="I7175" t="n">
        <v>0</v>
      </c>
      <c r="J7175" t="n">
        <v>0</v>
      </c>
      <c r="K7175" t="n">
        <v>0</v>
      </c>
      <c r="L7175" t="n">
        <v>0</v>
      </c>
      <c r="M7175" t="n">
        <v>0</v>
      </c>
      <c r="N7175" t="n">
        <v>0</v>
      </c>
      <c r="O7175" t="n">
        <v>0</v>
      </c>
      <c r="P7175" t="n">
        <v>0</v>
      </c>
      <c r="Q7175" t="n">
        <v>0</v>
      </c>
      <c r="R7175" s="2" t="inlineStr"/>
    </row>
    <row r="7176" ht="15" customHeight="1">
      <c r="A7176" t="inlineStr">
        <is>
          <t>A 57768-2022</t>
        </is>
      </c>
      <c r="B7176" s="1" t="n">
        <v>44892</v>
      </c>
      <c r="C7176" s="1" t="n">
        <v>45952</v>
      </c>
      <c r="D7176" t="inlineStr">
        <is>
          <t>VÄSTRA GÖTALANDS LÄN</t>
        </is>
      </c>
      <c r="E7176" t="inlineStr">
        <is>
          <t>STRÖMSTAD</t>
        </is>
      </c>
      <c r="G7176" t="n">
        <v>0.5</v>
      </c>
      <c r="H7176" t="n">
        <v>0</v>
      </c>
      <c r="I7176" t="n">
        <v>0</v>
      </c>
      <c r="J7176" t="n">
        <v>0</v>
      </c>
      <c r="K7176" t="n">
        <v>0</v>
      </c>
      <c r="L7176" t="n">
        <v>0</v>
      </c>
      <c r="M7176" t="n">
        <v>0</v>
      </c>
      <c r="N7176" t="n">
        <v>0</v>
      </c>
      <c r="O7176" t="n">
        <v>0</v>
      </c>
      <c r="P7176" t="n">
        <v>0</v>
      </c>
      <c r="Q7176" t="n">
        <v>0</v>
      </c>
      <c r="R7176" s="2" t="inlineStr"/>
    </row>
    <row r="7177" ht="15" customHeight="1">
      <c r="A7177" t="inlineStr">
        <is>
          <t>A 11576-2024</t>
        </is>
      </c>
      <c r="B7177" s="1" t="n">
        <v>45373.33706018519</v>
      </c>
      <c r="C7177" s="1" t="n">
        <v>45952</v>
      </c>
      <c r="D7177" t="inlineStr">
        <is>
          <t>VÄSTRA GÖTALANDS LÄN</t>
        </is>
      </c>
      <c r="E7177" t="inlineStr">
        <is>
          <t>MARK</t>
        </is>
      </c>
      <c r="G7177" t="n">
        <v>5.2</v>
      </c>
      <c r="H7177" t="n">
        <v>0</v>
      </c>
      <c r="I7177" t="n">
        <v>0</v>
      </c>
      <c r="J7177" t="n">
        <v>0</v>
      </c>
      <c r="K7177" t="n">
        <v>0</v>
      </c>
      <c r="L7177" t="n">
        <v>0</v>
      </c>
      <c r="M7177" t="n">
        <v>0</v>
      </c>
      <c r="N7177" t="n">
        <v>0</v>
      </c>
      <c r="O7177" t="n">
        <v>0</v>
      </c>
      <c r="P7177" t="n">
        <v>0</v>
      </c>
      <c r="Q7177" t="n">
        <v>0</v>
      </c>
      <c r="R7177" s="2" t="inlineStr"/>
    </row>
    <row r="7178" ht="15" customHeight="1">
      <c r="A7178" t="inlineStr">
        <is>
          <t>A 53193-2023</t>
        </is>
      </c>
      <c r="B7178" s="1" t="n">
        <v>45229</v>
      </c>
      <c r="C7178" s="1" t="n">
        <v>45952</v>
      </c>
      <c r="D7178" t="inlineStr">
        <is>
          <t>VÄSTRA GÖTALANDS LÄN</t>
        </is>
      </c>
      <c r="E7178" t="inlineStr">
        <is>
          <t>TROLLHÄTTAN</t>
        </is>
      </c>
      <c r="G7178" t="n">
        <v>0.7</v>
      </c>
      <c r="H7178" t="n">
        <v>0</v>
      </c>
      <c r="I7178" t="n">
        <v>0</v>
      </c>
      <c r="J7178" t="n">
        <v>0</v>
      </c>
      <c r="K7178" t="n">
        <v>0</v>
      </c>
      <c r="L7178" t="n">
        <v>0</v>
      </c>
      <c r="M7178" t="n">
        <v>0</v>
      </c>
      <c r="N7178" t="n">
        <v>0</v>
      </c>
      <c r="O7178" t="n">
        <v>0</v>
      </c>
      <c r="P7178" t="n">
        <v>0</v>
      </c>
      <c r="Q7178" t="n">
        <v>0</v>
      </c>
      <c r="R7178" s="2" t="inlineStr"/>
    </row>
    <row r="7179" ht="15" customHeight="1">
      <c r="A7179" t="inlineStr">
        <is>
          <t>A 17129-2023</t>
        </is>
      </c>
      <c r="B7179" s="1" t="n">
        <v>45034</v>
      </c>
      <c r="C7179" s="1" t="n">
        <v>45952</v>
      </c>
      <c r="D7179" t="inlineStr">
        <is>
          <t>VÄSTRA GÖTALANDS LÄN</t>
        </is>
      </c>
      <c r="E7179" t="inlineStr">
        <is>
          <t>FÄRGELANDA</t>
        </is>
      </c>
      <c r="G7179" t="n">
        <v>1.2</v>
      </c>
      <c r="H7179" t="n">
        <v>0</v>
      </c>
      <c r="I7179" t="n">
        <v>0</v>
      </c>
      <c r="J7179" t="n">
        <v>0</v>
      </c>
      <c r="K7179" t="n">
        <v>0</v>
      </c>
      <c r="L7179" t="n">
        <v>0</v>
      </c>
      <c r="M7179" t="n">
        <v>0</v>
      </c>
      <c r="N7179" t="n">
        <v>0</v>
      </c>
      <c r="O7179" t="n">
        <v>0</v>
      </c>
      <c r="P7179" t="n">
        <v>0</v>
      </c>
      <c r="Q7179" t="n">
        <v>0</v>
      </c>
      <c r="R7179" s="2" t="inlineStr"/>
    </row>
    <row r="7180" ht="15" customHeight="1">
      <c r="A7180" t="inlineStr">
        <is>
          <t>A 16936-2022</t>
        </is>
      </c>
      <c r="B7180" s="1" t="n">
        <v>44676.46715277778</v>
      </c>
      <c r="C7180" s="1" t="n">
        <v>45952</v>
      </c>
      <c r="D7180" t="inlineStr">
        <is>
          <t>VÄSTRA GÖTALANDS LÄN</t>
        </is>
      </c>
      <c r="E7180" t="inlineStr">
        <is>
          <t>BENGTSFORS</t>
        </is>
      </c>
      <c r="G7180" t="n">
        <v>4.1</v>
      </c>
      <c r="H7180" t="n">
        <v>0</v>
      </c>
      <c r="I7180" t="n">
        <v>0</v>
      </c>
      <c r="J7180" t="n">
        <v>0</v>
      </c>
      <c r="K7180" t="n">
        <v>0</v>
      </c>
      <c r="L7180" t="n">
        <v>0</v>
      </c>
      <c r="M7180" t="n">
        <v>0</v>
      </c>
      <c r="N7180" t="n">
        <v>0</v>
      </c>
      <c r="O7180" t="n">
        <v>0</v>
      </c>
      <c r="P7180" t="n">
        <v>0</v>
      </c>
      <c r="Q7180" t="n">
        <v>0</v>
      </c>
      <c r="R7180" s="2" t="inlineStr"/>
    </row>
    <row r="7181" ht="15" customHeight="1">
      <c r="A7181" t="inlineStr">
        <is>
          <t>A 49582-2023</t>
        </is>
      </c>
      <c r="B7181" s="1" t="n">
        <v>45211.67170138889</v>
      </c>
      <c r="C7181" s="1" t="n">
        <v>45952</v>
      </c>
      <c r="D7181" t="inlineStr">
        <is>
          <t>VÄSTRA GÖTALANDS LÄN</t>
        </is>
      </c>
      <c r="E7181" t="inlineStr">
        <is>
          <t>MARIESTAD</t>
        </is>
      </c>
      <c r="G7181" t="n">
        <v>1.8</v>
      </c>
      <c r="H7181" t="n">
        <v>0</v>
      </c>
      <c r="I7181" t="n">
        <v>0</v>
      </c>
      <c r="J7181" t="n">
        <v>0</v>
      </c>
      <c r="K7181" t="n">
        <v>0</v>
      </c>
      <c r="L7181" t="n">
        <v>0</v>
      </c>
      <c r="M7181" t="n">
        <v>0</v>
      </c>
      <c r="N7181" t="n">
        <v>0</v>
      </c>
      <c r="O7181" t="n">
        <v>0</v>
      </c>
      <c r="P7181" t="n">
        <v>0</v>
      </c>
      <c r="Q7181" t="n">
        <v>0</v>
      </c>
      <c r="R7181" s="2" t="inlineStr"/>
    </row>
    <row r="7182" ht="15" customHeight="1">
      <c r="A7182" t="inlineStr">
        <is>
          <t>A 50521-2021</t>
        </is>
      </c>
      <c r="B7182" s="1" t="n">
        <v>44455</v>
      </c>
      <c r="C7182" s="1" t="n">
        <v>45952</v>
      </c>
      <c r="D7182" t="inlineStr">
        <is>
          <t>VÄSTRA GÖTALANDS LÄN</t>
        </is>
      </c>
      <c r="E7182" t="inlineStr">
        <is>
          <t>ULRICEHAMN</t>
        </is>
      </c>
      <c r="G7182" t="n">
        <v>2.7</v>
      </c>
      <c r="H7182" t="n">
        <v>0</v>
      </c>
      <c r="I7182" t="n">
        <v>0</v>
      </c>
      <c r="J7182" t="n">
        <v>0</v>
      </c>
      <c r="K7182" t="n">
        <v>0</v>
      </c>
      <c r="L7182" t="n">
        <v>0</v>
      </c>
      <c r="M7182" t="n">
        <v>0</v>
      </c>
      <c r="N7182" t="n">
        <v>0</v>
      </c>
      <c r="O7182" t="n">
        <v>0</v>
      </c>
      <c r="P7182" t="n">
        <v>0</v>
      </c>
      <c r="Q7182" t="n">
        <v>0</v>
      </c>
      <c r="R7182" s="2" t="inlineStr"/>
    </row>
    <row r="7183" ht="15" customHeight="1">
      <c r="A7183" t="inlineStr">
        <is>
          <t>A 61457-2024</t>
        </is>
      </c>
      <c r="B7183" s="1" t="n">
        <v>45646.49675925926</v>
      </c>
      <c r="C7183" s="1" t="n">
        <v>45952</v>
      </c>
      <c r="D7183" t="inlineStr">
        <is>
          <t>VÄSTRA GÖTALANDS LÄN</t>
        </is>
      </c>
      <c r="E7183" t="inlineStr">
        <is>
          <t>FALKÖPING</t>
        </is>
      </c>
      <c r="G7183" t="n">
        <v>0.5</v>
      </c>
      <c r="H7183" t="n">
        <v>0</v>
      </c>
      <c r="I7183" t="n">
        <v>0</v>
      </c>
      <c r="J7183" t="n">
        <v>0</v>
      </c>
      <c r="K7183" t="n">
        <v>0</v>
      </c>
      <c r="L7183" t="n">
        <v>0</v>
      </c>
      <c r="M7183" t="n">
        <v>0</v>
      </c>
      <c r="N7183" t="n">
        <v>0</v>
      </c>
      <c r="O7183" t="n">
        <v>0</v>
      </c>
      <c r="P7183" t="n">
        <v>0</v>
      </c>
      <c r="Q7183" t="n">
        <v>0</v>
      </c>
      <c r="R7183" s="2" t="inlineStr"/>
    </row>
    <row r="7184" ht="15" customHeight="1">
      <c r="A7184" t="inlineStr">
        <is>
          <t>A 42900-2021</t>
        </is>
      </c>
      <c r="B7184" s="1" t="n">
        <v>44428</v>
      </c>
      <c r="C7184" s="1" t="n">
        <v>45952</v>
      </c>
      <c r="D7184" t="inlineStr">
        <is>
          <t>VÄSTRA GÖTALANDS LÄN</t>
        </is>
      </c>
      <c r="E7184" t="inlineStr">
        <is>
          <t>FALKÖPING</t>
        </is>
      </c>
      <c r="G7184" t="n">
        <v>8.699999999999999</v>
      </c>
      <c r="H7184" t="n">
        <v>0</v>
      </c>
      <c r="I7184" t="n">
        <v>0</v>
      </c>
      <c r="J7184" t="n">
        <v>0</v>
      </c>
      <c r="K7184" t="n">
        <v>0</v>
      </c>
      <c r="L7184" t="n">
        <v>0</v>
      </c>
      <c r="M7184" t="n">
        <v>0</v>
      </c>
      <c r="N7184" t="n">
        <v>0</v>
      </c>
      <c r="O7184" t="n">
        <v>0</v>
      </c>
      <c r="P7184" t="n">
        <v>0</v>
      </c>
      <c r="Q7184" t="n">
        <v>0</v>
      </c>
      <c r="R7184" s="2" t="inlineStr"/>
    </row>
    <row r="7185" ht="15" customHeight="1">
      <c r="A7185" t="inlineStr">
        <is>
          <t>A 61601-2023</t>
        </is>
      </c>
      <c r="B7185" s="1" t="n">
        <v>45265</v>
      </c>
      <c r="C7185" s="1" t="n">
        <v>45952</v>
      </c>
      <c r="D7185" t="inlineStr">
        <is>
          <t>VÄSTRA GÖTALANDS LÄN</t>
        </is>
      </c>
      <c r="E7185" t="inlineStr">
        <is>
          <t>MARIESTAD</t>
        </is>
      </c>
      <c r="F7185" t="inlineStr">
        <is>
          <t>Sveaskog</t>
        </is>
      </c>
      <c r="G7185" t="n">
        <v>0.3</v>
      </c>
      <c r="H7185" t="n">
        <v>0</v>
      </c>
      <c r="I7185" t="n">
        <v>0</v>
      </c>
      <c r="J7185" t="n">
        <v>0</v>
      </c>
      <c r="K7185" t="n">
        <v>0</v>
      </c>
      <c r="L7185" t="n">
        <v>0</v>
      </c>
      <c r="M7185" t="n">
        <v>0</v>
      </c>
      <c r="N7185" t="n">
        <v>0</v>
      </c>
      <c r="O7185" t="n">
        <v>0</v>
      </c>
      <c r="P7185" t="n">
        <v>0</v>
      </c>
      <c r="Q7185" t="n">
        <v>0</v>
      </c>
      <c r="R7185" s="2" t="inlineStr"/>
    </row>
    <row r="7186" ht="15" customHeight="1">
      <c r="A7186" t="inlineStr">
        <is>
          <t>A 49751-2022</t>
        </is>
      </c>
      <c r="B7186" s="1" t="n">
        <v>44862</v>
      </c>
      <c r="C7186" s="1" t="n">
        <v>45952</v>
      </c>
      <c r="D7186" t="inlineStr">
        <is>
          <t>VÄSTRA GÖTALANDS LÄN</t>
        </is>
      </c>
      <c r="E7186" t="inlineStr">
        <is>
          <t>TANUM</t>
        </is>
      </c>
      <c r="G7186" t="n">
        <v>4.5</v>
      </c>
      <c r="H7186" t="n">
        <v>0</v>
      </c>
      <c r="I7186" t="n">
        <v>0</v>
      </c>
      <c r="J7186" t="n">
        <v>0</v>
      </c>
      <c r="K7186" t="n">
        <v>0</v>
      </c>
      <c r="L7186" t="n">
        <v>0</v>
      </c>
      <c r="M7186" t="n">
        <v>0</v>
      </c>
      <c r="N7186" t="n">
        <v>0</v>
      </c>
      <c r="O7186" t="n">
        <v>0</v>
      </c>
      <c r="P7186" t="n">
        <v>0</v>
      </c>
      <c r="Q7186" t="n">
        <v>0</v>
      </c>
      <c r="R7186" s="2" t="inlineStr"/>
    </row>
    <row r="7187" ht="15" customHeight="1">
      <c r="A7187" t="inlineStr">
        <is>
          <t>A 17510-2021</t>
        </is>
      </c>
      <c r="B7187" s="1" t="n">
        <v>44299</v>
      </c>
      <c r="C7187" s="1" t="n">
        <v>45952</v>
      </c>
      <c r="D7187" t="inlineStr">
        <is>
          <t>VÄSTRA GÖTALANDS LÄN</t>
        </is>
      </c>
      <c r="E7187" t="inlineStr">
        <is>
          <t>LILLA EDET</t>
        </is>
      </c>
      <c r="G7187" t="n">
        <v>1.9</v>
      </c>
      <c r="H7187" t="n">
        <v>0</v>
      </c>
      <c r="I7187" t="n">
        <v>0</v>
      </c>
      <c r="J7187" t="n">
        <v>0</v>
      </c>
      <c r="K7187" t="n">
        <v>0</v>
      </c>
      <c r="L7187" t="n">
        <v>0</v>
      </c>
      <c r="M7187" t="n">
        <v>0</v>
      </c>
      <c r="N7187" t="n">
        <v>0</v>
      </c>
      <c r="O7187" t="n">
        <v>0</v>
      </c>
      <c r="P7187" t="n">
        <v>0</v>
      </c>
      <c r="Q7187" t="n">
        <v>0</v>
      </c>
      <c r="R7187" s="2" t="inlineStr"/>
    </row>
    <row r="7188" ht="15" customHeight="1">
      <c r="A7188" t="inlineStr">
        <is>
          <t>A 17525-2021</t>
        </is>
      </c>
      <c r="B7188" s="1" t="n">
        <v>44299</v>
      </c>
      <c r="C7188" s="1" t="n">
        <v>45952</v>
      </c>
      <c r="D7188" t="inlineStr">
        <is>
          <t>VÄSTRA GÖTALANDS LÄN</t>
        </is>
      </c>
      <c r="E7188" t="inlineStr">
        <is>
          <t>TIDAHOLM</t>
        </is>
      </c>
      <c r="G7188" t="n">
        <v>0.6</v>
      </c>
      <c r="H7188" t="n">
        <v>0</v>
      </c>
      <c r="I7188" t="n">
        <v>0</v>
      </c>
      <c r="J7188" t="n">
        <v>0</v>
      </c>
      <c r="K7188" t="n">
        <v>0</v>
      </c>
      <c r="L7188" t="n">
        <v>0</v>
      </c>
      <c r="M7188" t="n">
        <v>0</v>
      </c>
      <c r="N7188" t="n">
        <v>0</v>
      </c>
      <c r="O7188" t="n">
        <v>0</v>
      </c>
      <c r="P7188" t="n">
        <v>0</v>
      </c>
      <c r="Q7188" t="n">
        <v>0</v>
      </c>
      <c r="R7188" s="2" t="inlineStr"/>
    </row>
    <row r="7189" ht="15" customHeight="1">
      <c r="A7189" t="inlineStr">
        <is>
          <t>A 56016-2020</t>
        </is>
      </c>
      <c r="B7189" s="1" t="n">
        <v>44133</v>
      </c>
      <c r="C7189" s="1" t="n">
        <v>45952</v>
      </c>
      <c r="D7189" t="inlineStr">
        <is>
          <t>VÄSTRA GÖTALANDS LÄN</t>
        </is>
      </c>
      <c r="E7189" t="inlineStr">
        <is>
          <t>DALS-ED</t>
        </is>
      </c>
      <c r="G7189" t="n">
        <v>1.2</v>
      </c>
      <c r="H7189" t="n">
        <v>0</v>
      </c>
      <c r="I7189" t="n">
        <v>0</v>
      </c>
      <c r="J7189" t="n">
        <v>0</v>
      </c>
      <c r="K7189" t="n">
        <v>0</v>
      </c>
      <c r="L7189" t="n">
        <v>0</v>
      </c>
      <c r="M7189" t="n">
        <v>0</v>
      </c>
      <c r="N7189" t="n">
        <v>0</v>
      </c>
      <c r="O7189" t="n">
        <v>0</v>
      </c>
      <c r="P7189" t="n">
        <v>0</v>
      </c>
      <c r="Q7189" t="n">
        <v>0</v>
      </c>
      <c r="R7189" s="2" t="inlineStr"/>
    </row>
    <row r="7190" ht="15" customHeight="1">
      <c r="A7190" t="inlineStr">
        <is>
          <t>A 10587-2025</t>
        </is>
      </c>
      <c r="B7190" s="1" t="n">
        <v>45721.55325231481</v>
      </c>
      <c r="C7190" s="1" t="n">
        <v>45952</v>
      </c>
      <c r="D7190" t="inlineStr">
        <is>
          <t>VÄSTRA GÖTALANDS LÄN</t>
        </is>
      </c>
      <c r="E7190" t="inlineStr">
        <is>
          <t>ALINGSÅS</t>
        </is>
      </c>
      <c r="G7190" t="n">
        <v>2.1</v>
      </c>
      <c r="H7190" t="n">
        <v>0</v>
      </c>
      <c r="I7190" t="n">
        <v>0</v>
      </c>
      <c r="J7190" t="n">
        <v>0</v>
      </c>
      <c r="K7190" t="n">
        <v>0</v>
      </c>
      <c r="L7190" t="n">
        <v>0</v>
      </c>
      <c r="M7190" t="n">
        <v>0</v>
      </c>
      <c r="N7190" t="n">
        <v>0</v>
      </c>
      <c r="O7190" t="n">
        <v>0</v>
      </c>
      <c r="P7190" t="n">
        <v>0</v>
      </c>
      <c r="Q7190" t="n">
        <v>0</v>
      </c>
      <c r="R7190" s="2" t="inlineStr"/>
    </row>
    <row r="7191" ht="15" customHeight="1">
      <c r="A7191" t="inlineStr">
        <is>
          <t>A 60645-2022</t>
        </is>
      </c>
      <c r="B7191" s="1" t="n">
        <v>44911.72645833333</v>
      </c>
      <c r="C7191" s="1" t="n">
        <v>45952</v>
      </c>
      <c r="D7191" t="inlineStr">
        <is>
          <t>VÄSTRA GÖTALANDS LÄN</t>
        </is>
      </c>
      <c r="E7191" t="inlineStr">
        <is>
          <t>TIDAHOLM</t>
        </is>
      </c>
      <c r="F7191" t="inlineStr">
        <is>
          <t>Sveaskog</t>
        </is>
      </c>
      <c r="G7191" t="n">
        <v>2.6</v>
      </c>
      <c r="H7191" t="n">
        <v>0</v>
      </c>
      <c r="I7191" t="n">
        <v>0</v>
      </c>
      <c r="J7191" t="n">
        <v>0</v>
      </c>
      <c r="K7191" t="n">
        <v>0</v>
      </c>
      <c r="L7191" t="n">
        <v>0</v>
      </c>
      <c r="M7191" t="n">
        <v>0</v>
      </c>
      <c r="N7191" t="n">
        <v>0</v>
      </c>
      <c r="O7191" t="n">
        <v>0</v>
      </c>
      <c r="P7191" t="n">
        <v>0</v>
      </c>
      <c r="Q7191" t="n">
        <v>0</v>
      </c>
      <c r="R7191" s="2" t="inlineStr"/>
    </row>
    <row r="7192" ht="15" customHeight="1">
      <c r="A7192" t="inlineStr">
        <is>
          <t>A 19990-2024</t>
        </is>
      </c>
      <c r="B7192" s="1" t="n">
        <v>45433</v>
      </c>
      <c r="C7192" s="1" t="n">
        <v>45952</v>
      </c>
      <c r="D7192" t="inlineStr">
        <is>
          <t>VÄSTRA GÖTALANDS LÄN</t>
        </is>
      </c>
      <c r="E7192" t="inlineStr">
        <is>
          <t>HERRLJUNGA</t>
        </is>
      </c>
      <c r="G7192" t="n">
        <v>2.1</v>
      </c>
      <c r="H7192" t="n">
        <v>0</v>
      </c>
      <c r="I7192" t="n">
        <v>0</v>
      </c>
      <c r="J7192" t="n">
        <v>0</v>
      </c>
      <c r="K7192" t="n">
        <v>0</v>
      </c>
      <c r="L7192" t="n">
        <v>0</v>
      </c>
      <c r="M7192" t="n">
        <v>0</v>
      </c>
      <c r="N7192" t="n">
        <v>0</v>
      </c>
      <c r="O7192" t="n">
        <v>0</v>
      </c>
      <c r="P7192" t="n">
        <v>0</v>
      </c>
      <c r="Q7192" t="n">
        <v>0</v>
      </c>
      <c r="R7192" s="2" t="inlineStr"/>
    </row>
    <row r="7193" ht="15" customHeight="1">
      <c r="A7193" t="inlineStr">
        <is>
          <t>A 58317-2021</t>
        </is>
      </c>
      <c r="B7193" s="1" t="n">
        <v>44488.35737268518</v>
      </c>
      <c r="C7193" s="1" t="n">
        <v>45952</v>
      </c>
      <c r="D7193" t="inlineStr">
        <is>
          <t>VÄSTRA GÖTALANDS LÄN</t>
        </is>
      </c>
      <c r="E7193" t="inlineStr">
        <is>
          <t>FÄRGELANDA</t>
        </is>
      </c>
      <c r="G7193" t="n">
        <v>6.6</v>
      </c>
      <c r="H7193" t="n">
        <v>0</v>
      </c>
      <c r="I7193" t="n">
        <v>0</v>
      </c>
      <c r="J7193" t="n">
        <v>0</v>
      </c>
      <c r="K7193" t="n">
        <v>0</v>
      </c>
      <c r="L7193" t="n">
        <v>0</v>
      </c>
      <c r="M7193" t="n">
        <v>0</v>
      </c>
      <c r="N7193" t="n">
        <v>0</v>
      </c>
      <c r="O7193" t="n">
        <v>0</v>
      </c>
      <c r="P7193" t="n">
        <v>0</v>
      </c>
      <c r="Q7193" t="n">
        <v>0</v>
      </c>
      <c r="R7193" s="2" t="inlineStr"/>
    </row>
    <row r="7194" ht="15" customHeight="1">
      <c r="A7194" t="inlineStr">
        <is>
          <t>A 5433-2023</t>
        </is>
      </c>
      <c r="B7194" s="1" t="n">
        <v>44959.8830787037</v>
      </c>
      <c r="C7194" s="1" t="n">
        <v>45952</v>
      </c>
      <c r="D7194" t="inlineStr">
        <is>
          <t>VÄSTRA GÖTALANDS LÄN</t>
        </is>
      </c>
      <c r="E7194" t="inlineStr">
        <is>
          <t>UDDEVALLA</t>
        </is>
      </c>
      <c r="G7194" t="n">
        <v>2.2</v>
      </c>
      <c r="H7194" t="n">
        <v>0</v>
      </c>
      <c r="I7194" t="n">
        <v>0</v>
      </c>
      <c r="J7194" t="n">
        <v>0</v>
      </c>
      <c r="K7194" t="n">
        <v>0</v>
      </c>
      <c r="L7194" t="n">
        <v>0</v>
      </c>
      <c r="M7194" t="n">
        <v>0</v>
      </c>
      <c r="N7194" t="n">
        <v>0</v>
      </c>
      <c r="O7194" t="n">
        <v>0</v>
      </c>
      <c r="P7194" t="n">
        <v>0</v>
      </c>
      <c r="Q7194" t="n">
        <v>0</v>
      </c>
      <c r="R7194" s="2" t="inlineStr"/>
    </row>
    <row r="7195" ht="15" customHeight="1">
      <c r="A7195" t="inlineStr">
        <is>
          <t>A 44470-2023</t>
        </is>
      </c>
      <c r="B7195" s="1" t="n">
        <v>45183</v>
      </c>
      <c r="C7195" s="1" t="n">
        <v>45952</v>
      </c>
      <c r="D7195" t="inlineStr">
        <is>
          <t>VÄSTRA GÖTALANDS LÄN</t>
        </is>
      </c>
      <c r="E7195" t="inlineStr">
        <is>
          <t>TRANEMO</t>
        </is>
      </c>
      <c r="G7195" t="n">
        <v>5.4</v>
      </c>
      <c r="H7195" t="n">
        <v>0</v>
      </c>
      <c r="I7195" t="n">
        <v>0</v>
      </c>
      <c r="J7195" t="n">
        <v>0</v>
      </c>
      <c r="K7195" t="n">
        <v>0</v>
      </c>
      <c r="L7195" t="n">
        <v>0</v>
      </c>
      <c r="M7195" t="n">
        <v>0</v>
      </c>
      <c r="N7195" t="n">
        <v>0</v>
      </c>
      <c r="O7195" t="n">
        <v>0</v>
      </c>
      <c r="P7195" t="n">
        <v>0</v>
      </c>
      <c r="Q7195" t="n">
        <v>0</v>
      </c>
      <c r="R7195" s="2" t="inlineStr"/>
    </row>
    <row r="7196" ht="15" customHeight="1">
      <c r="A7196" t="inlineStr">
        <is>
          <t>A 15644-2025</t>
        </is>
      </c>
      <c r="B7196" s="1" t="n">
        <v>45748</v>
      </c>
      <c r="C7196" s="1" t="n">
        <v>45952</v>
      </c>
      <c r="D7196" t="inlineStr">
        <is>
          <t>VÄSTRA GÖTALANDS LÄN</t>
        </is>
      </c>
      <c r="E7196" t="inlineStr">
        <is>
          <t>BENGTSFORS</t>
        </is>
      </c>
      <c r="F7196" t="inlineStr">
        <is>
          <t>Kommuner</t>
        </is>
      </c>
      <c r="G7196" t="n">
        <v>1.7</v>
      </c>
      <c r="H7196" t="n">
        <v>0</v>
      </c>
      <c r="I7196" t="n">
        <v>0</v>
      </c>
      <c r="J7196" t="n">
        <v>0</v>
      </c>
      <c r="K7196" t="n">
        <v>0</v>
      </c>
      <c r="L7196" t="n">
        <v>0</v>
      </c>
      <c r="M7196" t="n">
        <v>0</v>
      </c>
      <c r="N7196" t="n">
        <v>0</v>
      </c>
      <c r="O7196" t="n">
        <v>0</v>
      </c>
      <c r="P7196" t="n">
        <v>0</v>
      </c>
      <c r="Q7196" t="n">
        <v>0</v>
      </c>
      <c r="R7196" s="2" t="inlineStr"/>
    </row>
    <row r="7197" ht="15" customHeight="1">
      <c r="A7197" t="inlineStr">
        <is>
          <t>A 3102-2025</t>
        </is>
      </c>
      <c r="B7197" s="1" t="n">
        <v>45678.67545138889</v>
      </c>
      <c r="C7197" s="1" t="n">
        <v>45952</v>
      </c>
      <c r="D7197" t="inlineStr">
        <is>
          <t>VÄSTRA GÖTALANDS LÄN</t>
        </is>
      </c>
      <c r="E7197" t="inlineStr">
        <is>
          <t>HERRLJUNGA</t>
        </is>
      </c>
      <c r="G7197" t="n">
        <v>6.2</v>
      </c>
      <c r="H7197" t="n">
        <v>0</v>
      </c>
      <c r="I7197" t="n">
        <v>0</v>
      </c>
      <c r="J7197" t="n">
        <v>0</v>
      </c>
      <c r="K7197" t="n">
        <v>0</v>
      </c>
      <c r="L7197" t="n">
        <v>0</v>
      </c>
      <c r="M7197" t="n">
        <v>0</v>
      </c>
      <c r="N7197" t="n">
        <v>0</v>
      </c>
      <c r="O7197" t="n">
        <v>0</v>
      </c>
      <c r="P7197" t="n">
        <v>0</v>
      </c>
      <c r="Q7197" t="n">
        <v>0</v>
      </c>
      <c r="R7197" s="2" t="inlineStr"/>
    </row>
    <row r="7198" ht="15" customHeight="1">
      <c r="A7198" t="inlineStr">
        <is>
          <t>A 17949-2025</t>
        </is>
      </c>
      <c r="B7198" s="1" t="n">
        <v>45760.74111111111</v>
      </c>
      <c r="C7198" s="1" t="n">
        <v>45952</v>
      </c>
      <c r="D7198" t="inlineStr">
        <is>
          <t>VÄSTRA GÖTALANDS LÄN</t>
        </is>
      </c>
      <c r="E7198" t="inlineStr">
        <is>
          <t>TRANEMO</t>
        </is>
      </c>
      <c r="G7198" t="n">
        <v>6.6</v>
      </c>
      <c r="H7198" t="n">
        <v>0</v>
      </c>
      <c r="I7198" t="n">
        <v>0</v>
      </c>
      <c r="J7198" t="n">
        <v>0</v>
      </c>
      <c r="K7198" t="n">
        <v>0</v>
      </c>
      <c r="L7198" t="n">
        <v>0</v>
      </c>
      <c r="M7198" t="n">
        <v>0</v>
      </c>
      <c r="N7198" t="n">
        <v>0</v>
      </c>
      <c r="O7198" t="n">
        <v>0</v>
      </c>
      <c r="P7198" t="n">
        <v>0</v>
      </c>
      <c r="Q7198" t="n">
        <v>0</v>
      </c>
      <c r="R7198" s="2" t="inlineStr"/>
    </row>
    <row r="7199" ht="15" customHeight="1">
      <c r="A7199" t="inlineStr">
        <is>
          <t>A 11949-2023</t>
        </is>
      </c>
      <c r="B7199" s="1" t="n">
        <v>44994</v>
      </c>
      <c r="C7199" s="1" t="n">
        <v>45952</v>
      </c>
      <c r="D7199" t="inlineStr">
        <is>
          <t>VÄSTRA GÖTALANDS LÄN</t>
        </is>
      </c>
      <c r="E7199" t="inlineStr">
        <is>
          <t>LIDKÖPING</t>
        </is>
      </c>
      <c r="G7199" t="n">
        <v>2.3</v>
      </c>
      <c r="H7199" t="n">
        <v>0</v>
      </c>
      <c r="I7199" t="n">
        <v>0</v>
      </c>
      <c r="J7199" t="n">
        <v>0</v>
      </c>
      <c r="K7199" t="n">
        <v>0</v>
      </c>
      <c r="L7199" t="n">
        <v>0</v>
      </c>
      <c r="M7199" t="n">
        <v>0</v>
      </c>
      <c r="N7199" t="n">
        <v>0</v>
      </c>
      <c r="O7199" t="n">
        <v>0</v>
      </c>
      <c r="P7199" t="n">
        <v>0</v>
      </c>
      <c r="Q7199" t="n">
        <v>0</v>
      </c>
      <c r="R7199" s="2" t="inlineStr"/>
    </row>
    <row r="7200" ht="15" customHeight="1">
      <c r="A7200" t="inlineStr">
        <is>
          <t>A 52165-2024</t>
        </is>
      </c>
      <c r="B7200" s="1" t="n">
        <v>45608</v>
      </c>
      <c r="C7200" s="1" t="n">
        <v>45952</v>
      </c>
      <c r="D7200" t="inlineStr">
        <is>
          <t>VÄSTRA GÖTALANDS LÄN</t>
        </is>
      </c>
      <c r="E7200" t="inlineStr">
        <is>
          <t>BORÅS</t>
        </is>
      </c>
      <c r="G7200" t="n">
        <v>1.2</v>
      </c>
      <c r="H7200" t="n">
        <v>0</v>
      </c>
      <c r="I7200" t="n">
        <v>0</v>
      </c>
      <c r="J7200" t="n">
        <v>0</v>
      </c>
      <c r="K7200" t="n">
        <v>0</v>
      </c>
      <c r="L7200" t="n">
        <v>0</v>
      </c>
      <c r="M7200" t="n">
        <v>0</v>
      </c>
      <c r="N7200" t="n">
        <v>0</v>
      </c>
      <c r="O7200" t="n">
        <v>0</v>
      </c>
      <c r="P7200" t="n">
        <v>0</v>
      </c>
      <c r="Q7200" t="n">
        <v>0</v>
      </c>
      <c r="R7200" s="2" t="inlineStr"/>
    </row>
    <row r="7201" ht="15" customHeight="1">
      <c r="A7201" t="inlineStr">
        <is>
          <t>A 8456-2024</t>
        </is>
      </c>
      <c r="B7201" s="1" t="n">
        <v>45354</v>
      </c>
      <c r="C7201" s="1" t="n">
        <v>45952</v>
      </c>
      <c r="D7201" t="inlineStr">
        <is>
          <t>VÄSTRA GÖTALANDS LÄN</t>
        </is>
      </c>
      <c r="E7201" t="inlineStr">
        <is>
          <t>VÅRGÅRDA</t>
        </is>
      </c>
      <c r="G7201" t="n">
        <v>4.3</v>
      </c>
      <c r="H7201" t="n">
        <v>0</v>
      </c>
      <c r="I7201" t="n">
        <v>0</v>
      </c>
      <c r="J7201" t="n">
        <v>0</v>
      </c>
      <c r="K7201" t="n">
        <v>0</v>
      </c>
      <c r="L7201" t="n">
        <v>0</v>
      </c>
      <c r="M7201" t="n">
        <v>0</v>
      </c>
      <c r="N7201" t="n">
        <v>0</v>
      </c>
      <c r="O7201" t="n">
        <v>0</v>
      </c>
      <c r="P7201" t="n">
        <v>0</v>
      </c>
      <c r="Q7201" t="n">
        <v>0</v>
      </c>
      <c r="R7201" s="2" t="inlineStr"/>
    </row>
    <row r="7202" ht="15" customHeight="1">
      <c r="A7202" t="inlineStr">
        <is>
          <t>A 8542-2024</t>
        </is>
      </c>
      <c r="B7202" s="1" t="n">
        <v>45355.5446875</v>
      </c>
      <c r="C7202" s="1" t="n">
        <v>45952</v>
      </c>
      <c r="D7202" t="inlineStr">
        <is>
          <t>VÄSTRA GÖTALANDS LÄN</t>
        </is>
      </c>
      <c r="E7202" t="inlineStr">
        <is>
          <t>BENGTSFORS</t>
        </is>
      </c>
      <c r="G7202" t="n">
        <v>3.8</v>
      </c>
      <c r="H7202" t="n">
        <v>0</v>
      </c>
      <c r="I7202" t="n">
        <v>0</v>
      </c>
      <c r="J7202" t="n">
        <v>0</v>
      </c>
      <c r="K7202" t="n">
        <v>0</v>
      </c>
      <c r="L7202" t="n">
        <v>0</v>
      </c>
      <c r="M7202" t="n">
        <v>0</v>
      </c>
      <c r="N7202" t="n">
        <v>0</v>
      </c>
      <c r="O7202" t="n">
        <v>0</v>
      </c>
      <c r="P7202" t="n">
        <v>0</v>
      </c>
      <c r="Q7202" t="n">
        <v>0</v>
      </c>
      <c r="R7202" s="2" t="inlineStr"/>
    </row>
    <row r="7203" ht="15" customHeight="1">
      <c r="A7203" t="inlineStr">
        <is>
          <t>A 52268-2024</t>
        </is>
      </c>
      <c r="B7203" s="1" t="n">
        <v>45608.65652777778</v>
      </c>
      <c r="C7203" s="1" t="n">
        <v>45952</v>
      </c>
      <c r="D7203" t="inlineStr">
        <is>
          <t>VÄSTRA GÖTALANDS LÄN</t>
        </is>
      </c>
      <c r="E7203" t="inlineStr">
        <is>
          <t>BORÅS</t>
        </is>
      </c>
      <c r="G7203" t="n">
        <v>2.1</v>
      </c>
      <c r="H7203" t="n">
        <v>0</v>
      </c>
      <c r="I7203" t="n">
        <v>0</v>
      </c>
      <c r="J7203" t="n">
        <v>0</v>
      </c>
      <c r="K7203" t="n">
        <v>0</v>
      </c>
      <c r="L7203" t="n">
        <v>0</v>
      </c>
      <c r="M7203" t="n">
        <v>0</v>
      </c>
      <c r="N7203" t="n">
        <v>0</v>
      </c>
      <c r="O7203" t="n">
        <v>0</v>
      </c>
      <c r="P7203" t="n">
        <v>0</v>
      </c>
      <c r="Q7203" t="n">
        <v>0</v>
      </c>
      <c r="R7203" s="2" t="inlineStr"/>
    </row>
    <row r="7204" ht="15" customHeight="1">
      <c r="A7204" t="inlineStr">
        <is>
          <t>A 49755-2022</t>
        </is>
      </c>
      <c r="B7204" s="1" t="n">
        <v>44859</v>
      </c>
      <c r="C7204" s="1" t="n">
        <v>45952</v>
      </c>
      <c r="D7204" t="inlineStr">
        <is>
          <t>VÄSTRA GÖTALANDS LÄN</t>
        </is>
      </c>
      <c r="E7204" t="inlineStr">
        <is>
          <t>LIDKÖPING</t>
        </is>
      </c>
      <c r="G7204" t="n">
        <v>1.6</v>
      </c>
      <c r="H7204" t="n">
        <v>0</v>
      </c>
      <c r="I7204" t="n">
        <v>0</v>
      </c>
      <c r="J7204" t="n">
        <v>0</v>
      </c>
      <c r="K7204" t="n">
        <v>0</v>
      </c>
      <c r="L7204" t="n">
        <v>0</v>
      </c>
      <c r="M7204" t="n">
        <v>0</v>
      </c>
      <c r="N7204" t="n">
        <v>0</v>
      </c>
      <c r="O7204" t="n">
        <v>0</v>
      </c>
      <c r="P7204" t="n">
        <v>0</v>
      </c>
      <c r="Q7204" t="n">
        <v>0</v>
      </c>
      <c r="R7204" s="2" t="inlineStr"/>
    </row>
    <row r="7205" ht="15" customHeight="1">
      <c r="A7205" t="inlineStr">
        <is>
          <t>A 23871-2024</t>
        </is>
      </c>
      <c r="B7205" s="1" t="n">
        <v>45455.61503472222</v>
      </c>
      <c r="C7205" s="1" t="n">
        <v>45952</v>
      </c>
      <c r="D7205" t="inlineStr">
        <is>
          <t>VÄSTRA GÖTALANDS LÄN</t>
        </is>
      </c>
      <c r="E7205" t="inlineStr">
        <is>
          <t>MUNKEDAL</t>
        </is>
      </c>
      <c r="G7205" t="n">
        <v>6.1</v>
      </c>
      <c r="H7205" t="n">
        <v>0</v>
      </c>
      <c r="I7205" t="n">
        <v>0</v>
      </c>
      <c r="J7205" t="n">
        <v>0</v>
      </c>
      <c r="K7205" t="n">
        <v>0</v>
      </c>
      <c r="L7205" t="n">
        <v>0</v>
      </c>
      <c r="M7205" t="n">
        <v>0</v>
      </c>
      <c r="N7205" t="n">
        <v>0</v>
      </c>
      <c r="O7205" t="n">
        <v>0</v>
      </c>
      <c r="P7205" t="n">
        <v>0</v>
      </c>
      <c r="Q7205" t="n">
        <v>0</v>
      </c>
      <c r="R7205" s="2" t="inlineStr"/>
    </row>
    <row r="7206" ht="15" customHeight="1">
      <c r="A7206" t="inlineStr">
        <is>
          <t>A 54289-2022</t>
        </is>
      </c>
      <c r="B7206" s="1" t="n">
        <v>44882</v>
      </c>
      <c r="C7206" s="1" t="n">
        <v>45952</v>
      </c>
      <c r="D7206" t="inlineStr">
        <is>
          <t>VÄSTRA GÖTALANDS LÄN</t>
        </is>
      </c>
      <c r="E7206" t="inlineStr">
        <is>
          <t>BOLLEBYGD</t>
        </is>
      </c>
      <c r="G7206" t="n">
        <v>1.1</v>
      </c>
      <c r="H7206" t="n">
        <v>0</v>
      </c>
      <c r="I7206" t="n">
        <v>0</v>
      </c>
      <c r="J7206" t="n">
        <v>0</v>
      </c>
      <c r="K7206" t="n">
        <v>0</v>
      </c>
      <c r="L7206" t="n">
        <v>0</v>
      </c>
      <c r="M7206" t="n">
        <v>0</v>
      </c>
      <c r="N7206" t="n">
        <v>0</v>
      </c>
      <c r="O7206" t="n">
        <v>0</v>
      </c>
      <c r="P7206" t="n">
        <v>0</v>
      </c>
      <c r="Q7206" t="n">
        <v>0</v>
      </c>
      <c r="R7206" s="2" t="inlineStr"/>
    </row>
    <row r="7207" ht="15" customHeight="1">
      <c r="A7207" t="inlineStr">
        <is>
          <t>A 24544-2024</t>
        </is>
      </c>
      <c r="B7207" s="1" t="n">
        <v>45460.3953125</v>
      </c>
      <c r="C7207" s="1" t="n">
        <v>45952</v>
      </c>
      <c r="D7207" t="inlineStr">
        <is>
          <t>VÄSTRA GÖTALANDS LÄN</t>
        </is>
      </c>
      <c r="E7207" t="inlineStr">
        <is>
          <t>TÖREBODA</t>
        </is>
      </c>
      <c r="G7207" t="n">
        <v>7.3</v>
      </c>
      <c r="H7207" t="n">
        <v>0</v>
      </c>
      <c r="I7207" t="n">
        <v>0</v>
      </c>
      <c r="J7207" t="n">
        <v>0</v>
      </c>
      <c r="K7207" t="n">
        <v>0</v>
      </c>
      <c r="L7207" t="n">
        <v>0</v>
      </c>
      <c r="M7207" t="n">
        <v>0</v>
      </c>
      <c r="N7207" t="n">
        <v>0</v>
      </c>
      <c r="O7207" t="n">
        <v>0</v>
      </c>
      <c r="P7207" t="n">
        <v>0</v>
      </c>
      <c r="Q7207" t="n">
        <v>0</v>
      </c>
      <c r="R7207" s="2" t="inlineStr"/>
    </row>
    <row r="7208" ht="15" customHeight="1">
      <c r="A7208" t="inlineStr">
        <is>
          <t>A 21875-2024</t>
        </is>
      </c>
      <c r="B7208" s="1" t="n">
        <v>45443.38331018519</v>
      </c>
      <c r="C7208" s="1" t="n">
        <v>45952</v>
      </c>
      <c r="D7208" t="inlineStr">
        <is>
          <t>VÄSTRA GÖTALANDS LÄN</t>
        </is>
      </c>
      <c r="E7208" t="inlineStr">
        <is>
          <t>VÅRGÅRDA</t>
        </is>
      </c>
      <c r="G7208" t="n">
        <v>0.5</v>
      </c>
      <c r="H7208" t="n">
        <v>0</v>
      </c>
      <c r="I7208" t="n">
        <v>0</v>
      </c>
      <c r="J7208" t="n">
        <v>0</v>
      </c>
      <c r="K7208" t="n">
        <v>0</v>
      </c>
      <c r="L7208" t="n">
        <v>0</v>
      </c>
      <c r="M7208" t="n">
        <v>0</v>
      </c>
      <c r="N7208" t="n">
        <v>0</v>
      </c>
      <c r="O7208" t="n">
        <v>0</v>
      </c>
      <c r="P7208" t="n">
        <v>0</v>
      </c>
      <c r="Q7208" t="n">
        <v>0</v>
      </c>
      <c r="R7208" s="2" t="inlineStr"/>
    </row>
    <row r="7209" ht="15" customHeight="1">
      <c r="A7209" t="inlineStr">
        <is>
          <t>A 2446-2024</t>
        </is>
      </c>
      <c r="B7209" s="1" t="n">
        <v>45311</v>
      </c>
      <c r="C7209" s="1" t="n">
        <v>45952</v>
      </c>
      <c r="D7209" t="inlineStr">
        <is>
          <t>VÄSTRA GÖTALANDS LÄN</t>
        </is>
      </c>
      <c r="E7209" t="inlineStr">
        <is>
          <t>TANUM</t>
        </is>
      </c>
      <c r="G7209" t="n">
        <v>3.2</v>
      </c>
      <c r="H7209" t="n">
        <v>0</v>
      </c>
      <c r="I7209" t="n">
        <v>0</v>
      </c>
      <c r="J7209" t="n">
        <v>0</v>
      </c>
      <c r="K7209" t="n">
        <v>0</v>
      </c>
      <c r="L7209" t="n">
        <v>0</v>
      </c>
      <c r="M7209" t="n">
        <v>0</v>
      </c>
      <c r="N7209" t="n">
        <v>0</v>
      </c>
      <c r="O7209" t="n">
        <v>0</v>
      </c>
      <c r="P7209" t="n">
        <v>0</v>
      </c>
      <c r="Q7209" t="n">
        <v>0</v>
      </c>
      <c r="R7209" s="2" t="inlineStr"/>
    </row>
    <row r="7210" ht="15" customHeight="1">
      <c r="A7210" t="inlineStr">
        <is>
          <t>A 10173-2021</t>
        </is>
      </c>
      <c r="B7210" s="1" t="n">
        <v>44256</v>
      </c>
      <c r="C7210" s="1" t="n">
        <v>45952</v>
      </c>
      <c r="D7210" t="inlineStr">
        <is>
          <t>VÄSTRA GÖTALANDS LÄN</t>
        </is>
      </c>
      <c r="E7210" t="inlineStr">
        <is>
          <t>HERRLJUNGA</t>
        </is>
      </c>
      <c r="G7210" t="n">
        <v>1</v>
      </c>
      <c r="H7210" t="n">
        <v>0</v>
      </c>
      <c r="I7210" t="n">
        <v>0</v>
      </c>
      <c r="J7210" t="n">
        <v>0</v>
      </c>
      <c r="K7210" t="n">
        <v>0</v>
      </c>
      <c r="L7210" t="n">
        <v>0</v>
      </c>
      <c r="M7210" t="n">
        <v>0</v>
      </c>
      <c r="N7210" t="n">
        <v>0</v>
      </c>
      <c r="O7210" t="n">
        <v>0</v>
      </c>
      <c r="P7210" t="n">
        <v>0</v>
      </c>
      <c r="Q7210" t="n">
        <v>0</v>
      </c>
      <c r="R7210" s="2" t="inlineStr"/>
    </row>
    <row r="7211" ht="15" customHeight="1">
      <c r="A7211" t="inlineStr">
        <is>
          <t>A 24546-2024</t>
        </is>
      </c>
      <c r="B7211" s="1" t="n">
        <v>45460.39871527778</v>
      </c>
      <c r="C7211" s="1" t="n">
        <v>45952</v>
      </c>
      <c r="D7211" t="inlineStr">
        <is>
          <t>VÄSTRA GÖTALANDS LÄN</t>
        </is>
      </c>
      <c r="E7211" t="inlineStr">
        <is>
          <t>TÖREBODA</t>
        </is>
      </c>
      <c r="G7211" t="n">
        <v>5.4</v>
      </c>
      <c r="H7211" t="n">
        <v>0</v>
      </c>
      <c r="I7211" t="n">
        <v>0</v>
      </c>
      <c r="J7211" t="n">
        <v>0</v>
      </c>
      <c r="K7211" t="n">
        <v>0</v>
      </c>
      <c r="L7211" t="n">
        <v>0</v>
      </c>
      <c r="M7211" t="n">
        <v>0</v>
      </c>
      <c r="N7211" t="n">
        <v>0</v>
      </c>
      <c r="O7211" t="n">
        <v>0</v>
      </c>
      <c r="P7211" t="n">
        <v>0</v>
      </c>
      <c r="Q7211" t="n">
        <v>0</v>
      </c>
      <c r="R7211" s="2" t="inlineStr"/>
    </row>
    <row r="7212" ht="15" customHeight="1">
      <c r="A7212" t="inlineStr">
        <is>
          <t>A 47828-2022</t>
        </is>
      </c>
      <c r="B7212" s="1" t="n">
        <v>44855</v>
      </c>
      <c r="C7212" s="1" t="n">
        <v>45952</v>
      </c>
      <c r="D7212" t="inlineStr">
        <is>
          <t>VÄSTRA GÖTALANDS LÄN</t>
        </is>
      </c>
      <c r="E7212" t="inlineStr">
        <is>
          <t>DALS-ED</t>
        </is>
      </c>
      <c r="G7212" t="n">
        <v>0.4</v>
      </c>
      <c r="H7212" t="n">
        <v>0</v>
      </c>
      <c r="I7212" t="n">
        <v>0</v>
      </c>
      <c r="J7212" t="n">
        <v>0</v>
      </c>
      <c r="K7212" t="n">
        <v>0</v>
      </c>
      <c r="L7212" t="n">
        <v>0</v>
      </c>
      <c r="M7212" t="n">
        <v>0</v>
      </c>
      <c r="N7212" t="n">
        <v>0</v>
      </c>
      <c r="O7212" t="n">
        <v>0</v>
      </c>
      <c r="P7212" t="n">
        <v>0</v>
      </c>
      <c r="Q7212" t="n">
        <v>0</v>
      </c>
      <c r="R7212" s="2" t="inlineStr"/>
    </row>
    <row r="7213" ht="15" customHeight="1">
      <c r="A7213" t="inlineStr">
        <is>
          <t>A 2539-2024</t>
        </is>
      </c>
      <c r="B7213" s="1" t="n">
        <v>45313</v>
      </c>
      <c r="C7213" s="1" t="n">
        <v>45952</v>
      </c>
      <c r="D7213" t="inlineStr">
        <is>
          <t>VÄSTRA GÖTALANDS LÄN</t>
        </is>
      </c>
      <c r="E7213" t="inlineStr">
        <is>
          <t>MUNKEDAL</t>
        </is>
      </c>
      <c r="G7213" t="n">
        <v>4.7</v>
      </c>
      <c r="H7213" t="n">
        <v>0</v>
      </c>
      <c r="I7213" t="n">
        <v>0</v>
      </c>
      <c r="J7213" t="n">
        <v>0</v>
      </c>
      <c r="K7213" t="n">
        <v>0</v>
      </c>
      <c r="L7213" t="n">
        <v>0</v>
      </c>
      <c r="M7213" t="n">
        <v>0</v>
      </c>
      <c r="N7213" t="n">
        <v>0</v>
      </c>
      <c r="O7213" t="n">
        <v>0</v>
      </c>
      <c r="P7213" t="n">
        <v>0</v>
      </c>
      <c r="Q7213" t="n">
        <v>0</v>
      </c>
      <c r="R7213" s="2" t="inlineStr"/>
    </row>
    <row r="7214" ht="15" customHeight="1">
      <c r="A7214" t="inlineStr">
        <is>
          <t>A 2563-2024</t>
        </is>
      </c>
      <c r="B7214" s="1" t="n">
        <v>45313</v>
      </c>
      <c r="C7214" s="1" t="n">
        <v>45952</v>
      </c>
      <c r="D7214" t="inlineStr">
        <is>
          <t>VÄSTRA GÖTALANDS LÄN</t>
        </is>
      </c>
      <c r="E7214" t="inlineStr">
        <is>
          <t>BENGTSFORS</t>
        </is>
      </c>
      <c r="G7214" t="n">
        <v>2.4</v>
      </c>
      <c r="H7214" t="n">
        <v>0</v>
      </c>
      <c r="I7214" t="n">
        <v>0</v>
      </c>
      <c r="J7214" t="n">
        <v>0</v>
      </c>
      <c r="K7214" t="n">
        <v>0</v>
      </c>
      <c r="L7214" t="n">
        <v>0</v>
      </c>
      <c r="M7214" t="n">
        <v>0</v>
      </c>
      <c r="N7214" t="n">
        <v>0</v>
      </c>
      <c r="O7214" t="n">
        <v>0</v>
      </c>
      <c r="P7214" t="n">
        <v>0</v>
      </c>
      <c r="Q7214" t="n">
        <v>0</v>
      </c>
      <c r="R7214" s="2" t="inlineStr"/>
    </row>
    <row r="7215" ht="15" customHeight="1">
      <c r="A7215" t="inlineStr">
        <is>
          <t>A 38600-2025</t>
        </is>
      </c>
      <c r="B7215" s="1" t="n">
        <v>45884.49962962963</v>
      </c>
      <c r="C7215" s="1" t="n">
        <v>45952</v>
      </c>
      <c r="D7215" t="inlineStr">
        <is>
          <t>VÄSTRA GÖTALANDS LÄN</t>
        </is>
      </c>
      <c r="E7215" t="inlineStr">
        <is>
          <t>DALS-ED</t>
        </is>
      </c>
      <c r="G7215" t="n">
        <v>1.1</v>
      </c>
      <c r="H7215" t="n">
        <v>0</v>
      </c>
      <c r="I7215" t="n">
        <v>0</v>
      </c>
      <c r="J7215" t="n">
        <v>0</v>
      </c>
      <c r="K7215" t="n">
        <v>0</v>
      </c>
      <c r="L7215" t="n">
        <v>0</v>
      </c>
      <c r="M7215" t="n">
        <v>0</v>
      </c>
      <c r="N7215" t="n">
        <v>0</v>
      </c>
      <c r="O7215" t="n">
        <v>0</v>
      </c>
      <c r="P7215" t="n">
        <v>0</v>
      </c>
      <c r="Q7215" t="n">
        <v>0</v>
      </c>
      <c r="R7215" s="2" t="inlineStr"/>
    </row>
    <row r="7216" ht="15" customHeight="1">
      <c r="A7216" t="inlineStr">
        <is>
          <t>A 3682-2023</t>
        </is>
      </c>
      <c r="B7216" s="1" t="n">
        <v>44950</v>
      </c>
      <c r="C7216" s="1" t="n">
        <v>45952</v>
      </c>
      <c r="D7216" t="inlineStr">
        <is>
          <t>VÄSTRA GÖTALANDS LÄN</t>
        </is>
      </c>
      <c r="E7216" t="inlineStr">
        <is>
          <t>MARK</t>
        </is>
      </c>
      <c r="G7216" t="n">
        <v>1.5</v>
      </c>
      <c r="H7216" t="n">
        <v>0</v>
      </c>
      <c r="I7216" t="n">
        <v>0</v>
      </c>
      <c r="J7216" t="n">
        <v>0</v>
      </c>
      <c r="K7216" t="n">
        <v>0</v>
      </c>
      <c r="L7216" t="n">
        <v>0</v>
      </c>
      <c r="M7216" t="n">
        <v>0</v>
      </c>
      <c r="N7216" t="n">
        <v>0</v>
      </c>
      <c r="O7216" t="n">
        <v>0</v>
      </c>
      <c r="P7216" t="n">
        <v>0</v>
      </c>
      <c r="Q7216" t="n">
        <v>0</v>
      </c>
      <c r="R7216" s="2" t="inlineStr"/>
    </row>
    <row r="7217" ht="15" customHeight="1">
      <c r="A7217" t="inlineStr">
        <is>
          <t>A 38636-2025</t>
        </is>
      </c>
      <c r="B7217" s="1" t="n">
        <v>45884.56594907407</v>
      </c>
      <c r="C7217" s="1" t="n">
        <v>45952</v>
      </c>
      <c r="D7217" t="inlineStr">
        <is>
          <t>VÄSTRA GÖTALANDS LÄN</t>
        </is>
      </c>
      <c r="E7217" t="inlineStr">
        <is>
          <t>SVENLJUNGA</t>
        </is>
      </c>
      <c r="G7217" t="n">
        <v>2.6</v>
      </c>
      <c r="H7217" t="n">
        <v>0</v>
      </c>
      <c r="I7217" t="n">
        <v>0</v>
      </c>
      <c r="J7217" t="n">
        <v>0</v>
      </c>
      <c r="K7217" t="n">
        <v>0</v>
      </c>
      <c r="L7217" t="n">
        <v>0</v>
      </c>
      <c r="M7217" t="n">
        <v>0</v>
      </c>
      <c r="N7217" t="n">
        <v>0</v>
      </c>
      <c r="O7217" t="n">
        <v>0</v>
      </c>
      <c r="P7217" t="n">
        <v>0</v>
      </c>
      <c r="Q7217" t="n">
        <v>0</v>
      </c>
      <c r="R7217" s="2" t="inlineStr"/>
    </row>
    <row r="7218" ht="15" customHeight="1">
      <c r="A7218" t="inlineStr">
        <is>
          <t>A 38637-2025</t>
        </is>
      </c>
      <c r="B7218" s="1" t="n">
        <v>45884.56734953704</v>
      </c>
      <c r="C7218" s="1" t="n">
        <v>45952</v>
      </c>
      <c r="D7218" t="inlineStr">
        <is>
          <t>VÄSTRA GÖTALANDS LÄN</t>
        </is>
      </c>
      <c r="E7218" t="inlineStr">
        <is>
          <t>SVENLJUNGA</t>
        </is>
      </c>
      <c r="G7218" t="n">
        <v>4.2</v>
      </c>
      <c r="H7218" t="n">
        <v>0</v>
      </c>
      <c r="I7218" t="n">
        <v>0</v>
      </c>
      <c r="J7218" t="n">
        <v>0</v>
      </c>
      <c r="K7218" t="n">
        <v>0</v>
      </c>
      <c r="L7218" t="n">
        <v>0</v>
      </c>
      <c r="M7218" t="n">
        <v>0</v>
      </c>
      <c r="N7218" t="n">
        <v>0</v>
      </c>
      <c r="O7218" t="n">
        <v>0</v>
      </c>
      <c r="P7218" t="n">
        <v>0</v>
      </c>
      <c r="Q7218" t="n">
        <v>0</v>
      </c>
      <c r="R7218" s="2" t="inlineStr"/>
    </row>
    <row r="7219" ht="15" customHeight="1">
      <c r="A7219" t="inlineStr">
        <is>
          <t>A 2582-2024</t>
        </is>
      </c>
      <c r="B7219" s="1" t="n">
        <v>45313</v>
      </c>
      <c r="C7219" s="1" t="n">
        <v>45952</v>
      </c>
      <c r="D7219" t="inlineStr">
        <is>
          <t>VÄSTRA GÖTALANDS LÄN</t>
        </is>
      </c>
      <c r="E7219" t="inlineStr">
        <is>
          <t>BENGTSFORS</t>
        </is>
      </c>
      <c r="G7219" t="n">
        <v>1.2</v>
      </c>
      <c r="H7219" t="n">
        <v>0</v>
      </c>
      <c r="I7219" t="n">
        <v>0</v>
      </c>
      <c r="J7219" t="n">
        <v>0</v>
      </c>
      <c r="K7219" t="n">
        <v>0</v>
      </c>
      <c r="L7219" t="n">
        <v>0</v>
      </c>
      <c r="M7219" t="n">
        <v>0</v>
      </c>
      <c r="N7219" t="n">
        <v>0</v>
      </c>
      <c r="O7219" t="n">
        <v>0</v>
      </c>
      <c r="P7219" t="n">
        <v>0</v>
      </c>
      <c r="Q7219" t="n">
        <v>0</v>
      </c>
      <c r="R7219" s="2" t="inlineStr"/>
    </row>
    <row r="7220" ht="15" customHeight="1">
      <c r="A7220" t="inlineStr">
        <is>
          <t>A 40571-2022</t>
        </is>
      </c>
      <c r="B7220" s="1" t="n">
        <v>44823</v>
      </c>
      <c r="C7220" s="1" t="n">
        <v>45952</v>
      </c>
      <c r="D7220" t="inlineStr">
        <is>
          <t>VÄSTRA GÖTALANDS LÄN</t>
        </is>
      </c>
      <c r="E7220" t="inlineStr">
        <is>
          <t>UDDEVALLA</t>
        </is>
      </c>
      <c r="G7220" t="n">
        <v>0.9</v>
      </c>
      <c r="H7220" t="n">
        <v>0</v>
      </c>
      <c r="I7220" t="n">
        <v>0</v>
      </c>
      <c r="J7220" t="n">
        <v>0</v>
      </c>
      <c r="K7220" t="n">
        <v>0</v>
      </c>
      <c r="L7220" t="n">
        <v>0</v>
      </c>
      <c r="M7220" t="n">
        <v>0</v>
      </c>
      <c r="N7220" t="n">
        <v>0</v>
      </c>
      <c r="O7220" t="n">
        <v>0</v>
      </c>
      <c r="P7220" t="n">
        <v>0</v>
      </c>
      <c r="Q7220" t="n">
        <v>0</v>
      </c>
      <c r="R7220" s="2" t="inlineStr"/>
    </row>
    <row r="7221" ht="15" customHeight="1">
      <c r="A7221" t="inlineStr">
        <is>
          <t>A 40858-2021</t>
        </is>
      </c>
      <c r="B7221" s="1" t="n">
        <v>44421.43811342592</v>
      </c>
      <c r="C7221" s="1" t="n">
        <v>45952</v>
      </c>
      <c r="D7221" t="inlineStr">
        <is>
          <t>VÄSTRA GÖTALANDS LÄN</t>
        </is>
      </c>
      <c r="E7221" t="inlineStr">
        <is>
          <t>MARK</t>
        </is>
      </c>
      <c r="G7221" t="n">
        <v>3</v>
      </c>
      <c r="H7221" t="n">
        <v>0</v>
      </c>
      <c r="I7221" t="n">
        <v>0</v>
      </c>
      <c r="J7221" t="n">
        <v>0</v>
      </c>
      <c r="K7221" t="n">
        <v>0</v>
      </c>
      <c r="L7221" t="n">
        <v>0</v>
      </c>
      <c r="M7221" t="n">
        <v>0</v>
      </c>
      <c r="N7221" t="n">
        <v>0</v>
      </c>
      <c r="O7221" t="n">
        <v>0</v>
      </c>
      <c r="P7221" t="n">
        <v>0</v>
      </c>
      <c r="Q7221" t="n">
        <v>0</v>
      </c>
      <c r="R7221" s="2" t="inlineStr"/>
    </row>
    <row r="7222" ht="15" customHeight="1">
      <c r="A7222" t="inlineStr">
        <is>
          <t>A 57414-2024</t>
        </is>
      </c>
      <c r="B7222" s="1" t="n">
        <v>45629.76608796296</v>
      </c>
      <c r="C7222" s="1" t="n">
        <v>45952</v>
      </c>
      <c r="D7222" t="inlineStr">
        <is>
          <t>VÄSTRA GÖTALANDS LÄN</t>
        </is>
      </c>
      <c r="E7222" t="inlineStr">
        <is>
          <t>MARK</t>
        </is>
      </c>
      <c r="G7222" t="n">
        <v>4.6</v>
      </c>
      <c r="H7222" t="n">
        <v>0</v>
      </c>
      <c r="I7222" t="n">
        <v>0</v>
      </c>
      <c r="J7222" t="n">
        <v>0</v>
      </c>
      <c r="K7222" t="n">
        <v>0</v>
      </c>
      <c r="L7222" t="n">
        <v>0</v>
      </c>
      <c r="M7222" t="n">
        <v>0</v>
      </c>
      <c r="N7222" t="n">
        <v>0</v>
      </c>
      <c r="O7222" t="n">
        <v>0</v>
      </c>
      <c r="P7222" t="n">
        <v>0</v>
      </c>
      <c r="Q7222" t="n">
        <v>0</v>
      </c>
      <c r="R7222" s="2" t="inlineStr"/>
    </row>
    <row r="7223" ht="15" customHeight="1">
      <c r="A7223" t="inlineStr">
        <is>
          <t>A 57419-2024</t>
        </is>
      </c>
      <c r="B7223" s="1" t="n">
        <v>45629.79951388889</v>
      </c>
      <c r="C7223" s="1" t="n">
        <v>45952</v>
      </c>
      <c r="D7223" t="inlineStr">
        <is>
          <t>VÄSTRA GÖTALANDS LÄN</t>
        </is>
      </c>
      <c r="E7223" t="inlineStr">
        <is>
          <t>BORÅS</t>
        </is>
      </c>
      <c r="G7223" t="n">
        <v>0.9</v>
      </c>
      <c r="H7223" t="n">
        <v>0</v>
      </c>
      <c r="I7223" t="n">
        <v>0</v>
      </c>
      <c r="J7223" t="n">
        <v>0</v>
      </c>
      <c r="K7223" t="n">
        <v>0</v>
      </c>
      <c r="L7223" t="n">
        <v>0</v>
      </c>
      <c r="M7223" t="n">
        <v>0</v>
      </c>
      <c r="N7223" t="n">
        <v>0</v>
      </c>
      <c r="O7223" t="n">
        <v>0</v>
      </c>
      <c r="P7223" t="n">
        <v>0</v>
      </c>
      <c r="Q7223" t="n">
        <v>0</v>
      </c>
      <c r="R7223" s="2" t="inlineStr"/>
    </row>
    <row r="7224" ht="15" customHeight="1">
      <c r="A7224" t="inlineStr">
        <is>
          <t>A 57421-2024</t>
        </is>
      </c>
      <c r="B7224" s="1" t="n">
        <v>45629.80734953703</v>
      </c>
      <c r="C7224" s="1" t="n">
        <v>45952</v>
      </c>
      <c r="D7224" t="inlineStr">
        <is>
          <t>VÄSTRA GÖTALANDS LÄN</t>
        </is>
      </c>
      <c r="E7224" t="inlineStr">
        <is>
          <t>BORÅS</t>
        </is>
      </c>
      <c r="G7224" t="n">
        <v>3.6</v>
      </c>
      <c r="H7224" t="n">
        <v>0</v>
      </c>
      <c r="I7224" t="n">
        <v>0</v>
      </c>
      <c r="J7224" t="n">
        <v>0</v>
      </c>
      <c r="K7224" t="n">
        <v>0</v>
      </c>
      <c r="L7224" t="n">
        <v>0</v>
      </c>
      <c r="M7224" t="n">
        <v>0</v>
      </c>
      <c r="N7224" t="n">
        <v>0</v>
      </c>
      <c r="O7224" t="n">
        <v>0</v>
      </c>
      <c r="P7224" t="n">
        <v>0</v>
      </c>
      <c r="Q7224" t="n">
        <v>0</v>
      </c>
      <c r="R7224" s="2" t="inlineStr"/>
    </row>
    <row r="7225" ht="15" customHeight="1">
      <c r="A7225" t="inlineStr">
        <is>
          <t>A 42005-2023</t>
        </is>
      </c>
      <c r="B7225" s="1" t="n">
        <v>45174</v>
      </c>
      <c r="C7225" s="1" t="n">
        <v>45952</v>
      </c>
      <c r="D7225" t="inlineStr">
        <is>
          <t>VÄSTRA GÖTALANDS LÄN</t>
        </is>
      </c>
      <c r="E7225" t="inlineStr">
        <is>
          <t>MUNKEDAL</t>
        </is>
      </c>
      <c r="F7225" t="inlineStr">
        <is>
          <t>Kyrkan</t>
        </is>
      </c>
      <c r="G7225" t="n">
        <v>3</v>
      </c>
      <c r="H7225" t="n">
        <v>0</v>
      </c>
      <c r="I7225" t="n">
        <v>0</v>
      </c>
      <c r="J7225" t="n">
        <v>0</v>
      </c>
      <c r="K7225" t="n">
        <v>0</v>
      </c>
      <c r="L7225" t="n">
        <v>0</v>
      </c>
      <c r="M7225" t="n">
        <v>0</v>
      </c>
      <c r="N7225" t="n">
        <v>0</v>
      </c>
      <c r="O7225" t="n">
        <v>0</v>
      </c>
      <c r="P7225" t="n">
        <v>0</v>
      </c>
      <c r="Q7225" t="n">
        <v>0</v>
      </c>
      <c r="R7225" s="2" t="inlineStr"/>
    </row>
    <row r="7226" ht="15" customHeight="1">
      <c r="A7226" t="inlineStr">
        <is>
          <t>A 57989-2022</t>
        </is>
      </c>
      <c r="B7226" s="1" t="n">
        <v>44892</v>
      </c>
      <c r="C7226" s="1" t="n">
        <v>45952</v>
      </c>
      <c r="D7226" t="inlineStr">
        <is>
          <t>VÄSTRA GÖTALANDS LÄN</t>
        </is>
      </c>
      <c r="E7226" t="inlineStr">
        <is>
          <t>STRÖMSTAD</t>
        </is>
      </c>
      <c r="G7226" t="n">
        <v>0.7</v>
      </c>
      <c r="H7226" t="n">
        <v>0</v>
      </c>
      <c r="I7226" t="n">
        <v>0</v>
      </c>
      <c r="J7226" t="n">
        <v>0</v>
      </c>
      <c r="K7226" t="n">
        <v>0</v>
      </c>
      <c r="L7226" t="n">
        <v>0</v>
      </c>
      <c r="M7226" t="n">
        <v>0</v>
      </c>
      <c r="N7226" t="n">
        <v>0</v>
      </c>
      <c r="O7226" t="n">
        <v>0</v>
      </c>
      <c r="P7226" t="n">
        <v>0</v>
      </c>
      <c r="Q7226" t="n">
        <v>0</v>
      </c>
      <c r="R7226" s="2" t="inlineStr"/>
    </row>
    <row r="7227" ht="15" customHeight="1">
      <c r="A7227" t="inlineStr">
        <is>
          <t>A 7243-2025</t>
        </is>
      </c>
      <c r="B7227" s="1" t="n">
        <v>45702.5430324074</v>
      </c>
      <c r="C7227" s="1" t="n">
        <v>45952</v>
      </c>
      <c r="D7227" t="inlineStr">
        <is>
          <t>VÄSTRA GÖTALANDS LÄN</t>
        </is>
      </c>
      <c r="E7227" t="inlineStr">
        <is>
          <t>VÄNERSBORG</t>
        </is>
      </c>
      <c r="G7227" t="n">
        <v>1.6</v>
      </c>
      <c r="H7227" t="n">
        <v>0</v>
      </c>
      <c r="I7227" t="n">
        <v>0</v>
      </c>
      <c r="J7227" t="n">
        <v>0</v>
      </c>
      <c r="K7227" t="n">
        <v>0</v>
      </c>
      <c r="L7227" t="n">
        <v>0</v>
      </c>
      <c r="M7227" t="n">
        <v>0</v>
      </c>
      <c r="N7227" t="n">
        <v>0</v>
      </c>
      <c r="O7227" t="n">
        <v>0</v>
      </c>
      <c r="P7227" t="n">
        <v>0</v>
      </c>
      <c r="Q7227" t="n">
        <v>0</v>
      </c>
      <c r="R7227" s="2" t="inlineStr"/>
    </row>
    <row r="7228" ht="15" customHeight="1">
      <c r="A7228" t="inlineStr">
        <is>
          <t>A 57426-2024</t>
        </is>
      </c>
      <c r="B7228" s="1" t="n">
        <v>45629.82334490741</v>
      </c>
      <c r="C7228" s="1" t="n">
        <v>45952</v>
      </c>
      <c r="D7228" t="inlineStr">
        <is>
          <t>VÄSTRA GÖTALANDS LÄN</t>
        </is>
      </c>
      <c r="E7228" t="inlineStr">
        <is>
          <t>BORÅS</t>
        </is>
      </c>
      <c r="G7228" t="n">
        <v>2.1</v>
      </c>
      <c r="H7228" t="n">
        <v>0</v>
      </c>
      <c r="I7228" t="n">
        <v>0</v>
      </c>
      <c r="J7228" t="n">
        <v>0</v>
      </c>
      <c r="K7228" t="n">
        <v>0</v>
      </c>
      <c r="L7228" t="n">
        <v>0</v>
      </c>
      <c r="M7228" t="n">
        <v>0</v>
      </c>
      <c r="N7228" t="n">
        <v>0</v>
      </c>
      <c r="O7228" t="n">
        <v>0</v>
      </c>
      <c r="P7228" t="n">
        <v>0</v>
      </c>
      <c r="Q7228" t="n">
        <v>0</v>
      </c>
      <c r="R7228" s="2" t="inlineStr"/>
    </row>
    <row r="7229" ht="15" customHeight="1">
      <c r="A7229" t="inlineStr">
        <is>
          <t>A 57445-2024</t>
        </is>
      </c>
      <c r="B7229" s="1" t="n">
        <v>45629.92240740741</v>
      </c>
      <c r="C7229" s="1" t="n">
        <v>45952</v>
      </c>
      <c r="D7229" t="inlineStr">
        <is>
          <t>VÄSTRA GÖTALANDS LÄN</t>
        </is>
      </c>
      <c r="E7229" t="inlineStr">
        <is>
          <t>ORUST</t>
        </is>
      </c>
      <c r="G7229" t="n">
        <v>0.6</v>
      </c>
      <c r="H7229" t="n">
        <v>0</v>
      </c>
      <c r="I7229" t="n">
        <v>0</v>
      </c>
      <c r="J7229" t="n">
        <v>0</v>
      </c>
      <c r="K7229" t="n">
        <v>0</v>
      </c>
      <c r="L7229" t="n">
        <v>0</v>
      </c>
      <c r="M7229" t="n">
        <v>0</v>
      </c>
      <c r="N7229" t="n">
        <v>0</v>
      </c>
      <c r="O7229" t="n">
        <v>0</v>
      </c>
      <c r="P7229" t="n">
        <v>0</v>
      </c>
      <c r="Q7229" t="n">
        <v>0</v>
      </c>
      <c r="R7229" s="2" t="inlineStr"/>
    </row>
    <row r="7230" ht="15" customHeight="1">
      <c r="A7230" t="inlineStr">
        <is>
          <t>A 26695-2024</t>
        </is>
      </c>
      <c r="B7230" s="1" t="n">
        <v>45469</v>
      </c>
      <c r="C7230" s="1" t="n">
        <v>45952</v>
      </c>
      <c r="D7230" t="inlineStr">
        <is>
          <t>VÄSTRA GÖTALANDS LÄN</t>
        </is>
      </c>
      <c r="E7230" t="inlineStr">
        <is>
          <t>TIDAHOLM</t>
        </is>
      </c>
      <c r="G7230" t="n">
        <v>1.3</v>
      </c>
      <c r="H7230" t="n">
        <v>0</v>
      </c>
      <c r="I7230" t="n">
        <v>0</v>
      </c>
      <c r="J7230" t="n">
        <v>0</v>
      </c>
      <c r="K7230" t="n">
        <v>0</v>
      </c>
      <c r="L7230" t="n">
        <v>0</v>
      </c>
      <c r="M7230" t="n">
        <v>0</v>
      </c>
      <c r="N7230" t="n">
        <v>0</v>
      </c>
      <c r="O7230" t="n">
        <v>0</v>
      </c>
      <c r="P7230" t="n">
        <v>0</v>
      </c>
      <c r="Q7230" t="n">
        <v>0</v>
      </c>
      <c r="R7230" s="2" t="inlineStr"/>
    </row>
    <row r="7231" ht="15" customHeight="1">
      <c r="A7231" t="inlineStr">
        <is>
          <t>A 6419-2025</t>
        </is>
      </c>
      <c r="B7231" s="1" t="n">
        <v>45699.47835648148</v>
      </c>
      <c r="C7231" s="1" t="n">
        <v>45952</v>
      </c>
      <c r="D7231" t="inlineStr">
        <is>
          <t>VÄSTRA GÖTALANDS LÄN</t>
        </is>
      </c>
      <c r="E7231" t="inlineStr">
        <is>
          <t>SKÖVDE</t>
        </is>
      </c>
      <c r="F7231" t="inlineStr">
        <is>
          <t>Kommuner</t>
        </is>
      </c>
      <c r="G7231" t="n">
        <v>0.3</v>
      </c>
      <c r="H7231" t="n">
        <v>0</v>
      </c>
      <c r="I7231" t="n">
        <v>0</v>
      </c>
      <c r="J7231" t="n">
        <v>0</v>
      </c>
      <c r="K7231" t="n">
        <v>0</v>
      </c>
      <c r="L7231" t="n">
        <v>0</v>
      </c>
      <c r="M7231" t="n">
        <v>0</v>
      </c>
      <c r="N7231" t="n">
        <v>0</v>
      </c>
      <c r="O7231" t="n">
        <v>0</v>
      </c>
      <c r="P7231" t="n">
        <v>0</v>
      </c>
      <c r="Q7231" t="n">
        <v>0</v>
      </c>
      <c r="R7231" s="2" t="inlineStr"/>
    </row>
    <row r="7232" ht="15" customHeight="1">
      <c r="A7232" t="inlineStr">
        <is>
          <t>A 21864-2024</t>
        </is>
      </c>
      <c r="B7232" s="1" t="n">
        <v>45443</v>
      </c>
      <c r="C7232" s="1" t="n">
        <v>45952</v>
      </c>
      <c r="D7232" t="inlineStr">
        <is>
          <t>VÄSTRA GÖTALANDS LÄN</t>
        </is>
      </c>
      <c r="E7232" t="inlineStr">
        <is>
          <t>DALS-ED</t>
        </is>
      </c>
      <c r="F7232" t="inlineStr">
        <is>
          <t>Kyrkan</t>
        </is>
      </c>
      <c r="G7232" t="n">
        <v>3.8</v>
      </c>
      <c r="H7232" t="n">
        <v>0</v>
      </c>
      <c r="I7232" t="n">
        <v>0</v>
      </c>
      <c r="J7232" t="n">
        <v>0</v>
      </c>
      <c r="K7232" t="n">
        <v>0</v>
      </c>
      <c r="L7232" t="n">
        <v>0</v>
      </c>
      <c r="M7232" t="n">
        <v>0</v>
      </c>
      <c r="N7232" t="n">
        <v>0</v>
      </c>
      <c r="O7232" t="n">
        <v>0</v>
      </c>
      <c r="P7232" t="n">
        <v>0</v>
      </c>
      <c r="Q7232" t="n">
        <v>0</v>
      </c>
      <c r="R7232" s="2" t="inlineStr"/>
    </row>
    <row r="7233" ht="15" customHeight="1">
      <c r="A7233" t="inlineStr">
        <is>
          <t>A 13134-2024</t>
        </is>
      </c>
      <c r="B7233" s="1" t="n">
        <v>45386.33019675926</v>
      </c>
      <c r="C7233" s="1" t="n">
        <v>45952</v>
      </c>
      <c r="D7233" t="inlineStr">
        <is>
          <t>VÄSTRA GÖTALANDS LÄN</t>
        </is>
      </c>
      <c r="E7233" t="inlineStr">
        <is>
          <t>SVENLJUNGA</t>
        </is>
      </c>
      <c r="G7233" t="n">
        <v>5.1</v>
      </c>
      <c r="H7233" t="n">
        <v>0</v>
      </c>
      <c r="I7233" t="n">
        <v>0</v>
      </c>
      <c r="J7233" t="n">
        <v>0</v>
      </c>
      <c r="K7233" t="n">
        <v>0</v>
      </c>
      <c r="L7233" t="n">
        <v>0</v>
      </c>
      <c r="M7233" t="n">
        <v>0</v>
      </c>
      <c r="N7233" t="n">
        <v>0</v>
      </c>
      <c r="O7233" t="n">
        <v>0</v>
      </c>
      <c r="P7233" t="n">
        <v>0</v>
      </c>
      <c r="Q7233" t="n">
        <v>0</v>
      </c>
      <c r="R7233" s="2" t="inlineStr"/>
    </row>
    <row r="7234" ht="15" customHeight="1">
      <c r="A7234" t="inlineStr">
        <is>
          <t>A 21972-2024</t>
        </is>
      </c>
      <c r="B7234" s="1" t="n">
        <v>45443.52001157407</v>
      </c>
      <c r="C7234" s="1" t="n">
        <v>45952</v>
      </c>
      <c r="D7234" t="inlineStr">
        <is>
          <t>VÄSTRA GÖTALANDS LÄN</t>
        </is>
      </c>
      <c r="E7234" t="inlineStr">
        <is>
          <t>ULRICEHAMN</t>
        </is>
      </c>
      <c r="G7234" t="n">
        <v>5</v>
      </c>
      <c r="H7234" t="n">
        <v>0</v>
      </c>
      <c r="I7234" t="n">
        <v>0</v>
      </c>
      <c r="J7234" t="n">
        <v>0</v>
      </c>
      <c r="K7234" t="n">
        <v>0</v>
      </c>
      <c r="L7234" t="n">
        <v>0</v>
      </c>
      <c r="M7234" t="n">
        <v>0</v>
      </c>
      <c r="N7234" t="n">
        <v>0</v>
      </c>
      <c r="O7234" t="n">
        <v>0</v>
      </c>
      <c r="P7234" t="n">
        <v>0</v>
      </c>
      <c r="Q7234" t="n">
        <v>0</v>
      </c>
      <c r="R7234" s="2" t="inlineStr"/>
    </row>
    <row r="7235" ht="15" customHeight="1">
      <c r="A7235" t="inlineStr">
        <is>
          <t>A 17508-2022</t>
        </is>
      </c>
      <c r="B7235" s="1" t="n">
        <v>44679.53668981481</v>
      </c>
      <c r="C7235" s="1" t="n">
        <v>45952</v>
      </c>
      <c r="D7235" t="inlineStr">
        <is>
          <t>VÄSTRA GÖTALANDS LÄN</t>
        </is>
      </c>
      <c r="E7235" t="inlineStr">
        <is>
          <t>HERRLJUNGA</t>
        </is>
      </c>
      <c r="G7235" t="n">
        <v>1.4</v>
      </c>
      <c r="H7235" t="n">
        <v>0</v>
      </c>
      <c r="I7235" t="n">
        <v>0</v>
      </c>
      <c r="J7235" t="n">
        <v>0</v>
      </c>
      <c r="K7235" t="n">
        <v>0</v>
      </c>
      <c r="L7235" t="n">
        <v>0</v>
      </c>
      <c r="M7235" t="n">
        <v>0</v>
      </c>
      <c r="N7235" t="n">
        <v>0</v>
      </c>
      <c r="O7235" t="n">
        <v>0</v>
      </c>
      <c r="P7235" t="n">
        <v>0</v>
      </c>
      <c r="Q7235" t="n">
        <v>0</v>
      </c>
      <c r="R7235" s="2" t="inlineStr"/>
    </row>
    <row r="7236" ht="15" customHeight="1">
      <c r="A7236" t="inlineStr">
        <is>
          <t>A 17685-2024</t>
        </is>
      </c>
      <c r="B7236" s="1" t="n">
        <v>45418.43171296296</v>
      </c>
      <c r="C7236" s="1" t="n">
        <v>45952</v>
      </c>
      <c r="D7236" t="inlineStr">
        <is>
          <t>VÄSTRA GÖTALANDS LÄN</t>
        </is>
      </c>
      <c r="E7236" t="inlineStr">
        <is>
          <t>MELLERUD</t>
        </is>
      </c>
      <c r="G7236" t="n">
        <v>0.9</v>
      </c>
      <c r="H7236" t="n">
        <v>0</v>
      </c>
      <c r="I7236" t="n">
        <v>0</v>
      </c>
      <c r="J7236" t="n">
        <v>0</v>
      </c>
      <c r="K7236" t="n">
        <v>0</v>
      </c>
      <c r="L7236" t="n">
        <v>0</v>
      </c>
      <c r="M7236" t="n">
        <v>0</v>
      </c>
      <c r="N7236" t="n">
        <v>0</v>
      </c>
      <c r="O7236" t="n">
        <v>0</v>
      </c>
      <c r="P7236" t="n">
        <v>0</v>
      </c>
      <c r="Q7236" t="n">
        <v>0</v>
      </c>
      <c r="R7236" s="2" t="inlineStr"/>
    </row>
    <row r="7237" ht="15" customHeight="1">
      <c r="A7237" t="inlineStr">
        <is>
          <t>A 23513-2024</t>
        </is>
      </c>
      <c r="B7237" s="1" t="n">
        <v>45453.82998842592</v>
      </c>
      <c r="C7237" s="1" t="n">
        <v>45952</v>
      </c>
      <c r="D7237" t="inlineStr">
        <is>
          <t>VÄSTRA GÖTALANDS LÄN</t>
        </is>
      </c>
      <c r="E7237" t="inlineStr">
        <is>
          <t>HERRLJUNGA</t>
        </is>
      </c>
      <c r="G7237" t="n">
        <v>0.5</v>
      </c>
      <c r="H7237" t="n">
        <v>0</v>
      </c>
      <c r="I7237" t="n">
        <v>0</v>
      </c>
      <c r="J7237" t="n">
        <v>0</v>
      </c>
      <c r="K7237" t="n">
        <v>0</v>
      </c>
      <c r="L7237" t="n">
        <v>0</v>
      </c>
      <c r="M7237" t="n">
        <v>0</v>
      </c>
      <c r="N7237" t="n">
        <v>0</v>
      </c>
      <c r="O7237" t="n">
        <v>0</v>
      </c>
      <c r="P7237" t="n">
        <v>0</v>
      </c>
      <c r="Q7237" t="n">
        <v>0</v>
      </c>
      <c r="R7237" s="2" t="inlineStr"/>
    </row>
    <row r="7238" ht="15" customHeight="1">
      <c r="A7238" t="inlineStr">
        <is>
          <t>A 24528-2021</t>
        </is>
      </c>
      <c r="B7238" s="1" t="n">
        <v>44338.52836805556</v>
      </c>
      <c r="C7238" s="1" t="n">
        <v>45952</v>
      </c>
      <c r="D7238" t="inlineStr">
        <is>
          <t>VÄSTRA GÖTALANDS LÄN</t>
        </is>
      </c>
      <c r="E7238" t="inlineStr">
        <is>
          <t>FÄRGELANDA</t>
        </is>
      </c>
      <c r="G7238" t="n">
        <v>1.9</v>
      </c>
      <c r="H7238" t="n">
        <v>0</v>
      </c>
      <c r="I7238" t="n">
        <v>0</v>
      </c>
      <c r="J7238" t="n">
        <v>0</v>
      </c>
      <c r="K7238" t="n">
        <v>0</v>
      </c>
      <c r="L7238" t="n">
        <v>0</v>
      </c>
      <c r="M7238" t="n">
        <v>0</v>
      </c>
      <c r="N7238" t="n">
        <v>0</v>
      </c>
      <c r="O7238" t="n">
        <v>0</v>
      </c>
      <c r="P7238" t="n">
        <v>0</v>
      </c>
      <c r="Q7238" t="n">
        <v>0</v>
      </c>
      <c r="R7238" s="2" t="inlineStr"/>
    </row>
    <row r="7239" ht="15" customHeight="1">
      <c r="A7239" t="inlineStr">
        <is>
          <t>A 18591-2021</t>
        </is>
      </c>
      <c r="B7239" s="1" t="n">
        <v>44306</v>
      </c>
      <c r="C7239" s="1" t="n">
        <v>45952</v>
      </c>
      <c r="D7239" t="inlineStr">
        <is>
          <t>VÄSTRA GÖTALANDS LÄN</t>
        </is>
      </c>
      <c r="E7239" t="inlineStr">
        <is>
          <t>STENUNGSUND</t>
        </is>
      </c>
      <c r="G7239" t="n">
        <v>2.7</v>
      </c>
      <c r="H7239" t="n">
        <v>0</v>
      </c>
      <c r="I7239" t="n">
        <v>0</v>
      </c>
      <c r="J7239" t="n">
        <v>0</v>
      </c>
      <c r="K7239" t="n">
        <v>0</v>
      </c>
      <c r="L7239" t="n">
        <v>0</v>
      </c>
      <c r="M7239" t="n">
        <v>0</v>
      </c>
      <c r="N7239" t="n">
        <v>0</v>
      </c>
      <c r="O7239" t="n">
        <v>0</v>
      </c>
      <c r="P7239" t="n">
        <v>0</v>
      </c>
      <c r="Q7239" t="n">
        <v>0</v>
      </c>
      <c r="R7239" s="2" t="inlineStr"/>
    </row>
    <row r="7240" ht="15" customHeight="1">
      <c r="A7240" t="inlineStr">
        <is>
          <t>A 22434-2024</t>
        </is>
      </c>
      <c r="B7240" s="1" t="n">
        <v>45446.79673611111</v>
      </c>
      <c r="C7240" s="1" t="n">
        <v>45952</v>
      </c>
      <c r="D7240" t="inlineStr">
        <is>
          <t>VÄSTRA GÖTALANDS LÄN</t>
        </is>
      </c>
      <c r="E7240" t="inlineStr">
        <is>
          <t>TANUM</t>
        </is>
      </c>
      <c r="G7240" t="n">
        <v>7</v>
      </c>
      <c r="H7240" t="n">
        <v>0</v>
      </c>
      <c r="I7240" t="n">
        <v>0</v>
      </c>
      <c r="J7240" t="n">
        <v>0</v>
      </c>
      <c r="K7240" t="n">
        <v>0</v>
      </c>
      <c r="L7240" t="n">
        <v>0</v>
      </c>
      <c r="M7240" t="n">
        <v>0</v>
      </c>
      <c r="N7240" t="n">
        <v>0</v>
      </c>
      <c r="O7240" t="n">
        <v>0</v>
      </c>
      <c r="P7240" t="n">
        <v>0</v>
      </c>
      <c r="Q7240" t="n">
        <v>0</v>
      </c>
      <c r="R7240" s="2" t="inlineStr"/>
    </row>
    <row r="7241" ht="15" customHeight="1">
      <c r="A7241" t="inlineStr">
        <is>
          <t>A 17010-2022</t>
        </is>
      </c>
      <c r="B7241" s="1" t="n">
        <v>44676.67267361111</v>
      </c>
      <c r="C7241" s="1" t="n">
        <v>45952</v>
      </c>
      <c r="D7241" t="inlineStr">
        <is>
          <t>VÄSTRA GÖTALANDS LÄN</t>
        </is>
      </c>
      <c r="E7241" t="inlineStr">
        <is>
          <t>GÖTENE</t>
        </is>
      </c>
      <c r="G7241" t="n">
        <v>1.7</v>
      </c>
      <c r="H7241" t="n">
        <v>0</v>
      </c>
      <c r="I7241" t="n">
        <v>0</v>
      </c>
      <c r="J7241" t="n">
        <v>0</v>
      </c>
      <c r="K7241" t="n">
        <v>0</v>
      </c>
      <c r="L7241" t="n">
        <v>0</v>
      </c>
      <c r="M7241" t="n">
        <v>0</v>
      </c>
      <c r="N7241" t="n">
        <v>0</v>
      </c>
      <c r="O7241" t="n">
        <v>0</v>
      </c>
      <c r="P7241" t="n">
        <v>0</v>
      </c>
      <c r="Q7241" t="n">
        <v>0</v>
      </c>
      <c r="R7241" s="2" t="inlineStr"/>
    </row>
    <row r="7242" ht="15" customHeight="1">
      <c r="A7242" t="inlineStr">
        <is>
          <t>A 689-2023</t>
        </is>
      </c>
      <c r="B7242" s="1" t="n">
        <v>44930</v>
      </c>
      <c r="C7242" s="1" t="n">
        <v>45952</v>
      </c>
      <c r="D7242" t="inlineStr">
        <is>
          <t>VÄSTRA GÖTALANDS LÄN</t>
        </is>
      </c>
      <c r="E7242" t="inlineStr">
        <is>
          <t>TIDAHOLM</t>
        </is>
      </c>
      <c r="G7242" t="n">
        <v>0.7</v>
      </c>
      <c r="H7242" t="n">
        <v>0</v>
      </c>
      <c r="I7242" t="n">
        <v>0</v>
      </c>
      <c r="J7242" t="n">
        <v>0</v>
      </c>
      <c r="K7242" t="n">
        <v>0</v>
      </c>
      <c r="L7242" t="n">
        <v>0</v>
      </c>
      <c r="M7242" t="n">
        <v>0</v>
      </c>
      <c r="N7242" t="n">
        <v>0</v>
      </c>
      <c r="O7242" t="n">
        <v>0</v>
      </c>
      <c r="P7242" t="n">
        <v>0</v>
      </c>
      <c r="Q7242" t="n">
        <v>0</v>
      </c>
      <c r="R7242" s="2" t="inlineStr"/>
    </row>
    <row r="7243" ht="15" customHeight="1">
      <c r="A7243" t="inlineStr">
        <is>
          <t>A 13854-2022</t>
        </is>
      </c>
      <c r="B7243" s="1" t="n">
        <v>44649.68643518518</v>
      </c>
      <c r="C7243" s="1" t="n">
        <v>45952</v>
      </c>
      <c r="D7243" t="inlineStr">
        <is>
          <t>VÄSTRA GÖTALANDS LÄN</t>
        </is>
      </c>
      <c r="E7243" t="inlineStr">
        <is>
          <t>ULRICEHAMN</t>
        </is>
      </c>
      <c r="G7243" t="n">
        <v>1.4</v>
      </c>
      <c r="H7243" t="n">
        <v>0</v>
      </c>
      <c r="I7243" t="n">
        <v>0</v>
      </c>
      <c r="J7243" t="n">
        <v>0</v>
      </c>
      <c r="K7243" t="n">
        <v>0</v>
      </c>
      <c r="L7243" t="n">
        <v>0</v>
      </c>
      <c r="M7243" t="n">
        <v>0</v>
      </c>
      <c r="N7243" t="n">
        <v>0</v>
      </c>
      <c r="O7243" t="n">
        <v>0</v>
      </c>
      <c r="P7243" t="n">
        <v>0</v>
      </c>
      <c r="Q7243" t="n">
        <v>0</v>
      </c>
      <c r="R7243" s="2" t="inlineStr"/>
    </row>
    <row r="7244" ht="15" customHeight="1">
      <c r="A7244" t="inlineStr">
        <is>
          <t>A 2004-2024</t>
        </is>
      </c>
      <c r="B7244" s="1" t="n">
        <v>45308</v>
      </c>
      <c r="C7244" s="1" t="n">
        <v>45952</v>
      </c>
      <c r="D7244" t="inlineStr">
        <is>
          <t>VÄSTRA GÖTALANDS LÄN</t>
        </is>
      </c>
      <c r="E7244" t="inlineStr">
        <is>
          <t>BORÅS</t>
        </is>
      </c>
      <c r="G7244" t="n">
        <v>0.6</v>
      </c>
      <c r="H7244" t="n">
        <v>0</v>
      </c>
      <c r="I7244" t="n">
        <v>0</v>
      </c>
      <c r="J7244" t="n">
        <v>0</v>
      </c>
      <c r="K7244" t="n">
        <v>0</v>
      </c>
      <c r="L7244" t="n">
        <v>0</v>
      </c>
      <c r="M7244" t="n">
        <v>0</v>
      </c>
      <c r="N7244" t="n">
        <v>0</v>
      </c>
      <c r="O7244" t="n">
        <v>0</v>
      </c>
      <c r="P7244" t="n">
        <v>0</v>
      </c>
      <c r="Q7244" t="n">
        <v>0</v>
      </c>
      <c r="R7244" s="2" t="inlineStr"/>
    </row>
    <row r="7245" ht="15" customHeight="1">
      <c r="A7245" t="inlineStr">
        <is>
          <t>A 3570-2025</t>
        </is>
      </c>
      <c r="B7245" s="1" t="n">
        <v>45680</v>
      </c>
      <c r="C7245" s="1" t="n">
        <v>45952</v>
      </c>
      <c r="D7245" t="inlineStr">
        <is>
          <t>VÄSTRA GÖTALANDS LÄN</t>
        </is>
      </c>
      <c r="E7245" t="inlineStr">
        <is>
          <t>ÅMÅL</t>
        </is>
      </c>
      <c r="G7245" t="n">
        <v>0.8</v>
      </c>
      <c r="H7245" t="n">
        <v>0</v>
      </c>
      <c r="I7245" t="n">
        <v>0</v>
      </c>
      <c r="J7245" t="n">
        <v>0</v>
      </c>
      <c r="K7245" t="n">
        <v>0</v>
      </c>
      <c r="L7245" t="n">
        <v>0</v>
      </c>
      <c r="M7245" t="n">
        <v>0</v>
      </c>
      <c r="N7245" t="n">
        <v>0</v>
      </c>
      <c r="O7245" t="n">
        <v>0</v>
      </c>
      <c r="P7245" t="n">
        <v>0</v>
      </c>
      <c r="Q7245" t="n">
        <v>0</v>
      </c>
      <c r="R7245" s="2" t="inlineStr"/>
    </row>
    <row r="7246" ht="15" customHeight="1">
      <c r="A7246" t="inlineStr">
        <is>
          <t>A 13024-2025</t>
        </is>
      </c>
      <c r="B7246" s="1" t="n">
        <v>45734.55474537037</v>
      </c>
      <c r="C7246" s="1" t="n">
        <v>45952</v>
      </c>
      <c r="D7246" t="inlineStr">
        <is>
          <t>VÄSTRA GÖTALANDS LÄN</t>
        </is>
      </c>
      <c r="E7246" t="inlineStr">
        <is>
          <t>SVENLJUNGA</t>
        </is>
      </c>
      <c r="G7246" t="n">
        <v>3.4</v>
      </c>
      <c r="H7246" t="n">
        <v>0</v>
      </c>
      <c r="I7246" t="n">
        <v>0</v>
      </c>
      <c r="J7246" t="n">
        <v>0</v>
      </c>
      <c r="K7246" t="n">
        <v>0</v>
      </c>
      <c r="L7246" t="n">
        <v>0</v>
      </c>
      <c r="M7246" t="n">
        <v>0</v>
      </c>
      <c r="N7246" t="n">
        <v>0</v>
      </c>
      <c r="O7246" t="n">
        <v>0</v>
      </c>
      <c r="P7246" t="n">
        <v>0</v>
      </c>
      <c r="Q7246" t="n">
        <v>0</v>
      </c>
      <c r="R7246" s="2" t="inlineStr"/>
    </row>
    <row r="7247" ht="15" customHeight="1">
      <c r="A7247" t="inlineStr">
        <is>
          <t>A 1025-2023</t>
        </is>
      </c>
      <c r="B7247" s="1" t="n">
        <v>44929</v>
      </c>
      <c r="C7247" s="1" t="n">
        <v>45952</v>
      </c>
      <c r="D7247" t="inlineStr">
        <is>
          <t>VÄSTRA GÖTALANDS LÄN</t>
        </is>
      </c>
      <c r="E7247" t="inlineStr">
        <is>
          <t>BENGTSFORS</t>
        </is>
      </c>
      <c r="F7247" t="inlineStr">
        <is>
          <t>Kyrkan</t>
        </is>
      </c>
      <c r="G7247" t="n">
        <v>2.4</v>
      </c>
      <c r="H7247" t="n">
        <v>0</v>
      </c>
      <c r="I7247" t="n">
        <v>0</v>
      </c>
      <c r="J7247" t="n">
        <v>0</v>
      </c>
      <c r="K7247" t="n">
        <v>0</v>
      </c>
      <c r="L7247" t="n">
        <v>0</v>
      </c>
      <c r="M7247" t="n">
        <v>0</v>
      </c>
      <c r="N7247" t="n">
        <v>0</v>
      </c>
      <c r="O7247" t="n">
        <v>0</v>
      </c>
      <c r="P7247" t="n">
        <v>0</v>
      </c>
      <c r="Q7247" t="n">
        <v>0</v>
      </c>
      <c r="R7247" s="2" t="inlineStr"/>
    </row>
    <row r="7248" ht="15" customHeight="1">
      <c r="A7248" t="inlineStr">
        <is>
          <t>A 61236-2024</t>
        </is>
      </c>
      <c r="B7248" s="1" t="n">
        <v>45645.6778125</v>
      </c>
      <c r="C7248" s="1" t="n">
        <v>45952</v>
      </c>
      <c r="D7248" t="inlineStr">
        <is>
          <t>VÄSTRA GÖTALANDS LÄN</t>
        </is>
      </c>
      <c r="E7248" t="inlineStr">
        <is>
          <t>TANUM</t>
        </is>
      </c>
      <c r="G7248" t="n">
        <v>0.8</v>
      </c>
      <c r="H7248" t="n">
        <v>0</v>
      </c>
      <c r="I7248" t="n">
        <v>0</v>
      </c>
      <c r="J7248" t="n">
        <v>0</v>
      </c>
      <c r="K7248" t="n">
        <v>0</v>
      </c>
      <c r="L7248" t="n">
        <v>0</v>
      </c>
      <c r="M7248" t="n">
        <v>0</v>
      </c>
      <c r="N7248" t="n">
        <v>0</v>
      </c>
      <c r="O7248" t="n">
        <v>0</v>
      </c>
      <c r="P7248" t="n">
        <v>0</v>
      </c>
      <c r="Q7248" t="n">
        <v>0</v>
      </c>
      <c r="R7248" s="2" t="inlineStr"/>
    </row>
    <row r="7249" ht="15" customHeight="1">
      <c r="A7249" t="inlineStr">
        <is>
          <t>A 61241-2024</t>
        </is>
      </c>
      <c r="B7249" s="1" t="n">
        <v>45645.68386574074</v>
      </c>
      <c r="C7249" s="1" t="n">
        <v>45952</v>
      </c>
      <c r="D7249" t="inlineStr">
        <is>
          <t>VÄSTRA GÖTALANDS LÄN</t>
        </is>
      </c>
      <c r="E7249" t="inlineStr">
        <is>
          <t>TANUM</t>
        </is>
      </c>
      <c r="G7249" t="n">
        <v>2.3</v>
      </c>
      <c r="H7249" t="n">
        <v>0</v>
      </c>
      <c r="I7249" t="n">
        <v>0</v>
      </c>
      <c r="J7249" t="n">
        <v>0</v>
      </c>
      <c r="K7249" t="n">
        <v>0</v>
      </c>
      <c r="L7249" t="n">
        <v>0</v>
      </c>
      <c r="M7249" t="n">
        <v>0</v>
      </c>
      <c r="N7249" t="n">
        <v>0</v>
      </c>
      <c r="O7249" t="n">
        <v>0</v>
      </c>
      <c r="P7249" t="n">
        <v>0</v>
      </c>
      <c r="Q7249" t="n">
        <v>0</v>
      </c>
      <c r="R7249" s="2" t="inlineStr"/>
    </row>
    <row r="7250" ht="15" customHeight="1">
      <c r="A7250" t="inlineStr">
        <is>
          <t>A 61266-2024</t>
        </is>
      </c>
      <c r="B7250" s="1" t="n">
        <v>45645.73471064815</v>
      </c>
      <c r="C7250" s="1" t="n">
        <v>45952</v>
      </c>
      <c r="D7250" t="inlineStr">
        <is>
          <t>VÄSTRA GÖTALANDS LÄN</t>
        </is>
      </c>
      <c r="E7250" t="inlineStr">
        <is>
          <t>FALKÖPING</t>
        </is>
      </c>
      <c r="G7250" t="n">
        <v>2.8</v>
      </c>
      <c r="H7250" t="n">
        <v>0</v>
      </c>
      <c r="I7250" t="n">
        <v>0</v>
      </c>
      <c r="J7250" t="n">
        <v>0</v>
      </c>
      <c r="K7250" t="n">
        <v>0</v>
      </c>
      <c r="L7250" t="n">
        <v>0</v>
      </c>
      <c r="M7250" t="n">
        <v>0</v>
      </c>
      <c r="N7250" t="n">
        <v>0</v>
      </c>
      <c r="O7250" t="n">
        <v>0</v>
      </c>
      <c r="P7250" t="n">
        <v>0</v>
      </c>
      <c r="Q7250" t="n">
        <v>0</v>
      </c>
      <c r="R7250" s="2" t="inlineStr"/>
    </row>
    <row r="7251" ht="15" customHeight="1">
      <c r="A7251" t="inlineStr">
        <is>
          <t>A 61272-2024</t>
        </is>
      </c>
      <c r="B7251" s="1" t="n">
        <v>45645.74783564815</v>
      </c>
      <c r="C7251" s="1" t="n">
        <v>45952</v>
      </c>
      <c r="D7251" t="inlineStr">
        <is>
          <t>VÄSTRA GÖTALANDS LÄN</t>
        </is>
      </c>
      <c r="E7251" t="inlineStr">
        <is>
          <t>SVENLJUNGA</t>
        </is>
      </c>
      <c r="G7251" t="n">
        <v>0.5</v>
      </c>
      <c r="H7251" t="n">
        <v>0</v>
      </c>
      <c r="I7251" t="n">
        <v>0</v>
      </c>
      <c r="J7251" t="n">
        <v>0</v>
      </c>
      <c r="K7251" t="n">
        <v>0</v>
      </c>
      <c r="L7251" t="n">
        <v>0</v>
      </c>
      <c r="M7251" t="n">
        <v>0</v>
      </c>
      <c r="N7251" t="n">
        <v>0</v>
      </c>
      <c r="O7251" t="n">
        <v>0</v>
      </c>
      <c r="P7251" t="n">
        <v>0</v>
      </c>
      <c r="Q7251" t="n">
        <v>0</v>
      </c>
      <c r="R7251" s="2" t="inlineStr"/>
    </row>
    <row r="7252" ht="15" customHeight="1">
      <c r="A7252" t="inlineStr">
        <is>
          <t>A 16216-2025</t>
        </is>
      </c>
      <c r="B7252" s="1" t="n">
        <v>45750.63079861111</v>
      </c>
      <c r="C7252" s="1" t="n">
        <v>45952</v>
      </c>
      <c r="D7252" t="inlineStr">
        <is>
          <t>VÄSTRA GÖTALANDS LÄN</t>
        </is>
      </c>
      <c r="E7252" t="inlineStr">
        <is>
          <t>STRÖMSTAD</t>
        </is>
      </c>
      <c r="G7252" t="n">
        <v>2.3</v>
      </c>
      <c r="H7252" t="n">
        <v>0</v>
      </c>
      <c r="I7252" t="n">
        <v>0</v>
      </c>
      <c r="J7252" t="n">
        <v>0</v>
      </c>
      <c r="K7252" t="n">
        <v>0</v>
      </c>
      <c r="L7252" t="n">
        <v>0</v>
      </c>
      <c r="M7252" t="n">
        <v>0</v>
      </c>
      <c r="N7252" t="n">
        <v>0</v>
      </c>
      <c r="O7252" t="n">
        <v>0</v>
      </c>
      <c r="P7252" t="n">
        <v>0</v>
      </c>
      <c r="Q7252" t="n">
        <v>0</v>
      </c>
      <c r="R7252" s="2" t="inlineStr"/>
    </row>
    <row r="7253" ht="15" customHeight="1">
      <c r="A7253" t="inlineStr">
        <is>
          <t>A 59223-2022</t>
        </is>
      </c>
      <c r="B7253" s="1" t="n">
        <v>44899</v>
      </c>
      <c r="C7253" s="1" t="n">
        <v>45952</v>
      </c>
      <c r="D7253" t="inlineStr">
        <is>
          <t>VÄSTRA GÖTALANDS LÄN</t>
        </is>
      </c>
      <c r="E7253" t="inlineStr">
        <is>
          <t>LYSEKIL</t>
        </is>
      </c>
      <c r="G7253" t="n">
        <v>1.4</v>
      </c>
      <c r="H7253" t="n">
        <v>0</v>
      </c>
      <c r="I7253" t="n">
        <v>0</v>
      </c>
      <c r="J7253" t="n">
        <v>0</v>
      </c>
      <c r="K7253" t="n">
        <v>0</v>
      </c>
      <c r="L7253" t="n">
        <v>0</v>
      </c>
      <c r="M7253" t="n">
        <v>0</v>
      </c>
      <c r="N7253" t="n">
        <v>0</v>
      </c>
      <c r="O7253" t="n">
        <v>0</v>
      </c>
      <c r="P7253" t="n">
        <v>0</v>
      </c>
      <c r="Q7253" t="n">
        <v>0</v>
      </c>
      <c r="R7253" s="2" t="inlineStr"/>
    </row>
    <row r="7254" ht="15" customHeight="1">
      <c r="A7254" t="inlineStr">
        <is>
          <t>A 3026-2021</t>
        </is>
      </c>
      <c r="B7254" s="1" t="n">
        <v>44216</v>
      </c>
      <c r="C7254" s="1" t="n">
        <v>45952</v>
      </c>
      <c r="D7254" t="inlineStr">
        <is>
          <t>VÄSTRA GÖTALANDS LÄN</t>
        </is>
      </c>
      <c r="E7254" t="inlineStr">
        <is>
          <t>KUNGÄLV</t>
        </is>
      </c>
      <c r="G7254" t="n">
        <v>2.3</v>
      </c>
      <c r="H7254" t="n">
        <v>0</v>
      </c>
      <c r="I7254" t="n">
        <v>0</v>
      </c>
      <c r="J7254" t="n">
        <v>0</v>
      </c>
      <c r="K7254" t="n">
        <v>0</v>
      </c>
      <c r="L7254" t="n">
        <v>0</v>
      </c>
      <c r="M7254" t="n">
        <v>0</v>
      </c>
      <c r="N7254" t="n">
        <v>0</v>
      </c>
      <c r="O7254" t="n">
        <v>0</v>
      </c>
      <c r="P7254" t="n">
        <v>0</v>
      </c>
      <c r="Q7254" t="n">
        <v>0</v>
      </c>
      <c r="R7254" s="2" t="inlineStr"/>
    </row>
    <row r="7255" ht="15" customHeight="1">
      <c r="A7255" t="inlineStr">
        <is>
          <t>A 46753-2023</t>
        </is>
      </c>
      <c r="B7255" s="1" t="n">
        <v>45198</v>
      </c>
      <c r="C7255" s="1" t="n">
        <v>45952</v>
      </c>
      <c r="D7255" t="inlineStr">
        <is>
          <t>VÄSTRA GÖTALANDS LÄN</t>
        </is>
      </c>
      <c r="E7255" t="inlineStr">
        <is>
          <t>ÅMÅL</t>
        </is>
      </c>
      <c r="G7255" t="n">
        <v>2.2</v>
      </c>
      <c r="H7255" t="n">
        <v>0</v>
      </c>
      <c r="I7255" t="n">
        <v>0</v>
      </c>
      <c r="J7255" t="n">
        <v>0</v>
      </c>
      <c r="K7255" t="n">
        <v>0</v>
      </c>
      <c r="L7255" t="n">
        <v>0</v>
      </c>
      <c r="M7255" t="n">
        <v>0</v>
      </c>
      <c r="N7255" t="n">
        <v>0</v>
      </c>
      <c r="O7255" t="n">
        <v>0</v>
      </c>
      <c r="P7255" t="n">
        <v>0</v>
      </c>
      <c r="Q7255" t="n">
        <v>0</v>
      </c>
      <c r="R7255" s="2" t="inlineStr"/>
    </row>
    <row r="7256" ht="15" customHeight="1">
      <c r="A7256" t="inlineStr">
        <is>
          <t>A 46767-2023</t>
        </is>
      </c>
      <c r="B7256" s="1" t="n">
        <v>45195</v>
      </c>
      <c r="C7256" s="1" t="n">
        <v>45952</v>
      </c>
      <c r="D7256" t="inlineStr">
        <is>
          <t>VÄSTRA GÖTALANDS LÄN</t>
        </is>
      </c>
      <c r="E7256" t="inlineStr">
        <is>
          <t>BENGTSFORS</t>
        </is>
      </c>
      <c r="G7256" t="n">
        <v>1.8</v>
      </c>
      <c r="H7256" t="n">
        <v>0</v>
      </c>
      <c r="I7256" t="n">
        <v>0</v>
      </c>
      <c r="J7256" t="n">
        <v>0</v>
      </c>
      <c r="K7256" t="n">
        <v>0</v>
      </c>
      <c r="L7256" t="n">
        <v>0</v>
      </c>
      <c r="M7256" t="n">
        <v>0</v>
      </c>
      <c r="N7256" t="n">
        <v>0</v>
      </c>
      <c r="O7256" t="n">
        <v>0</v>
      </c>
      <c r="P7256" t="n">
        <v>0</v>
      </c>
      <c r="Q7256" t="n">
        <v>0</v>
      </c>
      <c r="R7256" s="2" t="inlineStr"/>
    </row>
    <row r="7257" ht="15" customHeight="1">
      <c r="A7257" t="inlineStr">
        <is>
          <t>A 38796-2025</t>
        </is>
      </c>
      <c r="B7257" s="1" t="n">
        <v>45887.45560185185</v>
      </c>
      <c r="C7257" s="1" t="n">
        <v>45952</v>
      </c>
      <c r="D7257" t="inlineStr">
        <is>
          <t>VÄSTRA GÖTALANDS LÄN</t>
        </is>
      </c>
      <c r="E7257" t="inlineStr">
        <is>
          <t>ESSUNGA</t>
        </is>
      </c>
      <c r="G7257" t="n">
        <v>1.1</v>
      </c>
      <c r="H7257" t="n">
        <v>0</v>
      </c>
      <c r="I7257" t="n">
        <v>0</v>
      </c>
      <c r="J7257" t="n">
        <v>0</v>
      </c>
      <c r="K7257" t="n">
        <v>0</v>
      </c>
      <c r="L7257" t="n">
        <v>0</v>
      </c>
      <c r="M7257" t="n">
        <v>0</v>
      </c>
      <c r="N7257" t="n">
        <v>0</v>
      </c>
      <c r="O7257" t="n">
        <v>0</v>
      </c>
      <c r="P7257" t="n">
        <v>0</v>
      </c>
      <c r="Q7257" t="n">
        <v>0</v>
      </c>
      <c r="R7257" s="2" t="inlineStr"/>
    </row>
    <row r="7258" ht="15" customHeight="1">
      <c r="A7258" t="inlineStr">
        <is>
          <t>A 38799-2025</t>
        </is>
      </c>
      <c r="B7258" s="1" t="n">
        <v>45887.45842592593</v>
      </c>
      <c r="C7258" s="1" t="n">
        <v>45952</v>
      </c>
      <c r="D7258" t="inlineStr">
        <is>
          <t>VÄSTRA GÖTALANDS LÄN</t>
        </is>
      </c>
      <c r="E7258" t="inlineStr">
        <is>
          <t>ESSUNGA</t>
        </is>
      </c>
      <c r="G7258" t="n">
        <v>1.5</v>
      </c>
      <c r="H7258" t="n">
        <v>0</v>
      </c>
      <c r="I7258" t="n">
        <v>0</v>
      </c>
      <c r="J7258" t="n">
        <v>0</v>
      </c>
      <c r="K7258" t="n">
        <v>0</v>
      </c>
      <c r="L7258" t="n">
        <v>0</v>
      </c>
      <c r="M7258" t="n">
        <v>0</v>
      </c>
      <c r="N7258" t="n">
        <v>0</v>
      </c>
      <c r="O7258" t="n">
        <v>0</v>
      </c>
      <c r="P7258" t="n">
        <v>0</v>
      </c>
      <c r="Q7258" t="n">
        <v>0</v>
      </c>
      <c r="R7258" s="2" t="inlineStr"/>
    </row>
    <row r="7259" ht="15" customHeight="1">
      <c r="A7259" t="inlineStr">
        <is>
          <t>A 20545-2024</t>
        </is>
      </c>
      <c r="B7259" s="1" t="n">
        <v>45436</v>
      </c>
      <c r="C7259" s="1" t="n">
        <v>45952</v>
      </c>
      <c r="D7259" t="inlineStr">
        <is>
          <t>VÄSTRA GÖTALANDS LÄN</t>
        </is>
      </c>
      <c r="E7259" t="inlineStr">
        <is>
          <t>GULLSPÅNG</t>
        </is>
      </c>
      <c r="G7259" t="n">
        <v>1.1</v>
      </c>
      <c r="H7259" t="n">
        <v>0</v>
      </c>
      <c r="I7259" t="n">
        <v>0</v>
      </c>
      <c r="J7259" t="n">
        <v>0</v>
      </c>
      <c r="K7259" t="n">
        <v>0</v>
      </c>
      <c r="L7259" t="n">
        <v>0</v>
      </c>
      <c r="M7259" t="n">
        <v>0</v>
      </c>
      <c r="N7259" t="n">
        <v>0</v>
      </c>
      <c r="O7259" t="n">
        <v>0</v>
      </c>
      <c r="P7259" t="n">
        <v>0</v>
      </c>
      <c r="Q7259" t="n">
        <v>0</v>
      </c>
      <c r="R7259" s="2" t="inlineStr"/>
    </row>
    <row r="7260" ht="15" customHeight="1">
      <c r="A7260" t="inlineStr">
        <is>
          <t>A 61053-2021</t>
        </is>
      </c>
      <c r="B7260" s="1" t="n">
        <v>44497</v>
      </c>
      <c r="C7260" s="1" t="n">
        <v>45952</v>
      </c>
      <c r="D7260" t="inlineStr">
        <is>
          <t>VÄSTRA GÖTALANDS LÄN</t>
        </is>
      </c>
      <c r="E7260" t="inlineStr">
        <is>
          <t>FALKÖPING</t>
        </is>
      </c>
      <c r="G7260" t="n">
        <v>4.6</v>
      </c>
      <c r="H7260" t="n">
        <v>0</v>
      </c>
      <c r="I7260" t="n">
        <v>0</v>
      </c>
      <c r="J7260" t="n">
        <v>0</v>
      </c>
      <c r="K7260" t="n">
        <v>0</v>
      </c>
      <c r="L7260" t="n">
        <v>0</v>
      </c>
      <c r="M7260" t="n">
        <v>0</v>
      </c>
      <c r="N7260" t="n">
        <v>0</v>
      </c>
      <c r="O7260" t="n">
        <v>0</v>
      </c>
      <c r="P7260" t="n">
        <v>0</v>
      </c>
      <c r="Q7260" t="n">
        <v>0</v>
      </c>
      <c r="R7260" s="2" t="inlineStr"/>
    </row>
    <row r="7261" ht="15" customHeight="1">
      <c r="A7261" t="inlineStr">
        <is>
          <t>A 8797-2025</t>
        </is>
      </c>
      <c r="B7261" s="1" t="n">
        <v>45712.64800925926</v>
      </c>
      <c r="C7261" s="1" t="n">
        <v>45952</v>
      </c>
      <c r="D7261" t="inlineStr">
        <is>
          <t>VÄSTRA GÖTALANDS LÄN</t>
        </is>
      </c>
      <c r="E7261" t="inlineStr">
        <is>
          <t>BENGTSFORS</t>
        </is>
      </c>
      <c r="G7261" t="n">
        <v>2.6</v>
      </c>
      <c r="H7261" t="n">
        <v>0</v>
      </c>
      <c r="I7261" t="n">
        <v>0</v>
      </c>
      <c r="J7261" t="n">
        <v>0</v>
      </c>
      <c r="K7261" t="n">
        <v>0</v>
      </c>
      <c r="L7261" t="n">
        <v>0</v>
      </c>
      <c r="M7261" t="n">
        <v>0</v>
      </c>
      <c r="N7261" t="n">
        <v>0</v>
      </c>
      <c r="O7261" t="n">
        <v>0</v>
      </c>
      <c r="P7261" t="n">
        <v>0</v>
      </c>
      <c r="Q7261" t="n">
        <v>0</v>
      </c>
      <c r="R7261" s="2" t="inlineStr"/>
    </row>
    <row r="7262" ht="15" customHeight="1">
      <c r="A7262" t="inlineStr">
        <is>
          <t>A 20564-2024</t>
        </is>
      </c>
      <c r="B7262" s="1" t="n">
        <v>45436</v>
      </c>
      <c r="C7262" s="1" t="n">
        <v>45952</v>
      </c>
      <c r="D7262" t="inlineStr">
        <is>
          <t>VÄSTRA GÖTALANDS LÄN</t>
        </is>
      </c>
      <c r="E7262" t="inlineStr">
        <is>
          <t>KARLSBORG</t>
        </is>
      </c>
      <c r="G7262" t="n">
        <v>0.6</v>
      </c>
      <c r="H7262" t="n">
        <v>0</v>
      </c>
      <c r="I7262" t="n">
        <v>0</v>
      </c>
      <c r="J7262" t="n">
        <v>0</v>
      </c>
      <c r="K7262" t="n">
        <v>0</v>
      </c>
      <c r="L7262" t="n">
        <v>0</v>
      </c>
      <c r="M7262" t="n">
        <v>0</v>
      </c>
      <c r="N7262" t="n">
        <v>0</v>
      </c>
      <c r="O7262" t="n">
        <v>0</v>
      </c>
      <c r="P7262" t="n">
        <v>0</v>
      </c>
      <c r="Q7262" t="n">
        <v>0</v>
      </c>
      <c r="R7262" s="2" t="inlineStr"/>
    </row>
    <row r="7263" ht="15" customHeight="1">
      <c r="A7263" t="inlineStr">
        <is>
          <t>A 57439-2024</t>
        </is>
      </c>
      <c r="B7263" s="1" t="n">
        <v>45629.87395833333</v>
      </c>
      <c r="C7263" s="1" t="n">
        <v>45952</v>
      </c>
      <c r="D7263" t="inlineStr">
        <is>
          <t>VÄSTRA GÖTALANDS LÄN</t>
        </is>
      </c>
      <c r="E7263" t="inlineStr">
        <is>
          <t>BORÅS</t>
        </is>
      </c>
      <c r="G7263" t="n">
        <v>2.6</v>
      </c>
      <c r="H7263" t="n">
        <v>0</v>
      </c>
      <c r="I7263" t="n">
        <v>0</v>
      </c>
      <c r="J7263" t="n">
        <v>0</v>
      </c>
      <c r="K7263" t="n">
        <v>0</v>
      </c>
      <c r="L7263" t="n">
        <v>0</v>
      </c>
      <c r="M7263" t="n">
        <v>0</v>
      </c>
      <c r="N7263" t="n">
        <v>0</v>
      </c>
      <c r="O7263" t="n">
        <v>0</v>
      </c>
      <c r="P7263" t="n">
        <v>0</v>
      </c>
      <c r="Q7263" t="n">
        <v>0</v>
      </c>
      <c r="R7263" s="2" t="inlineStr"/>
    </row>
    <row r="7264" ht="15" customHeight="1">
      <c r="A7264" t="inlineStr">
        <is>
          <t>A 55733-2023</t>
        </is>
      </c>
      <c r="B7264" s="1" t="n">
        <v>45232</v>
      </c>
      <c r="C7264" s="1" t="n">
        <v>45952</v>
      </c>
      <c r="D7264" t="inlineStr">
        <is>
          <t>VÄSTRA GÖTALANDS LÄN</t>
        </is>
      </c>
      <c r="E7264" t="inlineStr">
        <is>
          <t>STRÖMSTAD</t>
        </is>
      </c>
      <c r="G7264" t="n">
        <v>0.6</v>
      </c>
      <c r="H7264" t="n">
        <v>0</v>
      </c>
      <c r="I7264" t="n">
        <v>0</v>
      </c>
      <c r="J7264" t="n">
        <v>0</v>
      </c>
      <c r="K7264" t="n">
        <v>0</v>
      </c>
      <c r="L7264" t="n">
        <v>0</v>
      </c>
      <c r="M7264" t="n">
        <v>0</v>
      </c>
      <c r="N7264" t="n">
        <v>0</v>
      </c>
      <c r="O7264" t="n">
        <v>0</v>
      </c>
      <c r="P7264" t="n">
        <v>0</v>
      </c>
      <c r="Q7264" t="n">
        <v>0</v>
      </c>
      <c r="R7264" s="2" t="inlineStr"/>
    </row>
    <row r="7265" ht="15" customHeight="1">
      <c r="A7265" t="inlineStr">
        <is>
          <t>A 57443-2024</t>
        </is>
      </c>
      <c r="B7265" s="1" t="n">
        <v>45629.8953587963</v>
      </c>
      <c r="C7265" s="1" t="n">
        <v>45952</v>
      </c>
      <c r="D7265" t="inlineStr">
        <is>
          <t>VÄSTRA GÖTALANDS LÄN</t>
        </is>
      </c>
      <c r="E7265" t="inlineStr">
        <is>
          <t>BOLLEBYGD</t>
        </is>
      </c>
      <c r="G7265" t="n">
        <v>1.1</v>
      </c>
      <c r="H7265" t="n">
        <v>0</v>
      </c>
      <c r="I7265" t="n">
        <v>0</v>
      </c>
      <c r="J7265" t="n">
        <v>0</v>
      </c>
      <c r="K7265" t="n">
        <v>0</v>
      </c>
      <c r="L7265" t="n">
        <v>0</v>
      </c>
      <c r="M7265" t="n">
        <v>0</v>
      </c>
      <c r="N7265" t="n">
        <v>0</v>
      </c>
      <c r="O7265" t="n">
        <v>0</v>
      </c>
      <c r="P7265" t="n">
        <v>0</v>
      </c>
      <c r="Q7265" t="n">
        <v>0</v>
      </c>
      <c r="R7265" s="2" t="inlineStr"/>
    </row>
    <row r="7266" ht="15" customHeight="1">
      <c r="A7266" t="inlineStr">
        <is>
          <t>A 57465-2024</t>
        </is>
      </c>
      <c r="B7266" s="1" t="n">
        <v>45630.32784722222</v>
      </c>
      <c r="C7266" s="1" t="n">
        <v>45952</v>
      </c>
      <c r="D7266" t="inlineStr">
        <is>
          <t>VÄSTRA GÖTALANDS LÄN</t>
        </is>
      </c>
      <c r="E7266" t="inlineStr">
        <is>
          <t>VARA</t>
        </is>
      </c>
      <c r="G7266" t="n">
        <v>1.6</v>
      </c>
      <c r="H7266" t="n">
        <v>0</v>
      </c>
      <c r="I7266" t="n">
        <v>0</v>
      </c>
      <c r="J7266" t="n">
        <v>0</v>
      </c>
      <c r="K7266" t="n">
        <v>0</v>
      </c>
      <c r="L7266" t="n">
        <v>0</v>
      </c>
      <c r="M7266" t="n">
        <v>0</v>
      </c>
      <c r="N7266" t="n">
        <v>0</v>
      </c>
      <c r="O7266" t="n">
        <v>0</v>
      </c>
      <c r="P7266" t="n">
        <v>0</v>
      </c>
      <c r="Q7266" t="n">
        <v>0</v>
      </c>
      <c r="R7266" s="2" t="inlineStr"/>
    </row>
    <row r="7267" ht="15" customHeight="1">
      <c r="A7267" t="inlineStr">
        <is>
          <t>A 28622-2024</t>
        </is>
      </c>
      <c r="B7267" s="1" t="n">
        <v>45478.44236111111</v>
      </c>
      <c r="C7267" s="1" t="n">
        <v>45952</v>
      </c>
      <c r="D7267" t="inlineStr">
        <is>
          <t>VÄSTRA GÖTALANDS LÄN</t>
        </is>
      </c>
      <c r="E7267" t="inlineStr">
        <is>
          <t>ÅMÅL</t>
        </is>
      </c>
      <c r="G7267" t="n">
        <v>4.9</v>
      </c>
      <c r="H7267" t="n">
        <v>0</v>
      </c>
      <c r="I7267" t="n">
        <v>0</v>
      </c>
      <c r="J7267" t="n">
        <v>0</v>
      </c>
      <c r="K7267" t="n">
        <v>0</v>
      </c>
      <c r="L7267" t="n">
        <v>0</v>
      </c>
      <c r="M7267" t="n">
        <v>0</v>
      </c>
      <c r="N7267" t="n">
        <v>0</v>
      </c>
      <c r="O7267" t="n">
        <v>0</v>
      </c>
      <c r="P7267" t="n">
        <v>0</v>
      </c>
      <c r="Q7267" t="n">
        <v>0</v>
      </c>
      <c r="R7267" s="2" t="inlineStr"/>
    </row>
    <row r="7268" ht="15" customHeight="1">
      <c r="A7268" t="inlineStr">
        <is>
          <t>A 18001-2025</t>
        </is>
      </c>
      <c r="B7268" s="1" t="n">
        <v>45761.41210648148</v>
      </c>
      <c r="C7268" s="1" t="n">
        <v>45952</v>
      </c>
      <c r="D7268" t="inlineStr">
        <is>
          <t>VÄSTRA GÖTALANDS LÄN</t>
        </is>
      </c>
      <c r="E7268" t="inlineStr">
        <is>
          <t>HÄRRYDA</t>
        </is>
      </c>
      <c r="G7268" t="n">
        <v>1.7</v>
      </c>
      <c r="H7268" t="n">
        <v>0</v>
      </c>
      <c r="I7268" t="n">
        <v>0</v>
      </c>
      <c r="J7268" t="n">
        <v>0</v>
      </c>
      <c r="K7268" t="n">
        <v>0</v>
      </c>
      <c r="L7268" t="n">
        <v>0</v>
      </c>
      <c r="M7268" t="n">
        <v>0</v>
      </c>
      <c r="N7268" t="n">
        <v>0</v>
      </c>
      <c r="O7268" t="n">
        <v>0</v>
      </c>
      <c r="P7268" t="n">
        <v>0</v>
      </c>
      <c r="Q7268" t="n">
        <v>0</v>
      </c>
      <c r="R7268" s="2" t="inlineStr"/>
    </row>
    <row r="7269" ht="15" customHeight="1">
      <c r="A7269" t="inlineStr">
        <is>
          <t>A 17515-2024</t>
        </is>
      </c>
      <c r="B7269" s="1" t="n">
        <v>45415.58402777778</v>
      </c>
      <c r="C7269" s="1" t="n">
        <v>45952</v>
      </c>
      <c r="D7269" t="inlineStr">
        <is>
          <t>VÄSTRA GÖTALANDS LÄN</t>
        </is>
      </c>
      <c r="E7269" t="inlineStr">
        <is>
          <t>TANUM</t>
        </is>
      </c>
      <c r="G7269" t="n">
        <v>7.4</v>
      </c>
      <c r="H7269" t="n">
        <v>0</v>
      </c>
      <c r="I7269" t="n">
        <v>0</v>
      </c>
      <c r="J7269" t="n">
        <v>0</v>
      </c>
      <c r="K7269" t="n">
        <v>0</v>
      </c>
      <c r="L7269" t="n">
        <v>0</v>
      </c>
      <c r="M7269" t="n">
        <v>0</v>
      </c>
      <c r="N7269" t="n">
        <v>0</v>
      </c>
      <c r="O7269" t="n">
        <v>0</v>
      </c>
      <c r="P7269" t="n">
        <v>0</v>
      </c>
      <c r="Q7269" t="n">
        <v>0</v>
      </c>
      <c r="R7269" s="2" t="inlineStr"/>
    </row>
    <row r="7270" ht="15" customHeight="1">
      <c r="A7270" t="inlineStr">
        <is>
          <t>A 19608-2024</t>
        </is>
      </c>
      <c r="B7270" s="1" t="n">
        <v>45432.29416666667</v>
      </c>
      <c r="C7270" s="1" t="n">
        <v>45952</v>
      </c>
      <c r="D7270" t="inlineStr">
        <is>
          <t>VÄSTRA GÖTALANDS LÄN</t>
        </is>
      </c>
      <c r="E7270" t="inlineStr">
        <is>
          <t>MARK</t>
        </is>
      </c>
      <c r="F7270" t="inlineStr">
        <is>
          <t>Sveaskog</t>
        </is>
      </c>
      <c r="G7270" t="n">
        <v>2.3</v>
      </c>
      <c r="H7270" t="n">
        <v>0</v>
      </c>
      <c r="I7270" t="n">
        <v>0</v>
      </c>
      <c r="J7270" t="n">
        <v>0</v>
      </c>
      <c r="K7270" t="n">
        <v>0</v>
      </c>
      <c r="L7270" t="n">
        <v>0</v>
      </c>
      <c r="M7270" t="n">
        <v>0</v>
      </c>
      <c r="N7270" t="n">
        <v>0</v>
      </c>
      <c r="O7270" t="n">
        <v>0</v>
      </c>
      <c r="P7270" t="n">
        <v>0</v>
      </c>
      <c r="Q7270" t="n">
        <v>0</v>
      </c>
      <c r="R7270" s="2" t="inlineStr"/>
    </row>
    <row r="7271" ht="15" customHeight="1">
      <c r="A7271" t="inlineStr">
        <is>
          <t>A 11979-2025</t>
        </is>
      </c>
      <c r="B7271" s="1" t="n">
        <v>45728.59554398148</v>
      </c>
      <c r="C7271" s="1" t="n">
        <v>45952</v>
      </c>
      <c r="D7271" t="inlineStr">
        <is>
          <t>VÄSTRA GÖTALANDS LÄN</t>
        </is>
      </c>
      <c r="E7271" t="inlineStr">
        <is>
          <t>HERRLJUNGA</t>
        </is>
      </c>
      <c r="G7271" t="n">
        <v>0.8</v>
      </c>
      <c r="H7271" t="n">
        <v>0</v>
      </c>
      <c r="I7271" t="n">
        <v>0</v>
      </c>
      <c r="J7271" t="n">
        <v>0</v>
      </c>
      <c r="K7271" t="n">
        <v>0</v>
      </c>
      <c r="L7271" t="n">
        <v>0</v>
      </c>
      <c r="M7271" t="n">
        <v>0</v>
      </c>
      <c r="N7271" t="n">
        <v>0</v>
      </c>
      <c r="O7271" t="n">
        <v>0</v>
      </c>
      <c r="P7271" t="n">
        <v>0</v>
      </c>
      <c r="Q7271" t="n">
        <v>0</v>
      </c>
      <c r="R7271" s="2" t="inlineStr"/>
    </row>
    <row r="7272" ht="15" customHeight="1">
      <c r="A7272" t="inlineStr">
        <is>
          <t>A 50259-2023</t>
        </is>
      </c>
      <c r="B7272" s="1" t="n">
        <v>45216.3775</v>
      </c>
      <c r="C7272" s="1" t="n">
        <v>45952</v>
      </c>
      <c r="D7272" t="inlineStr">
        <is>
          <t>VÄSTRA GÖTALANDS LÄN</t>
        </is>
      </c>
      <c r="E7272" t="inlineStr">
        <is>
          <t>STRÖMSTAD</t>
        </is>
      </c>
      <c r="G7272" t="n">
        <v>3</v>
      </c>
      <c r="H7272" t="n">
        <v>0</v>
      </c>
      <c r="I7272" t="n">
        <v>0</v>
      </c>
      <c r="J7272" t="n">
        <v>0</v>
      </c>
      <c r="K7272" t="n">
        <v>0</v>
      </c>
      <c r="L7272" t="n">
        <v>0</v>
      </c>
      <c r="M7272" t="n">
        <v>0</v>
      </c>
      <c r="N7272" t="n">
        <v>0</v>
      </c>
      <c r="O7272" t="n">
        <v>0</v>
      </c>
      <c r="P7272" t="n">
        <v>0</v>
      </c>
      <c r="Q7272" t="n">
        <v>0</v>
      </c>
      <c r="R7272" s="2" t="inlineStr"/>
    </row>
    <row r="7273" ht="15" customHeight="1">
      <c r="A7273" t="inlineStr">
        <is>
          <t>A 28802-2025</t>
        </is>
      </c>
      <c r="B7273" s="1" t="n">
        <v>45820.50112268519</v>
      </c>
      <c r="C7273" s="1" t="n">
        <v>45952</v>
      </c>
      <c r="D7273" t="inlineStr">
        <is>
          <t>VÄSTRA GÖTALANDS LÄN</t>
        </is>
      </c>
      <c r="E7273" t="inlineStr">
        <is>
          <t>TRANEMO</t>
        </is>
      </c>
      <c r="G7273" t="n">
        <v>5.3</v>
      </c>
      <c r="H7273" t="n">
        <v>0</v>
      </c>
      <c r="I7273" t="n">
        <v>0</v>
      </c>
      <c r="J7273" t="n">
        <v>0</v>
      </c>
      <c r="K7273" t="n">
        <v>0</v>
      </c>
      <c r="L7273" t="n">
        <v>0</v>
      </c>
      <c r="M7273" t="n">
        <v>0</v>
      </c>
      <c r="N7273" t="n">
        <v>0</v>
      </c>
      <c r="O7273" t="n">
        <v>0</v>
      </c>
      <c r="P7273" t="n">
        <v>0</v>
      </c>
      <c r="Q7273" t="n">
        <v>0</v>
      </c>
      <c r="R7273" s="2" t="inlineStr"/>
    </row>
    <row r="7274" ht="15" customHeight="1">
      <c r="A7274" t="inlineStr">
        <is>
          <t>A 43732-2021</t>
        </is>
      </c>
      <c r="B7274" s="1" t="n">
        <v>44433.63525462963</v>
      </c>
      <c r="C7274" s="1" t="n">
        <v>45952</v>
      </c>
      <c r="D7274" t="inlineStr">
        <is>
          <t>VÄSTRA GÖTALANDS LÄN</t>
        </is>
      </c>
      <c r="E7274" t="inlineStr">
        <is>
          <t>FALKÖPING</t>
        </is>
      </c>
      <c r="G7274" t="n">
        <v>3.7</v>
      </c>
      <c r="H7274" t="n">
        <v>0</v>
      </c>
      <c r="I7274" t="n">
        <v>0</v>
      </c>
      <c r="J7274" t="n">
        <v>0</v>
      </c>
      <c r="K7274" t="n">
        <v>0</v>
      </c>
      <c r="L7274" t="n">
        <v>0</v>
      </c>
      <c r="M7274" t="n">
        <v>0</v>
      </c>
      <c r="N7274" t="n">
        <v>0</v>
      </c>
      <c r="O7274" t="n">
        <v>0</v>
      </c>
      <c r="P7274" t="n">
        <v>0</v>
      </c>
      <c r="Q7274" t="n">
        <v>0</v>
      </c>
      <c r="R7274" s="2" t="inlineStr"/>
    </row>
    <row r="7275" ht="15" customHeight="1">
      <c r="A7275" t="inlineStr">
        <is>
          <t>A 11219-2024</t>
        </is>
      </c>
      <c r="B7275" s="1" t="n">
        <v>45371.58719907407</v>
      </c>
      <c r="C7275" s="1" t="n">
        <v>45952</v>
      </c>
      <c r="D7275" t="inlineStr">
        <is>
          <t>VÄSTRA GÖTALANDS LÄN</t>
        </is>
      </c>
      <c r="E7275" t="inlineStr">
        <is>
          <t>MELLERUD</t>
        </is>
      </c>
      <c r="G7275" t="n">
        <v>6</v>
      </c>
      <c r="H7275" t="n">
        <v>0</v>
      </c>
      <c r="I7275" t="n">
        <v>0</v>
      </c>
      <c r="J7275" t="n">
        <v>0</v>
      </c>
      <c r="K7275" t="n">
        <v>0</v>
      </c>
      <c r="L7275" t="n">
        <v>0</v>
      </c>
      <c r="M7275" t="n">
        <v>0</v>
      </c>
      <c r="N7275" t="n">
        <v>0</v>
      </c>
      <c r="O7275" t="n">
        <v>0</v>
      </c>
      <c r="P7275" t="n">
        <v>0</v>
      </c>
      <c r="Q7275" t="n">
        <v>0</v>
      </c>
      <c r="R7275" s="2" t="inlineStr"/>
    </row>
    <row r="7276" ht="15" customHeight="1">
      <c r="A7276" t="inlineStr">
        <is>
          <t>A 40444-2021</t>
        </is>
      </c>
      <c r="B7276" s="1" t="n">
        <v>44419</v>
      </c>
      <c r="C7276" s="1" t="n">
        <v>45952</v>
      </c>
      <c r="D7276" t="inlineStr">
        <is>
          <t>VÄSTRA GÖTALANDS LÄN</t>
        </is>
      </c>
      <c r="E7276" t="inlineStr">
        <is>
          <t>ULRICEHAMN</t>
        </is>
      </c>
      <c r="G7276" t="n">
        <v>3.3</v>
      </c>
      <c r="H7276" t="n">
        <v>0</v>
      </c>
      <c r="I7276" t="n">
        <v>0</v>
      </c>
      <c r="J7276" t="n">
        <v>0</v>
      </c>
      <c r="K7276" t="n">
        <v>0</v>
      </c>
      <c r="L7276" t="n">
        <v>0</v>
      </c>
      <c r="M7276" t="n">
        <v>0</v>
      </c>
      <c r="N7276" t="n">
        <v>0</v>
      </c>
      <c r="O7276" t="n">
        <v>0</v>
      </c>
      <c r="P7276" t="n">
        <v>0</v>
      </c>
      <c r="Q7276" t="n">
        <v>0</v>
      </c>
      <c r="R7276" s="2" t="inlineStr"/>
    </row>
    <row r="7277" ht="15" customHeight="1">
      <c r="A7277" t="inlineStr">
        <is>
          <t>A 9761-2025</t>
        </is>
      </c>
      <c r="B7277" s="1" t="n">
        <v>45716.47787037037</v>
      </c>
      <c r="C7277" s="1" t="n">
        <v>45952</v>
      </c>
      <c r="D7277" t="inlineStr">
        <is>
          <t>VÄSTRA GÖTALANDS LÄN</t>
        </is>
      </c>
      <c r="E7277" t="inlineStr">
        <is>
          <t>GÖTENE</t>
        </is>
      </c>
      <c r="F7277" t="inlineStr">
        <is>
          <t>Sveaskog</t>
        </is>
      </c>
      <c r="G7277" t="n">
        <v>3</v>
      </c>
      <c r="H7277" t="n">
        <v>0</v>
      </c>
      <c r="I7277" t="n">
        <v>0</v>
      </c>
      <c r="J7277" t="n">
        <v>0</v>
      </c>
      <c r="K7277" t="n">
        <v>0</v>
      </c>
      <c r="L7277" t="n">
        <v>0</v>
      </c>
      <c r="M7277" t="n">
        <v>0</v>
      </c>
      <c r="N7277" t="n">
        <v>0</v>
      </c>
      <c r="O7277" t="n">
        <v>0</v>
      </c>
      <c r="P7277" t="n">
        <v>0</v>
      </c>
      <c r="Q7277" t="n">
        <v>0</v>
      </c>
      <c r="R7277" s="2" t="inlineStr"/>
    </row>
    <row r="7278" ht="15" customHeight="1">
      <c r="A7278" t="inlineStr">
        <is>
          <t>A 54582-2023</t>
        </is>
      </c>
      <c r="B7278" s="1" t="n">
        <v>45233</v>
      </c>
      <c r="C7278" s="1" t="n">
        <v>45952</v>
      </c>
      <c r="D7278" t="inlineStr">
        <is>
          <t>VÄSTRA GÖTALANDS LÄN</t>
        </is>
      </c>
      <c r="E7278" t="inlineStr">
        <is>
          <t>LIDKÖPING</t>
        </is>
      </c>
      <c r="G7278" t="n">
        <v>0.7</v>
      </c>
      <c r="H7278" t="n">
        <v>0</v>
      </c>
      <c r="I7278" t="n">
        <v>0</v>
      </c>
      <c r="J7278" t="n">
        <v>0</v>
      </c>
      <c r="K7278" t="n">
        <v>0</v>
      </c>
      <c r="L7278" t="n">
        <v>0</v>
      </c>
      <c r="M7278" t="n">
        <v>0</v>
      </c>
      <c r="N7278" t="n">
        <v>0</v>
      </c>
      <c r="O7278" t="n">
        <v>0</v>
      </c>
      <c r="P7278" t="n">
        <v>0</v>
      </c>
      <c r="Q7278" t="n">
        <v>0</v>
      </c>
      <c r="R7278" s="2" t="inlineStr"/>
    </row>
    <row r="7279" ht="15" customHeight="1">
      <c r="A7279" t="inlineStr">
        <is>
          <t>A 47334-2024</t>
        </is>
      </c>
      <c r="B7279" s="1" t="n">
        <v>45587.39581018518</v>
      </c>
      <c r="C7279" s="1" t="n">
        <v>45952</v>
      </c>
      <c r="D7279" t="inlineStr">
        <is>
          <t>VÄSTRA GÖTALANDS LÄN</t>
        </is>
      </c>
      <c r="E7279" t="inlineStr">
        <is>
          <t>HÄRRYDA</t>
        </is>
      </c>
      <c r="G7279" t="n">
        <v>0.3</v>
      </c>
      <c r="H7279" t="n">
        <v>0</v>
      </c>
      <c r="I7279" t="n">
        <v>0</v>
      </c>
      <c r="J7279" t="n">
        <v>0</v>
      </c>
      <c r="K7279" t="n">
        <v>0</v>
      </c>
      <c r="L7279" t="n">
        <v>0</v>
      </c>
      <c r="M7279" t="n">
        <v>0</v>
      </c>
      <c r="N7279" t="n">
        <v>0</v>
      </c>
      <c r="O7279" t="n">
        <v>0</v>
      </c>
      <c r="P7279" t="n">
        <v>0</v>
      </c>
      <c r="Q7279" t="n">
        <v>0</v>
      </c>
      <c r="R7279" s="2" t="inlineStr"/>
    </row>
    <row r="7280" ht="15" customHeight="1">
      <c r="A7280" t="inlineStr">
        <is>
          <t>A 12853-2023</t>
        </is>
      </c>
      <c r="B7280" s="1" t="n">
        <v>45001</v>
      </c>
      <c r="C7280" s="1" t="n">
        <v>45952</v>
      </c>
      <c r="D7280" t="inlineStr">
        <is>
          <t>VÄSTRA GÖTALANDS LÄN</t>
        </is>
      </c>
      <c r="E7280" t="inlineStr">
        <is>
          <t>VÄNERSBORG</t>
        </is>
      </c>
      <c r="G7280" t="n">
        <v>3</v>
      </c>
      <c r="H7280" t="n">
        <v>0</v>
      </c>
      <c r="I7280" t="n">
        <v>0</v>
      </c>
      <c r="J7280" t="n">
        <v>0</v>
      </c>
      <c r="K7280" t="n">
        <v>0</v>
      </c>
      <c r="L7280" t="n">
        <v>0</v>
      </c>
      <c r="M7280" t="n">
        <v>0</v>
      </c>
      <c r="N7280" t="n">
        <v>0</v>
      </c>
      <c r="O7280" t="n">
        <v>0</v>
      </c>
      <c r="P7280" t="n">
        <v>0</v>
      </c>
      <c r="Q7280" t="n">
        <v>0</v>
      </c>
      <c r="R7280" s="2" t="inlineStr"/>
    </row>
    <row r="7281" ht="15" customHeight="1">
      <c r="A7281" t="inlineStr">
        <is>
          <t>A 56381-2023</t>
        </is>
      </c>
      <c r="B7281" s="1" t="n">
        <v>45243.39946759259</v>
      </c>
      <c r="C7281" s="1" t="n">
        <v>45952</v>
      </c>
      <c r="D7281" t="inlineStr">
        <is>
          <t>VÄSTRA GÖTALANDS LÄN</t>
        </is>
      </c>
      <c r="E7281" t="inlineStr">
        <is>
          <t>BENGTSFORS</t>
        </is>
      </c>
      <c r="G7281" t="n">
        <v>0.4</v>
      </c>
      <c r="H7281" t="n">
        <v>0</v>
      </c>
      <c r="I7281" t="n">
        <v>0</v>
      </c>
      <c r="J7281" t="n">
        <v>0</v>
      </c>
      <c r="K7281" t="n">
        <v>0</v>
      </c>
      <c r="L7281" t="n">
        <v>0</v>
      </c>
      <c r="M7281" t="n">
        <v>0</v>
      </c>
      <c r="N7281" t="n">
        <v>0</v>
      </c>
      <c r="O7281" t="n">
        <v>0</v>
      </c>
      <c r="P7281" t="n">
        <v>0</v>
      </c>
      <c r="Q7281" t="n">
        <v>0</v>
      </c>
      <c r="R7281" s="2" t="inlineStr"/>
    </row>
    <row r="7282" ht="15" customHeight="1">
      <c r="A7282" t="inlineStr">
        <is>
          <t>A 27251-2023</t>
        </is>
      </c>
      <c r="B7282" s="1" t="n">
        <v>45096</v>
      </c>
      <c r="C7282" s="1" t="n">
        <v>45952</v>
      </c>
      <c r="D7282" t="inlineStr">
        <is>
          <t>VÄSTRA GÖTALANDS LÄN</t>
        </is>
      </c>
      <c r="E7282" t="inlineStr">
        <is>
          <t>TÖREBODA</t>
        </is>
      </c>
      <c r="F7282" t="inlineStr">
        <is>
          <t>Övriga statliga verk och myndigheter</t>
        </is>
      </c>
      <c r="G7282" t="n">
        <v>1</v>
      </c>
      <c r="H7282" t="n">
        <v>0</v>
      </c>
      <c r="I7282" t="n">
        <v>0</v>
      </c>
      <c r="J7282" t="n">
        <v>0</v>
      </c>
      <c r="K7282" t="n">
        <v>0</v>
      </c>
      <c r="L7282" t="n">
        <v>0</v>
      </c>
      <c r="M7282" t="n">
        <v>0</v>
      </c>
      <c r="N7282" t="n">
        <v>0</v>
      </c>
      <c r="O7282" t="n">
        <v>0</v>
      </c>
      <c r="P7282" t="n">
        <v>0</v>
      </c>
      <c r="Q7282" t="n">
        <v>0</v>
      </c>
      <c r="R7282" s="2" t="inlineStr"/>
    </row>
    <row r="7283" ht="15" customHeight="1">
      <c r="A7283" t="inlineStr">
        <is>
          <t>A 13901-2025</t>
        </is>
      </c>
      <c r="B7283" s="1" t="n">
        <v>45737</v>
      </c>
      <c r="C7283" s="1" t="n">
        <v>45952</v>
      </c>
      <c r="D7283" t="inlineStr">
        <is>
          <t>VÄSTRA GÖTALANDS LÄN</t>
        </is>
      </c>
      <c r="E7283" t="inlineStr">
        <is>
          <t>SKÖVDE</t>
        </is>
      </c>
      <c r="G7283" t="n">
        <v>1.4</v>
      </c>
      <c r="H7283" t="n">
        <v>0</v>
      </c>
      <c r="I7283" t="n">
        <v>0</v>
      </c>
      <c r="J7283" t="n">
        <v>0</v>
      </c>
      <c r="K7283" t="n">
        <v>0</v>
      </c>
      <c r="L7283" t="n">
        <v>0</v>
      </c>
      <c r="M7283" t="n">
        <v>0</v>
      </c>
      <c r="N7283" t="n">
        <v>0</v>
      </c>
      <c r="O7283" t="n">
        <v>0</v>
      </c>
      <c r="P7283" t="n">
        <v>0</v>
      </c>
      <c r="Q7283" t="n">
        <v>0</v>
      </c>
      <c r="R7283" s="2" t="inlineStr"/>
    </row>
    <row r="7284" ht="15" customHeight="1">
      <c r="A7284" t="inlineStr">
        <is>
          <t>A 15695-2025</t>
        </is>
      </c>
      <c r="B7284" s="1" t="n">
        <v>45748.46914351852</v>
      </c>
      <c r="C7284" s="1" t="n">
        <v>45952</v>
      </c>
      <c r="D7284" t="inlineStr">
        <is>
          <t>VÄSTRA GÖTALANDS LÄN</t>
        </is>
      </c>
      <c r="E7284" t="inlineStr">
        <is>
          <t>STRÖMSTAD</t>
        </is>
      </c>
      <c r="G7284" t="n">
        <v>0.8</v>
      </c>
      <c r="H7284" t="n">
        <v>0</v>
      </c>
      <c r="I7284" t="n">
        <v>0</v>
      </c>
      <c r="J7284" t="n">
        <v>0</v>
      </c>
      <c r="K7284" t="n">
        <v>0</v>
      </c>
      <c r="L7284" t="n">
        <v>0</v>
      </c>
      <c r="M7284" t="n">
        <v>0</v>
      </c>
      <c r="N7284" t="n">
        <v>0</v>
      </c>
      <c r="O7284" t="n">
        <v>0</v>
      </c>
      <c r="P7284" t="n">
        <v>0</v>
      </c>
      <c r="Q7284" t="n">
        <v>0</v>
      </c>
      <c r="R7284" s="2" t="inlineStr"/>
    </row>
    <row r="7285" ht="15" customHeight="1">
      <c r="A7285" t="inlineStr">
        <is>
          <t>A 15696-2025</t>
        </is>
      </c>
      <c r="B7285" s="1" t="n">
        <v>45748.46936342592</v>
      </c>
      <c r="C7285" s="1" t="n">
        <v>45952</v>
      </c>
      <c r="D7285" t="inlineStr">
        <is>
          <t>VÄSTRA GÖTALANDS LÄN</t>
        </is>
      </c>
      <c r="E7285" t="inlineStr">
        <is>
          <t>GÖTENE</t>
        </is>
      </c>
      <c r="G7285" t="n">
        <v>1.1</v>
      </c>
      <c r="H7285" t="n">
        <v>0</v>
      </c>
      <c r="I7285" t="n">
        <v>0</v>
      </c>
      <c r="J7285" t="n">
        <v>0</v>
      </c>
      <c r="K7285" t="n">
        <v>0</v>
      </c>
      <c r="L7285" t="n">
        <v>0</v>
      </c>
      <c r="M7285" t="n">
        <v>0</v>
      </c>
      <c r="N7285" t="n">
        <v>0</v>
      </c>
      <c r="O7285" t="n">
        <v>0</v>
      </c>
      <c r="P7285" t="n">
        <v>0</v>
      </c>
      <c r="Q7285" t="n">
        <v>0</v>
      </c>
      <c r="R7285" s="2" t="inlineStr"/>
    </row>
    <row r="7286" ht="15" customHeight="1">
      <c r="A7286" t="inlineStr">
        <is>
          <t>A 38875-2024</t>
        </is>
      </c>
      <c r="B7286" s="1" t="n">
        <v>45547.64564814815</v>
      </c>
      <c r="C7286" s="1" t="n">
        <v>45952</v>
      </c>
      <c r="D7286" t="inlineStr">
        <is>
          <t>VÄSTRA GÖTALANDS LÄN</t>
        </is>
      </c>
      <c r="E7286" t="inlineStr">
        <is>
          <t>TIDAHOLM</t>
        </is>
      </c>
      <c r="F7286" t="inlineStr">
        <is>
          <t>Sveaskog</t>
        </is>
      </c>
      <c r="G7286" t="n">
        <v>3.5</v>
      </c>
      <c r="H7286" t="n">
        <v>0</v>
      </c>
      <c r="I7286" t="n">
        <v>0</v>
      </c>
      <c r="J7286" t="n">
        <v>0</v>
      </c>
      <c r="K7286" t="n">
        <v>0</v>
      </c>
      <c r="L7286" t="n">
        <v>0</v>
      </c>
      <c r="M7286" t="n">
        <v>0</v>
      </c>
      <c r="N7286" t="n">
        <v>0</v>
      </c>
      <c r="O7286" t="n">
        <v>0</v>
      </c>
      <c r="P7286" t="n">
        <v>0</v>
      </c>
      <c r="Q7286" t="n">
        <v>0</v>
      </c>
      <c r="R7286" s="2" t="inlineStr"/>
    </row>
    <row r="7287" ht="15" customHeight="1">
      <c r="A7287" t="inlineStr">
        <is>
          <t>A 38903-2024</t>
        </is>
      </c>
      <c r="B7287" s="1" t="n">
        <v>45547</v>
      </c>
      <c r="C7287" s="1" t="n">
        <v>45952</v>
      </c>
      <c r="D7287" t="inlineStr">
        <is>
          <t>VÄSTRA GÖTALANDS LÄN</t>
        </is>
      </c>
      <c r="E7287" t="inlineStr">
        <is>
          <t>SKÖVDE</t>
        </is>
      </c>
      <c r="G7287" t="n">
        <v>0.9</v>
      </c>
      <c r="H7287" t="n">
        <v>0</v>
      </c>
      <c r="I7287" t="n">
        <v>0</v>
      </c>
      <c r="J7287" t="n">
        <v>0</v>
      </c>
      <c r="K7287" t="n">
        <v>0</v>
      </c>
      <c r="L7287" t="n">
        <v>0</v>
      </c>
      <c r="M7287" t="n">
        <v>0</v>
      </c>
      <c r="N7287" t="n">
        <v>0</v>
      </c>
      <c r="O7287" t="n">
        <v>0</v>
      </c>
      <c r="P7287" t="n">
        <v>0</v>
      </c>
      <c r="Q7287" t="n">
        <v>0</v>
      </c>
      <c r="R7287" s="2" t="inlineStr"/>
    </row>
    <row r="7288" ht="15" customHeight="1">
      <c r="A7288" t="inlineStr">
        <is>
          <t>A 35948-2021</t>
        </is>
      </c>
      <c r="B7288" s="1" t="n">
        <v>44388</v>
      </c>
      <c r="C7288" s="1" t="n">
        <v>45952</v>
      </c>
      <c r="D7288" t="inlineStr">
        <is>
          <t>VÄSTRA GÖTALANDS LÄN</t>
        </is>
      </c>
      <c r="E7288" t="inlineStr">
        <is>
          <t>DALS-ED</t>
        </is>
      </c>
      <c r="G7288" t="n">
        <v>2.2</v>
      </c>
      <c r="H7288" t="n">
        <v>0</v>
      </c>
      <c r="I7288" t="n">
        <v>0</v>
      </c>
      <c r="J7288" t="n">
        <v>0</v>
      </c>
      <c r="K7288" t="n">
        <v>0</v>
      </c>
      <c r="L7288" t="n">
        <v>0</v>
      </c>
      <c r="M7288" t="n">
        <v>0</v>
      </c>
      <c r="N7288" t="n">
        <v>0</v>
      </c>
      <c r="O7288" t="n">
        <v>0</v>
      </c>
      <c r="P7288" t="n">
        <v>0</v>
      </c>
      <c r="Q7288" t="n">
        <v>0</v>
      </c>
      <c r="R7288" s="2" t="inlineStr"/>
    </row>
    <row r="7289" ht="15" customHeight="1">
      <c r="A7289" t="inlineStr">
        <is>
          <t>A 50451-2024</t>
        </is>
      </c>
      <c r="B7289" s="1" t="n">
        <v>45601.44248842593</v>
      </c>
      <c r="C7289" s="1" t="n">
        <v>45952</v>
      </c>
      <c r="D7289" t="inlineStr">
        <is>
          <t>VÄSTRA GÖTALANDS LÄN</t>
        </is>
      </c>
      <c r="E7289" t="inlineStr">
        <is>
          <t>ALE</t>
        </is>
      </c>
      <c r="G7289" t="n">
        <v>2.9</v>
      </c>
      <c r="H7289" t="n">
        <v>0</v>
      </c>
      <c r="I7289" t="n">
        <v>0</v>
      </c>
      <c r="J7289" t="n">
        <v>0</v>
      </c>
      <c r="K7289" t="n">
        <v>0</v>
      </c>
      <c r="L7289" t="n">
        <v>0</v>
      </c>
      <c r="M7289" t="n">
        <v>0</v>
      </c>
      <c r="N7289" t="n">
        <v>0</v>
      </c>
      <c r="O7289" t="n">
        <v>0</v>
      </c>
      <c r="P7289" t="n">
        <v>0</v>
      </c>
      <c r="Q7289" t="n">
        <v>0</v>
      </c>
      <c r="R7289" s="2" t="inlineStr"/>
    </row>
    <row r="7290" ht="15" customHeight="1">
      <c r="A7290" t="inlineStr">
        <is>
          <t>A 58914-2021</t>
        </is>
      </c>
      <c r="B7290" s="1" t="n">
        <v>44489.71137731482</v>
      </c>
      <c r="C7290" s="1" t="n">
        <v>45952</v>
      </c>
      <c r="D7290" t="inlineStr">
        <is>
          <t>VÄSTRA GÖTALANDS LÄN</t>
        </is>
      </c>
      <c r="E7290" t="inlineStr">
        <is>
          <t>GRÄSTORP</t>
        </is>
      </c>
      <c r="G7290" t="n">
        <v>0.9</v>
      </c>
      <c r="H7290" t="n">
        <v>0</v>
      </c>
      <c r="I7290" t="n">
        <v>0</v>
      </c>
      <c r="J7290" t="n">
        <v>0</v>
      </c>
      <c r="K7290" t="n">
        <v>0</v>
      </c>
      <c r="L7290" t="n">
        <v>0</v>
      </c>
      <c r="M7290" t="n">
        <v>0</v>
      </c>
      <c r="N7290" t="n">
        <v>0</v>
      </c>
      <c r="O7290" t="n">
        <v>0</v>
      </c>
      <c r="P7290" t="n">
        <v>0</v>
      </c>
      <c r="Q7290" t="n">
        <v>0</v>
      </c>
      <c r="R7290" s="2" t="inlineStr"/>
    </row>
    <row r="7291" ht="15" customHeight="1">
      <c r="A7291" t="inlineStr">
        <is>
          <t>A 22715-2023</t>
        </is>
      </c>
      <c r="B7291" s="1" t="n">
        <v>45071</v>
      </c>
      <c r="C7291" s="1" t="n">
        <v>45952</v>
      </c>
      <c r="D7291" t="inlineStr">
        <is>
          <t>VÄSTRA GÖTALANDS LÄN</t>
        </is>
      </c>
      <c r="E7291" t="inlineStr">
        <is>
          <t>ULRICEHAMN</t>
        </is>
      </c>
      <c r="G7291" t="n">
        <v>7.4</v>
      </c>
      <c r="H7291" t="n">
        <v>0</v>
      </c>
      <c r="I7291" t="n">
        <v>0</v>
      </c>
      <c r="J7291" t="n">
        <v>0</v>
      </c>
      <c r="K7291" t="n">
        <v>0</v>
      </c>
      <c r="L7291" t="n">
        <v>0</v>
      </c>
      <c r="M7291" t="n">
        <v>0</v>
      </c>
      <c r="N7291" t="n">
        <v>0</v>
      </c>
      <c r="O7291" t="n">
        <v>0</v>
      </c>
      <c r="P7291" t="n">
        <v>0</v>
      </c>
      <c r="Q7291" t="n">
        <v>0</v>
      </c>
      <c r="R7291" s="2" t="inlineStr"/>
    </row>
    <row r="7292" ht="15" customHeight="1">
      <c r="A7292" t="inlineStr">
        <is>
          <t>A 22721-2023</t>
        </is>
      </c>
      <c r="B7292" s="1" t="n">
        <v>45071.83787037037</v>
      </c>
      <c r="C7292" s="1" t="n">
        <v>45952</v>
      </c>
      <c r="D7292" t="inlineStr">
        <is>
          <t>VÄSTRA GÖTALANDS LÄN</t>
        </is>
      </c>
      <c r="E7292" t="inlineStr">
        <is>
          <t>FÄRGELANDA</t>
        </is>
      </c>
      <c r="G7292" t="n">
        <v>1.5</v>
      </c>
      <c r="H7292" t="n">
        <v>0</v>
      </c>
      <c r="I7292" t="n">
        <v>0</v>
      </c>
      <c r="J7292" t="n">
        <v>0</v>
      </c>
      <c r="K7292" t="n">
        <v>0</v>
      </c>
      <c r="L7292" t="n">
        <v>0</v>
      </c>
      <c r="M7292" t="n">
        <v>0</v>
      </c>
      <c r="N7292" t="n">
        <v>0</v>
      </c>
      <c r="O7292" t="n">
        <v>0</v>
      </c>
      <c r="P7292" t="n">
        <v>0</v>
      </c>
      <c r="Q7292" t="n">
        <v>0</v>
      </c>
      <c r="R7292" s="2" t="inlineStr"/>
    </row>
    <row r="7293" ht="15" customHeight="1">
      <c r="A7293" t="inlineStr">
        <is>
          <t>A 62650-2023</t>
        </is>
      </c>
      <c r="B7293" s="1" t="n">
        <v>45271</v>
      </c>
      <c r="C7293" s="1" t="n">
        <v>45952</v>
      </c>
      <c r="D7293" t="inlineStr">
        <is>
          <t>VÄSTRA GÖTALANDS LÄN</t>
        </is>
      </c>
      <c r="E7293" t="inlineStr">
        <is>
          <t>ULRICEHAMN</t>
        </is>
      </c>
      <c r="F7293" t="inlineStr">
        <is>
          <t>Kyrkan</t>
        </is>
      </c>
      <c r="G7293" t="n">
        <v>4.2</v>
      </c>
      <c r="H7293" t="n">
        <v>0</v>
      </c>
      <c r="I7293" t="n">
        <v>0</v>
      </c>
      <c r="J7293" t="n">
        <v>0</v>
      </c>
      <c r="K7293" t="n">
        <v>0</v>
      </c>
      <c r="L7293" t="n">
        <v>0</v>
      </c>
      <c r="M7293" t="n">
        <v>0</v>
      </c>
      <c r="N7293" t="n">
        <v>0</v>
      </c>
      <c r="O7293" t="n">
        <v>0</v>
      </c>
      <c r="P7293" t="n">
        <v>0</v>
      </c>
      <c r="Q7293" t="n">
        <v>0</v>
      </c>
      <c r="R7293" s="2" t="inlineStr"/>
    </row>
    <row r="7294" ht="15" customHeight="1">
      <c r="A7294" t="inlineStr">
        <is>
          <t>A 62656-2023</t>
        </is>
      </c>
      <c r="B7294" s="1" t="n">
        <v>45271.44229166667</v>
      </c>
      <c r="C7294" s="1" t="n">
        <v>45952</v>
      </c>
      <c r="D7294" t="inlineStr">
        <is>
          <t>VÄSTRA GÖTALANDS LÄN</t>
        </is>
      </c>
      <c r="E7294" t="inlineStr">
        <is>
          <t>MARIESTAD</t>
        </is>
      </c>
      <c r="G7294" t="n">
        <v>0.5</v>
      </c>
      <c r="H7294" t="n">
        <v>0</v>
      </c>
      <c r="I7294" t="n">
        <v>0</v>
      </c>
      <c r="J7294" t="n">
        <v>0</v>
      </c>
      <c r="K7294" t="n">
        <v>0</v>
      </c>
      <c r="L7294" t="n">
        <v>0</v>
      </c>
      <c r="M7294" t="n">
        <v>0</v>
      </c>
      <c r="N7294" t="n">
        <v>0</v>
      </c>
      <c r="O7294" t="n">
        <v>0</v>
      </c>
      <c r="P7294" t="n">
        <v>0</v>
      </c>
      <c r="Q7294" t="n">
        <v>0</v>
      </c>
      <c r="R7294" s="2" t="inlineStr"/>
    </row>
    <row r="7295" ht="15" customHeight="1">
      <c r="A7295" t="inlineStr">
        <is>
          <t>A 17927-2024</t>
        </is>
      </c>
      <c r="B7295" s="1" t="n">
        <v>45419.60194444445</v>
      </c>
      <c r="C7295" s="1" t="n">
        <v>45952</v>
      </c>
      <c r="D7295" t="inlineStr">
        <is>
          <t>VÄSTRA GÖTALANDS LÄN</t>
        </is>
      </c>
      <c r="E7295" t="inlineStr">
        <is>
          <t>MARK</t>
        </is>
      </c>
      <c r="G7295" t="n">
        <v>0.6</v>
      </c>
      <c r="H7295" t="n">
        <v>0</v>
      </c>
      <c r="I7295" t="n">
        <v>0</v>
      </c>
      <c r="J7295" t="n">
        <v>0</v>
      </c>
      <c r="K7295" t="n">
        <v>0</v>
      </c>
      <c r="L7295" t="n">
        <v>0</v>
      </c>
      <c r="M7295" t="n">
        <v>0</v>
      </c>
      <c r="N7295" t="n">
        <v>0</v>
      </c>
      <c r="O7295" t="n">
        <v>0</v>
      </c>
      <c r="P7295" t="n">
        <v>0</v>
      </c>
      <c r="Q7295" t="n">
        <v>0</v>
      </c>
      <c r="R7295" s="2" t="inlineStr"/>
    </row>
    <row r="7296" ht="15" customHeight="1">
      <c r="A7296" t="inlineStr">
        <is>
          <t>A 62718-2023</t>
        </is>
      </c>
      <c r="B7296" s="1" t="n">
        <v>45268</v>
      </c>
      <c r="C7296" s="1" t="n">
        <v>45952</v>
      </c>
      <c r="D7296" t="inlineStr">
        <is>
          <t>VÄSTRA GÖTALANDS LÄN</t>
        </is>
      </c>
      <c r="E7296" t="inlineStr">
        <is>
          <t>MARIESTAD</t>
        </is>
      </c>
      <c r="G7296" t="n">
        <v>6.6</v>
      </c>
      <c r="H7296" t="n">
        <v>0</v>
      </c>
      <c r="I7296" t="n">
        <v>0</v>
      </c>
      <c r="J7296" t="n">
        <v>0</v>
      </c>
      <c r="K7296" t="n">
        <v>0</v>
      </c>
      <c r="L7296" t="n">
        <v>0</v>
      </c>
      <c r="M7296" t="n">
        <v>0</v>
      </c>
      <c r="N7296" t="n">
        <v>0</v>
      </c>
      <c r="O7296" t="n">
        <v>0</v>
      </c>
      <c r="P7296" t="n">
        <v>0</v>
      </c>
      <c r="Q7296" t="n">
        <v>0</v>
      </c>
      <c r="R7296" s="2" t="inlineStr"/>
    </row>
    <row r="7297" ht="15" customHeight="1">
      <c r="A7297" t="inlineStr">
        <is>
          <t>A 18701-2025</t>
        </is>
      </c>
      <c r="B7297" s="1" t="n">
        <v>45763.63100694444</v>
      </c>
      <c r="C7297" s="1" t="n">
        <v>45952</v>
      </c>
      <c r="D7297" t="inlineStr">
        <is>
          <t>VÄSTRA GÖTALANDS LÄN</t>
        </is>
      </c>
      <c r="E7297" t="inlineStr">
        <is>
          <t>MARK</t>
        </is>
      </c>
      <c r="G7297" t="n">
        <v>5.1</v>
      </c>
      <c r="H7297" t="n">
        <v>0</v>
      </c>
      <c r="I7297" t="n">
        <v>0</v>
      </c>
      <c r="J7297" t="n">
        <v>0</v>
      </c>
      <c r="K7297" t="n">
        <v>0</v>
      </c>
      <c r="L7297" t="n">
        <v>0</v>
      </c>
      <c r="M7297" t="n">
        <v>0</v>
      </c>
      <c r="N7297" t="n">
        <v>0</v>
      </c>
      <c r="O7297" t="n">
        <v>0</v>
      </c>
      <c r="P7297" t="n">
        <v>0</v>
      </c>
      <c r="Q7297" t="n">
        <v>0</v>
      </c>
      <c r="R7297" s="2" t="inlineStr"/>
    </row>
    <row r="7298" ht="15" customHeight="1">
      <c r="A7298" t="inlineStr">
        <is>
          <t>A 48426-2022</t>
        </is>
      </c>
      <c r="B7298" s="1" t="n">
        <v>44858.6446412037</v>
      </c>
      <c r="C7298" s="1" t="n">
        <v>45952</v>
      </c>
      <c r="D7298" t="inlineStr">
        <is>
          <t>VÄSTRA GÖTALANDS LÄN</t>
        </is>
      </c>
      <c r="E7298" t="inlineStr">
        <is>
          <t>ÅMÅL</t>
        </is>
      </c>
      <c r="G7298" t="n">
        <v>1.3</v>
      </c>
      <c r="H7298" t="n">
        <v>0</v>
      </c>
      <c r="I7298" t="n">
        <v>0</v>
      </c>
      <c r="J7298" t="n">
        <v>0</v>
      </c>
      <c r="K7298" t="n">
        <v>0</v>
      </c>
      <c r="L7298" t="n">
        <v>0</v>
      </c>
      <c r="M7298" t="n">
        <v>0</v>
      </c>
      <c r="N7298" t="n">
        <v>0</v>
      </c>
      <c r="O7298" t="n">
        <v>0</v>
      </c>
      <c r="P7298" t="n">
        <v>0</v>
      </c>
      <c r="Q7298" t="n">
        <v>0</v>
      </c>
      <c r="R7298" s="2" t="inlineStr"/>
    </row>
    <row r="7299" ht="15" customHeight="1">
      <c r="A7299" t="inlineStr">
        <is>
          <t>A 10457-2025</t>
        </is>
      </c>
      <c r="B7299" s="1" t="n">
        <v>45720</v>
      </c>
      <c r="C7299" s="1" t="n">
        <v>45952</v>
      </c>
      <c r="D7299" t="inlineStr">
        <is>
          <t>VÄSTRA GÖTALANDS LÄN</t>
        </is>
      </c>
      <c r="E7299" t="inlineStr">
        <is>
          <t>MARIESTAD</t>
        </is>
      </c>
      <c r="G7299" t="n">
        <v>0.5</v>
      </c>
      <c r="H7299" t="n">
        <v>0</v>
      </c>
      <c r="I7299" t="n">
        <v>0</v>
      </c>
      <c r="J7299" t="n">
        <v>0</v>
      </c>
      <c r="K7299" t="n">
        <v>0</v>
      </c>
      <c r="L7299" t="n">
        <v>0</v>
      </c>
      <c r="M7299" t="n">
        <v>0</v>
      </c>
      <c r="N7299" t="n">
        <v>0</v>
      </c>
      <c r="O7299" t="n">
        <v>0</v>
      </c>
      <c r="P7299" t="n">
        <v>0</v>
      </c>
      <c r="Q7299" t="n">
        <v>0</v>
      </c>
      <c r="R7299" s="2" t="inlineStr"/>
    </row>
    <row r="7300" ht="15" customHeight="1">
      <c r="A7300" t="inlineStr">
        <is>
          <t>A 46732-2023</t>
        </is>
      </c>
      <c r="B7300" s="1" t="n">
        <v>45198.59054398148</v>
      </c>
      <c r="C7300" s="1" t="n">
        <v>45952</v>
      </c>
      <c r="D7300" t="inlineStr">
        <is>
          <t>VÄSTRA GÖTALANDS LÄN</t>
        </is>
      </c>
      <c r="E7300" t="inlineStr">
        <is>
          <t>VÅRGÅRDA</t>
        </is>
      </c>
      <c r="F7300" t="inlineStr">
        <is>
          <t>Kyrkan</t>
        </is>
      </c>
      <c r="G7300" t="n">
        <v>1.8</v>
      </c>
      <c r="H7300" t="n">
        <v>0</v>
      </c>
      <c r="I7300" t="n">
        <v>0</v>
      </c>
      <c r="J7300" t="n">
        <v>0</v>
      </c>
      <c r="K7300" t="n">
        <v>0</v>
      </c>
      <c r="L7300" t="n">
        <v>0</v>
      </c>
      <c r="M7300" t="n">
        <v>0</v>
      </c>
      <c r="N7300" t="n">
        <v>0</v>
      </c>
      <c r="O7300" t="n">
        <v>0</v>
      </c>
      <c r="P7300" t="n">
        <v>0</v>
      </c>
      <c r="Q7300" t="n">
        <v>0</v>
      </c>
      <c r="R7300" s="2" t="inlineStr"/>
    </row>
    <row r="7301" ht="15" customHeight="1">
      <c r="A7301" t="inlineStr">
        <is>
          <t>A 46742-2023</t>
        </is>
      </c>
      <c r="B7301" s="1" t="n">
        <v>45198</v>
      </c>
      <c r="C7301" s="1" t="n">
        <v>45952</v>
      </c>
      <c r="D7301" t="inlineStr">
        <is>
          <t>VÄSTRA GÖTALANDS LÄN</t>
        </is>
      </c>
      <c r="E7301" t="inlineStr">
        <is>
          <t>BENGTSFORS</t>
        </is>
      </c>
      <c r="G7301" t="n">
        <v>2.6</v>
      </c>
      <c r="H7301" t="n">
        <v>0</v>
      </c>
      <c r="I7301" t="n">
        <v>0</v>
      </c>
      <c r="J7301" t="n">
        <v>0</v>
      </c>
      <c r="K7301" t="n">
        <v>0</v>
      </c>
      <c r="L7301" t="n">
        <v>0</v>
      </c>
      <c r="M7301" t="n">
        <v>0</v>
      </c>
      <c r="N7301" t="n">
        <v>0</v>
      </c>
      <c r="O7301" t="n">
        <v>0</v>
      </c>
      <c r="P7301" t="n">
        <v>0</v>
      </c>
      <c r="Q7301" t="n">
        <v>0</v>
      </c>
      <c r="R7301" s="2" t="inlineStr"/>
    </row>
    <row r="7302" ht="15" customHeight="1">
      <c r="A7302" t="inlineStr">
        <is>
          <t>A 23330-2024</t>
        </is>
      </c>
      <c r="B7302" s="1" t="n">
        <v>45453.46866898148</v>
      </c>
      <c r="C7302" s="1" t="n">
        <v>45952</v>
      </c>
      <c r="D7302" t="inlineStr">
        <is>
          <t>VÄSTRA GÖTALANDS LÄN</t>
        </is>
      </c>
      <c r="E7302" t="inlineStr">
        <is>
          <t>BOLLEBYGD</t>
        </is>
      </c>
      <c r="F7302" t="inlineStr">
        <is>
          <t>Sveaskog</t>
        </is>
      </c>
      <c r="G7302" t="n">
        <v>0.6</v>
      </c>
      <c r="H7302" t="n">
        <v>0</v>
      </c>
      <c r="I7302" t="n">
        <v>0</v>
      </c>
      <c r="J7302" t="n">
        <v>0</v>
      </c>
      <c r="K7302" t="n">
        <v>0</v>
      </c>
      <c r="L7302" t="n">
        <v>0</v>
      </c>
      <c r="M7302" t="n">
        <v>0</v>
      </c>
      <c r="N7302" t="n">
        <v>0</v>
      </c>
      <c r="O7302" t="n">
        <v>0</v>
      </c>
      <c r="P7302" t="n">
        <v>0</v>
      </c>
      <c r="Q7302" t="n">
        <v>0</v>
      </c>
      <c r="R7302" s="2" t="inlineStr"/>
    </row>
    <row r="7303" ht="15" customHeight="1">
      <c r="A7303" t="inlineStr">
        <is>
          <t>A 23334-2024</t>
        </is>
      </c>
      <c r="B7303" s="1" t="n">
        <v>45453</v>
      </c>
      <c r="C7303" s="1" t="n">
        <v>45952</v>
      </c>
      <c r="D7303" t="inlineStr">
        <is>
          <t>VÄSTRA GÖTALANDS LÄN</t>
        </is>
      </c>
      <c r="E7303" t="inlineStr">
        <is>
          <t>BORÅS</t>
        </is>
      </c>
      <c r="G7303" t="n">
        <v>0.9</v>
      </c>
      <c r="H7303" t="n">
        <v>0</v>
      </c>
      <c r="I7303" t="n">
        <v>0</v>
      </c>
      <c r="J7303" t="n">
        <v>0</v>
      </c>
      <c r="K7303" t="n">
        <v>0</v>
      </c>
      <c r="L7303" t="n">
        <v>0</v>
      </c>
      <c r="M7303" t="n">
        <v>0</v>
      </c>
      <c r="N7303" t="n">
        <v>0</v>
      </c>
      <c r="O7303" t="n">
        <v>0</v>
      </c>
      <c r="P7303" t="n">
        <v>0</v>
      </c>
      <c r="Q7303" t="n">
        <v>0</v>
      </c>
      <c r="R7303" s="2" t="inlineStr"/>
    </row>
    <row r="7304" ht="15" customHeight="1">
      <c r="A7304" t="inlineStr">
        <is>
          <t>A 33950-2023</t>
        </is>
      </c>
      <c r="B7304" s="1" t="n">
        <v>45134</v>
      </c>
      <c r="C7304" s="1" t="n">
        <v>45952</v>
      </c>
      <c r="D7304" t="inlineStr">
        <is>
          <t>VÄSTRA GÖTALANDS LÄN</t>
        </is>
      </c>
      <c r="E7304" t="inlineStr">
        <is>
          <t>STENUNGSUND</t>
        </is>
      </c>
      <c r="G7304" t="n">
        <v>1.7</v>
      </c>
      <c r="H7304" t="n">
        <v>0</v>
      </c>
      <c r="I7304" t="n">
        <v>0</v>
      </c>
      <c r="J7304" t="n">
        <v>0</v>
      </c>
      <c r="K7304" t="n">
        <v>0</v>
      </c>
      <c r="L7304" t="n">
        <v>0</v>
      </c>
      <c r="M7304" t="n">
        <v>0</v>
      </c>
      <c r="N7304" t="n">
        <v>0</v>
      </c>
      <c r="O7304" t="n">
        <v>0</v>
      </c>
      <c r="P7304" t="n">
        <v>0</v>
      </c>
      <c r="Q7304" t="n">
        <v>0</v>
      </c>
      <c r="R7304" s="2" t="inlineStr"/>
    </row>
    <row r="7305" ht="15" customHeight="1">
      <c r="A7305" t="inlineStr">
        <is>
          <t>A 5328-2025</t>
        </is>
      </c>
      <c r="B7305" s="1" t="n">
        <v>45692.53454861111</v>
      </c>
      <c r="C7305" s="1" t="n">
        <v>45952</v>
      </c>
      <c r="D7305" t="inlineStr">
        <is>
          <t>VÄSTRA GÖTALANDS LÄN</t>
        </is>
      </c>
      <c r="E7305" t="inlineStr">
        <is>
          <t>LILLA EDET</t>
        </is>
      </c>
      <c r="G7305" t="n">
        <v>1.1</v>
      </c>
      <c r="H7305" t="n">
        <v>0</v>
      </c>
      <c r="I7305" t="n">
        <v>0</v>
      </c>
      <c r="J7305" t="n">
        <v>0</v>
      </c>
      <c r="K7305" t="n">
        <v>0</v>
      </c>
      <c r="L7305" t="n">
        <v>0</v>
      </c>
      <c r="M7305" t="n">
        <v>0</v>
      </c>
      <c r="N7305" t="n">
        <v>0</v>
      </c>
      <c r="O7305" t="n">
        <v>0</v>
      </c>
      <c r="P7305" t="n">
        <v>0</v>
      </c>
      <c r="Q7305" t="n">
        <v>0</v>
      </c>
      <c r="R7305" s="2" t="inlineStr"/>
    </row>
    <row r="7306" ht="15" customHeight="1">
      <c r="A7306" t="inlineStr">
        <is>
          <t>A 8918-2023</t>
        </is>
      </c>
      <c r="B7306" s="1" t="n">
        <v>44973</v>
      </c>
      <c r="C7306" s="1" t="n">
        <v>45952</v>
      </c>
      <c r="D7306" t="inlineStr">
        <is>
          <t>VÄSTRA GÖTALANDS LÄN</t>
        </is>
      </c>
      <c r="E7306" t="inlineStr">
        <is>
          <t>MARK</t>
        </is>
      </c>
      <c r="G7306" t="n">
        <v>0.4</v>
      </c>
      <c r="H7306" t="n">
        <v>0</v>
      </c>
      <c r="I7306" t="n">
        <v>0</v>
      </c>
      <c r="J7306" t="n">
        <v>0</v>
      </c>
      <c r="K7306" t="n">
        <v>0</v>
      </c>
      <c r="L7306" t="n">
        <v>0</v>
      </c>
      <c r="M7306" t="n">
        <v>0</v>
      </c>
      <c r="N7306" t="n">
        <v>0</v>
      </c>
      <c r="O7306" t="n">
        <v>0</v>
      </c>
      <c r="P7306" t="n">
        <v>0</v>
      </c>
      <c r="Q7306" t="n">
        <v>0</v>
      </c>
      <c r="R7306" s="2" t="inlineStr"/>
    </row>
    <row r="7307" ht="15" customHeight="1">
      <c r="A7307" t="inlineStr">
        <is>
          <t>A 32757-2024</t>
        </is>
      </c>
      <c r="B7307" s="1" t="n">
        <v>45516.4722800926</v>
      </c>
      <c r="C7307" s="1" t="n">
        <v>45952</v>
      </c>
      <c r="D7307" t="inlineStr">
        <is>
          <t>VÄSTRA GÖTALANDS LÄN</t>
        </is>
      </c>
      <c r="E7307" t="inlineStr">
        <is>
          <t>TANUM</t>
        </is>
      </c>
      <c r="G7307" t="n">
        <v>1.3</v>
      </c>
      <c r="H7307" t="n">
        <v>0</v>
      </c>
      <c r="I7307" t="n">
        <v>0</v>
      </c>
      <c r="J7307" t="n">
        <v>0</v>
      </c>
      <c r="K7307" t="n">
        <v>0</v>
      </c>
      <c r="L7307" t="n">
        <v>0</v>
      </c>
      <c r="M7307" t="n">
        <v>0</v>
      </c>
      <c r="N7307" t="n">
        <v>0</v>
      </c>
      <c r="O7307" t="n">
        <v>0</v>
      </c>
      <c r="P7307" t="n">
        <v>0</v>
      </c>
      <c r="Q7307" t="n">
        <v>0</v>
      </c>
      <c r="R7307" s="2" t="inlineStr"/>
    </row>
    <row r="7308" ht="15" customHeight="1">
      <c r="A7308" t="inlineStr">
        <is>
          <t>A 3657-2024</t>
        </is>
      </c>
      <c r="B7308" s="1" t="n">
        <v>45321.3408449074</v>
      </c>
      <c r="C7308" s="1" t="n">
        <v>45952</v>
      </c>
      <c r="D7308" t="inlineStr">
        <is>
          <t>VÄSTRA GÖTALANDS LÄN</t>
        </is>
      </c>
      <c r="E7308" t="inlineStr">
        <is>
          <t>FÄRGELANDA</t>
        </is>
      </c>
      <c r="G7308" t="n">
        <v>1.3</v>
      </c>
      <c r="H7308" t="n">
        <v>0</v>
      </c>
      <c r="I7308" t="n">
        <v>0</v>
      </c>
      <c r="J7308" t="n">
        <v>0</v>
      </c>
      <c r="K7308" t="n">
        <v>0</v>
      </c>
      <c r="L7308" t="n">
        <v>0</v>
      </c>
      <c r="M7308" t="n">
        <v>0</v>
      </c>
      <c r="N7308" t="n">
        <v>0</v>
      </c>
      <c r="O7308" t="n">
        <v>0</v>
      </c>
      <c r="P7308" t="n">
        <v>0</v>
      </c>
      <c r="Q7308" t="n">
        <v>0</v>
      </c>
      <c r="R7308" s="2" t="inlineStr"/>
    </row>
    <row r="7309" ht="15" customHeight="1">
      <c r="A7309" t="inlineStr">
        <is>
          <t>A 3703-2024</t>
        </is>
      </c>
      <c r="B7309" s="1" t="n">
        <v>45321</v>
      </c>
      <c r="C7309" s="1" t="n">
        <v>45952</v>
      </c>
      <c r="D7309" t="inlineStr">
        <is>
          <t>VÄSTRA GÖTALANDS LÄN</t>
        </is>
      </c>
      <c r="E7309" t="inlineStr">
        <is>
          <t>BORÅS</t>
        </is>
      </c>
      <c r="F7309" t="inlineStr">
        <is>
          <t>Kommuner</t>
        </is>
      </c>
      <c r="G7309" t="n">
        <v>5.2</v>
      </c>
      <c r="H7309" t="n">
        <v>0</v>
      </c>
      <c r="I7309" t="n">
        <v>0</v>
      </c>
      <c r="J7309" t="n">
        <v>0</v>
      </c>
      <c r="K7309" t="n">
        <v>0</v>
      </c>
      <c r="L7309" t="n">
        <v>0</v>
      </c>
      <c r="M7309" t="n">
        <v>0</v>
      </c>
      <c r="N7309" t="n">
        <v>0</v>
      </c>
      <c r="O7309" t="n">
        <v>0</v>
      </c>
      <c r="P7309" t="n">
        <v>0</v>
      </c>
      <c r="Q7309" t="n">
        <v>0</v>
      </c>
      <c r="R7309" s="2" t="inlineStr"/>
    </row>
    <row r="7310" ht="15" customHeight="1">
      <c r="A7310" t="inlineStr">
        <is>
          <t>A 10444-2022</t>
        </is>
      </c>
      <c r="B7310" s="1" t="n">
        <v>44623</v>
      </c>
      <c r="C7310" s="1" t="n">
        <v>45952</v>
      </c>
      <c r="D7310" t="inlineStr">
        <is>
          <t>VÄSTRA GÖTALANDS LÄN</t>
        </is>
      </c>
      <c r="E7310" t="inlineStr">
        <is>
          <t>VÄNERSBORG</t>
        </is>
      </c>
      <c r="G7310" t="n">
        <v>4.2</v>
      </c>
      <c r="H7310" t="n">
        <v>0</v>
      </c>
      <c r="I7310" t="n">
        <v>0</v>
      </c>
      <c r="J7310" t="n">
        <v>0</v>
      </c>
      <c r="K7310" t="n">
        <v>0</v>
      </c>
      <c r="L7310" t="n">
        <v>0</v>
      </c>
      <c r="M7310" t="n">
        <v>0</v>
      </c>
      <c r="N7310" t="n">
        <v>0</v>
      </c>
      <c r="O7310" t="n">
        <v>0</v>
      </c>
      <c r="P7310" t="n">
        <v>0</v>
      </c>
      <c r="Q7310" t="n">
        <v>0</v>
      </c>
      <c r="R7310" s="2" t="inlineStr"/>
    </row>
    <row r="7311" ht="15" customHeight="1">
      <c r="A7311" t="inlineStr">
        <is>
          <t>A 5386-2025</t>
        </is>
      </c>
      <c r="B7311" s="1" t="n">
        <v>45692.62754629629</v>
      </c>
      <c r="C7311" s="1" t="n">
        <v>45952</v>
      </c>
      <c r="D7311" t="inlineStr">
        <is>
          <t>VÄSTRA GÖTALANDS LÄN</t>
        </is>
      </c>
      <c r="E7311" t="inlineStr">
        <is>
          <t>SKÖVDE</t>
        </is>
      </c>
      <c r="G7311" t="n">
        <v>0.8</v>
      </c>
      <c r="H7311" t="n">
        <v>0</v>
      </c>
      <c r="I7311" t="n">
        <v>0</v>
      </c>
      <c r="J7311" t="n">
        <v>0</v>
      </c>
      <c r="K7311" t="n">
        <v>0</v>
      </c>
      <c r="L7311" t="n">
        <v>0</v>
      </c>
      <c r="M7311" t="n">
        <v>0</v>
      </c>
      <c r="N7311" t="n">
        <v>0</v>
      </c>
      <c r="O7311" t="n">
        <v>0</v>
      </c>
      <c r="P7311" t="n">
        <v>0</v>
      </c>
      <c r="Q7311" t="n">
        <v>0</v>
      </c>
      <c r="R7311" s="2" t="inlineStr"/>
    </row>
    <row r="7312" ht="15" customHeight="1">
      <c r="A7312" t="inlineStr">
        <is>
          <t>A 7111-2023</t>
        </is>
      </c>
      <c r="B7312" s="1" t="n">
        <v>44970</v>
      </c>
      <c r="C7312" s="1" t="n">
        <v>45952</v>
      </c>
      <c r="D7312" t="inlineStr">
        <is>
          <t>VÄSTRA GÖTALANDS LÄN</t>
        </is>
      </c>
      <c r="E7312" t="inlineStr">
        <is>
          <t>ULRICEHAMN</t>
        </is>
      </c>
      <c r="G7312" t="n">
        <v>2</v>
      </c>
      <c r="H7312" t="n">
        <v>0</v>
      </c>
      <c r="I7312" t="n">
        <v>0</v>
      </c>
      <c r="J7312" t="n">
        <v>0</v>
      </c>
      <c r="K7312" t="n">
        <v>0</v>
      </c>
      <c r="L7312" t="n">
        <v>0</v>
      </c>
      <c r="M7312" t="n">
        <v>0</v>
      </c>
      <c r="N7312" t="n">
        <v>0</v>
      </c>
      <c r="O7312" t="n">
        <v>0</v>
      </c>
      <c r="P7312" t="n">
        <v>0</v>
      </c>
      <c r="Q7312" t="n">
        <v>0</v>
      </c>
      <c r="R7312" s="2" t="inlineStr"/>
    </row>
    <row r="7313" ht="15" customHeight="1">
      <c r="A7313" t="inlineStr">
        <is>
          <t>A 41690-2023</t>
        </is>
      </c>
      <c r="B7313" s="1" t="n">
        <v>45176.36280092593</v>
      </c>
      <c r="C7313" s="1" t="n">
        <v>45952</v>
      </c>
      <c r="D7313" t="inlineStr">
        <is>
          <t>VÄSTRA GÖTALANDS LÄN</t>
        </is>
      </c>
      <c r="E7313" t="inlineStr">
        <is>
          <t>VARA</t>
        </is>
      </c>
      <c r="G7313" t="n">
        <v>0.8</v>
      </c>
      <c r="H7313" t="n">
        <v>0</v>
      </c>
      <c r="I7313" t="n">
        <v>0</v>
      </c>
      <c r="J7313" t="n">
        <v>0</v>
      </c>
      <c r="K7313" t="n">
        <v>0</v>
      </c>
      <c r="L7313" t="n">
        <v>0</v>
      </c>
      <c r="M7313" t="n">
        <v>0</v>
      </c>
      <c r="N7313" t="n">
        <v>0</v>
      </c>
      <c r="O7313" t="n">
        <v>0</v>
      </c>
      <c r="P7313" t="n">
        <v>0</v>
      </c>
      <c r="Q7313" t="n">
        <v>0</v>
      </c>
      <c r="R7313" s="2" t="inlineStr"/>
    </row>
    <row r="7314" ht="15" customHeight="1">
      <c r="A7314" t="inlineStr">
        <is>
          <t>A 28196-2022</t>
        </is>
      </c>
      <c r="B7314" s="1" t="n">
        <v>44746</v>
      </c>
      <c r="C7314" s="1" t="n">
        <v>45952</v>
      </c>
      <c r="D7314" t="inlineStr">
        <is>
          <t>VÄSTRA GÖTALANDS LÄN</t>
        </is>
      </c>
      <c r="E7314" t="inlineStr">
        <is>
          <t>TÖREBODA</t>
        </is>
      </c>
      <c r="G7314" t="n">
        <v>3.7</v>
      </c>
      <c r="H7314" t="n">
        <v>0</v>
      </c>
      <c r="I7314" t="n">
        <v>0</v>
      </c>
      <c r="J7314" t="n">
        <v>0</v>
      </c>
      <c r="K7314" t="n">
        <v>0</v>
      </c>
      <c r="L7314" t="n">
        <v>0</v>
      </c>
      <c r="M7314" t="n">
        <v>0</v>
      </c>
      <c r="N7314" t="n">
        <v>0</v>
      </c>
      <c r="O7314" t="n">
        <v>0</v>
      </c>
      <c r="P7314" t="n">
        <v>0</v>
      </c>
      <c r="Q7314" t="n">
        <v>0</v>
      </c>
      <c r="R7314" s="2" t="inlineStr"/>
    </row>
    <row r="7315" ht="15" customHeight="1">
      <c r="A7315" t="inlineStr">
        <is>
          <t>A 16117-2024</t>
        </is>
      </c>
      <c r="B7315" s="1" t="n">
        <v>45406.4834837963</v>
      </c>
      <c r="C7315" s="1" t="n">
        <v>45952</v>
      </c>
      <c r="D7315" t="inlineStr">
        <is>
          <t>VÄSTRA GÖTALANDS LÄN</t>
        </is>
      </c>
      <c r="E7315" t="inlineStr">
        <is>
          <t>ALINGSÅS</t>
        </is>
      </c>
      <c r="G7315" t="n">
        <v>2.9</v>
      </c>
      <c r="H7315" t="n">
        <v>0</v>
      </c>
      <c r="I7315" t="n">
        <v>0</v>
      </c>
      <c r="J7315" t="n">
        <v>0</v>
      </c>
      <c r="K7315" t="n">
        <v>0</v>
      </c>
      <c r="L7315" t="n">
        <v>0</v>
      </c>
      <c r="M7315" t="n">
        <v>0</v>
      </c>
      <c r="N7315" t="n">
        <v>0</v>
      </c>
      <c r="O7315" t="n">
        <v>0</v>
      </c>
      <c r="P7315" t="n">
        <v>0</v>
      </c>
      <c r="Q7315" t="n">
        <v>0</v>
      </c>
      <c r="R7315" s="2" t="inlineStr"/>
    </row>
    <row r="7316" ht="15" customHeight="1">
      <c r="A7316" t="inlineStr">
        <is>
          <t>A 16442-2024</t>
        </is>
      </c>
      <c r="B7316" s="1" t="n">
        <v>45407.74482638889</v>
      </c>
      <c r="C7316" s="1" t="n">
        <v>45952</v>
      </c>
      <c r="D7316" t="inlineStr">
        <is>
          <t>VÄSTRA GÖTALANDS LÄN</t>
        </is>
      </c>
      <c r="E7316" t="inlineStr">
        <is>
          <t>TRANEMO</t>
        </is>
      </c>
      <c r="G7316" t="n">
        <v>10.4</v>
      </c>
      <c r="H7316" t="n">
        <v>0</v>
      </c>
      <c r="I7316" t="n">
        <v>0</v>
      </c>
      <c r="J7316" t="n">
        <v>0</v>
      </c>
      <c r="K7316" t="n">
        <v>0</v>
      </c>
      <c r="L7316" t="n">
        <v>0</v>
      </c>
      <c r="M7316" t="n">
        <v>0</v>
      </c>
      <c r="N7316" t="n">
        <v>0</v>
      </c>
      <c r="O7316" t="n">
        <v>0</v>
      </c>
      <c r="P7316" t="n">
        <v>0</v>
      </c>
      <c r="Q7316" t="n">
        <v>0</v>
      </c>
      <c r="R7316" s="2" t="inlineStr"/>
    </row>
    <row r="7317" ht="15" customHeight="1">
      <c r="A7317" t="inlineStr">
        <is>
          <t>A 11991-2022</t>
        </is>
      </c>
      <c r="B7317" s="1" t="n">
        <v>44635.69287037037</v>
      </c>
      <c r="C7317" s="1" t="n">
        <v>45952</v>
      </c>
      <c r="D7317" t="inlineStr">
        <is>
          <t>VÄSTRA GÖTALANDS LÄN</t>
        </is>
      </c>
      <c r="E7317" t="inlineStr">
        <is>
          <t>TROLLHÄTTAN</t>
        </is>
      </c>
      <c r="G7317" t="n">
        <v>0.6</v>
      </c>
      <c r="H7317" t="n">
        <v>0</v>
      </c>
      <c r="I7317" t="n">
        <v>0</v>
      </c>
      <c r="J7317" t="n">
        <v>0</v>
      </c>
      <c r="K7317" t="n">
        <v>0</v>
      </c>
      <c r="L7317" t="n">
        <v>0</v>
      </c>
      <c r="M7317" t="n">
        <v>0</v>
      </c>
      <c r="N7317" t="n">
        <v>0</v>
      </c>
      <c r="O7317" t="n">
        <v>0</v>
      </c>
      <c r="P7317" t="n">
        <v>0</v>
      </c>
      <c r="Q7317" t="n">
        <v>0</v>
      </c>
      <c r="R7317" s="2" t="inlineStr"/>
    </row>
    <row r="7318" ht="15" customHeight="1">
      <c r="A7318" t="inlineStr">
        <is>
          <t>A 49544-2024</t>
        </is>
      </c>
      <c r="B7318" s="1" t="n">
        <v>45596.44608796296</v>
      </c>
      <c r="C7318" s="1" t="n">
        <v>45952</v>
      </c>
      <c r="D7318" t="inlineStr">
        <is>
          <t>VÄSTRA GÖTALANDS LÄN</t>
        </is>
      </c>
      <c r="E7318" t="inlineStr">
        <is>
          <t>FALKÖPING</t>
        </is>
      </c>
      <c r="G7318" t="n">
        <v>1.8</v>
      </c>
      <c r="H7318" t="n">
        <v>0</v>
      </c>
      <c r="I7318" t="n">
        <v>0</v>
      </c>
      <c r="J7318" t="n">
        <v>0</v>
      </c>
      <c r="K7318" t="n">
        <v>0</v>
      </c>
      <c r="L7318" t="n">
        <v>0</v>
      </c>
      <c r="M7318" t="n">
        <v>0</v>
      </c>
      <c r="N7318" t="n">
        <v>0</v>
      </c>
      <c r="O7318" t="n">
        <v>0</v>
      </c>
      <c r="P7318" t="n">
        <v>0</v>
      </c>
      <c r="Q7318" t="n">
        <v>0</v>
      </c>
      <c r="R7318" s="2" t="inlineStr"/>
    </row>
    <row r="7319" ht="15" customHeight="1">
      <c r="A7319" t="inlineStr">
        <is>
          <t>A 35113-2021</t>
        </is>
      </c>
      <c r="B7319" s="1" t="n">
        <v>44384.37240740741</v>
      </c>
      <c r="C7319" s="1" t="n">
        <v>45952</v>
      </c>
      <c r="D7319" t="inlineStr">
        <is>
          <t>VÄSTRA GÖTALANDS LÄN</t>
        </is>
      </c>
      <c r="E7319" t="inlineStr">
        <is>
          <t>STRÖMSTAD</t>
        </is>
      </c>
      <c r="G7319" t="n">
        <v>0.6</v>
      </c>
      <c r="H7319" t="n">
        <v>0</v>
      </c>
      <c r="I7319" t="n">
        <v>0</v>
      </c>
      <c r="J7319" t="n">
        <v>0</v>
      </c>
      <c r="K7319" t="n">
        <v>0</v>
      </c>
      <c r="L7319" t="n">
        <v>0</v>
      </c>
      <c r="M7319" t="n">
        <v>0</v>
      </c>
      <c r="N7319" t="n">
        <v>0</v>
      </c>
      <c r="O7319" t="n">
        <v>0</v>
      </c>
      <c r="P7319" t="n">
        <v>0</v>
      </c>
      <c r="Q7319" t="n">
        <v>0</v>
      </c>
      <c r="R7319" s="2" t="inlineStr"/>
    </row>
    <row r="7320" ht="15" customHeight="1">
      <c r="A7320" t="inlineStr">
        <is>
          <t>A 30491-2021</t>
        </is>
      </c>
      <c r="B7320" s="1" t="n">
        <v>44364.62407407408</v>
      </c>
      <c r="C7320" s="1" t="n">
        <v>45952</v>
      </c>
      <c r="D7320" t="inlineStr">
        <is>
          <t>VÄSTRA GÖTALANDS LÄN</t>
        </is>
      </c>
      <c r="E7320" t="inlineStr">
        <is>
          <t>MARK</t>
        </is>
      </c>
      <c r="G7320" t="n">
        <v>1</v>
      </c>
      <c r="H7320" t="n">
        <v>0</v>
      </c>
      <c r="I7320" t="n">
        <v>0</v>
      </c>
      <c r="J7320" t="n">
        <v>0</v>
      </c>
      <c r="K7320" t="n">
        <v>0</v>
      </c>
      <c r="L7320" t="n">
        <v>0</v>
      </c>
      <c r="M7320" t="n">
        <v>0</v>
      </c>
      <c r="N7320" t="n">
        <v>0</v>
      </c>
      <c r="O7320" t="n">
        <v>0</v>
      </c>
      <c r="P7320" t="n">
        <v>0</v>
      </c>
      <c r="Q7320" t="n">
        <v>0</v>
      </c>
      <c r="R7320" s="2" t="inlineStr"/>
    </row>
    <row r="7321" ht="15" customHeight="1">
      <c r="A7321" t="inlineStr">
        <is>
          <t>A 30518-2021</t>
        </is>
      </c>
      <c r="B7321" s="1" t="n">
        <v>44364</v>
      </c>
      <c r="C7321" s="1" t="n">
        <v>45952</v>
      </c>
      <c r="D7321" t="inlineStr">
        <is>
          <t>VÄSTRA GÖTALANDS LÄN</t>
        </is>
      </c>
      <c r="E7321" t="inlineStr">
        <is>
          <t>LERUM</t>
        </is>
      </c>
      <c r="G7321" t="n">
        <v>4.7</v>
      </c>
      <c r="H7321" t="n">
        <v>0</v>
      </c>
      <c r="I7321" t="n">
        <v>0</v>
      </c>
      <c r="J7321" t="n">
        <v>0</v>
      </c>
      <c r="K7321" t="n">
        <v>0</v>
      </c>
      <c r="L7321" t="n">
        <v>0</v>
      </c>
      <c r="M7321" t="n">
        <v>0</v>
      </c>
      <c r="N7321" t="n">
        <v>0</v>
      </c>
      <c r="O7321" t="n">
        <v>0</v>
      </c>
      <c r="P7321" t="n">
        <v>0</v>
      </c>
      <c r="Q7321" t="n">
        <v>0</v>
      </c>
      <c r="R7321" s="2" t="inlineStr"/>
    </row>
    <row r="7322" ht="15" customHeight="1">
      <c r="A7322" t="inlineStr">
        <is>
          <t>A 579-2024</t>
        </is>
      </c>
      <c r="B7322" s="1" t="n">
        <v>45299</v>
      </c>
      <c r="C7322" s="1" t="n">
        <v>45952</v>
      </c>
      <c r="D7322" t="inlineStr">
        <is>
          <t>VÄSTRA GÖTALANDS LÄN</t>
        </is>
      </c>
      <c r="E7322" t="inlineStr">
        <is>
          <t>VARA</t>
        </is>
      </c>
      <c r="G7322" t="n">
        <v>1.2</v>
      </c>
      <c r="H7322" t="n">
        <v>0</v>
      </c>
      <c r="I7322" t="n">
        <v>0</v>
      </c>
      <c r="J7322" t="n">
        <v>0</v>
      </c>
      <c r="K7322" t="n">
        <v>0</v>
      </c>
      <c r="L7322" t="n">
        <v>0</v>
      </c>
      <c r="M7322" t="n">
        <v>0</v>
      </c>
      <c r="N7322" t="n">
        <v>0</v>
      </c>
      <c r="O7322" t="n">
        <v>0</v>
      </c>
      <c r="P7322" t="n">
        <v>0</v>
      </c>
      <c r="Q7322" t="n">
        <v>0</v>
      </c>
      <c r="R7322" s="2" t="inlineStr"/>
    </row>
    <row r="7323" ht="15" customHeight="1">
      <c r="A7323" t="inlineStr">
        <is>
          <t>A 645-2024</t>
        </is>
      </c>
      <c r="B7323" s="1" t="n">
        <v>45299.79818287037</v>
      </c>
      <c r="C7323" s="1" t="n">
        <v>45952</v>
      </c>
      <c r="D7323" t="inlineStr">
        <is>
          <t>VÄSTRA GÖTALANDS LÄN</t>
        </is>
      </c>
      <c r="E7323" t="inlineStr">
        <is>
          <t>MARIESTAD</t>
        </is>
      </c>
      <c r="G7323" t="n">
        <v>1</v>
      </c>
      <c r="H7323" t="n">
        <v>0</v>
      </c>
      <c r="I7323" t="n">
        <v>0</v>
      </c>
      <c r="J7323" t="n">
        <v>0</v>
      </c>
      <c r="K7323" t="n">
        <v>0</v>
      </c>
      <c r="L7323" t="n">
        <v>0</v>
      </c>
      <c r="M7323" t="n">
        <v>0</v>
      </c>
      <c r="N7323" t="n">
        <v>0</v>
      </c>
      <c r="O7323" t="n">
        <v>0</v>
      </c>
      <c r="P7323" t="n">
        <v>0</v>
      </c>
      <c r="Q7323" t="n">
        <v>0</v>
      </c>
      <c r="R7323" s="2" t="inlineStr"/>
    </row>
    <row r="7324" ht="15" customHeight="1">
      <c r="A7324" t="inlineStr">
        <is>
          <t>A 42016-2023</t>
        </is>
      </c>
      <c r="B7324" s="1" t="n">
        <v>45177.47246527778</v>
      </c>
      <c r="C7324" s="1" t="n">
        <v>45952</v>
      </c>
      <c r="D7324" t="inlineStr">
        <is>
          <t>VÄSTRA GÖTALANDS LÄN</t>
        </is>
      </c>
      <c r="E7324" t="inlineStr">
        <is>
          <t>TIBRO</t>
        </is>
      </c>
      <c r="G7324" t="n">
        <v>2.1</v>
      </c>
      <c r="H7324" t="n">
        <v>0</v>
      </c>
      <c r="I7324" t="n">
        <v>0</v>
      </c>
      <c r="J7324" t="n">
        <v>0</v>
      </c>
      <c r="K7324" t="n">
        <v>0</v>
      </c>
      <c r="L7324" t="n">
        <v>0</v>
      </c>
      <c r="M7324" t="n">
        <v>0</v>
      </c>
      <c r="N7324" t="n">
        <v>0</v>
      </c>
      <c r="O7324" t="n">
        <v>0</v>
      </c>
      <c r="P7324" t="n">
        <v>0</v>
      </c>
      <c r="Q7324" t="n">
        <v>0</v>
      </c>
      <c r="R7324" s="2" t="inlineStr"/>
    </row>
    <row r="7325" ht="15" customHeight="1">
      <c r="A7325" t="inlineStr">
        <is>
          <t>A 64739-2023</t>
        </is>
      </c>
      <c r="B7325" s="1" t="n">
        <v>45281.87136574074</v>
      </c>
      <c r="C7325" s="1" t="n">
        <v>45952</v>
      </c>
      <c r="D7325" t="inlineStr">
        <is>
          <t>VÄSTRA GÖTALANDS LÄN</t>
        </is>
      </c>
      <c r="E7325" t="inlineStr">
        <is>
          <t>ULRICEHAMN</t>
        </is>
      </c>
      <c r="G7325" t="n">
        <v>1.4</v>
      </c>
      <c r="H7325" t="n">
        <v>0</v>
      </c>
      <c r="I7325" t="n">
        <v>0</v>
      </c>
      <c r="J7325" t="n">
        <v>0</v>
      </c>
      <c r="K7325" t="n">
        <v>0</v>
      </c>
      <c r="L7325" t="n">
        <v>0</v>
      </c>
      <c r="M7325" t="n">
        <v>0</v>
      </c>
      <c r="N7325" t="n">
        <v>0</v>
      </c>
      <c r="O7325" t="n">
        <v>0</v>
      </c>
      <c r="P7325" t="n">
        <v>0</v>
      </c>
      <c r="Q7325" t="n">
        <v>0</v>
      </c>
      <c r="R7325" s="2" t="inlineStr"/>
    </row>
    <row r="7326" ht="15" customHeight="1">
      <c r="A7326" t="inlineStr">
        <is>
          <t>A 48619-2023</t>
        </is>
      </c>
      <c r="B7326" s="1" t="n">
        <v>45208.56241898148</v>
      </c>
      <c r="C7326" s="1" t="n">
        <v>45952</v>
      </c>
      <c r="D7326" t="inlineStr">
        <is>
          <t>VÄSTRA GÖTALANDS LÄN</t>
        </is>
      </c>
      <c r="E7326" t="inlineStr">
        <is>
          <t>BORÅS</t>
        </is>
      </c>
      <c r="G7326" t="n">
        <v>3.4</v>
      </c>
      <c r="H7326" t="n">
        <v>0</v>
      </c>
      <c r="I7326" t="n">
        <v>0</v>
      </c>
      <c r="J7326" t="n">
        <v>0</v>
      </c>
      <c r="K7326" t="n">
        <v>0</v>
      </c>
      <c r="L7326" t="n">
        <v>0</v>
      </c>
      <c r="M7326" t="n">
        <v>0</v>
      </c>
      <c r="N7326" t="n">
        <v>0</v>
      </c>
      <c r="O7326" t="n">
        <v>0</v>
      </c>
      <c r="P7326" t="n">
        <v>0</v>
      </c>
      <c r="Q7326" t="n">
        <v>0</v>
      </c>
      <c r="R7326" s="2" t="inlineStr"/>
    </row>
    <row r="7327" ht="15" customHeight="1">
      <c r="A7327" t="inlineStr">
        <is>
          <t>A 34366-2022</t>
        </is>
      </c>
      <c r="B7327" s="1" t="n">
        <v>44792</v>
      </c>
      <c r="C7327" s="1" t="n">
        <v>45952</v>
      </c>
      <c r="D7327" t="inlineStr">
        <is>
          <t>VÄSTRA GÖTALANDS LÄN</t>
        </is>
      </c>
      <c r="E7327" t="inlineStr">
        <is>
          <t>KUNGÄLV</t>
        </is>
      </c>
      <c r="G7327" t="n">
        <v>0.5</v>
      </c>
      <c r="H7327" t="n">
        <v>0</v>
      </c>
      <c r="I7327" t="n">
        <v>0</v>
      </c>
      <c r="J7327" t="n">
        <v>0</v>
      </c>
      <c r="K7327" t="n">
        <v>0</v>
      </c>
      <c r="L7327" t="n">
        <v>0</v>
      </c>
      <c r="M7327" t="n">
        <v>0</v>
      </c>
      <c r="N7327" t="n">
        <v>0</v>
      </c>
      <c r="O7327" t="n">
        <v>0</v>
      </c>
      <c r="P7327" t="n">
        <v>0</v>
      </c>
      <c r="Q7327" t="n">
        <v>0</v>
      </c>
      <c r="R7327" s="2" t="inlineStr"/>
    </row>
    <row r="7328" ht="15" customHeight="1">
      <c r="A7328" t="inlineStr">
        <is>
          <t>A 20732-2025</t>
        </is>
      </c>
      <c r="B7328" s="1" t="n">
        <v>45776.53162037037</v>
      </c>
      <c r="C7328" s="1" t="n">
        <v>45952</v>
      </c>
      <c r="D7328" t="inlineStr">
        <is>
          <t>VÄSTRA GÖTALANDS LÄN</t>
        </is>
      </c>
      <c r="E7328" t="inlineStr">
        <is>
          <t>UDDEVALLA</t>
        </is>
      </c>
      <c r="G7328" t="n">
        <v>2.6</v>
      </c>
      <c r="H7328" t="n">
        <v>0</v>
      </c>
      <c r="I7328" t="n">
        <v>0</v>
      </c>
      <c r="J7328" t="n">
        <v>0</v>
      </c>
      <c r="K7328" t="n">
        <v>0</v>
      </c>
      <c r="L7328" t="n">
        <v>0</v>
      </c>
      <c r="M7328" t="n">
        <v>0</v>
      </c>
      <c r="N7328" t="n">
        <v>0</v>
      </c>
      <c r="O7328" t="n">
        <v>0</v>
      </c>
      <c r="P7328" t="n">
        <v>0</v>
      </c>
      <c r="Q7328" t="n">
        <v>0</v>
      </c>
      <c r="R7328" s="2" t="inlineStr"/>
    </row>
    <row r="7329" ht="15" customHeight="1">
      <c r="A7329" t="inlineStr">
        <is>
          <t>A 64799-2023</t>
        </is>
      </c>
      <c r="B7329" s="1" t="n">
        <v>45282.38482638889</v>
      </c>
      <c r="C7329" s="1" t="n">
        <v>45952</v>
      </c>
      <c r="D7329" t="inlineStr">
        <is>
          <t>VÄSTRA GÖTALANDS LÄN</t>
        </is>
      </c>
      <c r="E7329" t="inlineStr">
        <is>
          <t>TÖREBODA</t>
        </is>
      </c>
      <c r="G7329" t="n">
        <v>0.8</v>
      </c>
      <c r="H7329" t="n">
        <v>0</v>
      </c>
      <c r="I7329" t="n">
        <v>0</v>
      </c>
      <c r="J7329" t="n">
        <v>0</v>
      </c>
      <c r="K7329" t="n">
        <v>0</v>
      </c>
      <c r="L7329" t="n">
        <v>0</v>
      </c>
      <c r="M7329" t="n">
        <v>0</v>
      </c>
      <c r="N7329" t="n">
        <v>0</v>
      </c>
      <c r="O7329" t="n">
        <v>0</v>
      </c>
      <c r="P7329" t="n">
        <v>0</v>
      </c>
      <c r="Q7329" t="n">
        <v>0</v>
      </c>
      <c r="R7329" s="2" t="inlineStr"/>
    </row>
    <row r="7330" ht="15" customHeight="1">
      <c r="A7330" t="inlineStr">
        <is>
          <t>A 49115-2024</t>
        </is>
      </c>
      <c r="B7330" s="1" t="n">
        <v>45594.65954861111</v>
      </c>
      <c r="C7330" s="1" t="n">
        <v>45952</v>
      </c>
      <c r="D7330" t="inlineStr">
        <is>
          <t>VÄSTRA GÖTALANDS LÄN</t>
        </is>
      </c>
      <c r="E7330" t="inlineStr">
        <is>
          <t>ORUST</t>
        </is>
      </c>
      <c r="G7330" t="n">
        <v>0.6</v>
      </c>
      <c r="H7330" t="n">
        <v>0</v>
      </c>
      <c r="I7330" t="n">
        <v>0</v>
      </c>
      <c r="J7330" t="n">
        <v>0</v>
      </c>
      <c r="K7330" t="n">
        <v>0</v>
      </c>
      <c r="L7330" t="n">
        <v>0</v>
      </c>
      <c r="M7330" t="n">
        <v>0</v>
      </c>
      <c r="N7330" t="n">
        <v>0</v>
      </c>
      <c r="O7330" t="n">
        <v>0</v>
      </c>
      <c r="P7330" t="n">
        <v>0</v>
      </c>
      <c r="Q7330" t="n">
        <v>0</v>
      </c>
      <c r="R7330" s="2" t="inlineStr"/>
    </row>
    <row r="7331" ht="15" customHeight="1">
      <c r="A7331" t="inlineStr">
        <is>
          <t>A 49145-2024</t>
        </is>
      </c>
      <c r="B7331" s="1" t="n">
        <v>45594.72869212963</v>
      </c>
      <c r="C7331" s="1" t="n">
        <v>45952</v>
      </c>
      <c r="D7331" t="inlineStr">
        <is>
          <t>VÄSTRA GÖTALANDS LÄN</t>
        </is>
      </c>
      <c r="E7331" t="inlineStr">
        <is>
          <t>UDDEVALLA</t>
        </is>
      </c>
      <c r="G7331" t="n">
        <v>0.7</v>
      </c>
      <c r="H7331" t="n">
        <v>0</v>
      </c>
      <c r="I7331" t="n">
        <v>0</v>
      </c>
      <c r="J7331" t="n">
        <v>0</v>
      </c>
      <c r="K7331" t="n">
        <v>0</v>
      </c>
      <c r="L7331" t="n">
        <v>0</v>
      </c>
      <c r="M7331" t="n">
        <v>0</v>
      </c>
      <c r="N7331" t="n">
        <v>0</v>
      </c>
      <c r="O7331" t="n">
        <v>0</v>
      </c>
      <c r="P7331" t="n">
        <v>0</v>
      </c>
      <c r="Q7331" t="n">
        <v>0</v>
      </c>
      <c r="R7331" s="2" t="inlineStr"/>
    </row>
    <row r="7332" ht="15" customHeight="1">
      <c r="A7332" t="inlineStr">
        <is>
          <t>A 20850-2025</t>
        </is>
      </c>
      <c r="B7332" s="1" t="n">
        <v>45777.32079861111</v>
      </c>
      <c r="C7332" s="1" t="n">
        <v>45952</v>
      </c>
      <c r="D7332" t="inlineStr">
        <is>
          <t>VÄSTRA GÖTALANDS LÄN</t>
        </is>
      </c>
      <c r="E7332" t="inlineStr">
        <is>
          <t>MELLERUD</t>
        </is>
      </c>
      <c r="G7332" t="n">
        <v>1.3</v>
      </c>
      <c r="H7332" t="n">
        <v>0</v>
      </c>
      <c r="I7332" t="n">
        <v>0</v>
      </c>
      <c r="J7332" t="n">
        <v>0</v>
      </c>
      <c r="K7332" t="n">
        <v>0</v>
      </c>
      <c r="L7332" t="n">
        <v>0</v>
      </c>
      <c r="M7332" t="n">
        <v>0</v>
      </c>
      <c r="N7332" t="n">
        <v>0</v>
      </c>
      <c r="O7332" t="n">
        <v>0</v>
      </c>
      <c r="P7332" t="n">
        <v>0</v>
      </c>
      <c r="Q7332" t="n">
        <v>0</v>
      </c>
      <c r="R7332" s="2" t="inlineStr"/>
    </row>
    <row r="7333" ht="15" customHeight="1">
      <c r="A7333" t="inlineStr">
        <is>
          <t>A 61021-2022</t>
        </is>
      </c>
      <c r="B7333" s="1" t="n">
        <v>44914</v>
      </c>
      <c r="C7333" s="1" t="n">
        <v>45952</v>
      </c>
      <c r="D7333" t="inlineStr">
        <is>
          <t>VÄSTRA GÖTALANDS LÄN</t>
        </is>
      </c>
      <c r="E7333" t="inlineStr">
        <is>
          <t>GÖTENE</t>
        </is>
      </c>
      <c r="G7333" t="n">
        <v>1.8</v>
      </c>
      <c r="H7333" t="n">
        <v>0</v>
      </c>
      <c r="I7333" t="n">
        <v>0</v>
      </c>
      <c r="J7333" t="n">
        <v>0</v>
      </c>
      <c r="K7333" t="n">
        <v>0</v>
      </c>
      <c r="L7333" t="n">
        <v>0</v>
      </c>
      <c r="M7333" t="n">
        <v>0</v>
      </c>
      <c r="N7333" t="n">
        <v>0</v>
      </c>
      <c r="O7333" t="n">
        <v>0</v>
      </c>
      <c r="P7333" t="n">
        <v>0</v>
      </c>
      <c r="Q7333" t="n">
        <v>0</v>
      </c>
      <c r="R7333" s="2" t="inlineStr"/>
    </row>
    <row r="7334" ht="15" customHeight="1">
      <c r="A7334" t="inlineStr">
        <is>
          <t>A 20955-2025</t>
        </is>
      </c>
      <c r="B7334" s="1" t="n">
        <v>45777.44401620371</v>
      </c>
      <c r="C7334" s="1" t="n">
        <v>45952</v>
      </c>
      <c r="D7334" t="inlineStr">
        <is>
          <t>VÄSTRA GÖTALANDS LÄN</t>
        </is>
      </c>
      <c r="E7334" t="inlineStr">
        <is>
          <t>TROLLHÄTTAN</t>
        </is>
      </c>
      <c r="G7334" t="n">
        <v>1.2</v>
      </c>
      <c r="H7334" t="n">
        <v>0</v>
      </c>
      <c r="I7334" t="n">
        <v>0</v>
      </c>
      <c r="J7334" t="n">
        <v>0</v>
      </c>
      <c r="K7334" t="n">
        <v>0</v>
      </c>
      <c r="L7334" t="n">
        <v>0</v>
      </c>
      <c r="M7334" t="n">
        <v>0</v>
      </c>
      <c r="N7334" t="n">
        <v>0</v>
      </c>
      <c r="O7334" t="n">
        <v>0</v>
      </c>
      <c r="P7334" t="n">
        <v>0</v>
      </c>
      <c r="Q7334" t="n">
        <v>0</v>
      </c>
      <c r="R7334" s="2" t="inlineStr"/>
    </row>
    <row r="7335" ht="15" customHeight="1">
      <c r="A7335" t="inlineStr">
        <is>
          <t>A 20736-2025</t>
        </is>
      </c>
      <c r="B7335" s="1" t="n">
        <v>45776.54106481482</v>
      </c>
      <c r="C7335" s="1" t="n">
        <v>45952</v>
      </c>
      <c r="D7335" t="inlineStr">
        <is>
          <t>VÄSTRA GÖTALANDS LÄN</t>
        </is>
      </c>
      <c r="E7335" t="inlineStr">
        <is>
          <t>FÄRGELANDA</t>
        </is>
      </c>
      <c r="G7335" t="n">
        <v>2.9</v>
      </c>
      <c r="H7335" t="n">
        <v>0</v>
      </c>
      <c r="I7335" t="n">
        <v>0</v>
      </c>
      <c r="J7335" t="n">
        <v>0</v>
      </c>
      <c r="K7335" t="n">
        <v>0</v>
      </c>
      <c r="L7335" t="n">
        <v>0</v>
      </c>
      <c r="M7335" t="n">
        <v>0</v>
      </c>
      <c r="N7335" t="n">
        <v>0</v>
      </c>
      <c r="O7335" t="n">
        <v>0</v>
      </c>
      <c r="P7335" t="n">
        <v>0</v>
      </c>
      <c r="Q7335" t="n">
        <v>0</v>
      </c>
      <c r="R7335" s="2" t="inlineStr"/>
    </row>
    <row r="7336" ht="15" customHeight="1">
      <c r="A7336" t="inlineStr">
        <is>
          <t>A 20602-2025</t>
        </is>
      </c>
      <c r="B7336" s="1" t="n">
        <v>45775.79440972222</v>
      </c>
      <c r="C7336" s="1" t="n">
        <v>45952</v>
      </c>
      <c r="D7336" t="inlineStr">
        <is>
          <t>VÄSTRA GÖTALANDS LÄN</t>
        </is>
      </c>
      <c r="E7336" t="inlineStr">
        <is>
          <t>SKÖVDE</t>
        </is>
      </c>
      <c r="G7336" t="n">
        <v>0.8</v>
      </c>
      <c r="H7336" t="n">
        <v>0</v>
      </c>
      <c r="I7336" t="n">
        <v>0</v>
      </c>
      <c r="J7336" t="n">
        <v>0</v>
      </c>
      <c r="K7336" t="n">
        <v>0</v>
      </c>
      <c r="L7336" t="n">
        <v>0</v>
      </c>
      <c r="M7336" t="n">
        <v>0</v>
      </c>
      <c r="N7336" t="n">
        <v>0</v>
      </c>
      <c r="O7336" t="n">
        <v>0</v>
      </c>
      <c r="P7336" t="n">
        <v>0</v>
      </c>
      <c r="Q7336" t="n">
        <v>0</v>
      </c>
      <c r="R7336" s="2" t="inlineStr"/>
    </row>
    <row r="7337" ht="15" customHeight="1">
      <c r="A7337" t="inlineStr">
        <is>
          <t>A 26575-2024</t>
        </is>
      </c>
      <c r="B7337" s="1" t="n">
        <v>45469.65163194444</v>
      </c>
      <c r="C7337" s="1" t="n">
        <v>45952</v>
      </c>
      <c r="D7337" t="inlineStr">
        <is>
          <t>VÄSTRA GÖTALANDS LÄN</t>
        </is>
      </c>
      <c r="E7337" t="inlineStr">
        <is>
          <t>SKARA</t>
        </is>
      </c>
      <c r="G7337" t="n">
        <v>2.7</v>
      </c>
      <c r="H7337" t="n">
        <v>0</v>
      </c>
      <c r="I7337" t="n">
        <v>0</v>
      </c>
      <c r="J7337" t="n">
        <v>0</v>
      </c>
      <c r="K7337" t="n">
        <v>0</v>
      </c>
      <c r="L7337" t="n">
        <v>0</v>
      </c>
      <c r="M7337" t="n">
        <v>0</v>
      </c>
      <c r="N7337" t="n">
        <v>0</v>
      </c>
      <c r="O7337" t="n">
        <v>0</v>
      </c>
      <c r="P7337" t="n">
        <v>0</v>
      </c>
      <c r="Q7337" t="n">
        <v>0</v>
      </c>
      <c r="R7337" s="2" t="inlineStr"/>
    </row>
    <row r="7338" ht="15" customHeight="1">
      <c r="A7338" t="inlineStr">
        <is>
          <t>A 21003-2025</t>
        </is>
      </c>
      <c r="B7338" s="1" t="n">
        <v>45777.49116898148</v>
      </c>
      <c r="C7338" s="1" t="n">
        <v>45952</v>
      </c>
      <c r="D7338" t="inlineStr">
        <is>
          <t>VÄSTRA GÖTALANDS LÄN</t>
        </is>
      </c>
      <c r="E7338" t="inlineStr">
        <is>
          <t>FALKÖPING</t>
        </is>
      </c>
      <c r="G7338" t="n">
        <v>1.9</v>
      </c>
      <c r="H7338" t="n">
        <v>0</v>
      </c>
      <c r="I7338" t="n">
        <v>0</v>
      </c>
      <c r="J7338" t="n">
        <v>0</v>
      </c>
      <c r="K7338" t="n">
        <v>0</v>
      </c>
      <c r="L7338" t="n">
        <v>0</v>
      </c>
      <c r="M7338" t="n">
        <v>0</v>
      </c>
      <c r="N7338" t="n">
        <v>0</v>
      </c>
      <c r="O7338" t="n">
        <v>0</v>
      </c>
      <c r="P7338" t="n">
        <v>0</v>
      </c>
      <c r="Q7338" t="n">
        <v>0</v>
      </c>
      <c r="R7338" s="2" t="inlineStr"/>
    </row>
    <row r="7339" ht="15" customHeight="1">
      <c r="A7339" t="inlineStr">
        <is>
          <t>A 21024-2025</t>
        </is>
      </c>
      <c r="B7339" s="1" t="n">
        <v>45777.51334490741</v>
      </c>
      <c r="C7339" s="1" t="n">
        <v>45952</v>
      </c>
      <c r="D7339" t="inlineStr">
        <is>
          <t>VÄSTRA GÖTALANDS LÄN</t>
        </is>
      </c>
      <c r="E7339" t="inlineStr">
        <is>
          <t>ÅMÅL</t>
        </is>
      </c>
      <c r="G7339" t="n">
        <v>2.6</v>
      </c>
      <c r="H7339" t="n">
        <v>0</v>
      </c>
      <c r="I7339" t="n">
        <v>0</v>
      </c>
      <c r="J7339" t="n">
        <v>0</v>
      </c>
      <c r="K7339" t="n">
        <v>0</v>
      </c>
      <c r="L7339" t="n">
        <v>0</v>
      </c>
      <c r="M7339" t="n">
        <v>0</v>
      </c>
      <c r="N7339" t="n">
        <v>0</v>
      </c>
      <c r="O7339" t="n">
        <v>0</v>
      </c>
      <c r="P7339" t="n">
        <v>0</v>
      </c>
      <c r="Q7339" t="n">
        <v>0</v>
      </c>
      <c r="R7339" s="2" t="inlineStr"/>
    </row>
    <row r="7340" ht="15" customHeight="1">
      <c r="A7340" t="inlineStr">
        <is>
          <t>A 5635-2025</t>
        </is>
      </c>
      <c r="B7340" s="1" t="n">
        <v>45693.67005787037</v>
      </c>
      <c r="C7340" s="1" t="n">
        <v>45952</v>
      </c>
      <c r="D7340" t="inlineStr">
        <is>
          <t>VÄSTRA GÖTALANDS LÄN</t>
        </is>
      </c>
      <c r="E7340" t="inlineStr">
        <is>
          <t>UDDEVALLA</t>
        </is>
      </c>
      <c r="G7340" t="n">
        <v>3.8</v>
      </c>
      <c r="H7340" t="n">
        <v>0</v>
      </c>
      <c r="I7340" t="n">
        <v>0</v>
      </c>
      <c r="J7340" t="n">
        <v>0</v>
      </c>
      <c r="K7340" t="n">
        <v>0</v>
      </c>
      <c r="L7340" t="n">
        <v>0</v>
      </c>
      <c r="M7340" t="n">
        <v>0</v>
      </c>
      <c r="N7340" t="n">
        <v>0</v>
      </c>
      <c r="O7340" t="n">
        <v>0</v>
      </c>
      <c r="P7340" t="n">
        <v>0</v>
      </c>
      <c r="Q7340" t="n">
        <v>0</v>
      </c>
      <c r="R7340" s="2" t="inlineStr"/>
    </row>
    <row r="7341" ht="15" customHeight="1">
      <c r="A7341" t="inlineStr">
        <is>
          <t>A 21086-2025</t>
        </is>
      </c>
      <c r="B7341" s="1" t="n">
        <v>45777.61415509259</v>
      </c>
      <c r="C7341" s="1" t="n">
        <v>45952</v>
      </c>
      <c r="D7341" t="inlineStr">
        <is>
          <t>VÄSTRA GÖTALANDS LÄN</t>
        </is>
      </c>
      <c r="E7341" t="inlineStr">
        <is>
          <t>MUNKEDAL</t>
        </is>
      </c>
      <c r="G7341" t="n">
        <v>1</v>
      </c>
      <c r="H7341" t="n">
        <v>0</v>
      </c>
      <c r="I7341" t="n">
        <v>0</v>
      </c>
      <c r="J7341" t="n">
        <v>0</v>
      </c>
      <c r="K7341" t="n">
        <v>0</v>
      </c>
      <c r="L7341" t="n">
        <v>0</v>
      </c>
      <c r="M7341" t="n">
        <v>0</v>
      </c>
      <c r="N7341" t="n">
        <v>0</v>
      </c>
      <c r="O7341" t="n">
        <v>0</v>
      </c>
      <c r="P7341" t="n">
        <v>0</v>
      </c>
      <c r="Q7341" t="n">
        <v>0</v>
      </c>
      <c r="R7341" s="2" t="inlineStr"/>
    </row>
    <row r="7342" ht="15" customHeight="1">
      <c r="A7342" t="inlineStr">
        <is>
          <t>A 30773-2024</t>
        </is>
      </c>
      <c r="B7342" s="1" t="n">
        <v>45496.94711805556</v>
      </c>
      <c r="C7342" s="1" t="n">
        <v>45952</v>
      </c>
      <c r="D7342" t="inlineStr">
        <is>
          <t>VÄSTRA GÖTALANDS LÄN</t>
        </is>
      </c>
      <c r="E7342" t="inlineStr">
        <is>
          <t>TROLLHÄTTAN</t>
        </is>
      </c>
      <c r="G7342" t="n">
        <v>0.9</v>
      </c>
      <c r="H7342" t="n">
        <v>0</v>
      </c>
      <c r="I7342" t="n">
        <v>0</v>
      </c>
      <c r="J7342" t="n">
        <v>0</v>
      </c>
      <c r="K7342" t="n">
        <v>0</v>
      </c>
      <c r="L7342" t="n">
        <v>0</v>
      </c>
      <c r="M7342" t="n">
        <v>0</v>
      </c>
      <c r="N7342" t="n">
        <v>0</v>
      </c>
      <c r="O7342" t="n">
        <v>0</v>
      </c>
      <c r="P7342" t="n">
        <v>0</v>
      </c>
      <c r="Q7342" t="n">
        <v>0</v>
      </c>
      <c r="R7342" s="2" t="inlineStr"/>
    </row>
    <row r="7343" ht="15" customHeight="1">
      <c r="A7343" t="inlineStr">
        <is>
          <t>A 48174-2024</t>
        </is>
      </c>
      <c r="B7343" s="1" t="n">
        <v>45589.84282407408</v>
      </c>
      <c r="C7343" s="1" t="n">
        <v>45952</v>
      </c>
      <c r="D7343" t="inlineStr">
        <is>
          <t>VÄSTRA GÖTALANDS LÄN</t>
        </is>
      </c>
      <c r="E7343" t="inlineStr">
        <is>
          <t>KARLSBORG</t>
        </is>
      </c>
      <c r="G7343" t="n">
        <v>1.6</v>
      </c>
      <c r="H7343" t="n">
        <v>0</v>
      </c>
      <c r="I7343" t="n">
        <v>0</v>
      </c>
      <c r="J7343" t="n">
        <v>0</v>
      </c>
      <c r="K7343" t="n">
        <v>0</v>
      </c>
      <c r="L7343" t="n">
        <v>0</v>
      </c>
      <c r="M7343" t="n">
        <v>0</v>
      </c>
      <c r="N7343" t="n">
        <v>0</v>
      </c>
      <c r="O7343" t="n">
        <v>0</v>
      </c>
      <c r="P7343" t="n">
        <v>0</v>
      </c>
      <c r="Q7343" t="n">
        <v>0</v>
      </c>
      <c r="R7343" s="2" t="inlineStr"/>
    </row>
    <row r="7344" ht="15" customHeight="1">
      <c r="A7344" t="inlineStr">
        <is>
          <t>A 4541-2025</t>
        </is>
      </c>
      <c r="B7344" s="1" t="n">
        <v>45687.39320601852</v>
      </c>
      <c r="C7344" s="1" t="n">
        <v>45952</v>
      </c>
      <c r="D7344" t="inlineStr">
        <is>
          <t>VÄSTRA GÖTALANDS LÄN</t>
        </is>
      </c>
      <c r="E7344" t="inlineStr">
        <is>
          <t>SKARA</t>
        </is>
      </c>
      <c r="G7344" t="n">
        <v>5</v>
      </c>
      <c r="H7344" t="n">
        <v>0</v>
      </c>
      <c r="I7344" t="n">
        <v>0</v>
      </c>
      <c r="J7344" t="n">
        <v>0</v>
      </c>
      <c r="K7344" t="n">
        <v>0</v>
      </c>
      <c r="L7344" t="n">
        <v>0</v>
      </c>
      <c r="M7344" t="n">
        <v>0</v>
      </c>
      <c r="N7344" t="n">
        <v>0</v>
      </c>
      <c r="O7344" t="n">
        <v>0</v>
      </c>
      <c r="P7344" t="n">
        <v>0</v>
      </c>
      <c r="Q7344" t="n">
        <v>0</v>
      </c>
      <c r="R7344" s="2" t="inlineStr"/>
    </row>
    <row r="7345" ht="15" customHeight="1">
      <c r="A7345" t="inlineStr">
        <is>
          <t>A 32234-2023</t>
        </is>
      </c>
      <c r="B7345" s="1" t="n">
        <v>45119</v>
      </c>
      <c r="C7345" s="1" t="n">
        <v>45952</v>
      </c>
      <c r="D7345" t="inlineStr">
        <is>
          <t>VÄSTRA GÖTALANDS LÄN</t>
        </is>
      </c>
      <c r="E7345" t="inlineStr">
        <is>
          <t>BORÅS</t>
        </is>
      </c>
      <c r="G7345" t="n">
        <v>4.4</v>
      </c>
      <c r="H7345" t="n">
        <v>0</v>
      </c>
      <c r="I7345" t="n">
        <v>0</v>
      </c>
      <c r="J7345" t="n">
        <v>0</v>
      </c>
      <c r="K7345" t="n">
        <v>0</v>
      </c>
      <c r="L7345" t="n">
        <v>0</v>
      </c>
      <c r="M7345" t="n">
        <v>0</v>
      </c>
      <c r="N7345" t="n">
        <v>0</v>
      </c>
      <c r="O7345" t="n">
        <v>0</v>
      </c>
      <c r="P7345" t="n">
        <v>0</v>
      </c>
      <c r="Q7345" t="n">
        <v>0</v>
      </c>
      <c r="R7345" s="2" t="inlineStr"/>
    </row>
    <row r="7346" ht="15" customHeight="1">
      <c r="A7346" t="inlineStr">
        <is>
          <t>A 53255-2024</t>
        </is>
      </c>
      <c r="B7346" s="1" t="n">
        <v>45614.32868055555</v>
      </c>
      <c r="C7346" s="1" t="n">
        <v>45952</v>
      </c>
      <c r="D7346" t="inlineStr">
        <is>
          <t>VÄSTRA GÖTALANDS LÄN</t>
        </is>
      </c>
      <c r="E7346" t="inlineStr">
        <is>
          <t>MUNKEDAL</t>
        </is>
      </c>
      <c r="G7346" t="n">
        <v>5.2</v>
      </c>
      <c r="H7346" t="n">
        <v>0</v>
      </c>
      <c r="I7346" t="n">
        <v>0</v>
      </c>
      <c r="J7346" t="n">
        <v>0</v>
      </c>
      <c r="K7346" t="n">
        <v>0</v>
      </c>
      <c r="L7346" t="n">
        <v>0</v>
      </c>
      <c r="M7346" t="n">
        <v>0</v>
      </c>
      <c r="N7346" t="n">
        <v>0</v>
      </c>
      <c r="O7346" t="n">
        <v>0</v>
      </c>
      <c r="P7346" t="n">
        <v>0</v>
      </c>
      <c r="Q7346" t="n">
        <v>0</v>
      </c>
      <c r="R7346" s="2" t="inlineStr"/>
    </row>
    <row r="7347" ht="15" customHeight="1">
      <c r="A7347" t="inlineStr">
        <is>
          <t>A 59841-2024</t>
        </is>
      </c>
      <c r="B7347" s="1" t="n">
        <v>45639.67075231481</v>
      </c>
      <c r="C7347" s="1" t="n">
        <v>45952</v>
      </c>
      <c r="D7347" t="inlineStr">
        <is>
          <t>VÄSTRA GÖTALANDS LÄN</t>
        </is>
      </c>
      <c r="E7347" t="inlineStr">
        <is>
          <t>SKARA</t>
        </is>
      </c>
      <c r="G7347" t="n">
        <v>4.1</v>
      </c>
      <c r="H7347" t="n">
        <v>0</v>
      </c>
      <c r="I7347" t="n">
        <v>0</v>
      </c>
      <c r="J7347" t="n">
        <v>0</v>
      </c>
      <c r="K7347" t="n">
        <v>0</v>
      </c>
      <c r="L7347" t="n">
        <v>0</v>
      </c>
      <c r="M7347" t="n">
        <v>0</v>
      </c>
      <c r="N7347" t="n">
        <v>0</v>
      </c>
      <c r="O7347" t="n">
        <v>0</v>
      </c>
      <c r="P7347" t="n">
        <v>0</v>
      </c>
      <c r="Q7347" t="n">
        <v>0</v>
      </c>
      <c r="R7347" s="2" t="inlineStr"/>
    </row>
    <row r="7348" ht="15" customHeight="1">
      <c r="A7348" t="inlineStr">
        <is>
          <t>A 19125-2023</t>
        </is>
      </c>
      <c r="B7348" s="1" t="n">
        <v>45048</v>
      </c>
      <c r="C7348" s="1" t="n">
        <v>45952</v>
      </c>
      <c r="D7348" t="inlineStr">
        <is>
          <t>VÄSTRA GÖTALANDS LÄN</t>
        </is>
      </c>
      <c r="E7348" t="inlineStr">
        <is>
          <t>TANUM</t>
        </is>
      </c>
      <c r="G7348" t="n">
        <v>5.7</v>
      </c>
      <c r="H7348" t="n">
        <v>0</v>
      </c>
      <c r="I7348" t="n">
        <v>0</v>
      </c>
      <c r="J7348" t="n">
        <v>0</v>
      </c>
      <c r="K7348" t="n">
        <v>0</v>
      </c>
      <c r="L7348" t="n">
        <v>0</v>
      </c>
      <c r="M7348" t="n">
        <v>0</v>
      </c>
      <c r="N7348" t="n">
        <v>0</v>
      </c>
      <c r="O7348" t="n">
        <v>0</v>
      </c>
      <c r="P7348" t="n">
        <v>0</v>
      </c>
      <c r="Q7348" t="n">
        <v>0</v>
      </c>
      <c r="R7348" s="2" t="inlineStr"/>
    </row>
    <row r="7349" ht="15" customHeight="1">
      <c r="A7349" t="inlineStr">
        <is>
          <t>A 21031-2025</t>
        </is>
      </c>
      <c r="B7349" s="1" t="n">
        <v>45777.52524305556</v>
      </c>
      <c r="C7349" s="1" t="n">
        <v>45952</v>
      </c>
      <c r="D7349" t="inlineStr">
        <is>
          <t>VÄSTRA GÖTALANDS LÄN</t>
        </is>
      </c>
      <c r="E7349" t="inlineStr">
        <is>
          <t>FALKÖPING</t>
        </is>
      </c>
      <c r="G7349" t="n">
        <v>0.5</v>
      </c>
      <c r="H7349" t="n">
        <v>0</v>
      </c>
      <c r="I7349" t="n">
        <v>0</v>
      </c>
      <c r="J7349" t="n">
        <v>0</v>
      </c>
      <c r="K7349" t="n">
        <v>0</v>
      </c>
      <c r="L7349" t="n">
        <v>0</v>
      </c>
      <c r="M7349" t="n">
        <v>0</v>
      </c>
      <c r="N7349" t="n">
        <v>0</v>
      </c>
      <c r="O7349" t="n">
        <v>0</v>
      </c>
      <c r="P7349" t="n">
        <v>0</v>
      </c>
      <c r="Q7349" t="n">
        <v>0</v>
      </c>
      <c r="R7349" s="2" t="inlineStr"/>
    </row>
    <row r="7350" ht="15" customHeight="1">
      <c r="A7350" t="inlineStr">
        <is>
          <t>A 21040-2025</t>
        </is>
      </c>
      <c r="B7350" s="1" t="n">
        <v>45777.54398148148</v>
      </c>
      <c r="C7350" s="1" t="n">
        <v>45952</v>
      </c>
      <c r="D7350" t="inlineStr">
        <is>
          <t>VÄSTRA GÖTALANDS LÄN</t>
        </is>
      </c>
      <c r="E7350" t="inlineStr">
        <is>
          <t>TANUM</t>
        </is>
      </c>
      <c r="G7350" t="n">
        <v>3.3</v>
      </c>
      <c r="H7350" t="n">
        <v>0</v>
      </c>
      <c r="I7350" t="n">
        <v>0</v>
      </c>
      <c r="J7350" t="n">
        <v>0</v>
      </c>
      <c r="K7350" t="n">
        <v>0</v>
      </c>
      <c r="L7350" t="n">
        <v>0</v>
      </c>
      <c r="M7350" t="n">
        <v>0</v>
      </c>
      <c r="N7350" t="n">
        <v>0</v>
      </c>
      <c r="O7350" t="n">
        <v>0</v>
      </c>
      <c r="P7350" t="n">
        <v>0</v>
      </c>
      <c r="Q7350" t="n">
        <v>0</v>
      </c>
      <c r="R7350" s="2" t="inlineStr"/>
    </row>
    <row r="7351" ht="15" customHeight="1">
      <c r="A7351" t="inlineStr">
        <is>
          <t>A 35142-2024</t>
        </is>
      </c>
      <c r="B7351" s="1" t="n">
        <v>45530.35858796296</v>
      </c>
      <c r="C7351" s="1" t="n">
        <v>45952</v>
      </c>
      <c r="D7351" t="inlineStr">
        <is>
          <t>VÄSTRA GÖTALANDS LÄN</t>
        </is>
      </c>
      <c r="E7351" t="inlineStr">
        <is>
          <t>TIDAHOLM</t>
        </is>
      </c>
      <c r="G7351" t="n">
        <v>2.3</v>
      </c>
      <c r="H7351" t="n">
        <v>0</v>
      </c>
      <c r="I7351" t="n">
        <v>0</v>
      </c>
      <c r="J7351" t="n">
        <v>0</v>
      </c>
      <c r="K7351" t="n">
        <v>0</v>
      </c>
      <c r="L7351" t="n">
        <v>0</v>
      </c>
      <c r="M7351" t="n">
        <v>0</v>
      </c>
      <c r="N7351" t="n">
        <v>0</v>
      </c>
      <c r="O7351" t="n">
        <v>0</v>
      </c>
      <c r="P7351" t="n">
        <v>0</v>
      </c>
      <c r="Q7351" t="n">
        <v>0</v>
      </c>
      <c r="R7351" s="2" t="inlineStr"/>
    </row>
    <row r="7352" ht="15" customHeight="1">
      <c r="A7352" t="inlineStr">
        <is>
          <t>A 35169-2024</t>
        </is>
      </c>
      <c r="B7352" s="1" t="n">
        <v>45530.40872685185</v>
      </c>
      <c r="C7352" s="1" t="n">
        <v>45952</v>
      </c>
      <c r="D7352" t="inlineStr">
        <is>
          <t>VÄSTRA GÖTALANDS LÄN</t>
        </is>
      </c>
      <c r="E7352" t="inlineStr">
        <is>
          <t>MARIESTAD</t>
        </is>
      </c>
      <c r="G7352" t="n">
        <v>0.7</v>
      </c>
      <c r="H7352" t="n">
        <v>0</v>
      </c>
      <c r="I7352" t="n">
        <v>0</v>
      </c>
      <c r="J7352" t="n">
        <v>0</v>
      </c>
      <c r="K7352" t="n">
        <v>0</v>
      </c>
      <c r="L7352" t="n">
        <v>0</v>
      </c>
      <c r="M7352" t="n">
        <v>0</v>
      </c>
      <c r="N7352" t="n">
        <v>0</v>
      </c>
      <c r="O7352" t="n">
        <v>0</v>
      </c>
      <c r="P7352" t="n">
        <v>0</v>
      </c>
      <c r="Q7352" t="n">
        <v>0</v>
      </c>
      <c r="R7352" s="2" t="inlineStr"/>
    </row>
    <row r="7353" ht="15" customHeight="1">
      <c r="A7353" t="inlineStr">
        <is>
          <t>A 16348-2025</t>
        </is>
      </c>
      <c r="B7353" s="1" t="n">
        <v>45750</v>
      </c>
      <c r="C7353" s="1" t="n">
        <v>45952</v>
      </c>
      <c r="D7353" t="inlineStr">
        <is>
          <t>VÄSTRA GÖTALANDS LÄN</t>
        </is>
      </c>
      <c r="E7353" t="inlineStr">
        <is>
          <t>BENGTSFORS</t>
        </is>
      </c>
      <c r="G7353" t="n">
        <v>1.5</v>
      </c>
      <c r="H7353" t="n">
        <v>0</v>
      </c>
      <c r="I7353" t="n">
        <v>0</v>
      </c>
      <c r="J7353" t="n">
        <v>0</v>
      </c>
      <c r="K7353" t="n">
        <v>0</v>
      </c>
      <c r="L7353" t="n">
        <v>0</v>
      </c>
      <c r="M7353" t="n">
        <v>0</v>
      </c>
      <c r="N7353" t="n">
        <v>0</v>
      </c>
      <c r="O7353" t="n">
        <v>0</v>
      </c>
      <c r="P7353" t="n">
        <v>0</v>
      </c>
      <c r="Q7353" t="n">
        <v>0</v>
      </c>
      <c r="R7353" s="2" t="inlineStr"/>
    </row>
    <row r="7354" ht="15" customHeight="1">
      <c r="A7354" t="inlineStr">
        <is>
          <t>A 20911-2025</t>
        </is>
      </c>
      <c r="B7354" s="1" t="n">
        <v>45777.40738425926</v>
      </c>
      <c r="C7354" s="1" t="n">
        <v>45952</v>
      </c>
      <c r="D7354" t="inlineStr">
        <is>
          <t>VÄSTRA GÖTALANDS LÄN</t>
        </is>
      </c>
      <c r="E7354" t="inlineStr">
        <is>
          <t>VARA</t>
        </is>
      </c>
      <c r="G7354" t="n">
        <v>0.9</v>
      </c>
      <c r="H7354" t="n">
        <v>0</v>
      </c>
      <c r="I7354" t="n">
        <v>0</v>
      </c>
      <c r="J7354" t="n">
        <v>0</v>
      </c>
      <c r="K7354" t="n">
        <v>0</v>
      </c>
      <c r="L7354" t="n">
        <v>0</v>
      </c>
      <c r="M7354" t="n">
        <v>0</v>
      </c>
      <c r="N7354" t="n">
        <v>0</v>
      </c>
      <c r="O7354" t="n">
        <v>0</v>
      </c>
      <c r="P7354" t="n">
        <v>0</v>
      </c>
      <c r="Q7354" t="n">
        <v>0</v>
      </c>
      <c r="R7354" s="2" t="inlineStr"/>
    </row>
    <row r="7355" ht="15" customHeight="1">
      <c r="A7355" t="inlineStr">
        <is>
          <t>A 20896-2023</t>
        </is>
      </c>
      <c r="B7355" s="1" t="n">
        <v>45059.70721064815</v>
      </c>
      <c r="C7355" s="1" t="n">
        <v>45952</v>
      </c>
      <c r="D7355" t="inlineStr">
        <is>
          <t>VÄSTRA GÖTALANDS LÄN</t>
        </is>
      </c>
      <c r="E7355" t="inlineStr">
        <is>
          <t>MARK</t>
        </is>
      </c>
      <c r="G7355" t="n">
        <v>0.8</v>
      </c>
      <c r="H7355" t="n">
        <v>0</v>
      </c>
      <c r="I7355" t="n">
        <v>0</v>
      </c>
      <c r="J7355" t="n">
        <v>0</v>
      </c>
      <c r="K7355" t="n">
        <v>0</v>
      </c>
      <c r="L7355" t="n">
        <v>0</v>
      </c>
      <c r="M7355" t="n">
        <v>0</v>
      </c>
      <c r="N7355" t="n">
        <v>0</v>
      </c>
      <c r="O7355" t="n">
        <v>0</v>
      </c>
      <c r="P7355" t="n">
        <v>0</v>
      </c>
      <c r="Q7355" t="n">
        <v>0</v>
      </c>
      <c r="R7355" s="2" t="inlineStr"/>
    </row>
    <row r="7356" ht="15" customHeight="1">
      <c r="A7356" t="inlineStr">
        <is>
          <t>A 6243-2025</t>
        </is>
      </c>
      <c r="B7356" s="1" t="n">
        <v>45698</v>
      </c>
      <c r="C7356" s="1" t="n">
        <v>45952</v>
      </c>
      <c r="D7356" t="inlineStr">
        <is>
          <t>VÄSTRA GÖTALANDS LÄN</t>
        </is>
      </c>
      <c r="E7356" t="inlineStr">
        <is>
          <t>TANUM</t>
        </is>
      </c>
      <c r="G7356" t="n">
        <v>1.7</v>
      </c>
      <c r="H7356" t="n">
        <v>0</v>
      </c>
      <c r="I7356" t="n">
        <v>0</v>
      </c>
      <c r="J7356" t="n">
        <v>0</v>
      </c>
      <c r="K7356" t="n">
        <v>0</v>
      </c>
      <c r="L7356" t="n">
        <v>0</v>
      </c>
      <c r="M7356" t="n">
        <v>0</v>
      </c>
      <c r="N7356" t="n">
        <v>0</v>
      </c>
      <c r="O7356" t="n">
        <v>0</v>
      </c>
      <c r="P7356" t="n">
        <v>0</v>
      </c>
      <c r="Q7356" t="n">
        <v>0</v>
      </c>
      <c r="R7356" s="2" t="inlineStr"/>
    </row>
    <row r="7357" ht="15" customHeight="1">
      <c r="A7357" t="inlineStr">
        <is>
          <t>A 6244-2025</t>
        </is>
      </c>
      <c r="B7357" s="1" t="n">
        <v>45698.56950231481</v>
      </c>
      <c r="C7357" s="1" t="n">
        <v>45952</v>
      </c>
      <c r="D7357" t="inlineStr">
        <is>
          <t>VÄSTRA GÖTALANDS LÄN</t>
        </is>
      </c>
      <c r="E7357" t="inlineStr">
        <is>
          <t>ULRICEHAMN</t>
        </is>
      </c>
      <c r="G7357" t="n">
        <v>3</v>
      </c>
      <c r="H7357" t="n">
        <v>0</v>
      </c>
      <c r="I7357" t="n">
        <v>0</v>
      </c>
      <c r="J7357" t="n">
        <v>0</v>
      </c>
      <c r="K7357" t="n">
        <v>0</v>
      </c>
      <c r="L7357" t="n">
        <v>0</v>
      </c>
      <c r="M7357" t="n">
        <v>0</v>
      </c>
      <c r="N7357" t="n">
        <v>0</v>
      </c>
      <c r="O7357" t="n">
        <v>0</v>
      </c>
      <c r="P7357" t="n">
        <v>0</v>
      </c>
      <c r="Q7357" t="n">
        <v>0</v>
      </c>
      <c r="R7357" s="2" t="inlineStr"/>
    </row>
    <row r="7358" ht="15" customHeight="1">
      <c r="A7358" t="inlineStr">
        <is>
          <t>A 6248-2025</t>
        </is>
      </c>
      <c r="B7358" s="1" t="n">
        <v>45698.57355324074</v>
      </c>
      <c r="C7358" s="1" t="n">
        <v>45952</v>
      </c>
      <c r="D7358" t="inlineStr">
        <is>
          <t>VÄSTRA GÖTALANDS LÄN</t>
        </is>
      </c>
      <c r="E7358" t="inlineStr">
        <is>
          <t>FALKÖPING</t>
        </is>
      </c>
      <c r="G7358" t="n">
        <v>1.7</v>
      </c>
      <c r="H7358" t="n">
        <v>0</v>
      </c>
      <c r="I7358" t="n">
        <v>0</v>
      </c>
      <c r="J7358" t="n">
        <v>0</v>
      </c>
      <c r="K7358" t="n">
        <v>0</v>
      </c>
      <c r="L7358" t="n">
        <v>0</v>
      </c>
      <c r="M7358" t="n">
        <v>0</v>
      </c>
      <c r="N7358" t="n">
        <v>0</v>
      </c>
      <c r="O7358" t="n">
        <v>0</v>
      </c>
      <c r="P7358" t="n">
        <v>0</v>
      </c>
      <c r="Q7358" t="n">
        <v>0</v>
      </c>
      <c r="R7358" s="2" t="inlineStr"/>
    </row>
    <row r="7359" ht="15" customHeight="1">
      <c r="A7359" t="inlineStr">
        <is>
          <t>A 16744-2024</t>
        </is>
      </c>
      <c r="B7359" s="1" t="n">
        <v>45411.21011574074</v>
      </c>
      <c r="C7359" s="1" t="n">
        <v>45952</v>
      </c>
      <c r="D7359" t="inlineStr">
        <is>
          <t>VÄSTRA GÖTALANDS LÄN</t>
        </is>
      </c>
      <c r="E7359" t="inlineStr">
        <is>
          <t>ULRICEHAMN</t>
        </is>
      </c>
      <c r="G7359" t="n">
        <v>0.8</v>
      </c>
      <c r="H7359" t="n">
        <v>0</v>
      </c>
      <c r="I7359" t="n">
        <v>0</v>
      </c>
      <c r="J7359" t="n">
        <v>0</v>
      </c>
      <c r="K7359" t="n">
        <v>0</v>
      </c>
      <c r="L7359" t="n">
        <v>0</v>
      </c>
      <c r="M7359" t="n">
        <v>0</v>
      </c>
      <c r="N7359" t="n">
        <v>0</v>
      </c>
      <c r="O7359" t="n">
        <v>0</v>
      </c>
      <c r="P7359" t="n">
        <v>0</v>
      </c>
      <c r="Q7359" t="n">
        <v>0</v>
      </c>
      <c r="R7359" s="2" t="inlineStr"/>
    </row>
    <row r="7360" ht="15" customHeight="1">
      <c r="A7360" t="inlineStr">
        <is>
          <t>A 493-2025</t>
        </is>
      </c>
      <c r="B7360" s="1" t="n">
        <v>45664.46502314815</v>
      </c>
      <c r="C7360" s="1" t="n">
        <v>45952</v>
      </c>
      <c r="D7360" t="inlineStr">
        <is>
          <t>VÄSTRA GÖTALANDS LÄN</t>
        </is>
      </c>
      <c r="E7360" t="inlineStr">
        <is>
          <t>MELLERUD</t>
        </is>
      </c>
      <c r="G7360" t="n">
        <v>3.9</v>
      </c>
      <c r="H7360" t="n">
        <v>0</v>
      </c>
      <c r="I7360" t="n">
        <v>0</v>
      </c>
      <c r="J7360" t="n">
        <v>0</v>
      </c>
      <c r="K7360" t="n">
        <v>0</v>
      </c>
      <c r="L7360" t="n">
        <v>0</v>
      </c>
      <c r="M7360" t="n">
        <v>0</v>
      </c>
      <c r="N7360" t="n">
        <v>0</v>
      </c>
      <c r="O7360" t="n">
        <v>0</v>
      </c>
      <c r="P7360" t="n">
        <v>0</v>
      </c>
      <c r="Q7360" t="n">
        <v>0</v>
      </c>
      <c r="R7360" s="2" t="inlineStr"/>
    </row>
    <row r="7361" ht="15" customHeight="1">
      <c r="A7361" t="inlineStr">
        <is>
          <t>A 11788-2024</t>
        </is>
      </c>
      <c r="B7361" s="1" t="n">
        <v>45374</v>
      </c>
      <c r="C7361" s="1" t="n">
        <v>45952</v>
      </c>
      <c r="D7361" t="inlineStr">
        <is>
          <t>VÄSTRA GÖTALANDS LÄN</t>
        </is>
      </c>
      <c r="E7361" t="inlineStr">
        <is>
          <t>UDDEVALLA</t>
        </is>
      </c>
      <c r="G7361" t="n">
        <v>8.5</v>
      </c>
      <c r="H7361" t="n">
        <v>0</v>
      </c>
      <c r="I7361" t="n">
        <v>0</v>
      </c>
      <c r="J7361" t="n">
        <v>0</v>
      </c>
      <c r="K7361" t="n">
        <v>0</v>
      </c>
      <c r="L7361" t="n">
        <v>0</v>
      </c>
      <c r="M7361" t="n">
        <v>0</v>
      </c>
      <c r="N7361" t="n">
        <v>0</v>
      </c>
      <c r="O7361" t="n">
        <v>0</v>
      </c>
      <c r="P7361" t="n">
        <v>0</v>
      </c>
      <c r="Q7361" t="n">
        <v>0</v>
      </c>
      <c r="R7361" s="2" t="inlineStr"/>
    </row>
    <row r="7362" ht="15" customHeight="1">
      <c r="A7362" t="inlineStr">
        <is>
          <t>A 22084-2024</t>
        </is>
      </c>
      <c r="B7362" s="1" t="n">
        <v>45443.6706712963</v>
      </c>
      <c r="C7362" s="1" t="n">
        <v>45952</v>
      </c>
      <c r="D7362" t="inlineStr">
        <is>
          <t>VÄSTRA GÖTALANDS LÄN</t>
        </is>
      </c>
      <c r="E7362" t="inlineStr">
        <is>
          <t>TIDAHOLM</t>
        </is>
      </c>
      <c r="G7362" t="n">
        <v>1.3</v>
      </c>
      <c r="H7362" t="n">
        <v>0</v>
      </c>
      <c r="I7362" t="n">
        <v>0</v>
      </c>
      <c r="J7362" t="n">
        <v>0</v>
      </c>
      <c r="K7362" t="n">
        <v>0</v>
      </c>
      <c r="L7362" t="n">
        <v>0</v>
      </c>
      <c r="M7362" t="n">
        <v>0</v>
      </c>
      <c r="N7362" t="n">
        <v>0</v>
      </c>
      <c r="O7362" t="n">
        <v>0</v>
      </c>
      <c r="P7362" t="n">
        <v>0</v>
      </c>
      <c r="Q7362" t="n">
        <v>0</v>
      </c>
      <c r="R7362" s="2" t="inlineStr"/>
    </row>
    <row r="7363" ht="15" customHeight="1">
      <c r="A7363" t="inlineStr">
        <is>
          <t>A 12026-2024</t>
        </is>
      </c>
      <c r="B7363" s="1" t="n">
        <v>45377.37309027778</v>
      </c>
      <c r="C7363" s="1" t="n">
        <v>45952</v>
      </c>
      <c r="D7363" t="inlineStr">
        <is>
          <t>VÄSTRA GÖTALANDS LÄN</t>
        </is>
      </c>
      <c r="E7363" t="inlineStr">
        <is>
          <t>VARA</t>
        </is>
      </c>
      <c r="G7363" t="n">
        <v>1.1</v>
      </c>
      <c r="H7363" t="n">
        <v>0</v>
      </c>
      <c r="I7363" t="n">
        <v>0</v>
      </c>
      <c r="J7363" t="n">
        <v>0</v>
      </c>
      <c r="K7363" t="n">
        <v>0</v>
      </c>
      <c r="L7363" t="n">
        <v>0</v>
      </c>
      <c r="M7363" t="n">
        <v>0</v>
      </c>
      <c r="N7363" t="n">
        <v>0</v>
      </c>
      <c r="O7363" t="n">
        <v>0</v>
      </c>
      <c r="P7363" t="n">
        <v>0</v>
      </c>
      <c r="Q7363" t="n">
        <v>0</v>
      </c>
      <c r="R7363" s="2" t="inlineStr"/>
    </row>
    <row r="7364" ht="15" customHeight="1">
      <c r="A7364" t="inlineStr">
        <is>
          <t>A 16924-2021</t>
        </is>
      </c>
      <c r="B7364" s="1" t="n">
        <v>44295</v>
      </c>
      <c r="C7364" s="1" t="n">
        <v>45952</v>
      </c>
      <c r="D7364" t="inlineStr">
        <is>
          <t>VÄSTRA GÖTALANDS LÄN</t>
        </is>
      </c>
      <c r="E7364" t="inlineStr">
        <is>
          <t>DALS-ED</t>
        </is>
      </c>
      <c r="G7364" t="n">
        <v>0.3</v>
      </c>
      <c r="H7364" t="n">
        <v>0</v>
      </c>
      <c r="I7364" t="n">
        <v>0</v>
      </c>
      <c r="J7364" t="n">
        <v>0</v>
      </c>
      <c r="K7364" t="n">
        <v>0</v>
      </c>
      <c r="L7364" t="n">
        <v>0</v>
      </c>
      <c r="M7364" t="n">
        <v>0</v>
      </c>
      <c r="N7364" t="n">
        <v>0</v>
      </c>
      <c r="O7364" t="n">
        <v>0</v>
      </c>
      <c r="P7364" t="n">
        <v>0</v>
      </c>
      <c r="Q7364" t="n">
        <v>0</v>
      </c>
      <c r="R7364" s="2" t="inlineStr"/>
    </row>
    <row r="7365" ht="15" customHeight="1">
      <c r="A7365" t="inlineStr">
        <is>
          <t>A 63778-2023</t>
        </is>
      </c>
      <c r="B7365" s="1" t="n">
        <v>45278</v>
      </c>
      <c r="C7365" s="1" t="n">
        <v>45952</v>
      </c>
      <c r="D7365" t="inlineStr">
        <is>
          <t>VÄSTRA GÖTALANDS LÄN</t>
        </is>
      </c>
      <c r="E7365" t="inlineStr">
        <is>
          <t>LIDKÖPING</t>
        </is>
      </c>
      <c r="G7365" t="n">
        <v>3.2</v>
      </c>
      <c r="H7365" t="n">
        <v>0</v>
      </c>
      <c r="I7365" t="n">
        <v>0</v>
      </c>
      <c r="J7365" t="n">
        <v>0</v>
      </c>
      <c r="K7365" t="n">
        <v>0</v>
      </c>
      <c r="L7365" t="n">
        <v>0</v>
      </c>
      <c r="M7365" t="n">
        <v>0</v>
      </c>
      <c r="N7365" t="n">
        <v>0</v>
      </c>
      <c r="O7365" t="n">
        <v>0</v>
      </c>
      <c r="P7365" t="n">
        <v>0</v>
      </c>
      <c r="Q7365" t="n">
        <v>0</v>
      </c>
      <c r="R7365" s="2" t="inlineStr"/>
    </row>
    <row r="7366" ht="15" customHeight="1">
      <c r="A7366" t="inlineStr">
        <is>
          <t>A 14183-2024</t>
        </is>
      </c>
      <c r="B7366" s="1" t="n">
        <v>45393.34479166667</v>
      </c>
      <c r="C7366" s="1" t="n">
        <v>45952</v>
      </c>
      <c r="D7366" t="inlineStr">
        <is>
          <t>VÄSTRA GÖTALANDS LÄN</t>
        </is>
      </c>
      <c r="E7366" t="inlineStr">
        <is>
          <t>HÄRRYDA</t>
        </is>
      </c>
      <c r="G7366" t="n">
        <v>1.8</v>
      </c>
      <c r="H7366" t="n">
        <v>0</v>
      </c>
      <c r="I7366" t="n">
        <v>0</v>
      </c>
      <c r="J7366" t="n">
        <v>0</v>
      </c>
      <c r="K7366" t="n">
        <v>0</v>
      </c>
      <c r="L7366" t="n">
        <v>0</v>
      </c>
      <c r="M7366" t="n">
        <v>0</v>
      </c>
      <c r="N7366" t="n">
        <v>0</v>
      </c>
      <c r="O7366" t="n">
        <v>0</v>
      </c>
      <c r="P7366" t="n">
        <v>0</v>
      </c>
      <c r="Q7366" t="n">
        <v>0</v>
      </c>
      <c r="R7366" s="2" t="inlineStr"/>
    </row>
    <row r="7367" ht="15" customHeight="1">
      <c r="A7367" t="inlineStr">
        <is>
          <t>A 14186-2024</t>
        </is>
      </c>
      <c r="B7367" s="1" t="n">
        <v>45393.3578587963</v>
      </c>
      <c r="C7367" s="1" t="n">
        <v>45952</v>
      </c>
      <c r="D7367" t="inlineStr">
        <is>
          <t>VÄSTRA GÖTALANDS LÄN</t>
        </is>
      </c>
      <c r="E7367" t="inlineStr">
        <is>
          <t>DALS-ED</t>
        </is>
      </c>
      <c r="G7367" t="n">
        <v>1.4</v>
      </c>
      <c r="H7367" t="n">
        <v>0</v>
      </c>
      <c r="I7367" t="n">
        <v>0</v>
      </c>
      <c r="J7367" t="n">
        <v>0</v>
      </c>
      <c r="K7367" t="n">
        <v>0</v>
      </c>
      <c r="L7367" t="n">
        <v>0</v>
      </c>
      <c r="M7367" t="n">
        <v>0</v>
      </c>
      <c r="N7367" t="n">
        <v>0</v>
      </c>
      <c r="O7367" t="n">
        <v>0</v>
      </c>
      <c r="P7367" t="n">
        <v>0</v>
      </c>
      <c r="Q7367" t="n">
        <v>0</v>
      </c>
      <c r="R7367" s="2" t="inlineStr"/>
    </row>
    <row r="7368" ht="15" customHeight="1">
      <c r="A7368" t="inlineStr">
        <is>
          <t>A 59186-2023</t>
        </is>
      </c>
      <c r="B7368" s="1" t="n">
        <v>45251</v>
      </c>
      <c r="C7368" s="1" t="n">
        <v>45952</v>
      </c>
      <c r="D7368" t="inlineStr">
        <is>
          <t>VÄSTRA GÖTALANDS LÄN</t>
        </is>
      </c>
      <c r="E7368" t="inlineStr">
        <is>
          <t>BENGTSFORS</t>
        </is>
      </c>
      <c r="F7368" t="inlineStr">
        <is>
          <t>Kyrkan</t>
        </is>
      </c>
      <c r="G7368" t="n">
        <v>7.9</v>
      </c>
      <c r="H7368" t="n">
        <v>0</v>
      </c>
      <c r="I7368" t="n">
        <v>0</v>
      </c>
      <c r="J7368" t="n">
        <v>0</v>
      </c>
      <c r="K7368" t="n">
        <v>0</v>
      </c>
      <c r="L7368" t="n">
        <v>0</v>
      </c>
      <c r="M7368" t="n">
        <v>0</v>
      </c>
      <c r="N7368" t="n">
        <v>0</v>
      </c>
      <c r="O7368" t="n">
        <v>0</v>
      </c>
      <c r="P7368" t="n">
        <v>0</v>
      </c>
      <c r="Q7368" t="n">
        <v>0</v>
      </c>
      <c r="R7368" s="2" t="inlineStr"/>
    </row>
    <row r="7369" ht="15" customHeight="1">
      <c r="A7369" t="inlineStr">
        <is>
          <t>A 35154-2022</t>
        </is>
      </c>
      <c r="B7369" s="1" t="n">
        <v>44797</v>
      </c>
      <c r="C7369" s="1" t="n">
        <v>45952</v>
      </c>
      <c r="D7369" t="inlineStr">
        <is>
          <t>VÄSTRA GÖTALANDS LÄN</t>
        </is>
      </c>
      <c r="E7369" t="inlineStr">
        <is>
          <t>ÅMÅL</t>
        </is>
      </c>
      <c r="G7369" t="n">
        <v>1.3</v>
      </c>
      <c r="H7369" t="n">
        <v>0</v>
      </c>
      <c r="I7369" t="n">
        <v>0</v>
      </c>
      <c r="J7369" t="n">
        <v>0</v>
      </c>
      <c r="K7369" t="n">
        <v>0</v>
      </c>
      <c r="L7369" t="n">
        <v>0</v>
      </c>
      <c r="M7369" t="n">
        <v>0</v>
      </c>
      <c r="N7369" t="n">
        <v>0</v>
      </c>
      <c r="O7369" t="n">
        <v>0</v>
      </c>
      <c r="P7369" t="n">
        <v>0</v>
      </c>
      <c r="Q7369" t="n">
        <v>0</v>
      </c>
      <c r="R7369" s="2" t="inlineStr"/>
    </row>
    <row r="7370" ht="15" customHeight="1">
      <c r="A7370" t="inlineStr">
        <is>
          <t>A 3839-2023</t>
        </is>
      </c>
      <c r="B7370" s="1" t="n">
        <v>44951</v>
      </c>
      <c r="C7370" s="1" t="n">
        <v>45952</v>
      </c>
      <c r="D7370" t="inlineStr">
        <is>
          <t>VÄSTRA GÖTALANDS LÄN</t>
        </is>
      </c>
      <c r="E7370" t="inlineStr">
        <is>
          <t>UDDEVALLA</t>
        </is>
      </c>
      <c r="G7370" t="n">
        <v>2.5</v>
      </c>
      <c r="H7370" t="n">
        <v>0</v>
      </c>
      <c r="I7370" t="n">
        <v>0</v>
      </c>
      <c r="J7370" t="n">
        <v>0</v>
      </c>
      <c r="K7370" t="n">
        <v>0</v>
      </c>
      <c r="L7370" t="n">
        <v>0</v>
      </c>
      <c r="M7370" t="n">
        <v>0</v>
      </c>
      <c r="N7370" t="n">
        <v>0</v>
      </c>
      <c r="O7370" t="n">
        <v>0</v>
      </c>
      <c r="P7370" t="n">
        <v>0</v>
      </c>
      <c r="Q7370" t="n">
        <v>0</v>
      </c>
      <c r="R7370" s="2" t="inlineStr"/>
    </row>
    <row r="7371" ht="15" customHeight="1">
      <c r="A7371" t="inlineStr">
        <is>
          <t>A 13026-2023</t>
        </is>
      </c>
      <c r="B7371" s="1" t="n">
        <v>45002.33766203704</v>
      </c>
      <c r="C7371" s="1" t="n">
        <v>45952</v>
      </c>
      <c r="D7371" t="inlineStr">
        <is>
          <t>VÄSTRA GÖTALANDS LÄN</t>
        </is>
      </c>
      <c r="E7371" t="inlineStr">
        <is>
          <t>DALS-ED</t>
        </is>
      </c>
      <c r="G7371" t="n">
        <v>0.4</v>
      </c>
      <c r="H7371" t="n">
        <v>0</v>
      </c>
      <c r="I7371" t="n">
        <v>0</v>
      </c>
      <c r="J7371" t="n">
        <v>0</v>
      </c>
      <c r="K7371" t="n">
        <v>0</v>
      </c>
      <c r="L7371" t="n">
        <v>0</v>
      </c>
      <c r="M7371" t="n">
        <v>0</v>
      </c>
      <c r="N7371" t="n">
        <v>0</v>
      </c>
      <c r="O7371" t="n">
        <v>0</v>
      </c>
      <c r="P7371" t="n">
        <v>0</v>
      </c>
      <c r="Q7371" t="n">
        <v>0</v>
      </c>
      <c r="R7371" s="2" t="inlineStr"/>
    </row>
    <row r="7372" ht="15" customHeight="1">
      <c r="A7372" t="inlineStr">
        <is>
          <t>A 13044-2023</t>
        </is>
      </c>
      <c r="B7372" s="1" t="n">
        <v>45002.36559027778</v>
      </c>
      <c r="C7372" s="1" t="n">
        <v>45952</v>
      </c>
      <c r="D7372" t="inlineStr">
        <is>
          <t>VÄSTRA GÖTALANDS LÄN</t>
        </is>
      </c>
      <c r="E7372" t="inlineStr">
        <is>
          <t>TANUM</t>
        </is>
      </c>
      <c r="G7372" t="n">
        <v>1.6</v>
      </c>
      <c r="H7372" t="n">
        <v>0</v>
      </c>
      <c r="I7372" t="n">
        <v>0</v>
      </c>
      <c r="J7372" t="n">
        <v>0</v>
      </c>
      <c r="K7372" t="n">
        <v>0</v>
      </c>
      <c r="L7372" t="n">
        <v>0</v>
      </c>
      <c r="M7372" t="n">
        <v>0</v>
      </c>
      <c r="N7372" t="n">
        <v>0</v>
      </c>
      <c r="O7372" t="n">
        <v>0</v>
      </c>
      <c r="P7372" t="n">
        <v>0</v>
      </c>
      <c r="Q7372" t="n">
        <v>0</v>
      </c>
      <c r="R7372" s="2" t="inlineStr"/>
    </row>
    <row r="7373" ht="15" customHeight="1">
      <c r="A7373" t="inlineStr">
        <is>
          <t>A 13077-2023</t>
        </is>
      </c>
      <c r="B7373" s="1" t="n">
        <v>45002.40217592593</v>
      </c>
      <c r="C7373" s="1" t="n">
        <v>45952</v>
      </c>
      <c r="D7373" t="inlineStr">
        <is>
          <t>VÄSTRA GÖTALANDS LÄN</t>
        </is>
      </c>
      <c r="E7373" t="inlineStr">
        <is>
          <t>KARLSBORG</t>
        </is>
      </c>
      <c r="G7373" t="n">
        <v>6.6</v>
      </c>
      <c r="H7373" t="n">
        <v>0</v>
      </c>
      <c r="I7373" t="n">
        <v>0</v>
      </c>
      <c r="J7373" t="n">
        <v>0</v>
      </c>
      <c r="K7373" t="n">
        <v>0</v>
      </c>
      <c r="L7373" t="n">
        <v>0</v>
      </c>
      <c r="M7373" t="n">
        <v>0</v>
      </c>
      <c r="N7373" t="n">
        <v>0</v>
      </c>
      <c r="O7373" t="n">
        <v>0</v>
      </c>
      <c r="P7373" t="n">
        <v>0</v>
      </c>
      <c r="Q7373" t="n">
        <v>0</v>
      </c>
      <c r="R7373" s="2" t="inlineStr"/>
    </row>
    <row r="7374" ht="15" customHeight="1">
      <c r="A7374" t="inlineStr">
        <is>
          <t>A 8814-2022</t>
        </is>
      </c>
      <c r="B7374" s="1" t="n">
        <v>44614</v>
      </c>
      <c r="C7374" s="1" t="n">
        <v>45952</v>
      </c>
      <c r="D7374" t="inlineStr">
        <is>
          <t>VÄSTRA GÖTALANDS LÄN</t>
        </is>
      </c>
      <c r="E7374" t="inlineStr">
        <is>
          <t>HJO</t>
        </is>
      </c>
      <c r="F7374" t="inlineStr">
        <is>
          <t>Kyrkan</t>
        </is>
      </c>
      <c r="G7374" t="n">
        <v>4.6</v>
      </c>
      <c r="H7374" t="n">
        <v>0</v>
      </c>
      <c r="I7374" t="n">
        <v>0</v>
      </c>
      <c r="J7374" t="n">
        <v>0</v>
      </c>
      <c r="K7374" t="n">
        <v>0</v>
      </c>
      <c r="L7374" t="n">
        <v>0</v>
      </c>
      <c r="M7374" t="n">
        <v>0</v>
      </c>
      <c r="N7374" t="n">
        <v>0</v>
      </c>
      <c r="O7374" t="n">
        <v>0</v>
      </c>
      <c r="P7374" t="n">
        <v>0</v>
      </c>
      <c r="Q7374" t="n">
        <v>0</v>
      </c>
      <c r="R7374" s="2" t="inlineStr"/>
    </row>
    <row r="7375" ht="15" customHeight="1">
      <c r="A7375" t="inlineStr">
        <is>
          <t>A 20974-2025</t>
        </is>
      </c>
      <c r="B7375" s="1" t="n">
        <v>45777.4587962963</v>
      </c>
      <c r="C7375" s="1" t="n">
        <v>45952</v>
      </c>
      <c r="D7375" t="inlineStr">
        <is>
          <t>VÄSTRA GÖTALANDS LÄN</t>
        </is>
      </c>
      <c r="E7375" t="inlineStr">
        <is>
          <t>STENUNGSUND</t>
        </is>
      </c>
      <c r="G7375" t="n">
        <v>10.3</v>
      </c>
      <c r="H7375" t="n">
        <v>0</v>
      </c>
      <c r="I7375" t="n">
        <v>0</v>
      </c>
      <c r="J7375" t="n">
        <v>0</v>
      </c>
      <c r="K7375" t="n">
        <v>0</v>
      </c>
      <c r="L7375" t="n">
        <v>0</v>
      </c>
      <c r="M7375" t="n">
        <v>0</v>
      </c>
      <c r="N7375" t="n">
        <v>0</v>
      </c>
      <c r="O7375" t="n">
        <v>0</v>
      </c>
      <c r="P7375" t="n">
        <v>0</v>
      </c>
      <c r="Q7375" t="n">
        <v>0</v>
      </c>
      <c r="R7375" s="2" t="inlineStr"/>
    </row>
    <row r="7376" ht="15" customHeight="1">
      <c r="A7376" t="inlineStr">
        <is>
          <t>A 29935-2023</t>
        </is>
      </c>
      <c r="B7376" s="1" t="n">
        <v>45107.91672453703</v>
      </c>
      <c r="C7376" s="1" t="n">
        <v>45952</v>
      </c>
      <c r="D7376" t="inlineStr">
        <is>
          <t>VÄSTRA GÖTALANDS LÄN</t>
        </is>
      </c>
      <c r="E7376" t="inlineStr">
        <is>
          <t>HERRLJUNGA</t>
        </is>
      </c>
      <c r="G7376" t="n">
        <v>1.7</v>
      </c>
      <c r="H7376" t="n">
        <v>0</v>
      </c>
      <c r="I7376" t="n">
        <v>0</v>
      </c>
      <c r="J7376" t="n">
        <v>0</v>
      </c>
      <c r="K7376" t="n">
        <v>0</v>
      </c>
      <c r="L7376" t="n">
        <v>0</v>
      </c>
      <c r="M7376" t="n">
        <v>0</v>
      </c>
      <c r="N7376" t="n">
        <v>0</v>
      </c>
      <c r="O7376" t="n">
        <v>0</v>
      </c>
      <c r="P7376" t="n">
        <v>0</v>
      </c>
      <c r="Q7376" t="n">
        <v>0</v>
      </c>
      <c r="R7376" s="2" t="inlineStr"/>
    </row>
    <row r="7377" ht="15" customHeight="1">
      <c r="A7377" t="inlineStr">
        <is>
          <t>A 32208-2023</t>
        </is>
      </c>
      <c r="B7377" s="1" t="n">
        <v>45119</v>
      </c>
      <c r="C7377" s="1" t="n">
        <v>45952</v>
      </c>
      <c r="D7377" t="inlineStr">
        <is>
          <t>VÄSTRA GÖTALANDS LÄN</t>
        </is>
      </c>
      <c r="E7377" t="inlineStr">
        <is>
          <t>BOLLEBYGD</t>
        </is>
      </c>
      <c r="G7377" t="n">
        <v>4.8</v>
      </c>
      <c r="H7377" t="n">
        <v>0</v>
      </c>
      <c r="I7377" t="n">
        <v>0</v>
      </c>
      <c r="J7377" t="n">
        <v>0</v>
      </c>
      <c r="K7377" t="n">
        <v>0</v>
      </c>
      <c r="L7377" t="n">
        <v>0</v>
      </c>
      <c r="M7377" t="n">
        <v>0</v>
      </c>
      <c r="N7377" t="n">
        <v>0</v>
      </c>
      <c r="O7377" t="n">
        <v>0</v>
      </c>
      <c r="P7377" t="n">
        <v>0</v>
      </c>
      <c r="Q7377" t="n">
        <v>0</v>
      </c>
      <c r="R7377" s="2" t="inlineStr"/>
    </row>
    <row r="7378" ht="15" customHeight="1">
      <c r="A7378" t="inlineStr">
        <is>
          <t>A 26083-2023</t>
        </is>
      </c>
      <c r="B7378" s="1" t="n">
        <v>45091</v>
      </c>
      <c r="C7378" s="1" t="n">
        <v>45952</v>
      </c>
      <c r="D7378" t="inlineStr">
        <is>
          <t>VÄSTRA GÖTALANDS LÄN</t>
        </is>
      </c>
      <c r="E7378" t="inlineStr">
        <is>
          <t>ALE</t>
        </is>
      </c>
      <c r="G7378" t="n">
        <v>1.6</v>
      </c>
      <c r="H7378" t="n">
        <v>0</v>
      </c>
      <c r="I7378" t="n">
        <v>0</v>
      </c>
      <c r="J7378" t="n">
        <v>0</v>
      </c>
      <c r="K7378" t="n">
        <v>0</v>
      </c>
      <c r="L7378" t="n">
        <v>0</v>
      </c>
      <c r="M7378" t="n">
        <v>0</v>
      </c>
      <c r="N7378" t="n">
        <v>0</v>
      </c>
      <c r="O7378" t="n">
        <v>0</v>
      </c>
      <c r="P7378" t="n">
        <v>0</v>
      </c>
      <c r="Q7378" t="n">
        <v>0</v>
      </c>
      <c r="R7378" s="2" t="inlineStr"/>
    </row>
    <row r="7379" ht="15" customHeight="1">
      <c r="A7379" t="inlineStr">
        <is>
          <t>A 47022-2025</t>
        </is>
      </c>
      <c r="B7379" s="1" t="n">
        <v>45929.57760416667</v>
      </c>
      <c r="C7379" s="1" t="n">
        <v>45952</v>
      </c>
      <c r="D7379" t="inlineStr">
        <is>
          <t>VÄSTRA GÖTALANDS LÄN</t>
        </is>
      </c>
      <c r="E7379" t="inlineStr">
        <is>
          <t>DALS-ED</t>
        </is>
      </c>
      <c r="G7379" t="n">
        <v>3</v>
      </c>
      <c r="H7379" t="n">
        <v>0</v>
      </c>
      <c r="I7379" t="n">
        <v>0</v>
      </c>
      <c r="J7379" t="n">
        <v>0</v>
      </c>
      <c r="K7379" t="n">
        <v>0</v>
      </c>
      <c r="L7379" t="n">
        <v>0</v>
      </c>
      <c r="M7379" t="n">
        <v>0</v>
      </c>
      <c r="N7379" t="n">
        <v>0</v>
      </c>
      <c r="O7379" t="n">
        <v>0</v>
      </c>
      <c r="P7379" t="n">
        <v>0</v>
      </c>
      <c r="Q7379" t="n">
        <v>0</v>
      </c>
      <c r="R7379" s="2" t="inlineStr"/>
    </row>
    <row r="7380" ht="15" customHeight="1">
      <c r="A7380" t="inlineStr">
        <is>
          <t>A 10928-2025</t>
        </is>
      </c>
      <c r="B7380" s="1" t="n">
        <v>45722.90581018518</v>
      </c>
      <c r="C7380" s="1" t="n">
        <v>45952</v>
      </c>
      <c r="D7380" t="inlineStr">
        <is>
          <t>VÄSTRA GÖTALANDS LÄN</t>
        </is>
      </c>
      <c r="E7380" t="inlineStr">
        <is>
          <t>GULLSPÅNG</t>
        </is>
      </c>
      <c r="G7380" t="n">
        <v>9.300000000000001</v>
      </c>
      <c r="H7380" t="n">
        <v>0</v>
      </c>
      <c r="I7380" t="n">
        <v>0</v>
      </c>
      <c r="J7380" t="n">
        <v>0</v>
      </c>
      <c r="K7380" t="n">
        <v>0</v>
      </c>
      <c r="L7380" t="n">
        <v>0</v>
      </c>
      <c r="M7380" t="n">
        <v>0</v>
      </c>
      <c r="N7380" t="n">
        <v>0</v>
      </c>
      <c r="O7380" t="n">
        <v>0</v>
      </c>
      <c r="P7380" t="n">
        <v>0</v>
      </c>
      <c r="Q7380" t="n">
        <v>0</v>
      </c>
      <c r="R7380" s="2" t="inlineStr"/>
    </row>
    <row r="7381" ht="15" customHeight="1">
      <c r="A7381" t="inlineStr">
        <is>
          <t>A 42676-2024</t>
        </is>
      </c>
      <c r="B7381" s="1" t="n">
        <v>45566.37298611111</v>
      </c>
      <c r="C7381" s="1" t="n">
        <v>45952</v>
      </c>
      <c r="D7381" t="inlineStr">
        <is>
          <t>VÄSTRA GÖTALANDS LÄN</t>
        </is>
      </c>
      <c r="E7381" t="inlineStr">
        <is>
          <t>DALS-ED</t>
        </is>
      </c>
      <c r="G7381" t="n">
        <v>3.5</v>
      </c>
      <c r="H7381" t="n">
        <v>0</v>
      </c>
      <c r="I7381" t="n">
        <v>0</v>
      </c>
      <c r="J7381" t="n">
        <v>0</v>
      </c>
      <c r="K7381" t="n">
        <v>0</v>
      </c>
      <c r="L7381" t="n">
        <v>0</v>
      </c>
      <c r="M7381" t="n">
        <v>0</v>
      </c>
      <c r="N7381" t="n">
        <v>0</v>
      </c>
      <c r="O7381" t="n">
        <v>0</v>
      </c>
      <c r="P7381" t="n">
        <v>0</v>
      </c>
      <c r="Q7381" t="n">
        <v>0</v>
      </c>
      <c r="R7381" s="2" t="inlineStr"/>
    </row>
    <row r="7382" ht="15" customHeight="1">
      <c r="A7382" t="inlineStr">
        <is>
          <t>A 45217-2022</t>
        </is>
      </c>
      <c r="B7382" s="1" t="n">
        <v>44844.45476851852</v>
      </c>
      <c r="C7382" s="1" t="n">
        <v>45952</v>
      </c>
      <c r="D7382" t="inlineStr">
        <is>
          <t>VÄSTRA GÖTALANDS LÄN</t>
        </is>
      </c>
      <c r="E7382" t="inlineStr">
        <is>
          <t>BORÅS</t>
        </is>
      </c>
      <c r="G7382" t="n">
        <v>5</v>
      </c>
      <c r="H7382" t="n">
        <v>0</v>
      </c>
      <c r="I7382" t="n">
        <v>0</v>
      </c>
      <c r="J7382" t="n">
        <v>0</v>
      </c>
      <c r="K7382" t="n">
        <v>0</v>
      </c>
      <c r="L7382" t="n">
        <v>0</v>
      </c>
      <c r="M7382" t="n">
        <v>0</v>
      </c>
      <c r="N7382" t="n">
        <v>0</v>
      </c>
      <c r="O7382" t="n">
        <v>0</v>
      </c>
      <c r="P7382" t="n">
        <v>0</v>
      </c>
      <c r="Q7382" t="n">
        <v>0</v>
      </c>
      <c r="R7382" s="2" t="inlineStr"/>
    </row>
    <row r="7383" ht="15" customHeight="1">
      <c r="A7383" t="inlineStr">
        <is>
          <t>A 24713-2023</t>
        </is>
      </c>
      <c r="B7383" s="1" t="n">
        <v>45084.5583449074</v>
      </c>
      <c r="C7383" s="1" t="n">
        <v>45952</v>
      </c>
      <c r="D7383" t="inlineStr">
        <is>
          <t>VÄSTRA GÖTALANDS LÄN</t>
        </is>
      </c>
      <c r="E7383" t="inlineStr">
        <is>
          <t>ULRICEHAMN</t>
        </is>
      </c>
      <c r="F7383" t="inlineStr">
        <is>
          <t>Sveaskog</t>
        </is>
      </c>
      <c r="G7383" t="n">
        <v>7.7</v>
      </c>
      <c r="H7383" t="n">
        <v>0</v>
      </c>
      <c r="I7383" t="n">
        <v>0</v>
      </c>
      <c r="J7383" t="n">
        <v>0</v>
      </c>
      <c r="K7383" t="n">
        <v>0</v>
      </c>
      <c r="L7383" t="n">
        <v>0</v>
      </c>
      <c r="M7383" t="n">
        <v>0</v>
      </c>
      <c r="N7383" t="n">
        <v>0</v>
      </c>
      <c r="O7383" t="n">
        <v>0</v>
      </c>
      <c r="P7383" t="n">
        <v>0</v>
      </c>
      <c r="Q7383" t="n">
        <v>0</v>
      </c>
      <c r="R7383" s="2" t="inlineStr"/>
    </row>
    <row r="7384" ht="15" customHeight="1">
      <c r="A7384" t="inlineStr">
        <is>
          <t>A 14416-2025</t>
        </is>
      </c>
      <c r="B7384" s="1" t="n">
        <v>45741.47922453703</v>
      </c>
      <c r="C7384" s="1" t="n">
        <v>45952</v>
      </c>
      <c r="D7384" t="inlineStr">
        <is>
          <t>VÄSTRA GÖTALANDS LÄN</t>
        </is>
      </c>
      <c r="E7384" t="inlineStr">
        <is>
          <t>FALKÖPING</t>
        </is>
      </c>
      <c r="G7384" t="n">
        <v>1.5</v>
      </c>
      <c r="H7384" t="n">
        <v>0</v>
      </c>
      <c r="I7384" t="n">
        <v>0</v>
      </c>
      <c r="J7384" t="n">
        <v>0</v>
      </c>
      <c r="K7384" t="n">
        <v>0</v>
      </c>
      <c r="L7384" t="n">
        <v>0</v>
      </c>
      <c r="M7384" t="n">
        <v>0</v>
      </c>
      <c r="N7384" t="n">
        <v>0</v>
      </c>
      <c r="O7384" t="n">
        <v>0</v>
      </c>
      <c r="P7384" t="n">
        <v>0</v>
      </c>
      <c r="Q7384" t="n">
        <v>0</v>
      </c>
      <c r="R7384" s="2" t="inlineStr"/>
    </row>
    <row r="7385" ht="15" customHeight="1">
      <c r="A7385" t="inlineStr">
        <is>
          <t>A 20613-2025</t>
        </is>
      </c>
      <c r="B7385" s="1" t="n">
        <v>45776.07998842592</v>
      </c>
      <c r="C7385" s="1" t="n">
        <v>45952</v>
      </c>
      <c r="D7385" t="inlineStr">
        <is>
          <t>VÄSTRA GÖTALANDS LÄN</t>
        </is>
      </c>
      <c r="E7385" t="inlineStr">
        <is>
          <t>MARK</t>
        </is>
      </c>
      <c r="G7385" t="n">
        <v>5.3</v>
      </c>
      <c r="H7385" t="n">
        <v>0</v>
      </c>
      <c r="I7385" t="n">
        <v>0</v>
      </c>
      <c r="J7385" t="n">
        <v>0</v>
      </c>
      <c r="K7385" t="n">
        <v>0</v>
      </c>
      <c r="L7385" t="n">
        <v>0</v>
      </c>
      <c r="M7385" t="n">
        <v>0</v>
      </c>
      <c r="N7385" t="n">
        <v>0</v>
      </c>
      <c r="O7385" t="n">
        <v>0</v>
      </c>
      <c r="P7385" t="n">
        <v>0</v>
      </c>
      <c r="Q7385" t="n">
        <v>0</v>
      </c>
      <c r="R7385" s="2" t="inlineStr"/>
    </row>
    <row r="7386" ht="15" customHeight="1">
      <c r="A7386" t="inlineStr">
        <is>
          <t>A 2634-2025</t>
        </is>
      </c>
      <c r="B7386" s="1" t="n">
        <v>45675.87553240741</v>
      </c>
      <c r="C7386" s="1" t="n">
        <v>45952</v>
      </c>
      <c r="D7386" t="inlineStr">
        <is>
          <t>VÄSTRA GÖTALANDS LÄN</t>
        </is>
      </c>
      <c r="E7386" t="inlineStr">
        <is>
          <t>DALS-ED</t>
        </is>
      </c>
      <c r="G7386" t="n">
        <v>2.4</v>
      </c>
      <c r="H7386" t="n">
        <v>0</v>
      </c>
      <c r="I7386" t="n">
        <v>0</v>
      </c>
      <c r="J7386" t="n">
        <v>0</v>
      </c>
      <c r="K7386" t="n">
        <v>0</v>
      </c>
      <c r="L7386" t="n">
        <v>0</v>
      </c>
      <c r="M7386" t="n">
        <v>0</v>
      </c>
      <c r="N7386" t="n">
        <v>0</v>
      </c>
      <c r="O7386" t="n">
        <v>0</v>
      </c>
      <c r="P7386" t="n">
        <v>0</v>
      </c>
      <c r="Q7386" t="n">
        <v>0</v>
      </c>
      <c r="R7386" s="2" t="inlineStr"/>
    </row>
    <row r="7387" ht="15" customHeight="1">
      <c r="A7387" t="inlineStr">
        <is>
          <t>A 18513-2024</t>
        </is>
      </c>
      <c r="B7387" s="1" t="n">
        <v>45425.60424768519</v>
      </c>
      <c r="C7387" s="1" t="n">
        <v>45952</v>
      </c>
      <c r="D7387" t="inlineStr">
        <is>
          <t>VÄSTRA GÖTALANDS LÄN</t>
        </is>
      </c>
      <c r="E7387" t="inlineStr">
        <is>
          <t>UDDEVALLA</t>
        </is>
      </c>
      <c r="G7387" t="n">
        <v>1.8</v>
      </c>
      <c r="H7387" t="n">
        <v>0</v>
      </c>
      <c r="I7387" t="n">
        <v>0</v>
      </c>
      <c r="J7387" t="n">
        <v>0</v>
      </c>
      <c r="K7387" t="n">
        <v>0</v>
      </c>
      <c r="L7387" t="n">
        <v>0</v>
      </c>
      <c r="M7387" t="n">
        <v>0</v>
      </c>
      <c r="N7387" t="n">
        <v>0</v>
      </c>
      <c r="O7387" t="n">
        <v>0</v>
      </c>
      <c r="P7387" t="n">
        <v>0</v>
      </c>
      <c r="Q7387" t="n">
        <v>0</v>
      </c>
      <c r="R7387" s="2" t="inlineStr"/>
    </row>
    <row r="7388" ht="15" customHeight="1">
      <c r="A7388" t="inlineStr">
        <is>
          <t>A 33285-2021</t>
        </is>
      </c>
      <c r="B7388" s="1" t="n">
        <v>44377</v>
      </c>
      <c r="C7388" s="1" t="n">
        <v>45952</v>
      </c>
      <c r="D7388" t="inlineStr">
        <is>
          <t>VÄSTRA GÖTALANDS LÄN</t>
        </is>
      </c>
      <c r="E7388" t="inlineStr">
        <is>
          <t>BENGTSFORS</t>
        </is>
      </c>
      <c r="F7388" t="inlineStr">
        <is>
          <t>Kyrkan</t>
        </is>
      </c>
      <c r="G7388" t="n">
        <v>1.9</v>
      </c>
      <c r="H7388" t="n">
        <v>0</v>
      </c>
      <c r="I7388" t="n">
        <v>0</v>
      </c>
      <c r="J7388" t="n">
        <v>0</v>
      </c>
      <c r="K7388" t="n">
        <v>0</v>
      </c>
      <c r="L7388" t="n">
        <v>0</v>
      </c>
      <c r="M7388" t="n">
        <v>0</v>
      </c>
      <c r="N7388" t="n">
        <v>0</v>
      </c>
      <c r="O7388" t="n">
        <v>0</v>
      </c>
      <c r="P7388" t="n">
        <v>0</v>
      </c>
      <c r="Q7388" t="n">
        <v>0</v>
      </c>
      <c r="R7388" s="2" t="inlineStr"/>
    </row>
    <row r="7389" ht="15" customHeight="1">
      <c r="A7389" t="inlineStr">
        <is>
          <t>A 31044-2022</t>
        </is>
      </c>
      <c r="B7389" s="1" t="n">
        <v>44768</v>
      </c>
      <c r="C7389" s="1" t="n">
        <v>45952</v>
      </c>
      <c r="D7389" t="inlineStr">
        <is>
          <t>VÄSTRA GÖTALANDS LÄN</t>
        </is>
      </c>
      <c r="E7389" t="inlineStr">
        <is>
          <t>MARK</t>
        </is>
      </c>
      <c r="G7389" t="n">
        <v>2</v>
      </c>
      <c r="H7389" t="n">
        <v>0</v>
      </c>
      <c r="I7389" t="n">
        <v>0</v>
      </c>
      <c r="J7389" t="n">
        <v>0</v>
      </c>
      <c r="K7389" t="n">
        <v>0</v>
      </c>
      <c r="L7389" t="n">
        <v>0</v>
      </c>
      <c r="M7389" t="n">
        <v>0</v>
      </c>
      <c r="N7389" t="n">
        <v>0</v>
      </c>
      <c r="O7389" t="n">
        <v>0</v>
      </c>
      <c r="P7389" t="n">
        <v>0</v>
      </c>
      <c r="Q7389" t="n">
        <v>0</v>
      </c>
      <c r="R7389" s="2" t="inlineStr"/>
    </row>
    <row r="7390" ht="15" customHeight="1">
      <c r="A7390" t="inlineStr">
        <is>
          <t>A 398-2025</t>
        </is>
      </c>
      <c r="B7390" s="1" t="n">
        <v>45663</v>
      </c>
      <c r="C7390" s="1" t="n">
        <v>45952</v>
      </c>
      <c r="D7390" t="inlineStr">
        <is>
          <t>VÄSTRA GÖTALANDS LÄN</t>
        </is>
      </c>
      <c r="E7390" t="inlineStr">
        <is>
          <t>ULRICEHAMN</t>
        </is>
      </c>
      <c r="G7390" t="n">
        <v>3.6</v>
      </c>
      <c r="H7390" t="n">
        <v>0</v>
      </c>
      <c r="I7390" t="n">
        <v>0</v>
      </c>
      <c r="J7390" t="n">
        <v>0</v>
      </c>
      <c r="K7390" t="n">
        <v>0</v>
      </c>
      <c r="L7390" t="n">
        <v>0</v>
      </c>
      <c r="M7390" t="n">
        <v>0</v>
      </c>
      <c r="N7390" t="n">
        <v>0</v>
      </c>
      <c r="O7390" t="n">
        <v>0</v>
      </c>
      <c r="P7390" t="n">
        <v>0</v>
      </c>
      <c r="Q7390" t="n">
        <v>0</v>
      </c>
      <c r="R7390" s="2" t="inlineStr"/>
    </row>
    <row r="7391" ht="15" customHeight="1">
      <c r="A7391" t="inlineStr">
        <is>
          <t>A 38592-2025</t>
        </is>
      </c>
      <c r="B7391" s="1" t="n">
        <v>45884.48247685185</v>
      </c>
      <c r="C7391" s="1" t="n">
        <v>45952</v>
      </c>
      <c r="D7391" t="inlineStr">
        <is>
          <t>VÄSTRA GÖTALANDS LÄN</t>
        </is>
      </c>
      <c r="E7391" t="inlineStr">
        <is>
          <t>MUNKEDAL</t>
        </is>
      </c>
      <c r="G7391" t="n">
        <v>1.4</v>
      </c>
      <c r="H7391" t="n">
        <v>0</v>
      </c>
      <c r="I7391" t="n">
        <v>0</v>
      </c>
      <c r="J7391" t="n">
        <v>0</v>
      </c>
      <c r="K7391" t="n">
        <v>0</v>
      </c>
      <c r="L7391" t="n">
        <v>0</v>
      </c>
      <c r="M7391" t="n">
        <v>0</v>
      </c>
      <c r="N7391" t="n">
        <v>0</v>
      </c>
      <c r="O7391" t="n">
        <v>0</v>
      </c>
      <c r="P7391" t="n">
        <v>0</v>
      </c>
      <c r="Q7391" t="n">
        <v>0</v>
      </c>
      <c r="R7391" s="2" t="inlineStr"/>
    </row>
    <row r="7392" ht="15" customHeight="1">
      <c r="A7392" t="inlineStr">
        <is>
          <t>A 2457-2025</t>
        </is>
      </c>
      <c r="B7392" s="1" t="n">
        <v>45674.45380787037</v>
      </c>
      <c r="C7392" s="1" t="n">
        <v>45952</v>
      </c>
      <c r="D7392" t="inlineStr">
        <is>
          <t>VÄSTRA GÖTALANDS LÄN</t>
        </is>
      </c>
      <c r="E7392" t="inlineStr">
        <is>
          <t>ÅMÅL</t>
        </is>
      </c>
      <c r="G7392" t="n">
        <v>0.9</v>
      </c>
      <c r="H7392" t="n">
        <v>0</v>
      </c>
      <c r="I7392" t="n">
        <v>0</v>
      </c>
      <c r="J7392" t="n">
        <v>0</v>
      </c>
      <c r="K7392" t="n">
        <v>0</v>
      </c>
      <c r="L7392" t="n">
        <v>0</v>
      </c>
      <c r="M7392" t="n">
        <v>0</v>
      </c>
      <c r="N7392" t="n">
        <v>0</v>
      </c>
      <c r="O7392" t="n">
        <v>0</v>
      </c>
      <c r="P7392" t="n">
        <v>0</v>
      </c>
      <c r="Q7392" t="n">
        <v>0</v>
      </c>
      <c r="R7392" s="2" t="inlineStr"/>
    </row>
    <row r="7393" ht="15" customHeight="1">
      <c r="A7393" t="inlineStr">
        <is>
          <t>A 56905-2023</t>
        </is>
      </c>
      <c r="B7393" s="1" t="n">
        <v>45244</v>
      </c>
      <c r="C7393" s="1" t="n">
        <v>45952</v>
      </c>
      <c r="D7393" t="inlineStr">
        <is>
          <t>VÄSTRA GÖTALANDS LÄN</t>
        </is>
      </c>
      <c r="E7393" t="inlineStr">
        <is>
          <t>MARK</t>
        </is>
      </c>
      <c r="G7393" t="n">
        <v>1.7</v>
      </c>
      <c r="H7393" t="n">
        <v>0</v>
      </c>
      <c r="I7393" t="n">
        <v>0</v>
      </c>
      <c r="J7393" t="n">
        <v>0</v>
      </c>
      <c r="K7393" t="n">
        <v>0</v>
      </c>
      <c r="L7393" t="n">
        <v>0</v>
      </c>
      <c r="M7393" t="n">
        <v>0</v>
      </c>
      <c r="N7393" t="n">
        <v>0</v>
      </c>
      <c r="O7393" t="n">
        <v>0</v>
      </c>
      <c r="P7393" t="n">
        <v>0</v>
      </c>
      <c r="Q7393" t="n">
        <v>0</v>
      </c>
      <c r="R7393" s="2" t="inlineStr"/>
    </row>
    <row r="7394" ht="15" customHeight="1">
      <c r="A7394" t="inlineStr">
        <is>
          <t>A 38659-2025</t>
        </is>
      </c>
      <c r="B7394" s="1" t="n">
        <v>45884</v>
      </c>
      <c r="C7394" s="1" t="n">
        <v>45952</v>
      </c>
      <c r="D7394" t="inlineStr">
        <is>
          <t>VÄSTRA GÖTALANDS LÄN</t>
        </is>
      </c>
      <c r="E7394" t="inlineStr">
        <is>
          <t>TIDAHOLM</t>
        </is>
      </c>
      <c r="F7394" t="inlineStr">
        <is>
          <t>Kyrkan</t>
        </is>
      </c>
      <c r="G7394" t="n">
        <v>4.3</v>
      </c>
      <c r="H7394" t="n">
        <v>0</v>
      </c>
      <c r="I7394" t="n">
        <v>0</v>
      </c>
      <c r="J7394" t="n">
        <v>0</v>
      </c>
      <c r="K7394" t="n">
        <v>0</v>
      </c>
      <c r="L7394" t="n">
        <v>0</v>
      </c>
      <c r="M7394" t="n">
        <v>0</v>
      </c>
      <c r="N7394" t="n">
        <v>0</v>
      </c>
      <c r="O7394" t="n">
        <v>0</v>
      </c>
      <c r="P7394" t="n">
        <v>0</v>
      </c>
      <c r="Q7394" t="n">
        <v>0</v>
      </c>
      <c r="R7394" s="2" t="inlineStr"/>
    </row>
    <row r="7395" ht="15" customHeight="1">
      <c r="A7395" t="inlineStr">
        <is>
          <t>A 8223-2024</t>
        </is>
      </c>
      <c r="B7395" s="1" t="n">
        <v>45351.89471064815</v>
      </c>
      <c r="C7395" s="1" t="n">
        <v>45952</v>
      </c>
      <c r="D7395" t="inlineStr">
        <is>
          <t>VÄSTRA GÖTALANDS LÄN</t>
        </is>
      </c>
      <c r="E7395" t="inlineStr">
        <is>
          <t>FÄRGELANDA</t>
        </is>
      </c>
      <c r="G7395" t="n">
        <v>2.6</v>
      </c>
      <c r="H7395" t="n">
        <v>0</v>
      </c>
      <c r="I7395" t="n">
        <v>0</v>
      </c>
      <c r="J7395" t="n">
        <v>0</v>
      </c>
      <c r="K7395" t="n">
        <v>0</v>
      </c>
      <c r="L7395" t="n">
        <v>0</v>
      </c>
      <c r="M7395" t="n">
        <v>0</v>
      </c>
      <c r="N7395" t="n">
        <v>0</v>
      </c>
      <c r="O7395" t="n">
        <v>0</v>
      </c>
      <c r="P7395" t="n">
        <v>0</v>
      </c>
      <c r="Q7395" t="n">
        <v>0</v>
      </c>
      <c r="R7395" s="2" t="inlineStr"/>
    </row>
    <row r="7396" ht="15" customHeight="1">
      <c r="A7396" t="inlineStr">
        <is>
          <t>A 8224-2024</t>
        </is>
      </c>
      <c r="B7396" s="1" t="n">
        <v>45351.89734953704</v>
      </c>
      <c r="C7396" s="1" t="n">
        <v>45952</v>
      </c>
      <c r="D7396" t="inlineStr">
        <is>
          <t>VÄSTRA GÖTALANDS LÄN</t>
        </is>
      </c>
      <c r="E7396" t="inlineStr">
        <is>
          <t>FÄRGELANDA</t>
        </is>
      </c>
      <c r="G7396" t="n">
        <v>2.2</v>
      </c>
      <c r="H7396" t="n">
        <v>0</v>
      </c>
      <c r="I7396" t="n">
        <v>0</v>
      </c>
      <c r="J7396" t="n">
        <v>0</v>
      </c>
      <c r="K7396" t="n">
        <v>0</v>
      </c>
      <c r="L7396" t="n">
        <v>0</v>
      </c>
      <c r="M7396" t="n">
        <v>0</v>
      </c>
      <c r="N7396" t="n">
        <v>0</v>
      </c>
      <c r="O7396" t="n">
        <v>0</v>
      </c>
      <c r="P7396" t="n">
        <v>0</v>
      </c>
      <c r="Q7396" t="n">
        <v>0</v>
      </c>
      <c r="R7396" s="2" t="inlineStr"/>
    </row>
    <row r="7397" ht="15" customHeight="1">
      <c r="A7397" t="inlineStr">
        <is>
          <t>A 4862-2024</t>
        </is>
      </c>
      <c r="B7397" s="1" t="n">
        <v>45329</v>
      </c>
      <c r="C7397" s="1" t="n">
        <v>45952</v>
      </c>
      <c r="D7397" t="inlineStr">
        <is>
          <t>VÄSTRA GÖTALANDS LÄN</t>
        </is>
      </c>
      <c r="E7397" t="inlineStr">
        <is>
          <t>ÅMÅL</t>
        </is>
      </c>
      <c r="F7397" t="inlineStr">
        <is>
          <t>Bergvik skog väst AB</t>
        </is>
      </c>
      <c r="G7397" t="n">
        <v>1.1</v>
      </c>
      <c r="H7397" t="n">
        <v>0</v>
      </c>
      <c r="I7397" t="n">
        <v>0</v>
      </c>
      <c r="J7397" t="n">
        <v>0</v>
      </c>
      <c r="K7397" t="n">
        <v>0</v>
      </c>
      <c r="L7397" t="n">
        <v>0</v>
      </c>
      <c r="M7397" t="n">
        <v>0</v>
      </c>
      <c r="N7397" t="n">
        <v>0</v>
      </c>
      <c r="O7397" t="n">
        <v>0</v>
      </c>
      <c r="P7397" t="n">
        <v>0</v>
      </c>
      <c r="Q7397" t="n">
        <v>0</v>
      </c>
      <c r="R7397" s="2" t="inlineStr"/>
    </row>
    <row r="7398" ht="15" customHeight="1">
      <c r="A7398" t="inlineStr">
        <is>
          <t>A 53279-2023</t>
        </is>
      </c>
      <c r="B7398" s="1" t="n">
        <v>45229</v>
      </c>
      <c r="C7398" s="1" t="n">
        <v>45952</v>
      </c>
      <c r="D7398" t="inlineStr">
        <is>
          <t>VÄSTRA GÖTALANDS LÄN</t>
        </is>
      </c>
      <c r="E7398" t="inlineStr">
        <is>
          <t>LIDKÖPING</t>
        </is>
      </c>
      <c r="G7398" t="n">
        <v>0.6</v>
      </c>
      <c r="H7398" t="n">
        <v>0</v>
      </c>
      <c r="I7398" t="n">
        <v>0</v>
      </c>
      <c r="J7398" t="n">
        <v>0</v>
      </c>
      <c r="K7398" t="n">
        <v>0</v>
      </c>
      <c r="L7398" t="n">
        <v>0</v>
      </c>
      <c r="M7398" t="n">
        <v>0</v>
      </c>
      <c r="N7398" t="n">
        <v>0</v>
      </c>
      <c r="O7398" t="n">
        <v>0</v>
      </c>
      <c r="P7398" t="n">
        <v>0</v>
      </c>
      <c r="Q7398" t="n">
        <v>0</v>
      </c>
      <c r="R7398" s="2" t="inlineStr"/>
    </row>
    <row r="7399" ht="15" customHeight="1">
      <c r="A7399" t="inlineStr">
        <is>
          <t>A 42250-2023</t>
        </is>
      </c>
      <c r="B7399" s="1" t="n">
        <v>45180.36814814815</v>
      </c>
      <c r="C7399" s="1" t="n">
        <v>45952</v>
      </c>
      <c r="D7399" t="inlineStr">
        <is>
          <t>VÄSTRA GÖTALANDS LÄN</t>
        </is>
      </c>
      <c r="E7399" t="inlineStr">
        <is>
          <t>BOLLEBYGD</t>
        </is>
      </c>
      <c r="G7399" t="n">
        <v>0.5</v>
      </c>
      <c r="H7399" t="n">
        <v>0</v>
      </c>
      <c r="I7399" t="n">
        <v>0</v>
      </c>
      <c r="J7399" t="n">
        <v>0</v>
      </c>
      <c r="K7399" t="n">
        <v>0</v>
      </c>
      <c r="L7399" t="n">
        <v>0</v>
      </c>
      <c r="M7399" t="n">
        <v>0</v>
      </c>
      <c r="N7399" t="n">
        <v>0</v>
      </c>
      <c r="O7399" t="n">
        <v>0</v>
      </c>
      <c r="P7399" t="n">
        <v>0</v>
      </c>
      <c r="Q7399" t="n">
        <v>0</v>
      </c>
      <c r="R7399" s="2" t="inlineStr"/>
    </row>
    <row r="7400" ht="15" customHeight="1">
      <c r="A7400" t="inlineStr">
        <is>
          <t>A 42256-2023</t>
        </is>
      </c>
      <c r="B7400" s="1" t="n">
        <v>45180</v>
      </c>
      <c r="C7400" s="1" t="n">
        <v>45952</v>
      </c>
      <c r="D7400" t="inlineStr">
        <is>
          <t>VÄSTRA GÖTALANDS LÄN</t>
        </is>
      </c>
      <c r="E7400" t="inlineStr">
        <is>
          <t>BOLLEBYGD</t>
        </is>
      </c>
      <c r="G7400" t="n">
        <v>0.5</v>
      </c>
      <c r="H7400" t="n">
        <v>0</v>
      </c>
      <c r="I7400" t="n">
        <v>0</v>
      </c>
      <c r="J7400" t="n">
        <v>0</v>
      </c>
      <c r="K7400" t="n">
        <v>0</v>
      </c>
      <c r="L7400" t="n">
        <v>0</v>
      </c>
      <c r="M7400" t="n">
        <v>0</v>
      </c>
      <c r="N7400" t="n">
        <v>0</v>
      </c>
      <c r="O7400" t="n">
        <v>0</v>
      </c>
      <c r="P7400" t="n">
        <v>0</v>
      </c>
      <c r="Q7400" t="n">
        <v>0</v>
      </c>
      <c r="R7400" s="2" t="inlineStr"/>
    </row>
    <row r="7401" ht="15" customHeight="1">
      <c r="A7401" t="inlineStr">
        <is>
          <t>A 68906-2020</t>
        </is>
      </c>
      <c r="B7401" s="1" t="n">
        <v>44187</v>
      </c>
      <c r="C7401" s="1" t="n">
        <v>45952</v>
      </c>
      <c r="D7401" t="inlineStr">
        <is>
          <t>VÄSTRA GÖTALANDS LÄN</t>
        </is>
      </c>
      <c r="E7401" t="inlineStr">
        <is>
          <t>LIDKÖPING</t>
        </is>
      </c>
      <c r="G7401" t="n">
        <v>2.4</v>
      </c>
      <c r="H7401" t="n">
        <v>0</v>
      </c>
      <c r="I7401" t="n">
        <v>0</v>
      </c>
      <c r="J7401" t="n">
        <v>0</v>
      </c>
      <c r="K7401" t="n">
        <v>0</v>
      </c>
      <c r="L7401" t="n">
        <v>0</v>
      </c>
      <c r="M7401" t="n">
        <v>0</v>
      </c>
      <c r="N7401" t="n">
        <v>0</v>
      </c>
      <c r="O7401" t="n">
        <v>0</v>
      </c>
      <c r="P7401" t="n">
        <v>0</v>
      </c>
      <c r="Q7401" t="n">
        <v>0</v>
      </c>
      <c r="R7401" s="2" t="inlineStr"/>
    </row>
    <row r="7402" ht="15" customHeight="1">
      <c r="A7402" t="inlineStr">
        <is>
          <t>A 20912-2024</t>
        </is>
      </c>
      <c r="B7402" s="1" t="n">
        <v>45439.49229166667</v>
      </c>
      <c r="C7402" s="1" t="n">
        <v>45952</v>
      </c>
      <c r="D7402" t="inlineStr">
        <is>
          <t>VÄSTRA GÖTALANDS LÄN</t>
        </is>
      </c>
      <c r="E7402" t="inlineStr">
        <is>
          <t>SKÖVDE</t>
        </is>
      </c>
      <c r="G7402" t="n">
        <v>1.9</v>
      </c>
      <c r="H7402" t="n">
        <v>0</v>
      </c>
      <c r="I7402" t="n">
        <v>0</v>
      </c>
      <c r="J7402" t="n">
        <v>0</v>
      </c>
      <c r="K7402" t="n">
        <v>0</v>
      </c>
      <c r="L7402" t="n">
        <v>0</v>
      </c>
      <c r="M7402" t="n">
        <v>0</v>
      </c>
      <c r="N7402" t="n">
        <v>0</v>
      </c>
      <c r="O7402" t="n">
        <v>0</v>
      </c>
      <c r="P7402" t="n">
        <v>0</v>
      </c>
      <c r="Q7402" t="n">
        <v>0</v>
      </c>
      <c r="R7402" s="2" t="inlineStr"/>
    </row>
    <row r="7403" ht="15" customHeight="1">
      <c r="A7403" t="inlineStr">
        <is>
          <t>A 55977-2020</t>
        </is>
      </c>
      <c r="B7403" s="1" t="n">
        <v>44133</v>
      </c>
      <c r="C7403" s="1" t="n">
        <v>45952</v>
      </c>
      <c r="D7403" t="inlineStr">
        <is>
          <t>VÄSTRA GÖTALANDS LÄN</t>
        </is>
      </c>
      <c r="E7403" t="inlineStr">
        <is>
          <t>VÅRGÅRDA</t>
        </is>
      </c>
      <c r="G7403" t="n">
        <v>0.4</v>
      </c>
      <c r="H7403" t="n">
        <v>0</v>
      </c>
      <c r="I7403" t="n">
        <v>0</v>
      </c>
      <c r="J7403" t="n">
        <v>0</v>
      </c>
      <c r="K7403" t="n">
        <v>0</v>
      </c>
      <c r="L7403" t="n">
        <v>0</v>
      </c>
      <c r="M7403" t="n">
        <v>0</v>
      </c>
      <c r="N7403" t="n">
        <v>0</v>
      </c>
      <c r="O7403" t="n">
        <v>0</v>
      </c>
      <c r="P7403" t="n">
        <v>0</v>
      </c>
      <c r="Q7403" t="n">
        <v>0</v>
      </c>
      <c r="R7403" s="2" t="inlineStr"/>
    </row>
    <row r="7404" ht="15" customHeight="1">
      <c r="A7404" t="inlineStr">
        <is>
          <t>A 10743-2022</t>
        </is>
      </c>
      <c r="B7404" s="1" t="n">
        <v>44627.36609953704</v>
      </c>
      <c r="C7404" s="1" t="n">
        <v>45952</v>
      </c>
      <c r="D7404" t="inlineStr">
        <is>
          <t>VÄSTRA GÖTALANDS LÄN</t>
        </is>
      </c>
      <c r="E7404" t="inlineStr">
        <is>
          <t>TANUM</t>
        </is>
      </c>
      <c r="G7404" t="n">
        <v>3.1</v>
      </c>
      <c r="H7404" t="n">
        <v>0</v>
      </c>
      <c r="I7404" t="n">
        <v>0</v>
      </c>
      <c r="J7404" t="n">
        <v>0</v>
      </c>
      <c r="K7404" t="n">
        <v>0</v>
      </c>
      <c r="L7404" t="n">
        <v>0</v>
      </c>
      <c r="M7404" t="n">
        <v>0</v>
      </c>
      <c r="N7404" t="n">
        <v>0</v>
      </c>
      <c r="O7404" t="n">
        <v>0</v>
      </c>
      <c r="P7404" t="n">
        <v>0</v>
      </c>
      <c r="Q7404" t="n">
        <v>0</v>
      </c>
      <c r="R7404" s="2" t="inlineStr"/>
    </row>
    <row r="7405" ht="15" customHeight="1">
      <c r="A7405" t="inlineStr">
        <is>
          <t>A 34422-2021</t>
        </is>
      </c>
      <c r="B7405" s="1" t="n">
        <v>44380</v>
      </c>
      <c r="C7405" s="1" t="n">
        <v>45952</v>
      </c>
      <c r="D7405" t="inlineStr">
        <is>
          <t>VÄSTRA GÖTALANDS LÄN</t>
        </is>
      </c>
      <c r="E7405" t="inlineStr">
        <is>
          <t>HERRLJUNGA</t>
        </is>
      </c>
      <c r="G7405" t="n">
        <v>4</v>
      </c>
      <c r="H7405" t="n">
        <v>0</v>
      </c>
      <c r="I7405" t="n">
        <v>0</v>
      </c>
      <c r="J7405" t="n">
        <v>0</v>
      </c>
      <c r="K7405" t="n">
        <v>0</v>
      </c>
      <c r="L7405" t="n">
        <v>0</v>
      </c>
      <c r="M7405" t="n">
        <v>0</v>
      </c>
      <c r="N7405" t="n">
        <v>0</v>
      </c>
      <c r="O7405" t="n">
        <v>0</v>
      </c>
      <c r="P7405" t="n">
        <v>0</v>
      </c>
      <c r="Q7405" t="n">
        <v>0</v>
      </c>
      <c r="R7405" s="2" t="inlineStr"/>
    </row>
    <row r="7406" ht="15" customHeight="1">
      <c r="A7406" t="inlineStr">
        <is>
          <t>A 48447-2022</t>
        </is>
      </c>
      <c r="B7406" s="1" t="n">
        <v>44858.65266203704</v>
      </c>
      <c r="C7406" s="1" t="n">
        <v>45952</v>
      </c>
      <c r="D7406" t="inlineStr">
        <is>
          <t>VÄSTRA GÖTALANDS LÄN</t>
        </is>
      </c>
      <c r="E7406" t="inlineStr">
        <is>
          <t>ÅMÅL</t>
        </is>
      </c>
      <c r="G7406" t="n">
        <v>2.2</v>
      </c>
      <c r="H7406" t="n">
        <v>0</v>
      </c>
      <c r="I7406" t="n">
        <v>0</v>
      </c>
      <c r="J7406" t="n">
        <v>0</v>
      </c>
      <c r="K7406" t="n">
        <v>0</v>
      </c>
      <c r="L7406" t="n">
        <v>0</v>
      </c>
      <c r="M7406" t="n">
        <v>0</v>
      </c>
      <c r="N7406" t="n">
        <v>0</v>
      </c>
      <c r="O7406" t="n">
        <v>0</v>
      </c>
      <c r="P7406" t="n">
        <v>0</v>
      </c>
      <c r="Q7406" t="n">
        <v>0</v>
      </c>
      <c r="R7406" s="2" t="inlineStr"/>
    </row>
    <row r="7407" ht="15" customHeight="1">
      <c r="A7407" t="inlineStr">
        <is>
          <t>A 18932-2023</t>
        </is>
      </c>
      <c r="B7407" s="1" t="n">
        <v>45044</v>
      </c>
      <c r="C7407" s="1" t="n">
        <v>45952</v>
      </c>
      <c r="D7407" t="inlineStr">
        <is>
          <t>VÄSTRA GÖTALANDS LÄN</t>
        </is>
      </c>
      <c r="E7407" t="inlineStr">
        <is>
          <t>TRANEMO</t>
        </is>
      </c>
      <c r="G7407" t="n">
        <v>1.5</v>
      </c>
      <c r="H7407" t="n">
        <v>0</v>
      </c>
      <c r="I7407" t="n">
        <v>0</v>
      </c>
      <c r="J7407" t="n">
        <v>0</v>
      </c>
      <c r="K7407" t="n">
        <v>0</v>
      </c>
      <c r="L7407" t="n">
        <v>0</v>
      </c>
      <c r="M7407" t="n">
        <v>0</v>
      </c>
      <c r="N7407" t="n">
        <v>0</v>
      </c>
      <c r="O7407" t="n">
        <v>0</v>
      </c>
      <c r="P7407" t="n">
        <v>0</v>
      </c>
      <c r="Q7407" t="n">
        <v>0</v>
      </c>
      <c r="R7407" s="2" t="inlineStr"/>
    </row>
    <row r="7408" ht="15" customHeight="1">
      <c r="A7408" t="inlineStr">
        <is>
          <t>A 35479-2023</t>
        </is>
      </c>
      <c r="B7408" s="1" t="n">
        <v>45146</v>
      </c>
      <c r="C7408" s="1" t="n">
        <v>45952</v>
      </c>
      <c r="D7408" t="inlineStr">
        <is>
          <t>VÄSTRA GÖTALANDS LÄN</t>
        </is>
      </c>
      <c r="E7408" t="inlineStr">
        <is>
          <t>TIDAHOLM</t>
        </is>
      </c>
      <c r="G7408" t="n">
        <v>8.199999999999999</v>
      </c>
      <c r="H7408" t="n">
        <v>0</v>
      </c>
      <c r="I7408" t="n">
        <v>0</v>
      </c>
      <c r="J7408" t="n">
        <v>0</v>
      </c>
      <c r="K7408" t="n">
        <v>0</v>
      </c>
      <c r="L7408" t="n">
        <v>0</v>
      </c>
      <c r="M7408" t="n">
        <v>0</v>
      </c>
      <c r="N7408" t="n">
        <v>0</v>
      </c>
      <c r="O7408" t="n">
        <v>0</v>
      </c>
      <c r="P7408" t="n">
        <v>0</v>
      </c>
      <c r="Q7408" t="n">
        <v>0</v>
      </c>
      <c r="R7408" s="2" t="inlineStr"/>
    </row>
    <row r="7409" ht="15" customHeight="1">
      <c r="A7409" t="inlineStr">
        <is>
          <t>A 29800-2023</t>
        </is>
      </c>
      <c r="B7409" s="1" t="n">
        <v>45107.53695601852</v>
      </c>
      <c r="C7409" s="1" t="n">
        <v>45952</v>
      </c>
      <c r="D7409" t="inlineStr">
        <is>
          <t>VÄSTRA GÖTALANDS LÄN</t>
        </is>
      </c>
      <c r="E7409" t="inlineStr">
        <is>
          <t>BENGTSFORS</t>
        </is>
      </c>
      <c r="G7409" t="n">
        <v>1.3</v>
      </c>
      <c r="H7409" t="n">
        <v>0</v>
      </c>
      <c r="I7409" t="n">
        <v>0</v>
      </c>
      <c r="J7409" t="n">
        <v>0</v>
      </c>
      <c r="K7409" t="n">
        <v>0</v>
      </c>
      <c r="L7409" t="n">
        <v>0</v>
      </c>
      <c r="M7409" t="n">
        <v>0</v>
      </c>
      <c r="N7409" t="n">
        <v>0</v>
      </c>
      <c r="O7409" t="n">
        <v>0</v>
      </c>
      <c r="P7409" t="n">
        <v>0</v>
      </c>
      <c r="Q7409" t="n">
        <v>0</v>
      </c>
      <c r="R7409" s="2" t="inlineStr"/>
    </row>
    <row r="7410" ht="15" customHeight="1">
      <c r="A7410" t="inlineStr">
        <is>
          <t>A 54279-2023</t>
        </is>
      </c>
      <c r="B7410" s="1" t="n">
        <v>45232.69478009259</v>
      </c>
      <c r="C7410" s="1" t="n">
        <v>45952</v>
      </c>
      <c r="D7410" t="inlineStr">
        <is>
          <t>VÄSTRA GÖTALANDS LÄN</t>
        </is>
      </c>
      <c r="E7410" t="inlineStr">
        <is>
          <t>LIDKÖPING</t>
        </is>
      </c>
      <c r="G7410" t="n">
        <v>1.3</v>
      </c>
      <c r="H7410" t="n">
        <v>0</v>
      </c>
      <c r="I7410" t="n">
        <v>0</v>
      </c>
      <c r="J7410" t="n">
        <v>0</v>
      </c>
      <c r="K7410" t="n">
        <v>0</v>
      </c>
      <c r="L7410" t="n">
        <v>0</v>
      </c>
      <c r="M7410" t="n">
        <v>0</v>
      </c>
      <c r="N7410" t="n">
        <v>0</v>
      </c>
      <c r="O7410" t="n">
        <v>0</v>
      </c>
      <c r="P7410" t="n">
        <v>0</v>
      </c>
      <c r="Q7410" t="n">
        <v>0</v>
      </c>
      <c r="R7410" s="2" t="inlineStr"/>
    </row>
    <row r="7411" ht="15" customHeight="1">
      <c r="A7411" t="inlineStr">
        <is>
          <t>A 54533-2024</t>
        </is>
      </c>
      <c r="B7411" s="1" t="n">
        <v>45617.6054050926</v>
      </c>
      <c r="C7411" s="1" t="n">
        <v>45952</v>
      </c>
      <c r="D7411" t="inlineStr">
        <is>
          <t>VÄSTRA GÖTALANDS LÄN</t>
        </is>
      </c>
      <c r="E7411" t="inlineStr">
        <is>
          <t>SVENLJUNGA</t>
        </is>
      </c>
      <c r="F7411" t="inlineStr">
        <is>
          <t>Kyrkan</t>
        </is>
      </c>
      <c r="G7411" t="n">
        <v>4.1</v>
      </c>
      <c r="H7411" t="n">
        <v>0</v>
      </c>
      <c r="I7411" t="n">
        <v>0</v>
      </c>
      <c r="J7411" t="n">
        <v>0</v>
      </c>
      <c r="K7411" t="n">
        <v>0</v>
      </c>
      <c r="L7411" t="n">
        <v>0</v>
      </c>
      <c r="M7411" t="n">
        <v>0</v>
      </c>
      <c r="N7411" t="n">
        <v>0</v>
      </c>
      <c r="O7411" t="n">
        <v>0</v>
      </c>
      <c r="P7411" t="n">
        <v>0</v>
      </c>
      <c r="Q7411" t="n">
        <v>0</v>
      </c>
      <c r="R7411" s="2" t="inlineStr"/>
    </row>
    <row r="7412" ht="15" customHeight="1">
      <c r="A7412" t="inlineStr">
        <is>
          <t>A 45983-2024</t>
        </is>
      </c>
      <c r="B7412" s="1" t="n">
        <v>45580.61104166666</v>
      </c>
      <c r="C7412" s="1" t="n">
        <v>45952</v>
      </c>
      <c r="D7412" t="inlineStr">
        <is>
          <t>VÄSTRA GÖTALANDS LÄN</t>
        </is>
      </c>
      <c r="E7412" t="inlineStr">
        <is>
          <t>TROLLHÄTTAN</t>
        </is>
      </c>
      <c r="G7412" t="n">
        <v>2.8</v>
      </c>
      <c r="H7412" t="n">
        <v>0</v>
      </c>
      <c r="I7412" t="n">
        <v>0</v>
      </c>
      <c r="J7412" t="n">
        <v>0</v>
      </c>
      <c r="K7412" t="n">
        <v>0</v>
      </c>
      <c r="L7412" t="n">
        <v>0</v>
      </c>
      <c r="M7412" t="n">
        <v>0</v>
      </c>
      <c r="N7412" t="n">
        <v>0</v>
      </c>
      <c r="O7412" t="n">
        <v>0</v>
      </c>
      <c r="P7412" t="n">
        <v>0</v>
      </c>
      <c r="Q7412" t="n">
        <v>0</v>
      </c>
      <c r="R7412" s="2" t="inlineStr"/>
    </row>
    <row r="7413" ht="15" customHeight="1">
      <c r="A7413" t="inlineStr">
        <is>
          <t>A 24642-2022</t>
        </is>
      </c>
      <c r="B7413" s="1" t="n">
        <v>44727.59578703704</v>
      </c>
      <c r="C7413" s="1" t="n">
        <v>45952</v>
      </c>
      <c r="D7413" t="inlineStr">
        <is>
          <t>VÄSTRA GÖTALANDS LÄN</t>
        </is>
      </c>
      <c r="E7413" t="inlineStr">
        <is>
          <t>ALE</t>
        </is>
      </c>
      <c r="G7413" t="n">
        <v>10</v>
      </c>
      <c r="H7413" t="n">
        <v>0</v>
      </c>
      <c r="I7413" t="n">
        <v>0</v>
      </c>
      <c r="J7413" t="n">
        <v>0</v>
      </c>
      <c r="K7413" t="n">
        <v>0</v>
      </c>
      <c r="L7413" t="n">
        <v>0</v>
      </c>
      <c r="M7413" t="n">
        <v>0</v>
      </c>
      <c r="N7413" t="n">
        <v>0</v>
      </c>
      <c r="O7413" t="n">
        <v>0</v>
      </c>
      <c r="P7413" t="n">
        <v>0</v>
      </c>
      <c r="Q7413" t="n">
        <v>0</v>
      </c>
      <c r="R7413" s="2" t="inlineStr"/>
    </row>
    <row r="7414" ht="15" customHeight="1">
      <c r="A7414" t="inlineStr">
        <is>
          <t>A 47265-2024</t>
        </is>
      </c>
      <c r="B7414" s="1" t="n">
        <v>45586.80979166667</v>
      </c>
      <c r="C7414" s="1" t="n">
        <v>45952</v>
      </c>
      <c r="D7414" t="inlineStr">
        <is>
          <t>VÄSTRA GÖTALANDS LÄN</t>
        </is>
      </c>
      <c r="E7414" t="inlineStr">
        <is>
          <t>BOLLEBYGD</t>
        </is>
      </c>
      <c r="G7414" t="n">
        <v>0.6</v>
      </c>
      <c r="H7414" t="n">
        <v>0</v>
      </c>
      <c r="I7414" t="n">
        <v>0</v>
      </c>
      <c r="J7414" t="n">
        <v>0</v>
      </c>
      <c r="K7414" t="n">
        <v>0</v>
      </c>
      <c r="L7414" t="n">
        <v>0</v>
      </c>
      <c r="M7414" t="n">
        <v>0</v>
      </c>
      <c r="N7414" t="n">
        <v>0</v>
      </c>
      <c r="O7414" t="n">
        <v>0</v>
      </c>
      <c r="P7414" t="n">
        <v>0</v>
      </c>
      <c r="Q7414" t="n">
        <v>0</v>
      </c>
      <c r="R7414" s="2" t="inlineStr"/>
    </row>
    <row r="7415" ht="15" customHeight="1">
      <c r="A7415" t="inlineStr">
        <is>
          <t>A 17715-2025</t>
        </is>
      </c>
      <c r="B7415" s="1" t="n">
        <v>45758.44545138889</v>
      </c>
      <c r="C7415" s="1" t="n">
        <v>45952</v>
      </c>
      <c r="D7415" t="inlineStr">
        <is>
          <t>VÄSTRA GÖTALANDS LÄN</t>
        </is>
      </c>
      <c r="E7415" t="inlineStr">
        <is>
          <t>GRÄSTORP</t>
        </is>
      </c>
      <c r="G7415" t="n">
        <v>1.2</v>
      </c>
      <c r="H7415" t="n">
        <v>0</v>
      </c>
      <c r="I7415" t="n">
        <v>0</v>
      </c>
      <c r="J7415" t="n">
        <v>0</v>
      </c>
      <c r="K7415" t="n">
        <v>0</v>
      </c>
      <c r="L7415" t="n">
        <v>0</v>
      </c>
      <c r="M7415" t="n">
        <v>0</v>
      </c>
      <c r="N7415" t="n">
        <v>0</v>
      </c>
      <c r="O7415" t="n">
        <v>0</v>
      </c>
      <c r="P7415" t="n">
        <v>0</v>
      </c>
      <c r="Q7415" t="n">
        <v>0</v>
      </c>
      <c r="R7415" s="2" t="inlineStr"/>
    </row>
    <row r="7416" ht="15" customHeight="1">
      <c r="A7416" t="inlineStr">
        <is>
          <t>A 4906-2024</t>
        </is>
      </c>
      <c r="B7416" s="1" t="n">
        <v>45329.47921296296</v>
      </c>
      <c r="C7416" s="1" t="n">
        <v>45952</v>
      </c>
      <c r="D7416" t="inlineStr">
        <is>
          <t>VÄSTRA GÖTALANDS LÄN</t>
        </is>
      </c>
      <c r="E7416" t="inlineStr">
        <is>
          <t>TROLLHÄTTAN</t>
        </is>
      </c>
      <c r="G7416" t="n">
        <v>1.2</v>
      </c>
      <c r="H7416" t="n">
        <v>0</v>
      </c>
      <c r="I7416" t="n">
        <v>0</v>
      </c>
      <c r="J7416" t="n">
        <v>0</v>
      </c>
      <c r="K7416" t="n">
        <v>0</v>
      </c>
      <c r="L7416" t="n">
        <v>0</v>
      </c>
      <c r="M7416" t="n">
        <v>0</v>
      </c>
      <c r="N7416" t="n">
        <v>0</v>
      </c>
      <c r="O7416" t="n">
        <v>0</v>
      </c>
      <c r="P7416" t="n">
        <v>0</v>
      </c>
      <c r="Q7416" t="n">
        <v>0</v>
      </c>
      <c r="R7416" s="2" t="inlineStr"/>
    </row>
    <row r="7417" ht="15" customHeight="1">
      <c r="A7417" t="inlineStr">
        <is>
          <t>A 20948-2025</t>
        </is>
      </c>
      <c r="B7417" s="1" t="n">
        <v>45777.435</v>
      </c>
      <c r="C7417" s="1" t="n">
        <v>45952</v>
      </c>
      <c r="D7417" t="inlineStr">
        <is>
          <t>VÄSTRA GÖTALANDS LÄN</t>
        </is>
      </c>
      <c r="E7417" t="inlineStr">
        <is>
          <t>DALS-ED</t>
        </is>
      </c>
      <c r="G7417" t="n">
        <v>1.1</v>
      </c>
      <c r="H7417" t="n">
        <v>0</v>
      </c>
      <c r="I7417" t="n">
        <v>0</v>
      </c>
      <c r="J7417" t="n">
        <v>0</v>
      </c>
      <c r="K7417" t="n">
        <v>0</v>
      </c>
      <c r="L7417" t="n">
        <v>0</v>
      </c>
      <c r="M7417" t="n">
        <v>0</v>
      </c>
      <c r="N7417" t="n">
        <v>0</v>
      </c>
      <c r="O7417" t="n">
        <v>0</v>
      </c>
      <c r="P7417" t="n">
        <v>0</v>
      </c>
      <c r="Q7417" t="n">
        <v>0</v>
      </c>
      <c r="R7417" s="2" t="inlineStr"/>
    </row>
    <row r="7418" ht="15" customHeight="1">
      <c r="A7418" t="inlineStr">
        <is>
          <t>A 18278-2025</t>
        </is>
      </c>
      <c r="B7418" s="1" t="n">
        <v>45762.3846412037</v>
      </c>
      <c r="C7418" s="1" t="n">
        <v>45952</v>
      </c>
      <c r="D7418" t="inlineStr">
        <is>
          <t>VÄSTRA GÖTALANDS LÄN</t>
        </is>
      </c>
      <c r="E7418" t="inlineStr">
        <is>
          <t>MUNKEDAL</t>
        </is>
      </c>
      <c r="G7418" t="n">
        <v>2.5</v>
      </c>
      <c r="H7418" t="n">
        <v>0</v>
      </c>
      <c r="I7418" t="n">
        <v>0</v>
      </c>
      <c r="J7418" t="n">
        <v>0</v>
      </c>
      <c r="K7418" t="n">
        <v>0</v>
      </c>
      <c r="L7418" t="n">
        <v>0</v>
      </c>
      <c r="M7418" t="n">
        <v>0</v>
      </c>
      <c r="N7418" t="n">
        <v>0</v>
      </c>
      <c r="O7418" t="n">
        <v>0</v>
      </c>
      <c r="P7418" t="n">
        <v>0</v>
      </c>
      <c r="Q7418" t="n">
        <v>0</v>
      </c>
      <c r="R7418" s="2" t="inlineStr"/>
    </row>
    <row r="7419" ht="15" customHeight="1">
      <c r="A7419" t="inlineStr">
        <is>
          <t>A 3570-2023</t>
        </is>
      </c>
      <c r="B7419" s="1" t="n">
        <v>44950.49107638889</v>
      </c>
      <c r="C7419" s="1" t="n">
        <v>45952</v>
      </c>
      <c r="D7419" t="inlineStr">
        <is>
          <t>VÄSTRA GÖTALANDS LÄN</t>
        </is>
      </c>
      <c r="E7419" t="inlineStr">
        <is>
          <t>STENUNGSUND</t>
        </is>
      </c>
      <c r="G7419" t="n">
        <v>4.1</v>
      </c>
      <c r="H7419" t="n">
        <v>0</v>
      </c>
      <c r="I7419" t="n">
        <v>0</v>
      </c>
      <c r="J7419" t="n">
        <v>0</v>
      </c>
      <c r="K7419" t="n">
        <v>0</v>
      </c>
      <c r="L7419" t="n">
        <v>0</v>
      </c>
      <c r="M7419" t="n">
        <v>0</v>
      </c>
      <c r="N7419" t="n">
        <v>0</v>
      </c>
      <c r="O7419" t="n">
        <v>0</v>
      </c>
      <c r="P7419" t="n">
        <v>0</v>
      </c>
      <c r="Q7419" t="n">
        <v>0</v>
      </c>
      <c r="R7419" s="2" t="inlineStr"/>
    </row>
    <row r="7420" ht="15" customHeight="1">
      <c r="A7420" t="inlineStr">
        <is>
          <t>A 20664-2025</t>
        </is>
      </c>
      <c r="B7420" s="1" t="n">
        <v>45776.41950231481</v>
      </c>
      <c r="C7420" s="1" t="n">
        <v>45952</v>
      </c>
      <c r="D7420" t="inlineStr">
        <is>
          <t>VÄSTRA GÖTALANDS LÄN</t>
        </is>
      </c>
      <c r="E7420" t="inlineStr">
        <is>
          <t>MARK</t>
        </is>
      </c>
      <c r="G7420" t="n">
        <v>4.3</v>
      </c>
      <c r="H7420" t="n">
        <v>0</v>
      </c>
      <c r="I7420" t="n">
        <v>0</v>
      </c>
      <c r="J7420" t="n">
        <v>0</v>
      </c>
      <c r="K7420" t="n">
        <v>0</v>
      </c>
      <c r="L7420" t="n">
        <v>0</v>
      </c>
      <c r="M7420" t="n">
        <v>0</v>
      </c>
      <c r="N7420" t="n">
        <v>0</v>
      </c>
      <c r="O7420" t="n">
        <v>0</v>
      </c>
      <c r="P7420" t="n">
        <v>0</v>
      </c>
      <c r="Q7420" t="n">
        <v>0</v>
      </c>
      <c r="R7420" s="2" t="inlineStr"/>
    </row>
    <row r="7421" ht="15" customHeight="1">
      <c r="A7421" t="inlineStr">
        <is>
          <t>A 57561-2022</t>
        </is>
      </c>
      <c r="B7421" s="1" t="n">
        <v>44896</v>
      </c>
      <c r="C7421" s="1" t="n">
        <v>45952</v>
      </c>
      <c r="D7421" t="inlineStr">
        <is>
          <t>VÄSTRA GÖTALANDS LÄN</t>
        </is>
      </c>
      <c r="E7421" t="inlineStr">
        <is>
          <t>ULRICEHAMN</t>
        </is>
      </c>
      <c r="G7421" t="n">
        <v>3.9</v>
      </c>
      <c r="H7421" t="n">
        <v>0</v>
      </c>
      <c r="I7421" t="n">
        <v>0</v>
      </c>
      <c r="J7421" t="n">
        <v>0</v>
      </c>
      <c r="K7421" t="n">
        <v>0</v>
      </c>
      <c r="L7421" t="n">
        <v>0</v>
      </c>
      <c r="M7421" t="n">
        <v>0</v>
      </c>
      <c r="N7421" t="n">
        <v>0</v>
      </c>
      <c r="O7421" t="n">
        <v>0</v>
      </c>
      <c r="P7421" t="n">
        <v>0</v>
      </c>
      <c r="Q7421" t="n">
        <v>0</v>
      </c>
      <c r="R7421" s="2" t="inlineStr"/>
    </row>
    <row r="7422" ht="15" customHeight="1">
      <c r="A7422" t="inlineStr">
        <is>
          <t>A 7505-2024</t>
        </is>
      </c>
      <c r="B7422" s="1" t="n">
        <v>45347.93181712963</v>
      </c>
      <c r="C7422" s="1" t="n">
        <v>45952</v>
      </c>
      <c r="D7422" t="inlineStr">
        <is>
          <t>VÄSTRA GÖTALANDS LÄN</t>
        </is>
      </c>
      <c r="E7422" t="inlineStr">
        <is>
          <t>KUNGÄLV</t>
        </is>
      </c>
      <c r="G7422" t="n">
        <v>1.8</v>
      </c>
      <c r="H7422" t="n">
        <v>0</v>
      </c>
      <c r="I7422" t="n">
        <v>0</v>
      </c>
      <c r="J7422" t="n">
        <v>0</v>
      </c>
      <c r="K7422" t="n">
        <v>0</v>
      </c>
      <c r="L7422" t="n">
        <v>0</v>
      </c>
      <c r="M7422" t="n">
        <v>0</v>
      </c>
      <c r="N7422" t="n">
        <v>0</v>
      </c>
      <c r="O7422" t="n">
        <v>0</v>
      </c>
      <c r="P7422" t="n">
        <v>0</v>
      </c>
      <c r="Q7422" t="n">
        <v>0</v>
      </c>
      <c r="R7422" s="2" t="inlineStr"/>
    </row>
    <row r="7423" ht="15" customHeight="1">
      <c r="A7423" t="inlineStr">
        <is>
          <t>A 7527-2024</t>
        </is>
      </c>
      <c r="B7423" s="1" t="n">
        <v>45348</v>
      </c>
      <c r="C7423" s="1" t="n">
        <v>45952</v>
      </c>
      <c r="D7423" t="inlineStr">
        <is>
          <t>VÄSTRA GÖTALANDS LÄN</t>
        </is>
      </c>
      <c r="E7423" t="inlineStr">
        <is>
          <t>DALS-ED</t>
        </is>
      </c>
      <c r="G7423" t="n">
        <v>8.1</v>
      </c>
      <c r="H7423" t="n">
        <v>0</v>
      </c>
      <c r="I7423" t="n">
        <v>0</v>
      </c>
      <c r="J7423" t="n">
        <v>0</v>
      </c>
      <c r="K7423" t="n">
        <v>0</v>
      </c>
      <c r="L7423" t="n">
        <v>0</v>
      </c>
      <c r="M7423" t="n">
        <v>0</v>
      </c>
      <c r="N7423" t="n">
        <v>0</v>
      </c>
      <c r="O7423" t="n">
        <v>0</v>
      </c>
      <c r="P7423" t="n">
        <v>0</v>
      </c>
      <c r="Q7423" t="n">
        <v>0</v>
      </c>
      <c r="R7423" s="2" t="inlineStr"/>
    </row>
    <row r="7424" ht="15" customHeight="1">
      <c r="A7424" t="inlineStr">
        <is>
          <t>A 240-2023</t>
        </is>
      </c>
      <c r="B7424" s="1" t="n">
        <v>44928</v>
      </c>
      <c r="C7424" s="1" t="n">
        <v>45952</v>
      </c>
      <c r="D7424" t="inlineStr">
        <is>
          <t>VÄSTRA GÖTALANDS LÄN</t>
        </is>
      </c>
      <c r="E7424" t="inlineStr">
        <is>
          <t>UDDEVALLA</t>
        </is>
      </c>
      <c r="G7424" t="n">
        <v>0.7</v>
      </c>
      <c r="H7424" t="n">
        <v>0</v>
      </c>
      <c r="I7424" t="n">
        <v>0</v>
      </c>
      <c r="J7424" t="n">
        <v>0</v>
      </c>
      <c r="K7424" t="n">
        <v>0</v>
      </c>
      <c r="L7424" t="n">
        <v>0</v>
      </c>
      <c r="M7424" t="n">
        <v>0</v>
      </c>
      <c r="N7424" t="n">
        <v>0</v>
      </c>
      <c r="O7424" t="n">
        <v>0</v>
      </c>
      <c r="P7424" t="n">
        <v>0</v>
      </c>
      <c r="Q7424" t="n">
        <v>0</v>
      </c>
      <c r="R7424" s="2" t="inlineStr"/>
    </row>
    <row r="7425" ht="15" customHeight="1">
      <c r="A7425" t="inlineStr">
        <is>
          <t>A 247-2023</t>
        </is>
      </c>
      <c r="B7425" s="1" t="n">
        <v>44928</v>
      </c>
      <c r="C7425" s="1" t="n">
        <v>45952</v>
      </c>
      <c r="D7425" t="inlineStr">
        <is>
          <t>VÄSTRA GÖTALANDS LÄN</t>
        </is>
      </c>
      <c r="E7425" t="inlineStr">
        <is>
          <t>FALKÖPING</t>
        </is>
      </c>
      <c r="G7425" t="n">
        <v>1.9</v>
      </c>
      <c r="H7425" t="n">
        <v>0</v>
      </c>
      <c r="I7425" t="n">
        <v>0</v>
      </c>
      <c r="J7425" t="n">
        <v>0</v>
      </c>
      <c r="K7425" t="n">
        <v>0</v>
      </c>
      <c r="L7425" t="n">
        <v>0</v>
      </c>
      <c r="M7425" t="n">
        <v>0</v>
      </c>
      <c r="N7425" t="n">
        <v>0</v>
      </c>
      <c r="O7425" t="n">
        <v>0</v>
      </c>
      <c r="P7425" t="n">
        <v>0</v>
      </c>
      <c r="Q7425" t="n">
        <v>0</v>
      </c>
      <c r="R7425" s="2" t="inlineStr"/>
    </row>
    <row r="7426" ht="15" customHeight="1">
      <c r="A7426" t="inlineStr">
        <is>
          <t>A 248-2023</t>
        </is>
      </c>
      <c r="B7426" s="1" t="n">
        <v>44928</v>
      </c>
      <c r="C7426" s="1" t="n">
        <v>45952</v>
      </c>
      <c r="D7426" t="inlineStr">
        <is>
          <t>VÄSTRA GÖTALANDS LÄN</t>
        </is>
      </c>
      <c r="E7426" t="inlineStr">
        <is>
          <t>FALKÖPING</t>
        </is>
      </c>
      <c r="G7426" t="n">
        <v>6.4</v>
      </c>
      <c r="H7426" t="n">
        <v>0</v>
      </c>
      <c r="I7426" t="n">
        <v>0</v>
      </c>
      <c r="J7426" t="n">
        <v>0</v>
      </c>
      <c r="K7426" t="n">
        <v>0</v>
      </c>
      <c r="L7426" t="n">
        <v>0</v>
      </c>
      <c r="M7426" t="n">
        <v>0</v>
      </c>
      <c r="N7426" t="n">
        <v>0</v>
      </c>
      <c r="O7426" t="n">
        <v>0</v>
      </c>
      <c r="P7426" t="n">
        <v>0</v>
      </c>
      <c r="Q7426" t="n">
        <v>0</v>
      </c>
      <c r="R7426" s="2" t="inlineStr"/>
    </row>
    <row r="7427" ht="15" customHeight="1">
      <c r="A7427" t="inlineStr">
        <is>
          <t>A 20614-2025</t>
        </is>
      </c>
      <c r="B7427" s="1" t="n">
        <v>45776.25559027777</v>
      </c>
      <c r="C7427" s="1" t="n">
        <v>45952</v>
      </c>
      <c r="D7427" t="inlineStr">
        <is>
          <t>VÄSTRA GÖTALANDS LÄN</t>
        </is>
      </c>
      <c r="E7427" t="inlineStr">
        <is>
          <t>LIDKÖPING</t>
        </is>
      </c>
      <c r="G7427" t="n">
        <v>0.7</v>
      </c>
      <c r="H7427" t="n">
        <v>0</v>
      </c>
      <c r="I7427" t="n">
        <v>0</v>
      </c>
      <c r="J7427" t="n">
        <v>0</v>
      </c>
      <c r="K7427" t="n">
        <v>0</v>
      </c>
      <c r="L7427" t="n">
        <v>0</v>
      </c>
      <c r="M7427" t="n">
        <v>0</v>
      </c>
      <c r="N7427" t="n">
        <v>0</v>
      </c>
      <c r="O7427" t="n">
        <v>0</v>
      </c>
      <c r="P7427" t="n">
        <v>0</v>
      </c>
      <c r="Q7427" t="n">
        <v>0</v>
      </c>
      <c r="R7427" s="2" t="inlineStr"/>
    </row>
    <row r="7428" ht="15" customHeight="1">
      <c r="A7428" t="inlineStr">
        <is>
          <t>A 20662-2025</t>
        </is>
      </c>
      <c r="B7428" s="1" t="n">
        <v>45776</v>
      </c>
      <c r="C7428" s="1" t="n">
        <v>45952</v>
      </c>
      <c r="D7428" t="inlineStr">
        <is>
          <t>VÄSTRA GÖTALANDS LÄN</t>
        </is>
      </c>
      <c r="E7428" t="inlineStr">
        <is>
          <t>GULLSPÅNG</t>
        </is>
      </c>
      <c r="G7428" t="n">
        <v>10.3</v>
      </c>
      <c r="H7428" t="n">
        <v>0</v>
      </c>
      <c r="I7428" t="n">
        <v>0</v>
      </c>
      <c r="J7428" t="n">
        <v>0</v>
      </c>
      <c r="K7428" t="n">
        <v>0</v>
      </c>
      <c r="L7428" t="n">
        <v>0</v>
      </c>
      <c r="M7428" t="n">
        <v>0</v>
      </c>
      <c r="N7428" t="n">
        <v>0</v>
      </c>
      <c r="O7428" t="n">
        <v>0</v>
      </c>
      <c r="P7428" t="n">
        <v>0</v>
      </c>
      <c r="Q7428" t="n">
        <v>0</v>
      </c>
      <c r="R7428" s="2" t="inlineStr"/>
    </row>
    <row r="7429" ht="15" customHeight="1">
      <c r="A7429" t="inlineStr">
        <is>
          <t>A 440-2023</t>
        </is>
      </c>
      <c r="B7429" s="1" t="n">
        <v>44929.70428240741</v>
      </c>
      <c r="C7429" s="1" t="n">
        <v>45952</v>
      </c>
      <c r="D7429" t="inlineStr">
        <is>
          <t>VÄSTRA GÖTALANDS LÄN</t>
        </is>
      </c>
      <c r="E7429" t="inlineStr">
        <is>
          <t>LYSEKIL</t>
        </is>
      </c>
      <c r="G7429" t="n">
        <v>4.2</v>
      </c>
      <c r="H7429" t="n">
        <v>0</v>
      </c>
      <c r="I7429" t="n">
        <v>0</v>
      </c>
      <c r="J7429" t="n">
        <v>0</v>
      </c>
      <c r="K7429" t="n">
        <v>0</v>
      </c>
      <c r="L7429" t="n">
        <v>0</v>
      </c>
      <c r="M7429" t="n">
        <v>0</v>
      </c>
      <c r="N7429" t="n">
        <v>0</v>
      </c>
      <c r="O7429" t="n">
        <v>0</v>
      </c>
      <c r="P7429" t="n">
        <v>0</v>
      </c>
      <c r="Q7429" t="n">
        <v>0</v>
      </c>
      <c r="R7429" s="2" t="inlineStr"/>
    </row>
    <row r="7430" ht="15" customHeight="1">
      <c r="A7430" t="inlineStr">
        <is>
          <t>A 35450-2023</t>
        </is>
      </c>
      <c r="B7430" s="1" t="n">
        <v>45146</v>
      </c>
      <c r="C7430" s="1" t="n">
        <v>45952</v>
      </c>
      <c r="D7430" t="inlineStr">
        <is>
          <t>VÄSTRA GÖTALANDS LÄN</t>
        </is>
      </c>
      <c r="E7430" t="inlineStr">
        <is>
          <t>FALKÖPING</t>
        </is>
      </c>
      <c r="G7430" t="n">
        <v>4.3</v>
      </c>
      <c r="H7430" t="n">
        <v>0</v>
      </c>
      <c r="I7430" t="n">
        <v>0</v>
      </c>
      <c r="J7430" t="n">
        <v>0</v>
      </c>
      <c r="K7430" t="n">
        <v>0</v>
      </c>
      <c r="L7430" t="n">
        <v>0</v>
      </c>
      <c r="M7430" t="n">
        <v>0</v>
      </c>
      <c r="N7430" t="n">
        <v>0</v>
      </c>
      <c r="O7430" t="n">
        <v>0</v>
      </c>
      <c r="P7430" t="n">
        <v>0</v>
      </c>
      <c r="Q7430" t="n">
        <v>0</v>
      </c>
      <c r="R7430" s="2" t="inlineStr"/>
    </row>
    <row r="7431" ht="15" customHeight="1">
      <c r="A7431" t="inlineStr">
        <is>
          <t>A 43063-2024</t>
        </is>
      </c>
      <c r="B7431" s="1" t="n">
        <v>45567.46769675926</v>
      </c>
      <c r="C7431" s="1" t="n">
        <v>45952</v>
      </c>
      <c r="D7431" t="inlineStr">
        <is>
          <t>VÄSTRA GÖTALANDS LÄN</t>
        </is>
      </c>
      <c r="E7431" t="inlineStr">
        <is>
          <t>HERRLJUNGA</t>
        </is>
      </c>
      <c r="G7431" t="n">
        <v>4.1</v>
      </c>
      <c r="H7431" t="n">
        <v>0</v>
      </c>
      <c r="I7431" t="n">
        <v>0</v>
      </c>
      <c r="J7431" t="n">
        <v>0</v>
      </c>
      <c r="K7431" t="n">
        <v>0</v>
      </c>
      <c r="L7431" t="n">
        <v>0</v>
      </c>
      <c r="M7431" t="n">
        <v>0</v>
      </c>
      <c r="N7431" t="n">
        <v>0</v>
      </c>
      <c r="O7431" t="n">
        <v>0</v>
      </c>
      <c r="P7431" t="n">
        <v>0</v>
      </c>
      <c r="Q7431" t="n">
        <v>0</v>
      </c>
      <c r="R7431" s="2" t="inlineStr"/>
    </row>
    <row r="7432" ht="15" customHeight="1">
      <c r="A7432" t="inlineStr">
        <is>
          <t>A 43067-2024</t>
        </is>
      </c>
      <c r="B7432" s="1" t="n">
        <v>45567.47446759259</v>
      </c>
      <c r="C7432" s="1" t="n">
        <v>45952</v>
      </c>
      <c r="D7432" t="inlineStr">
        <is>
          <t>VÄSTRA GÖTALANDS LÄN</t>
        </is>
      </c>
      <c r="E7432" t="inlineStr">
        <is>
          <t>MÖLNDAL</t>
        </is>
      </c>
      <c r="G7432" t="n">
        <v>1.1</v>
      </c>
      <c r="H7432" t="n">
        <v>0</v>
      </c>
      <c r="I7432" t="n">
        <v>0</v>
      </c>
      <c r="J7432" t="n">
        <v>0</v>
      </c>
      <c r="K7432" t="n">
        <v>0</v>
      </c>
      <c r="L7432" t="n">
        <v>0</v>
      </c>
      <c r="M7432" t="n">
        <v>0</v>
      </c>
      <c r="N7432" t="n">
        <v>0</v>
      </c>
      <c r="O7432" t="n">
        <v>0</v>
      </c>
      <c r="P7432" t="n">
        <v>0</v>
      </c>
      <c r="Q7432" t="n">
        <v>0</v>
      </c>
      <c r="R7432" s="2" t="inlineStr"/>
    </row>
    <row r="7433" ht="15" customHeight="1">
      <c r="A7433" t="inlineStr">
        <is>
          <t>A 30427-2023</t>
        </is>
      </c>
      <c r="B7433" s="1" t="n">
        <v>45111.53703703704</v>
      </c>
      <c r="C7433" s="1" t="n">
        <v>45952</v>
      </c>
      <c r="D7433" t="inlineStr">
        <is>
          <t>VÄSTRA GÖTALANDS LÄN</t>
        </is>
      </c>
      <c r="E7433" t="inlineStr">
        <is>
          <t>MUNKEDAL</t>
        </is>
      </c>
      <c r="F7433" t="inlineStr">
        <is>
          <t>Naturvårdsverket</t>
        </is>
      </c>
      <c r="G7433" t="n">
        <v>1.3</v>
      </c>
      <c r="H7433" t="n">
        <v>0</v>
      </c>
      <c r="I7433" t="n">
        <v>0</v>
      </c>
      <c r="J7433" t="n">
        <v>0</v>
      </c>
      <c r="K7433" t="n">
        <v>0</v>
      </c>
      <c r="L7433" t="n">
        <v>0</v>
      </c>
      <c r="M7433" t="n">
        <v>0</v>
      </c>
      <c r="N7433" t="n">
        <v>0</v>
      </c>
      <c r="O7433" t="n">
        <v>0</v>
      </c>
      <c r="P7433" t="n">
        <v>0</v>
      </c>
      <c r="Q7433" t="n">
        <v>0</v>
      </c>
      <c r="R7433" s="2" t="inlineStr"/>
    </row>
    <row r="7434" ht="15" customHeight="1">
      <c r="A7434" t="inlineStr">
        <is>
          <t>A 30473-2023</t>
        </is>
      </c>
      <c r="B7434" s="1" t="n">
        <v>45111</v>
      </c>
      <c r="C7434" s="1" t="n">
        <v>45952</v>
      </c>
      <c r="D7434" t="inlineStr">
        <is>
          <t>VÄSTRA GÖTALANDS LÄN</t>
        </is>
      </c>
      <c r="E7434" t="inlineStr">
        <is>
          <t>SVENLJUNGA</t>
        </is>
      </c>
      <c r="G7434" t="n">
        <v>4.4</v>
      </c>
      <c r="H7434" t="n">
        <v>0</v>
      </c>
      <c r="I7434" t="n">
        <v>0</v>
      </c>
      <c r="J7434" t="n">
        <v>0</v>
      </c>
      <c r="K7434" t="n">
        <v>0</v>
      </c>
      <c r="L7434" t="n">
        <v>0</v>
      </c>
      <c r="M7434" t="n">
        <v>0</v>
      </c>
      <c r="N7434" t="n">
        <v>0</v>
      </c>
      <c r="O7434" t="n">
        <v>0</v>
      </c>
      <c r="P7434" t="n">
        <v>0</v>
      </c>
      <c r="Q7434" t="n">
        <v>0</v>
      </c>
      <c r="R7434" s="2" t="inlineStr"/>
    </row>
    <row r="7435" ht="15" customHeight="1">
      <c r="A7435" t="inlineStr">
        <is>
          <t>A 6614-2023</t>
        </is>
      </c>
      <c r="B7435" s="1" t="n">
        <v>44966</v>
      </c>
      <c r="C7435" s="1" t="n">
        <v>45952</v>
      </c>
      <c r="D7435" t="inlineStr">
        <is>
          <t>VÄSTRA GÖTALANDS LÄN</t>
        </is>
      </c>
      <c r="E7435" t="inlineStr">
        <is>
          <t>BENGTSFORS</t>
        </is>
      </c>
      <c r="G7435" t="n">
        <v>1.4</v>
      </c>
      <c r="H7435" t="n">
        <v>0</v>
      </c>
      <c r="I7435" t="n">
        <v>0</v>
      </c>
      <c r="J7435" t="n">
        <v>0</v>
      </c>
      <c r="K7435" t="n">
        <v>0</v>
      </c>
      <c r="L7435" t="n">
        <v>0</v>
      </c>
      <c r="M7435" t="n">
        <v>0</v>
      </c>
      <c r="N7435" t="n">
        <v>0</v>
      </c>
      <c r="O7435" t="n">
        <v>0</v>
      </c>
      <c r="P7435" t="n">
        <v>0</v>
      </c>
      <c r="Q7435" t="n">
        <v>0</v>
      </c>
      <c r="R7435" s="2" t="inlineStr"/>
    </row>
    <row r="7436" ht="15" customHeight="1">
      <c r="A7436" t="inlineStr">
        <is>
          <t>A 17822-2025</t>
        </is>
      </c>
      <c r="B7436" s="1" t="n">
        <v>45758.57092592592</v>
      </c>
      <c r="C7436" s="1" t="n">
        <v>45952</v>
      </c>
      <c r="D7436" t="inlineStr">
        <is>
          <t>VÄSTRA GÖTALANDS LÄN</t>
        </is>
      </c>
      <c r="E7436" t="inlineStr">
        <is>
          <t>MARK</t>
        </is>
      </c>
      <c r="G7436" t="n">
        <v>6.1</v>
      </c>
      <c r="H7436" t="n">
        <v>0</v>
      </c>
      <c r="I7436" t="n">
        <v>0</v>
      </c>
      <c r="J7436" t="n">
        <v>0</v>
      </c>
      <c r="K7436" t="n">
        <v>0</v>
      </c>
      <c r="L7436" t="n">
        <v>0</v>
      </c>
      <c r="M7436" t="n">
        <v>0</v>
      </c>
      <c r="N7436" t="n">
        <v>0</v>
      </c>
      <c r="O7436" t="n">
        <v>0</v>
      </c>
      <c r="P7436" t="n">
        <v>0</v>
      </c>
      <c r="Q7436" t="n">
        <v>0</v>
      </c>
      <c r="R7436" s="2" t="inlineStr"/>
    </row>
    <row r="7437" ht="15" customHeight="1">
      <c r="A7437" t="inlineStr">
        <is>
          <t>A 10598-2023</t>
        </is>
      </c>
      <c r="B7437" s="1" t="n">
        <v>44988.39259259259</v>
      </c>
      <c r="C7437" s="1" t="n">
        <v>45952</v>
      </c>
      <c r="D7437" t="inlineStr">
        <is>
          <t>VÄSTRA GÖTALANDS LÄN</t>
        </is>
      </c>
      <c r="E7437" t="inlineStr">
        <is>
          <t>TÖREBODA</t>
        </is>
      </c>
      <c r="G7437" t="n">
        <v>1.2</v>
      </c>
      <c r="H7437" t="n">
        <v>0</v>
      </c>
      <c r="I7437" t="n">
        <v>0</v>
      </c>
      <c r="J7437" t="n">
        <v>0</v>
      </c>
      <c r="K7437" t="n">
        <v>0</v>
      </c>
      <c r="L7437" t="n">
        <v>0</v>
      </c>
      <c r="M7437" t="n">
        <v>0</v>
      </c>
      <c r="N7437" t="n">
        <v>0</v>
      </c>
      <c r="O7437" t="n">
        <v>0</v>
      </c>
      <c r="P7437" t="n">
        <v>0</v>
      </c>
      <c r="Q7437" t="n">
        <v>0</v>
      </c>
      <c r="R7437" s="2" t="inlineStr"/>
    </row>
    <row r="7438" ht="15" customHeight="1">
      <c r="A7438" t="inlineStr">
        <is>
          <t>A 10607-2023</t>
        </is>
      </c>
      <c r="B7438" s="1" t="n">
        <v>44988.40950231482</v>
      </c>
      <c r="C7438" s="1" t="n">
        <v>45952</v>
      </c>
      <c r="D7438" t="inlineStr">
        <is>
          <t>VÄSTRA GÖTALANDS LÄN</t>
        </is>
      </c>
      <c r="E7438" t="inlineStr">
        <is>
          <t>TRANEMO</t>
        </is>
      </c>
      <c r="G7438" t="n">
        <v>1.6</v>
      </c>
      <c r="H7438" t="n">
        <v>0</v>
      </c>
      <c r="I7438" t="n">
        <v>0</v>
      </c>
      <c r="J7438" t="n">
        <v>0</v>
      </c>
      <c r="K7438" t="n">
        <v>0</v>
      </c>
      <c r="L7438" t="n">
        <v>0</v>
      </c>
      <c r="M7438" t="n">
        <v>0</v>
      </c>
      <c r="N7438" t="n">
        <v>0</v>
      </c>
      <c r="O7438" t="n">
        <v>0</v>
      </c>
      <c r="P7438" t="n">
        <v>0</v>
      </c>
      <c r="Q7438" t="n">
        <v>0</v>
      </c>
      <c r="R7438" s="2" t="inlineStr"/>
    </row>
    <row r="7439" ht="15" customHeight="1">
      <c r="A7439" t="inlineStr">
        <is>
          <t>A 38653-2025</t>
        </is>
      </c>
      <c r="B7439" s="1" t="n">
        <v>45884.59535879629</v>
      </c>
      <c r="C7439" s="1" t="n">
        <v>45952</v>
      </c>
      <c r="D7439" t="inlineStr">
        <is>
          <t>VÄSTRA GÖTALANDS LÄN</t>
        </is>
      </c>
      <c r="E7439" t="inlineStr">
        <is>
          <t>MELLERUD</t>
        </is>
      </c>
      <c r="G7439" t="n">
        <v>5.3</v>
      </c>
      <c r="H7439" t="n">
        <v>0</v>
      </c>
      <c r="I7439" t="n">
        <v>0</v>
      </c>
      <c r="J7439" t="n">
        <v>0</v>
      </c>
      <c r="K7439" t="n">
        <v>0</v>
      </c>
      <c r="L7439" t="n">
        <v>0</v>
      </c>
      <c r="M7439" t="n">
        <v>0</v>
      </c>
      <c r="N7439" t="n">
        <v>0</v>
      </c>
      <c r="O7439" t="n">
        <v>0</v>
      </c>
      <c r="P7439" t="n">
        <v>0</v>
      </c>
      <c r="Q7439" t="n">
        <v>0</v>
      </c>
      <c r="R7439" s="2" t="inlineStr"/>
    </row>
    <row r="7440" ht="15" customHeight="1">
      <c r="A7440" t="inlineStr">
        <is>
          <t>A 32826-2022</t>
        </is>
      </c>
      <c r="B7440" s="1" t="n">
        <v>44784</v>
      </c>
      <c r="C7440" s="1" t="n">
        <v>45952</v>
      </c>
      <c r="D7440" t="inlineStr">
        <is>
          <t>VÄSTRA GÖTALANDS LÄN</t>
        </is>
      </c>
      <c r="E7440" t="inlineStr">
        <is>
          <t>TROLLHÄTTAN</t>
        </is>
      </c>
      <c r="G7440" t="n">
        <v>4</v>
      </c>
      <c r="H7440" t="n">
        <v>0</v>
      </c>
      <c r="I7440" t="n">
        <v>0</v>
      </c>
      <c r="J7440" t="n">
        <v>0</v>
      </c>
      <c r="K7440" t="n">
        <v>0</v>
      </c>
      <c r="L7440" t="n">
        <v>0</v>
      </c>
      <c r="M7440" t="n">
        <v>0</v>
      </c>
      <c r="N7440" t="n">
        <v>0</v>
      </c>
      <c r="O7440" t="n">
        <v>0</v>
      </c>
      <c r="P7440" t="n">
        <v>0</v>
      </c>
      <c r="Q7440" t="n">
        <v>0</v>
      </c>
      <c r="R7440" s="2" t="inlineStr"/>
    </row>
    <row r="7441" ht="15" customHeight="1">
      <c r="A7441" t="inlineStr">
        <is>
          <t>A 10430-2023</t>
        </is>
      </c>
      <c r="B7441" s="1" t="n">
        <v>44987.54940972223</v>
      </c>
      <c r="C7441" s="1" t="n">
        <v>45952</v>
      </c>
      <c r="D7441" t="inlineStr">
        <is>
          <t>VÄSTRA GÖTALANDS LÄN</t>
        </is>
      </c>
      <c r="E7441" t="inlineStr">
        <is>
          <t>TÖREBODA</t>
        </is>
      </c>
      <c r="G7441" t="n">
        <v>2.6</v>
      </c>
      <c r="H7441" t="n">
        <v>0</v>
      </c>
      <c r="I7441" t="n">
        <v>0</v>
      </c>
      <c r="J7441" t="n">
        <v>0</v>
      </c>
      <c r="K7441" t="n">
        <v>0</v>
      </c>
      <c r="L7441" t="n">
        <v>0</v>
      </c>
      <c r="M7441" t="n">
        <v>0</v>
      </c>
      <c r="N7441" t="n">
        <v>0</v>
      </c>
      <c r="O7441" t="n">
        <v>0</v>
      </c>
      <c r="P7441" t="n">
        <v>0</v>
      </c>
      <c r="Q7441" t="n">
        <v>0</v>
      </c>
      <c r="R7441" s="2" t="inlineStr"/>
    </row>
    <row r="7442" ht="15" customHeight="1">
      <c r="A7442" t="inlineStr">
        <is>
          <t>A 10431-2023</t>
        </is>
      </c>
      <c r="B7442" s="1" t="n">
        <v>44987.55047453703</v>
      </c>
      <c r="C7442" s="1" t="n">
        <v>45952</v>
      </c>
      <c r="D7442" t="inlineStr">
        <is>
          <t>VÄSTRA GÖTALANDS LÄN</t>
        </is>
      </c>
      <c r="E7442" t="inlineStr">
        <is>
          <t>TÖREBODA</t>
        </is>
      </c>
      <c r="G7442" t="n">
        <v>0.9</v>
      </c>
      <c r="H7442" t="n">
        <v>0</v>
      </c>
      <c r="I7442" t="n">
        <v>0</v>
      </c>
      <c r="J7442" t="n">
        <v>0</v>
      </c>
      <c r="K7442" t="n">
        <v>0</v>
      </c>
      <c r="L7442" t="n">
        <v>0</v>
      </c>
      <c r="M7442" t="n">
        <v>0</v>
      </c>
      <c r="N7442" t="n">
        <v>0</v>
      </c>
      <c r="O7442" t="n">
        <v>0</v>
      </c>
      <c r="P7442" t="n">
        <v>0</v>
      </c>
      <c r="Q7442" t="n">
        <v>0</v>
      </c>
      <c r="R7442" s="2" t="inlineStr"/>
    </row>
    <row r="7443" ht="15" customHeight="1">
      <c r="A7443" t="inlineStr">
        <is>
          <t>A 44879-2023</t>
        </is>
      </c>
      <c r="B7443" s="1" t="n">
        <v>45190.60921296296</v>
      </c>
      <c r="C7443" s="1" t="n">
        <v>45952</v>
      </c>
      <c r="D7443" t="inlineStr">
        <is>
          <t>VÄSTRA GÖTALANDS LÄN</t>
        </is>
      </c>
      <c r="E7443" t="inlineStr">
        <is>
          <t>BORÅS</t>
        </is>
      </c>
      <c r="G7443" t="n">
        <v>1.4</v>
      </c>
      <c r="H7443" t="n">
        <v>0</v>
      </c>
      <c r="I7443" t="n">
        <v>0</v>
      </c>
      <c r="J7443" t="n">
        <v>0</v>
      </c>
      <c r="K7443" t="n">
        <v>0</v>
      </c>
      <c r="L7443" t="n">
        <v>0</v>
      </c>
      <c r="M7443" t="n">
        <v>0</v>
      </c>
      <c r="N7443" t="n">
        <v>0</v>
      </c>
      <c r="O7443" t="n">
        <v>0</v>
      </c>
      <c r="P7443" t="n">
        <v>0</v>
      </c>
      <c r="Q7443" t="n">
        <v>0</v>
      </c>
      <c r="R7443" s="2" t="inlineStr"/>
    </row>
    <row r="7444" ht="15" customHeight="1">
      <c r="A7444" t="inlineStr">
        <is>
          <t>A 33150-2023</t>
        </is>
      </c>
      <c r="B7444" s="1" t="n">
        <v>45126.68759259259</v>
      </c>
      <c r="C7444" s="1" t="n">
        <v>45952</v>
      </c>
      <c r="D7444" t="inlineStr">
        <is>
          <t>VÄSTRA GÖTALANDS LÄN</t>
        </is>
      </c>
      <c r="E7444" t="inlineStr">
        <is>
          <t>BORÅS</t>
        </is>
      </c>
      <c r="G7444" t="n">
        <v>10.2</v>
      </c>
      <c r="H7444" t="n">
        <v>0</v>
      </c>
      <c r="I7444" t="n">
        <v>0</v>
      </c>
      <c r="J7444" t="n">
        <v>0</v>
      </c>
      <c r="K7444" t="n">
        <v>0</v>
      </c>
      <c r="L7444" t="n">
        <v>0</v>
      </c>
      <c r="M7444" t="n">
        <v>0</v>
      </c>
      <c r="N7444" t="n">
        <v>0</v>
      </c>
      <c r="O7444" t="n">
        <v>0</v>
      </c>
      <c r="P7444" t="n">
        <v>0</v>
      </c>
      <c r="Q7444" t="n">
        <v>0</v>
      </c>
      <c r="R7444" s="2" t="inlineStr"/>
    </row>
    <row r="7445" ht="15" customHeight="1">
      <c r="A7445" t="inlineStr">
        <is>
          <t>A 67134-2021</t>
        </is>
      </c>
      <c r="B7445" s="1" t="n">
        <v>44523.37474537037</v>
      </c>
      <c r="C7445" s="1" t="n">
        <v>45952</v>
      </c>
      <c r="D7445" t="inlineStr">
        <is>
          <t>VÄSTRA GÖTALANDS LÄN</t>
        </is>
      </c>
      <c r="E7445" t="inlineStr">
        <is>
          <t>SKÖVDE</t>
        </is>
      </c>
      <c r="F7445" t="inlineStr">
        <is>
          <t>Sveaskog</t>
        </is>
      </c>
      <c r="G7445" t="n">
        <v>0.8</v>
      </c>
      <c r="H7445" t="n">
        <v>0</v>
      </c>
      <c r="I7445" t="n">
        <v>0</v>
      </c>
      <c r="J7445" t="n">
        <v>0</v>
      </c>
      <c r="K7445" t="n">
        <v>0</v>
      </c>
      <c r="L7445" t="n">
        <v>0</v>
      </c>
      <c r="M7445" t="n">
        <v>0</v>
      </c>
      <c r="N7445" t="n">
        <v>0</v>
      </c>
      <c r="O7445" t="n">
        <v>0</v>
      </c>
      <c r="P7445" t="n">
        <v>0</v>
      </c>
      <c r="Q7445" t="n">
        <v>0</v>
      </c>
      <c r="R7445" s="2" t="inlineStr"/>
    </row>
    <row r="7446" ht="15" customHeight="1">
      <c r="A7446" t="inlineStr">
        <is>
          <t>A 4422-2024</t>
        </is>
      </c>
      <c r="B7446" s="1" t="n">
        <v>45327.45375</v>
      </c>
      <c r="C7446" s="1" t="n">
        <v>45952</v>
      </c>
      <c r="D7446" t="inlineStr">
        <is>
          <t>VÄSTRA GÖTALANDS LÄN</t>
        </is>
      </c>
      <c r="E7446" t="inlineStr">
        <is>
          <t>SOTENÄS</t>
        </is>
      </c>
      <c r="G7446" t="n">
        <v>4.5</v>
      </c>
      <c r="H7446" t="n">
        <v>0</v>
      </c>
      <c r="I7446" t="n">
        <v>0</v>
      </c>
      <c r="J7446" t="n">
        <v>0</v>
      </c>
      <c r="K7446" t="n">
        <v>0</v>
      </c>
      <c r="L7446" t="n">
        <v>0</v>
      </c>
      <c r="M7446" t="n">
        <v>0</v>
      </c>
      <c r="N7446" t="n">
        <v>0</v>
      </c>
      <c r="O7446" t="n">
        <v>0</v>
      </c>
      <c r="P7446" t="n">
        <v>0</v>
      </c>
      <c r="Q7446" t="n">
        <v>0</v>
      </c>
      <c r="R7446" s="2" t="inlineStr"/>
    </row>
    <row r="7447" ht="15" customHeight="1">
      <c r="A7447" t="inlineStr">
        <is>
          <t>A 4434-2024</t>
        </is>
      </c>
      <c r="B7447" s="1" t="n">
        <v>45327.47383101852</v>
      </c>
      <c r="C7447" s="1" t="n">
        <v>45952</v>
      </c>
      <c r="D7447" t="inlineStr">
        <is>
          <t>VÄSTRA GÖTALANDS LÄN</t>
        </is>
      </c>
      <c r="E7447" t="inlineStr">
        <is>
          <t>VARA</t>
        </is>
      </c>
      <c r="G7447" t="n">
        <v>3.6</v>
      </c>
      <c r="H7447" t="n">
        <v>0</v>
      </c>
      <c r="I7447" t="n">
        <v>0</v>
      </c>
      <c r="J7447" t="n">
        <v>0</v>
      </c>
      <c r="K7447" t="n">
        <v>0</v>
      </c>
      <c r="L7447" t="n">
        <v>0</v>
      </c>
      <c r="M7447" t="n">
        <v>0</v>
      </c>
      <c r="N7447" t="n">
        <v>0</v>
      </c>
      <c r="O7447" t="n">
        <v>0</v>
      </c>
      <c r="P7447" t="n">
        <v>0</v>
      </c>
      <c r="Q7447" t="n">
        <v>0</v>
      </c>
      <c r="R7447" s="2" t="inlineStr"/>
    </row>
    <row r="7448" ht="15" customHeight="1">
      <c r="A7448" t="inlineStr">
        <is>
          <t>A 23679-2024</t>
        </is>
      </c>
      <c r="B7448" s="1" t="n">
        <v>45454.6241087963</v>
      </c>
      <c r="C7448" s="1" t="n">
        <v>45952</v>
      </c>
      <c r="D7448" t="inlineStr">
        <is>
          <t>VÄSTRA GÖTALANDS LÄN</t>
        </is>
      </c>
      <c r="E7448" t="inlineStr">
        <is>
          <t>DALS-ED</t>
        </is>
      </c>
      <c r="F7448" t="inlineStr">
        <is>
          <t>Kyrkan</t>
        </is>
      </c>
      <c r="G7448" t="n">
        <v>2.6</v>
      </c>
      <c r="H7448" t="n">
        <v>0</v>
      </c>
      <c r="I7448" t="n">
        <v>0</v>
      </c>
      <c r="J7448" t="n">
        <v>0</v>
      </c>
      <c r="K7448" t="n">
        <v>0</v>
      </c>
      <c r="L7448" t="n">
        <v>0</v>
      </c>
      <c r="M7448" t="n">
        <v>0</v>
      </c>
      <c r="N7448" t="n">
        <v>0</v>
      </c>
      <c r="O7448" t="n">
        <v>0</v>
      </c>
      <c r="P7448" t="n">
        <v>0</v>
      </c>
      <c r="Q7448" t="n">
        <v>0</v>
      </c>
      <c r="R7448" s="2" t="inlineStr"/>
    </row>
    <row r="7449" ht="15" customHeight="1">
      <c r="A7449" t="inlineStr">
        <is>
          <t>A 29770-2021</t>
        </is>
      </c>
      <c r="B7449" s="1" t="n">
        <v>44362</v>
      </c>
      <c r="C7449" s="1" t="n">
        <v>45952</v>
      </c>
      <c r="D7449" t="inlineStr">
        <is>
          <t>VÄSTRA GÖTALANDS LÄN</t>
        </is>
      </c>
      <c r="E7449" t="inlineStr">
        <is>
          <t>FÄRGELANDA</t>
        </is>
      </c>
      <c r="G7449" t="n">
        <v>0.3</v>
      </c>
      <c r="H7449" t="n">
        <v>0</v>
      </c>
      <c r="I7449" t="n">
        <v>0</v>
      </c>
      <c r="J7449" t="n">
        <v>0</v>
      </c>
      <c r="K7449" t="n">
        <v>0</v>
      </c>
      <c r="L7449" t="n">
        <v>0</v>
      </c>
      <c r="M7449" t="n">
        <v>0</v>
      </c>
      <c r="N7449" t="n">
        <v>0</v>
      </c>
      <c r="O7449" t="n">
        <v>0</v>
      </c>
      <c r="P7449" t="n">
        <v>0</v>
      </c>
      <c r="Q7449" t="n">
        <v>0</v>
      </c>
      <c r="R7449" s="2" t="inlineStr"/>
    </row>
    <row r="7450" ht="15" customHeight="1">
      <c r="A7450" t="inlineStr">
        <is>
          <t>A 23710-2024</t>
        </is>
      </c>
      <c r="B7450" s="1" t="n">
        <v>45454</v>
      </c>
      <c r="C7450" s="1" t="n">
        <v>45952</v>
      </c>
      <c r="D7450" t="inlineStr">
        <is>
          <t>VÄSTRA GÖTALANDS LÄN</t>
        </is>
      </c>
      <c r="E7450" t="inlineStr">
        <is>
          <t>FALKÖPING</t>
        </is>
      </c>
      <c r="G7450" t="n">
        <v>1.5</v>
      </c>
      <c r="H7450" t="n">
        <v>0</v>
      </c>
      <c r="I7450" t="n">
        <v>0</v>
      </c>
      <c r="J7450" t="n">
        <v>0</v>
      </c>
      <c r="K7450" t="n">
        <v>0</v>
      </c>
      <c r="L7450" t="n">
        <v>0</v>
      </c>
      <c r="M7450" t="n">
        <v>0</v>
      </c>
      <c r="N7450" t="n">
        <v>0</v>
      </c>
      <c r="O7450" t="n">
        <v>0</v>
      </c>
      <c r="P7450" t="n">
        <v>0</v>
      </c>
      <c r="Q7450" t="n">
        <v>0</v>
      </c>
      <c r="R7450" s="2" t="inlineStr"/>
    </row>
    <row r="7451" ht="15" customHeight="1">
      <c r="A7451" t="inlineStr">
        <is>
          <t>A 10901-2025</t>
        </is>
      </c>
      <c r="B7451" s="1" t="n">
        <v>45722</v>
      </c>
      <c r="C7451" s="1" t="n">
        <v>45952</v>
      </c>
      <c r="D7451" t="inlineStr">
        <is>
          <t>VÄSTRA GÖTALANDS LÄN</t>
        </is>
      </c>
      <c r="E7451" t="inlineStr">
        <is>
          <t>TANUM</t>
        </is>
      </c>
      <c r="G7451" t="n">
        <v>4.6</v>
      </c>
      <c r="H7451" t="n">
        <v>0</v>
      </c>
      <c r="I7451" t="n">
        <v>0</v>
      </c>
      <c r="J7451" t="n">
        <v>0</v>
      </c>
      <c r="K7451" t="n">
        <v>0</v>
      </c>
      <c r="L7451" t="n">
        <v>0</v>
      </c>
      <c r="M7451" t="n">
        <v>0</v>
      </c>
      <c r="N7451" t="n">
        <v>0</v>
      </c>
      <c r="O7451" t="n">
        <v>0</v>
      </c>
      <c r="P7451" t="n">
        <v>0</v>
      </c>
      <c r="Q7451" t="n">
        <v>0</v>
      </c>
      <c r="R7451" s="2" t="inlineStr"/>
    </row>
    <row r="7452" ht="15" customHeight="1">
      <c r="A7452" t="inlineStr">
        <is>
          <t>A 10906-2025</t>
        </is>
      </c>
      <c r="B7452" s="1" t="n">
        <v>45722.7066087963</v>
      </c>
      <c r="C7452" s="1" t="n">
        <v>45952</v>
      </c>
      <c r="D7452" t="inlineStr">
        <is>
          <t>VÄSTRA GÖTALANDS LÄN</t>
        </is>
      </c>
      <c r="E7452" t="inlineStr">
        <is>
          <t>DALS-ED</t>
        </is>
      </c>
      <c r="G7452" t="n">
        <v>5.6</v>
      </c>
      <c r="H7452" t="n">
        <v>0</v>
      </c>
      <c r="I7452" t="n">
        <v>0</v>
      </c>
      <c r="J7452" t="n">
        <v>0</v>
      </c>
      <c r="K7452" t="n">
        <v>0</v>
      </c>
      <c r="L7452" t="n">
        <v>0</v>
      </c>
      <c r="M7452" t="n">
        <v>0</v>
      </c>
      <c r="N7452" t="n">
        <v>0</v>
      </c>
      <c r="O7452" t="n">
        <v>0</v>
      </c>
      <c r="P7452" t="n">
        <v>0</v>
      </c>
      <c r="Q7452" t="n">
        <v>0</v>
      </c>
      <c r="R7452" s="2" t="inlineStr"/>
    </row>
    <row r="7453" ht="15" customHeight="1">
      <c r="A7453" t="inlineStr">
        <is>
          <t>A 7053-2025</t>
        </is>
      </c>
      <c r="B7453" s="1" t="n">
        <v>45701.64710648148</v>
      </c>
      <c r="C7453" s="1" t="n">
        <v>45952</v>
      </c>
      <c r="D7453" t="inlineStr">
        <is>
          <t>VÄSTRA GÖTALANDS LÄN</t>
        </is>
      </c>
      <c r="E7453" t="inlineStr">
        <is>
          <t>MARK</t>
        </is>
      </c>
      <c r="G7453" t="n">
        <v>4.9</v>
      </c>
      <c r="H7453" t="n">
        <v>0</v>
      </c>
      <c r="I7453" t="n">
        <v>0</v>
      </c>
      <c r="J7453" t="n">
        <v>0</v>
      </c>
      <c r="K7453" t="n">
        <v>0</v>
      </c>
      <c r="L7453" t="n">
        <v>0</v>
      </c>
      <c r="M7453" t="n">
        <v>0</v>
      </c>
      <c r="N7453" t="n">
        <v>0</v>
      </c>
      <c r="O7453" t="n">
        <v>0</v>
      </c>
      <c r="P7453" t="n">
        <v>0</v>
      </c>
      <c r="Q7453" t="n">
        <v>0</v>
      </c>
      <c r="R7453" s="2" t="inlineStr"/>
    </row>
    <row r="7454" ht="15" customHeight="1">
      <c r="A7454" t="inlineStr">
        <is>
          <t>A 38499-2025</t>
        </is>
      </c>
      <c r="B7454" s="1" t="n">
        <v>45884.37276620371</v>
      </c>
      <c r="C7454" s="1" t="n">
        <v>45952</v>
      </c>
      <c r="D7454" t="inlineStr">
        <is>
          <t>VÄSTRA GÖTALANDS LÄN</t>
        </is>
      </c>
      <c r="E7454" t="inlineStr">
        <is>
          <t>SKÖVDE</t>
        </is>
      </c>
      <c r="F7454" t="inlineStr">
        <is>
          <t>Kyrkan</t>
        </is>
      </c>
      <c r="G7454" t="n">
        <v>10</v>
      </c>
      <c r="H7454" t="n">
        <v>0</v>
      </c>
      <c r="I7454" t="n">
        <v>0</v>
      </c>
      <c r="J7454" t="n">
        <v>0</v>
      </c>
      <c r="K7454" t="n">
        <v>0</v>
      </c>
      <c r="L7454" t="n">
        <v>0</v>
      </c>
      <c r="M7454" t="n">
        <v>0</v>
      </c>
      <c r="N7454" t="n">
        <v>0</v>
      </c>
      <c r="O7454" t="n">
        <v>0</v>
      </c>
      <c r="P7454" t="n">
        <v>0</v>
      </c>
      <c r="Q7454" t="n">
        <v>0</v>
      </c>
      <c r="R7454" s="2" t="inlineStr"/>
    </row>
    <row r="7455" ht="15" customHeight="1">
      <c r="A7455" t="inlineStr">
        <is>
          <t>A 6817-2024</t>
        </is>
      </c>
      <c r="B7455" s="1" t="n">
        <v>45342</v>
      </c>
      <c r="C7455" s="1" t="n">
        <v>45952</v>
      </c>
      <c r="D7455" t="inlineStr">
        <is>
          <t>VÄSTRA GÖTALANDS LÄN</t>
        </is>
      </c>
      <c r="E7455" t="inlineStr">
        <is>
          <t>DALS-ED</t>
        </is>
      </c>
      <c r="G7455" t="n">
        <v>1</v>
      </c>
      <c r="H7455" t="n">
        <v>0</v>
      </c>
      <c r="I7455" t="n">
        <v>0</v>
      </c>
      <c r="J7455" t="n">
        <v>0</v>
      </c>
      <c r="K7455" t="n">
        <v>0</v>
      </c>
      <c r="L7455" t="n">
        <v>0</v>
      </c>
      <c r="M7455" t="n">
        <v>0</v>
      </c>
      <c r="N7455" t="n">
        <v>0</v>
      </c>
      <c r="O7455" t="n">
        <v>0</v>
      </c>
      <c r="P7455" t="n">
        <v>0</v>
      </c>
      <c r="Q7455" t="n">
        <v>0</v>
      </c>
      <c r="R7455" s="2" t="inlineStr"/>
    </row>
    <row r="7456" ht="15" customHeight="1">
      <c r="A7456" t="inlineStr">
        <is>
          <t>A 6820-2024</t>
        </is>
      </c>
      <c r="B7456" s="1" t="n">
        <v>45342.60222222222</v>
      </c>
      <c r="C7456" s="1" t="n">
        <v>45952</v>
      </c>
      <c r="D7456" t="inlineStr">
        <is>
          <t>VÄSTRA GÖTALANDS LÄN</t>
        </is>
      </c>
      <c r="E7456" t="inlineStr">
        <is>
          <t>ESSUNGA</t>
        </is>
      </c>
      <c r="G7456" t="n">
        <v>11.8</v>
      </c>
      <c r="H7456" t="n">
        <v>0</v>
      </c>
      <c r="I7456" t="n">
        <v>0</v>
      </c>
      <c r="J7456" t="n">
        <v>0</v>
      </c>
      <c r="K7456" t="n">
        <v>0</v>
      </c>
      <c r="L7456" t="n">
        <v>0</v>
      </c>
      <c r="M7456" t="n">
        <v>0</v>
      </c>
      <c r="N7456" t="n">
        <v>0</v>
      </c>
      <c r="O7456" t="n">
        <v>0</v>
      </c>
      <c r="P7456" t="n">
        <v>0</v>
      </c>
      <c r="Q7456" t="n">
        <v>0</v>
      </c>
      <c r="R7456" s="2" t="inlineStr"/>
    </row>
    <row r="7457" ht="15" customHeight="1">
      <c r="A7457" t="inlineStr">
        <is>
          <t>A 6845-2024</t>
        </is>
      </c>
      <c r="B7457" s="1" t="n">
        <v>45342</v>
      </c>
      <c r="C7457" s="1" t="n">
        <v>45952</v>
      </c>
      <c r="D7457" t="inlineStr">
        <is>
          <t>VÄSTRA GÖTALANDS LÄN</t>
        </is>
      </c>
      <c r="E7457" t="inlineStr">
        <is>
          <t>MARK</t>
        </is>
      </c>
      <c r="G7457" t="n">
        <v>2.2</v>
      </c>
      <c r="H7457" t="n">
        <v>0</v>
      </c>
      <c r="I7457" t="n">
        <v>0</v>
      </c>
      <c r="J7457" t="n">
        <v>0</v>
      </c>
      <c r="K7457" t="n">
        <v>0</v>
      </c>
      <c r="L7457" t="n">
        <v>0</v>
      </c>
      <c r="M7457" t="n">
        <v>0</v>
      </c>
      <c r="N7457" t="n">
        <v>0</v>
      </c>
      <c r="O7457" t="n">
        <v>0</v>
      </c>
      <c r="P7457" t="n">
        <v>0</v>
      </c>
      <c r="Q7457" t="n">
        <v>0</v>
      </c>
      <c r="R7457" s="2" t="inlineStr"/>
    </row>
    <row r="7458" ht="15" customHeight="1">
      <c r="A7458" t="inlineStr">
        <is>
          <t>A 38701-2025</t>
        </is>
      </c>
      <c r="B7458" s="1" t="n">
        <v>45884</v>
      </c>
      <c r="C7458" s="1" t="n">
        <v>45952</v>
      </c>
      <c r="D7458" t="inlineStr">
        <is>
          <t>VÄSTRA GÖTALANDS LÄN</t>
        </is>
      </c>
      <c r="E7458" t="inlineStr">
        <is>
          <t>GÖTENE</t>
        </is>
      </c>
      <c r="G7458" t="n">
        <v>2.6</v>
      </c>
      <c r="H7458" t="n">
        <v>0</v>
      </c>
      <c r="I7458" t="n">
        <v>0</v>
      </c>
      <c r="J7458" t="n">
        <v>0</v>
      </c>
      <c r="K7458" t="n">
        <v>0</v>
      </c>
      <c r="L7458" t="n">
        <v>0</v>
      </c>
      <c r="M7458" t="n">
        <v>0</v>
      </c>
      <c r="N7458" t="n">
        <v>0</v>
      </c>
      <c r="O7458" t="n">
        <v>0</v>
      </c>
      <c r="P7458" t="n">
        <v>0</v>
      </c>
      <c r="Q7458" t="n">
        <v>0</v>
      </c>
      <c r="R7458" s="2" t="inlineStr"/>
    </row>
    <row r="7459" ht="15" customHeight="1">
      <c r="A7459" t="inlineStr">
        <is>
          <t>A 38739-2025</t>
        </is>
      </c>
      <c r="B7459" s="1" t="n">
        <v>45887.37248842593</v>
      </c>
      <c r="C7459" s="1" t="n">
        <v>45952</v>
      </c>
      <c r="D7459" t="inlineStr">
        <is>
          <t>VÄSTRA GÖTALANDS LÄN</t>
        </is>
      </c>
      <c r="E7459" t="inlineStr">
        <is>
          <t>LERUM</t>
        </is>
      </c>
      <c r="G7459" t="n">
        <v>0.4</v>
      </c>
      <c r="H7459" t="n">
        <v>0</v>
      </c>
      <c r="I7459" t="n">
        <v>0</v>
      </c>
      <c r="J7459" t="n">
        <v>0</v>
      </c>
      <c r="K7459" t="n">
        <v>0</v>
      </c>
      <c r="L7459" t="n">
        <v>0</v>
      </c>
      <c r="M7459" t="n">
        <v>0</v>
      </c>
      <c r="N7459" t="n">
        <v>0</v>
      </c>
      <c r="O7459" t="n">
        <v>0</v>
      </c>
      <c r="P7459" t="n">
        <v>0</v>
      </c>
      <c r="Q7459" t="n">
        <v>0</v>
      </c>
      <c r="R7459" s="2" t="inlineStr"/>
    </row>
    <row r="7460" ht="15" customHeight="1">
      <c r="A7460" t="inlineStr">
        <is>
          <t>A 38745-2025</t>
        </is>
      </c>
      <c r="B7460" s="1" t="n">
        <v>45887.37974537037</v>
      </c>
      <c r="C7460" s="1" t="n">
        <v>45952</v>
      </c>
      <c r="D7460" t="inlineStr">
        <is>
          <t>VÄSTRA GÖTALANDS LÄN</t>
        </is>
      </c>
      <c r="E7460" t="inlineStr">
        <is>
          <t>TRANEMO</t>
        </is>
      </c>
      <c r="G7460" t="n">
        <v>3.5</v>
      </c>
      <c r="H7460" t="n">
        <v>0</v>
      </c>
      <c r="I7460" t="n">
        <v>0</v>
      </c>
      <c r="J7460" t="n">
        <v>0</v>
      </c>
      <c r="K7460" t="n">
        <v>0</v>
      </c>
      <c r="L7460" t="n">
        <v>0</v>
      </c>
      <c r="M7460" t="n">
        <v>0</v>
      </c>
      <c r="N7460" t="n">
        <v>0</v>
      </c>
      <c r="O7460" t="n">
        <v>0</v>
      </c>
      <c r="P7460" t="n">
        <v>0</v>
      </c>
      <c r="Q7460" t="n">
        <v>0</v>
      </c>
      <c r="R7460" s="2" t="inlineStr"/>
    </row>
    <row r="7461" ht="15" customHeight="1">
      <c r="A7461" t="inlineStr">
        <is>
          <t>A 50958-2023</t>
        </is>
      </c>
      <c r="B7461" s="1" t="n">
        <v>45210</v>
      </c>
      <c r="C7461" s="1" t="n">
        <v>45952</v>
      </c>
      <c r="D7461" t="inlineStr">
        <is>
          <t>VÄSTRA GÖTALANDS LÄN</t>
        </is>
      </c>
      <c r="E7461" t="inlineStr">
        <is>
          <t>VÅRGÅRDA</t>
        </is>
      </c>
      <c r="F7461" t="inlineStr">
        <is>
          <t>Allmännings- och besparingsskogar</t>
        </is>
      </c>
      <c r="G7461" t="n">
        <v>3</v>
      </c>
      <c r="H7461" t="n">
        <v>0</v>
      </c>
      <c r="I7461" t="n">
        <v>0</v>
      </c>
      <c r="J7461" t="n">
        <v>0</v>
      </c>
      <c r="K7461" t="n">
        <v>0</v>
      </c>
      <c r="L7461" t="n">
        <v>0</v>
      </c>
      <c r="M7461" t="n">
        <v>0</v>
      </c>
      <c r="N7461" t="n">
        <v>0</v>
      </c>
      <c r="O7461" t="n">
        <v>0</v>
      </c>
      <c r="P7461" t="n">
        <v>0</v>
      </c>
      <c r="Q7461" t="n">
        <v>0</v>
      </c>
      <c r="R7461" s="2" t="inlineStr"/>
    </row>
    <row r="7462" ht="15" customHeight="1">
      <c r="A7462" t="inlineStr">
        <is>
          <t>A 4672-2025</t>
        </is>
      </c>
      <c r="B7462" s="1" t="n">
        <v>45687.79815972222</v>
      </c>
      <c r="C7462" s="1" t="n">
        <v>45952</v>
      </c>
      <c r="D7462" t="inlineStr">
        <is>
          <t>VÄSTRA GÖTALANDS LÄN</t>
        </is>
      </c>
      <c r="E7462" t="inlineStr">
        <is>
          <t>FÄRGELANDA</t>
        </is>
      </c>
      <c r="G7462" t="n">
        <v>3.2</v>
      </c>
      <c r="H7462" t="n">
        <v>0</v>
      </c>
      <c r="I7462" t="n">
        <v>0</v>
      </c>
      <c r="J7462" t="n">
        <v>0</v>
      </c>
      <c r="K7462" t="n">
        <v>0</v>
      </c>
      <c r="L7462" t="n">
        <v>0</v>
      </c>
      <c r="M7462" t="n">
        <v>0</v>
      </c>
      <c r="N7462" t="n">
        <v>0</v>
      </c>
      <c r="O7462" t="n">
        <v>0</v>
      </c>
      <c r="P7462" t="n">
        <v>0</v>
      </c>
      <c r="Q7462" t="n">
        <v>0</v>
      </c>
      <c r="R7462" s="2" t="inlineStr"/>
    </row>
    <row r="7463" ht="15" customHeight="1">
      <c r="A7463" t="inlineStr">
        <is>
          <t>A 4686-2025</t>
        </is>
      </c>
      <c r="B7463" s="1" t="n">
        <v>45688.31125</v>
      </c>
      <c r="C7463" s="1" t="n">
        <v>45952</v>
      </c>
      <c r="D7463" t="inlineStr">
        <is>
          <t>VÄSTRA GÖTALANDS LÄN</t>
        </is>
      </c>
      <c r="E7463" t="inlineStr">
        <is>
          <t>TRANEMO</t>
        </is>
      </c>
      <c r="G7463" t="n">
        <v>2.5</v>
      </c>
      <c r="H7463" t="n">
        <v>0</v>
      </c>
      <c r="I7463" t="n">
        <v>0</v>
      </c>
      <c r="J7463" t="n">
        <v>0</v>
      </c>
      <c r="K7463" t="n">
        <v>0</v>
      </c>
      <c r="L7463" t="n">
        <v>0</v>
      </c>
      <c r="M7463" t="n">
        <v>0</v>
      </c>
      <c r="N7463" t="n">
        <v>0</v>
      </c>
      <c r="O7463" t="n">
        <v>0</v>
      </c>
      <c r="P7463" t="n">
        <v>0</v>
      </c>
      <c r="Q7463" t="n">
        <v>0</v>
      </c>
      <c r="R7463" s="2" t="inlineStr"/>
    </row>
    <row r="7464" ht="15" customHeight="1">
      <c r="A7464" t="inlineStr">
        <is>
          <t>A 20870-2022</t>
        </is>
      </c>
      <c r="B7464" s="1" t="n">
        <v>44701</v>
      </c>
      <c r="C7464" s="1" t="n">
        <v>45952</v>
      </c>
      <c r="D7464" t="inlineStr">
        <is>
          <t>VÄSTRA GÖTALANDS LÄN</t>
        </is>
      </c>
      <c r="E7464" t="inlineStr">
        <is>
          <t>SKARA</t>
        </is>
      </c>
      <c r="G7464" t="n">
        <v>2.5</v>
      </c>
      <c r="H7464" t="n">
        <v>0</v>
      </c>
      <c r="I7464" t="n">
        <v>0</v>
      </c>
      <c r="J7464" t="n">
        <v>0</v>
      </c>
      <c r="K7464" t="n">
        <v>0</v>
      </c>
      <c r="L7464" t="n">
        <v>0</v>
      </c>
      <c r="M7464" t="n">
        <v>0</v>
      </c>
      <c r="N7464" t="n">
        <v>0</v>
      </c>
      <c r="O7464" t="n">
        <v>0</v>
      </c>
      <c r="P7464" t="n">
        <v>0</v>
      </c>
      <c r="Q7464" t="n">
        <v>0</v>
      </c>
      <c r="R7464" s="2" t="inlineStr"/>
    </row>
    <row r="7465" ht="15" customHeight="1">
      <c r="A7465" t="inlineStr">
        <is>
          <t>A 58181-2020</t>
        </is>
      </c>
      <c r="B7465" s="1" t="n">
        <v>44144</v>
      </c>
      <c r="C7465" s="1" t="n">
        <v>45952</v>
      </c>
      <c r="D7465" t="inlineStr">
        <is>
          <t>VÄSTRA GÖTALANDS LÄN</t>
        </is>
      </c>
      <c r="E7465" t="inlineStr">
        <is>
          <t>KARLSBORG</t>
        </is>
      </c>
      <c r="G7465" t="n">
        <v>1.2</v>
      </c>
      <c r="H7465" t="n">
        <v>0</v>
      </c>
      <c r="I7465" t="n">
        <v>0</v>
      </c>
      <c r="J7465" t="n">
        <v>0</v>
      </c>
      <c r="K7465" t="n">
        <v>0</v>
      </c>
      <c r="L7465" t="n">
        <v>0</v>
      </c>
      <c r="M7465" t="n">
        <v>0</v>
      </c>
      <c r="N7465" t="n">
        <v>0</v>
      </c>
      <c r="O7465" t="n">
        <v>0</v>
      </c>
      <c r="P7465" t="n">
        <v>0</v>
      </c>
      <c r="Q7465" t="n">
        <v>0</v>
      </c>
      <c r="R7465" s="2" t="inlineStr"/>
    </row>
    <row r="7466" ht="15" customHeight="1">
      <c r="A7466" t="inlineStr">
        <is>
          <t>A 10141-2025</t>
        </is>
      </c>
      <c r="B7466" s="1" t="n">
        <v>45719.63101851852</v>
      </c>
      <c r="C7466" s="1" t="n">
        <v>45952</v>
      </c>
      <c r="D7466" t="inlineStr">
        <is>
          <t>VÄSTRA GÖTALANDS LÄN</t>
        </is>
      </c>
      <c r="E7466" t="inlineStr">
        <is>
          <t>TANUM</t>
        </is>
      </c>
      <c r="G7466" t="n">
        <v>14.8</v>
      </c>
      <c r="H7466" t="n">
        <v>0</v>
      </c>
      <c r="I7466" t="n">
        <v>0</v>
      </c>
      <c r="J7466" t="n">
        <v>0</v>
      </c>
      <c r="K7466" t="n">
        <v>0</v>
      </c>
      <c r="L7466" t="n">
        <v>0</v>
      </c>
      <c r="M7466" t="n">
        <v>0</v>
      </c>
      <c r="N7466" t="n">
        <v>0</v>
      </c>
      <c r="O7466" t="n">
        <v>0</v>
      </c>
      <c r="P7466" t="n">
        <v>0</v>
      </c>
      <c r="Q7466" t="n">
        <v>0</v>
      </c>
      <c r="R7466" s="2" t="inlineStr"/>
    </row>
    <row r="7467" ht="15" customHeight="1">
      <c r="A7467" t="inlineStr">
        <is>
          <t>A 59315-2024</t>
        </is>
      </c>
      <c r="B7467" s="1" t="n">
        <v>45637.68884259259</v>
      </c>
      <c r="C7467" s="1" t="n">
        <v>45952</v>
      </c>
      <c r="D7467" t="inlineStr">
        <is>
          <t>VÄSTRA GÖTALANDS LÄN</t>
        </is>
      </c>
      <c r="E7467" t="inlineStr">
        <is>
          <t>TÖREBODA</t>
        </is>
      </c>
      <c r="G7467" t="n">
        <v>2.3</v>
      </c>
      <c r="H7467" t="n">
        <v>0</v>
      </c>
      <c r="I7467" t="n">
        <v>0</v>
      </c>
      <c r="J7467" t="n">
        <v>0</v>
      </c>
      <c r="K7467" t="n">
        <v>0</v>
      </c>
      <c r="L7467" t="n">
        <v>0</v>
      </c>
      <c r="M7467" t="n">
        <v>0</v>
      </c>
      <c r="N7467" t="n">
        <v>0</v>
      </c>
      <c r="O7467" t="n">
        <v>0</v>
      </c>
      <c r="P7467" t="n">
        <v>0</v>
      </c>
      <c r="Q7467" t="n">
        <v>0</v>
      </c>
      <c r="R7467" s="2" t="inlineStr"/>
    </row>
    <row r="7468" ht="15" customHeight="1">
      <c r="A7468" t="inlineStr">
        <is>
          <t>A 5612-2025</t>
        </is>
      </c>
      <c r="B7468" s="1" t="n">
        <v>45693.60490740741</v>
      </c>
      <c r="C7468" s="1" t="n">
        <v>45952</v>
      </c>
      <c r="D7468" t="inlineStr">
        <is>
          <t>VÄSTRA GÖTALANDS LÄN</t>
        </is>
      </c>
      <c r="E7468" t="inlineStr">
        <is>
          <t>LILLA EDET</t>
        </is>
      </c>
      <c r="G7468" t="n">
        <v>1.2</v>
      </c>
      <c r="H7468" t="n">
        <v>0</v>
      </c>
      <c r="I7468" t="n">
        <v>0</v>
      </c>
      <c r="J7468" t="n">
        <v>0</v>
      </c>
      <c r="K7468" t="n">
        <v>0</v>
      </c>
      <c r="L7468" t="n">
        <v>0</v>
      </c>
      <c r="M7468" t="n">
        <v>0</v>
      </c>
      <c r="N7468" t="n">
        <v>0</v>
      </c>
      <c r="O7468" t="n">
        <v>0</v>
      </c>
      <c r="P7468" t="n">
        <v>0</v>
      </c>
      <c r="Q7468" t="n">
        <v>0</v>
      </c>
      <c r="R7468" s="2" t="inlineStr"/>
    </row>
    <row r="7469" ht="15" customHeight="1">
      <c r="A7469" t="inlineStr">
        <is>
          <t>A 24150-2023</t>
        </is>
      </c>
      <c r="B7469" s="1" t="n">
        <v>45076</v>
      </c>
      <c r="C7469" s="1" t="n">
        <v>45952</v>
      </c>
      <c r="D7469" t="inlineStr">
        <is>
          <t>VÄSTRA GÖTALANDS LÄN</t>
        </is>
      </c>
      <c r="E7469" t="inlineStr">
        <is>
          <t>MUNKEDAL</t>
        </is>
      </c>
      <c r="G7469" t="n">
        <v>3.1</v>
      </c>
      <c r="H7469" t="n">
        <v>0</v>
      </c>
      <c r="I7469" t="n">
        <v>0</v>
      </c>
      <c r="J7469" t="n">
        <v>0</v>
      </c>
      <c r="K7469" t="n">
        <v>0</v>
      </c>
      <c r="L7469" t="n">
        <v>0</v>
      </c>
      <c r="M7469" t="n">
        <v>0</v>
      </c>
      <c r="N7469" t="n">
        <v>0</v>
      </c>
      <c r="O7469" t="n">
        <v>0</v>
      </c>
      <c r="P7469" t="n">
        <v>0</v>
      </c>
      <c r="Q7469" t="n">
        <v>0</v>
      </c>
      <c r="R7469" s="2" t="inlineStr"/>
    </row>
    <row r="7470" ht="15" customHeight="1">
      <c r="A7470" t="inlineStr">
        <is>
          <t>A 5647-2025</t>
        </is>
      </c>
      <c r="B7470" s="1" t="n">
        <v>45693.69725694445</v>
      </c>
      <c r="C7470" s="1" t="n">
        <v>45952</v>
      </c>
      <c r="D7470" t="inlineStr">
        <is>
          <t>VÄSTRA GÖTALANDS LÄN</t>
        </is>
      </c>
      <c r="E7470" t="inlineStr">
        <is>
          <t>ULRICEHAMN</t>
        </is>
      </c>
      <c r="G7470" t="n">
        <v>7.8</v>
      </c>
      <c r="H7470" t="n">
        <v>0</v>
      </c>
      <c r="I7470" t="n">
        <v>0</v>
      </c>
      <c r="J7470" t="n">
        <v>0</v>
      </c>
      <c r="K7470" t="n">
        <v>0</v>
      </c>
      <c r="L7470" t="n">
        <v>0</v>
      </c>
      <c r="M7470" t="n">
        <v>0</v>
      </c>
      <c r="N7470" t="n">
        <v>0</v>
      </c>
      <c r="O7470" t="n">
        <v>0</v>
      </c>
      <c r="P7470" t="n">
        <v>0</v>
      </c>
      <c r="Q7470" t="n">
        <v>0</v>
      </c>
      <c r="R7470" s="2" t="inlineStr"/>
    </row>
    <row r="7471" ht="15" customHeight="1">
      <c r="A7471" t="inlineStr">
        <is>
          <t>A 20098-2022</t>
        </is>
      </c>
      <c r="B7471" s="1" t="n">
        <v>44698</v>
      </c>
      <c r="C7471" s="1" t="n">
        <v>45952</v>
      </c>
      <c r="D7471" t="inlineStr">
        <is>
          <t>VÄSTRA GÖTALANDS LÄN</t>
        </is>
      </c>
      <c r="E7471" t="inlineStr">
        <is>
          <t>SKARA</t>
        </is>
      </c>
      <c r="G7471" t="n">
        <v>1.8</v>
      </c>
      <c r="H7471" t="n">
        <v>0</v>
      </c>
      <c r="I7471" t="n">
        <v>0</v>
      </c>
      <c r="J7471" t="n">
        <v>0</v>
      </c>
      <c r="K7471" t="n">
        <v>0</v>
      </c>
      <c r="L7471" t="n">
        <v>0</v>
      </c>
      <c r="M7471" t="n">
        <v>0</v>
      </c>
      <c r="N7471" t="n">
        <v>0</v>
      </c>
      <c r="O7471" t="n">
        <v>0</v>
      </c>
      <c r="P7471" t="n">
        <v>0</v>
      </c>
      <c r="Q7471" t="n">
        <v>0</v>
      </c>
      <c r="R7471" s="2" t="inlineStr"/>
    </row>
    <row r="7472" ht="15" customHeight="1">
      <c r="A7472" t="inlineStr">
        <is>
          <t>A 50941-2022</t>
        </is>
      </c>
      <c r="B7472" s="1" t="n">
        <v>44867</v>
      </c>
      <c r="C7472" s="1" t="n">
        <v>45952</v>
      </c>
      <c r="D7472" t="inlineStr">
        <is>
          <t>VÄSTRA GÖTALANDS LÄN</t>
        </is>
      </c>
      <c r="E7472" t="inlineStr">
        <is>
          <t>TANUM</t>
        </is>
      </c>
      <c r="G7472" t="n">
        <v>2.7</v>
      </c>
      <c r="H7472" t="n">
        <v>0</v>
      </c>
      <c r="I7472" t="n">
        <v>0</v>
      </c>
      <c r="J7472" t="n">
        <v>0</v>
      </c>
      <c r="K7472" t="n">
        <v>0</v>
      </c>
      <c r="L7472" t="n">
        <v>0</v>
      </c>
      <c r="M7472" t="n">
        <v>0</v>
      </c>
      <c r="N7472" t="n">
        <v>0</v>
      </c>
      <c r="O7472" t="n">
        <v>0</v>
      </c>
      <c r="P7472" t="n">
        <v>0</v>
      </c>
      <c r="Q7472" t="n">
        <v>0</v>
      </c>
      <c r="R7472" s="2" t="inlineStr"/>
    </row>
    <row r="7473" ht="15" customHeight="1">
      <c r="A7473" t="inlineStr">
        <is>
          <t>A 37874-2024</t>
        </is>
      </c>
      <c r="B7473" s="1" t="n">
        <v>45544.4146412037</v>
      </c>
      <c r="C7473" s="1" t="n">
        <v>45952</v>
      </c>
      <c r="D7473" t="inlineStr">
        <is>
          <t>VÄSTRA GÖTALANDS LÄN</t>
        </is>
      </c>
      <c r="E7473" t="inlineStr">
        <is>
          <t>DALS-ED</t>
        </is>
      </c>
      <c r="G7473" t="n">
        <v>1.6</v>
      </c>
      <c r="H7473" t="n">
        <v>0</v>
      </c>
      <c r="I7473" t="n">
        <v>0</v>
      </c>
      <c r="J7473" t="n">
        <v>0</v>
      </c>
      <c r="K7473" t="n">
        <v>0</v>
      </c>
      <c r="L7473" t="n">
        <v>0</v>
      </c>
      <c r="M7473" t="n">
        <v>0</v>
      </c>
      <c r="N7473" t="n">
        <v>0</v>
      </c>
      <c r="O7473" t="n">
        <v>0</v>
      </c>
      <c r="P7473" t="n">
        <v>0</v>
      </c>
      <c r="Q7473" t="n">
        <v>0</v>
      </c>
      <c r="R7473" s="2" t="inlineStr"/>
    </row>
    <row r="7474" ht="15" customHeight="1">
      <c r="A7474" t="inlineStr">
        <is>
          <t>A 12565-2025</t>
        </is>
      </c>
      <c r="B7474" s="1" t="n">
        <v>45731.60994212963</v>
      </c>
      <c r="C7474" s="1" t="n">
        <v>45952</v>
      </c>
      <c r="D7474" t="inlineStr">
        <is>
          <t>VÄSTRA GÖTALANDS LÄN</t>
        </is>
      </c>
      <c r="E7474" t="inlineStr">
        <is>
          <t>ULRICEHAMN</t>
        </is>
      </c>
      <c r="G7474" t="n">
        <v>0.8</v>
      </c>
      <c r="H7474" t="n">
        <v>0</v>
      </c>
      <c r="I7474" t="n">
        <v>0</v>
      </c>
      <c r="J7474" t="n">
        <v>0</v>
      </c>
      <c r="K7474" t="n">
        <v>0</v>
      </c>
      <c r="L7474" t="n">
        <v>0</v>
      </c>
      <c r="M7474" t="n">
        <v>0</v>
      </c>
      <c r="N7474" t="n">
        <v>0</v>
      </c>
      <c r="O7474" t="n">
        <v>0</v>
      </c>
      <c r="P7474" t="n">
        <v>0</v>
      </c>
      <c r="Q7474" t="n">
        <v>0</v>
      </c>
      <c r="R7474" s="2" t="inlineStr"/>
    </row>
    <row r="7475" ht="15" customHeight="1">
      <c r="A7475" t="inlineStr">
        <is>
          <t>A 58529-2023</t>
        </is>
      </c>
      <c r="B7475" s="1" t="n">
        <v>45251.39027777778</v>
      </c>
      <c r="C7475" s="1" t="n">
        <v>45952</v>
      </c>
      <c r="D7475" t="inlineStr">
        <is>
          <t>VÄSTRA GÖTALANDS LÄN</t>
        </is>
      </c>
      <c r="E7475" t="inlineStr">
        <is>
          <t>TRANEMO</t>
        </is>
      </c>
      <c r="G7475" t="n">
        <v>1.5</v>
      </c>
      <c r="H7475" t="n">
        <v>0</v>
      </c>
      <c r="I7475" t="n">
        <v>0</v>
      </c>
      <c r="J7475" t="n">
        <v>0</v>
      </c>
      <c r="K7475" t="n">
        <v>0</v>
      </c>
      <c r="L7475" t="n">
        <v>0</v>
      </c>
      <c r="M7475" t="n">
        <v>0</v>
      </c>
      <c r="N7475" t="n">
        <v>0</v>
      </c>
      <c r="O7475" t="n">
        <v>0</v>
      </c>
      <c r="P7475" t="n">
        <v>0</v>
      </c>
      <c r="Q7475" t="n">
        <v>0</v>
      </c>
      <c r="R7475" s="2" t="inlineStr"/>
    </row>
    <row r="7476" ht="15" customHeight="1">
      <c r="A7476" t="inlineStr">
        <is>
          <t>A 19618-2025</t>
        </is>
      </c>
      <c r="B7476" s="1" t="n">
        <v>45770.62131944444</v>
      </c>
      <c r="C7476" s="1" t="n">
        <v>45952</v>
      </c>
      <c r="D7476" t="inlineStr">
        <is>
          <t>VÄSTRA GÖTALANDS LÄN</t>
        </is>
      </c>
      <c r="E7476" t="inlineStr">
        <is>
          <t>ALINGSÅS</t>
        </is>
      </c>
      <c r="G7476" t="n">
        <v>5.9</v>
      </c>
      <c r="H7476" t="n">
        <v>0</v>
      </c>
      <c r="I7476" t="n">
        <v>0</v>
      </c>
      <c r="J7476" t="n">
        <v>0</v>
      </c>
      <c r="K7476" t="n">
        <v>0</v>
      </c>
      <c r="L7476" t="n">
        <v>0</v>
      </c>
      <c r="M7476" t="n">
        <v>0</v>
      </c>
      <c r="N7476" t="n">
        <v>0</v>
      </c>
      <c r="O7476" t="n">
        <v>0</v>
      </c>
      <c r="P7476" t="n">
        <v>0</v>
      </c>
      <c r="Q7476" t="n">
        <v>0</v>
      </c>
      <c r="R7476" s="2" t="inlineStr"/>
    </row>
    <row r="7477" ht="15" customHeight="1">
      <c r="A7477" t="inlineStr">
        <is>
          <t>A 19691-2025</t>
        </is>
      </c>
      <c r="B7477" s="1" t="n">
        <v>45770.88768518518</v>
      </c>
      <c r="C7477" s="1" t="n">
        <v>45952</v>
      </c>
      <c r="D7477" t="inlineStr">
        <is>
          <t>VÄSTRA GÖTALANDS LÄN</t>
        </is>
      </c>
      <c r="E7477" t="inlineStr">
        <is>
          <t>ULRICEHAMN</t>
        </is>
      </c>
      <c r="G7477" t="n">
        <v>1</v>
      </c>
      <c r="H7477" t="n">
        <v>0</v>
      </c>
      <c r="I7477" t="n">
        <v>0</v>
      </c>
      <c r="J7477" t="n">
        <v>0</v>
      </c>
      <c r="K7477" t="n">
        <v>0</v>
      </c>
      <c r="L7477" t="n">
        <v>0</v>
      </c>
      <c r="M7477" t="n">
        <v>0</v>
      </c>
      <c r="N7477" t="n">
        <v>0</v>
      </c>
      <c r="O7477" t="n">
        <v>0</v>
      </c>
      <c r="P7477" t="n">
        <v>0</v>
      </c>
      <c r="Q7477" t="n">
        <v>0</v>
      </c>
      <c r="R7477" s="2" t="inlineStr"/>
    </row>
    <row r="7478" ht="15" customHeight="1">
      <c r="A7478" t="inlineStr">
        <is>
          <t>A 56546-2020</t>
        </is>
      </c>
      <c r="B7478" s="1" t="n">
        <v>44137</v>
      </c>
      <c r="C7478" s="1" t="n">
        <v>45952</v>
      </c>
      <c r="D7478" t="inlineStr">
        <is>
          <t>VÄSTRA GÖTALANDS LÄN</t>
        </is>
      </c>
      <c r="E7478" t="inlineStr">
        <is>
          <t>BORÅS</t>
        </is>
      </c>
      <c r="G7478" t="n">
        <v>0.3</v>
      </c>
      <c r="H7478" t="n">
        <v>0</v>
      </c>
      <c r="I7478" t="n">
        <v>0</v>
      </c>
      <c r="J7478" t="n">
        <v>0</v>
      </c>
      <c r="K7478" t="n">
        <v>0</v>
      </c>
      <c r="L7478" t="n">
        <v>0</v>
      </c>
      <c r="M7478" t="n">
        <v>0</v>
      </c>
      <c r="N7478" t="n">
        <v>0</v>
      </c>
      <c r="O7478" t="n">
        <v>0</v>
      </c>
      <c r="P7478" t="n">
        <v>0</v>
      </c>
      <c r="Q7478" t="n">
        <v>0</v>
      </c>
      <c r="R7478" s="2" t="inlineStr"/>
    </row>
    <row r="7479" ht="15" customHeight="1">
      <c r="A7479" t="inlineStr">
        <is>
          <t>A 36093-2024</t>
        </is>
      </c>
      <c r="B7479" s="1" t="n">
        <v>45533.69211805556</v>
      </c>
      <c r="C7479" s="1" t="n">
        <v>45952</v>
      </c>
      <c r="D7479" t="inlineStr">
        <is>
          <t>VÄSTRA GÖTALANDS LÄN</t>
        </is>
      </c>
      <c r="E7479" t="inlineStr">
        <is>
          <t>MARK</t>
        </is>
      </c>
      <c r="G7479" t="n">
        <v>0.6</v>
      </c>
      <c r="H7479" t="n">
        <v>0</v>
      </c>
      <c r="I7479" t="n">
        <v>0</v>
      </c>
      <c r="J7479" t="n">
        <v>0</v>
      </c>
      <c r="K7479" t="n">
        <v>0</v>
      </c>
      <c r="L7479" t="n">
        <v>0</v>
      </c>
      <c r="M7479" t="n">
        <v>0</v>
      </c>
      <c r="N7479" t="n">
        <v>0</v>
      </c>
      <c r="O7479" t="n">
        <v>0</v>
      </c>
      <c r="P7479" t="n">
        <v>0</v>
      </c>
      <c r="Q7479" t="n">
        <v>0</v>
      </c>
      <c r="R7479" s="2" t="inlineStr"/>
    </row>
    <row r="7480" ht="15" customHeight="1">
      <c r="A7480" t="inlineStr">
        <is>
          <t>A 36096-2024</t>
        </is>
      </c>
      <c r="B7480" s="1" t="n">
        <v>45533.72237268519</v>
      </c>
      <c r="C7480" s="1" t="n">
        <v>45952</v>
      </c>
      <c r="D7480" t="inlineStr">
        <is>
          <t>VÄSTRA GÖTALANDS LÄN</t>
        </is>
      </c>
      <c r="E7480" t="inlineStr">
        <is>
          <t>ULRICEHAMN</t>
        </is>
      </c>
      <c r="G7480" t="n">
        <v>12.5</v>
      </c>
      <c r="H7480" t="n">
        <v>0</v>
      </c>
      <c r="I7480" t="n">
        <v>0</v>
      </c>
      <c r="J7480" t="n">
        <v>0</v>
      </c>
      <c r="K7480" t="n">
        <v>0</v>
      </c>
      <c r="L7480" t="n">
        <v>0</v>
      </c>
      <c r="M7480" t="n">
        <v>0</v>
      </c>
      <c r="N7480" t="n">
        <v>0</v>
      </c>
      <c r="O7480" t="n">
        <v>0</v>
      </c>
      <c r="P7480" t="n">
        <v>0</v>
      </c>
      <c r="Q7480" t="n">
        <v>0</v>
      </c>
      <c r="R7480" s="2" t="inlineStr"/>
    </row>
    <row r="7481" ht="15" customHeight="1">
      <c r="A7481" t="inlineStr">
        <is>
          <t>A 36103-2024</t>
        </is>
      </c>
      <c r="B7481" s="1" t="n">
        <v>45533.87207175926</v>
      </c>
      <c r="C7481" s="1" t="n">
        <v>45952</v>
      </c>
      <c r="D7481" t="inlineStr">
        <is>
          <t>VÄSTRA GÖTALANDS LÄN</t>
        </is>
      </c>
      <c r="E7481" t="inlineStr">
        <is>
          <t>SVENLJUNGA</t>
        </is>
      </c>
      <c r="G7481" t="n">
        <v>0.6</v>
      </c>
      <c r="H7481" t="n">
        <v>0</v>
      </c>
      <c r="I7481" t="n">
        <v>0</v>
      </c>
      <c r="J7481" t="n">
        <v>0</v>
      </c>
      <c r="K7481" t="n">
        <v>0</v>
      </c>
      <c r="L7481" t="n">
        <v>0</v>
      </c>
      <c r="M7481" t="n">
        <v>0</v>
      </c>
      <c r="N7481" t="n">
        <v>0</v>
      </c>
      <c r="O7481" t="n">
        <v>0</v>
      </c>
      <c r="P7481" t="n">
        <v>0</v>
      </c>
      <c r="Q7481" t="n">
        <v>0</v>
      </c>
      <c r="R7481" s="2" t="inlineStr"/>
    </row>
    <row r="7482" ht="15" customHeight="1">
      <c r="A7482" t="inlineStr">
        <is>
          <t>A 26833-2023</t>
        </is>
      </c>
      <c r="B7482" s="1" t="n">
        <v>45093</v>
      </c>
      <c r="C7482" s="1" t="n">
        <v>45952</v>
      </c>
      <c r="D7482" t="inlineStr">
        <is>
          <t>VÄSTRA GÖTALANDS LÄN</t>
        </is>
      </c>
      <c r="E7482" t="inlineStr">
        <is>
          <t>BORÅS</t>
        </is>
      </c>
      <c r="F7482" t="inlineStr">
        <is>
          <t>Sveaskog</t>
        </is>
      </c>
      <c r="G7482" t="n">
        <v>6.9</v>
      </c>
      <c r="H7482" t="n">
        <v>0</v>
      </c>
      <c r="I7482" t="n">
        <v>0</v>
      </c>
      <c r="J7482" t="n">
        <v>0</v>
      </c>
      <c r="K7482" t="n">
        <v>0</v>
      </c>
      <c r="L7482" t="n">
        <v>0</v>
      </c>
      <c r="M7482" t="n">
        <v>0</v>
      </c>
      <c r="N7482" t="n">
        <v>0</v>
      </c>
      <c r="O7482" t="n">
        <v>0</v>
      </c>
      <c r="P7482" t="n">
        <v>0</v>
      </c>
      <c r="Q7482" t="n">
        <v>0</v>
      </c>
      <c r="R7482" s="2" t="inlineStr"/>
    </row>
    <row r="7483" ht="15" customHeight="1">
      <c r="A7483" t="inlineStr">
        <is>
          <t>A 1814-2022</t>
        </is>
      </c>
      <c r="B7483" s="1" t="n">
        <v>44574</v>
      </c>
      <c r="C7483" s="1" t="n">
        <v>45952</v>
      </c>
      <c r="D7483" t="inlineStr">
        <is>
          <t>VÄSTRA GÖTALANDS LÄN</t>
        </is>
      </c>
      <c r="E7483" t="inlineStr">
        <is>
          <t>MARK</t>
        </is>
      </c>
      <c r="G7483" t="n">
        <v>4.3</v>
      </c>
      <c r="H7483" t="n">
        <v>0</v>
      </c>
      <c r="I7483" t="n">
        <v>0</v>
      </c>
      <c r="J7483" t="n">
        <v>0</v>
      </c>
      <c r="K7483" t="n">
        <v>0</v>
      </c>
      <c r="L7483" t="n">
        <v>0</v>
      </c>
      <c r="M7483" t="n">
        <v>0</v>
      </c>
      <c r="N7483" t="n">
        <v>0</v>
      </c>
      <c r="O7483" t="n">
        <v>0</v>
      </c>
      <c r="P7483" t="n">
        <v>0</v>
      </c>
      <c r="Q7483" t="n">
        <v>0</v>
      </c>
      <c r="R7483" s="2" t="inlineStr"/>
    </row>
    <row r="7484" ht="15" customHeight="1">
      <c r="A7484" t="inlineStr">
        <is>
          <t>A 17837-2025</t>
        </is>
      </c>
      <c r="B7484" s="1" t="n">
        <v>45758.58627314815</v>
      </c>
      <c r="C7484" s="1" t="n">
        <v>45952</v>
      </c>
      <c r="D7484" t="inlineStr">
        <is>
          <t>VÄSTRA GÖTALANDS LÄN</t>
        </is>
      </c>
      <c r="E7484" t="inlineStr">
        <is>
          <t>BORÅS</t>
        </is>
      </c>
      <c r="G7484" t="n">
        <v>2.4</v>
      </c>
      <c r="H7484" t="n">
        <v>0</v>
      </c>
      <c r="I7484" t="n">
        <v>0</v>
      </c>
      <c r="J7484" t="n">
        <v>0</v>
      </c>
      <c r="K7484" t="n">
        <v>0</v>
      </c>
      <c r="L7484" t="n">
        <v>0</v>
      </c>
      <c r="M7484" t="n">
        <v>0</v>
      </c>
      <c r="N7484" t="n">
        <v>0</v>
      </c>
      <c r="O7484" t="n">
        <v>0</v>
      </c>
      <c r="P7484" t="n">
        <v>0</v>
      </c>
      <c r="Q7484" t="n">
        <v>0</v>
      </c>
      <c r="R7484" s="2" t="inlineStr"/>
    </row>
    <row r="7485" ht="15" customHeight="1">
      <c r="A7485" t="inlineStr">
        <is>
          <t>A 1921-2024</t>
        </is>
      </c>
      <c r="B7485" s="1" t="n">
        <v>45308.43202546296</v>
      </c>
      <c r="C7485" s="1" t="n">
        <v>45952</v>
      </c>
      <c r="D7485" t="inlineStr">
        <is>
          <t>VÄSTRA GÖTALANDS LÄN</t>
        </is>
      </c>
      <c r="E7485" t="inlineStr">
        <is>
          <t>BOLLEBYGD</t>
        </is>
      </c>
      <c r="G7485" t="n">
        <v>0.6</v>
      </c>
      <c r="H7485" t="n">
        <v>0</v>
      </c>
      <c r="I7485" t="n">
        <v>0</v>
      </c>
      <c r="J7485" t="n">
        <v>0</v>
      </c>
      <c r="K7485" t="n">
        <v>0</v>
      </c>
      <c r="L7485" t="n">
        <v>0</v>
      </c>
      <c r="M7485" t="n">
        <v>0</v>
      </c>
      <c r="N7485" t="n">
        <v>0</v>
      </c>
      <c r="O7485" t="n">
        <v>0</v>
      </c>
      <c r="P7485" t="n">
        <v>0</v>
      </c>
      <c r="Q7485" t="n">
        <v>0</v>
      </c>
      <c r="R7485" s="2" t="inlineStr"/>
    </row>
    <row r="7486" ht="15" customHeight="1">
      <c r="A7486" t="inlineStr">
        <is>
          <t>A 2301-2022</t>
        </is>
      </c>
      <c r="B7486" s="1" t="n">
        <v>44578</v>
      </c>
      <c r="C7486" s="1" t="n">
        <v>45952</v>
      </c>
      <c r="D7486" t="inlineStr">
        <is>
          <t>VÄSTRA GÖTALANDS LÄN</t>
        </is>
      </c>
      <c r="E7486" t="inlineStr">
        <is>
          <t>FÄRGELANDA</t>
        </is>
      </c>
      <c r="G7486" t="n">
        <v>0.9</v>
      </c>
      <c r="H7486" t="n">
        <v>0</v>
      </c>
      <c r="I7486" t="n">
        <v>0</v>
      </c>
      <c r="J7486" t="n">
        <v>0</v>
      </c>
      <c r="K7486" t="n">
        <v>0</v>
      </c>
      <c r="L7486" t="n">
        <v>0</v>
      </c>
      <c r="M7486" t="n">
        <v>0</v>
      </c>
      <c r="N7486" t="n">
        <v>0</v>
      </c>
      <c r="O7486" t="n">
        <v>0</v>
      </c>
      <c r="P7486" t="n">
        <v>0</v>
      </c>
      <c r="Q7486" t="n">
        <v>0</v>
      </c>
      <c r="R7486" s="2" t="inlineStr"/>
    </row>
    <row r="7487" ht="15" customHeight="1">
      <c r="A7487" t="inlineStr">
        <is>
          <t>A 8568-2025</t>
        </is>
      </c>
      <c r="B7487" s="1" t="n">
        <v>45709.63869212963</v>
      </c>
      <c r="C7487" s="1" t="n">
        <v>45952</v>
      </c>
      <c r="D7487" t="inlineStr">
        <is>
          <t>VÄSTRA GÖTALANDS LÄN</t>
        </is>
      </c>
      <c r="E7487" t="inlineStr">
        <is>
          <t>SVENLJUNGA</t>
        </is>
      </c>
      <c r="G7487" t="n">
        <v>4</v>
      </c>
      <c r="H7487" t="n">
        <v>0</v>
      </c>
      <c r="I7487" t="n">
        <v>0</v>
      </c>
      <c r="J7487" t="n">
        <v>0</v>
      </c>
      <c r="K7487" t="n">
        <v>0</v>
      </c>
      <c r="L7487" t="n">
        <v>0</v>
      </c>
      <c r="M7487" t="n">
        <v>0</v>
      </c>
      <c r="N7487" t="n">
        <v>0</v>
      </c>
      <c r="O7487" t="n">
        <v>0</v>
      </c>
      <c r="P7487" t="n">
        <v>0</v>
      </c>
      <c r="Q7487" t="n">
        <v>0</v>
      </c>
      <c r="R7487" s="2" t="inlineStr"/>
    </row>
    <row r="7488" ht="15" customHeight="1">
      <c r="A7488" t="inlineStr">
        <is>
          <t>A 8570-2025</t>
        </is>
      </c>
      <c r="B7488" s="1" t="n">
        <v>45709.64003472222</v>
      </c>
      <c r="C7488" s="1" t="n">
        <v>45952</v>
      </c>
      <c r="D7488" t="inlineStr">
        <is>
          <t>VÄSTRA GÖTALANDS LÄN</t>
        </is>
      </c>
      <c r="E7488" t="inlineStr">
        <is>
          <t>BOLLEBYGD</t>
        </is>
      </c>
      <c r="G7488" t="n">
        <v>1.9</v>
      </c>
      <c r="H7488" t="n">
        <v>0</v>
      </c>
      <c r="I7488" t="n">
        <v>0</v>
      </c>
      <c r="J7488" t="n">
        <v>0</v>
      </c>
      <c r="K7488" t="n">
        <v>0</v>
      </c>
      <c r="L7488" t="n">
        <v>0</v>
      </c>
      <c r="M7488" t="n">
        <v>0</v>
      </c>
      <c r="N7488" t="n">
        <v>0</v>
      </c>
      <c r="O7488" t="n">
        <v>0</v>
      </c>
      <c r="P7488" t="n">
        <v>0</v>
      </c>
      <c r="Q7488" t="n">
        <v>0</v>
      </c>
      <c r="R7488" s="2" t="inlineStr"/>
    </row>
    <row r="7489" ht="15" customHeight="1">
      <c r="A7489" t="inlineStr">
        <is>
          <t>A 24081-2024</t>
        </is>
      </c>
      <c r="B7489" s="1" t="n">
        <v>45456.57019675926</v>
      </c>
      <c r="C7489" s="1" t="n">
        <v>45952</v>
      </c>
      <c r="D7489" t="inlineStr">
        <is>
          <t>VÄSTRA GÖTALANDS LÄN</t>
        </is>
      </c>
      <c r="E7489" t="inlineStr">
        <is>
          <t>UDDEVALLA</t>
        </is>
      </c>
      <c r="G7489" t="n">
        <v>1.7</v>
      </c>
      <c r="H7489" t="n">
        <v>0</v>
      </c>
      <c r="I7489" t="n">
        <v>0</v>
      </c>
      <c r="J7489" t="n">
        <v>0</v>
      </c>
      <c r="K7489" t="n">
        <v>0</v>
      </c>
      <c r="L7489" t="n">
        <v>0</v>
      </c>
      <c r="M7489" t="n">
        <v>0</v>
      </c>
      <c r="N7489" t="n">
        <v>0</v>
      </c>
      <c r="O7489" t="n">
        <v>0</v>
      </c>
      <c r="P7489" t="n">
        <v>0</v>
      </c>
      <c r="Q7489" t="n">
        <v>0</v>
      </c>
      <c r="R7489" s="2" t="inlineStr"/>
    </row>
    <row r="7490" ht="15" customHeight="1">
      <c r="A7490" t="inlineStr">
        <is>
          <t>A 16420-2023</t>
        </is>
      </c>
      <c r="B7490" s="1" t="n">
        <v>45029.43625</v>
      </c>
      <c r="C7490" s="1" t="n">
        <v>45952</v>
      </c>
      <c r="D7490" t="inlineStr">
        <is>
          <t>VÄSTRA GÖTALANDS LÄN</t>
        </is>
      </c>
      <c r="E7490" t="inlineStr">
        <is>
          <t>MUNKEDAL</t>
        </is>
      </c>
      <c r="G7490" t="n">
        <v>0.6</v>
      </c>
      <c r="H7490" t="n">
        <v>0</v>
      </c>
      <c r="I7490" t="n">
        <v>0</v>
      </c>
      <c r="J7490" t="n">
        <v>0</v>
      </c>
      <c r="K7490" t="n">
        <v>0</v>
      </c>
      <c r="L7490" t="n">
        <v>0</v>
      </c>
      <c r="M7490" t="n">
        <v>0</v>
      </c>
      <c r="N7490" t="n">
        <v>0</v>
      </c>
      <c r="O7490" t="n">
        <v>0</v>
      </c>
      <c r="P7490" t="n">
        <v>0</v>
      </c>
      <c r="Q7490" t="n">
        <v>0</v>
      </c>
      <c r="R7490" s="2" t="inlineStr"/>
    </row>
    <row r="7491" ht="15" customHeight="1">
      <c r="A7491" t="inlineStr">
        <is>
          <t>A 16615-2023</t>
        </is>
      </c>
      <c r="B7491" s="1" t="n">
        <v>45030</v>
      </c>
      <c r="C7491" s="1" t="n">
        <v>45952</v>
      </c>
      <c r="D7491" t="inlineStr">
        <is>
          <t>VÄSTRA GÖTALANDS LÄN</t>
        </is>
      </c>
      <c r="E7491" t="inlineStr">
        <is>
          <t>MARK</t>
        </is>
      </c>
      <c r="F7491" t="inlineStr">
        <is>
          <t>Sveaskog</t>
        </is>
      </c>
      <c r="G7491" t="n">
        <v>3.1</v>
      </c>
      <c r="H7491" t="n">
        <v>0</v>
      </c>
      <c r="I7491" t="n">
        <v>0</v>
      </c>
      <c r="J7491" t="n">
        <v>0</v>
      </c>
      <c r="K7491" t="n">
        <v>0</v>
      </c>
      <c r="L7491" t="n">
        <v>0</v>
      </c>
      <c r="M7491" t="n">
        <v>0</v>
      </c>
      <c r="N7491" t="n">
        <v>0</v>
      </c>
      <c r="O7491" t="n">
        <v>0</v>
      </c>
      <c r="P7491" t="n">
        <v>0</v>
      </c>
      <c r="Q7491" t="n">
        <v>0</v>
      </c>
      <c r="R7491" s="2" t="inlineStr"/>
    </row>
    <row r="7492" ht="15" customHeight="1">
      <c r="A7492" t="inlineStr">
        <is>
          <t>A 51914-2023</t>
        </is>
      </c>
      <c r="B7492" s="1" t="n">
        <v>45223</v>
      </c>
      <c r="C7492" s="1" t="n">
        <v>45952</v>
      </c>
      <c r="D7492" t="inlineStr">
        <is>
          <t>VÄSTRA GÖTALANDS LÄN</t>
        </is>
      </c>
      <c r="E7492" t="inlineStr">
        <is>
          <t>ULRICEHAMN</t>
        </is>
      </c>
      <c r="G7492" t="n">
        <v>1.7</v>
      </c>
      <c r="H7492" t="n">
        <v>0</v>
      </c>
      <c r="I7492" t="n">
        <v>0</v>
      </c>
      <c r="J7492" t="n">
        <v>0</v>
      </c>
      <c r="K7492" t="n">
        <v>0</v>
      </c>
      <c r="L7492" t="n">
        <v>0</v>
      </c>
      <c r="M7492" t="n">
        <v>0</v>
      </c>
      <c r="N7492" t="n">
        <v>0</v>
      </c>
      <c r="O7492" t="n">
        <v>0</v>
      </c>
      <c r="P7492" t="n">
        <v>0</v>
      </c>
      <c r="Q7492" t="n">
        <v>0</v>
      </c>
      <c r="R7492" s="2" t="inlineStr"/>
    </row>
    <row r="7493" ht="15" customHeight="1">
      <c r="A7493" t="inlineStr">
        <is>
          <t>A 62221-2022</t>
        </is>
      </c>
      <c r="B7493" s="1" t="n">
        <v>44922</v>
      </c>
      <c r="C7493" s="1" t="n">
        <v>45952</v>
      </c>
      <c r="D7493" t="inlineStr">
        <is>
          <t>VÄSTRA GÖTALANDS LÄN</t>
        </is>
      </c>
      <c r="E7493" t="inlineStr">
        <is>
          <t>TIBRO</t>
        </is>
      </c>
      <c r="G7493" t="n">
        <v>3.1</v>
      </c>
      <c r="H7493" t="n">
        <v>0</v>
      </c>
      <c r="I7493" t="n">
        <v>0</v>
      </c>
      <c r="J7493" t="n">
        <v>0</v>
      </c>
      <c r="K7493" t="n">
        <v>0</v>
      </c>
      <c r="L7493" t="n">
        <v>0</v>
      </c>
      <c r="M7493" t="n">
        <v>0</v>
      </c>
      <c r="N7493" t="n">
        <v>0</v>
      </c>
      <c r="O7493" t="n">
        <v>0</v>
      </c>
      <c r="P7493" t="n">
        <v>0</v>
      </c>
      <c r="Q7493" t="n">
        <v>0</v>
      </c>
      <c r="R7493" s="2" t="inlineStr"/>
    </row>
    <row r="7494" ht="15" customHeight="1">
      <c r="A7494" t="inlineStr">
        <is>
          <t>A 28022-2023</t>
        </is>
      </c>
      <c r="B7494" s="1" t="n">
        <v>45098.95484953704</v>
      </c>
      <c r="C7494" s="1" t="n">
        <v>45952</v>
      </c>
      <c r="D7494" t="inlineStr">
        <is>
          <t>VÄSTRA GÖTALANDS LÄN</t>
        </is>
      </c>
      <c r="E7494" t="inlineStr">
        <is>
          <t>LILLA EDET</t>
        </is>
      </c>
      <c r="G7494" t="n">
        <v>5.7</v>
      </c>
      <c r="H7494" t="n">
        <v>0</v>
      </c>
      <c r="I7494" t="n">
        <v>0</v>
      </c>
      <c r="J7494" t="n">
        <v>0</v>
      </c>
      <c r="K7494" t="n">
        <v>0</v>
      </c>
      <c r="L7494" t="n">
        <v>0</v>
      </c>
      <c r="M7494" t="n">
        <v>0</v>
      </c>
      <c r="N7494" t="n">
        <v>0</v>
      </c>
      <c r="O7494" t="n">
        <v>0</v>
      </c>
      <c r="P7494" t="n">
        <v>0</v>
      </c>
      <c r="Q7494" t="n">
        <v>0</v>
      </c>
      <c r="R7494" s="2" t="inlineStr"/>
    </row>
    <row r="7495" ht="15" customHeight="1">
      <c r="A7495" t="inlineStr">
        <is>
          <t>A 1526-2023</t>
        </is>
      </c>
      <c r="B7495" s="1" t="n">
        <v>44935</v>
      </c>
      <c r="C7495" s="1" t="n">
        <v>45952</v>
      </c>
      <c r="D7495" t="inlineStr">
        <is>
          <t>VÄSTRA GÖTALANDS LÄN</t>
        </is>
      </c>
      <c r="E7495" t="inlineStr">
        <is>
          <t>MUNKEDAL</t>
        </is>
      </c>
      <c r="G7495" t="n">
        <v>1.5</v>
      </c>
      <c r="H7495" t="n">
        <v>0</v>
      </c>
      <c r="I7495" t="n">
        <v>0</v>
      </c>
      <c r="J7495" t="n">
        <v>0</v>
      </c>
      <c r="K7495" t="n">
        <v>0</v>
      </c>
      <c r="L7495" t="n">
        <v>0</v>
      </c>
      <c r="M7495" t="n">
        <v>0</v>
      </c>
      <c r="N7495" t="n">
        <v>0</v>
      </c>
      <c r="O7495" t="n">
        <v>0</v>
      </c>
      <c r="P7495" t="n">
        <v>0</v>
      </c>
      <c r="Q7495" t="n">
        <v>0</v>
      </c>
      <c r="R7495" s="2" t="inlineStr"/>
    </row>
    <row r="7496" ht="15" customHeight="1">
      <c r="A7496" t="inlineStr">
        <is>
          <t>A 8304-2025</t>
        </is>
      </c>
      <c r="B7496" s="1" t="n">
        <v>45708.59888888889</v>
      </c>
      <c r="C7496" s="1" t="n">
        <v>45952</v>
      </c>
      <c r="D7496" t="inlineStr">
        <is>
          <t>VÄSTRA GÖTALANDS LÄN</t>
        </is>
      </c>
      <c r="E7496" t="inlineStr">
        <is>
          <t>TRANEMO</t>
        </is>
      </c>
      <c r="G7496" t="n">
        <v>0.8</v>
      </c>
      <c r="H7496" t="n">
        <v>0</v>
      </c>
      <c r="I7496" t="n">
        <v>0</v>
      </c>
      <c r="J7496" t="n">
        <v>0</v>
      </c>
      <c r="K7496" t="n">
        <v>0</v>
      </c>
      <c r="L7496" t="n">
        <v>0</v>
      </c>
      <c r="M7496" t="n">
        <v>0</v>
      </c>
      <c r="N7496" t="n">
        <v>0</v>
      </c>
      <c r="O7496" t="n">
        <v>0</v>
      </c>
      <c r="P7496" t="n">
        <v>0</v>
      </c>
      <c r="Q7496" t="n">
        <v>0</v>
      </c>
      <c r="R7496" s="2" t="inlineStr"/>
    </row>
    <row r="7497" ht="15" customHeight="1">
      <c r="A7497" t="inlineStr">
        <is>
          <t>A 22309-2024</t>
        </is>
      </c>
      <c r="B7497" s="1" t="n">
        <v>45446</v>
      </c>
      <c r="C7497" s="1" t="n">
        <v>45952</v>
      </c>
      <c r="D7497" t="inlineStr">
        <is>
          <t>VÄSTRA GÖTALANDS LÄN</t>
        </is>
      </c>
      <c r="E7497" t="inlineStr">
        <is>
          <t>HERRLJUNGA</t>
        </is>
      </c>
      <c r="G7497" t="n">
        <v>2.6</v>
      </c>
      <c r="H7497" t="n">
        <v>0</v>
      </c>
      <c r="I7497" t="n">
        <v>0</v>
      </c>
      <c r="J7497" t="n">
        <v>0</v>
      </c>
      <c r="K7497" t="n">
        <v>0</v>
      </c>
      <c r="L7497" t="n">
        <v>0</v>
      </c>
      <c r="M7497" t="n">
        <v>0</v>
      </c>
      <c r="N7497" t="n">
        <v>0</v>
      </c>
      <c r="O7497" t="n">
        <v>0</v>
      </c>
      <c r="P7497" t="n">
        <v>0</v>
      </c>
      <c r="Q7497" t="n">
        <v>0</v>
      </c>
      <c r="R7497" s="2" t="inlineStr"/>
    </row>
    <row r="7498" ht="15" customHeight="1">
      <c r="A7498" t="inlineStr">
        <is>
          <t>A 41370-2024</t>
        </is>
      </c>
      <c r="B7498" s="1" t="n">
        <v>45559.79987268519</v>
      </c>
      <c r="C7498" s="1" t="n">
        <v>45952</v>
      </c>
      <c r="D7498" t="inlineStr">
        <is>
          <t>VÄSTRA GÖTALANDS LÄN</t>
        </is>
      </c>
      <c r="E7498" t="inlineStr">
        <is>
          <t>SVENLJUNGA</t>
        </is>
      </c>
      <c r="G7498" t="n">
        <v>5.6</v>
      </c>
      <c r="H7498" t="n">
        <v>0</v>
      </c>
      <c r="I7498" t="n">
        <v>0</v>
      </c>
      <c r="J7498" t="n">
        <v>0</v>
      </c>
      <c r="K7498" t="n">
        <v>0</v>
      </c>
      <c r="L7498" t="n">
        <v>0</v>
      </c>
      <c r="M7498" t="n">
        <v>0</v>
      </c>
      <c r="N7498" t="n">
        <v>0</v>
      </c>
      <c r="O7498" t="n">
        <v>0</v>
      </c>
      <c r="P7498" t="n">
        <v>0</v>
      </c>
      <c r="Q7498" t="n">
        <v>0</v>
      </c>
      <c r="R7498" s="2" t="inlineStr"/>
    </row>
    <row r="7499" ht="15" customHeight="1">
      <c r="A7499" t="inlineStr">
        <is>
          <t>A 54930-2023</t>
        </is>
      </c>
      <c r="B7499" s="1" t="n">
        <v>45229</v>
      </c>
      <c r="C7499" s="1" t="n">
        <v>45952</v>
      </c>
      <c r="D7499" t="inlineStr">
        <is>
          <t>VÄSTRA GÖTALANDS LÄN</t>
        </is>
      </c>
      <c r="E7499" t="inlineStr">
        <is>
          <t>MUNKEDAL</t>
        </is>
      </c>
      <c r="G7499" t="n">
        <v>1.8</v>
      </c>
      <c r="H7499" t="n">
        <v>0</v>
      </c>
      <c r="I7499" t="n">
        <v>0</v>
      </c>
      <c r="J7499" t="n">
        <v>0</v>
      </c>
      <c r="K7499" t="n">
        <v>0</v>
      </c>
      <c r="L7499" t="n">
        <v>0</v>
      </c>
      <c r="M7499" t="n">
        <v>0</v>
      </c>
      <c r="N7499" t="n">
        <v>0</v>
      </c>
      <c r="O7499" t="n">
        <v>0</v>
      </c>
      <c r="P7499" t="n">
        <v>0</v>
      </c>
      <c r="Q7499" t="n">
        <v>0</v>
      </c>
      <c r="R7499" s="2" t="inlineStr"/>
    </row>
    <row r="7500" ht="15" customHeight="1">
      <c r="A7500" t="inlineStr">
        <is>
          <t>A 60382-2021</t>
        </is>
      </c>
      <c r="B7500" s="1" t="n">
        <v>44496.36440972222</v>
      </c>
      <c r="C7500" s="1" t="n">
        <v>45952</v>
      </c>
      <c r="D7500" t="inlineStr">
        <is>
          <t>VÄSTRA GÖTALANDS LÄN</t>
        </is>
      </c>
      <c r="E7500" t="inlineStr">
        <is>
          <t>ÅMÅL</t>
        </is>
      </c>
      <c r="G7500" t="n">
        <v>6.5</v>
      </c>
      <c r="H7500" t="n">
        <v>0</v>
      </c>
      <c r="I7500" t="n">
        <v>0</v>
      </c>
      <c r="J7500" t="n">
        <v>0</v>
      </c>
      <c r="K7500" t="n">
        <v>0</v>
      </c>
      <c r="L7500" t="n">
        <v>0</v>
      </c>
      <c r="M7500" t="n">
        <v>0</v>
      </c>
      <c r="N7500" t="n">
        <v>0</v>
      </c>
      <c r="O7500" t="n">
        <v>0</v>
      </c>
      <c r="P7500" t="n">
        <v>0</v>
      </c>
      <c r="Q7500" t="n">
        <v>0</v>
      </c>
      <c r="R7500" s="2" t="inlineStr"/>
    </row>
    <row r="7501" ht="15" customHeight="1">
      <c r="A7501" t="inlineStr">
        <is>
          <t>A 55780-2023</t>
        </is>
      </c>
      <c r="B7501" s="1" t="n">
        <v>45239</v>
      </c>
      <c r="C7501" s="1" t="n">
        <v>45952</v>
      </c>
      <c r="D7501" t="inlineStr">
        <is>
          <t>VÄSTRA GÖTALANDS LÄN</t>
        </is>
      </c>
      <c r="E7501" t="inlineStr">
        <is>
          <t>TANUM</t>
        </is>
      </c>
      <c r="G7501" t="n">
        <v>2.2</v>
      </c>
      <c r="H7501" t="n">
        <v>0</v>
      </c>
      <c r="I7501" t="n">
        <v>0</v>
      </c>
      <c r="J7501" t="n">
        <v>0</v>
      </c>
      <c r="K7501" t="n">
        <v>0</v>
      </c>
      <c r="L7501" t="n">
        <v>0</v>
      </c>
      <c r="M7501" t="n">
        <v>0</v>
      </c>
      <c r="N7501" t="n">
        <v>0</v>
      </c>
      <c r="O7501" t="n">
        <v>0</v>
      </c>
      <c r="P7501" t="n">
        <v>0</v>
      </c>
      <c r="Q7501" t="n">
        <v>0</v>
      </c>
      <c r="R7501" s="2" t="inlineStr"/>
    </row>
    <row r="7502" ht="15" customHeight="1">
      <c r="A7502" t="inlineStr">
        <is>
          <t>A 57298-2024</t>
        </is>
      </c>
      <c r="B7502" s="1" t="n">
        <v>45629.59912037037</v>
      </c>
      <c r="C7502" s="1" t="n">
        <v>45952</v>
      </c>
      <c r="D7502" t="inlineStr">
        <is>
          <t>VÄSTRA GÖTALANDS LÄN</t>
        </is>
      </c>
      <c r="E7502" t="inlineStr">
        <is>
          <t>ÅMÅL</t>
        </is>
      </c>
      <c r="G7502" t="n">
        <v>1.9</v>
      </c>
      <c r="H7502" t="n">
        <v>0</v>
      </c>
      <c r="I7502" t="n">
        <v>0</v>
      </c>
      <c r="J7502" t="n">
        <v>0</v>
      </c>
      <c r="K7502" t="n">
        <v>0</v>
      </c>
      <c r="L7502" t="n">
        <v>0</v>
      </c>
      <c r="M7502" t="n">
        <v>0</v>
      </c>
      <c r="N7502" t="n">
        <v>0</v>
      </c>
      <c r="O7502" t="n">
        <v>0</v>
      </c>
      <c r="P7502" t="n">
        <v>0</v>
      </c>
      <c r="Q7502" t="n">
        <v>0</v>
      </c>
      <c r="R7502" s="2" t="inlineStr"/>
    </row>
    <row r="7503" ht="15" customHeight="1">
      <c r="A7503" t="inlineStr">
        <is>
          <t>A 41838-2023</t>
        </is>
      </c>
      <c r="B7503" s="1" t="n">
        <v>45176.60104166667</v>
      </c>
      <c r="C7503" s="1" t="n">
        <v>45952</v>
      </c>
      <c r="D7503" t="inlineStr">
        <is>
          <t>VÄSTRA GÖTALANDS LÄN</t>
        </is>
      </c>
      <c r="E7503" t="inlineStr">
        <is>
          <t>BORÅS</t>
        </is>
      </c>
      <c r="G7503" t="n">
        <v>1.5</v>
      </c>
      <c r="H7503" t="n">
        <v>0</v>
      </c>
      <c r="I7503" t="n">
        <v>0</v>
      </c>
      <c r="J7503" t="n">
        <v>0</v>
      </c>
      <c r="K7503" t="n">
        <v>0</v>
      </c>
      <c r="L7503" t="n">
        <v>0</v>
      </c>
      <c r="M7503" t="n">
        <v>0</v>
      </c>
      <c r="N7503" t="n">
        <v>0</v>
      </c>
      <c r="O7503" t="n">
        <v>0</v>
      </c>
      <c r="P7503" t="n">
        <v>0</v>
      </c>
      <c r="Q7503" t="n">
        <v>0</v>
      </c>
      <c r="R7503" s="2" t="inlineStr"/>
    </row>
    <row r="7504" ht="15" customHeight="1">
      <c r="A7504" t="inlineStr">
        <is>
          <t>A 50152-2023</t>
        </is>
      </c>
      <c r="B7504" s="1" t="n">
        <v>45215</v>
      </c>
      <c r="C7504" s="1" t="n">
        <v>45952</v>
      </c>
      <c r="D7504" t="inlineStr">
        <is>
          <t>VÄSTRA GÖTALANDS LÄN</t>
        </is>
      </c>
      <c r="E7504" t="inlineStr">
        <is>
          <t>HJO</t>
        </is>
      </c>
      <c r="G7504" t="n">
        <v>4.8</v>
      </c>
      <c r="H7504" t="n">
        <v>0</v>
      </c>
      <c r="I7504" t="n">
        <v>0</v>
      </c>
      <c r="J7504" t="n">
        <v>0</v>
      </c>
      <c r="K7504" t="n">
        <v>0</v>
      </c>
      <c r="L7504" t="n">
        <v>0</v>
      </c>
      <c r="M7504" t="n">
        <v>0</v>
      </c>
      <c r="N7504" t="n">
        <v>0</v>
      </c>
      <c r="O7504" t="n">
        <v>0</v>
      </c>
      <c r="P7504" t="n">
        <v>0</v>
      </c>
      <c r="Q7504" t="n">
        <v>0</v>
      </c>
      <c r="R7504" s="2" t="inlineStr"/>
    </row>
    <row r="7505" ht="15" customHeight="1">
      <c r="A7505" t="inlineStr">
        <is>
          <t>A 47902-2024</t>
        </is>
      </c>
      <c r="B7505" s="1" t="n">
        <v>45589</v>
      </c>
      <c r="C7505" s="1" t="n">
        <v>45952</v>
      </c>
      <c r="D7505" t="inlineStr">
        <is>
          <t>VÄSTRA GÖTALANDS LÄN</t>
        </is>
      </c>
      <c r="E7505" t="inlineStr">
        <is>
          <t>TROLLHÄTTAN</t>
        </is>
      </c>
      <c r="G7505" t="n">
        <v>1.8</v>
      </c>
      <c r="H7505" t="n">
        <v>0</v>
      </c>
      <c r="I7505" t="n">
        <v>0</v>
      </c>
      <c r="J7505" t="n">
        <v>0</v>
      </c>
      <c r="K7505" t="n">
        <v>0</v>
      </c>
      <c r="L7505" t="n">
        <v>0</v>
      </c>
      <c r="M7505" t="n">
        <v>0</v>
      </c>
      <c r="N7505" t="n">
        <v>0</v>
      </c>
      <c r="O7505" t="n">
        <v>0</v>
      </c>
      <c r="P7505" t="n">
        <v>0</v>
      </c>
      <c r="Q7505" t="n">
        <v>0</v>
      </c>
      <c r="R7505" s="2" t="inlineStr"/>
    </row>
    <row r="7506" ht="15" customHeight="1">
      <c r="A7506" t="inlineStr">
        <is>
          <t>A 53719-2023</t>
        </is>
      </c>
      <c r="B7506" s="1" t="n">
        <v>45230.72717592592</v>
      </c>
      <c r="C7506" s="1" t="n">
        <v>45952</v>
      </c>
      <c r="D7506" t="inlineStr">
        <is>
          <t>VÄSTRA GÖTALANDS LÄN</t>
        </is>
      </c>
      <c r="E7506" t="inlineStr">
        <is>
          <t>VARA</t>
        </is>
      </c>
      <c r="G7506" t="n">
        <v>3.3</v>
      </c>
      <c r="H7506" t="n">
        <v>0</v>
      </c>
      <c r="I7506" t="n">
        <v>0</v>
      </c>
      <c r="J7506" t="n">
        <v>0</v>
      </c>
      <c r="K7506" t="n">
        <v>0</v>
      </c>
      <c r="L7506" t="n">
        <v>0</v>
      </c>
      <c r="M7506" t="n">
        <v>0</v>
      </c>
      <c r="N7506" t="n">
        <v>0</v>
      </c>
      <c r="O7506" t="n">
        <v>0</v>
      </c>
      <c r="P7506" t="n">
        <v>0</v>
      </c>
      <c r="Q7506" t="n">
        <v>0</v>
      </c>
      <c r="R7506" s="2" t="inlineStr"/>
    </row>
    <row r="7507" ht="15" customHeight="1">
      <c r="A7507" t="inlineStr">
        <is>
          <t>A 6167-2024</t>
        </is>
      </c>
      <c r="B7507" s="1" t="n">
        <v>45337</v>
      </c>
      <c r="C7507" s="1" t="n">
        <v>45952</v>
      </c>
      <c r="D7507" t="inlineStr">
        <is>
          <t>VÄSTRA GÖTALANDS LÄN</t>
        </is>
      </c>
      <c r="E7507" t="inlineStr">
        <is>
          <t>VÄNERSBORG</t>
        </is>
      </c>
      <c r="G7507" t="n">
        <v>6.5</v>
      </c>
      <c r="H7507" t="n">
        <v>0</v>
      </c>
      <c r="I7507" t="n">
        <v>0</v>
      </c>
      <c r="J7507" t="n">
        <v>0</v>
      </c>
      <c r="K7507" t="n">
        <v>0</v>
      </c>
      <c r="L7507" t="n">
        <v>0</v>
      </c>
      <c r="M7507" t="n">
        <v>0</v>
      </c>
      <c r="N7507" t="n">
        <v>0</v>
      </c>
      <c r="O7507" t="n">
        <v>0</v>
      </c>
      <c r="P7507" t="n">
        <v>0</v>
      </c>
      <c r="Q7507" t="n">
        <v>0</v>
      </c>
      <c r="R7507" s="2" t="inlineStr"/>
    </row>
    <row r="7508" ht="15" customHeight="1">
      <c r="A7508" t="inlineStr">
        <is>
          <t>A 136-2023</t>
        </is>
      </c>
      <c r="B7508" s="1" t="n">
        <v>44928.51184027778</v>
      </c>
      <c r="C7508" s="1" t="n">
        <v>45952</v>
      </c>
      <c r="D7508" t="inlineStr">
        <is>
          <t>VÄSTRA GÖTALANDS LÄN</t>
        </is>
      </c>
      <c r="E7508" t="inlineStr">
        <is>
          <t>LIDKÖPING</t>
        </is>
      </c>
      <c r="G7508" t="n">
        <v>4.5</v>
      </c>
      <c r="H7508" t="n">
        <v>0</v>
      </c>
      <c r="I7508" t="n">
        <v>0</v>
      </c>
      <c r="J7508" t="n">
        <v>0</v>
      </c>
      <c r="K7508" t="n">
        <v>0</v>
      </c>
      <c r="L7508" t="n">
        <v>0</v>
      </c>
      <c r="M7508" t="n">
        <v>0</v>
      </c>
      <c r="N7508" t="n">
        <v>0</v>
      </c>
      <c r="O7508" t="n">
        <v>0</v>
      </c>
      <c r="P7508" t="n">
        <v>0</v>
      </c>
      <c r="Q7508" t="n">
        <v>0</v>
      </c>
      <c r="R7508" s="2" t="inlineStr"/>
    </row>
    <row r="7509" ht="15" customHeight="1">
      <c r="A7509" t="inlineStr">
        <is>
          <t>A 9284-2025</t>
        </is>
      </c>
      <c r="B7509" s="1" t="n">
        <v>45714</v>
      </c>
      <c r="C7509" s="1" t="n">
        <v>45952</v>
      </c>
      <c r="D7509" t="inlineStr">
        <is>
          <t>VÄSTRA GÖTALANDS LÄN</t>
        </is>
      </c>
      <c r="E7509" t="inlineStr">
        <is>
          <t>SKÖVDE</t>
        </is>
      </c>
      <c r="F7509" t="inlineStr">
        <is>
          <t>Kommuner</t>
        </is>
      </c>
      <c r="G7509" t="n">
        <v>5</v>
      </c>
      <c r="H7509" t="n">
        <v>0</v>
      </c>
      <c r="I7509" t="n">
        <v>0</v>
      </c>
      <c r="J7509" t="n">
        <v>0</v>
      </c>
      <c r="K7509" t="n">
        <v>0</v>
      </c>
      <c r="L7509" t="n">
        <v>0</v>
      </c>
      <c r="M7509" t="n">
        <v>0</v>
      </c>
      <c r="N7509" t="n">
        <v>0</v>
      </c>
      <c r="O7509" t="n">
        <v>0</v>
      </c>
      <c r="P7509" t="n">
        <v>0</v>
      </c>
      <c r="Q7509" t="n">
        <v>0</v>
      </c>
      <c r="R7509" s="2" t="inlineStr"/>
    </row>
    <row r="7510" ht="15" customHeight="1">
      <c r="A7510" t="inlineStr">
        <is>
          <t>A 9315-2025</t>
        </is>
      </c>
      <c r="B7510" s="1" t="n">
        <v>45714.70159722222</v>
      </c>
      <c r="C7510" s="1" t="n">
        <v>45952</v>
      </c>
      <c r="D7510" t="inlineStr">
        <is>
          <t>VÄSTRA GÖTALANDS LÄN</t>
        </is>
      </c>
      <c r="E7510" t="inlineStr">
        <is>
          <t>TRANEMO</t>
        </is>
      </c>
      <c r="G7510" t="n">
        <v>5.1</v>
      </c>
      <c r="H7510" t="n">
        <v>0</v>
      </c>
      <c r="I7510" t="n">
        <v>0</v>
      </c>
      <c r="J7510" t="n">
        <v>0</v>
      </c>
      <c r="K7510" t="n">
        <v>0</v>
      </c>
      <c r="L7510" t="n">
        <v>0</v>
      </c>
      <c r="M7510" t="n">
        <v>0</v>
      </c>
      <c r="N7510" t="n">
        <v>0</v>
      </c>
      <c r="O7510" t="n">
        <v>0</v>
      </c>
      <c r="P7510" t="n">
        <v>0</v>
      </c>
      <c r="Q7510" t="n">
        <v>0</v>
      </c>
      <c r="R7510" s="2" t="inlineStr"/>
    </row>
    <row r="7511" ht="15" customHeight="1">
      <c r="A7511" t="inlineStr">
        <is>
          <t>A 9317-2025</t>
        </is>
      </c>
      <c r="B7511" s="1" t="n">
        <v>45714.70980324074</v>
      </c>
      <c r="C7511" s="1" t="n">
        <v>45952</v>
      </c>
      <c r="D7511" t="inlineStr">
        <is>
          <t>VÄSTRA GÖTALANDS LÄN</t>
        </is>
      </c>
      <c r="E7511" t="inlineStr">
        <is>
          <t>TRANEMO</t>
        </is>
      </c>
      <c r="G7511" t="n">
        <v>1.8</v>
      </c>
      <c r="H7511" t="n">
        <v>0</v>
      </c>
      <c r="I7511" t="n">
        <v>0</v>
      </c>
      <c r="J7511" t="n">
        <v>0</v>
      </c>
      <c r="K7511" t="n">
        <v>0</v>
      </c>
      <c r="L7511" t="n">
        <v>0</v>
      </c>
      <c r="M7511" t="n">
        <v>0</v>
      </c>
      <c r="N7511" t="n">
        <v>0</v>
      </c>
      <c r="O7511" t="n">
        <v>0</v>
      </c>
      <c r="P7511" t="n">
        <v>0</v>
      </c>
      <c r="Q7511" t="n">
        <v>0</v>
      </c>
      <c r="R7511" s="2" t="inlineStr"/>
    </row>
    <row r="7512" ht="15" customHeight="1">
      <c r="A7512" t="inlineStr">
        <is>
          <t>A 8257-2023</t>
        </is>
      </c>
      <c r="B7512" s="1" t="n">
        <v>44974</v>
      </c>
      <c r="C7512" s="1" t="n">
        <v>45952</v>
      </c>
      <c r="D7512" t="inlineStr">
        <is>
          <t>VÄSTRA GÖTALANDS LÄN</t>
        </is>
      </c>
      <c r="E7512" t="inlineStr">
        <is>
          <t>FÄRGELANDA</t>
        </is>
      </c>
      <c r="G7512" t="n">
        <v>2.6</v>
      </c>
      <c r="H7512" t="n">
        <v>0</v>
      </c>
      <c r="I7512" t="n">
        <v>0</v>
      </c>
      <c r="J7512" t="n">
        <v>0</v>
      </c>
      <c r="K7512" t="n">
        <v>0</v>
      </c>
      <c r="L7512" t="n">
        <v>0</v>
      </c>
      <c r="M7512" t="n">
        <v>0</v>
      </c>
      <c r="N7512" t="n">
        <v>0</v>
      </c>
      <c r="O7512" t="n">
        <v>0</v>
      </c>
      <c r="P7512" t="n">
        <v>0</v>
      </c>
      <c r="Q7512" t="n">
        <v>0</v>
      </c>
      <c r="R7512" s="2" t="inlineStr"/>
    </row>
    <row r="7513" ht="15" customHeight="1">
      <c r="A7513" t="inlineStr">
        <is>
          <t>A 646-2025</t>
        </is>
      </c>
      <c r="B7513" s="1" t="n">
        <v>45664.65659722222</v>
      </c>
      <c r="C7513" s="1" t="n">
        <v>45952</v>
      </c>
      <c r="D7513" t="inlineStr">
        <is>
          <t>VÄSTRA GÖTALANDS LÄN</t>
        </is>
      </c>
      <c r="E7513" t="inlineStr">
        <is>
          <t>ULRICEHAMN</t>
        </is>
      </c>
      <c r="G7513" t="n">
        <v>0.9</v>
      </c>
      <c r="H7513" t="n">
        <v>0</v>
      </c>
      <c r="I7513" t="n">
        <v>0</v>
      </c>
      <c r="J7513" t="n">
        <v>0</v>
      </c>
      <c r="K7513" t="n">
        <v>0</v>
      </c>
      <c r="L7513" t="n">
        <v>0</v>
      </c>
      <c r="M7513" t="n">
        <v>0</v>
      </c>
      <c r="N7513" t="n">
        <v>0</v>
      </c>
      <c r="O7513" t="n">
        <v>0</v>
      </c>
      <c r="P7513" t="n">
        <v>0</v>
      </c>
      <c r="Q7513" t="n">
        <v>0</v>
      </c>
      <c r="R7513" s="2" t="inlineStr"/>
    </row>
    <row r="7514" ht="15" customHeight="1">
      <c r="A7514" t="inlineStr">
        <is>
          <t>A 57303-2024</t>
        </is>
      </c>
      <c r="B7514" s="1" t="n">
        <v>45629</v>
      </c>
      <c r="C7514" s="1" t="n">
        <v>45952</v>
      </c>
      <c r="D7514" t="inlineStr">
        <is>
          <t>VÄSTRA GÖTALANDS LÄN</t>
        </is>
      </c>
      <c r="E7514" t="inlineStr">
        <is>
          <t>VARA</t>
        </is>
      </c>
      <c r="G7514" t="n">
        <v>2.1</v>
      </c>
      <c r="H7514" t="n">
        <v>0</v>
      </c>
      <c r="I7514" t="n">
        <v>0</v>
      </c>
      <c r="J7514" t="n">
        <v>0</v>
      </c>
      <c r="K7514" t="n">
        <v>0</v>
      </c>
      <c r="L7514" t="n">
        <v>0</v>
      </c>
      <c r="M7514" t="n">
        <v>0</v>
      </c>
      <c r="N7514" t="n">
        <v>0</v>
      </c>
      <c r="O7514" t="n">
        <v>0</v>
      </c>
      <c r="P7514" t="n">
        <v>0</v>
      </c>
      <c r="Q7514" t="n">
        <v>0</v>
      </c>
      <c r="R7514" s="2" t="inlineStr"/>
    </row>
    <row r="7515" ht="15" customHeight="1">
      <c r="A7515" t="inlineStr">
        <is>
          <t>A 59845-2023</t>
        </is>
      </c>
      <c r="B7515" s="1" t="n">
        <v>45257.56932870371</v>
      </c>
      <c r="C7515" s="1" t="n">
        <v>45952</v>
      </c>
      <c r="D7515" t="inlineStr">
        <is>
          <t>VÄSTRA GÖTALANDS LÄN</t>
        </is>
      </c>
      <c r="E7515" t="inlineStr">
        <is>
          <t>KARLSBORG</t>
        </is>
      </c>
      <c r="G7515" t="n">
        <v>3.7</v>
      </c>
      <c r="H7515" t="n">
        <v>0</v>
      </c>
      <c r="I7515" t="n">
        <v>0</v>
      </c>
      <c r="J7515" t="n">
        <v>0</v>
      </c>
      <c r="K7515" t="n">
        <v>0</v>
      </c>
      <c r="L7515" t="n">
        <v>0</v>
      </c>
      <c r="M7515" t="n">
        <v>0</v>
      </c>
      <c r="N7515" t="n">
        <v>0</v>
      </c>
      <c r="O7515" t="n">
        <v>0</v>
      </c>
      <c r="P7515" t="n">
        <v>0</v>
      </c>
      <c r="Q7515" t="n">
        <v>0</v>
      </c>
      <c r="R7515" s="2" t="inlineStr"/>
    </row>
    <row r="7516" ht="15" customHeight="1">
      <c r="A7516" t="inlineStr">
        <is>
          <t>A 13170-2024</t>
        </is>
      </c>
      <c r="B7516" s="1" t="n">
        <v>45386.40589120371</v>
      </c>
      <c r="C7516" s="1" t="n">
        <v>45952</v>
      </c>
      <c r="D7516" t="inlineStr">
        <is>
          <t>VÄSTRA GÖTALANDS LÄN</t>
        </is>
      </c>
      <c r="E7516" t="inlineStr">
        <is>
          <t>GÖTENE</t>
        </is>
      </c>
      <c r="G7516" t="n">
        <v>0.7</v>
      </c>
      <c r="H7516" t="n">
        <v>0</v>
      </c>
      <c r="I7516" t="n">
        <v>0</v>
      </c>
      <c r="J7516" t="n">
        <v>0</v>
      </c>
      <c r="K7516" t="n">
        <v>0</v>
      </c>
      <c r="L7516" t="n">
        <v>0</v>
      </c>
      <c r="M7516" t="n">
        <v>0</v>
      </c>
      <c r="N7516" t="n">
        <v>0</v>
      </c>
      <c r="O7516" t="n">
        <v>0</v>
      </c>
      <c r="P7516" t="n">
        <v>0</v>
      </c>
      <c r="Q7516" t="n">
        <v>0</v>
      </c>
      <c r="R7516" s="2" t="inlineStr"/>
    </row>
    <row r="7517" ht="15" customHeight="1">
      <c r="A7517" t="inlineStr">
        <is>
          <t>A 1055-2025</t>
        </is>
      </c>
      <c r="B7517" s="1" t="n">
        <v>45666.57021990741</v>
      </c>
      <c r="C7517" s="1" t="n">
        <v>45952</v>
      </c>
      <c r="D7517" t="inlineStr">
        <is>
          <t>VÄSTRA GÖTALANDS LÄN</t>
        </is>
      </c>
      <c r="E7517" t="inlineStr">
        <is>
          <t>BORÅS</t>
        </is>
      </c>
      <c r="G7517" t="n">
        <v>2.9</v>
      </c>
      <c r="H7517" t="n">
        <v>0</v>
      </c>
      <c r="I7517" t="n">
        <v>0</v>
      </c>
      <c r="J7517" t="n">
        <v>0</v>
      </c>
      <c r="K7517" t="n">
        <v>0</v>
      </c>
      <c r="L7517" t="n">
        <v>0</v>
      </c>
      <c r="M7517" t="n">
        <v>0</v>
      </c>
      <c r="N7517" t="n">
        <v>0</v>
      </c>
      <c r="O7517" t="n">
        <v>0</v>
      </c>
      <c r="P7517" t="n">
        <v>0</v>
      </c>
      <c r="Q7517" t="n">
        <v>0</v>
      </c>
      <c r="R7517" s="2" t="inlineStr"/>
    </row>
    <row r="7518" ht="15" customHeight="1">
      <c r="A7518" t="inlineStr">
        <is>
          <t>A 12942-2024</t>
        </is>
      </c>
      <c r="B7518" s="1" t="n">
        <v>45385.46519675926</v>
      </c>
      <c r="C7518" s="1" t="n">
        <v>45952</v>
      </c>
      <c r="D7518" t="inlineStr">
        <is>
          <t>VÄSTRA GÖTALANDS LÄN</t>
        </is>
      </c>
      <c r="E7518" t="inlineStr">
        <is>
          <t>SKÖVDE</t>
        </is>
      </c>
      <c r="G7518" t="n">
        <v>3.6</v>
      </c>
      <c r="H7518" t="n">
        <v>0</v>
      </c>
      <c r="I7518" t="n">
        <v>0</v>
      </c>
      <c r="J7518" t="n">
        <v>0</v>
      </c>
      <c r="K7518" t="n">
        <v>0</v>
      </c>
      <c r="L7518" t="n">
        <v>0</v>
      </c>
      <c r="M7518" t="n">
        <v>0</v>
      </c>
      <c r="N7518" t="n">
        <v>0</v>
      </c>
      <c r="O7518" t="n">
        <v>0</v>
      </c>
      <c r="P7518" t="n">
        <v>0</v>
      </c>
      <c r="Q7518" t="n">
        <v>0</v>
      </c>
      <c r="R7518" s="2" t="inlineStr"/>
    </row>
    <row r="7519" ht="15" customHeight="1">
      <c r="A7519" t="inlineStr">
        <is>
          <t>A 22377-2024</t>
        </is>
      </c>
      <c r="B7519" s="1" t="n">
        <v>45446.6490162037</v>
      </c>
      <c r="C7519" s="1" t="n">
        <v>45952</v>
      </c>
      <c r="D7519" t="inlineStr">
        <is>
          <t>VÄSTRA GÖTALANDS LÄN</t>
        </is>
      </c>
      <c r="E7519" t="inlineStr">
        <is>
          <t>BENGTSFORS</t>
        </is>
      </c>
      <c r="G7519" t="n">
        <v>6.3</v>
      </c>
      <c r="H7519" t="n">
        <v>0</v>
      </c>
      <c r="I7519" t="n">
        <v>0</v>
      </c>
      <c r="J7519" t="n">
        <v>0</v>
      </c>
      <c r="K7519" t="n">
        <v>0</v>
      </c>
      <c r="L7519" t="n">
        <v>0</v>
      </c>
      <c r="M7519" t="n">
        <v>0</v>
      </c>
      <c r="N7519" t="n">
        <v>0</v>
      </c>
      <c r="O7519" t="n">
        <v>0</v>
      </c>
      <c r="P7519" t="n">
        <v>0</v>
      </c>
      <c r="Q7519" t="n">
        <v>0</v>
      </c>
      <c r="R7519" s="2" t="inlineStr"/>
    </row>
    <row r="7520" ht="15" customHeight="1">
      <c r="A7520" t="inlineStr">
        <is>
          <t>A 22386-2024</t>
        </is>
      </c>
      <c r="B7520" s="1" t="n">
        <v>45446.66300925926</v>
      </c>
      <c r="C7520" s="1" t="n">
        <v>45952</v>
      </c>
      <c r="D7520" t="inlineStr">
        <is>
          <t>VÄSTRA GÖTALANDS LÄN</t>
        </is>
      </c>
      <c r="E7520" t="inlineStr">
        <is>
          <t>VÅRGÅRDA</t>
        </is>
      </c>
      <c r="G7520" t="n">
        <v>2.8</v>
      </c>
      <c r="H7520" t="n">
        <v>0</v>
      </c>
      <c r="I7520" t="n">
        <v>0</v>
      </c>
      <c r="J7520" t="n">
        <v>0</v>
      </c>
      <c r="K7520" t="n">
        <v>0</v>
      </c>
      <c r="L7520" t="n">
        <v>0</v>
      </c>
      <c r="M7520" t="n">
        <v>0</v>
      </c>
      <c r="N7520" t="n">
        <v>0</v>
      </c>
      <c r="O7520" t="n">
        <v>0</v>
      </c>
      <c r="P7520" t="n">
        <v>0</v>
      </c>
      <c r="Q7520" t="n">
        <v>0</v>
      </c>
      <c r="R7520" s="2" t="inlineStr"/>
    </row>
    <row r="7521" ht="15" customHeight="1">
      <c r="A7521" t="inlineStr">
        <is>
          <t>A 7652-2023</t>
        </is>
      </c>
      <c r="B7521" s="1" t="n">
        <v>44972</v>
      </c>
      <c r="C7521" s="1" t="n">
        <v>45952</v>
      </c>
      <c r="D7521" t="inlineStr">
        <is>
          <t>VÄSTRA GÖTALANDS LÄN</t>
        </is>
      </c>
      <c r="E7521" t="inlineStr">
        <is>
          <t>KARLSBORG</t>
        </is>
      </c>
      <c r="G7521" t="n">
        <v>0.9</v>
      </c>
      <c r="H7521" t="n">
        <v>0</v>
      </c>
      <c r="I7521" t="n">
        <v>0</v>
      </c>
      <c r="J7521" t="n">
        <v>0</v>
      </c>
      <c r="K7521" t="n">
        <v>0</v>
      </c>
      <c r="L7521" t="n">
        <v>0</v>
      </c>
      <c r="M7521" t="n">
        <v>0</v>
      </c>
      <c r="N7521" t="n">
        <v>0</v>
      </c>
      <c r="O7521" t="n">
        <v>0</v>
      </c>
      <c r="P7521" t="n">
        <v>0</v>
      </c>
      <c r="Q7521" t="n">
        <v>0</v>
      </c>
      <c r="R7521" s="2" t="inlineStr"/>
    </row>
    <row r="7522" ht="15" customHeight="1">
      <c r="A7522" t="inlineStr">
        <is>
          <t>A 58618-2023</t>
        </is>
      </c>
      <c r="B7522" s="1" t="n">
        <v>45251.53454861111</v>
      </c>
      <c r="C7522" s="1" t="n">
        <v>45952</v>
      </c>
      <c r="D7522" t="inlineStr">
        <is>
          <t>VÄSTRA GÖTALANDS LÄN</t>
        </is>
      </c>
      <c r="E7522" t="inlineStr">
        <is>
          <t>SVENLJUNGA</t>
        </is>
      </c>
      <c r="G7522" t="n">
        <v>2.1</v>
      </c>
      <c r="H7522" t="n">
        <v>0</v>
      </c>
      <c r="I7522" t="n">
        <v>0</v>
      </c>
      <c r="J7522" t="n">
        <v>0</v>
      </c>
      <c r="K7522" t="n">
        <v>0</v>
      </c>
      <c r="L7522" t="n">
        <v>0</v>
      </c>
      <c r="M7522" t="n">
        <v>0</v>
      </c>
      <c r="N7522" t="n">
        <v>0</v>
      </c>
      <c r="O7522" t="n">
        <v>0</v>
      </c>
      <c r="P7522" t="n">
        <v>0</v>
      </c>
      <c r="Q7522" t="n">
        <v>0</v>
      </c>
      <c r="R7522" s="2" t="inlineStr"/>
    </row>
    <row r="7523" ht="15" customHeight="1">
      <c r="A7523" t="inlineStr">
        <is>
          <t>A 55940-2020</t>
        </is>
      </c>
      <c r="B7523" s="1" t="n">
        <v>44133</v>
      </c>
      <c r="C7523" s="1" t="n">
        <v>45952</v>
      </c>
      <c r="D7523" t="inlineStr">
        <is>
          <t>VÄSTRA GÖTALANDS LÄN</t>
        </is>
      </c>
      <c r="E7523" t="inlineStr">
        <is>
          <t>DALS-ED</t>
        </is>
      </c>
      <c r="G7523" t="n">
        <v>1.1</v>
      </c>
      <c r="H7523" t="n">
        <v>0</v>
      </c>
      <c r="I7523" t="n">
        <v>0</v>
      </c>
      <c r="J7523" t="n">
        <v>0</v>
      </c>
      <c r="K7523" t="n">
        <v>0</v>
      </c>
      <c r="L7523" t="n">
        <v>0</v>
      </c>
      <c r="M7523" t="n">
        <v>0</v>
      </c>
      <c r="N7523" t="n">
        <v>0</v>
      </c>
      <c r="O7523" t="n">
        <v>0</v>
      </c>
      <c r="P7523" t="n">
        <v>0</v>
      </c>
      <c r="Q7523" t="n">
        <v>0</v>
      </c>
      <c r="R7523" s="2" t="inlineStr"/>
    </row>
    <row r="7524" ht="15" customHeight="1">
      <c r="A7524" t="inlineStr">
        <is>
          <t>A 7680-2023</t>
        </is>
      </c>
      <c r="B7524" s="1" t="n">
        <v>44972</v>
      </c>
      <c r="C7524" s="1" t="n">
        <v>45952</v>
      </c>
      <c r="D7524" t="inlineStr">
        <is>
          <t>VÄSTRA GÖTALANDS LÄN</t>
        </is>
      </c>
      <c r="E7524" t="inlineStr">
        <is>
          <t>TÖREBODA</t>
        </is>
      </c>
      <c r="G7524" t="n">
        <v>7.4</v>
      </c>
      <c r="H7524" t="n">
        <v>0</v>
      </c>
      <c r="I7524" t="n">
        <v>0</v>
      </c>
      <c r="J7524" t="n">
        <v>0</v>
      </c>
      <c r="K7524" t="n">
        <v>0</v>
      </c>
      <c r="L7524" t="n">
        <v>0</v>
      </c>
      <c r="M7524" t="n">
        <v>0</v>
      </c>
      <c r="N7524" t="n">
        <v>0</v>
      </c>
      <c r="O7524" t="n">
        <v>0</v>
      </c>
      <c r="P7524" t="n">
        <v>0</v>
      </c>
      <c r="Q7524" t="n">
        <v>0</v>
      </c>
      <c r="R7524" s="2" t="inlineStr"/>
    </row>
    <row r="7525" ht="15" customHeight="1">
      <c r="A7525" t="inlineStr">
        <is>
          <t>A 44146-2023</t>
        </is>
      </c>
      <c r="B7525" s="1" t="n">
        <v>45188</v>
      </c>
      <c r="C7525" s="1" t="n">
        <v>45952</v>
      </c>
      <c r="D7525" t="inlineStr">
        <is>
          <t>VÄSTRA GÖTALANDS LÄN</t>
        </is>
      </c>
      <c r="E7525" t="inlineStr">
        <is>
          <t>LYSEKIL</t>
        </is>
      </c>
      <c r="G7525" t="n">
        <v>2.3</v>
      </c>
      <c r="H7525" t="n">
        <v>0</v>
      </c>
      <c r="I7525" t="n">
        <v>0</v>
      </c>
      <c r="J7525" t="n">
        <v>0</v>
      </c>
      <c r="K7525" t="n">
        <v>0</v>
      </c>
      <c r="L7525" t="n">
        <v>0</v>
      </c>
      <c r="M7525" t="n">
        <v>0</v>
      </c>
      <c r="N7525" t="n">
        <v>0</v>
      </c>
      <c r="O7525" t="n">
        <v>0</v>
      </c>
      <c r="P7525" t="n">
        <v>0</v>
      </c>
      <c r="Q7525" t="n">
        <v>0</v>
      </c>
      <c r="R7525" s="2" t="inlineStr"/>
    </row>
    <row r="7526" ht="15" customHeight="1">
      <c r="A7526" t="inlineStr">
        <is>
          <t>A 41390-2024</t>
        </is>
      </c>
      <c r="B7526" s="1" t="n">
        <v>45560.31390046296</v>
      </c>
      <c r="C7526" s="1" t="n">
        <v>45952</v>
      </c>
      <c r="D7526" t="inlineStr">
        <is>
          <t>VÄSTRA GÖTALANDS LÄN</t>
        </is>
      </c>
      <c r="E7526" t="inlineStr">
        <is>
          <t>MARIESTAD</t>
        </is>
      </c>
      <c r="F7526" t="inlineStr">
        <is>
          <t>Sveaskog</t>
        </is>
      </c>
      <c r="G7526" t="n">
        <v>0.7</v>
      </c>
      <c r="H7526" t="n">
        <v>0</v>
      </c>
      <c r="I7526" t="n">
        <v>0</v>
      </c>
      <c r="J7526" t="n">
        <v>0</v>
      </c>
      <c r="K7526" t="n">
        <v>0</v>
      </c>
      <c r="L7526" t="n">
        <v>0</v>
      </c>
      <c r="M7526" t="n">
        <v>0</v>
      </c>
      <c r="N7526" t="n">
        <v>0</v>
      </c>
      <c r="O7526" t="n">
        <v>0</v>
      </c>
      <c r="P7526" t="n">
        <v>0</v>
      </c>
      <c r="Q7526" t="n">
        <v>0</v>
      </c>
      <c r="R7526" s="2" t="inlineStr"/>
    </row>
    <row r="7527" ht="15" customHeight="1">
      <c r="A7527" t="inlineStr">
        <is>
          <t>A 58620-2022</t>
        </is>
      </c>
      <c r="B7527" s="1" t="n">
        <v>44902.59869212963</v>
      </c>
      <c r="C7527" s="1" t="n">
        <v>45952</v>
      </c>
      <c r="D7527" t="inlineStr">
        <is>
          <t>VÄSTRA GÖTALANDS LÄN</t>
        </is>
      </c>
      <c r="E7527" t="inlineStr">
        <is>
          <t>LIDKÖPING</t>
        </is>
      </c>
      <c r="G7527" t="n">
        <v>0.5</v>
      </c>
      <c r="H7527" t="n">
        <v>0</v>
      </c>
      <c r="I7527" t="n">
        <v>0</v>
      </c>
      <c r="J7527" t="n">
        <v>0</v>
      </c>
      <c r="K7527" t="n">
        <v>0</v>
      </c>
      <c r="L7527" t="n">
        <v>0</v>
      </c>
      <c r="M7527" t="n">
        <v>0</v>
      </c>
      <c r="N7527" t="n">
        <v>0</v>
      </c>
      <c r="O7527" t="n">
        <v>0</v>
      </c>
      <c r="P7527" t="n">
        <v>0</v>
      </c>
      <c r="Q7527" t="n">
        <v>0</v>
      </c>
      <c r="R7527" s="2" t="inlineStr"/>
    </row>
    <row r="7528" ht="15" customHeight="1">
      <c r="A7528" t="inlineStr">
        <is>
          <t>A 60318-2024</t>
        </is>
      </c>
      <c r="B7528" s="1" t="n">
        <v>45643.36900462963</v>
      </c>
      <c r="C7528" s="1" t="n">
        <v>45952</v>
      </c>
      <c r="D7528" t="inlineStr">
        <is>
          <t>VÄSTRA GÖTALANDS LÄN</t>
        </is>
      </c>
      <c r="E7528" t="inlineStr">
        <is>
          <t>HJO</t>
        </is>
      </c>
      <c r="G7528" t="n">
        <v>3.7</v>
      </c>
      <c r="H7528" t="n">
        <v>0</v>
      </c>
      <c r="I7528" t="n">
        <v>0</v>
      </c>
      <c r="J7528" t="n">
        <v>0</v>
      </c>
      <c r="K7528" t="n">
        <v>0</v>
      </c>
      <c r="L7528" t="n">
        <v>0</v>
      </c>
      <c r="M7528" t="n">
        <v>0</v>
      </c>
      <c r="N7528" t="n">
        <v>0</v>
      </c>
      <c r="O7528" t="n">
        <v>0</v>
      </c>
      <c r="P7528" t="n">
        <v>0</v>
      </c>
      <c r="Q7528" t="n">
        <v>0</v>
      </c>
      <c r="R7528" s="2" t="inlineStr"/>
    </row>
    <row r="7529" ht="15" customHeight="1">
      <c r="A7529" t="inlineStr">
        <is>
          <t>A 58226-2022</t>
        </is>
      </c>
      <c r="B7529" s="1" t="n">
        <v>44901.3806712963</v>
      </c>
      <c r="C7529" s="1" t="n">
        <v>45952</v>
      </c>
      <c r="D7529" t="inlineStr">
        <is>
          <t>VÄSTRA GÖTALANDS LÄN</t>
        </is>
      </c>
      <c r="E7529" t="inlineStr">
        <is>
          <t>TÖREBODA</t>
        </is>
      </c>
      <c r="G7529" t="n">
        <v>1.3</v>
      </c>
      <c r="H7529" t="n">
        <v>0</v>
      </c>
      <c r="I7529" t="n">
        <v>0</v>
      </c>
      <c r="J7529" t="n">
        <v>0</v>
      </c>
      <c r="K7529" t="n">
        <v>0</v>
      </c>
      <c r="L7529" t="n">
        <v>0</v>
      </c>
      <c r="M7529" t="n">
        <v>0</v>
      </c>
      <c r="N7529" t="n">
        <v>0</v>
      </c>
      <c r="O7529" t="n">
        <v>0</v>
      </c>
      <c r="P7529" t="n">
        <v>0</v>
      </c>
      <c r="Q7529" t="n">
        <v>0</v>
      </c>
      <c r="R7529" s="2" t="inlineStr"/>
    </row>
    <row r="7530" ht="15" customHeight="1">
      <c r="A7530" t="inlineStr">
        <is>
          <t>A 19302-2025</t>
        </is>
      </c>
      <c r="B7530" s="1" t="n">
        <v>45769.56519675926</v>
      </c>
      <c r="C7530" s="1" t="n">
        <v>45952</v>
      </c>
      <c r="D7530" t="inlineStr">
        <is>
          <t>VÄSTRA GÖTALANDS LÄN</t>
        </is>
      </c>
      <c r="E7530" t="inlineStr">
        <is>
          <t>STENUNGSUND</t>
        </is>
      </c>
      <c r="G7530" t="n">
        <v>1.2</v>
      </c>
      <c r="H7530" t="n">
        <v>0</v>
      </c>
      <c r="I7530" t="n">
        <v>0</v>
      </c>
      <c r="J7530" t="n">
        <v>0</v>
      </c>
      <c r="K7530" t="n">
        <v>0</v>
      </c>
      <c r="L7530" t="n">
        <v>0</v>
      </c>
      <c r="M7530" t="n">
        <v>0</v>
      </c>
      <c r="N7530" t="n">
        <v>0</v>
      </c>
      <c r="O7530" t="n">
        <v>0</v>
      </c>
      <c r="P7530" t="n">
        <v>0</v>
      </c>
      <c r="Q7530" t="n">
        <v>0</v>
      </c>
      <c r="R7530" s="2" t="inlineStr"/>
    </row>
    <row r="7531" ht="15" customHeight="1">
      <c r="A7531" t="inlineStr">
        <is>
          <t>A 58330-2022</t>
        </is>
      </c>
      <c r="B7531" s="1" t="n">
        <v>44901.56349537037</v>
      </c>
      <c r="C7531" s="1" t="n">
        <v>45952</v>
      </c>
      <c r="D7531" t="inlineStr">
        <is>
          <t>VÄSTRA GÖTALANDS LÄN</t>
        </is>
      </c>
      <c r="E7531" t="inlineStr">
        <is>
          <t>TROLLHÄTTAN</t>
        </is>
      </c>
      <c r="G7531" t="n">
        <v>2.1</v>
      </c>
      <c r="H7531" t="n">
        <v>0</v>
      </c>
      <c r="I7531" t="n">
        <v>0</v>
      </c>
      <c r="J7531" t="n">
        <v>0</v>
      </c>
      <c r="K7531" t="n">
        <v>0</v>
      </c>
      <c r="L7531" t="n">
        <v>0</v>
      </c>
      <c r="M7531" t="n">
        <v>0</v>
      </c>
      <c r="N7531" t="n">
        <v>0</v>
      </c>
      <c r="O7531" t="n">
        <v>0</v>
      </c>
      <c r="P7531" t="n">
        <v>0</v>
      </c>
      <c r="Q7531" t="n">
        <v>0</v>
      </c>
      <c r="R7531" s="2" t="inlineStr"/>
    </row>
    <row r="7532" ht="15" customHeight="1">
      <c r="A7532" t="inlineStr">
        <is>
          <t>A 58558-2021</t>
        </is>
      </c>
      <c r="B7532" s="1" t="n">
        <v>44488</v>
      </c>
      <c r="C7532" s="1" t="n">
        <v>45952</v>
      </c>
      <c r="D7532" t="inlineStr">
        <is>
          <t>VÄSTRA GÖTALANDS LÄN</t>
        </is>
      </c>
      <c r="E7532" t="inlineStr">
        <is>
          <t>ALINGSÅS</t>
        </is>
      </c>
      <c r="G7532" t="n">
        <v>4.3</v>
      </c>
      <c r="H7532" t="n">
        <v>0</v>
      </c>
      <c r="I7532" t="n">
        <v>0</v>
      </c>
      <c r="J7532" t="n">
        <v>0</v>
      </c>
      <c r="K7532" t="n">
        <v>0</v>
      </c>
      <c r="L7532" t="n">
        <v>0</v>
      </c>
      <c r="M7532" t="n">
        <v>0</v>
      </c>
      <c r="N7532" t="n">
        <v>0</v>
      </c>
      <c r="O7532" t="n">
        <v>0</v>
      </c>
      <c r="P7532" t="n">
        <v>0</v>
      </c>
      <c r="Q7532" t="n">
        <v>0</v>
      </c>
      <c r="R7532" s="2" t="inlineStr"/>
    </row>
    <row r="7533" ht="15" customHeight="1">
      <c r="A7533" t="inlineStr">
        <is>
          <t>A 51160-2024</t>
        </is>
      </c>
      <c r="B7533" s="1" t="n">
        <v>45603.57885416667</v>
      </c>
      <c r="C7533" s="1" t="n">
        <v>45952</v>
      </c>
      <c r="D7533" t="inlineStr">
        <is>
          <t>VÄSTRA GÖTALANDS LÄN</t>
        </is>
      </c>
      <c r="E7533" t="inlineStr">
        <is>
          <t>BORÅS</t>
        </is>
      </c>
      <c r="G7533" t="n">
        <v>2.2</v>
      </c>
      <c r="H7533" t="n">
        <v>0</v>
      </c>
      <c r="I7533" t="n">
        <v>0</v>
      </c>
      <c r="J7533" t="n">
        <v>0</v>
      </c>
      <c r="K7533" t="n">
        <v>0</v>
      </c>
      <c r="L7533" t="n">
        <v>0</v>
      </c>
      <c r="M7533" t="n">
        <v>0</v>
      </c>
      <c r="N7533" t="n">
        <v>0</v>
      </c>
      <c r="O7533" t="n">
        <v>0</v>
      </c>
      <c r="P7533" t="n">
        <v>0</v>
      </c>
      <c r="Q7533" t="n">
        <v>0</v>
      </c>
      <c r="R7533" s="2" t="inlineStr"/>
    </row>
    <row r="7534" ht="15" customHeight="1">
      <c r="A7534" t="inlineStr">
        <is>
          <t>A 2815-2022</t>
        </is>
      </c>
      <c r="B7534" s="1" t="n">
        <v>44581.41039351852</v>
      </c>
      <c r="C7534" s="1" t="n">
        <v>45952</v>
      </c>
      <c r="D7534" t="inlineStr">
        <is>
          <t>VÄSTRA GÖTALANDS LÄN</t>
        </is>
      </c>
      <c r="E7534" t="inlineStr">
        <is>
          <t>BORÅS</t>
        </is>
      </c>
      <c r="G7534" t="n">
        <v>3.3</v>
      </c>
      <c r="H7534" t="n">
        <v>0</v>
      </c>
      <c r="I7534" t="n">
        <v>0</v>
      </c>
      <c r="J7534" t="n">
        <v>0</v>
      </c>
      <c r="K7534" t="n">
        <v>0</v>
      </c>
      <c r="L7534" t="n">
        <v>0</v>
      </c>
      <c r="M7534" t="n">
        <v>0</v>
      </c>
      <c r="N7534" t="n">
        <v>0</v>
      </c>
      <c r="O7534" t="n">
        <v>0</v>
      </c>
      <c r="P7534" t="n">
        <v>0</v>
      </c>
      <c r="Q7534" t="n">
        <v>0</v>
      </c>
      <c r="R7534" s="2" t="inlineStr"/>
    </row>
    <row r="7535" ht="15" customHeight="1">
      <c r="A7535" t="inlineStr">
        <is>
          <t>A 17972-2023</t>
        </is>
      </c>
      <c r="B7535" s="1" t="n">
        <v>45040</v>
      </c>
      <c r="C7535" s="1" t="n">
        <v>45952</v>
      </c>
      <c r="D7535" t="inlineStr">
        <is>
          <t>VÄSTRA GÖTALANDS LÄN</t>
        </is>
      </c>
      <c r="E7535" t="inlineStr">
        <is>
          <t>VÅRGÅRDA</t>
        </is>
      </c>
      <c r="G7535" t="n">
        <v>2.4</v>
      </c>
      <c r="H7535" t="n">
        <v>0</v>
      </c>
      <c r="I7535" t="n">
        <v>0</v>
      </c>
      <c r="J7535" t="n">
        <v>0</v>
      </c>
      <c r="K7535" t="n">
        <v>0</v>
      </c>
      <c r="L7535" t="n">
        <v>0</v>
      </c>
      <c r="M7535" t="n">
        <v>0</v>
      </c>
      <c r="N7535" t="n">
        <v>0</v>
      </c>
      <c r="O7535" t="n">
        <v>0</v>
      </c>
      <c r="P7535" t="n">
        <v>0</v>
      </c>
      <c r="Q7535" t="n">
        <v>0</v>
      </c>
      <c r="R7535" s="2" t="inlineStr"/>
    </row>
    <row r="7536" ht="15" customHeight="1">
      <c r="A7536" t="inlineStr">
        <is>
          <t>A 58958-2021</t>
        </is>
      </c>
      <c r="B7536" s="1" t="n">
        <v>44489</v>
      </c>
      <c r="C7536" s="1" t="n">
        <v>45952</v>
      </c>
      <c r="D7536" t="inlineStr">
        <is>
          <t>VÄSTRA GÖTALANDS LÄN</t>
        </is>
      </c>
      <c r="E7536" t="inlineStr">
        <is>
          <t>UDDEVALLA</t>
        </is>
      </c>
      <c r="G7536" t="n">
        <v>0.1</v>
      </c>
      <c r="H7536" t="n">
        <v>0</v>
      </c>
      <c r="I7536" t="n">
        <v>0</v>
      </c>
      <c r="J7536" t="n">
        <v>0</v>
      </c>
      <c r="K7536" t="n">
        <v>0</v>
      </c>
      <c r="L7536" t="n">
        <v>0</v>
      </c>
      <c r="M7536" t="n">
        <v>0</v>
      </c>
      <c r="N7536" t="n">
        <v>0</v>
      </c>
      <c r="O7536" t="n">
        <v>0</v>
      </c>
      <c r="P7536" t="n">
        <v>0</v>
      </c>
      <c r="Q7536" t="n">
        <v>0</v>
      </c>
      <c r="R7536" s="2" t="inlineStr"/>
    </row>
    <row r="7537" ht="15" customHeight="1">
      <c r="A7537" t="inlineStr">
        <is>
          <t>A 18003-2023</t>
        </is>
      </c>
      <c r="B7537" s="1" t="n">
        <v>45040</v>
      </c>
      <c r="C7537" s="1" t="n">
        <v>45952</v>
      </c>
      <c r="D7537" t="inlineStr">
        <is>
          <t>VÄSTRA GÖTALANDS LÄN</t>
        </is>
      </c>
      <c r="E7537" t="inlineStr">
        <is>
          <t>FÄRGELANDA</t>
        </is>
      </c>
      <c r="G7537" t="n">
        <v>18.5</v>
      </c>
      <c r="H7537" t="n">
        <v>0</v>
      </c>
      <c r="I7537" t="n">
        <v>0</v>
      </c>
      <c r="J7537" t="n">
        <v>0</v>
      </c>
      <c r="K7537" t="n">
        <v>0</v>
      </c>
      <c r="L7537" t="n">
        <v>0</v>
      </c>
      <c r="M7537" t="n">
        <v>0</v>
      </c>
      <c r="N7537" t="n">
        <v>0</v>
      </c>
      <c r="O7537" t="n">
        <v>0</v>
      </c>
      <c r="P7537" t="n">
        <v>0</v>
      </c>
      <c r="Q7537" t="n">
        <v>0</v>
      </c>
      <c r="R7537" s="2" t="inlineStr"/>
    </row>
    <row r="7538" ht="15" customHeight="1">
      <c r="A7538" t="inlineStr">
        <is>
          <t>A 32051-2023</t>
        </is>
      </c>
      <c r="B7538" s="1" t="n">
        <v>45119.55572916667</v>
      </c>
      <c r="C7538" s="1" t="n">
        <v>45952</v>
      </c>
      <c r="D7538" t="inlineStr">
        <is>
          <t>VÄSTRA GÖTALANDS LÄN</t>
        </is>
      </c>
      <c r="E7538" t="inlineStr">
        <is>
          <t>BORÅS</t>
        </is>
      </c>
      <c r="G7538" t="n">
        <v>1.6</v>
      </c>
      <c r="H7538" t="n">
        <v>0</v>
      </c>
      <c r="I7538" t="n">
        <v>0</v>
      </c>
      <c r="J7538" t="n">
        <v>0</v>
      </c>
      <c r="K7538" t="n">
        <v>0</v>
      </c>
      <c r="L7538" t="n">
        <v>0</v>
      </c>
      <c r="M7538" t="n">
        <v>0</v>
      </c>
      <c r="N7538" t="n">
        <v>0</v>
      </c>
      <c r="O7538" t="n">
        <v>0</v>
      </c>
      <c r="P7538" t="n">
        <v>0</v>
      </c>
      <c r="Q7538" t="n">
        <v>0</v>
      </c>
      <c r="R7538" s="2" t="inlineStr"/>
    </row>
    <row r="7539" ht="15" customHeight="1">
      <c r="A7539" t="inlineStr">
        <is>
          <t>A 53426-2022</t>
        </is>
      </c>
      <c r="B7539" s="1" t="n">
        <v>44879</v>
      </c>
      <c r="C7539" s="1" t="n">
        <v>45952</v>
      </c>
      <c r="D7539" t="inlineStr">
        <is>
          <t>VÄSTRA GÖTALANDS LÄN</t>
        </is>
      </c>
      <c r="E7539" t="inlineStr">
        <is>
          <t>TROLLHÄTTAN</t>
        </is>
      </c>
      <c r="G7539" t="n">
        <v>13.2</v>
      </c>
      <c r="H7539" t="n">
        <v>0</v>
      </c>
      <c r="I7539" t="n">
        <v>0</v>
      </c>
      <c r="J7539" t="n">
        <v>0</v>
      </c>
      <c r="K7539" t="n">
        <v>0</v>
      </c>
      <c r="L7539" t="n">
        <v>0</v>
      </c>
      <c r="M7539" t="n">
        <v>0</v>
      </c>
      <c r="N7539" t="n">
        <v>0</v>
      </c>
      <c r="O7539" t="n">
        <v>0</v>
      </c>
      <c r="P7539" t="n">
        <v>0</v>
      </c>
      <c r="Q7539" t="n">
        <v>0</v>
      </c>
      <c r="R7539" s="2" t="inlineStr"/>
    </row>
    <row r="7540" ht="15" customHeight="1">
      <c r="A7540" t="inlineStr">
        <is>
          <t>A 8166-2025</t>
        </is>
      </c>
      <c r="B7540" s="1" t="n">
        <v>45708.36219907407</v>
      </c>
      <c r="C7540" s="1" t="n">
        <v>45952</v>
      </c>
      <c r="D7540" t="inlineStr">
        <is>
          <t>VÄSTRA GÖTALANDS LÄN</t>
        </is>
      </c>
      <c r="E7540" t="inlineStr">
        <is>
          <t>HERRLJUNGA</t>
        </is>
      </c>
      <c r="G7540" t="n">
        <v>3.6</v>
      </c>
      <c r="H7540" t="n">
        <v>0</v>
      </c>
      <c r="I7540" t="n">
        <v>0</v>
      </c>
      <c r="J7540" t="n">
        <v>0</v>
      </c>
      <c r="K7540" t="n">
        <v>0</v>
      </c>
      <c r="L7540" t="n">
        <v>0</v>
      </c>
      <c r="M7540" t="n">
        <v>0</v>
      </c>
      <c r="N7540" t="n">
        <v>0</v>
      </c>
      <c r="O7540" t="n">
        <v>0</v>
      </c>
      <c r="P7540" t="n">
        <v>0</v>
      </c>
      <c r="Q7540" t="n">
        <v>0</v>
      </c>
      <c r="R7540" s="2" t="inlineStr"/>
    </row>
    <row r="7541" ht="15" customHeight="1">
      <c r="A7541" t="inlineStr">
        <is>
          <t>A 59745-2024</t>
        </is>
      </c>
      <c r="B7541" s="1" t="n">
        <v>45639.5343287037</v>
      </c>
      <c r="C7541" s="1" t="n">
        <v>45952</v>
      </c>
      <c r="D7541" t="inlineStr">
        <is>
          <t>VÄSTRA GÖTALANDS LÄN</t>
        </is>
      </c>
      <c r="E7541" t="inlineStr">
        <is>
          <t>VÄNERSBORG</t>
        </is>
      </c>
      <c r="G7541" t="n">
        <v>3.4</v>
      </c>
      <c r="H7541" t="n">
        <v>0</v>
      </c>
      <c r="I7541" t="n">
        <v>0</v>
      </c>
      <c r="J7541" t="n">
        <v>0</v>
      </c>
      <c r="K7541" t="n">
        <v>0</v>
      </c>
      <c r="L7541" t="n">
        <v>0</v>
      </c>
      <c r="M7541" t="n">
        <v>0</v>
      </c>
      <c r="N7541" t="n">
        <v>0</v>
      </c>
      <c r="O7541" t="n">
        <v>0</v>
      </c>
      <c r="P7541" t="n">
        <v>0</v>
      </c>
      <c r="Q7541" t="n">
        <v>0</v>
      </c>
      <c r="R7541" s="2" t="inlineStr"/>
    </row>
    <row r="7542" ht="15" customHeight="1">
      <c r="A7542" t="inlineStr">
        <is>
          <t>A 59754-2024</t>
        </is>
      </c>
      <c r="B7542" s="1" t="n">
        <v>45639.54719907408</v>
      </c>
      <c r="C7542" s="1" t="n">
        <v>45952</v>
      </c>
      <c r="D7542" t="inlineStr">
        <is>
          <t>VÄSTRA GÖTALANDS LÄN</t>
        </is>
      </c>
      <c r="E7542" t="inlineStr">
        <is>
          <t>HERRLJUNGA</t>
        </is>
      </c>
      <c r="G7542" t="n">
        <v>0.5</v>
      </c>
      <c r="H7542" t="n">
        <v>0</v>
      </c>
      <c r="I7542" t="n">
        <v>0</v>
      </c>
      <c r="J7542" t="n">
        <v>0</v>
      </c>
      <c r="K7542" t="n">
        <v>0</v>
      </c>
      <c r="L7542" t="n">
        <v>0</v>
      </c>
      <c r="M7542" t="n">
        <v>0</v>
      </c>
      <c r="N7542" t="n">
        <v>0</v>
      </c>
      <c r="O7542" t="n">
        <v>0</v>
      </c>
      <c r="P7542" t="n">
        <v>0</v>
      </c>
      <c r="Q7542" t="n">
        <v>0</v>
      </c>
      <c r="R7542" s="2" t="inlineStr"/>
    </row>
    <row r="7543" ht="15" customHeight="1">
      <c r="A7543" t="inlineStr">
        <is>
          <t>A 61698-2021</t>
        </is>
      </c>
      <c r="B7543" s="1" t="n">
        <v>44501</v>
      </c>
      <c r="C7543" s="1" t="n">
        <v>45952</v>
      </c>
      <c r="D7543" t="inlineStr">
        <is>
          <t>VÄSTRA GÖTALANDS LÄN</t>
        </is>
      </c>
      <c r="E7543" t="inlineStr">
        <is>
          <t>FÄRGELANDA</t>
        </is>
      </c>
      <c r="G7543" t="n">
        <v>4.5</v>
      </c>
      <c r="H7543" t="n">
        <v>0</v>
      </c>
      <c r="I7543" t="n">
        <v>0</v>
      </c>
      <c r="J7543" t="n">
        <v>0</v>
      </c>
      <c r="K7543" t="n">
        <v>0</v>
      </c>
      <c r="L7543" t="n">
        <v>0</v>
      </c>
      <c r="M7543" t="n">
        <v>0</v>
      </c>
      <c r="N7543" t="n">
        <v>0</v>
      </c>
      <c r="O7543" t="n">
        <v>0</v>
      </c>
      <c r="P7543" t="n">
        <v>0</v>
      </c>
      <c r="Q7543" t="n">
        <v>0</v>
      </c>
      <c r="R7543" s="2" t="inlineStr"/>
    </row>
    <row r="7544" ht="15" customHeight="1">
      <c r="A7544" t="inlineStr">
        <is>
          <t>A 57889-2022</t>
        </is>
      </c>
      <c r="B7544" s="1" t="n">
        <v>44900.31049768518</v>
      </c>
      <c r="C7544" s="1" t="n">
        <v>45952</v>
      </c>
      <c r="D7544" t="inlineStr">
        <is>
          <t>VÄSTRA GÖTALANDS LÄN</t>
        </is>
      </c>
      <c r="E7544" t="inlineStr">
        <is>
          <t>TANUM</t>
        </is>
      </c>
      <c r="G7544" t="n">
        <v>2</v>
      </c>
      <c r="H7544" t="n">
        <v>0</v>
      </c>
      <c r="I7544" t="n">
        <v>0</v>
      </c>
      <c r="J7544" t="n">
        <v>0</v>
      </c>
      <c r="K7544" t="n">
        <v>0</v>
      </c>
      <c r="L7544" t="n">
        <v>0</v>
      </c>
      <c r="M7544" t="n">
        <v>0</v>
      </c>
      <c r="N7544" t="n">
        <v>0</v>
      </c>
      <c r="O7544" t="n">
        <v>0</v>
      </c>
      <c r="P7544" t="n">
        <v>0</v>
      </c>
      <c r="Q7544" t="n">
        <v>0</v>
      </c>
      <c r="R7544" s="2" t="inlineStr"/>
    </row>
    <row r="7545" ht="15" customHeight="1">
      <c r="A7545" t="inlineStr">
        <is>
          <t>A 14703-2025</t>
        </is>
      </c>
      <c r="B7545" s="1" t="n">
        <v>45742.60491898148</v>
      </c>
      <c r="C7545" s="1" t="n">
        <v>45952</v>
      </c>
      <c r="D7545" t="inlineStr">
        <is>
          <t>VÄSTRA GÖTALANDS LÄN</t>
        </is>
      </c>
      <c r="E7545" t="inlineStr">
        <is>
          <t>KARLSBORG</t>
        </is>
      </c>
      <c r="G7545" t="n">
        <v>0.7</v>
      </c>
      <c r="H7545" t="n">
        <v>0</v>
      </c>
      <c r="I7545" t="n">
        <v>0</v>
      </c>
      <c r="J7545" t="n">
        <v>0</v>
      </c>
      <c r="K7545" t="n">
        <v>0</v>
      </c>
      <c r="L7545" t="n">
        <v>0</v>
      </c>
      <c r="M7545" t="n">
        <v>0</v>
      </c>
      <c r="N7545" t="n">
        <v>0</v>
      </c>
      <c r="O7545" t="n">
        <v>0</v>
      </c>
      <c r="P7545" t="n">
        <v>0</v>
      </c>
      <c r="Q7545" t="n">
        <v>0</v>
      </c>
      <c r="R7545" s="2" t="inlineStr"/>
    </row>
    <row r="7546" ht="15" customHeight="1">
      <c r="A7546" t="inlineStr">
        <is>
          <t>A 18188-2024</t>
        </is>
      </c>
      <c r="B7546" s="1" t="n">
        <v>45420.6553587963</v>
      </c>
      <c r="C7546" s="1" t="n">
        <v>45952</v>
      </c>
      <c r="D7546" t="inlineStr">
        <is>
          <t>VÄSTRA GÖTALANDS LÄN</t>
        </is>
      </c>
      <c r="E7546" t="inlineStr">
        <is>
          <t>FÄRGELANDA</t>
        </is>
      </c>
      <c r="G7546" t="n">
        <v>1.3</v>
      </c>
      <c r="H7546" t="n">
        <v>0</v>
      </c>
      <c r="I7546" t="n">
        <v>0</v>
      </c>
      <c r="J7546" t="n">
        <v>0</v>
      </c>
      <c r="K7546" t="n">
        <v>0</v>
      </c>
      <c r="L7546" t="n">
        <v>0</v>
      </c>
      <c r="M7546" t="n">
        <v>0</v>
      </c>
      <c r="N7546" t="n">
        <v>0</v>
      </c>
      <c r="O7546" t="n">
        <v>0</v>
      </c>
      <c r="P7546" t="n">
        <v>0</v>
      </c>
      <c r="Q7546" t="n">
        <v>0</v>
      </c>
      <c r="R7546" s="2" t="inlineStr"/>
    </row>
    <row r="7547" ht="15" customHeight="1">
      <c r="A7547" t="inlineStr">
        <is>
          <t>A 18205-2024</t>
        </is>
      </c>
      <c r="B7547" s="1" t="n">
        <v>45420.69327546296</v>
      </c>
      <c r="C7547" s="1" t="n">
        <v>45952</v>
      </c>
      <c r="D7547" t="inlineStr">
        <is>
          <t>VÄSTRA GÖTALANDS LÄN</t>
        </is>
      </c>
      <c r="E7547" t="inlineStr">
        <is>
          <t>MELLERUD</t>
        </is>
      </c>
      <c r="G7547" t="n">
        <v>0.9</v>
      </c>
      <c r="H7547" t="n">
        <v>0</v>
      </c>
      <c r="I7547" t="n">
        <v>0</v>
      </c>
      <c r="J7547" t="n">
        <v>0</v>
      </c>
      <c r="K7547" t="n">
        <v>0</v>
      </c>
      <c r="L7547" t="n">
        <v>0</v>
      </c>
      <c r="M7547" t="n">
        <v>0</v>
      </c>
      <c r="N7547" t="n">
        <v>0</v>
      </c>
      <c r="O7547" t="n">
        <v>0</v>
      </c>
      <c r="P7547" t="n">
        <v>0</v>
      </c>
      <c r="Q7547" t="n">
        <v>0</v>
      </c>
      <c r="R7547" s="2" t="inlineStr"/>
    </row>
    <row r="7548" ht="15" customHeight="1">
      <c r="A7548" t="inlineStr">
        <is>
          <t>A 34767-2023</t>
        </is>
      </c>
      <c r="B7548" s="1" t="n">
        <v>45140</v>
      </c>
      <c r="C7548" s="1" t="n">
        <v>45952</v>
      </c>
      <c r="D7548" t="inlineStr">
        <is>
          <t>VÄSTRA GÖTALANDS LÄN</t>
        </is>
      </c>
      <c r="E7548" t="inlineStr">
        <is>
          <t>ULRICEHAMN</t>
        </is>
      </c>
      <c r="G7548" t="n">
        <v>4.3</v>
      </c>
      <c r="H7548" t="n">
        <v>0</v>
      </c>
      <c r="I7548" t="n">
        <v>0</v>
      </c>
      <c r="J7548" t="n">
        <v>0</v>
      </c>
      <c r="K7548" t="n">
        <v>0</v>
      </c>
      <c r="L7548" t="n">
        <v>0</v>
      </c>
      <c r="M7548" t="n">
        <v>0</v>
      </c>
      <c r="N7548" t="n">
        <v>0</v>
      </c>
      <c r="O7548" t="n">
        <v>0</v>
      </c>
      <c r="P7548" t="n">
        <v>0</v>
      </c>
      <c r="Q7548" t="n">
        <v>0</v>
      </c>
      <c r="R7548" s="2" t="inlineStr"/>
    </row>
    <row r="7549" ht="15" customHeight="1">
      <c r="A7549" t="inlineStr">
        <is>
          <t>A 42161-2021</t>
        </is>
      </c>
      <c r="B7549" s="1" t="n">
        <v>44426</v>
      </c>
      <c r="C7549" s="1" t="n">
        <v>45952</v>
      </c>
      <c r="D7549" t="inlineStr">
        <is>
          <t>VÄSTRA GÖTALANDS LÄN</t>
        </is>
      </c>
      <c r="E7549" t="inlineStr">
        <is>
          <t>MARIESTAD</t>
        </is>
      </c>
      <c r="G7549" t="n">
        <v>3.6</v>
      </c>
      <c r="H7549" t="n">
        <v>0</v>
      </c>
      <c r="I7549" t="n">
        <v>0</v>
      </c>
      <c r="J7549" t="n">
        <v>0</v>
      </c>
      <c r="K7549" t="n">
        <v>0</v>
      </c>
      <c r="L7549" t="n">
        <v>0</v>
      </c>
      <c r="M7549" t="n">
        <v>0</v>
      </c>
      <c r="N7549" t="n">
        <v>0</v>
      </c>
      <c r="O7549" t="n">
        <v>0</v>
      </c>
      <c r="P7549" t="n">
        <v>0</v>
      </c>
      <c r="Q7549" t="n">
        <v>0</v>
      </c>
      <c r="R7549" s="2" t="inlineStr"/>
    </row>
    <row r="7550" ht="15" customHeight="1">
      <c r="A7550" t="inlineStr">
        <is>
          <t>A 1113-2022</t>
        </is>
      </c>
      <c r="B7550" s="1" t="n">
        <v>44572</v>
      </c>
      <c r="C7550" s="1" t="n">
        <v>45952</v>
      </c>
      <c r="D7550" t="inlineStr">
        <is>
          <t>VÄSTRA GÖTALANDS LÄN</t>
        </is>
      </c>
      <c r="E7550" t="inlineStr">
        <is>
          <t>MARIESTAD</t>
        </is>
      </c>
      <c r="F7550" t="inlineStr">
        <is>
          <t>Naturvårdsverket</t>
        </is>
      </c>
      <c r="G7550" t="n">
        <v>1.5</v>
      </c>
      <c r="H7550" t="n">
        <v>0</v>
      </c>
      <c r="I7550" t="n">
        <v>0</v>
      </c>
      <c r="J7550" t="n">
        <v>0</v>
      </c>
      <c r="K7550" t="n">
        <v>0</v>
      </c>
      <c r="L7550" t="n">
        <v>0</v>
      </c>
      <c r="M7550" t="n">
        <v>0</v>
      </c>
      <c r="N7550" t="n">
        <v>0</v>
      </c>
      <c r="O7550" t="n">
        <v>0</v>
      </c>
      <c r="P7550" t="n">
        <v>0</v>
      </c>
      <c r="Q7550" t="n">
        <v>0</v>
      </c>
      <c r="R7550" s="2" t="inlineStr"/>
    </row>
    <row r="7551" ht="15" customHeight="1">
      <c r="A7551" t="inlineStr">
        <is>
          <t>A 54365-2023</t>
        </is>
      </c>
      <c r="B7551" s="1" t="n">
        <v>45233</v>
      </c>
      <c r="C7551" s="1" t="n">
        <v>45952</v>
      </c>
      <c r="D7551" t="inlineStr">
        <is>
          <t>VÄSTRA GÖTALANDS LÄN</t>
        </is>
      </c>
      <c r="E7551" t="inlineStr">
        <is>
          <t>BORÅS</t>
        </is>
      </c>
      <c r="G7551" t="n">
        <v>2.4</v>
      </c>
      <c r="H7551" t="n">
        <v>0</v>
      </c>
      <c r="I7551" t="n">
        <v>0</v>
      </c>
      <c r="J7551" t="n">
        <v>0</v>
      </c>
      <c r="K7551" t="n">
        <v>0</v>
      </c>
      <c r="L7551" t="n">
        <v>0</v>
      </c>
      <c r="M7551" t="n">
        <v>0</v>
      </c>
      <c r="N7551" t="n">
        <v>0</v>
      </c>
      <c r="O7551" t="n">
        <v>0</v>
      </c>
      <c r="P7551" t="n">
        <v>0</v>
      </c>
      <c r="Q7551" t="n">
        <v>0</v>
      </c>
      <c r="R7551" s="2" t="inlineStr"/>
    </row>
    <row r="7552" ht="15" customHeight="1">
      <c r="A7552" t="inlineStr">
        <is>
          <t>A 45328-2024</t>
        </is>
      </c>
      <c r="B7552" s="1" t="n">
        <v>45576.45584490741</v>
      </c>
      <c r="C7552" s="1" t="n">
        <v>45952</v>
      </c>
      <c r="D7552" t="inlineStr">
        <is>
          <t>VÄSTRA GÖTALANDS LÄN</t>
        </is>
      </c>
      <c r="E7552" t="inlineStr">
        <is>
          <t>ALINGSÅS</t>
        </is>
      </c>
      <c r="G7552" t="n">
        <v>1.6</v>
      </c>
      <c r="H7552" t="n">
        <v>0</v>
      </c>
      <c r="I7552" t="n">
        <v>0</v>
      </c>
      <c r="J7552" t="n">
        <v>0</v>
      </c>
      <c r="K7552" t="n">
        <v>0</v>
      </c>
      <c r="L7552" t="n">
        <v>0</v>
      </c>
      <c r="M7552" t="n">
        <v>0</v>
      </c>
      <c r="N7552" t="n">
        <v>0</v>
      </c>
      <c r="O7552" t="n">
        <v>0</v>
      </c>
      <c r="P7552" t="n">
        <v>0</v>
      </c>
      <c r="Q7552" t="n">
        <v>0</v>
      </c>
      <c r="R7552" s="2" t="inlineStr"/>
    </row>
    <row r="7553" ht="15" customHeight="1">
      <c r="A7553" t="inlineStr">
        <is>
          <t>A 45364-2024</t>
        </is>
      </c>
      <c r="B7553" s="1" t="n">
        <v>45576</v>
      </c>
      <c r="C7553" s="1" t="n">
        <v>45952</v>
      </c>
      <c r="D7553" t="inlineStr">
        <is>
          <t>VÄSTRA GÖTALANDS LÄN</t>
        </is>
      </c>
      <c r="E7553" t="inlineStr">
        <is>
          <t>BORÅS</t>
        </is>
      </c>
      <c r="G7553" t="n">
        <v>4.4</v>
      </c>
      <c r="H7553" t="n">
        <v>0</v>
      </c>
      <c r="I7553" t="n">
        <v>0</v>
      </c>
      <c r="J7553" t="n">
        <v>0</v>
      </c>
      <c r="K7553" t="n">
        <v>0</v>
      </c>
      <c r="L7553" t="n">
        <v>0</v>
      </c>
      <c r="M7553" t="n">
        <v>0</v>
      </c>
      <c r="N7553" t="n">
        <v>0</v>
      </c>
      <c r="O7553" t="n">
        <v>0</v>
      </c>
      <c r="P7553" t="n">
        <v>0</v>
      </c>
      <c r="Q7553" t="n">
        <v>0</v>
      </c>
      <c r="R7553" s="2" t="inlineStr"/>
    </row>
    <row r="7554" ht="15" customHeight="1">
      <c r="A7554" t="inlineStr">
        <is>
          <t>A 62074-2024</t>
        </is>
      </c>
      <c r="B7554" s="1" t="n">
        <v>45656.41170138889</v>
      </c>
      <c r="C7554" s="1" t="n">
        <v>45952</v>
      </c>
      <c r="D7554" t="inlineStr">
        <is>
          <t>VÄSTRA GÖTALANDS LÄN</t>
        </is>
      </c>
      <c r="E7554" t="inlineStr">
        <is>
          <t>UDDEVALLA</t>
        </is>
      </c>
      <c r="F7554" t="inlineStr">
        <is>
          <t>Kommuner</t>
        </is>
      </c>
      <c r="G7554" t="n">
        <v>0.6</v>
      </c>
      <c r="H7554" t="n">
        <v>0</v>
      </c>
      <c r="I7554" t="n">
        <v>0</v>
      </c>
      <c r="J7554" t="n">
        <v>0</v>
      </c>
      <c r="K7554" t="n">
        <v>0</v>
      </c>
      <c r="L7554" t="n">
        <v>0</v>
      </c>
      <c r="M7554" t="n">
        <v>0</v>
      </c>
      <c r="N7554" t="n">
        <v>0</v>
      </c>
      <c r="O7554" t="n">
        <v>0</v>
      </c>
      <c r="P7554" t="n">
        <v>0</v>
      </c>
      <c r="Q7554" t="n">
        <v>0</v>
      </c>
      <c r="R7554" s="2" t="inlineStr"/>
    </row>
    <row r="7555" ht="15" customHeight="1">
      <c r="A7555" t="inlineStr">
        <is>
          <t>A 62077-2024</t>
        </is>
      </c>
      <c r="B7555" s="1" t="n">
        <v>45656.4194212963</v>
      </c>
      <c r="C7555" s="1" t="n">
        <v>45952</v>
      </c>
      <c r="D7555" t="inlineStr">
        <is>
          <t>VÄSTRA GÖTALANDS LÄN</t>
        </is>
      </c>
      <c r="E7555" t="inlineStr">
        <is>
          <t>UDDEVALLA</t>
        </is>
      </c>
      <c r="F7555" t="inlineStr">
        <is>
          <t>Kommuner</t>
        </is>
      </c>
      <c r="G7555" t="n">
        <v>2.7</v>
      </c>
      <c r="H7555" t="n">
        <v>0</v>
      </c>
      <c r="I7555" t="n">
        <v>0</v>
      </c>
      <c r="J7555" t="n">
        <v>0</v>
      </c>
      <c r="K7555" t="n">
        <v>0</v>
      </c>
      <c r="L7555" t="n">
        <v>0</v>
      </c>
      <c r="M7555" t="n">
        <v>0</v>
      </c>
      <c r="N7555" t="n">
        <v>0</v>
      </c>
      <c r="O7555" t="n">
        <v>0</v>
      </c>
      <c r="P7555" t="n">
        <v>0</v>
      </c>
      <c r="Q7555" t="n">
        <v>0</v>
      </c>
      <c r="R7555" s="2" t="inlineStr"/>
    </row>
    <row r="7556" ht="15" customHeight="1">
      <c r="A7556" t="inlineStr">
        <is>
          <t>A 36652-2023</t>
        </is>
      </c>
      <c r="B7556" s="1" t="n">
        <v>45153.56390046296</v>
      </c>
      <c r="C7556" s="1" t="n">
        <v>45952</v>
      </c>
      <c r="D7556" t="inlineStr">
        <is>
          <t>VÄSTRA GÖTALANDS LÄN</t>
        </is>
      </c>
      <c r="E7556" t="inlineStr">
        <is>
          <t>HERRLJUNGA</t>
        </is>
      </c>
      <c r="G7556" t="n">
        <v>0.8</v>
      </c>
      <c r="H7556" t="n">
        <v>0</v>
      </c>
      <c r="I7556" t="n">
        <v>0</v>
      </c>
      <c r="J7556" t="n">
        <v>0</v>
      </c>
      <c r="K7556" t="n">
        <v>0</v>
      </c>
      <c r="L7556" t="n">
        <v>0</v>
      </c>
      <c r="M7556" t="n">
        <v>0</v>
      </c>
      <c r="N7556" t="n">
        <v>0</v>
      </c>
      <c r="O7556" t="n">
        <v>0</v>
      </c>
      <c r="P7556" t="n">
        <v>0</v>
      </c>
      <c r="Q7556" t="n">
        <v>0</v>
      </c>
      <c r="R7556" s="2" t="inlineStr"/>
    </row>
    <row r="7557" ht="15" customHeight="1">
      <c r="A7557" t="inlineStr">
        <is>
          <t>A 39423-2023</t>
        </is>
      </c>
      <c r="B7557" s="1" t="n">
        <v>45163</v>
      </c>
      <c r="C7557" s="1" t="n">
        <v>45952</v>
      </c>
      <c r="D7557" t="inlineStr">
        <is>
          <t>VÄSTRA GÖTALANDS LÄN</t>
        </is>
      </c>
      <c r="E7557" t="inlineStr">
        <is>
          <t>HERRLJUNGA</t>
        </is>
      </c>
      <c r="G7557" t="n">
        <v>1.9</v>
      </c>
      <c r="H7557" t="n">
        <v>0</v>
      </c>
      <c r="I7557" t="n">
        <v>0</v>
      </c>
      <c r="J7557" t="n">
        <v>0</v>
      </c>
      <c r="K7557" t="n">
        <v>0</v>
      </c>
      <c r="L7557" t="n">
        <v>0</v>
      </c>
      <c r="M7557" t="n">
        <v>0</v>
      </c>
      <c r="N7557" t="n">
        <v>0</v>
      </c>
      <c r="O7557" t="n">
        <v>0</v>
      </c>
      <c r="P7557" t="n">
        <v>0</v>
      </c>
      <c r="Q7557" t="n">
        <v>0</v>
      </c>
      <c r="R7557" s="2" t="inlineStr"/>
    </row>
    <row r="7558" ht="15" customHeight="1">
      <c r="A7558" t="inlineStr">
        <is>
          <t>A 17760-2021</t>
        </is>
      </c>
      <c r="B7558" s="1" t="n">
        <v>44300</v>
      </c>
      <c r="C7558" s="1" t="n">
        <v>45952</v>
      </c>
      <c r="D7558" t="inlineStr">
        <is>
          <t>VÄSTRA GÖTALANDS LÄN</t>
        </is>
      </c>
      <c r="E7558" t="inlineStr">
        <is>
          <t>BENGTSFORS</t>
        </is>
      </c>
      <c r="G7558" t="n">
        <v>2.5</v>
      </c>
      <c r="H7558" t="n">
        <v>0</v>
      </c>
      <c r="I7558" t="n">
        <v>0</v>
      </c>
      <c r="J7558" t="n">
        <v>0</v>
      </c>
      <c r="K7558" t="n">
        <v>0</v>
      </c>
      <c r="L7558" t="n">
        <v>0</v>
      </c>
      <c r="M7558" t="n">
        <v>0</v>
      </c>
      <c r="N7558" t="n">
        <v>0</v>
      </c>
      <c r="O7558" t="n">
        <v>0</v>
      </c>
      <c r="P7558" t="n">
        <v>0</v>
      </c>
      <c r="Q7558" t="n">
        <v>0</v>
      </c>
      <c r="R7558" s="2" t="inlineStr"/>
    </row>
    <row r="7559" ht="15" customHeight="1">
      <c r="A7559" t="inlineStr">
        <is>
          <t>A 57562-2023</t>
        </is>
      </c>
      <c r="B7559" s="1" t="n">
        <v>45246.49246527778</v>
      </c>
      <c r="C7559" s="1" t="n">
        <v>45952</v>
      </c>
      <c r="D7559" t="inlineStr">
        <is>
          <t>VÄSTRA GÖTALANDS LÄN</t>
        </is>
      </c>
      <c r="E7559" t="inlineStr">
        <is>
          <t>ULRICEHAMN</t>
        </is>
      </c>
      <c r="G7559" t="n">
        <v>1.8</v>
      </c>
      <c r="H7559" t="n">
        <v>0</v>
      </c>
      <c r="I7559" t="n">
        <v>0</v>
      </c>
      <c r="J7559" t="n">
        <v>0</v>
      </c>
      <c r="K7559" t="n">
        <v>0</v>
      </c>
      <c r="L7559" t="n">
        <v>0</v>
      </c>
      <c r="M7559" t="n">
        <v>0</v>
      </c>
      <c r="N7559" t="n">
        <v>0</v>
      </c>
      <c r="O7559" t="n">
        <v>0</v>
      </c>
      <c r="P7559" t="n">
        <v>0</v>
      </c>
      <c r="Q7559" t="n">
        <v>0</v>
      </c>
      <c r="R7559" s="2" t="inlineStr"/>
    </row>
    <row r="7560" ht="15" customHeight="1">
      <c r="A7560" t="inlineStr">
        <is>
          <t>A 16830-2023</t>
        </is>
      </c>
      <c r="B7560" s="1" t="n">
        <v>45029</v>
      </c>
      <c r="C7560" s="1" t="n">
        <v>45952</v>
      </c>
      <c r="D7560" t="inlineStr">
        <is>
          <t>VÄSTRA GÖTALANDS LÄN</t>
        </is>
      </c>
      <c r="E7560" t="inlineStr">
        <is>
          <t>ÅMÅL</t>
        </is>
      </c>
      <c r="F7560" t="inlineStr">
        <is>
          <t>Bergvik skog väst AB</t>
        </is>
      </c>
      <c r="G7560" t="n">
        <v>3.5</v>
      </c>
      <c r="H7560" t="n">
        <v>0</v>
      </c>
      <c r="I7560" t="n">
        <v>0</v>
      </c>
      <c r="J7560" t="n">
        <v>0</v>
      </c>
      <c r="K7560" t="n">
        <v>0</v>
      </c>
      <c r="L7560" t="n">
        <v>0</v>
      </c>
      <c r="M7560" t="n">
        <v>0</v>
      </c>
      <c r="N7560" t="n">
        <v>0</v>
      </c>
      <c r="O7560" t="n">
        <v>0</v>
      </c>
      <c r="P7560" t="n">
        <v>0</v>
      </c>
      <c r="Q7560" t="n">
        <v>0</v>
      </c>
      <c r="R7560" s="2" t="inlineStr"/>
    </row>
    <row r="7561" ht="15" customHeight="1">
      <c r="A7561" t="inlineStr">
        <is>
          <t>A 28050-2022</t>
        </is>
      </c>
      <c r="B7561" s="1" t="n">
        <v>44746.41486111111</v>
      </c>
      <c r="C7561" s="1" t="n">
        <v>45952</v>
      </c>
      <c r="D7561" t="inlineStr">
        <is>
          <t>VÄSTRA GÖTALANDS LÄN</t>
        </is>
      </c>
      <c r="E7561" t="inlineStr">
        <is>
          <t>MARIESTAD</t>
        </is>
      </c>
      <c r="G7561" t="n">
        <v>2.2</v>
      </c>
      <c r="H7561" t="n">
        <v>0</v>
      </c>
      <c r="I7561" t="n">
        <v>0</v>
      </c>
      <c r="J7561" t="n">
        <v>0</v>
      </c>
      <c r="K7561" t="n">
        <v>0</v>
      </c>
      <c r="L7561" t="n">
        <v>0</v>
      </c>
      <c r="M7561" t="n">
        <v>0</v>
      </c>
      <c r="N7561" t="n">
        <v>0</v>
      </c>
      <c r="O7561" t="n">
        <v>0</v>
      </c>
      <c r="P7561" t="n">
        <v>0</v>
      </c>
      <c r="Q7561" t="n">
        <v>0</v>
      </c>
      <c r="R7561" s="2" t="inlineStr"/>
    </row>
    <row r="7562" ht="15" customHeight="1">
      <c r="A7562" t="inlineStr">
        <is>
          <t>A 28056-2022</t>
        </is>
      </c>
      <c r="B7562" s="1" t="n">
        <v>44746.42554398148</v>
      </c>
      <c r="C7562" s="1" t="n">
        <v>45952</v>
      </c>
      <c r="D7562" t="inlineStr">
        <is>
          <t>VÄSTRA GÖTALANDS LÄN</t>
        </is>
      </c>
      <c r="E7562" t="inlineStr">
        <is>
          <t>MARIESTAD</t>
        </is>
      </c>
      <c r="G7562" t="n">
        <v>1.2</v>
      </c>
      <c r="H7562" t="n">
        <v>0</v>
      </c>
      <c r="I7562" t="n">
        <v>0</v>
      </c>
      <c r="J7562" t="n">
        <v>0</v>
      </c>
      <c r="K7562" t="n">
        <v>0</v>
      </c>
      <c r="L7562" t="n">
        <v>0</v>
      </c>
      <c r="M7562" t="n">
        <v>0</v>
      </c>
      <c r="N7562" t="n">
        <v>0</v>
      </c>
      <c r="O7562" t="n">
        <v>0</v>
      </c>
      <c r="P7562" t="n">
        <v>0</v>
      </c>
      <c r="Q7562" t="n">
        <v>0</v>
      </c>
      <c r="R7562" s="2" t="inlineStr"/>
    </row>
    <row r="7563" ht="15" customHeight="1">
      <c r="A7563" t="inlineStr">
        <is>
          <t>A 13139-2024</t>
        </is>
      </c>
      <c r="B7563" s="1" t="n">
        <v>45386.34435185185</v>
      </c>
      <c r="C7563" s="1" t="n">
        <v>45952</v>
      </c>
      <c r="D7563" t="inlineStr">
        <is>
          <t>VÄSTRA GÖTALANDS LÄN</t>
        </is>
      </c>
      <c r="E7563" t="inlineStr">
        <is>
          <t>SVENLJUNGA</t>
        </is>
      </c>
      <c r="G7563" t="n">
        <v>1.4</v>
      </c>
      <c r="H7563" t="n">
        <v>0</v>
      </c>
      <c r="I7563" t="n">
        <v>0</v>
      </c>
      <c r="J7563" t="n">
        <v>0</v>
      </c>
      <c r="K7563" t="n">
        <v>0</v>
      </c>
      <c r="L7563" t="n">
        <v>0</v>
      </c>
      <c r="M7563" t="n">
        <v>0</v>
      </c>
      <c r="N7563" t="n">
        <v>0</v>
      </c>
      <c r="O7563" t="n">
        <v>0</v>
      </c>
      <c r="P7563" t="n">
        <v>0</v>
      </c>
      <c r="Q7563" t="n">
        <v>0</v>
      </c>
      <c r="R7563" s="2" t="inlineStr"/>
    </row>
    <row r="7564" ht="15" customHeight="1">
      <c r="A7564" t="inlineStr">
        <is>
          <t>A 28089-2022</t>
        </is>
      </c>
      <c r="B7564" s="1" t="n">
        <v>44746</v>
      </c>
      <c r="C7564" s="1" t="n">
        <v>45952</v>
      </c>
      <c r="D7564" t="inlineStr">
        <is>
          <t>VÄSTRA GÖTALANDS LÄN</t>
        </is>
      </c>
      <c r="E7564" t="inlineStr">
        <is>
          <t>LERUM</t>
        </is>
      </c>
      <c r="G7564" t="n">
        <v>7.4</v>
      </c>
      <c r="H7564" t="n">
        <v>0</v>
      </c>
      <c r="I7564" t="n">
        <v>0</v>
      </c>
      <c r="J7564" t="n">
        <v>0</v>
      </c>
      <c r="K7564" t="n">
        <v>0</v>
      </c>
      <c r="L7564" t="n">
        <v>0</v>
      </c>
      <c r="M7564" t="n">
        <v>0</v>
      </c>
      <c r="N7564" t="n">
        <v>0</v>
      </c>
      <c r="O7564" t="n">
        <v>0</v>
      </c>
      <c r="P7564" t="n">
        <v>0</v>
      </c>
      <c r="Q7564" t="n">
        <v>0</v>
      </c>
      <c r="R7564" s="2" t="inlineStr"/>
    </row>
    <row r="7565" ht="15" customHeight="1">
      <c r="A7565" t="inlineStr">
        <is>
          <t>A 30205-2023</t>
        </is>
      </c>
      <c r="B7565" s="1" t="n">
        <v>45110.61938657407</v>
      </c>
      <c r="C7565" s="1" t="n">
        <v>45952</v>
      </c>
      <c r="D7565" t="inlineStr">
        <is>
          <t>VÄSTRA GÖTALANDS LÄN</t>
        </is>
      </c>
      <c r="E7565" t="inlineStr">
        <is>
          <t>GÖTENE</t>
        </is>
      </c>
      <c r="G7565" t="n">
        <v>6.8</v>
      </c>
      <c r="H7565" t="n">
        <v>0</v>
      </c>
      <c r="I7565" t="n">
        <v>0</v>
      </c>
      <c r="J7565" t="n">
        <v>0</v>
      </c>
      <c r="K7565" t="n">
        <v>0</v>
      </c>
      <c r="L7565" t="n">
        <v>0</v>
      </c>
      <c r="M7565" t="n">
        <v>0</v>
      </c>
      <c r="N7565" t="n">
        <v>0</v>
      </c>
      <c r="O7565" t="n">
        <v>0</v>
      </c>
      <c r="P7565" t="n">
        <v>0</v>
      </c>
      <c r="Q7565" t="n">
        <v>0</v>
      </c>
      <c r="R7565" s="2" t="inlineStr"/>
    </row>
    <row r="7566" ht="15" customHeight="1">
      <c r="A7566" t="inlineStr">
        <is>
          <t>A 383-2021</t>
        </is>
      </c>
      <c r="B7566" s="1" t="n">
        <v>44201</v>
      </c>
      <c r="C7566" s="1" t="n">
        <v>45952</v>
      </c>
      <c r="D7566" t="inlineStr">
        <is>
          <t>VÄSTRA GÖTALANDS LÄN</t>
        </is>
      </c>
      <c r="E7566" t="inlineStr">
        <is>
          <t>ULRICEHAMN</t>
        </is>
      </c>
      <c r="G7566" t="n">
        <v>1.2</v>
      </c>
      <c r="H7566" t="n">
        <v>0</v>
      </c>
      <c r="I7566" t="n">
        <v>0</v>
      </c>
      <c r="J7566" t="n">
        <v>0</v>
      </c>
      <c r="K7566" t="n">
        <v>0</v>
      </c>
      <c r="L7566" t="n">
        <v>0</v>
      </c>
      <c r="M7566" t="n">
        <v>0</v>
      </c>
      <c r="N7566" t="n">
        <v>0</v>
      </c>
      <c r="O7566" t="n">
        <v>0</v>
      </c>
      <c r="P7566" t="n">
        <v>0</v>
      </c>
      <c r="Q7566" t="n">
        <v>0</v>
      </c>
      <c r="R7566" s="2" t="inlineStr"/>
    </row>
    <row r="7567" ht="15" customHeight="1">
      <c r="A7567" t="inlineStr">
        <is>
          <t>A 28903-2024</t>
        </is>
      </c>
      <c r="B7567" s="1" t="n">
        <v>45480.54913194444</v>
      </c>
      <c r="C7567" s="1" t="n">
        <v>45952</v>
      </c>
      <c r="D7567" t="inlineStr">
        <is>
          <t>VÄSTRA GÖTALANDS LÄN</t>
        </is>
      </c>
      <c r="E7567" t="inlineStr">
        <is>
          <t>LILLA EDET</t>
        </is>
      </c>
      <c r="G7567" t="n">
        <v>3.4</v>
      </c>
      <c r="H7567" t="n">
        <v>0</v>
      </c>
      <c r="I7567" t="n">
        <v>0</v>
      </c>
      <c r="J7567" t="n">
        <v>0</v>
      </c>
      <c r="K7567" t="n">
        <v>0</v>
      </c>
      <c r="L7567" t="n">
        <v>0</v>
      </c>
      <c r="M7567" t="n">
        <v>0</v>
      </c>
      <c r="N7567" t="n">
        <v>0</v>
      </c>
      <c r="O7567" t="n">
        <v>0</v>
      </c>
      <c r="P7567" t="n">
        <v>0</v>
      </c>
      <c r="Q7567" t="n">
        <v>0</v>
      </c>
      <c r="R7567" s="2" t="inlineStr"/>
    </row>
    <row r="7568" ht="15" customHeight="1">
      <c r="A7568" t="inlineStr">
        <is>
          <t>A 415-2021</t>
        </is>
      </c>
      <c r="B7568" s="1" t="n">
        <v>44201</v>
      </c>
      <c r="C7568" s="1" t="n">
        <v>45952</v>
      </c>
      <c r="D7568" t="inlineStr">
        <is>
          <t>VÄSTRA GÖTALANDS LÄN</t>
        </is>
      </c>
      <c r="E7568" t="inlineStr">
        <is>
          <t>TANUM</t>
        </is>
      </c>
      <c r="G7568" t="n">
        <v>9.699999999999999</v>
      </c>
      <c r="H7568" t="n">
        <v>0</v>
      </c>
      <c r="I7568" t="n">
        <v>0</v>
      </c>
      <c r="J7568" t="n">
        <v>0</v>
      </c>
      <c r="K7568" t="n">
        <v>0</v>
      </c>
      <c r="L7568" t="n">
        <v>0</v>
      </c>
      <c r="M7568" t="n">
        <v>0</v>
      </c>
      <c r="N7568" t="n">
        <v>0</v>
      </c>
      <c r="O7568" t="n">
        <v>0</v>
      </c>
      <c r="P7568" t="n">
        <v>0</v>
      </c>
      <c r="Q7568" t="n">
        <v>0</v>
      </c>
      <c r="R7568" s="2" t="inlineStr"/>
    </row>
    <row r="7569" ht="15" customHeight="1">
      <c r="A7569" t="inlineStr">
        <is>
          <t>A 70259-2021</t>
        </is>
      </c>
      <c r="B7569" s="1" t="n">
        <v>44536</v>
      </c>
      <c r="C7569" s="1" t="n">
        <v>45952</v>
      </c>
      <c r="D7569" t="inlineStr">
        <is>
          <t>VÄSTRA GÖTALANDS LÄN</t>
        </is>
      </c>
      <c r="E7569" t="inlineStr">
        <is>
          <t>MARIESTAD</t>
        </is>
      </c>
      <c r="F7569" t="inlineStr">
        <is>
          <t>Sveaskog</t>
        </is>
      </c>
      <c r="G7569" t="n">
        <v>2.7</v>
      </c>
      <c r="H7569" t="n">
        <v>0</v>
      </c>
      <c r="I7569" t="n">
        <v>0</v>
      </c>
      <c r="J7569" t="n">
        <v>0</v>
      </c>
      <c r="K7569" t="n">
        <v>0</v>
      </c>
      <c r="L7569" t="n">
        <v>0</v>
      </c>
      <c r="M7569" t="n">
        <v>0</v>
      </c>
      <c r="N7569" t="n">
        <v>0</v>
      </c>
      <c r="O7569" t="n">
        <v>0</v>
      </c>
      <c r="P7569" t="n">
        <v>0</v>
      </c>
      <c r="Q7569" t="n">
        <v>0</v>
      </c>
      <c r="R7569" s="2" t="inlineStr"/>
    </row>
    <row r="7570" ht="15" customHeight="1">
      <c r="A7570" t="inlineStr">
        <is>
          <t>A 72944-2021</t>
        </is>
      </c>
      <c r="B7570" s="1" t="n">
        <v>44547.87140046297</v>
      </c>
      <c r="C7570" s="1" t="n">
        <v>45952</v>
      </c>
      <c r="D7570" t="inlineStr">
        <is>
          <t>VÄSTRA GÖTALANDS LÄN</t>
        </is>
      </c>
      <c r="E7570" t="inlineStr">
        <is>
          <t>STENUNGSUND</t>
        </is>
      </c>
      <c r="G7570" t="n">
        <v>4.2</v>
      </c>
      <c r="H7570" t="n">
        <v>0</v>
      </c>
      <c r="I7570" t="n">
        <v>0</v>
      </c>
      <c r="J7570" t="n">
        <v>0</v>
      </c>
      <c r="K7570" t="n">
        <v>0</v>
      </c>
      <c r="L7570" t="n">
        <v>0</v>
      </c>
      <c r="M7570" t="n">
        <v>0</v>
      </c>
      <c r="N7570" t="n">
        <v>0</v>
      </c>
      <c r="O7570" t="n">
        <v>0</v>
      </c>
      <c r="P7570" t="n">
        <v>0</v>
      </c>
      <c r="Q7570" t="n">
        <v>0</v>
      </c>
      <c r="R7570" s="2" t="inlineStr"/>
    </row>
    <row r="7571" ht="15" customHeight="1">
      <c r="A7571" t="inlineStr">
        <is>
          <t>A 9748-2023</t>
        </is>
      </c>
      <c r="B7571" s="1" t="n">
        <v>44984</v>
      </c>
      <c r="C7571" s="1" t="n">
        <v>45952</v>
      </c>
      <c r="D7571" t="inlineStr">
        <is>
          <t>VÄSTRA GÖTALANDS LÄN</t>
        </is>
      </c>
      <c r="E7571" t="inlineStr">
        <is>
          <t>MUNKEDAL</t>
        </is>
      </c>
      <c r="G7571" t="n">
        <v>3.3</v>
      </c>
      <c r="H7571" t="n">
        <v>0</v>
      </c>
      <c r="I7571" t="n">
        <v>0</v>
      </c>
      <c r="J7571" t="n">
        <v>0</v>
      </c>
      <c r="K7571" t="n">
        <v>0</v>
      </c>
      <c r="L7571" t="n">
        <v>0</v>
      </c>
      <c r="M7571" t="n">
        <v>0</v>
      </c>
      <c r="N7571" t="n">
        <v>0</v>
      </c>
      <c r="O7571" t="n">
        <v>0</v>
      </c>
      <c r="P7571" t="n">
        <v>0</v>
      </c>
      <c r="Q7571" t="n">
        <v>0</v>
      </c>
      <c r="R7571" s="2" t="inlineStr"/>
    </row>
    <row r="7572" ht="15" customHeight="1">
      <c r="A7572" t="inlineStr">
        <is>
          <t>A 28907-2024</t>
        </is>
      </c>
      <c r="B7572" s="1" t="n">
        <v>45480.63773148148</v>
      </c>
      <c r="C7572" s="1" t="n">
        <v>45952</v>
      </c>
      <c r="D7572" t="inlineStr">
        <is>
          <t>VÄSTRA GÖTALANDS LÄN</t>
        </is>
      </c>
      <c r="E7572" t="inlineStr">
        <is>
          <t>HERRLJUNGA</t>
        </is>
      </c>
      <c r="G7572" t="n">
        <v>1.4</v>
      </c>
      <c r="H7572" t="n">
        <v>0</v>
      </c>
      <c r="I7572" t="n">
        <v>0</v>
      </c>
      <c r="J7572" t="n">
        <v>0</v>
      </c>
      <c r="K7572" t="n">
        <v>0</v>
      </c>
      <c r="L7572" t="n">
        <v>0</v>
      </c>
      <c r="M7572" t="n">
        <v>0</v>
      </c>
      <c r="N7572" t="n">
        <v>0</v>
      </c>
      <c r="O7572" t="n">
        <v>0</v>
      </c>
      <c r="P7572" t="n">
        <v>0</v>
      </c>
      <c r="Q7572" t="n">
        <v>0</v>
      </c>
      <c r="R7572" s="2" t="inlineStr"/>
    </row>
    <row r="7573" ht="15" customHeight="1">
      <c r="A7573" t="inlineStr">
        <is>
          <t>A 9338-2023</t>
        </is>
      </c>
      <c r="B7573" s="1" t="n">
        <v>44980</v>
      </c>
      <c r="C7573" s="1" t="n">
        <v>45952</v>
      </c>
      <c r="D7573" t="inlineStr">
        <is>
          <t>VÄSTRA GÖTALANDS LÄN</t>
        </is>
      </c>
      <c r="E7573" t="inlineStr">
        <is>
          <t>HJO</t>
        </is>
      </c>
      <c r="G7573" t="n">
        <v>0.7</v>
      </c>
      <c r="H7573" t="n">
        <v>0</v>
      </c>
      <c r="I7573" t="n">
        <v>0</v>
      </c>
      <c r="J7573" t="n">
        <v>0</v>
      </c>
      <c r="K7573" t="n">
        <v>0</v>
      </c>
      <c r="L7573" t="n">
        <v>0</v>
      </c>
      <c r="M7573" t="n">
        <v>0</v>
      </c>
      <c r="N7573" t="n">
        <v>0</v>
      </c>
      <c r="O7573" t="n">
        <v>0</v>
      </c>
      <c r="P7573" t="n">
        <v>0</v>
      </c>
      <c r="Q7573" t="n">
        <v>0</v>
      </c>
      <c r="R7573" s="2" t="inlineStr"/>
    </row>
    <row r="7574" ht="15" customHeight="1">
      <c r="A7574" t="inlineStr">
        <is>
          <t>A 42239-2024</t>
        </is>
      </c>
      <c r="B7574" s="1" t="n">
        <v>45562.56358796296</v>
      </c>
      <c r="C7574" s="1" t="n">
        <v>45952</v>
      </c>
      <c r="D7574" t="inlineStr">
        <is>
          <t>VÄSTRA GÖTALANDS LÄN</t>
        </is>
      </c>
      <c r="E7574" t="inlineStr">
        <is>
          <t>STRÖMSTAD</t>
        </is>
      </c>
      <c r="G7574" t="n">
        <v>2.6</v>
      </c>
      <c r="H7574" t="n">
        <v>0</v>
      </c>
      <c r="I7574" t="n">
        <v>0</v>
      </c>
      <c r="J7574" t="n">
        <v>0</v>
      </c>
      <c r="K7574" t="n">
        <v>0</v>
      </c>
      <c r="L7574" t="n">
        <v>0</v>
      </c>
      <c r="M7574" t="n">
        <v>0</v>
      </c>
      <c r="N7574" t="n">
        <v>0</v>
      </c>
      <c r="O7574" t="n">
        <v>0</v>
      </c>
      <c r="P7574" t="n">
        <v>0</v>
      </c>
      <c r="Q7574" t="n">
        <v>0</v>
      </c>
      <c r="R7574" s="2" t="inlineStr"/>
    </row>
    <row r="7575" ht="15" customHeight="1">
      <c r="A7575" t="inlineStr">
        <is>
          <t>A 2858-2024</t>
        </is>
      </c>
      <c r="B7575" s="1" t="n">
        <v>45315.43131944445</v>
      </c>
      <c r="C7575" s="1" t="n">
        <v>45952</v>
      </c>
      <c r="D7575" t="inlineStr">
        <is>
          <t>VÄSTRA GÖTALANDS LÄN</t>
        </is>
      </c>
      <c r="E7575" t="inlineStr">
        <is>
          <t>SKÖVDE</t>
        </is>
      </c>
      <c r="G7575" t="n">
        <v>1.5</v>
      </c>
      <c r="H7575" t="n">
        <v>0</v>
      </c>
      <c r="I7575" t="n">
        <v>0</v>
      </c>
      <c r="J7575" t="n">
        <v>0</v>
      </c>
      <c r="K7575" t="n">
        <v>0</v>
      </c>
      <c r="L7575" t="n">
        <v>0</v>
      </c>
      <c r="M7575" t="n">
        <v>0</v>
      </c>
      <c r="N7575" t="n">
        <v>0</v>
      </c>
      <c r="O7575" t="n">
        <v>0</v>
      </c>
      <c r="P7575" t="n">
        <v>0</v>
      </c>
      <c r="Q7575" t="n">
        <v>0</v>
      </c>
      <c r="R7575" s="2" t="inlineStr"/>
    </row>
    <row r="7576" ht="15" customHeight="1">
      <c r="A7576" t="inlineStr">
        <is>
          <t>A 58896-2022</t>
        </is>
      </c>
      <c r="B7576" s="1" t="n">
        <v>44903.59100694444</v>
      </c>
      <c r="C7576" s="1" t="n">
        <v>45952</v>
      </c>
      <c r="D7576" t="inlineStr">
        <is>
          <t>VÄSTRA GÖTALANDS LÄN</t>
        </is>
      </c>
      <c r="E7576" t="inlineStr">
        <is>
          <t>MARIESTAD</t>
        </is>
      </c>
      <c r="G7576" t="n">
        <v>0.8</v>
      </c>
      <c r="H7576" t="n">
        <v>0</v>
      </c>
      <c r="I7576" t="n">
        <v>0</v>
      </c>
      <c r="J7576" t="n">
        <v>0</v>
      </c>
      <c r="K7576" t="n">
        <v>0</v>
      </c>
      <c r="L7576" t="n">
        <v>0</v>
      </c>
      <c r="M7576" t="n">
        <v>0</v>
      </c>
      <c r="N7576" t="n">
        <v>0</v>
      </c>
      <c r="O7576" t="n">
        <v>0</v>
      </c>
      <c r="P7576" t="n">
        <v>0</v>
      </c>
      <c r="Q7576" t="n">
        <v>0</v>
      </c>
      <c r="R7576" s="2" t="inlineStr"/>
    </row>
    <row r="7577" ht="15" customHeight="1">
      <c r="A7577" t="inlineStr">
        <is>
          <t>A 183-2024</t>
        </is>
      </c>
      <c r="B7577" s="1" t="n">
        <v>45294</v>
      </c>
      <c r="C7577" s="1" t="n">
        <v>45952</v>
      </c>
      <c r="D7577" t="inlineStr">
        <is>
          <t>VÄSTRA GÖTALANDS LÄN</t>
        </is>
      </c>
      <c r="E7577" t="inlineStr">
        <is>
          <t>BORÅS</t>
        </is>
      </c>
      <c r="G7577" t="n">
        <v>3.1</v>
      </c>
      <c r="H7577" t="n">
        <v>0</v>
      </c>
      <c r="I7577" t="n">
        <v>0</v>
      </c>
      <c r="J7577" t="n">
        <v>0</v>
      </c>
      <c r="K7577" t="n">
        <v>0</v>
      </c>
      <c r="L7577" t="n">
        <v>0</v>
      </c>
      <c r="M7577" t="n">
        <v>0</v>
      </c>
      <c r="N7577" t="n">
        <v>0</v>
      </c>
      <c r="O7577" t="n">
        <v>0</v>
      </c>
      <c r="P7577" t="n">
        <v>0</v>
      </c>
      <c r="Q7577" t="n">
        <v>0</v>
      </c>
      <c r="R7577" s="2" t="inlineStr"/>
    </row>
    <row r="7578" ht="15" customHeight="1">
      <c r="A7578" t="inlineStr">
        <is>
          <t>A 186-2024</t>
        </is>
      </c>
      <c r="B7578" s="1" t="n">
        <v>45294</v>
      </c>
      <c r="C7578" s="1" t="n">
        <v>45952</v>
      </c>
      <c r="D7578" t="inlineStr">
        <is>
          <t>VÄSTRA GÖTALANDS LÄN</t>
        </is>
      </c>
      <c r="E7578" t="inlineStr">
        <is>
          <t>BORÅS</t>
        </is>
      </c>
      <c r="G7578" t="n">
        <v>1.8</v>
      </c>
      <c r="H7578" t="n">
        <v>0</v>
      </c>
      <c r="I7578" t="n">
        <v>0</v>
      </c>
      <c r="J7578" t="n">
        <v>0</v>
      </c>
      <c r="K7578" t="n">
        <v>0</v>
      </c>
      <c r="L7578" t="n">
        <v>0</v>
      </c>
      <c r="M7578" t="n">
        <v>0</v>
      </c>
      <c r="N7578" t="n">
        <v>0</v>
      </c>
      <c r="O7578" t="n">
        <v>0</v>
      </c>
      <c r="P7578" t="n">
        <v>0</v>
      </c>
      <c r="Q7578" t="n">
        <v>0</v>
      </c>
      <c r="R7578" s="2" t="inlineStr"/>
    </row>
    <row r="7579" ht="15" customHeight="1">
      <c r="A7579" t="inlineStr">
        <is>
          <t>A 9471-2023</t>
        </is>
      </c>
      <c r="B7579" s="1" t="n">
        <v>44981</v>
      </c>
      <c r="C7579" s="1" t="n">
        <v>45952</v>
      </c>
      <c r="D7579" t="inlineStr">
        <is>
          <t>VÄSTRA GÖTALANDS LÄN</t>
        </is>
      </c>
      <c r="E7579" t="inlineStr">
        <is>
          <t>SVENLJUNGA</t>
        </is>
      </c>
      <c r="G7579" t="n">
        <v>5.3</v>
      </c>
      <c r="H7579" t="n">
        <v>0</v>
      </c>
      <c r="I7579" t="n">
        <v>0</v>
      </c>
      <c r="J7579" t="n">
        <v>0</v>
      </c>
      <c r="K7579" t="n">
        <v>0</v>
      </c>
      <c r="L7579" t="n">
        <v>0</v>
      </c>
      <c r="M7579" t="n">
        <v>0</v>
      </c>
      <c r="N7579" t="n">
        <v>0</v>
      </c>
      <c r="O7579" t="n">
        <v>0</v>
      </c>
      <c r="P7579" t="n">
        <v>0</v>
      </c>
      <c r="Q7579" t="n">
        <v>0</v>
      </c>
      <c r="R7579" s="2" t="inlineStr"/>
    </row>
    <row r="7580" ht="15" customHeight="1">
      <c r="A7580" t="inlineStr">
        <is>
          <t>A 34653-2023</t>
        </is>
      </c>
      <c r="B7580" s="1" t="n">
        <v>45140</v>
      </c>
      <c r="C7580" s="1" t="n">
        <v>45952</v>
      </c>
      <c r="D7580" t="inlineStr">
        <is>
          <t>VÄSTRA GÖTALANDS LÄN</t>
        </is>
      </c>
      <c r="E7580" t="inlineStr">
        <is>
          <t>MARK</t>
        </is>
      </c>
      <c r="G7580" t="n">
        <v>1.5</v>
      </c>
      <c r="H7580" t="n">
        <v>0</v>
      </c>
      <c r="I7580" t="n">
        <v>0</v>
      </c>
      <c r="J7580" t="n">
        <v>0</v>
      </c>
      <c r="K7580" t="n">
        <v>0</v>
      </c>
      <c r="L7580" t="n">
        <v>0</v>
      </c>
      <c r="M7580" t="n">
        <v>0</v>
      </c>
      <c r="N7580" t="n">
        <v>0</v>
      </c>
      <c r="O7580" t="n">
        <v>0</v>
      </c>
      <c r="P7580" t="n">
        <v>0</v>
      </c>
      <c r="Q7580" t="n">
        <v>0</v>
      </c>
      <c r="R7580" s="2" t="inlineStr"/>
    </row>
    <row r="7581" ht="15" customHeight="1">
      <c r="A7581" t="inlineStr">
        <is>
          <t>A 38557-2022</t>
        </is>
      </c>
      <c r="B7581" s="1" t="n">
        <v>44813</v>
      </c>
      <c r="C7581" s="1" t="n">
        <v>45952</v>
      </c>
      <c r="D7581" t="inlineStr">
        <is>
          <t>VÄSTRA GÖTALANDS LÄN</t>
        </is>
      </c>
      <c r="E7581" t="inlineStr">
        <is>
          <t>UDDEVALLA</t>
        </is>
      </c>
      <c r="G7581" t="n">
        <v>0.9</v>
      </c>
      <c r="H7581" t="n">
        <v>0</v>
      </c>
      <c r="I7581" t="n">
        <v>0</v>
      </c>
      <c r="J7581" t="n">
        <v>0</v>
      </c>
      <c r="K7581" t="n">
        <v>0</v>
      </c>
      <c r="L7581" t="n">
        <v>0</v>
      </c>
      <c r="M7581" t="n">
        <v>0</v>
      </c>
      <c r="N7581" t="n">
        <v>0</v>
      </c>
      <c r="O7581" t="n">
        <v>0</v>
      </c>
      <c r="P7581" t="n">
        <v>0</v>
      </c>
      <c r="Q7581" t="n">
        <v>0</v>
      </c>
      <c r="R7581" s="2" t="inlineStr"/>
    </row>
    <row r="7582" ht="15" customHeight="1">
      <c r="A7582" t="inlineStr">
        <is>
          <t>A 23500-2023</t>
        </is>
      </c>
      <c r="B7582" s="1" t="n">
        <v>45076</v>
      </c>
      <c r="C7582" s="1" t="n">
        <v>45952</v>
      </c>
      <c r="D7582" t="inlineStr">
        <is>
          <t>VÄSTRA GÖTALANDS LÄN</t>
        </is>
      </c>
      <c r="E7582" t="inlineStr">
        <is>
          <t>KARLSBORG</t>
        </is>
      </c>
      <c r="G7582" t="n">
        <v>0.9</v>
      </c>
      <c r="H7582" t="n">
        <v>0</v>
      </c>
      <c r="I7582" t="n">
        <v>0</v>
      </c>
      <c r="J7582" t="n">
        <v>0</v>
      </c>
      <c r="K7582" t="n">
        <v>0</v>
      </c>
      <c r="L7582" t="n">
        <v>0</v>
      </c>
      <c r="M7582" t="n">
        <v>0</v>
      </c>
      <c r="N7582" t="n">
        <v>0</v>
      </c>
      <c r="O7582" t="n">
        <v>0</v>
      </c>
      <c r="P7582" t="n">
        <v>0</v>
      </c>
      <c r="Q7582" t="n">
        <v>0</v>
      </c>
      <c r="R7582" s="2" t="inlineStr"/>
    </row>
    <row r="7583" ht="15" customHeight="1">
      <c r="A7583" t="inlineStr">
        <is>
          <t>A 24075-2023</t>
        </is>
      </c>
      <c r="B7583" s="1" t="n">
        <v>45078</v>
      </c>
      <c r="C7583" s="1" t="n">
        <v>45952</v>
      </c>
      <c r="D7583" t="inlineStr">
        <is>
          <t>VÄSTRA GÖTALANDS LÄN</t>
        </is>
      </c>
      <c r="E7583" t="inlineStr">
        <is>
          <t>FÄRGELANDA</t>
        </is>
      </c>
      <c r="G7583" t="n">
        <v>1.2</v>
      </c>
      <c r="H7583" t="n">
        <v>0</v>
      </c>
      <c r="I7583" t="n">
        <v>0</v>
      </c>
      <c r="J7583" t="n">
        <v>0</v>
      </c>
      <c r="K7583" t="n">
        <v>0</v>
      </c>
      <c r="L7583" t="n">
        <v>0</v>
      </c>
      <c r="M7583" t="n">
        <v>0</v>
      </c>
      <c r="N7583" t="n">
        <v>0</v>
      </c>
      <c r="O7583" t="n">
        <v>0</v>
      </c>
      <c r="P7583" t="n">
        <v>0</v>
      </c>
      <c r="Q7583" t="n">
        <v>0</v>
      </c>
      <c r="R7583" s="2" t="inlineStr"/>
    </row>
    <row r="7584" ht="15" customHeight="1">
      <c r="A7584" t="inlineStr">
        <is>
          <t>A 1196-2025</t>
        </is>
      </c>
      <c r="B7584" s="1" t="n">
        <v>45666</v>
      </c>
      <c r="C7584" s="1" t="n">
        <v>45952</v>
      </c>
      <c r="D7584" t="inlineStr">
        <is>
          <t>VÄSTRA GÖTALANDS LÄN</t>
        </is>
      </c>
      <c r="E7584" t="inlineStr">
        <is>
          <t>GULLSPÅNG</t>
        </is>
      </c>
      <c r="G7584" t="n">
        <v>9.1</v>
      </c>
      <c r="H7584" t="n">
        <v>0</v>
      </c>
      <c r="I7584" t="n">
        <v>0</v>
      </c>
      <c r="J7584" t="n">
        <v>0</v>
      </c>
      <c r="K7584" t="n">
        <v>0</v>
      </c>
      <c r="L7584" t="n">
        <v>0</v>
      </c>
      <c r="M7584" t="n">
        <v>0</v>
      </c>
      <c r="N7584" t="n">
        <v>0</v>
      </c>
      <c r="O7584" t="n">
        <v>0</v>
      </c>
      <c r="P7584" t="n">
        <v>0</v>
      </c>
      <c r="Q7584" t="n">
        <v>0</v>
      </c>
      <c r="R7584" s="2" t="inlineStr"/>
    </row>
    <row r="7585" ht="15" customHeight="1">
      <c r="A7585" t="inlineStr">
        <is>
          <t>A 1313-2025</t>
        </is>
      </c>
      <c r="B7585" s="1" t="n">
        <v>45667</v>
      </c>
      <c r="C7585" s="1" t="n">
        <v>45952</v>
      </c>
      <c r="D7585" t="inlineStr">
        <is>
          <t>VÄSTRA GÖTALANDS LÄN</t>
        </is>
      </c>
      <c r="E7585" t="inlineStr">
        <is>
          <t>MARK</t>
        </is>
      </c>
      <c r="G7585" t="n">
        <v>0.8</v>
      </c>
      <c r="H7585" t="n">
        <v>0</v>
      </c>
      <c r="I7585" t="n">
        <v>0</v>
      </c>
      <c r="J7585" t="n">
        <v>0</v>
      </c>
      <c r="K7585" t="n">
        <v>0</v>
      </c>
      <c r="L7585" t="n">
        <v>0</v>
      </c>
      <c r="M7585" t="n">
        <v>0</v>
      </c>
      <c r="N7585" t="n">
        <v>0</v>
      </c>
      <c r="O7585" t="n">
        <v>0</v>
      </c>
      <c r="P7585" t="n">
        <v>0</v>
      </c>
      <c r="Q7585" t="n">
        <v>0</v>
      </c>
      <c r="R7585" s="2" t="inlineStr"/>
    </row>
    <row r="7586" ht="15" customHeight="1">
      <c r="A7586" t="inlineStr">
        <is>
          <t>A 47148-2023</t>
        </is>
      </c>
      <c r="B7586" s="1" t="n">
        <v>45201</v>
      </c>
      <c r="C7586" s="1" t="n">
        <v>45952</v>
      </c>
      <c r="D7586" t="inlineStr">
        <is>
          <t>VÄSTRA GÖTALANDS LÄN</t>
        </is>
      </c>
      <c r="E7586" t="inlineStr">
        <is>
          <t>MARK</t>
        </is>
      </c>
      <c r="G7586" t="n">
        <v>1.6</v>
      </c>
      <c r="H7586" t="n">
        <v>0</v>
      </c>
      <c r="I7586" t="n">
        <v>0</v>
      </c>
      <c r="J7586" t="n">
        <v>0</v>
      </c>
      <c r="K7586" t="n">
        <v>0</v>
      </c>
      <c r="L7586" t="n">
        <v>0</v>
      </c>
      <c r="M7586" t="n">
        <v>0</v>
      </c>
      <c r="N7586" t="n">
        <v>0</v>
      </c>
      <c r="O7586" t="n">
        <v>0</v>
      </c>
      <c r="P7586" t="n">
        <v>0</v>
      </c>
      <c r="Q7586" t="n">
        <v>0</v>
      </c>
      <c r="R7586" s="2" t="inlineStr"/>
    </row>
    <row r="7587" ht="15" customHeight="1">
      <c r="A7587" t="inlineStr">
        <is>
          <t>A 15634-2023</t>
        </is>
      </c>
      <c r="B7587" s="1" t="n">
        <v>45021</v>
      </c>
      <c r="C7587" s="1" t="n">
        <v>45952</v>
      </c>
      <c r="D7587" t="inlineStr">
        <is>
          <t>VÄSTRA GÖTALANDS LÄN</t>
        </is>
      </c>
      <c r="E7587" t="inlineStr">
        <is>
          <t>UDDEVALLA</t>
        </is>
      </c>
      <c r="G7587" t="n">
        <v>1.6</v>
      </c>
      <c r="H7587" t="n">
        <v>0</v>
      </c>
      <c r="I7587" t="n">
        <v>0</v>
      </c>
      <c r="J7587" t="n">
        <v>0</v>
      </c>
      <c r="K7587" t="n">
        <v>0</v>
      </c>
      <c r="L7587" t="n">
        <v>0</v>
      </c>
      <c r="M7587" t="n">
        <v>0</v>
      </c>
      <c r="N7587" t="n">
        <v>0</v>
      </c>
      <c r="O7587" t="n">
        <v>0</v>
      </c>
      <c r="P7587" t="n">
        <v>0</v>
      </c>
      <c r="Q7587" t="n">
        <v>0</v>
      </c>
      <c r="R7587" s="2" t="inlineStr"/>
    </row>
    <row r="7588" ht="15" customHeight="1">
      <c r="A7588" t="inlineStr">
        <is>
          <t>A 13220-2022</t>
        </is>
      </c>
      <c r="B7588" s="1" t="n">
        <v>44644.57788194445</v>
      </c>
      <c r="C7588" s="1" t="n">
        <v>45952</v>
      </c>
      <c r="D7588" t="inlineStr">
        <is>
          <t>VÄSTRA GÖTALANDS LÄN</t>
        </is>
      </c>
      <c r="E7588" t="inlineStr">
        <is>
          <t>TROLLHÄTTAN</t>
        </is>
      </c>
      <c r="G7588" t="n">
        <v>1.3</v>
      </c>
      <c r="H7588" t="n">
        <v>0</v>
      </c>
      <c r="I7588" t="n">
        <v>0</v>
      </c>
      <c r="J7588" t="n">
        <v>0</v>
      </c>
      <c r="K7588" t="n">
        <v>0</v>
      </c>
      <c r="L7588" t="n">
        <v>0</v>
      </c>
      <c r="M7588" t="n">
        <v>0</v>
      </c>
      <c r="N7588" t="n">
        <v>0</v>
      </c>
      <c r="O7588" t="n">
        <v>0</v>
      </c>
      <c r="P7588" t="n">
        <v>0</v>
      </c>
      <c r="Q7588" t="n">
        <v>0</v>
      </c>
      <c r="R7588" s="2" t="inlineStr"/>
    </row>
    <row r="7589" ht="15" customHeight="1">
      <c r="A7589" t="inlineStr">
        <is>
          <t>A 7486-2025</t>
        </is>
      </c>
      <c r="B7589" s="1" t="n">
        <v>45705.47484953704</v>
      </c>
      <c r="C7589" s="1" t="n">
        <v>45952</v>
      </c>
      <c r="D7589" t="inlineStr">
        <is>
          <t>VÄSTRA GÖTALANDS LÄN</t>
        </is>
      </c>
      <c r="E7589" t="inlineStr">
        <is>
          <t>MARIESTAD</t>
        </is>
      </c>
      <c r="G7589" t="n">
        <v>3.8</v>
      </c>
      <c r="H7589" t="n">
        <v>0</v>
      </c>
      <c r="I7589" t="n">
        <v>0</v>
      </c>
      <c r="J7589" t="n">
        <v>0</v>
      </c>
      <c r="K7589" t="n">
        <v>0</v>
      </c>
      <c r="L7589" t="n">
        <v>0</v>
      </c>
      <c r="M7589" t="n">
        <v>0</v>
      </c>
      <c r="N7589" t="n">
        <v>0</v>
      </c>
      <c r="O7589" t="n">
        <v>0</v>
      </c>
      <c r="P7589" t="n">
        <v>0</v>
      </c>
      <c r="Q7589" t="n">
        <v>0</v>
      </c>
      <c r="R7589" s="2" t="inlineStr"/>
    </row>
    <row r="7590" ht="15" customHeight="1">
      <c r="A7590" t="inlineStr">
        <is>
          <t>A 7487-2025</t>
        </is>
      </c>
      <c r="B7590" s="1" t="n">
        <v>45705.47769675926</v>
      </c>
      <c r="C7590" s="1" t="n">
        <v>45952</v>
      </c>
      <c r="D7590" t="inlineStr">
        <is>
          <t>VÄSTRA GÖTALANDS LÄN</t>
        </is>
      </c>
      <c r="E7590" t="inlineStr">
        <is>
          <t>MARIESTAD</t>
        </is>
      </c>
      <c r="G7590" t="n">
        <v>1.7</v>
      </c>
      <c r="H7590" t="n">
        <v>0</v>
      </c>
      <c r="I7590" t="n">
        <v>0</v>
      </c>
      <c r="J7590" t="n">
        <v>0</v>
      </c>
      <c r="K7590" t="n">
        <v>0</v>
      </c>
      <c r="L7590" t="n">
        <v>0</v>
      </c>
      <c r="M7590" t="n">
        <v>0</v>
      </c>
      <c r="N7590" t="n">
        <v>0</v>
      </c>
      <c r="O7590" t="n">
        <v>0</v>
      </c>
      <c r="P7590" t="n">
        <v>0</v>
      </c>
      <c r="Q7590" t="n">
        <v>0</v>
      </c>
      <c r="R7590" s="2" t="inlineStr"/>
    </row>
    <row r="7591" ht="15" customHeight="1">
      <c r="A7591" t="inlineStr">
        <is>
          <t>A 51200-2024</t>
        </is>
      </c>
      <c r="B7591" s="1" t="n">
        <v>45603.6200925926</v>
      </c>
      <c r="C7591" s="1" t="n">
        <v>45952</v>
      </c>
      <c r="D7591" t="inlineStr">
        <is>
          <t>VÄSTRA GÖTALANDS LÄN</t>
        </is>
      </c>
      <c r="E7591" t="inlineStr">
        <is>
          <t>ULRICEHAMN</t>
        </is>
      </c>
      <c r="F7591" t="inlineStr">
        <is>
          <t>Kommuner</t>
        </is>
      </c>
      <c r="G7591" t="n">
        <v>1.1</v>
      </c>
      <c r="H7591" t="n">
        <v>0</v>
      </c>
      <c r="I7591" t="n">
        <v>0</v>
      </c>
      <c r="J7591" t="n">
        <v>0</v>
      </c>
      <c r="K7591" t="n">
        <v>0</v>
      </c>
      <c r="L7591" t="n">
        <v>0</v>
      </c>
      <c r="M7591" t="n">
        <v>0</v>
      </c>
      <c r="N7591" t="n">
        <v>0</v>
      </c>
      <c r="O7591" t="n">
        <v>0</v>
      </c>
      <c r="P7591" t="n">
        <v>0</v>
      </c>
      <c r="Q7591" t="n">
        <v>0</v>
      </c>
      <c r="R7591" s="2" t="inlineStr"/>
    </row>
    <row r="7592" ht="15" customHeight="1">
      <c r="A7592" t="inlineStr">
        <is>
          <t>A 22769-2021</t>
        </is>
      </c>
      <c r="B7592" s="1" t="n">
        <v>44327</v>
      </c>
      <c r="C7592" s="1" t="n">
        <v>45952</v>
      </c>
      <c r="D7592" t="inlineStr">
        <is>
          <t>VÄSTRA GÖTALANDS LÄN</t>
        </is>
      </c>
      <c r="E7592" t="inlineStr">
        <is>
          <t>TANUM</t>
        </is>
      </c>
      <c r="G7592" t="n">
        <v>3</v>
      </c>
      <c r="H7592" t="n">
        <v>0</v>
      </c>
      <c r="I7592" t="n">
        <v>0</v>
      </c>
      <c r="J7592" t="n">
        <v>0</v>
      </c>
      <c r="K7592" t="n">
        <v>0</v>
      </c>
      <c r="L7592" t="n">
        <v>0</v>
      </c>
      <c r="M7592" t="n">
        <v>0</v>
      </c>
      <c r="N7592" t="n">
        <v>0</v>
      </c>
      <c r="O7592" t="n">
        <v>0</v>
      </c>
      <c r="P7592" t="n">
        <v>0</v>
      </c>
      <c r="Q7592" t="n">
        <v>0</v>
      </c>
      <c r="R7592" s="2" t="inlineStr"/>
    </row>
    <row r="7593" ht="15" customHeight="1">
      <c r="A7593" t="inlineStr">
        <is>
          <t>A 37791-2023</t>
        </is>
      </c>
      <c r="B7593" s="1" t="n">
        <v>45159</v>
      </c>
      <c r="C7593" s="1" t="n">
        <v>45952</v>
      </c>
      <c r="D7593" t="inlineStr">
        <is>
          <t>VÄSTRA GÖTALANDS LÄN</t>
        </is>
      </c>
      <c r="E7593" t="inlineStr">
        <is>
          <t>ULRICEHAMN</t>
        </is>
      </c>
      <c r="G7593" t="n">
        <v>1.8</v>
      </c>
      <c r="H7593" t="n">
        <v>0</v>
      </c>
      <c r="I7593" t="n">
        <v>0</v>
      </c>
      <c r="J7593" t="n">
        <v>0</v>
      </c>
      <c r="K7593" t="n">
        <v>0</v>
      </c>
      <c r="L7593" t="n">
        <v>0</v>
      </c>
      <c r="M7593" t="n">
        <v>0</v>
      </c>
      <c r="N7593" t="n">
        <v>0</v>
      </c>
      <c r="O7593" t="n">
        <v>0</v>
      </c>
      <c r="P7593" t="n">
        <v>0</v>
      </c>
      <c r="Q7593" t="n">
        <v>0</v>
      </c>
      <c r="R7593" s="2" t="inlineStr"/>
    </row>
    <row r="7594" ht="15" customHeight="1">
      <c r="A7594" t="inlineStr">
        <is>
          <t>A 73437-2021</t>
        </is>
      </c>
      <c r="B7594" s="1" t="n">
        <v>44551</v>
      </c>
      <c r="C7594" s="1" t="n">
        <v>45952</v>
      </c>
      <c r="D7594" t="inlineStr">
        <is>
          <t>VÄSTRA GÖTALANDS LÄN</t>
        </is>
      </c>
      <c r="E7594" t="inlineStr">
        <is>
          <t>UDDEVALLA</t>
        </is>
      </c>
      <c r="G7594" t="n">
        <v>8.1</v>
      </c>
      <c r="H7594" t="n">
        <v>0</v>
      </c>
      <c r="I7594" t="n">
        <v>0</v>
      </c>
      <c r="J7594" t="n">
        <v>0</v>
      </c>
      <c r="K7594" t="n">
        <v>0</v>
      </c>
      <c r="L7594" t="n">
        <v>0</v>
      </c>
      <c r="M7594" t="n">
        <v>0</v>
      </c>
      <c r="N7594" t="n">
        <v>0</v>
      </c>
      <c r="O7594" t="n">
        <v>0</v>
      </c>
      <c r="P7594" t="n">
        <v>0</v>
      </c>
      <c r="Q7594" t="n">
        <v>0</v>
      </c>
      <c r="R7594" s="2" t="inlineStr"/>
    </row>
    <row r="7595" ht="15" customHeight="1">
      <c r="A7595" t="inlineStr">
        <is>
          <t>A 7596-2025</t>
        </is>
      </c>
      <c r="B7595" s="1" t="n">
        <v>45705.65067129629</v>
      </c>
      <c r="C7595" s="1" t="n">
        <v>45952</v>
      </c>
      <c r="D7595" t="inlineStr">
        <is>
          <t>VÄSTRA GÖTALANDS LÄN</t>
        </is>
      </c>
      <c r="E7595" t="inlineStr">
        <is>
          <t>GULLSPÅNG</t>
        </is>
      </c>
      <c r="G7595" t="n">
        <v>1.9</v>
      </c>
      <c r="H7595" t="n">
        <v>0</v>
      </c>
      <c r="I7595" t="n">
        <v>0</v>
      </c>
      <c r="J7595" t="n">
        <v>0</v>
      </c>
      <c r="K7595" t="n">
        <v>0</v>
      </c>
      <c r="L7595" t="n">
        <v>0</v>
      </c>
      <c r="M7595" t="n">
        <v>0</v>
      </c>
      <c r="N7595" t="n">
        <v>0</v>
      </c>
      <c r="O7595" t="n">
        <v>0</v>
      </c>
      <c r="P7595" t="n">
        <v>0</v>
      </c>
      <c r="Q7595" t="n">
        <v>0</v>
      </c>
      <c r="R7595" s="2" t="inlineStr"/>
    </row>
    <row r="7596" ht="15" customHeight="1">
      <c r="A7596" t="inlineStr">
        <is>
          <t>A 11354-2025</t>
        </is>
      </c>
      <c r="B7596" s="1" t="n">
        <v>45726.52478009259</v>
      </c>
      <c r="C7596" s="1" t="n">
        <v>45952</v>
      </c>
      <c r="D7596" t="inlineStr">
        <is>
          <t>VÄSTRA GÖTALANDS LÄN</t>
        </is>
      </c>
      <c r="E7596" t="inlineStr">
        <is>
          <t>SVENLJUNGA</t>
        </is>
      </c>
      <c r="G7596" t="n">
        <v>2.4</v>
      </c>
      <c r="H7596" t="n">
        <v>0</v>
      </c>
      <c r="I7596" t="n">
        <v>0</v>
      </c>
      <c r="J7596" t="n">
        <v>0</v>
      </c>
      <c r="K7596" t="n">
        <v>0</v>
      </c>
      <c r="L7596" t="n">
        <v>0</v>
      </c>
      <c r="M7596" t="n">
        <v>0</v>
      </c>
      <c r="N7596" t="n">
        <v>0</v>
      </c>
      <c r="O7596" t="n">
        <v>0</v>
      </c>
      <c r="P7596" t="n">
        <v>0</v>
      </c>
      <c r="Q7596" t="n">
        <v>0</v>
      </c>
      <c r="R7596" s="2" t="inlineStr"/>
    </row>
    <row r="7597" ht="15" customHeight="1">
      <c r="A7597" t="inlineStr">
        <is>
          <t>A 11366-2025</t>
        </is>
      </c>
      <c r="B7597" s="1" t="n">
        <v>45726.54515046296</v>
      </c>
      <c r="C7597" s="1" t="n">
        <v>45952</v>
      </c>
      <c r="D7597" t="inlineStr">
        <is>
          <t>VÄSTRA GÖTALANDS LÄN</t>
        </is>
      </c>
      <c r="E7597" t="inlineStr">
        <is>
          <t>SVENLJUNGA</t>
        </is>
      </c>
      <c r="G7597" t="n">
        <v>1.7</v>
      </c>
      <c r="H7597" t="n">
        <v>0</v>
      </c>
      <c r="I7597" t="n">
        <v>0</v>
      </c>
      <c r="J7597" t="n">
        <v>0</v>
      </c>
      <c r="K7597" t="n">
        <v>0</v>
      </c>
      <c r="L7597" t="n">
        <v>0</v>
      </c>
      <c r="M7597" t="n">
        <v>0</v>
      </c>
      <c r="N7597" t="n">
        <v>0</v>
      </c>
      <c r="O7597" t="n">
        <v>0</v>
      </c>
      <c r="P7597" t="n">
        <v>0</v>
      </c>
      <c r="Q7597" t="n">
        <v>0</v>
      </c>
      <c r="R7597" s="2" t="inlineStr"/>
    </row>
    <row r="7598" ht="15" customHeight="1">
      <c r="A7598" t="inlineStr">
        <is>
          <t>A 46944-2021</t>
        </is>
      </c>
      <c r="B7598" s="1" t="n">
        <v>44446.51780092593</v>
      </c>
      <c r="C7598" s="1" t="n">
        <v>45952</v>
      </c>
      <c r="D7598" t="inlineStr">
        <is>
          <t>VÄSTRA GÖTALANDS LÄN</t>
        </is>
      </c>
      <c r="E7598" t="inlineStr">
        <is>
          <t>VÅRGÅRDA</t>
        </is>
      </c>
      <c r="G7598" t="n">
        <v>1.8</v>
      </c>
      <c r="H7598" t="n">
        <v>0</v>
      </c>
      <c r="I7598" t="n">
        <v>0</v>
      </c>
      <c r="J7598" t="n">
        <v>0</v>
      </c>
      <c r="K7598" t="n">
        <v>0</v>
      </c>
      <c r="L7598" t="n">
        <v>0</v>
      </c>
      <c r="M7598" t="n">
        <v>0</v>
      </c>
      <c r="N7598" t="n">
        <v>0</v>
      </c>
      <c r="O7598" t="n">
        <v>0</v>
      </c>
      <c r="P7598" t="n">
        <v>0</v>
      </c>
      <c r="Q7598" t="n">
        <v>0</v>
      </c>
      <c r="R7598" s="2" t="inlineStr"/>
    </row>
    <row r="7599" ht="15" customHeight="1">
      <c r="A7599" t="inlineStr">
        <is>
          <t>A 53906-2021</t>
        </is>
      </c>
      <c r="B7599" s="1" t="n">
        <v>44469</v>
      </c>
      <c r="C7599" s="1" t="n">
        <v>45952</v>
      </c>
      <c r="D7599" t="inlineStr">
        <is>
          <t>VÄSTRA GÖTALANDS LÄN</t>
        </is>
      </c>
      <c r="E7599" t="inlineStr">
        <is>
          <t>FÄRGELANDA</t>
        </is>
      </c>
      <c r="G7599" t="n">
        <v>20.8</v>
      </c>
      <c r="H7599" t="n">
        <v>0</v>
      </c>
      <c r="I7599" t="n">
        <v>0</v>
      </c>
      <c r="J7599" t="n">
        <v>0</v>
      </c>
      <c r="K7599" t="n">
        <v>0</v>
      </c>
      <c r="L7599" t="n">
        <v>0</v>
      </c>
      <c r="M7599" t="n">
        <v>0</v>
      </c>
      <c r="N7599" t="n">
        <v>0</v>
      </c>
      <c r="O7599" t="n">
        <v>0</v>
      </c>
      <c r="P7599" t="n">
        <v>0</v>
      </c>
      <c r="Q7599" t="n">
        <v>0</v>
      </c>
      <c r="R7599" s="2" t="inlineStr"/>
    </row>
    <row r="7600" ht="15" customHeight="1">
      <c r="A7600" t="inlineStr">
        <is>
          <t>A 19310-2025</t>
        </is>
      </c>
      <c r="B7600" s="1" t="n">
        <v>45769.57109953704</v>
      </c>
      <c r="C7600" s="1" t="n">
        <v>45952</v>
      </c>
      <c r="D7600" t="inlineStr">
        <is>
          <t>VÄSTRA GÖTALANDS LÄN</t>
        </is>
      </c>
      <c r="E7600" t="inlineStr">
        <is>
          <t>TIBRO</t>
        </is>
      </c>
      <c r="F7600" t="inlineStr">
        <is>
          <t>Sveaskog</t>
        </is>
      </c>
      <c r="G7600" t="n">
        <v>1.9</v>
      </c>
      <c r="H7600" t="n">
        <v>0</v>
      </c>
      <c r="I7600" t="n">
        <v>0</v>
      </c>
      <c r="J7600" t="n">
        <v>0</v>
      </c>
      <c r="K7600" t="n">
        <v>0</v>
      </c>
      <c r="L7600" t="n">
        <v>0</v>
      </c>
      <c r="M7600" t="n">
        <v>0</v>
      </c>
      <c r="N7600" t="n">
        <v>0</v>
      </c>
      <c r="O7600" t="n">
        <v>0</v>
      </c>
      <c r="P7600" t="n">
        <v>0</v>
      </c>
      <c r="Q7600" t="n">
        <v>0</v>
      </c>
      <c r="R7600" s="2" t="inlineStr"/>
    </row>
    <row r="7601" ht="15" customHeight="1">
      <c r="A7601" t="inlineStr">
        <is>
          <t>A 36816-2024</t>
        </is>
      </c>
      <c r="B7601" s="1" t="n">
        <v>45538.4906712963</v>
      </c>
      <c r="C7601" s="1" t="n">
        <v>45952</v>
      </c>
      <c r="D7601" t="inlineStr">
        <is>
          <t>VÄSTRA GÖTALANDS LÄN</t>
        </is>
      </c>
      <c r="E7601" t="inlineStr">
        <is>
          <t>LIDKÖPING</t>
        </is>
      </c>
      <c r="F7601" t="inlineStr">
        <is>
          <t>Kommuner</t>
        </is>
      </c>
      <c r="G7601" t="n">
        <v>1.4</v>
      </c>
      <c r="H7601" t="n">
        <v>0</v>
      </c>
      <c r="I7601" t="n">
        <v>0</v>
      </c>
      <c r="J7601" t="n">
        <v>0</v>
      </c>
      <c r="K7601" t="n">
        <v>0</v>
      </c>
      <c r="L7601" t="n">
        <v>0</v>
      </c>
      <c r="M7601" t="n">
        <v>0</v>
      </c>
      <c r="N7601" t="n">
        <v>0</v>
      </c>
      <c r="O7601" t="n">
        <v>0</v>
      </c>
      <c r="P7601" t="n">
        <v>0</v>
      </c>
      <c r="Q7601" t="n">
        <v>0</v>
      </c>
      <c r="R7601" s="2" t="inlineStr"/>
    </row>
    <row r="7602" ht="15" customHeight="1">
      <c r="A7602" t="inlineStr">
        <is>
          <t>A 37424-2021</t>
        </is>
      </c>
      <c r="B7602" s="1" t="n">
        <v>44398.48474537037</v>
      </c>
      <c r="C7602" s="1" t="n">
        <v>45952</v>
      </c>
      <c r="D7602" t="inlineStr">
        <is>
          <t>VÄSTRA GÖTALANDS LÄN</t>
        </is>
      </c>
      <c r="E7602" t="inlineStr">
        <is>
          <t>VÅRGÅRDA</t>
        </is>
      </c>
      <c r="G7602" t="n">
        <v>0.8</v>
      </c>
      <c r="H7602" t="n">
        <v>0</v>
      </c>
      <c r="I7602" t="n">
        <v>0</v>
      </c>
      <c r="J7602" t="n">
        <v>0</v>
      </c>
      <c r="K7602" t="n">
        <v>0</v>
      </c>
      <c r="L7602" t="n">
        <v>0</v>
      </c>
      <c r="M7602" t="n">
        <v>0</v>
      </c>
      <c r="N7602" t="n">
        <v>0</v>
      </c>
      <c r="O7602" t="n">
        <v>0</v>
      </c>
      <c r="P7602" t="n">
        <v>0</v>
      </c>
      <c r="Q7602" t="n">
        <v>0</v>
      </c>
      <c r="R7602" s="2" t="inlineStr"/>
    </row>
    <row r="7603" ht="15" customHeight="1">
      <c r="A7603" t="inlineStr">
        <is>
          <t>A 56639-2024</t>
        </is>
      </c>
      <c r="B7603" s="1" t="n">
        <v>45625.69922453703</v>
      </c>
      <c r="C7603" s="1" t="n">
        <v>45952</v>
      </c>
      <c r="D7603" t="inlineStr">
        <is>
          <t>VÄSTRA GÖTALANDS LÄN</t>
        </is>
      </c>
      <c r="E7603" t="inlineStr">
        <is>
          <t>MUNKEDAL</t>
        </is>
      </c>
      <c r="G7603" t="n">
        <v>4.1</v>
      </c>
      <c r="H7603" t="n">
        <v>0</v>
      </c>
      <c r="I7603" t="n">
        <v>0</v>
      </c>
      <c r="J7603" t="n">
        <v>0</v>
      </c>
      <c r="K7603" t="n">
        <v>0</v>
      </c>
      <c r="L7603" t="n">
        <v>0</v>
      </c>
      <c r="M7603" t="n">
        <v>0</v>
      </c>
      <c r="N7603" t="n">
        <v>0</v>
      </c>
      <c r="O7603" t="n">
        <v>0</v>
      </c>
      <c r="P7603" t="n">
        <v>0</v>
      </c>
      <c r="Q7603" t="n">
        <v>0</v>
      </c>
      <c r="R7603" s="2" t="inlineStr"/>
    </row>
    <row r="7604" ht="15" customHeight="1">
      <c r="A7604" t="inlineStr">
        <is>
          <t>A 56673-2024</t>
        </is>
      </c>
      <c r="B7604" s="1" t="n">
        <v>45626.76655092592</v>
      </c>
      <c r="C7604" s="1" t="n">
        <v>45952</v>
      </c>
      <c r="D7604" t="inlineStr">
        <is>
          <t>VÄSTRA GÖTALANDS LÄN</t>
        </is>
      </c>
      <c r="E7604" t="inlineStr">
        <is>
          <t>ULRICEHAMN</t>
        </is>
      </c>
      <c r="G7604" t="n">
        <v>2.6</v>
      </c>
      <c r="H7604" t="n">
        <v>0</v>
      </c>
      <c r="I7604" t="n">
        <v>0</v>
      </c>
      <c r="J7604" t="n">
        <v>0</v>
      </c>
      <c r="K7604" t="n">
        <v>0</v>
      </c>
      <c r="L7604" t="n">
        <v>0</v>
      </c>
      <c r="M7604" t="n">
        <v>0</v>
      </c>
      <c r="N7604" t="n">
        <v>0</v>
      </c>
      <c r="O7604" t="n">
        <v>0</v>
      </c>
      <c r="P7604" t="n">
        <v>0</v>
      </c>
      <c r="Q7604" t="n">
        <v>0</v>
      </c>
      <c r="R7604" s="2" t="inlineStr"/>
    </row>
    <row r="7605" ht="15" customHeight="1">
      <c r="A7605" t="inlineStr">
        <is>
          <t>A 56682-2024</t>
        </is>
      </c>
      <c r="B7605" s="1" t="n">
        <v>45627.57983796296</v>
      </c>
      <c r="C7605" s="1" t="n">
        <v>45952</v>
      </c>
      <c r="D7605" t="inlineStr">
        <is>
          <t>VÄSTRA GÖTALANDS LÄN</t>
        </is>
      </c>
      <c r="E7605" t="inlineStr">
        <is>
          <t>TÖREBODA</t>
        </is>
      </c>
      <c r="G7605" t="n">
        <v>0.7</v>
      </c>
      <c r="H7605" t="n">
        <v>0</v>
      </c>
      <c r="I7605" t="n">
        <v>0</v>
      </c>
      <c r="J7605" t="n">
        <v>0</v>
      </c>
      <c r="K7605" t="n">
        <v>0</v>
      </c>
      <c r="L7605" t="n">
        <v>0</v>
      </c>
      <c r="M7605" t="n">
        <v>0</v>
      </c>
      <c r="N7605" t="n">
        <v>0</v>
      </c>
      <c r="O7605" t="n">
        <v>0</v>
      </c>
      <c r="P7605" t="n">
        <v>0</v>
      </c>
      <c r="Q7605" t="n">
        <v>0</v>
      </c>
      <c r="R7605" s="2" t="inlineStr"/>
    </row>
    <row r="7606" ht="15" customHeight="1">
      <c r="A7606" t="inlineStr">
        <is>
          <t>A 21028-2025</t>
        </is>
      </c>
      <c r="B7606" s="1" t="n">
        <v>45777.52100694444</v>
      </c>
      <c r="C7606" s="1" t="n">
        <v>45952</v>
      </c>
      <c r="D7606" t="inlineStr">
        <is>
          <t>VÄSTRA GÖTALANDS LÄN</t>
        </is>
      </c>
      <c r="E7606" t="inlineStr">
        <is>
          <t>ÅMÅL</t>
        </is>
      </c>
      <c r="G7606" t="n">
        <v>1.7</v>
      </c>
      <c r="H7606" t="n">
        <v>0</v>
      </c>
      <c r="I7606" t="n">
        <v>0</v>
      </c>
      <c r="J7606" t="n">
        <v>0</v>
      </c>
      <c r="K7606" t="n">
        <v>0</v>
      </c>
      <c r="L7606" t="n">
        <v>0</v>
      </c>
      <c r="M7606" t="n">
        <v>0</v>
      </c>
      <c r="N7606" t="n">
        <v>0</v>
      </c>
      <c r="O7606" t="n">
        <v>0</v>
      </c>
      <c r="P7606" t="n">
        <v>0</v>
      </c>
      <c r="Q7606" t="n">
        <v>0</v>
      </c>
      <c r="R7606" s="2" t="inlineStr"/>
    </row>
    <row r="7607" ht="15" customHeight="1">
      <c r="A7607" t="inlineStr">
        <is>
          <t>A 21032-2025</t>
        </is>
      </c>
      <c r="B7607" s="1" t="n">
        <v>45777.52616898148</v>
      </c>
      <c r="C7607" s="1" t="n">
        <v>45952</v>
      </c>
      <c r="D7607" t="inlineStr">
        <is>
          <t>VÄSTRA GÖTALANDS LÄN</t>
        </is>
      </c>
      <c r="E7607" t="inlineStr">
        <is>
          <t>ÅMÅL</t>
        </is>
      </c>
      <c r="G7607" t="n">
        <v>6.8</v>
      </c>
      <c r="H7607" t="n">
        <v>0</v>
      </c>
      <c r="I7607" t="n">
        <v>0</v>
      </c>
      <c r="J7607" t="n">
        <v>0</v>
      </c>
      <c r="K7607" t="n">
        <v>0</v>
      </c>
      <c r="L7607" t="n">
        <v>0</v>
      </c>
      <c r="M7607" t="n">
        <v>0</v>
      </c>
      <c r="N7607" t="n">
        <v>0</v>
      </c>
      <c r="O7607" t="n">
        <v>0</v>
      </c>
      <c r="P7607" t="n">
        <v>0</v>
      </c>
      <c r="Q7607" t="n">
        <v>0</v>
      </c>
      <c r="R7607" s="2" t="inlineStr"/>
    </row>
    <row r="7608" ht="15" customHeight="1">
      <c r="A7608" t="inlineStr">
        <is>
          <t>A 21001-2025</t>
        </is>
      </c>
      <c r="B7608" s="1" t="n">
        <v>45777.48964120371</v>
      </c>
      <c r="C7608" s="1" t="n">
        <v>45952</v>
      </c>
      <c r="D7608" t="inlineStr">
        <is>
          <t>VÄSTRA GÖTALANDS LÄN</t>
        </is>
      </c>
      <c r="E7608" t="inlineStr">
        <is>
          <t>FALKÖPING</t>
        </is>
      </c>
      <c r="G7608" t="n">
        <v>2.3</v>
      </c>
      <c r="H7608" t="n">
        <v>0</v>
      </c>
      <c r="I7608" t="n">
        <v>0</v>
      </c>
      <c r="J7608" t="n">
        <v>0</v>
      </c>
      <c r="K7608" t="n">
        <v>0</v>
      </c>
      <c r="L7608" t="n">
        <v>0</v>
      </c>
      <c r="M7608" t="n">
        <v>0</v>
      </c>
      <c r="N7608" t="n">
        <v>0</v>
      </c>
      <c r="O7608" t="n">
        <v>0</v>
      </c>
      <c r="P7608" t="n">
        <v>0</v>
      </c>
      <c r="Q7608" t="n">
        <v>0</v>
      </c>
      <c r="R7608" s="2" t="inlineStr"/>
    </row>
    <row r="7609" ht="15" customHeight="1">
      <c r="A7609" t="inlineStr">
        <is>
          <t>A 21030-2025</t>
        </is>
      </c>
      <c r="B7609" s="1" t="n">
        <v>45777.52393518519</v>
      </c>
      <c r="C7609" s="1" t="n">
        <v>45952</v>
      </c>
      <c r="D7609" t="inlineStr">
        <is>
          <t>VÄSTRA GÖTALANDS LÄN</t>
        </is>
      </c>
      <c r="E7609" t="inlineStr">
        <is>
          <t>FALKÖPING</t>
        </is>
      </c>
      <c r="G7609" t="n">
        <v>0.9</v>
      </c>
      <c r="H7609" t="n">
        <v>0</v>
      </c>
      <c r="I7609" t="n">
        <v>0</v>
      </c>
      <c r="J7609" t="n">
        <v>0</v>
      </c>
      <c r="K7609" t="n">
        <v>0</v>
      </c>
      <c r="L7609" t="n">
        <v>0</v>
      </c>
      <c r="M7609" t="n">
        <v>0</v>
      </c>
      <c r="N7609" t="n">
        <v>0</v>
      </c>
      <c r="O7609" t="n">
        <v>0</v>
      </c>
      <c r="P7609" t="n">
        <v>0</v>
      </c>
      <c r="Q7609" t="n">
        <v>0</v>
      </c>
      <c r="R7609" s="2" t="inlineStr"/>
    </row>
    <row r="7610" ht="15" customHeight="1">
      <c r="A7610" t="inlineStr">
        <is>
          <t>A 37492-2021</t>
        </is>
      </c>
      <c r="B7610" s="1" t="n">
        <v>44398</v>
      </c>
      <c r="C7610" s="1" t="n">
        <v>45952</v>
      </c>
      <c r="D7610" t="inlineStr">
        <is>
          <t>VÄSTRA GÖTALANDS LÄN</t>
        </is>
      </c>
      <c r="E7610" t="inlineStr">
        <is>
          <t>GULLSPÅNG</t>
        </is>
      </c>
      <c r="G7610" t="n">
        <v>3.6</v>
      </c>
      <c r="H7610" t="n">
        <v>0</v>
      </c>
      <c r="I7610" t="n">
        <v>0</v>
      </c>
      <c r="J7610" t="n">
        <v>0</v>
      </c>
      <c r="K7610" t="n">
        <v>0</v>
      </c>
      <c r="L7610" t="n">
        <v>0</v>
      </c>
      <c r="M7610" t="n">
        <v>0</v>
      </c>
      <c r="N7610" t="n">
        <v>0</v>
      </c>
      <c r="O7610" t="n">
        <v>0</v>
      </c>
      <c r="P7610" t="n">
        <v>0</v>
      </c>
      <c r="Q7610" t="n">
        <v>0</v>
      </c>
      <c r="R7610" s="2" t="inlineStr"/>
    </row>
    <row r="7611" ht="15" customHeight="1">
      <c r="A7611" t="inlineStr">
        <is>
          <t>A 37063-2024</t>
        </is>
      </c>
      <c r="B7611" s="1" t="n">
        <v>45539.45819444444</v>
      </c>
      <c r="C7611" s="1" t="n">
        <v>45952</v>
      </c>
      <c r="D7611" t="inlineStr">
        <is>
          <t>VÄSTRA GÖTALANDS LÄN</t>
        </is>
      </c>
      <c r="E7611" t="inlineStr">
        <is>
          <t>LILLA EDET</t>
        </is>
      </c>
      <c r="G7611" t="n">
        <v>8.800000000000001</v>
      </c>
      <c r="H7611" t="n">
        <v>0</v>
      </c>
      <c r="I7611" t="n">
        <v>0</v>
      </c>
      <c r="J7611" t="n">
        <v>0</v>
      </c>
      <c r="K7611" t="n">
        <v>0</v>
      </c>
      <c r="L7611" t="n">
        <v>0</v>
      </c>
      <c r="M7611" t="n">
        <v>0</v>
      </c>
      <c r="N7611" t="n">
        <v>0</v>
      </c>
      <c r="O7611" t="n">
        <v>0</v>
      </c>
      <c r="P7611" t="n">
        <v>0</v>
      </c>
      <c r="Q7611" t="n">
        <v>0</v>
      </c>
      <c r="R7611" s="2" t="inlineStr"/>
    </row>
    <row r="7612" ht="15" customHeight="1">
      <c r="A7612" t="inlineStr">
        <is>
          <t>A 18538-2022</t>
        </is>
      </c>
      <c r="B7612" s="1" t="n">
        <v>44686.85798611111</v>
      </c>
      <c r="C7612" s="1" t="n">
        <v>45952</v>
      </c>
      <c r="D7612" t="inlineStr">
        <is>
          <t>VÄSTRA GÖTALANDS LÄN</t>
        </is>
      </c>
      <c r="E7612" t="inlineStr">
        <is>
          <t>FÄRGELANDA</t>
        </is>
      </c>
      <c r="G7612" t="n">
        <v>3.9</v>
      </c>
      <c r="H7612" t="n">
        <v>0</v>
      </c>
      <c r="I7612" t="n">
        <v>0</v>
      </c>
      <c r="J7612" t="n">
        <v>0</v>
      </c>
      <c r="K7612" t="n">
        <v>0</v>
      </c>
      <c r="L7612" t="n">
        <v>0</v>
      </c>
      <c r="M7612" t="n">
        <v>0</v>
      </c>
      <c r="N7612" t="n">
        <v>0</v>
      </c>
      <c r="O7612" t="n">
        <v>0</v>
      </c>
      <c r="P7612" t="n">
        <v>0</v>
      </c>
      <c r="Q7612" t="n">
        <v>0</v>
      </c>
      <c r="R7612" s="2" t="inlineStr"/>
    </row>
    <row r="7613" ht="15" customHeight="1">
      <c r="A7613" t="inlineStr">
        <is>
          <t>A 18166-2025</t>
        </is>
      </c>
      <c r="B7613" s="1" t="n">
        <v>45761.63997685185</v>
      </c>
      <c r="C7613" s="1" t="n">
        <v>45952</v>
      </c>
      <c r="D7613" t="inlineStr">
        <is>
          <t>VÄSTRA GÖTALANDS LÄN</t>
        </is>
      </c>
      <c r="E7613" t="inlineStr">
        <is>
          <t>MARK</t>
        </is>
      </c>
      <c r="G7613" t="n">
        <v>2.8</v>
      </c>
      <c r="H7613" t="n">
        <v>0</v>
      </c>
      <c r="I7613" t="n">
        <v>0</v>
      </c>
      <c r="J7613" t="n">
        <v>0</v>
      </c>
      <c r="K7613" t="n">
        <v>0</v>
      </c>
      <c r="L7613" t="n">
        <v>0</v>
      </c>
      <c r="M7613" t="n">
        <v>0</v>
      </c>
      <c r="N7613" t="n">
        <v>0</v>
      </c>
      <c r="O7613" t="n">
        <v>0</v>
      </c>
      <c r="P7613" t="n">
        <v>0</v>
      </c>
      <c r="Q7613" t="n">
        <v>0</v>
      </c>
      <c r="R7613" s="2" t="inlineStr"/>
    </row>
    <row r="7614" ht="15" customHeight="1">
      <c r="A7614" t="inlineStr">
        <is>
          <t>A 18183-2025</t>
        </is>
      </c>
      <c r="B7614" s="1" t="n">
        <v>45761.66307870371</v>
      </c>
      <c r="C7614" s="1" t="n">
        <v>45952</v>
      </c>
      <c r="D7614" t="inlineStr">
        <is>
          <t>VÄSTRA GÖTALANDS LÄN</t>
        </is>
      </c>
      <c r="E7614" t="inlineStr">
        <is>
          <t>TRANEMO</t>
        </is>
      </c>
      <c r="G7614" t="n">
        <v>0.8</v>
      </c>
      <c r="H7614" t="n">
        <v>0</v>
      </c>
      <c r="I7614" t="n">
        <v>0</v>
      </c>
      <c r="J7614" t="n">
        <v>0</v>
      </c>
      <c r="K7614" t="n">
        <v>0</v>
      </c>
      <c r="L7614" t="n">
        <v>0</v>
      </c>
      <c r="M7614" t="n">
        <v>0</v>
      </c>
      <c r="N7614" t="n">
        <v>0</v>
      </c>
      <c r="O7614" t="n">
        <v>0</v>
      </c>
      <c r="P7614" t="n">
        <v>0</v>
      </c>
      <c r="Q7614" t="n">
        <v>0</v>
      </c>
      <c r="R7614" s="2" t="inlineStr"/>
    </row>
    <row r="7615" ht="15" customHeight="1">
      <c r="A7615" t="inlineStr">
        <is>
          <t>A 3996-2021</t>
        </is>
      </c>
      <c r="B7615" s="1" t="n">
        <v>44221</v>
      </c>
      <c r="C7615" s="1" t="n">
        <v>45952</v>
      </c>
      <c r="D7615" t="inlineStr">
        <is>
          <t>VÄSTRA GÖTALANDS LÄN</t>
        </is>
      </c>
      <c r="E7615" t="inlineStr">
        <is>
          <t>SKÖVDE</t>
        </is>
      </c>
      <c r="G7615" t="n">
        <v>1</v>
      </c>
      <c r="H7615" t="n">
        <v>0</v>
      </c>
      <c r="I7615" t="n">
        <v>0</v>
      </c>
      <c r="J7615" t="n">
        <v>0</v>
      </c>
      <c r="K7615" t="n">
        <v>0</v>
      </c>
      <c r="L7615" t="n">
        <v>0</v>
      </c>
      <c r="M7615" t="n">
        <v>0</v>
      </c>
      <c r="N7615" t="n">
        <v>0</v>
      </c>
      <c r="O7615" t="n">
        <v>0</v>
      </c>
      <c r="P7615" t="n">
        <v>0</v>
      </c>
      <c r="Q7615" t="n">
        <v>0</v>
      </c>
      <c r="R7615" s="2" t="inlineStr"/>
    </row>
    <row r="7616" ht="15" customHeight="1">
      <c r="A7616" t="inlineStr">
        <is>
          <t>A 19447-2025</t>
        </is>
      </c>
      <c r="B7616" s="1" t="n">
        <v>45770</v>
      </c>
      <c r="C7616" s="1" t="n">
        <v>45952</v>
      </c>
      <c r="D7616" t="inlineStr">
        <is>
          <t>VÄSTRA GÖTALANDS LÄN</t>
        </is>
      </c>
      <c r="E7616" t="inlineStr">
        <is>
          <t>TROLLHÄTTAN</t>
        </is>
      </c>
      <c r="G7616" t="n">
        <v>4.9</v>
      </c>
      <c r="H7616" t="n">
        <v>0</v>
      </c>
      <c r="I7616" t="n">
        <v>0</v>
      </c>
      <c r="J7616" t="n">
        <v>0</v>
      </c>
      <c r="K7616" t="n">
        <v>0</v>
      </c>
      <c r="L7616" t="n">
        <v>0</v>
      </c>
      <c r="M7616" t="n">
        <v>0</v>
      </c>
      <c r="N7616" t="n">
        <v>0</v>
      </c>
      <c r="O7616" t="n">
        <v>0</v>
      </c>
      <c r="P7616" t="n">
        <v>0</v>
      </c>
      <c r="Q7616" t="n">
        <v>0</v>
      </c>
      <c r="R7616" s="2" t="inlineStr"/>
    </row>
    <row r="7617" ht="15" customHeight="1">
      <c r="A7617" t="inlineStr">
        <is>
          <t>A 49467-2023</t>
        </is>
      </c>
      <c r="B7617" s="1" t="n">
        <v>45211</v>
      </c>
      <c r="C7617" s="1" t="n">
        <v>45952</v>
      </c>
      <c r="D7617" t="inlineStr">
        <is>
          <t>VÄSTRA GÖTALANDS LÄN</t>
        </is>
      </c>
      <c r="E7617" t="inlineStr">
        <is>
          <t>ALINGSÅS</t>
        </is>
      </c>
      <c r="G7617" t="n">
        <v>1.6</v>
      </c>
      <c r="H7617" t="n">
        <v>0</v>
      </c>
      <c r="I7617" t="n">
        <v>0</v>
      </c>
      <c r="J7617" t="n">
        <v>0</v>
      </c>
      <c r="K7617" t="n">
        <v>0</v>
      </c>
      <c r="L7617" t="n">
        <v>0</v>
      </c>
      <c r="M7617" t="n">
        <v>0</v>
      </c>
      <c r="N7617" t="n">
        <v>0</v>
      </c>
      <c r="O7617" t="n">
        <v>0</v>
      </c>
      <c r="P7617" t="n">
        <v>0</v>
      </c>
      <c r="Q7617" t="n">
        <v>0</v>
      </c>
      <c r="R7617" s="2" t="inlineStr"/>
    </row>
    <row r="7618" ht="15" customHeight="1">
      <c r="A7618" t="inlineStr">
        <is>
          <t>A 57766-2024</t>
        </is>
      </c>
      <c r="B7618" s="1" t="n">
        <v>45630.87388888889</v>
      </c>
      <c r="C7618" s="1" t="n">
        <v>45952</v>
      </c>
      <c r="D7618" t="inlineStr">
        <is>
          <t>VÄSTRA GÖTALANDS LÄN</t>
        </is>
      </c>
      <c r="E7618" t="inlineStr">
        <is>
          <t>STENUNGSUND</t>
        </is>
      </c>
      <c r="G7618" t="n">
        <v>2.5</v>
      </c>
      <c r="H7618" t="n">
        <v>0</v>
      </c>
      <c r="I7618" t="n">
        <v>0</v>
      </c>
      <c r="J7618" t="n">
        <v>0</v>
      </c>
      <c r="K7618" t="n">
        <v>0</v>
      </c>
      <c r="L7618" t="n">
        <v>0</v>
      </c>
      <c r="M7618" t="n">
        <v>0</v>
      </c>
      <c r="N7618" t="n">
        <v>0</v>
      </c>
      <c r="O7618" t="n">
        <v>0</v>
      </c>
      <c r="P7618" t="n">
        <v>0</v>
      </c>
      <c r="Q7618" t="n">
        <v>0</v>
      </c>
      <c r="R7618" s="2" t="inlineStr"/>
    </row>
    <row r="7619" ht="15" customHeight="1">
      <c r="A7619" t="inlineStr">
        <is>
          <t>A 24607-2022</t>
        </is>
      </c>
      <c r="B7619" s="1" t="n">
        <v>44727</v>
      </c>
      <c r="C7619" s="1" t="n">
        <v>45952</v>
      </c>
      <c r="D7619" t="inlineStr">
        <is>
          <t>VÄSTRA GÖTALANDS LÄN</t>
        </is>
      </c>
      <c r="E7619" t="inlineStr">
        <is>
          <t>ALINGSÅS</t>
        </is>
      </c>
      <c r="G7619" t="n">
        <v>9.5</v>
      </c>
      <c r="H7619" t="n">
        <v>0</v>
      </c>
      <c r="I7619" t="n">
        <v>0</v>
      </c>
      <c r="J7619" t="n">
        <v>0</v>
      </c>
      <c r="K7619" t="n">
        <v>0</v>
      </c>
      <c r="L7619" t="n">
        <v>0</v>
      </c>
      <c r="M7619" t="n">
        <v>0</v>
      </c>
      <c r="N7619" t="n">
        <v>0</v>
      </c>
      <c r="O7619" t="n">
        <v>0</v>
      </c>
      <c r="P7619" t="n">
        <v>0</v>
      </c>
      <c r="Q7619" t="n">
        <v>0</v>
      </c>
      <c r="R7619" s="2" t="inlineStr"/>
    </row>
    <row r="7620" ht="15" customHeight="1">
      <c r="A7620" t="inlineStr">
        <is>
          <t>A 550-2025</t>
        </is>
      </c>
      <c r="B7620" s="1" t="n">
        <v>45664.5280787037</v>
      </c>
      <c r="C7620" s="1" t="n">
        <v>45952</v>
      </c>
      <c r="D7620" t="inlineStr">
        <is>
          <t>VÄSTRA GÖTALANDS LÄN</t>
        </is>
      </c>
      <c r="E7620" t="inlineStr">
        <is>
          <t>TRANEMO</t>
        </is>
      </c>
      <c r="G7620" t="n">
        <v>1.4</v>
      </c>
      <c r="H7620" t="n">
        <v>0</v>
      </c>
      <c r="I7620" t="n">
        <v>0</v>
      </c>
      <c r="J7620" t="n">
        <v>0</v>
      </c>
      <c r="K7620" t="n">
        <v>0</v>
      </c>
      <c r="L7620" t="n">
        <v>0</v>
      </c>
      <c r="M7620" t="n">
        <v>0</v>
      </c>
      <c r="N7620" t="n">
        <v>0</v>
      </c>
      <c r="O7620" t="n">
        <v>0</v>
      </c>
      <c r="P7620" t="n">
        <v>0</v>
      </c>
      <c r="Q7620" t="n">
        <v>0</v>
      </c>
      <c r="R7620" s="2" t="inlineStr"/>
    </row>
    <row r="7621" ht="15" customHeight="1">
      <c r="A7621" t="inlineStr">
        <is>
          <t>A 587-2025</t>
        </is>
      </c>
      <c r="B7621" s="1" t="n">
        <v>45664.58135416666</v>
      </c>
      <c r="C7621" s="1" t="n">
        <v>45952</v>
      </c>
      <c r="D7621" t="inlineStr">
        <is>
          <t>VÄSTRA GÖTALANDS LÄN</t>
        </is>
      </c>
      <c r="E7621" t="inlineStr">
        <is>
          <t>LILLA EDET</t>
        </is>
      </c>
      <c r="G7621" t="n">
        <v>0.3</v>
      </c>
      <c r="H7621" t="n">
        <v>0</v>
      </c>
      <c r="I7621" t="n">
        <v>0</v>
      </c>
      <c r="J7621" t="n">
        <v>0</v>
      </c>
      <c r="K7621" t="n">
        <v>0</v>
      </c>
      <c r="L7621" t="n">
        <v>0</v>
      </c>
      <c r="M7621" t="n">
        <v>0</v>
      </c>
      <c r="N7621" t="n">
        <v>0</v>
      </c>
      <c r="O7621" t="n">
        <v>0</v>
      </c>
      <c r="P7621" t="n">
        <v>0</v>
      </c>
      <c r="Q7621" t="n">
        <v>0</v>
      </c>
      <c r="R7621" s="2" t="inlineStr"/>
    </row>
    <row r="7622" ht="15" customHeight="1">
      <c r="A7622" t="inlineStr">
        <is>
          <t>A 73810-2021</t>
        </is>
      </c>
      <c r="B7622" s="1" t="n">
        <v>44552.73019675926</v>
      </c>
      <c r="C7622" s="1" t="n">
        <v>45952</v>
      </c>
      <c r="D7622" t="inlineStr">
        <is>
          <t>VÄSTRA GÖTALANDS LÄN</t>
        </is>
      </c>
      <c r="E7622" t="inlineStr">
        <is>
          <t>TANUM</t>
        </is>
      </c>
      <c r="G7622" t="n">
        <v>1.1</v>
      </c>
      <c r="H7622" t="n">
        <v>0</v>
      </c>
      <c r="I7622" t="n">
        <v>0</v>
      </c>
      <c r="J7622" t="n">
        <v>0</v>
      </c>
      <c r="K7622" t="n">
        <v>0</v>
      </c>
      <c r="L7622" t="n">
        <v>0</v>
      </c>
      <c r="M7622" t="n">
        <v>0</v>
      </c>
      <c r="N7622" t="n">
        <v>0</v>
      </c>
      <c r="O7622" t="n">
        <v>0</v>
      </c>
      <c r="P7622" t="n">
        <v>0</v>
      </c>
      <c r="Q7622" t="n">
        <v>0</v>
      </c>
      <c r="R7622" s="2" t="inlineStr"/>
    </row>
    <row r="7623" ht="15" customHeight="1">
      <c r="A7623" t="inlineStr">
        <is>
          <t>A 5072-2023</t>
        </is>
      </c>
      <c r="B7623" s="1" t="n">
        <v>44958.60896990741</v>
      </c>
      <c r="C7623" s="1" t="n">
        <v>45952</v>
      </c>
      <c r="D7623" t="inlineStr">
        <is>
          <t>VÄSTRA GÖTALANDS LÄN</t>
        </is>
      </c>
      <c r="E7623" t="inlineStr">
        <is>
          <t>BOLLEBYGD</t>
        </is>
      </c>
      <c r="G7623" t="n">
        <v>1.4</v>
      </c>
      <c r="H7623" t="n">
        <v>0</v>
      </c>
      <c r="I7623" t="n">
        <v>0</v>
      </c>
      <c r="J7623" t="n">
        <v>0</v>
      </c>
      <c r="K7623" t="n">
        <v>0</v>
      </c>
      <c r="L7623" t="n">
        <v>0</v>
      </c>
      <c r="M7623" t="n">
        <v>0</v>
      </c>
      <c r="N7623" t="n">
        <v>0</v>
      </c>
      <c r="O7623" t="n">
        <v>0</v>
      </c>
      <c r="P7623" t="n">
        <v>0</v>
      </c>
      <c r="Q7623" t="n">
        <v>0</v>
      </c>
      <c r="R7623" s="2" t="inlineStr"/>
    </row>
    <row r="7624" ht="15" customHeight="1">
      <c r="A7624" t="inlineStr">
        <is>
          <t>A 40223-2021</t>
        </is>
      </c>
      <c r="B7624" s="1" t="n">
        <v>44419</v>
      </c>
      <c r="C7624" s="1" t="n">
        <v>45952</v>
      </c>
      <c r="D7624" t="inlineStr">
        <is>
          <t>VÄSTRA GÖTALANDS LÄN</t>
        </is>
      </c>
      <c r="E7624" t="inlineStr">
        <is>
          <t>VÄNERSBORG</t>
        </is>
      </c>
      <c r="F7624" t="inlineStr">
        <is>
          <t>Sveaskog</t>
        </is>
      </c>
      <c r="G7624" t="n">
        <v>7.5</v>
      </c>
      <c r="H7624" t="n">
        <v>0</v>
      </c>
      <c r="I7624" t="n">
        <v>0</v>
      </c>
      <c r="J7624" t="n">
        <v>0</v>
      </c>
      <c r="K7624" t="n">
        <v>0</v>
      </c>
      <c r="L7624" t="n">
        <v>0</v>
      </c>
      <c r="M7624" t="n">
        <v>0</v>
      </c>
      <c r="N7624" t="n">
        <v>0</v>
      </c>
      <c r="O7624" t="n">
        <v>0</v>
      </c>
      <c r="P7624" t="n">
        <v>0</v>
      </c>
      <c r="Q7624" t="n">
        <v>0</v>
      </c>
      <c r="R7624" s="2" t="inlineStr"/>
    </row>
    <row r="7625" ht="15" customHeight="1">
      <c r="A7625" t="inlineStr">
        <is>
          <t>A 40226-2021</t>
        </is>
      </c>
      <c r="B7625" s="1" t="n">
        <v>44419</v>
      </c>
      <c r="C7625" s="1" t="n">
        <v>45952</v>
      </c>
      <c r="D7625" t="inlineStr">
        <is>
          <t>VÄSTRA GÖTALANDS LÄN</t>
        </is>
      </c>
      <c r="E7625" t="inlineStr">
        <is>
          <t>VÄNERSBORG</t>
        </is>
      </c>
      <c r="F7625" t="inlineStr">
        <is>
          <t>Sveaskog</t>
        </is>
      </c>
      <c r="G7625" t="n">
        <v>2.6</v>
      </c>
      <c r="H7625" t="n">
        <v>0</v>
      </c>
      <c r="I7625" t="n">
        <v>0</v>
      </c>
      <c r="J7625" t="n">
        <v>0</v>
      </c>
      <c r="K7625" t="n">
        <v>0</v>
      </c>
      <c r="L7625" t="n">
        <v>0</v>
      </c>
      <c r="M7625" t="n">
        <v>0</v>
      </c>
      <c r="N7625" t="n">
        <v>0</v>
      </c>
      <c r="O7625" t="n">
        <v>0</v>
      </c>
      <c r="P7625" t="n">
        <v>0</v>
      </c>
      <c r="Q7625" t="n">
        <v>0</v>
      </c>
      <c r="R7625" s="2" t="inlineStr"/>
    </row>
    <row r="7626" ht="15" customHeight="1">
      <c r="A7626" t="inlineStr">
        <is>
          <t>A 9590-2021</t>
        </is>
      </c>
      <c r="B7626" s="1" t="n">
        <v>44251</v>
      </c>
      <c r="C7626" s="1" t="n">
        <v>45952</v>
      </c>
      <c r="D7626" t="inlineStr">
        <is>
          <t>VÄSTRA GÖTALANDS LÄN</t>
        </is>
      </c>
      <c r="E7626" t="inlineStr">
        <is>
          <t>STRÖMSTAD</t>
        </is>
      </c>
      <c r="G7626" t="n">
        <v>2.8</v>
      </c>
      <c r="H7626" t="n">
        <v>0</v>
      </c>
      <c r="I7626" t="n">
        <v>0</v>
      </c>
      <c r="J7626" t="n">
        <v>0</v>
      </c>
      <c r="K7626" t="n">
        <v>0</v>
      </c>
      <c r="L7626" t="n">
        <v>0</v>
      </c>
      <c r="M7626" t="n">
        <v>0</v>
      </c>
      <c r="N7626" t="n">
        <v>0</v>
      </c>
      <c r="O7626" t="n">
        <v>0</v>
      </c>
      <c r="P7626" t="n">
        <v>0</v>
      </c>
      <c r="Q7626" t="n">
        <v>0</v>
      </c>
      <c r="R7626" s="2" t="inlineStr"/>
    </row>
    <row r="7627" ht="15" customHeight="1">
      <c r="A7627" t="inlineStr">
        <is>
          <t>A 13119-2023</t>
        </is>
      </c>
      <c r="B7627" s="1" t="n">
        <v>45002</v>
      </c>
      <c r="C7627" s="1" t="n">
        <v>45952</v>
      </c>
      <c r="D7627" t="inlineStr">
        <is>
          <t>VÄSTRA GÖTALANDS LÄN</t>
        </is>
      </c>
      <c r="E7627" t="inlineStr">
        <is>
          <t>TROLLHÄTTAN</t>
        </is>
      </c>
      <c r="G7627" t="n">
        <v>2.6</v>
      </c>
      <c r="H7627" t="n">
        <v>0</v>
      </c>
      <c r="I7627" t="n">
        <v>0</v>
      </c>
      <c r="J7627" t="n">
        <v>0</v>
      </c>
      <c r="K7627" t="n">
        <v>0</v>
      </c>
      <c r="L7627" t="n">
        <v>0</v>
      </c>
      <c r="M7627" t="n">
        <v>0</v>
      </c>
      <c r="N7627" t="n">
        <v>0</v>
      </c>
      <c r="O7627" t="n">
        <v>0</v>
      </c>
      <c r="P7627" t="n">
        <v>0</v>
      </c>
      <c r="Q7627" t="n">
        <v>0</v>
      </c>
      <c r="R7627" s="2" t="inlineStr"/>
    </row>
    <row r="7628" ht="15" customHeight="1">
      <c r="A7628" t="inlineStr">
        <is>
          <t>A 57647-2022</t>
        </is>
      </c>
      <c r="B7628" s="1" t="n">
        <v>44897</v>
      </c>
      <c r="C7628" s="1" t="n">
        <v>45952</v>
      </c>
      <c r="D7628" t="inlineStr">
        <is>
          <t>VÄSTRA GÖTALANDS LÄN</t>
        </is>
      </c>
      <c r="E7628" t="inlineStr">
        <is>
          <t>HJO</t>
        </is>
      </c>
      <c r="G7628" t="n">
        <v>8.699999999999999</v>
      </c>
      <c r="H7628" t="n">
        <v>0</v>
      </c>
      <c r="I7628" t="n">
        <v>0</v>
      </c>
      <c r="J7628" t="n">
        <v>0</v>
      </c>
      <c r="K7628" t="n">
        <v>0</v>
      </c>
      <c r="L7628" t="n">
        <v>0</v>
      </c>
      <c r="M7628" t="n">
        <v>0</v>
      </c>
      <c r="N7628" t="n">
        <v>0</v>
      </c>
      <c r="O7628" t="n">
        <v>0</v>
      </c>
      <c r="P7628" t="n">
        <v>0</v>
      </c>
      <c r="Q7628" t="n">
        <v>0</v>
      </c>
      <c r="R7628" s="2" t="inlineStr"/>
    </row>
    <row r="7629" ht="15" customHeight="1">
      <c r="A7629" t="inlineStr">
        <is>
          <t>A 12273-2024</t>
        </is>
      </c>
      <c r="B7629" s="1" t="n">
        <v>45378.47817129629</v>
      </c>
      <c r="C7629" s="1" t="n">
        <v>45952</v>
      </c>
      <c r="D7629" t="inlineStr">
        <is>
          <t>VÄSTRA GÖTALANDS LÄN</t>
        </is>
      </c>
      <c r="E7629" t="inlineStr">
        <is>
          <t>MÖLNDAL</t>
        </is>
      </c>
      <c r="G7629" t="n">
        <v>0.9</v>
      </c>
      <c r="H7629" t="n">
        <v>0</v>
      </c>
      <c r="I7629" t="n">
        <v>0</v>
      </c>
      <c r="J7629" t="n">
        <v>0</v>
      </c>
      <c r="K7629" t="n">
        <v>0</v>
      </c>
      <c r="L7629" t="n">
        <v>0</v>
      </c>
      <c r="M7629" t="n">
        <v>0</v>
      </c>
      <c r="N7629" t="n">
        <v>0</v>
      </c>
      <c r="O7629" t="n">
        <v>0</v>
      </c>
      <c r="P7629" t="n">
        <v>0</v>
      </c>
      <c r="Q7629" t="n">
        <v>0</v>
      </c>
      <c r="R7629" s="2" t="inlineStr"/>
    </row>
    <row r="7630" ht="15" customHeight="1">
      <c r="A7630" t="inlineStr">
        <is>
          <t>A 34152-2021</t>
        </is>
      </c>
      <c r="B7630" s="1" t="n">
        <v>44379</v>
      </c>
      <c r="C7630" s="1" t="n">
        <v>45952</v>
      </c>
      <c r="D7630" t="inlineStr">
        <is>
          <t>VÄSTRA GÖTALANDS LÄN</t>
        </is>
      </c>
      <c r="E7630" t="inlineStr">
        <is>
          <t>MARK</t>
        </is>
      </c>
      <c r="G7630" t="n">
        <v>2.7</v>
      </c>
      <c r="H7630" t="n">
        <v>0</v>
      </c>
      <c r="I7630" t="n">
        <v>0</v>
      </c>
      <c r="J7630" t="n">
        <v>0</v>
      </c>
      <c r="K7630" t="n">
        <v>0</v>
      </c>
      <c r="L7630" t="n">
        <v>0</v>
      </c>
      <c r="M7630" t="n">
        <v>0</v>
      </c>
      <c r="N7630" t="n">
        <v>0</v>
      </c>
      <c r="O7630" t="n">
        <v>0</v>
      </c>
      <c r="P7630" t="n">
        <v>0</v>
      </c>
      <c r="Q7630" t="n">
        <v>0</v>
      </c>
      <c r="R7630" s="2" t="inlineStr"/>
    </row>
    <row r="7631" ht="15" customHeight="1">
      <c r="A7631" t="inlineStr">
        <is>
          <t>A 44700-2024</t>
        </is>
      </c>
      <c r="B7631" s="1" t="n">
        <v>45574.56451388889</v>
      </c>
      <c r="C7631" s="1" t="n">
        <v>45952</v>
      </c>
      <c r="D7631" t="inlineStr">
        <is>
          <t>VÄSTRA GÖTALANDS LÄN</t>
        </is>
      </c>
      <c r="E7631" t="inlineStr">
        <is>
          <t>FALKÖPING</t>
        </is>
      </c>
      <c r="F7631" t="inlineStr">
        <is>
          <t>Sveaskog</t>
        </is>
      </c>
      <c r="G7631" t="n">
        <v>7.9</v>
      </c>
      <c r="H7631" t="n">
        <v>0</v>
      </c>
      <c r="I7631" t="n">
        <v>0</v>
      </c>
      <c r="J7631" t="n">
        <v>0</v>
      </c>
      <c r="K7631" t="n">
        <v>0</v>
      </c>
      <c r="L7631" t="n">
        <v>0</v>
      </c>
      <c r="M7631" t="n">
        <v>0</v>
      </c>
      <c r="N7631" t="n">
        <v>0</v>
      </c>
      <c r="O7631" t="n">
        <v>0</v>
      </c>
      <c r="P7631" t="n">
        <v>0</v>
      </c>
      <c r="Q7631" t="n">
        <v>0</v>
      </c>
      <c r="R7631" s="2" t="inlineStr"/>
    </row>
    <row r="7632" ht="15" customHeight="1">
      <c r="A7632" t="inlineStr">
        <is>
          <t>A 62144-2020</t>
        </is>
      </c>
      <c r="B7632" s="1" t="n">
        <v>44159</v>
      </c>
      <c r="C7632" s="1" t="n">
        <v>45952</v>
      </c>
      <c r="D7632" t="inlineStr">
        <is>
          <t>VÄSTRA GÖTALANDS LÄN</t>
        </is>
      </c>
      <c r="E7632" t="inlineStr">
        <is>
          <t>SVENLJUNGA</t>
        </is>
      </c>
      <c r="G7632" t="n">
        <v>2.7</v>
      </c>
      <c r="H7632" t="n">
        <v>0</v>
      </c>
      <c r="I7632" t="n">
        <v>0</v>
      </c>
      <c r="J7632" t="n">
        <v>0</v>
      </c>
      <c r="K7632" t="n">
        <v>0</v>
      </c>
      <c r="L7632" t="n">
        <v>0</v>
      </c>
      <c r="M7632" t="n">
        <v>0</v>
      </c>
      <c r="N7632" t="n">
        <v>0</v>
      </c>
      <c r="O7632" t="n">
        <v>0</v>
      </c>
      <c r="P7632" t="n">
        <v>0</v>
      </c>
      <c r="Q7632" t="n">
        <v>0</v>
      </c>
      <c r="R7632" s="2" t="inlineStr"/>
    </row>
    <row r="7633" ht="15" customHeight="1">
      <c r="A7633" t="inlineStr">
        <is>
          <t>A 57050-2020</t>
        </is>
      </c>
      <c r="B7633" s="1" t="n">
        <v>44138</v>
      </c>
      <c r="C7633" s="1" t="n">
        <v>45952</v>
      </c>
      <c r="D7633" t="inlineStr">
        <is>
          <t>VÄSTRA GÖTALANDS LÄN</t>
        </is>
      </c>
      <c r="E7633" t="inlineStr">
        <is>
          <t>TROLLHÄTTAN</t>
        </is>
      </c>
      <c r="G7633" t="n">
        <v>1.1</v>
      </c>
      <c r="H7633" t="n">
        <v>0</v>
      </c>
      <c r="I7633" t="n">
        <v>0</v>
      </c>
      <c r="J7633" t="n">
        <v>0</v>
      </c>
      <c r="K7633" t="n">
        <v>0</v>
      </c>
      <c r="L7633" t="n">
        <v>0</v>
      </c>
      <c r="M7633" t="n">
        <v>0</v>
      </c>
      <c r="N7633" t="n">
        <v>0</v>
      </c>
      <c r="O7633" t="n">
        <v>0</v>
      </c>
      <c r="P7633" t="n">
        <v>0</v>
      </c>
      <c r="Q7633" t="n">
        <v>0</v>
      </c>
      <c r="R7633" s="2" t="inlineStr"/>
    </row>
    <row r="7634" ht="15" customHeight="1">
      <c r="A7634" t="inlineStr">
        <is>
          <t>A 14820-2021</t>
        </is>
      </c>
      <c r="B7634" s="1" t="n">
        <v>44280</v>
      </c>
      <c r="C7634" s="1" t="n">
        <v>45952</v>
      </c>
      <c r="D7634" t="inlineStr">
        <is>
          <t>VÄSTRA GÖTALANDS LÄN</t>
        </is>
      </c>
      <c r="E7634" t="inlineStr">
        <is>
          <t>TROLLHÄTTAN</t>
        </is>
      </c>
      <c r="G7634" t="n">
        <v>6.4</v>
      </c>
      <c r="H7634" t="n">
        <v>0</v>
      </c>
      <c r="I7634" t="n">
        <v>0</v>
      </c>
      <c r="J7634" t="n">
        <v>0</v>
      </c>
      <c r="K7634" t="n">
        <v>0</v>
      </c>
      <c r="L7634" t="n">
        <v>0</v>
      </c>
      <c r="M7634" t="n">
        <v>0</v>
      </c>
      <c r="N7634" t="n">
        <v>0</v>
      </c>
      <c r="O7634" t="n">
        <v>0</v>
      </c>
      <c r="P7634" t="n">
        <v>0</v>
      </c>
      <c r="Q7634" t="n">
        <v>0</v>
      </c>
      <c r="R7634" s="2" t="inlineStr"/>
    </row>
    <row r="7635" ht="15" customHeight="1">
      <c r="A7635" t="inlineStr">
        <is>
          <t>A 10873-2025</t>
        </is>
      </c>
      <c r="B7635" s="1" t="n">
        <v>45722.63233796296</v>
      </c>
      <c r="C7635" s="1" t="n">
        <v>45952</v>
      </c>
      <c r="D7635" t="inlineStr">
        <is>
          <t>VÄSTRA GÖTALANDS LÄN</t>
        </is>
      </c>
      <c r="E7635" t="inlineStr">
        <is>
          <t>DALS-ED</t>
        </is>
      </c>
      <c r="G7635" t="n">
        <v>6.1</v>
      </c>
      <c r="H7635" t="n">
        <v>0</v>
      </c>
      <c r="I7635" t="n">
        <v>0</v>
      </c>
      <c r="J7635" t="n">
        <v>0</v>
      </c>
      <c r="K7635" t="n">
        <v>0</v>
      </c>
      <c r="L7635" t="n">
        <v>0</v>
      </c>
      <c r="M7635" t="n">
        <v>0</v>
      </c>
      <c r="N7635" t="n">
        <v>0</v>
      </c>
      <c r="O7635" t="n">
        <v>0</v>
      </c>
      <c r="P7635" t="n">
        <v>0</v>
      </c>
      <c r="Q7635" t="n">
        <v>0</v>
      </c>
      <c r="R7635" s="2" t="inlineStr"/>
    </row>
    <row r="7636" ht="15" customHeight="1">
      <c r="A7636" t="inlineStr">
        <is>
          <t>A 9308-2025</t>
        </is>
      </c>
      <c r="B7636" s="1" t="n">
        <v>45714.6790625</v>
      </c>
      <c r="C7636" s="1" t="n">
        <v>45952</v>
      </c>
      <c r="D7636" t="inlineStr">
        <is>
          <t>VÄSTRA GÖTALANDS LÄN</t>
        </is>
      </c>
      <c r="E7636" t="inlineStr">
        <is>
          <t>FÄRGELANDA</t>
        </is>
      </c>
      <c r="G7636" t="n">
        <v>1.2</v>
      </c>
      <c r="H7636" t="n">
        <v>0</v>
      </c>
      <c r="I7636" t="n">
        <v>0</v>
      </c>
      <c r="J7636" t="n">
        <v>0</v>
      </c>
      <c r="K7636" t="n">
        <v>0</v>
      </c>
      <c r="L7636" t="n">
        <v>0</v>
      </c>
      <c r="M7636" t="n">
        <v>0</v>
      </c>
      <c r="N7636" t="n">
        <v>0</v>
      </c>
      <c r="O7636" t="n">
        <v>0</v>
      </c>
      <c r="P7636" t="n">
        <v>0</v>
      </c>
      <c r="Q7636" t="n">
        <v>0</v>
      </c>
      <c r="R7636" s="2" t="inlineStr"/>
    </row>
    <row r="7637" ht="15" customHeight="1">
      <c r="A7637" t="inlineStr">
        <is>
          <t>A 34189-2023</t>
        </is>
      </c>
      <c r="B7637" s="1" t="n">
        <v>45138.40096064815</v>
      </c>
      <c r="C7637" s="1" t="n">
        <v>45952</v>
      </c>
      <c r="D7637" t="inlineStr">
        <is>
          <t>VÄSTRA GÖTALANDS LÄN</t>
        </is>
      </c>
      <c r="E7637" t="inlineStr">
        <is>
          <t>HERRLJUNGA</t>
        </is>
      </c>
      <c r="G7637" t="n">
        <v>1.2</v>
      </c>
      <c r="H7637" t="n">
        <v>0</v>
      </c>
      <c r="I7637" t="n">
        <v>0</v>
      </c>
      <c r="J7637" t="n">
        <v>0</v>
      </c>
      <c r="K7637" t="n">
        <v>0</v>
      </c>
      <c r="L7637" t="n">
        <v>0</v>
      </c>
      <c r="M7637" t="n">
        <v>0</v>
      </c>
      <c r="N7637" t="n">
        <v>0</v>
      </c>
      <c r="O7637" t="n">
        <v>0</v>
      </c>
      <c r="P7637" t="n">
        <v>0</v>
      </c>
      <c r="Q7637" t="n">
        <v>0</v>
      </c>
      <c r="R7637" s="2" t="inlineStr"/>
    </row>
    <row r="7638" ht="15" customHeight="1">
      <c r="A7638" t="inlineStr">
        <is>
          <t>A 43523-2025</t>
        </is>
      </c>
      <c r="B7638" s="1" t="n">
        <v>45911</v>
      </c>
      <c r="C7638" s="1" t="n">
        <v>45952</v>
      </c>
      <c r="D7638" t="inlineStr">
        <is>
          <t>VÄSTRA GÖTALANDS LÄN</t>
        </is>
      </c>
      <c r="E7638" t="inlineStr">
        <is>
          <t>MELLERUD</t>
        </is>
      </c>
      <c r="F7638" t="inlineStr">
        <is>
          <t>Övriga Aktiebolag</t>
        </is>
      </c>
      <c r="G7638" t="n">
        <v>1.4</v>
      </c>
      <c r="H7638" t="n">
        <v>0</v>
      </c>
      <c r="I7638" t="n">
        <v>0</v>
      </c>
      <c r="J7638" t="n">
        <v>0</v>
      </c>
      <c r="K7638" t="n">
        <v>0</v>
      </c>
      <c r="L7638" t="n">
        <v>0</v>
      </c>
      <c r="M7638" t="n">
        <v>0</v>
      </c>
      <c r="N7638" t="n">
        <v>0</v>
      </c>
      <c r="O7638" t="n">
        <v>0</v>
      </c>
      <c r="P7638" t="n">
        <v>0</v>
      </c>
      <c r="Q7638" t="n">
        <v>0</v>
      </c>
      <c r="R7638" s="2" t="inlineStr"/>
    </row>
    <row r="7639" ht="15" customHeight="1">
      <c r="A7639" t="inlineStr">
        <is>
          <t>A 32762-2023</t>
        </is>
      </c>
      <c r="B7639" s="1" t="n">
        <v>45123.46649305556</v>
      </c>
      <c r="C7639" s="1" t="n">
        <v>45952</v>
      </c>
      <c r="D7639" t="inlineStr">
        <is>
          <t>VÄSTRA GÖTALANDS LÄN</t>
        </is>
      </c>
      <c r="E7639" t="inlineStr">
        <is>
          <t>ALE</t>
        </is>
      </c>
      <c r="G7639" t="n">
        <v>1</v>
      </c>
      <c r="H7639" t="n">
        <v>0</v>
      </c>
      <c r="I7639" t="n">
        <v>0</v>
      </c>
      <c r="J7639" t="n">
        <v>0</v>
      </c>
      <c r="K7639" t="n">
        <v>0</v>
      </c>
      <c r="L7639" t="n">
        <v>0</v>
      </c>
      <c r="M7639" t="n">
        <v>0</v>
      </c>
      <c r="N7639" t="n">
        <v>0</v>
      </c>
      <c r="O7639" t="n">
        <v>0</v>
      </c>
      <c r="P7639" t="n">
        <v>0</v>
      </c>
      <c r="Q7639" t="n">
        <v>0</v>
      </c>
      <c r="R7639" s="2" t="inlineStr"/>
    </row>
    <row r="7640" ht="15" customHeight="1">
      <c r="A7640" t="inlineStr">
        <is>
          <t>A 32703-2023</t>
        </is>
      </c>
      <c r="B7640" s="1" t="n">
        <v>45121</v>
      </c>
      <c r="C7640" s="1" t="n">
        <v>45952</v>
      </c>
      <c r="D7640" t="inlineStr">
        <is>
          <t>VÄSTRA GÖTALANDS LÄN</t>
        </is>
      </c>
      <c r="E7640" t="inlineStr">
        <is>
          <t>BENGTSFORS</t>
        </is>
      </c>
      <c r="G7640" t="n">
        <v>3.5</v>
      </c>
      <c r="H7640" t="n">
        <v>0</v>
      </c>
      <c r="I7640" t="n">
        <v>0</v>
      </c>
      <c r="J7640" t="n">
        <v>0</v>
      </c>
      <c r="K7640" t="n">
        <v>0</v>
      </c>
      <c r="L7640" t="n">
        <v>0</v>
      </c>
      <c r="M7640" t="n">
        <v>0</v>
      </c>
      <c r="N7640" t="n">
        <v>0</v>
      </c>
      <c r="O7640" t="n">
        <v>0</v>
      </c>
      <c r="P7640" t="n">
        <v>0</v>
      </c>
      <c r="Q7640" t="n">
        <v>0</v>
      </c>
      <c r="R7640" s="2" t="inlineStr"/>
    </row>
    <row r="7641" ht="15" customHeight="1">
      <c r="A7641" t="inlineStr">
        <is>
          <t>A 37283-2022</t>
        </is>
      </c>
      <c r="B7641" s="1" t="n">
        <v>44807.62668981482</v>
      </c>
      <c r="C7641" s="1" t="n">
        <v>45952</v>
      </c>
      <c r="D7641" t="inlineStr">
        <is>
          <t>VÄSTRA GÖTALANDS LÄN</t>
        </is>
      </c>
      <c r="E7641" t="inlineStr">
        <is>
          <t>TANUM</t>
        </is>
      </c>
      <c r="G7641" t="n">
        <v>3</v>
      </c>
      <c r="H7641" t="n">
        <v>0</v>
      </c>
      <c r="I7641" t="n">
        <v>0</v>
      </c>
      <c r="J7641" t="n">
        <v>0</v>
      </c>
      <c r="K7641" t="n">
        <v>0</v>
      </c>
      <c r="L7641" t="n">
        <v>0</v>
      </c>
      <c r="M7641" t="n">
        <v>0</v>
      </c>
      <c r="N7641" t="n">
        <v>0</v>
      </c>
      <c r="O7641" t="n">
        <v>0</v>
      </c>
      <c r="P7641" t="n">
        <v>0</v>
      </c>
      <c r="Q7641" t="n">
        <v>0</v>
      </c>
      <c r="R7641" s="2" t="inlineStr"/>
    </row>
    <row r="7642" ht="15" customHeight="1">
      <c r="A7642" t="inlineStr">
        <is>
          <t>A 43449-2022</t>
        </is>
      </c>
      <c r="B7642" s="1" t="n">
        <v>44835.86141203704</v>
      </c>
      <c r="C7642" s="1" t="n">
        <v>45952</v>
      </c>
      <c r="D7642" t="inlineStr">
        <is>
          <t>VÄSTRA GÖTALANDS LÄN</t>
        </is>
      </c>
      <c r="E7642" t="inlineStr">
        <is>
          <t>BENGTSFORS</t>
        </is>
      </c>
      <c r="G7642" t="n">
        <v>1.1</v>
      </c>
      <c r="H7642" t="n">
        <v>0</v>
      </c>
      <c r="I7642" t="n">
        <v>0</v>
      </c>
      <c r="J7642" t="n">
        <v>0</v>
      </c>
      <c r="K7642" t="n">
        <v>0</v>
      </c>
      <c r="L7642" t="n">
        <v>0</v>
      </c>
      <c r="M7642" t="n">
        <v>0</v>
      </c>
      <c r="N7642" t="n">
        <v>0</v>
      </c>
      <c r="O7642" t="n">
        <v>0</v>
      </c>
      <c r="P7642" t="n">
        <v>0</v>
      </c>
      <c r="Q7642" t="n">
        <v>0</v>
      </c>
      <c r="R7642" s="2" t="inlineStr"/>
    </row>
    <row r="7643" ht="15" customHeight="1">
      <c r="A7643" t="inlineStr">
        <is>
          <t>A 28143-2023</t>
        </is>
      </c>
      <c r="B7643" s="1" t="n">
        <v>45099.48545138889</v>
      </c>
      <c r="C7643" s="1" t="n">
        <v>45952</v>
      </c>
      <c r="D7643" t="inlineStr">
        <is>
          <t>VÄSTRA GÖTALANDS LÄN</t>
        </is>
      </c>
      <c r="E7643" t="inlineStr">
        <is>
          <t>ÅMÅL</t>
        </is>
      </c>
      <c r="G7643" t="n">
        <v>2.8</v>
      </c>
      <c r="H7643" t="n">
        <v>0</v>
      </c>
      <c r="I7643" t="n">
        <v>0</v>
      </c>
      <c r="J7643" t="n">
        <v>0</v>
      </c>
      <c r="K7643" t="n">
        <v>0</v>
      </c>
      <c r="L7643" t="n">
        <v>0</v>
      </c>
      <c r="M7643" t="n">
        <v>0</v>
      </c>
      <c r="N7643" t="n">
        <v>0</v>
      </c>
      <c r="O7643" t="n">
        <v>0</v>
      </c>
      <c r="P7643" t="n">
        <v>0</v>
      </c>
      <c r="Q7643" t="n">
        <v>0</v>
      </c>
      <c r="R7643" s="2" t="inlineStr"/>
    </row>
    <row r="7644" ht="15" customHeight="1">
      <c r="A7644" t="inlineStr">
        <is>
          <t>A 14288-2024</t>
        </is>
      </c>
      <c r="B7644" s="1" t="n">
        <v>45393.62962962963</v>
      </c>
      <c r="C7644" s="1" t="n">
        <v>45952</v>
      </c>
      <c r="D7644" t="inlineStr">
        <is>
          <t>VÄSTRA GÖTALANDS LÄN</t>
        </is>
      </c>
      <c r="E7644" t="inlineStr">
        <is>
          <t>MARIESTAD</t>
        </is>
      </c>
      <c r="G7644" t="n">
        <v>1.5</v>
      </c>
      <c r="H7644" t="n">
        <v>0</v>
      </c>
      <c r="I7644" t="n">
        <v>0</v>
      </c>
      <c r="J7644" t="n">
        <v>0</v>
      </c>
      <c r="K7644" t="n">
        <v>0</v>
      </c>
      <c r="L7644" t="n">
        <v>0</v>
      </c>
      <c r="M7644" t="n">
        <v>0</v>
      </c>
      <c r="N7644" t="n">
        <v>0</v>
      </c>
      <c r="O7644" t="n">
        <v>0</v>
      </c>
      <c r="P7644" t="n">
        <v>0</v>
      </c>
      <c r="Q7644" t="n">
        <v>0</v>
      </c>
      <c r="R7644" s="2" t="inlineStr"/>
    </row>
    <row r="7645" ht="15" customHeight="1">
      <c r="A7645" t="inlineStr">
        <is>
          <t>A 53554-2024</t>
        </is>
      </c>
      <c r="B7645" s="1" t="n">
        <v>45614.64645833334</v>
      </c>
      <c r="C7645" s="1" t="n">
        <v>45952</v>
      </c>
      <c r="D7645" t="inlineStr">
        <is>
          <t>VÄSTRA GÖTALANDS LÄN</t>
        </is>
      </c>
      <c r="E7645" t="inlineStr">
        <is>
          <t>HERRLJUNGA</t>
        </is>
      </c>
      <c r="G7645" t="n">
        <v>1.6</v>
      </c>
      <c r="H7645" t="n">
        <v>0</v>
      </c>
      <c r="I7645" t="n">
        <v>0</v>
      </c>
      <c r="J7645" t="n">
        <v>0</v>
      </c>
      <c r="K7645" t="n">
        <v>0</v>
      </c>
      <c r="L7645" t="n">
        <v>0</v>
      </c>
      <c r="M7645" t="n">
        <v>0</v>
      </c>
      <c r="N7645" t="n">
        <v>0</v>
      </c>
      <c r="O7645" t="n">
        <v>0</v>
      </c>
      <c r="P7645" t="n">
        <v>0</v>
      </c>
      <c r="Q7645" t="n">
        <v>0</v>
      </c>
      <c r="R7645" s="2" t="inlineStr"/>
    </row>
    <row r="7646" ht="15" customHeight="1">
      <c r="A7646" t="inlineStr">
        <is>
          <t>A 53559-2024</t>
        </is>
      </c>
      <c r="B7646" s="1" t="n">
        <v>45614.65366898148</v>
      </c>
      <c r="C7646" s="1" t="n">
        <v>45952</v>
      </c>
      <c r="D7646" t="inlineStr">
        <is>
          <t>VÄSTRA GÖTALANDS LÄN</t>
        </is>
      </c>
      <c r="E7646" t="inlineStr">
        <is>
          <t>HERRLJUNGA</t>
        </is>
      </c>
      <c r="G7646" t="n">
        <v>2.7</v>
      </c>
      <c r="H7646" t="n">
        <v>0</v>
      </c>
      <c r="I7646" t="n">
        <v>0</v>
      </c>
      <c r="J7646" t="n">
        <v>0</v>
      </c>
      <c r="K7646" t="n">
        <v>0</v>
      </c>
      <c r="L7646" t="n">
        <v>0</v>
      </c>
      <c r="M7646" t="n">
        <v>0</v>
      </c>
      <c r="N7646" t="n">
        <v>0</v>
      </c>
      <c r="O7646" t="n">
        <v>0</v>
      </c>
      <c r="P7646" t="n">
        <v>0</v>
      </c>
      <c r="Q7646" t="n">
        <v>0</v>
      </c>
      <c r="R7646" s="2" t="inlineStr"/>
    </row>
    <row r="7647" ht="15" customHeight="1">
      <c r="A7647" t="inlineStr">
        <is>
          <t>A 54866-2024</t>
        </is>
      </c>
      <c r="B7647" s="1" t="n">
        <v>45618.59667824074</v>
      </c>
      <c r="C7647" s="1" t="n">
        <v>45952</v>
      </c>
      <c r="D7647" t="inlineStr">
        <is>
          <t>VÄSTRA GÖTALANDS LÄN</t>
        </is>
      </c>
      <c r="E7647" t="inlineStr">
        <is>
          <t>MUNKEDAL</t>
        </is>
      </c>
      <c r="G7647" t="n">
        <v>0.5</v>
      </c>
      <c r="H7647" t="n">
        <v>0</v>
      </c>
      <c r="I7647" t="n">
        <v>0</v>
      </c>
      <c r="J7647" t="n">
        <v>0</v>
      </c>
      <c r="K7647" t="n">
        <v>0</v>
      </c>
      <c r="L7647" t="n">
        <v>0</v>
      </c>
      <c r="M7647" t="n">
        <v>0</v>
      </c>
      <c r="N7647" t="n">
        <v>0</v>
      </c>
      <c r="O7647" t="n">
        <v>0</v>
      </c>
      <c r="P7647" t="n">
        <v>0</v>
      </c>
      <c r="Q7647" t="n">
        <v>0</v>
      </c>
      <c r="R7647" s="2" t="inlineStr"/>
    </row>
    <row r="7648" ht="15" customHeight="1">
      <c r="A7648" t="inlineStr">
        <is>
          <t>A 15236-2024</t>
        </is>
      </c>
      <c r="B7648" s="1" t="n">
        <v>45400</v>
      </c>
      <c r="C7648" s="1" t="n">
        <v>45952</v>
      </c>
      <c r="D7648" t="inlineStr">
        <is>
          <t>VÄSTRA GÖTALANDS LÄN</t>
        </is>
      </c>
      <c r="E7648" t="inlineStr">
        <is>
          <t>VÅRGÅRDA</t>
        </is>
      </c>
      <c r="G7648" t="n">
        <v>1.1</v>
      </c>
      <c r="H7648" t="n">
        <v>0</v>
      </c>
      <c r="I7648" t="n">
        <v>0</v>
      </c>
      <c r="J7648" t="n">
        <v>0</v>
      </c>
      <c r="K7648" t="n">
        <v>0</v>
      </c>
      <c r="L7648" t="n">
        <v>0</v>
      </c>
      <c r="M7648" t="n">
        <v>0</v>
      </c>
      <c r="N7648" t="n">
        <v>0</v>
      </c>
      <c r="O7648" t="n">
        <v>0</v>
      </c>
      <c r="P7648" t="n">
        <v>0</v>
      </c>
      <c r="Q7648" t="n">
        <v>0</v>
      </c>
      <c r="R7648" s="2" t="inlineStr"/>
    </row>
    <row r="7649" ht="15" customHeight="1">
      <c r="A7649" t="inlineStr">
        <is>
          <t>A 35605-2022</t>
        </is>
      </c>
      <c r="B7649" s="1" t="n">
        <v>44799.46290509259</v>
      </c>
      <c r="C7649" s="1" t="n">
        <v>45952</v>
      </c>
      <c r="D7649" t="inlineStr">
        <is>
          <t>VÄSTRA GÖTALANDS LÄN</t>
        </is>
      </c>
      <c r="E7649" t="inlineStr">
        <is>
          <t>TRANEMO</t>
        </is>
      </c>
      <c r="G7649" t="n">
        <v>0.6</v>
      </c>
      <c r="H7649" t="n">
        <v>0</v>
      </c>
      <c r="I7649" t="n">
        <v>0</v>
      </c>
      <c r="J7649" t="n">
        <v>0</v>
      </c>
      <c r="K7649" t="n">
        <v>0</v>
      </c>
      <c r="L7649" t="n">
        <v>0</v>
      </c>
      <c r="M7649" t="n">
        <v>0</v>
      </c>
      <c r="N7649" t="n">
        <v>0</v>
      </c>
      <c r="O7649" t="n">
        <v>0</v>
      </c>
      <c r="P7649" t="n">
        <v>0</v>
      </c>
      <c r="Q7649" t="n">
        <v>0</v>
      </c>
      <c r="R7649" s="2" t="inlineStr"/>
    </row>
    <row r="7650" ht="15" customHeight="1">
      <c r="A7650" t="inlineStr">
        <is>
          <t>A 61885-2023</t>
        </is>
      </c>
      <c r="B7650" s="1" t="n">
        <v>45264</v>
      </c>
      <c r="C7650" s="1" t="n">
        <v>45952</v>
      </c>
      <c r="D7650" t="inlineStr">
        <is>
          <t>VÄSTRA GÖTALANDS LÄN</t>
        </is>
      </c>
      <c r="E7650" t="inlineStr">
        <is>
          <t>MUNKEDAL</t>
        </is>
      </c>
      <c r="G7650" t="n">
        <v>1</v>
      </c>
      <c r="H7650" t="n">
        <v>0</v>
      </c>
      <c r="I7650" t="n">
        <v>0</v>
      </c>
      <c r="J7650" t="n">
        <v>0</v>
      </c>
      <c r="K7650" t="n">
        <v>0</v>
      </c>
      <c r="L7650" t="n">
        <v>0</v>
      </c>
      <c r="M7650" t="n">
        <v>0</v>
      </c>
      <c r="N7650" t="n">
        <v>0</v>
      </c>
      <c r="O7650" t="n">
        <v>0</v>
      </c>
      <c r="P7650" t="n">
        <v>0</v>
      </c>
      <c r="Q7650" t="n">
        <v>0</v>
      </c>
      <c r="R7650" s="2" t="inlineStr"/>
    </row>
    <row r="7651" ht="15" customHeight="1">
      <c r="A7651" t="inlineStr">
        <is>
          <t>A 59881-2024</t>
        </is>
      </c>
      <c r="B7651" s="1" t="n">
        <v>45640.78921296296</v>
      </c>
      <c r="C7651" s="1" t="n">
        <v>45952</v>
      </c>
      <c r="D7651" t="inlineStr">
        <is>
          <t>VÄSTRA GÖTALANDS LÄN</t>
        </is>
      </c>
      <c r="E7651" t="inlineStr">
        <is>
          <t>ALINGSÅS</t>
        </is>
      </c>
      <c r="G7651" t="n">
        <v>3.2</v>
      </c>
      <c r="H7651" t="n">
        <v>0</v>
      </c>
      <c r="I7651" t="n">
        <v>0</v>
      </c>
      <c r="J7651" t="n">
        <v>0</v>
      </c>
      <c r="K7651" t="n">
        <v>0</v>
      </c>
      <c r="L7651" t="n">
        <v>0</v>
      </c>
      <c r="M7651" t="n">
        <v>0</v>
      </c>
      <c r="N7651" t="n">
        <v>0</v>
      </c>
      <c r="O7651" t="n">
        <v>0</v>
      </c>
      <c r="P7651" t="n">
        <v>0</v>
      </c>
      <c r="Q7651" t="n">
        <v>0</v>
      </c>
      <c r="R7651" s="2" t="inlineStr"/>
    </row>
    <row r="7652" ht="15" customHeight="1">
      <c r="A7652" t="inlineStr">
        <is>
          <t>A 59910-2024</t>
        </is>
      </c>
      <c r="B7652" s="1" t="n">
        <v>45641.68503472222</v>
      </c>
      <c r="C7652" s="1" t="n">
        <v>45952</v>
      </c>
      <c r="D7652" t="inlineStr">
        <is>
          <t>VÄSTRA GÖTALANDS LÄN</t>
        </is>
      </c>
      <c r="E7652" t="inlineStr">
        <is>
          <t>SVENLJUNGA</t>
        </is>
      </c>
      <c r="G7652" t="n">
        <v>3.7</v>
      </c>
      <c r="H7652" t="n">
        <v>0</v>
      </c>
      <c r="I7652" t="n">
        <v>0</v>
      </c>
      <c r="J7652" t="n">
        <v>0</v>
      </c>
      <c r="K7652" t="n">
        <v>0</v>
      </c>
      <c r="L7652" t="n">
        <v>0</v>
      </c>
      <c r="M7652" t="n">
        <v>0</v>
      </c>
      <c r="N7652" t="n">
        <v>0</v>
      </c>
      <c r="O7652" t="n">
        <v>0</v>
      </c>
      <c r="P7652" t="n">
        <v>0</v>
      </c>
      <c r="Q7652" t="n">
        <v>0</v>
      </c>
      <c r="R7652" s="2" t="inlineStr"/>
    </row>
    <row r="7653" ht="15" customHeight="1">
      <c r="A7653" t="inlineStr">
        <is>
          <t>A 53098-2023</t>
        </is>
      </c>
      <c r="B7653" s="1" t="n">
        <v>45227.90935185185</v>
      </c>
      <c r="C7653" s="1" t="n">
        <v>45952</v>
      </c>
      <c r="D7653" t="inlineStr">
        <is>
          <t>VÄSTRA GÖTALANDS LÄN</t>
        </is>
      </c>
      <c r="E7653" t="inlineStr">
        <is>
          <t>TRANEMO</t>
        </is>
      </c>
      <c r="G7653" t="n">
        <v>3.5</v>
      </c>
      <c r="H7653" t="n">
        <v>0</v>
      </c>
      <c r="I7653" t="n">
        <v>0</v>
      </c>
      <c r="J7653" t="n">
        <v>0</v>
      </c>
      <c r="K7653" t="n">
        <v>0</v>
      </c>
      <c r="L7653" t="n">
        <v>0</v>
      </c>
      <c r="M7653" t="n">
        <v>0</v>
      </c>
      <c r="N7653" t="n">
        <v>0</v>
      </c>
      <c r="O7653" t="n">
        <v>0</v>
      </c>
      <c r="P7653" t="n">
        <v>0</v>
      </c>
      <c r="Q7653" t="n">
        <v>0</v>
      </c>
      <c r="R7653" s="2" t="inlineStr"/>
    </row>
    <row r="7654" ht="15" customHeight="1">
      <c r="A7654" t="inlineStr">
        <is>
          <t>A 2008-2024</t>
        </is>
      </c>
      <c r="B7654" s="1" t="n">
        <v>45308</v>
      </c>
      <c r="C7654" s="1" t="n">
        <v>45952</v>
      </c>
      <c r="D7654" t="inlineStr">
        <is>
          <t>VÄSTRA GÖTALANDS LÄN</t>
        </is>
      </c>
      <c r="E7654" t="inlineStr">
        <is>
          <t>BORÅS</t>
        </is>
      </c>
      <c r="F7654" t="inlineStr">
        <is>
          <t>Kommuner</t>
        </is>
      </c>
      <c r="G7654" t="n">
        <v>1.5</v>
      </c>
      <c r="H7654" t="n">
        <v>0</v>
      </c>
      <c r="I7654" t="n">
        <v>0</v>
      </c>
      <c r="J7654" t="n">
        <v>0</v>
      </c>
      <c r="K7654" t="n">
        <v>0</v>
      </c>
      <c r="L7654" t="n">
        <v>0</v>
      </c>
      <c r="M7654" t="n">
        <v>0</v>
      </c>
      <c r="N7654" t="n">
        <v>0</v>
      </c>
      <c r="O7654" t="n">
        <v>0</v>
      </c>
      <c r="P7654" t="n">
        <v>0</v>
      </c>
      <c r="Q7654" t="n">
        <v>0</v>
      </c>
      <c r="R7654" s="2" t="inlineStr"/>
    </row>
    <row r="7655" ht="15" customHeight="1">
      <c r="A7655" t="inlineStr">
        <is>
          <t>A 64606-2023</t>
        </is>
      </c>
      <c r="B7655" s="1" t="n">
        <v>45281.5049537037</v>
      </c>
      <c r="C7655" s="1" t="n">
        <v>45952</v>
      </c>
      <c r="D7655" t="inlineStr">
        <is>
          <t>VÄSTRA GÖTALANDS LÄN</t>
        </is>
      </c>
      <c r="E7655" t="inlineStr">
        <is>
          <t>VÄNERSBORG</t>
        </is>
      </c>
      <c r="G7655" t="n">
        <v>7.7</v>
      </c>
      <c r="H7655" t="n">
        <v>0</v>
      </c>
      <c r="I7655" t="n">
        <v>0</v>
      </c>
      <c r="J7655" t="n">
        <v>0</v>
      </c>
      <c r="K7655" t="n">
        <v>0</v>
      </c>
      <c r="L7655" t="n">
        <v>0</v>
      </c>
      <c r="M7655" t="n">
        <v>0</v>
      </c>
      <c r="N7655" t="n">
        <v>0</v>
      </c>
      <c r="O7655" t="n">
        <v>0</v>
      </c>
      <c r="P7655" t="n">
        <v>0</v>
      </c>
      <c r="Q7655" t="n">
        <v>0</v>
      </c>
      <c r="R7655" s="2" t="inlineStr"/>
    </row>
    <row r="7656" ht="15" customHeight="1">
      <c r="A7656" t="inlineStr">
        <is>
          <t>A 4937-2023</t>
        </is>
      </c>
      <c r="B7656" s="1" t="n">
        <v>44958</v>
      </c>
      <c r="C7656" s="1" t="n">
        <v>45952</v>
      </c>
      <c r="D7656" t="inlineStr">
        <is>
          <t>VÄSTRA GÖTALANDS LÄN</t>
        </is>
      </c>
      <c r="E7656" t="inlineStr">
        <is>
          <t>BORÅS</t>
        </is>
      </c>
      <c r="G7656" t="n">
        <v>2.4</v>
      </c>
      <c r="H7656" t="n">
        <v>0</v>
      </c>
      <c r="I7656" t="n">
        <v>0</v>
      </c>
      <c r="J7656" t="n">
        <v>0</v>
      </c>
      <c r="K7656" t="n">
        <v>0</v>
      </c>
      <c r="L7656" t="n">
        <v>0</v>
      </c>
      <c r="M7656" t="n">
        <v>0</v>
      </c>
      <c r="N7656" t="n">
        <v>0</v>
      </c>
      <c r="O7656" t="n">
        <v>0</v>
      </c>
      <c r="P7656" t="n">
        <v>0</v>
      </c>
      <c r="Q7656" t="n">
        <v>0</v>
      </c>
      <c r="R7656" s="2" t="inlineStr"/>
    </row>
    <row r="7657" ht="15" customHeight="1">
      <c r="A7657" t="inlineStr">
        <is>
          <t>A 4942-2023</t>
        </is>
      </c>
      <c r="B7657" s="1" t="n">
        <v>44958.43335648148</v>
      </c>
      <c r="C7657" s="1" t="n">
        <v>45952</v>
      </c>
      <c r="D7657" t="inlineStr">
        <is>
          <t>VÄSTRA GÖTALANDS LÄN</t>
        </is>
      </c>
      <c r="E7657" t="inlineStr">
        <is>
          <t>BENGTSFORS</t>
        </is>
      </c>
      <c r="G7657" t="n">
        <v>0.7</v>
      </c>
      <c r="H7657" t="n">
        <v>0</v>
      </c>
      <c r="I7657" t="n">
        <v>0</v>
      </c>
      <c r="J7657" t="n">
        <v>0</v>
      </c>
      <c r="K7657" t="n">
        <v>0</v>
      </c>
      <c r="L7657" t="n">
        <v>0</v>
      </c>
      <c r="M7657" t="n">
        <v>0</v>
      </c>
      <c r="N7657" t="n">
        <v>0</v>
      </c>
      <c r="O7657" t="n">
        <v>0</v>
      </c>
      <c r="P7657" t="n">
        <v>0</v>
      </c>
      <c r="Q7657" t="n">
        <v>0</v>
      </c>
      <c r="R7657" s="2" t="inlineStr"/>
    </row>
    <row r="7658" ht="15" customHeight="1">
      <c r="A7658" t="inlineStr">
        <is>
          <t>A 64669-2023</t>
        </is>
      </c>
      <c r="B7658" s="1" t="n">
        <v>45281</v>
      </c>
      <c r="C7658" s="1" t="n">
        <v>45952</v>
      </c>
      <c r="D7658" t="inlineStr">
        <is>
          <t>VÄSTRA GÖTALANDS LÄN</t>
        </is>
      </c>
      <c r="E7658" t="inlineStr">
        <is>
          <t>TROLLHÄTTAN</t>
        </is>
      </c>
      <c r="G7658" t="n">
        <v>1.1</v>
      </c>
      <c r="H7658" t="n">
        <v>0</v>
      </c>
      <c r="I7658" t="n">
        <v>0</v>
      </c>
      <c r="J7658" t="n">
        <v>0</v>
      </c>
      <c r="K7658" t="n">
        <v>0</v>
      </c>
      <c r="L7658" t="n">
        <v>0</v>
      </c>
      <c r="M7658" t="n">
        <v>0</v>
      </c>
      <c r="N7658" t="n">
        <v>0</v>
      </c>
      <c r="O7658" t="n">
        <v>0</v>
      </c>
      <c r="P7658" t="n">
        <v>0</v>
      </c>
      <c r="Q7658" t="n">
        <v>0</v>
      </c>
      <c r="R7658" s="2" t="inlineStr"/>
    </row>
    <row r="7659" ht="15" customHeight="1">
      <c r="A7659" t="inlineStr">
        <is>
          <t>A 61120-2023</t>
        </is>
      </c>
      <c r="B7659" s="1" t="n">
        <v>45261</v>
      </c>
      <c r="C7659" s="1" t="n">
        <v>45952</v>
      </c>
      <c r="D7659" t="inlineStr">
        <is>
          <t>VÄSTRA GÖTALANDS LÄN</t>
        </is>
      </c>
      <c r="E7659" t="inlineStr">
        <is>
          <t>MARK</t>
        </is>
      </c>
      <c r="G7659" t="n">
        <v>3.5</v>
      </c>
      <c r="H7659" t="n">
        <v>0</v>
      </c>
      <c r="I7659" t="n">
        <v>0</v>
      </c>
      <c r="J7659" t="n">
        <v>0</v>
      </c>
      <c r="K7659" t="n">
        <v>0</v>
      </c>
      <c r="L7659" t="n">
        <v>0</v>
      </c>
      <c r="M7659" t="n">
        <v>0</v>
      </c>
      <c r="N7659" t="n">
        <v>0</v>
      </c>
      <c r="O7659" t="n">
        <v>0</v>
      </c>
      <c r="P7659" t="n">
        <v>0</v>
      </c>
      <c r="Q7659" t="n">
        <v>0</v>
      </c>
      <c r="R7659" s="2" t="inlineStr"/>
    </row>
    <row r="7660" ht="15" customHeight="1">
      <c r="A7660" t="inlineStr">
        <is>
          <t>A 5032-2023</t>
        </is>
      </c>
      <c r="B7660" s="1" t="n">
        <v>44958.57836805555</v>
      </c>
      <c r="C7660" s="1" t="n">
        <v>45952</v>
      </c>
      <c r="D7660" t="inlineStr">
        <is>
          <t>VÄSTRA GÖTALANDS LÄN</t>
        </is>
      </c>
      <c r="E7660" t="inlineStr">
        <is>
          <t>FÄRGELANDA</t>
        </is>
      </c>
      <c r="G7660" t="n">
        <v>3.3</v>
      </c>
      <c r="H7660" t="n">
        <v>0</v>
      </c>
      <c r="I7660" t="n">
        <v>0</v>
      </c>
      <c r="J7660" t="n">
        <v>0</v>
      </c>
      <c r="K7660" t="n">
        <v>0</v>
      </c>
      <c r="L7660" t="n">
        <v>0</v>
      </c>
      <c r="M7660" t="n">
        <v>0</v>
      </c>
      <c r="N7660" t="n">
        <v>0</v>
      </c>
      <c r="O7660" t="n">
        <v>0</v>
      </c>
      <c r="P7660" t="n">
        <v>0</v>
      </c>
      <c r="Q7660" t="n">
        <v>0</v>
      </c>
      <c r="R7660" s="2" t="inlineStr"/>
    </row>
    <row r="7661" ht="15" customHeight="1">
      <c r="A7661" t="inlineStr">
        <is>
          <t>A 5033-2023</t>
        </is>
      </c>
      <c r="B7661" s="1" t="n">
        <v>44958.57884259259</v>
      </c>
      <c r="C7661" s="1" t="n">
        <v>45952</v>
      </c>
      <c r="D7661" t="inlineStr">
        <is>
          <t>VÄSTRA GÖTALANDS LÄN</t>
        </is>
      </c>
      <c r="E7661" t="inlineStr">
        <is>
          <t>TRANEMO</t>
        </is>
      </c>
      <c r="G7661" t="n">
        <v>0.5</v>
      </c>
      <c r="H7661" t="n">
        <v>0</v>
      </c>
      <c r="I7661" t="n">
        <v>0</v>
      </c>
      <c r="J7661" t="n">
        <v>0</v>
      </c>
      <c r="K7661" t="n">
        <v>0</v>
      </c>
      <c r="L7661" t="n">
        <v>0</v>
      </c>
      <c r="M7661" t="n">
        <v>0</v>
      </c>
      <c r="N7661" t="n">
        <v>0</v>
      </c>
      <c r="O7661" t="n">
        <v>0</v>
      </c>
      <c r="P7661" t="n">
        <v>0</v>
      </c>
      <c r="Q7661" t="n">
        <v>0</v>
      </c>
      <c r="R7661" s="2" t="inlineStr"/>
    </row>
    <row r="7662" ht="15" customHeight="1">
      <c r="A7662" t="inlineStr">
        <is>
          <t>A 11436-2022</t>
        </is>
      </c>
      <c r="B7662" s="1" t="n">
        <v>44630</v>
      </c>
      <c r="C7662" s="1" t="n">
        <v>45952</v>
      </c>
      <c r="D7662" t="inlineStr">
        <is>
          <t>VÄSTRA GÖTALANDS LÄN</t>
        </is>
      </c>
      <c r="E7662" t="inlineStr">
        <is>
          <t>FALKÖPING</t>
        </is>
      </c>
      <c r="G7662" t="n">
        <v>1.8</v>
      </c>
      <c r="H7662" t="n">
        <v>0</v>
      </c>
      <c r="I7662" t="n">
        <v>0</v>
      </c>
      <c r="J7662" t="n">
        <v>0</v>
      </c>
      <c r="K7662" t="n">
        <v>0</v>
      </c>
      <c r="L7662" t="n">
        <v>0</v>
      </c>
      <c r="M7662" t="n">
        <v>0</v>
      </c>
      <c r="N7662" t="n">
        <v>0</v>
      </c>
      <c r="O7662" t="n">
        <v>0</v>
      </c>
      <c r="P7662" t="n">
        <v>0</v>
      </c>
      <c r="Q7662" t="n">
        <v>0</v>
      </c>
      <c r="R7662" s="2" t="inlineStr"/>
    </row>
    <row r="7663" ht="15" customHeight="1">
      <c r="A7663" t="inlineStr">
        <is>
          <t>A 11440-2022</t>
        </is>
      </c>
      <c r="B7663" s="1" t="n">
        <v>44630</v>
      </c>
      <c r="C7663" s="1" t="n">
        <v>45952</v>
      </c>
      <c r="D7663" t="inlineStr">
        <is>
          <t>VÄSTRA GÖTALANDS LÄN</t>
        </is>
      </c>
      <c r="E7663" t="inlineStr">
        <is>
          <t>FALKÖPING</t>
        </is>
      </c>
      <c r="G7663" t="n">
        <v>3.3</v>
      </c>
      <c r="H7663" t="n">
        <v>0</v>
      </c>
      <c r="I7663" t="n">
        <v>0</v>
      </c>
      <c r="J7663" t="n">
        <v>0</v>
      </c>
      <c r="K7663" t="n">
        <v>0</v>
      </c>
      <c r="L7663" t="n">
        <v>0</v>
      </c>
      <c r="M7663" t="n">
        <v>0</v>
      </c>
      <c r="N7663" t="n">
        <v>0</v>
      </c>
      <c r="O7663" t="n">
        <v>0</v>
      </c>
      <c r="P7663" t="n">
        <v>0</v>
      </c>
      <c r="Q7663" t="n">
        <v>0</v>
      </c>
      <c r="R7663" s="2" t="inlineStr"/>
    </row>
    <row r="7664" ht="15" customHeight="1">
      <c r="A7664" t="inlineStr">
        <is>
          <t>A 11444-2022</t>
        </is>
      </c>
      <c r="B7664" s="1" t="n">
        <v>44630.63126157408</v>
      </c>
      <c r="C7664" s="1" t="n">
        <v>45952</v>
      </c>
      <c r="D7664" t="inlineStr">
        <is>
          <t>VÄSTRA GÖTALANDS LÄN</t>
        </is>
      </c>
      <c r="E7664" t="inlineStr">
        <is>
          <t>TIDAHOLM</t>
        </is>
      </c>
      <c r="G7664" t="n">
        <v>0.7</v>
      </c>
      <c r="H7664" t="n">
        <v>0</v>
      </c>
      <c r="I7664" t="n">
        <v>0</v>
      </c>
      <c r="J7664" t="n">
        <v>0</v>
      </c>
      <c r="K7664" t="n">
        <v>0</v>
      </c>
      <c r="L7664" t="n">
        <v>0</v>
      </c>
      <c r="M7664" t="n">
        <v>0</v>
      </c>
      <c r="N7664" t="n">
        <v>0</v>
      </c>
      <c r="O7664" t="n">
        <v>0</v>
      </c>
      <c r="P7664" t="n">
        <v>0</v>
      </c>
      <c r="Q7664" t="n">
        <v>0</v>
      </c>
      <c r="R7664" s="2" t="inlineStr"/>
    </row>
    <row r="7665" ht="15" customHeight="1">
      <c r="A7665" t="inlineStr">
        <is>
          <t>A 49134-2021</t>
        </is>
      </c>
      <c r="B7665" s="1" t="n">
        <v>44453</v>
      </c>
      <c r="C7665" s="1" t="n">
        <v>45952</v>
      </c>
      <c r="D7665" t="inlineStr">
        <is>
          <t>VÄSTRA GÖTALANDS LÄN</t>
        </is>
      </c>
      <c r="E7665" t="inlineStr">
        <is>
          <t>ORUST</t>
        </is>
      </c>
      <c r="F7665" t="inlineStr">
        <is>
          <t>Kommuner</t>
        </is>
      </c>
      <c r="G7665" t="n">
        <v>1.8</v>
      </c>
      <c r="H7665" t="n">
        <v>0</v>
      </c>
      <c r="I7665" t="n">
        <v>0</v>
      </c>
      <c r="J7665" t="n">
        <v>0</v>
      </c>
      <c r="K7665" t="n">
        <v>0</v>
      </c>
      <c r="L7665" t="n">
        <v>0</v>
      </c>
      <c r="M7665" t="n">
        <v>0</v>
      </c>
      <c r="N7665" t="n">
        <v>0</v>
      </c>
      <c r="O7665" t="n">
        <v>0</v>
      </c>
      <c r="P7665" t="n">
        <v>0</v>
      </c>
      <c r="Q7665" t="n">
        <v>0</v>
      </c>
      <c r="R7665" s="2" t="inlineStr"/>
    </row>
    <row r="7666" ht="15" customHeight="1">
      <c r="A7666" t="inlineStr">
        <is>
          <t>A 59140-2024</t>
        </is>
      </c>
      <c r="B7666" s="1" t="n">
        <v>45637.44023148148</v>
      </c>
      <c r="C7666" s="1" t="n">
        <v>45952</v>
      </c>
      <c r="D7666" t="inlineStr">
        <is>
          <t>VÄSTRA GÖTALANDS LÄN</t>
        </is>
      </c>
      <c r="E7666" t="inlineStr">
        <is>
          <t>TIDAHOLM</t>
        </is>
      </c>
      <c r="G7666" t="n">
        <v>9.5</v>
      </c>
      <c r="H7666" t="n">
        <v>0</v>
      </c>
      <c r="I7666" t="n">
        <v>0</v>
      </c>
      <c r="J7666" t="n">
        <v>0</v>
      </c>
      <c r="K7666" t="n">
        <v>0</v>
      </c>
      <c r="L7666" t="n">
        <v>0</v>
      </c>
      <c r="M7666" t="n">
        <v>0</v>
      </c>
      <c r="N7666" t="n">
        <v>0</v>
      </c>
      <c r="O7666" t="n">
        <v>0</v>
      </c>
      <c r="P7666" t="n">
        <v>0</v>
      </c>
      <c r="Q7666" t="n">
        <v>0</v>
      </c>
      <c r="R7666" s="2" t="inlineStr"/>
    </row>
    <row r="7667" ht="15" customHeight="1">
      <c r="A7667" t="inlineStr">
        <is>
          <t>A 27498-2021</t>
        </is>
      </c>
      <c r="B7667" s="1" t="n">
        <v>44351</v>
      </c>
      <c r="C7667" s="1" t="n">
        <v>45952</v>
      </c>
      <c r="D7667" t="inlineStr">
        <is>
          <t>VÄSTRA GÖTALANDS LÄN</t>
        </is>
      </c>
      <c r="E7667" t="inlineStr">
        <is>
          <t>BOLLEBYGD</t>
        </is>
      </c>
      <c r="G7667" t="n">
        <v>1.4</v>
      </c>
      <c r="H7667" t="n">
        <v>0</v>
      </c>
      <c r="I7667" t="n">
        <v>0</v>
      </c>
      <c r="J7667" t="n">
        <v>0</v>
      </c>
      <c r="K7667" t="n">
        <v>0</v>
      </c>
      <c r="L7667" t="n">
        <v>0</v>
      </c>
      <c r="M7667" t="n">
        <v>0</v>
      </c>
      <c r="N7667" t="n">
        <v>0</v>
      </c>
      <c r="O7667" t="n">
        <v>0</v>
      </c>
      <c r="P7667" t="n">
        <v>0</v>
      </c>
      <c r="Q7667" t="n">
        <v>0</v>
      </c>
      <c r="R7667" s="2" t="inlineStr"/>
    </row>
    <row r="7668" ht="15" customHeight="1">
      <c r="A7668" t="inlineStr">
        <is>
          <t>A 27515-2021</t>
        </is>
      </c>
      <c r="B7668" s="1" t="n">
        <v>44351</v>
      </c>
      <c r="C7668" s="1" t="n">
        <v>45952</v>
      </c>
      <c r="D7668" t="inlineStr">
        <is>
          <t>VÄSTRA GÖTALANDS LÄN</t>
        </is>
      </c>
      <c r="E7668" t="inlineStr">
        <is>
          <t>FALKÖPING</t>
        </is>
      </c>
      <c r="G7668" t="n">
        <v>0.8</v>
      </c>
      <c r="H7668" t="n">
        <v>0</v>
      </c>
      <c r="I7668" t="n">
        <v>0</v>
      </c>
      <c r="J7668" t="n">
        <v>0</v>
      </c>
      <c r="K7668" t="n">
        <v>0</v>
      </c>
      <c r="L7668" t="n">
        <v>0</v>
      </c>
      <c r="M7668" t="n">
        <v>0</v>
      </c>
      <c r="N7668" t="n">
        <v>0</v>
      </c>
      <c r="O7668" t="n">
        <v>0</v>
      </c>
      <c r="P7668" t="n">
        <v>0</v>
      </c>
      <c r="Q7668" t="n">
        <v>0</v>
      </c>
      <c r="R7668" s="2" t="inlineStr"/>
    </row>
    <row r="7669" ht="15" customHeight="1">
      <c r="A7669" t="inlineStr">
        <is>
          <t>A 25413-2021</t>
        </is>
      </c>
      <c r="B7669" s="1" t="n">
        <v>44342.64425925926</v>
      </c>
      <c r="C7669" s="1" t="n">
        <v>45952</v>
      </c>
      <c r="D7669" t="inlineStr">
        <is>
          <t>VÄSTRA GÖTALANDS LÄN</t>
        </is>
      </c>
      <c r="E7669" t="inlineStr">
        <is>
          <t>TROLLHÄTTAN</t>
        </is>
      </c>
      <c r="G7669" t="n">
        <v>0</v>
      </c>
      <c r="H7669" t="n">
        <v>0</v>
      </c>
      <c r="I7669" t="n">
        <v>0</v>
      </c>
      <c r="J7669" t="n">
        <v>0</v>
      </c>
      <c r="K7669" t="n">
        <v>0</v>
      </c>
      <c r="L7669" t="n">
        <v>0</v>
      </c>
      <c r="M7669" t="n">
        <v>0</v>
      </c>
      <c r="N7669" t="n">
        <v>0</v>
      </c>
      <c r="O7669" t="n">
        <v>0</v>
      </c>
      <c r="P7669" t="n">
        <v>0</v>
      </c>
      <c r="Q7669" t="n">
        <v>0</v>
      </c>
      <c r="R7669" s="2" t="inlineStr"/>
    </row>
    <row r="7670" ht="15" customHeight="1">
      <c r="A7670" t="inlineStr">
        <is>
          <t>A 17488-2025</t>
        </is>
      </c>
      <c r="B7670" s="1" t="n">
        <v>45757.50461805556</v>
      </c>
      <c r="C7670" s="1" t="n">
        <v>45952</v>
      </c>
      <c r="D7670" t="inlineStr">
        <is>
          <t>VÄSTRA GÖTALANDS LÄN</t>
        </is>
      </c>
      <c r="E7670" t="inlineStr">
        <is>
          <t>FÄRGELANDA</t>
        </is>
      </c>
      <c r="G7670" t="n">
        <v>2.7</v>
      </c>
      <c r="H7670" t="n">
        <v>0</v>
      </c>
      <c r="I7670" t="n">
        <v>0</v>
      </c>
      <c r="J7670" t="n">
        <v>0</v>
      </c>
      <c r="K7670" t="n">
        <v>0</v>
      </c>
      <c r="L7670" t="n">
        <v>0</v>
      </c>
      <c r="M7670" t="n">
        <v>0</v>
      </c>
      <c r="N7670" t="n">
        <v>0</v>
      </c>
      <c r="O7670" t="n">
        <v>0</v>
      </c>
      <c r="P7670" t="n">
        <v>0</v>
      </c>
      <c r="Q7670" t="n">
        <v>0</v>
      </c>
      <c r="R7670" s="2" t="inlineStr"/>
    </row>
    <row r="7671" ht="15" customHeight="1">
      <c r="A7671" t="inlineStr">
        <is>
          <t>A 30988-2023</t>
        </is>
      </c>
      <c r="B7671" s="1" t="n">
        <v>45113.51958333333</v>
      </c>
      <c r="C7671" s="1" t="n">
        <v>45952</v>
      </c>
      <c r="D7671" t="inlineStr">
        <is>
          <t>VÄSTRA GÖTALANDS LÄN</t>
        </is>
      </c>
      <c r="E7671" t="inlineStr">
        <is>
          <t>SVENLJUNGA</t>
        </is>
      </c>
      <c r="G7671" t="n">
        <v>3.5</v>
      </c>
      <c r="H7671" t="n">
        <v>0</v>
      </c>
      <c r="I7671" t="n">
        <v>0</v>
      </c>
      <c r="J7671" t="n">
        <v>0</v>
      </c>
      <c r="K7671" t="n">
        <v>0</v>
      </c>
      <c r="L7671" t="n">
        <v>0</v>
      </c>
      <c r="M7671" t="n">
        <v>0</v>
      </c>
      <c r="N7671" t="n">
        <v>0</v>
      </c>
      <c r="O7671" t="n">
        <v>0</v>
      </c>
      <c r="P7671" t="n">
        <v>0</v>
      </c>
      <c r="Q7671" t="n">
        <v>0</v>
      </c>
      <c r="R7671" s="2" t="inlineStr"/>
    </row>
    <row r="7672" ht="15" customHeight="1">
      <c r="A7672" t="inlineStr">
        <is>
          <t>A 42722-2022</t>
        </is>
      </c>
      <c r="B7672" s="1" t="n">
        <v>44832.42837962963</v>
      </c>
      <c r="C7672" s="1" t="n">
        <v>45952</v>
      </c>
      <c r="D7672" t="inlineStr">
        <is>
          <t>VÄSTRA GÖTALANDS LÄN</t>
        </is>
      </c>
      <c r="E7672" t="inlineStr">
        <is>
          <t>SVENLJUNGA</t>
        </is>
      </c>
      <c r="G7672" t="n">
        <v>3.1</v>
      </c>
      <c r="H7672" t="n">
        <v>0</v>
      </c>
      <c r="I7672" t="n">
        <v>0</v>
      </c>
      <c r="J7672" t="n">
        <v>0</v>
      </c>
      <c r="K7672" t="n">
        <v>0</v>
      </c>
      <c r="L7672" t="n">
        <v>0</v>
      </c>
      <c r="M7672" t="n">
        <v>0</v>
      </c>
      <c r="N7672" t="n">
        <v>0</v>
      </c>
      <c r="O7672" t="n">
        <v>0</v>
      </c>
      <c r="P7672" t="n">
        <v>0</v>
      </c>
      <c r="Q7672" t="n">
        <v>0</v>
      </c>
      <c r="R7672" s="2" t="inlineStr"/>
    </row>
    <row r="7673" ht="15" customHeight="1">
      <c r="A7673" t="inlineStr">
        <is>
          <t>A 46531-2025</t>
        </is>
      </c>
      <c r="B7673" s="1" t="n">
        <v>45926.3371412037</v>
      </c>
      <c r="C7673" s="1" t="n">
        <v>45952</v>
      </c>
      <c r="D7673" t="inlineStr">
        <is>
          <t>VÄSTRA GÖTALANDS LÄN</t>
        </is>
      </c>
      <c r="E7673" t="inlineStr">
        <is>
          <t>TANUM</t>
        </is>
      </c>
      <c r="G7673" t="n">
        <v>0.7</v>
      </c>
      <c r="H7673" t="n">
        <v>0</v>
      </c>
      <c r="I7673" t="n">
        <v>0</v>
      </c>
      <c r="J7673" t="n">
        <v>0</v>
      </c>
      <c r="K7673" t="n">
        <v>0</v>
      </c>
      <c r="L7673" t="n">
        <v>0</v>
      </c>
      <c r="M7673" t="n">
        <v>0</v>
      </c>
      <c r="N7673" t="n">
        <v>0</v>
      </c>
      <c r="O7673" t="n">
        <v>0</v>
      </c>
      <c r="P7673" t="n">
        <v>0</v>
      </c>
      <c r="Q7673" t="n">
        <v>0</v>
      </c>
      <c r="R7673" s="2" t="inlineStr"/>
    </row>
    <row r="7674" ht="15" customHeight="1">
      <c r="A7674" t="inlineStr">
        <is>
          <t>A 23598-2023</t>
        </is>
      </c>
      <c r="B7674" s="1" t="n">
        <v>45072</v>
      </c>
      <c r="C7674" s="1" t="n">
        <v>45952</v>
      </c>
      <c r="D7674" t="inlineStr">
        <is>
          <t>VÄSTRA GÖTALANDS LÄN</t>
        </is>
      </c>
      <c r="E7674" t="inlineStr">
        <is>
          <t>MUNKEDAL</t>
        </is>
      </c>
      <c r="F7674" t="inlineStr">
        <is>
          <t>Kommuner</t>
        </is>
      </c>
      <c r="G7674" t="n">
        <v>2.8</v>
      </c>
      <c r="H7674" t="n">
        <v>0</v>
      </c>
      <c r="I7674" t="n">
        <v>0</v>
      </c>
      <c r="J7674" t="n">
        <v>0</v>
      </c>
      <c r="K7674" t="n">
        <v>0</v>
      </c>
      <c r="L7674" t="n">
        <v>0</v>
      </c>
      <c r="M7674" t="n">
        <v>0</v>
      </c>
      <c r="N7674" t="n">
        <v>0</v>
      </c>
      <c r="O7674" t="n">
        <v>0</v>
      </c>
      <c r="P7674" t="n">
        <v>0</v>
      </c>
      <c r="Q7674" t="n">
        <v>0</v>
      </c>
      <c r="R7674" s="2" t="inlineStr"/>
    </row>
    <row r="7675" ht="15" customHeight="1">
      <c r="A7675" t="inlineStr">
        <is>
          <t>A 61542-2023</t>
        </is>
      </c>
      <c r="B7675" s="1" t="n">
        <v>45265</v>
      </c>
      <c r="C7675" s="1" t="n">
        <v>45952</v>
      </c>
      <c r="D7675" t="inlineStr">
        <is>
          <t>VÄSTRA GÖTALANDS LÄN</t>
        </is>
      </c>
      <c r="E7675" t="inlineStr">
        <is>
          <t>KARLSBORG</t>
        </is>
      </c>
      <c r="G7675" t="n">
        <v>3</v>
      </c>
      <c r="H7675" t="n">
        <v>0</v>
      </c>
      <c r="I7675" t="n">
        <v>0</v>
      </c>
      <c r="J7675" t="n">
        <v>0</v>
      </c>
      <c r="K7675" t="n">
        <v>0</v>
      </c>
      <c r="L7675" t="n">
        <v>0</v>
      </c>
      <c r="M7675" t="n">
        <v>0</v>
      </c>
      <c r="N7675" t="n">
        <v>0</v>
      </c>
      <c r="O7675" t="n">
        <v>0</v>
      </c>
      <c r="P7675" t="n">
        <v>0</v>
      </c>
      <c r="Q7675" t="n">
        <v>0</v>
      </c>
      <c r="R7675" s="2" t="inlineStr"/>
    </row>
    <row r="7676" ht="15" customHeight="1">
      <c r="A7676" t="inlineStr">
        <is>
          <t>A 20523-2021</t>
        </is>
      </c>
      <c r="B7676" s="1" t="n">
        <v>44315.74832175926</v>
      </c>
      <c r="C7676" s="1" t="n">
        <v>45952</v>
      </c>
      <c r="D7676" t="inlineStr">
        <is>
          <t>VÄSTRA GÖTALANDS LÄN</t>
        </is>
      </c>
      <c r="E7676" t="inlineStr">
        <is>
          <t>GRÄSTORP</t>
        </is>
      </c>
      <c r="G7676" t="n">
        <v>2</v>
      </c>
      <c r="H7676" t="n">
        <v>0</v>
      </c>
      <c r="I7676" t="n">
        <v>0</v>
      </c>
      <c r="J7676" t="n">
        <v>0</v>
      </c>
      <c r="K7676" t="n">
        <v>0</v>
      </c>
      <c r="L7676" t="n">
        <v>0</v>
      </c>
      <c r="M7676" t="n">
        <v>0</v>
      </c>
      <c r="N7676" t="n">
        <v>0</v>
      </c>
      <c r="O7676" t="n">
        <v>0</v>
      </c>
      <c r="P7676" t="n">
        <v>0</v>
      </c>
      <c r="Q7676" t="n">
        <v>0</v>
      </c>
      <c r="R7676" s="2" t="inlineStr"/>
    </row>
    <row r="7677" ht="15" customHeight="1">
      <c r="A7677" t="inlineStr">
        <is>
          <t>A 42769-2022</t>
        </is>
      </c>
      <c r="B7677" s="1" t="n">
        <v>44832</v>
      </c>
      <c r="C7677" s="1" t="n">
        <v>45952</v>
      </c>
      <c r="D7677" t="inlineStr">
        <is>
          <t>VÄSTRA GÖTALANDS LÄN</t>
        </is>
      </c>
      <c r="E7677" t="inlineStr">
        <is>
          <t>GULLSPÅNG</t>
        </is>
      </c>
      <c r="G7677" t="n">
        <v>2.1</v>
      </c>
      <c r="H7677" t="n">
        <v>0</v>
      </c>
      <c r="I7677" t="n">
        <v>0</v>
      </c>
      <c r="J7677" t="n">
        <v>0</v>
      </c>
      <c r="K7677" t="n">
        <v>0</v>
      </c>
      <c r="L7677" t="n">
        <v>0</v>
      </c>
      <c r="M7677" t="n">
        <v>0</v>
      </c>
      <c r="N7677" t="n">
        <v>0</v>
      </c>
      <c r="O7677" t="n">
        <v>0</v>
      </c>
      <c r="P7677" t="n">
        <v>0</v>
      </c>
      <c r="Q7677" t="n">
        <v>0</v>
      </c>
      <c r="R7677" s="2" t="inlineStr"/>
    </row>
    <row r="7678" ht="15" customHeight="1">
      <c r="A7678" t="inlineStr">
        <is>
          <t>A 70758-2021</t>
        </is>
      </c>
      <c r="B7678" s="1" t="n">
        <v>44537</v>
      </c>
      <c r="C7678" s="1" t="n">
        <v>45952</v>
      </c>
      <c r="D7678" t="inlineStr">
        <is>
          <t>VÄSTRA GÖTALANDS LÄN</t>
        </is>
      </c>
      <c r="E7678" t="inlineStr">
        <is>
          <t>TRANEMO</t>
        </is>
      </c>
      <c r="G7678" t="n">
        <v>1.4</v>
      </c>
      <c r="H7678" t="n">
        <v>0</v>
      </c>
      <c r="I7678" t="n">
        <v>0</v>
      </c>
      <c r="J7678" t="n">
        <v>0</v>
      </c>
      <c r="K7678" t="n">
        <v>0</v>
      </c>
      <c r="L7678" t="n">
        <v>0</v>
      </c>
      <c r="M7678" t="n">
        <v>0</v>
      </c>
      <c r="N7678" t="n">
        <v>0</v>
      </c>
      <c r="O7678" t="n">
        <v>0</v>
      </c>
      <c r="P7678" t="n">
        <v>0</v>
      </c>
      <c r="Q7678" t="n">
        <v>0</v>
      </c>
      <c r="R7678" s="2" t="inlineStr"/>
    </row>
    <row r="7679" ht="15" customHeight="1">
      <c r="A7679" t="inlineStr">
        <is>
          <t>A 70783-2021</t>
        </is>
      </c>
      <c r="B7679" s="1" t="n">
        <v>44537</v>
      </c>
      <c r="C7679" s="1" t="n">
        <v>45952</v>
      </c>
      <c r="D7679" t="inlineStr">
        <is>
          <t>VÄSTRA GÖTALANDS LÄN</t>
        </is>
      </c>
      <c r="E7679" t="inlineStr">
        <is>
          <t>KARLSBORG</t>
        </is>
      </c>
      <c r="G7679" t="n">
        <v>1</v>
      </c>
      <c r="H7679" t="n">
        <v>0</v>
      </c>
      <c r="I7679" t="n">
        <v>0</v>
      </c>
      <c r="J7679" t="n">
        <v>0</v>
      </c>
      <c r="K7679" t="n">
        <v>0</v>
      </c>
      <c r="L7679" t="n">
        <v>0</v>
      </c>
      <c r="M7679" t="n">
        <v>0</v>
      </c>
      <c r="N7679" t="n">
        <v>0</v>
      </c>
      <c r="O7679" t="n">
        <v>0</v>
      </c>
      <c r="P7679" t="n">
        <v>0</v>
      </c>
      <c r="Q7679" t="n">
        <v>0</v>
      </c>
      <c r="R7679" s="2" t="inlineStr"/>
    </row>
    <row r="7680" ht="15" customHeight="1">
      <c r="A7680" t="inlineStr">
        <is>
          <t>A 62378-2023</t>
        </is>
      </c>
      <c r="B7680" s="1" t="n">
        <v>45266</v>
      </c>
      <c r="C7680" s="1" t="n">
        <v>45952</v>
      </c>
      <c r="D7680" t="inlineStr">
        <is>
          <t>VÄSTRA GÖTALANDS LÄN</t>
        </is>
      </c>
      <c r="E7680" t="inlineStr">
        <is>
          <t>TROLLHÄTTAN</t>
        </is>
      </c>
      <c r="F7680" t="inlineStr">
        <is>
          <t>Kyrkan</t>
        </is>
      </c>
      <c r="G7680" t="n">
        <v>2.8</v>
      </c>
      <c r="H7680" t="n">
        <v>0</v>
      </c>
      <c r="I7680" t="n">
        <v>0</v>
      </c>
      <c r="J7680" t="n">
        <v>0</v>
      </c>
      <c r="K7680" t="n">
        <v>0</v>
      </c>
      <c r="L7680" t="n">
        <v>0</v>
      </c>
      <c r="M7680" t="n">
        <v>0</v>
      </c>
      <c r="N7680" t="n">
        <v>0</v>
      </c>
      <c r="O7680" t="n">
        <v>0</v>
      </c>
      <c r="P7680" t="n">
        <v>0</v>
      </c>
      <c r="Q7680" t="n">
        <v>0</v>
      </c>
      <c r="R7680" s="2" t="inlineStr"/>
    </row>
    <row r="7681" ht="15" customHeight="1">
      <c r="A7681" t="inlineStr">
        <is>
          <t>A 62382-2023</t>
        </is>
      </c>
      <c r="B7681" s="1" t="n">
        <v>45266</v>
      </c>
      <c r="C7681" s="1" t="n">
        <v>45952</v>
      </c>
      <c r="D7681" t="inlineStr">
        <is>
          <t>VÄSTRA GÖTALANDS LÄN</t>
        </is>
      </c>
      <c r="E7681" t="inlineStr">
        <is>
          <t>TROLLHÄTTAN</t>
        </is>
      </c>
      <c r="F7681" t="inlineStr">
        <is>
          <t>Kyrkan</t>
        </is>
      </c>
      <c r="G7681" t="n">
        <v>1.8</v>
      </c>
      <c r="H7681" t="n">
        <v>0</v>
      </c>
      <c r="I7681" t="n">
        <v>0</v>
      </c>
      <c r="J7681" t="n">
        <v>0</v>
      </c>
      <c r="K7681" t="n">
        <v>0</v>
      </c>
      <c r="L7681" t="n">
        <v>0</v>
      </c>
      <c r="M7681" t="n">
        <v>0</v>
      </c>
      <c r="N7681" t="n">
        <v>0</v>
      </c>
      <c r="O7681" t="n">
        <v>0</v>
      </c>
      <c r="P7681" t="n">
        <v>0</v>
      </c>
      <c r="Q7681" t="n">
        <v>0</v>
      </c>
      <c r="R7681" s="2" t="inlineStr"/>
    </row>
    <row r="7682" ht="15" customHeight="1">
      <c r="A7682" t="inlineStr">
        <is>
          <t>A 30981-2023</t>
        </is>
      </c>
      <c r="B7682" s="1" t="n">
        <v>45113.51041666666</v>
      </c>
      <c r="C7682" s="1" t="n">
        <v>45952</v>
      </c>
      <c r="D7682" t="inlineStr">
        <is>
          <t>VÄSTRA GÖTALANDS LÄN</t>
        </is>
      </c>
      <c r="E7682" t="inlineStr">
        <is>
          <t>ÅMÅL</t>
        </is>
      </c>
      <c r="G7682" t="n">
        <v>0.7</v>
      </c>
      <c r="H7682" t="n">
        <v>0</v>
      </c>
      <c r="I7682" t="n">
        <v>0</v>
      </c>
      <c r="J7682" t="n">
        <v>0</v>
      </c>
      <c r="K7682" t="n">
        <v>0</v>
      </c>
      <c r="L7682" t="n">
        <v>0</v>
      </c>
      <c r="M7682" t="n">
        <v>0</v>
      </c>
      <c r="N7682" t="n">
        <v>0</v>
      </c>
      <c r="O7682" t="n">
        <v>0</v>
      </c>
      <c r="P7682" t="n">
        <v>0</v>
      </c>
      <c r="Q7682" t="n">
        <v>0</v>
      </c>
      <c r="R7682" s="2" t="inlineStr"/>
    </row>
    <row r="7683" ht="15" customHeight="1">
      <c r="A7683" t="inlineStr">
        <is>
          <t>A 26812-2024</t>
        </is>
      </c>
      <c r="B7683" s="1" t="n">
        <v>45470.54344907407</v>
      </c>
      <c r="C7683" s="1" t="n">
        <v>45952</v>
      </c>
      <c r="D7683" t="inlineStr">
        <is>
          <t>VÄSTRA GÖTALANDS LÄN</t>
        </is>
      </c>
      <c r="E7683" t="inlineStr">
        <is>
          <t>KUNGÄLV</t>
        </is>
      </c>
      <c r="G7683" t="n">
        <v>1.7</v>
      </c>
      <c r="H7683" t="n">
        <v>0</v>
      </c>
      <c r="I7683" t="n">
        <v>0</v>
      </c>
      <c r="J7683" t="n">
        <v>0</v>
      </c>
      <c r="K7683" t="n">
        <v>0</v>
      </c>
      <c r="L7683" t="n">
        <v>0</v>
      </c>
      <c r="M7683" t="n">
        <v>0</v>
      </c>
      <c r="N7683" t="n">
        <v>0</v>
      </c>
      <c r="O7683" t="n">
        <v>0</v>
      </c>
      <c r="P7683" t="n">
        <v>0</v>
      </c>
      <c r="Q7683" t="n">
        <v>0</v>
      </c>
      <c r="R7683" s="2" t="inlineStr"/>
    </row>
    <row r="7684" ht="15" customHeight="1">
      <c r="A7684" t="inlineStr">
        <is>
          <t>A 10826-2025</t>
        </is>
      </c>
      <c r="B7684" s="1" t="n">
        <v>45722.55954861111</v>
      </c>
      <c r="C7684" s="1" t="n">
        <v>45952</v>
      </c>
      <c r="D7684" t="inlineStr">
        <is>
          <t>VÄSTRA GÖTALANDS LÄN</t>
        </is>
      </c>
      <c r="E7684" t="inlineStr">
        <is>
          <t>MARIESTAD</t>
        </is>
      </c>
      <c r="G7684" t="n">
        <v>1.3</v>
      </c>
      <c r="H7684" t="n">
        <v>0</v>
      </c>
      <c r="I7684" t="n">
        <v>0</v>
      </c>
      <c r="J7684" t="n">
        <v>0</v>
      </c>
      <c r="K7684" t="n">
        <v>0</v>
      </c>
      <c r="L7684" t="n">
        <v>0</v>
      </c>
      <c r="M7684" t="n">
        <v>0</v>
      </c>
      <c r="N7684" t="n">
        <v>0</v>
      </c>
      <c r="O7684" t="n">
        <v>0</v>
      </c>
      <c r="P7684" t="n">
        <v>0</v>
      </c>
      <c r="Q7684" t="n">
        <v>0</v>
      </c>
      <c r="R7684" s="2" t="inlineStr"/>
    </row>
    <row r="7685" ht="15" customHeight="1">
      <c r="A7685" t="inlineStr">
        <is>
          <t>A 10867-2025</t>
        </is>
      </c>
      <c r="B7685" s="1" t="n">
        <v>45722.62149305556</v>
      </c>
      <c r="C7685" s="1" t="n">
        <v>45952</v>
      </c>
      <c r="D7685" t="inlineStr">
        <is>
          <t>VÄSTRA GÖTALANDS LÄN</t>
        </is>
      </c>
      <c r="E7685" t="inlineStr">
        <is>
          <t>TRANEMO</t>
        </is>
      </c>
      <c r="G7685" t="n">
        <v>2</v>
      </c>
      <c r="H7685" t="n">
        <v>0</v>
      </c>
      <c r="I7685" t="n">
        <v>0</v>
      </c>
      <c r="J7685" t="n">
        <v>0</v>
      </c>
      <c r="K7685" t="n">
        <v>0</v>
      </c>
      <c r="L7685" t="n">
        <v>0</v>
      </c>
      <c r="M7685" t="n">
        <v>0</v>
      </c>
      <c r="N7685" t="n">
        <v>0</v>
      </c>
      <c r="O7685" t="n">
        <v>0</v>
      </c>
      <c r="P7685" t="n">
        <v>0</v>
      </c>
      <c r="Q7685" t="n">
        <v>0</v>
      </c>
      <c r="R7685" s="2" t="inlineStr"/>
    </row>
    <row r="7686" ht="15" customHeight="1">
      <c r="A7686" t="inlineStr">
        <is>
          <t>A 37941-2023</t>
        </is>
      </c>
      <c r="B7686" s="1" t="n">
        <v>45160.54324074074</v>
      </c>
      <c r="C7686" s="1" t="n">
        <v>45952</v>
      </c>
      <c r="D7686" t="inlineStr">
        <is>
          <t>VÄSTRA GÖTALANDS LÄN</t>
        </is>
      </c>
      <c r="E7686" t="inlineStr">
        <is>
          <t>MUNKEDAL</t>
        </is>
      </c>
      <c r="G7686" t="n">
        <v>5.1</v>
      </c>
      <c r="H7686" t="n">
        <v>0</v>
      </c>
      <c r="I7686" t="n">
        <v>0</v>
      </c>
      <c r="J7686" t="n">
        <v>0</v>
      </c>
      <c r="K7686" t="n">
        <v>0</v>
      </c>
      <c r="L7686" t="n">
        <v>0</v>
      </c>
      <c r="M7686" t="n">
        <v>0</v>
      </c>
      <c r="N7686" t="n">
        <v>0</v>
      </c>
      <c r="O7686" t="n">
        <v>0</v>
      </c>
      <c r="P7686" t="n">
        <v>0</v>
      </c>
      <c r="Q7686" t="n">
        <v>0</v>
      </c>
      <c r="R7686" s="2" t="inlineStr"/>
    </row>
    <row r="7687" ht="15" customHeight="1">
      <c r="A7687" t="inlineStr">
        <is>
          <t>A 8812-2024</t>
        </is>
      </c>
      <c r="B7687" s="1" t="n">
        <v>45356.65800925926</v>
      </c>
      <c r="C7687" s="1" t="n">
        <v>45952</v>
      </c>
      <c r="D7687" t="inlineStr">
        <is>
          <t>VÄSTRA GÖTALANDS LÄN</t>
        </is>
      </c>
      <c r="E7687" t="inlineStr">
        <is>
          <t>MARK</t>
        </is>
      </c>
      <c r="G7687" t="n">
        <v>0.6</v>
      </c>
      <c r="H7687" t="n">
        <v>0</v>
      </c>
      <c r="I7687" t="n">
        <v>0</v>
      </c>
      <c r="J7687" t="n">
        <v>0</v>
      </c>
      <c r="K7687" t="n">
        <v>0</v>
      </c>
      <c r="L7687" t="n">
        <v>0</v>
      </c>
      <c r="M7687" t="n">
        <v>0</v>
      </c>
      <c r="N7687" t="n">
        <v>0</v>
      </c>
      <c r="O7687" t="n">
        <v>0</v>
      </c>
      <c r="P7687" t="n">
        <v>0</v>
      </c>
      <c r="Q7687" t="n">
        <v>0</v>
      </c>
      <c r="R7687" s="2" t="inlineStr"/>
    </row>
    <row r="7688" ht="15" customHeight="1">
      <c r="A7688" t="inlineStr">
        <is>
          <t>A 11587-2025</t>
        </is>
      </c>
      <c r="B7688" s="1" t="n">
        <v>45727.40679398148</v>
      </c>
      <c r="C7688" s="1" t="n">
        <v>45952</v>
      </c>
      <c r="D7688" t="inlineStr">
        <is>
          <t>VÄSTRA GÖTALANDS LÄN</t>
        </is>
      </c>
      <c r="E7688" t="inlineStr">
        <is>
          <t>MARIESTAD</t>
        </is>
      </c>
      <c r="G7688" t="n">
        <v>2.7</v>
      </c>
      <c r="H7688" t="n">
        <v>0</v>
      </c>
      <c r="I7688" t="n">
        <v>0</v>
      </c>
      <c r="J7688" t="n">
        <v>0</v>
      </c>
      <c r="K7688" t="n">
        <v>0</v>
      </c>
      <c r="L7688" t="n">
        <v>0</v>
      </c>
      <c r="M7688" t="n">
        <v>0</v>
      </c>
      <c r="N7688" t="n">
        <v>0</v>
      </c>
      <c r="O7688" t="n">
        <v>0</v>
      </c>
      <c r="P7688" t="n">
        <v>0</v>
      </c>
      <c r="Q7688" t="n">
        <v>0</v>
      </c>
      <c r="R7688" s="2" t="inlineStr"/>
    </row>
    <row r="7689" ht="15" customHeight="1">
      <c r="A7689" t="inlineStr">
        <is>
          <t>A 39278-2023</t>
        </is>
      </c>
      <c r="B7689" s="1" t="n">
        <v>45166</v>
      </c>
      <c r="C7689" s="1" t="n">
        <v>45952</v>
      </c>
      <c r="D7689" t="inlineStr">
        <is>
          <t>VÄSTRA GÖTALANDS LÄN</t>
        </is>
      </c>
      <c r="E7689" t="inlineStr">
        <is>
          <t>FALKÖPING</t>
        </is>
      </c>
      <c r="G7689" t="n">
        <v>3.9</v>
      </c>
      <c r="H7689" t="n">
        <v>0</v>
      </c>
      <c r="I7689" t="n">
        <v>0</v>
      </c>
      <c r="J7689" t="n">
        <v>0</v>
      </c>
      <c r="K7689" t="n">
        <v>0</v>
      </c>
      <c r="L7689" t="n">
        <v>0</v>
      </c>
      <c r="M7689" t="n">
        <v>0</v>
      </c>
      <c r="N7689" t="n">
        <v>0</v>
      </c>
      <c r="O7689" t="n">
        <v>0</v>
      </c>
      <c r="P7689" t="n">
        <v>0</v>
      </c>
      <c r="Q7689" t="n">
        <v>0</v>
      </c>
      <c r="R7689" s="2" t="inlineStr"/>
    </row>
    <row r="7690" ht="15" customHeight="1">
      <c r="A7690" t="inlineStr">
        <is>
          <t>A 15205-2022</t>
        </is>
      </c>
      <c r="B7690" s="1" t="n">
        <v>44658.64395833333</v>
      </c>
      <c r="C7690" s="1" t="n">
        <v>45952</v>
      </c>
      <c r="D7690" t="inlineStr">
        <is>
          <t>VÄSTRA GÖTALANDS LÄN</t>
        </is>
      </c>
      <c r="E7690" t="inlineStr">
        <is>
          <t>TRANEMO</t>
        </is>
      </c>
      <c r="G7690" t="n">
        <v>3.6</v>
      </c>
      <c r="H7690" t="n">
        <v>0</v>
      </c>
      <c r="I7690" t="n">
        <v>0</v>
      </c>
      <c r="J7690" t="n">
        <v>0</v>
      </c>
      <c r="K7690" t="n">
        <v>0</v>
      </c>
      <c r="L7690" t="n">
        <v>0</v>
      </c>
      <c r="M7690" t="n">
        <v>0</v>
      </c>
      <c r="N7690" t="n">
        <v>0</v>
      </c>
      <c r="O7690" t="n">
        <v>0</v>
      </c>
      <c r="P7690" t="n">
        <v>0</v>
      </c>
      <c r="Q7690" t="n">
        <v>0</v>
      </c>
      <c r="R7690" s="2" t="inlineStr"/>
    </row>
    <row r="7691" ht="15" customHeight="1">
      <c r="A7691" t="inlineStr">
        <is>
          <t>A 16332-2025</t>
        </is>
      </c>
      <c r="B7691" s="1" t="n">
        <v>45751.36189814815</v>
      </c>
      <c r="C7691" s="1" t="n">
        <v>45952</v>
      </c>
      <c r="D7691" t="inlineStr">
        <is>
          <t>VÄSTRA GÖTALANDS LÄN</t>
        </is>
      </c>
      <c r="E7691" t="inlineStr">
        <is>
          <t>UDDEVALLA</t>
        </is>
      </c>
      <c r="G7691" t="n">
        <v>5.5</v>
      </c>
      <c r="H7691" t="n">
        <v>0</v>
      </c>
      <c r="I7691" t="n">
        <v>0</v>
      </c>
      <c r="J7691" t="n">
        <v>0</v>
      </c>
      <c r="K7691" t="n">
        <v>0</v>
      </c>
      <c r="L7691" t="n">
        <v>0</v>
      </c>
      <c r="M7691" t="n">
        <v>0</v>
      </c>
      <c r="N7691" t="n">
        <v>0</v>
      </c>
      <c r="O7691" t="n">
        <v>0</v>
      </c>
      <c r="P7691" t="n">
        <v>0</v>
      </c>
      <c r="Q7691" t="n">
        <v>0</v>
      </c>
      <c r="R7691" s="2" t="inlineStr"/>
    </row>
    <row r="7692" ht="15" customHeight="1">
      <c r="A7692" t="inlineStr">
        <is>
          <t>A 35588-2023</t>
        </is>
      </c>
      <c r="B7692" s="1" t="n">
        <v>45146</v>
      </c>
      <c r="C7692" s="1" t="n">
        <v>45952</v>
      </c>
      <c r="D7692" t="inlineStr">
        <is>
          <t>VÄSTRA GÖTALANDS LÄN</t>
        </is>
      </c>
      <c r="E7692" t="inlineStr">
        <is>
          <t>VARA</t>
        </is>
      </c>
      <c r="G7692" t="n">
        <v>1.9</v>
      </c>
      <c r="H7692" t="n">
        <v>0</v>
      </c>
      <c r="I7692" t="n">
        <v>0</v>
      </c>
      <c r="J7692" t="n">
        <v>0</v>
      </c>
      <c r="K7692" t="n">
        <v>0</v>
      </c>
      <c r="L7692" t="n">
        <v>0</v>
      </c>
      <c r="M7692" t="n">
        <v>0</v>
      </c>
      <c r="N7692" t="n">
        <v>0</v>
      </c>
      <c r="O7692" t="n">
        <v>0</v>
      </c>
      <c r="P7692" t="n">
        <v>0</v>
      </c>
      <c r="Q7692" t="n">
        <v>0</v>
      </c>
      <c r="R7692" s="2" t="inlineStr"/>
    </row>
    <row r="7693" ht="15" customHeight="1">
      <c r="A7693" t="inlineStr">
        <is>
          <t>A 46823-2025</t>
        </is>
      </c>
      <c r="B7693" s="1" t="n">
        <v>45926.79550925926</v>
      </c>
      <c r="C7693" s="1" t="n">
        <v>45952</v>
      </c>
      <c r="D7693" t="inlineStr">
        <is>
          <t>VÄSTRA GÖTALANDS LÄN</t>
        </is>
      </c>
      <c r="E7693" t="inlineStr">
        <is>
          <t>VÅRGÅRDA</t>
        </is>
      </c>
      <c r="G7693" t="n">
        <v>2.4</v>
      </c>
      <c r="H7693" t="n">
        <v>0</v>
      </c>
      <c r="I7693" t="n">
        <v>0</v>
      </c>
      <c r="J7693" t="n">
        <v>0</v>
      </c>
      <c r="K7693" t="n">
        <v>0</v>
      </c>
      <c r="L7693" t="n">
        <v>0</v>
      </c>
      <c r="M7693" t="n">
        <v>0</v>
      </c>
      <c r="N7693" t="n">
        <v>0</v>
      </c>
      <c r="O7693" t="n">
        <v>0</v>
      </c>
      <c r="P7693" t="n">
        <v>0</v>
      </c>
      <c r="Q7693" t="n">
        <v>0</v>
      </c>
      <c r="R7693" s="2" t="inlineStr"/>
    </row>
    <row r="7694" ht="15" customHeight="1">
      <c r="A7694" t="inlineStr">
        <is>
          <t>A 19537-2025</t>
        </is>
      </c>
      <c r="B7694" s="1" t="n">
        <v>45770.4802662037</v>
      </c>
      <c r="C7694" s="1" t="n">
        <v>45952</v>
      </c>
      <c r="D7694" t="inlineStr">
        <is>
          <t>VÄSTRA GÖTALANDS LÄN</t>
        </is>
      </c>
      <c r="E7694" t="inlineStr">
        <is>
          <t>BORÅS</t>
        </is>
      </c>
      <c r="G7694" t="n">
        <v>2.9</v>
      </c>
      <c r="H7694" t="n">
        <v>0</v>
      </c>
      <c r="I7694" t="n">
        <v>0</v>
      </c>
      <c r="J7694" t="n">
        <v>0</v>
      </c>
      <c r="K7694" t="n">
        <v>0</v>
      </c>
      <c r="L7694" t="n">
        <v>0</v>
      </c>
      <c r="M7694" t="n">
        <v>0</v>
      </c>
      <c r="N7694" t="n">
        <v>0</v>
      </c>
      <c r="O7694" t="n">
        <v>0</v>
      </c>
      <c r="P7694" t="n">
        <v>0</v>
      </c>
      <c r="Q7694" t="n">
        <v>0</v>
      </c>
      <c r="R7694" s="2" t="inlineStr"/>
    </row>
    <row r="7695" ht="15" customHeight="1">
      <c r="A7695" t="inlineStr">
        <is>
          <t>A 19547-2025</t>
        </is>
      </c>
      <c r="B7695" s="1" t="n">
        <v>45770.49056712963</v>
      </c>
      <c r="C7695" s="1" t="n">
        <v>45952</v>
      </c>
      <c r="D7695" t="inlineStr">
        <is>
          <t>VÄSTRA GÖTALANDS LÄN</t>
        </is>
      </c>
      <c r="E7695" t="inlineStr">
        <is>
          <t>BORÅS</t>
        </is>
      </c>
      <c r="G7695" t="n">
        <v>1.4</v>
      </c>
      <c r="H7695" t="n">
        <v>0</v>
      </c>
      <c r="I7695" t="n">
        <v>0</v>
      </c>
      <c r="J7695" t="n">
        <v>0</v>
      </c>
      <c r="K7695" t="n">
        <v>0</v>
      </c>
      <c r="L7695" t="n">
        <v>0</v>
      </c>
      <c r="M7695" t="n">
        <v>0</v>
      </c>
      <c r="N7695" t="n">
        <v>0</v>
      </c>
      <c r="O7695" t="n">
        <v>0</v>
      </c>
      <c r="P7695" t="n">
        <v>0</v>
      </c>
      <c r="Q7695" t="n">
        <v>0</v>
      </c>
      <c r="R7695" s="2" t="inlineStr"/>
    </row>
    <row r="7696" ht="15" customHeight="1">
      <c r="A7696" t="inlineStr">
        <is>
          <t>A 1455-2025</t>
        </is>
      </c>
      <c r="B7696" s="1" t="n">
        <v>45670.31842592593</v>
      </c>
      <c r="C7696" s="1" t="n">
        <v>45952</v>
      </c>
      <c r="D7696" t="inlineStr">
        <is>
          <t>VÄSTRA GÖTALANDS LÄN</t>
        </is>
      </c>
      <c r="E7696" t="inlineStr">
        <is>
          <t>LIDKÖPING</t>
        </is>
      </c>
      <c r="G7696" t="n">
        <v>1.4</v>
      </c>
      <c r="H7696" t="n">
        <v>0</v>
      </c>
      <c r="I7696" t="n">
        <v>0</v>
      </c>
      <c r="J7696" t="n">
        <v>0</v>
      </c>
      <c r="K7696" t="n">
        <v>0</v>
      </c>
      <c r="L7696" t="n">
        <v>0</v>
      </c>
      <c r="M7696" t="n">
        <v>0</v>
      </c>
      <c r="N7696" t="n">
        <v>0</v>
      </c>
      <c r="O7696" t="n">
        <v>0</v>
      </c>
      <c r="P7696" t="n">
        <v>0</v>
      </c>
      <c r="Q7696" t="n">
        <v>0</v>
      </c>
      <c r="R7696" s="2" t="inlineStr"/>
    </row>
    <row r="7697" ht="15" customHeight="1">
      <c r="A7697" t="inlineStr">
        <is>
          <t>A 1456-2025</t>
        </is>
      </c>
      <c r="B7697" s="1" t="n">
        <v>45670.3232175926</v>
      </c>
      <c r="C7697" s="1" t="n">
        <v>45952</v>
      </c>
      <c r="D7697" t="inlineStr">
        <is>
          <t>VÄSTRA GÖTALANDS LÄN</t>
        </is>
      </c>
      <c r="E7697" t="inlineStr">
        <is>
          <t>TRANEMO</t>
        </is>
      </c>
      <c r="G7697" t="n">
        <v>5.9</v>
      </c>
      <c r="H7697" t="n">
        <v>0</v>
      </c>
      <c r="I7697" t="n">
        <v>0</v>
      </c>
      <c r="J7697" t="n">
        <v>0</v>
      </c>
      <c r="K7697" t="n">
        <v>0</v>
      </c>
      <c r="L7697" t="n">
        <v>0</v>
      </c>
      <c r="M7697" t="n">
        <v>0</v>
      </c>
      <c r="N7697" t="n">
        <v>0</v>
      </c>
      <c r="O7697" t="n">
        <v>0</v>
      </c>
      <c r="P7697" t="n">
        <v>0</v>
      </c>
      <c r="Q7697" t="n">
        <v>0</v>
      </c>
      <c r="R7697" s="2" t="inlineStr"/>
    </row>
    <row r="7698" ht="15" customHeight="1">
      <c r="A7698" t="inlineStr">
        <is>
          <t>A 35199-2025</t>
        </is>
      </c>
      <c r="B7698" s="1" t="n">
        <v>45853</v>
      </c>
      <c r="C7698" s="1" t="n">
        <v>45952</v>
      </c>
      <c r="D7698" t="inlineStr">
        <is>
          <t>VÄSTRA GÖTALANDS LÄN</t>
        </is>
      </c>
      <c r="E7698" t="inlineStr">
        <is>
          <t>SKÖVDE</t>
        </is>
      </c>
      <c r="G7698" t="n">
        <v>1.5</v>
      </c>
      <c r="H7698" t="n">
        <v>0</v>
      </c>
      <c r="I7698" t="n">
        <v>0</v>
      </c>
      <c r="J7698" t="n">
        <v>0</v>
      </c>
      <c r="K7698" t="n">
        <v>0</v>
      </c>
      <c r="L7698" t="n">
        <v>0</v>
      </c>
      <c r="M7698" t="n">
        <v>0</v>
      </c>
      <c r="N7698" t="n">
        <v>0</v>
      </c>
      <c r="O7698" t="n">
        <v>0</v>
      </c>
      <c r="P7698" t="n">
        <v>0</v>
      </c>
      <c r="Q7698" t="n">
        <v>0</v>
      </c>
      <c r="R7698" s="2" t="inlineStr"/>
    </row>
    <row r="7699" ht="15" customHeight="1">
      <c r="A7699" t="inlineStr">
        <is>
          <t>A 25316-2021</t>
        </is>
      </c>
      <c r="B7699" s="1" t="n">
        <v>44342</v>
      </c>
      <c r="C7699" s="1" t="n">
        <v>45952</v>
      </c>
      <c r="D7699" t="inlineStr">
        <is>
          <t>VÄSTRA GÖTALANDS LÄN</t>
        </is>
      </c>
      <c r="E7699" t="inlineStr">
        <is>
          <t>HJO</t>
        </is>
      </c>
      <c r="G7699" t="n">
        <v>0.9</v>
      </c>
      <c r="H7699" t="n">
        <v>0</v>
      </c>
      <c r="I7699" t="n">
        <v>0</v>
      </c>
      <c r="J7699" t="n">
        <v>0</v>
      </c>
      <c r="K7699" t="n">
        <v>0</v>
      </c>
      <c r="L7699" t="n">
        <v>0</v>
      </c>
      <c r="M7699" t="n">
        <v>0</v>
      </c>
      <c r="N7699" t="n">
        <v>0</v>
      </c>
      <c r="O7699" t="n">
        <v>0</v>
      </c>
      <c r="P7699" t="n">
        <v>0</v>
      </c>
      <c r="Q7699" t="n">
        <v>0</v>
      </c>
      <c r="R7699" s="2" t="inlineStr"/>
    </row>
    <row r="7700" ht="15" customHeight="1">
      <c r="A7700" t="inlineStr">
        <is>
          <t>A 2763-2023</t>
        </is>
      </c>
      <c r="B7700" s="1" t="n">
        <v>44944.62079861111</v>
      </c>
      <c r="C7700" s="1" t="n">
        <v>45952</v>
      </c>
      <c r="D7700" t="inlineStr">
        <is>
          <t>VÄSTRA GÖTALANDS LÄN</t>
        </is>
      </c>
      <c r="E7700" t="inlineStr">
        <is>
          <t>TIBRO</t>
        </is>
      </c>
      <c r="G7700" t="n">
        <v>2.5</v>
      </c>
      <c r="H7700" t="n">
        <v>0</v>
      </c>
      <c r="I7700" t="n">
        <v>0</v>
      </c>
      <c r="J7700" t="n">
        <v>0</v>
      </c>
      <c r="K7700" t="n">
        <v>0</v>
      </c>
      <c r="L7700" t="n">
        <v>0</v>
      </c>
      <c r="M7700" t="n">
        <v>0</v>
      </c>
      <c r="N7700" t="n">
        <v>0</v>
      </c>
      <c r="O7700" t="n">
        <v>0</v>
      </c>
      <c r="P7700" t="n">
        <v>0</v>
      </c>
      <c r="Q7700" t="n">
        <v>0</v>
      </c>
      <c r="R7700" s="2" t="inlineStr"/>
    </row>
    <row r="7701" ht="15" customHeight="1">
      <c r="A7701" t="inlineStr">
        <is>
          <t>A 35603-2024</t>
        </is>
      </c>
      <c r="B7701" s="1" t="n">
        <v>45531.66983796296</v>
      </c>
      <c r="C7701" s="1" t="n">
        <v>45952</v>
      </c>
      <c r="D7701" t="inlineStr">
        <is>
          <t>VÄSTRA GÖTALANDS LÄN</t>
        </is>
      </c>
      <c r="E7701" t="inlineStr">
        <is>
          <t>MELLERUD</t>
        </is>
      </c>
      <c r="G7701" t="n">
        <v>1.7</v>
      </c>
      <c r="H7701" t="n">
        <v>0</v>
      </c>
      <c r="I7701" t="n">
        <v>0</v>
      </c>
      <c r="J7701" t="n">
        <v>0</v>
      </c>
      <c r="K7701" t="n">
        <v>0</v>
      </c>
      <c r="L7701" t="n">
        <v>0</v>
      </c>
      <c r="M7701" t="n">
        <v>0</v>
      </c>
      <c r="N7701" t="n">
        <v>0</v>
      </c>
      <c r="O7701" t="n">
        <v>0</v>
      </c>
      <c r="P7701" t="n">
        <v>0</v>
      </c>
      <c r="Q7701" t="n">
        <v>0</v>
      </c>
      <c r="R7701" s="2" t="inlineStr"/>
    </row>
    <row r="7702" ht="15" customHeight="1">
      <c r="A7702" t="inlineStr">
        <is>
          <t>A 35605-2024</t>
        </is>
      </c>
      <c r="B7702" s="1" t="n">
        <v>45531.67395833333</v>
      </c>
      <c r="C7702" s="1" t="n">
        <v>45952</v>
      </c>
      <c r="D7702" t="inlineStr">
        <is>
          <t>VÄSTRA GÖTALANDS LÄN</t>
        </is>
      </c>
      <c r="E7702" t="inlineStr">
        <is>
          <t>MELLERUD</t>
        </is>
      </c>
      <c r="G7702" t="n">
        <v>1.4</v>
      </c>
      <c r="H7702" t="n">
        <v>0</v>
      </c>
      <c r="I7702" t="n">
        <v>0</v>
      </c>
      <c r="J7702" t="n">
        <v>0</v>
      </c>
      <c r="K7702" t="n">
        <v>0</v>
      </c>
      <c r="L7702" t="n">
        <v>0</v>
      </c>
      <c r="M7702" t="n">
        <v>0</v>
      </c>
      <c r="N7702" t="n">
        <v>0</v>
      </c>
      <c r="O7702" t="n">
        <v>0</v>
      </c>
      <c r="P7702" t="n">
        <v>0</v>
      </c>
      <c r="Q7702" t="n">
        <v>0</v>
      </c>
      <c r="R7702" s="2" t="inlineStr"/>
    </row>
    <row r="7703" ht="15" customHeight="1">
      <c r="A7703" t="inlineStr">
        <is>
          <t>A 488-2025</t>
        </is>
      </c>
      <c r="B7703" s="1" t="n">
        <v>45664.45827546297</v>
      </c>
      <c r="C7703" s="1" t="n">
        <v>45952</v>
      </c>
      <c r="D7703" t="inlineStr">
        <is>
          <t>VÄSTRA GÖTALANDS LÄN</t>
        </is>
      </c>
      <c r="E7703" t="inlineStr">
        <is>
          <t>GULLSPÅNG</t>
        </is>
      </c>
      <c r="G7703" t="n">
        <v>9.699999999999999</v>
      </c>
      <c r="H7703" t="n">
        <v>0</v>
      </c>
      <c r="I7703" t="n">
        <v>0</v>
      </c>
      <c r="J7703" t="n">
        <v>0</v>
      </c>
      <c r="K7703" t="n">
        <v>0</v>
      </c>
      <c r="L7703" t="n">
        <v>0</v>
      </c>
      <c r="M7703" t="n">
        <v>0</v>
      </c>
      <c r="N7703" t="n">
        <v>0</v>
      </c>
      <c r="O7703" t="n">
        <v>0</v>
      </c>
      <c r="P7703" t="n">
        <v>0</v>
      </c>
      <c r="Q7703" t="n">
        <v>0</v>
      </c>
      <c r="R7703" s="2" t="inlineStr"/>
    </row>
    <row r="7704" ht="15" customHeight="1">
      <c r="A7704" t="inlineStr">
        <is>
          <t>A 61213-2024</t>
        </is>
      </c>
      <c r="B7704" s="1" t="n">
        <v>45645.65461805555</v>
      </c>
      <c r="C7704" s="1" t="n">
        <v>45952</v>
      </c>
      <c r="D7704" t="inlineStr">
        <is>
          <t>VÄSTRA GÖTALANDS LÄN</t>
        </is>
      </c>
      <c r="E7704" t="inlineStr">
        <is>
          <t>SKÖVDE</t>
        </is>
      </c>
      <c r="G7704" t="n">
        <v>2.5</v>
      </c>
      <c r="H7704" t="n">
        <v>0</v>
      </c>
      <c r="I7704" t="n">
        <v>0</v>
      </c>
      <c r="J7704" t="n">
        <v>0</v>
      </c>
      <c r="K7704" t="n">
        <v>0</v>
      </c>
      <c r="L7704" t="n">
        <v>0</v>
      </c>
      <c r="M7704" t="n">
        <v>0</v>
      </c>
      <c r="N7704" t="n">
        <v>0</v>
      </c>
      <c r="O7704" t="n">
        <v>0</v>
      </c>
      <c r="P7704" t="n">
        <v>0</v>
      </c>
      <c r="Q7704" t="n">
        <v>0</v>
      </c>
      <c r="R7704" s="2" t="inlineStr"/>
    </row>
    <row r="7705" ht="15" customHeight="1">
      <c r="A7705" t="inlineStr">
        <is>
          <t>A 37169-2022</t>
        </is>
      </c>
      <c r="B7705" s="1" t="n">
        <v>44806.60627314815</v>
      </c>
      <c r="C7705" s="1" t="n">
        <v>45952</v>
      </c>
      <c r="D7705" t="inlineStr">
        <is>
          <t>VÄSTRA GÖTALANDS LÄN</t>
        </is>
      </c>
      <c r="E7705" t="inlineStr">
        <is>
          <t>LIDKÖPING</t>
        </is>
      </c>
      <c r="G7705" t="n">
        <v>17.4</v>
      </c>
      <c r="H7705" t="n">
        <v>0</v>
      </c>
      <c r="I7705" t="n">
        <v>0</v>
      </c>
      <c r="J7705" t="n">
        <v>0</v>
      </c>
      <c r="K7705" t="n">
        <v>0</v>
      </c>
      <c r="L7705" t="n">
        <v>0</v>
      </c>
      <c r="M7705" t="n">
        <v>0</v>
      </c>
      <c r="N7705" t="n">
        <v>0</v>
      </c>
      <c r="O7705" t="n">
        <v>0</v>
      </c>
      <c r="P7705" t="n">
        <v>0</v>
      </c>
      <c r="Q7705" t="n">
        <v>0</v>
      </c>
      <c r="R7705" s="2" t="inlineStr"/>
    </row>
    <row r="7706" ht="15" customHeight="1">
      <c r="A7706" t="inlineStr">
        <is>
          <t>A 46870-2025</t>
        </is>
      </c>
      <c r="B7706" s="1" t="n">
        <v>45927</v>
      </c>
      <c r="C7706" s="1" t="n">
        <v>45952</v>
      </c>
      <c r="D7706" t="inlineStr">
        <is>
          <t>VÄSTRA GÖTALANDS LÄN</t>
        </is>
      </c>
      <c r="E7706" t="inlineStr">
        <is>
          <t>TANUM</t>
        </is>
      </c>
      <c r="G7706" t="n">
        <v>5.1</v>
      </c>
      <c r="H7706" t="n">
        <v>0</v>
      </c>
      <c r="I7706" t="n">
        <v>0</v>
      </c>
      <c r="J7706" t="n">
        <v>0</v>
      </c>
      <c r="K7706" t="n">
        <v>0</v>
      </c>
      <c r="L7706" t="n">
        <v>0</v>
      </c>
      <c r="M7706" t="n">
        <v>0</v>
      </c>
      <c r="N7706" t="n">
        <v>0</v>
      </c>
      <c r="O7706" t="n">
        <v>0</v>
      </c>
      <c r="P7706" t="n">
        <v>0</v>
      </c>
      <c r="Q7706" t="n">
        <v>0</v>
      </c>
      <c r="R7706" s="2" t="inlineStr"/>
    </row>
    <row r="7707" ht="15" customHeight="1">
      <c r="A7707" t="inlineStr">
        <is>
          <t>A 46872-2025</t>
        </is>
      </c>
      <c r="B7707" s="1" t="n">
        <v>45929.34412037037</v>
      </c>
      <c r="C7707" s="1" t="n">
        <v>45952</v>
      </c>
      <c r="D7707" t="inlineStr">
        <is>
          <t>VÄSTRA GÖTALANDS LÄN</t>
        </is>
      </c>
      <c r="E7707" t="inlineStr">
        <is>
          <t>MELLERUD</t>
        </is>
      </c>
      <c r="G7707" t="n">
        <v>0.4</v>
      </c>
      <c r="H7707" t="n">
        <v>0</v>
      </c>
      <c r="I7707" t="n">
        <v>0</v>
      </c>
      <c r="J7707" t="n">
        <v>0</v>
      </c>
      <c r="K7707" t="n">
        <v>0</v>
      </c>
      <c r="L7707" t="n">
        <v>0</v>
      </c>
      <c r="M7707" t="n">
        <v>0</v>
      </c>
      <c r="N7707" t="n">
        <v>0</v>
      </c>
      <c r="O7707" t="n">
        <v>0</v>
      </c>
      <c r="P7707" t="n">
        <v>0</v>
      </c>
      <c r="Q7707" t="n">
        <v>0</v>
      </c>
      <c r="R7707" s="2" t="inlineStr"/>
    </row>
    <row r="7708" ht="15" customHeight="1">
      <c r="A7708" t="inlineStr">
        <is>
          <t>A 17925-2022</t>
        </is>
      </c>
      <c r="B7708" s="1" t="n">
        <v>44683.57416666667</v>
      </c>
      <c r="C7708" s="1" t="n">
        <v>45952</v>
      </c>
      <c r="D7708" t="inlineStr">
        <is>
          <t>VÄSTRA GÖTALANDS LÄN</t>
        </is>
      </c>
      <c r="E7708" t="inlineStr">
        <is>
          <t>BOLLEBYGD</t>
        </is>
      </c>
      <c r="G7708" t="n">
        <v>1.4</v>
      </c>
      <c r="H7708" t="n">
        <v>0</v>
      </c>
      <c r="I7708" t="n">
        <v>0</v>
      </c>
      <c r="J7708" t="n">
        <v>0</v>
      </c>
      <c r="K7708" t="n">
        <v>0</v>
      </c>
      <c r="L7708" t="n">
        <v>0</v>
      </c>
      <c r="M7708" t="n">
        <v>0</v>
      </c>
      <c r="N7708" t="n">
        <v>0</v>
      </c>
      <c r="O7708" t="n">
        <v>0</v>
      </c>
      <c r="P7708" t="n">
        <v>0</v>
      </c>
      <c r="Q7708" t="n">
        <v>0</v>
      </c>
      <c r="R7708" s="2" t="inlineStr"/>
    </row>
    <row r="7709" ht="15" customHeight="1">
      <c r="A7709" t="inlineStr">
        <is>
          <t>A 18511-2022</t>
        </is>
      </c>
      <c r="B7709" s="1" t="n">
        <v>44686.65587962963</v>
      </c>
      <c r="C7709" s="1" t="n">
        <v>45952</v>
      </c>
      <c r="D7709" t="inlineStr">
        <is>
          <t>VÄSTRA GÖTALANDS LÄN</t>
        </is>
      </c>
      <c r="E7709" t="inlineStr">
        <is>
          <t>HERRLJUNGA</t>
        </is>
      </c>
      <c r="G7709" t="n">
        <v>0.9</v>
      </c>
      <c r="H7709" t="n">
        <v>0</v>
      </c>
      <c r="I7709" t="n">
        <v>0</v>
      </c>
      <c r="J7709" t="n">
        <v>0</v>
      </c>
      <c r="K7709" t="n">
        <v>0</v>
      </c>
      <c r="L7709" t="n">
        <v>0</v>
      </c>
      <c r="M7709" t="n">
        <v>0</v>
      </c>
      <c r="N7709" t="n">
        <v>0</v>
      </c>
      <c r="O7709" t="n">
        <v>0</v>
      </c>
      <c r="P7709" t="n">
        <v>0</v>
      </c>
      <c r="Q7709" t="n">
        <v>0</v>
      </c>
      <c r="R7709" s="2" t="inlineStr"/>
    </row>
    <row r="7710" ht="15" customHeight="1">
      <c r="A7710" t="inlineStr">
        <is>
          <t>A 2706-2023</t>
        </is>
      </c>
      <c r="B7710" s="1" t="n">
        <v>44944</v>
      </c>
      <c r="C7710" s="1" t="n">
        <v>45952</v>
      </c>
      <c r="D7710" t="inlineStr">
        <is>
          <t>VÄSTRA GÖTALANDS LÄN</t>
        </is>
      </c>
      <c r="E7710" t="inlineStr">
        <is>
          <t>TANUM</t>
        </is>
      </c>
      <c r="G7710" t="n">
        <v>1.1</v>
      </c>
      <c r="H7710" t="n">
        <v>0</v>
      </c>
      <c r="I7710" t="n">
        <v>0</v>
      </c>
      <c r="J7710" t="n">
        <v>0</v>
      </c>
      <c r="K7710" t="n">
        <v>0</v>
      </c>
      <c r="L7710" t="n">
        <v>0</v>
      </c>
      <c r="M7710" t="n">
        <v>0</v>
      </c>
      <c r="N7710" t="n">
        <v>0</v>
      </c>
      <c r="O7710" t="n">
        <v>0</v>
      </c>
      <c r="P7710" t="n">
        <v>0</v>
      </c>
      <c r="Q7710" t="n">
        <v>0</v>
      </c>
      <c r="R7710" s="2" t="inlineStr"/>
    </row>
    <row r="7711" ht="15" customHeight="1">
      <c r="A7711" t="inlineStr">
        <is>
          <t>A 11795-2023</t>
        </is>
      </c>
      <c r="B7711" s="1" t="n">
        <v>44994</v>
      </c>
      <c r="C7711" s="1" t="n">
        <v>45952</v>
      </c>
      <c r="D7711" t="inlineStr">
        <is>
          <t>VÄSTRA GÖTALANDS LÄN</t>
        </is>
      </c>
      <c r="E7711" t="inlineStr">
        <is>
          <t>BOLLEBYGD</t>
        </is>
      </c>
      <c r="G7711" t="n">
        <v>0.6</v>
      </c>
      <c r="H7711" t="n">
        <v>0</v>
      </c>
      <c r="I7711" t="n">
        <v>0</v>
      </c>
      <c r="J7711" t="n">
        <v>0</v>
      </c>
      <c r="K7711" t="n">
        <v>0</v>
      </c>
      <c r="L7711" t="n">
        <v>0</v>
      </c>
      <c r="M7711" t="n">
        <v>0</v>
      </c>
      <c r="N7711" t="n">
        <v>0</v>
      </c>
      <c r="O7711" t="n">
        <v>0</v>
      </c>
      <c r="P7711" t="n">
        <v>0</v>
      </c>
      <c r="Q7711" t="n">
        <v>0</v>
      </c>
      <c r="R7711" s="2" t="inlineStr"/>
    </row>
    <row r="7712" ht="15" customHeight="1">
      <c r="A7712" t="inlineStr">
        <is>
          <t>A 37327-2022</t>
        </is>
      </c>
      <c r="B7712" s="1" t="n">
        <v>44806</v>
      </c>
      <c r="C7712" s="1" t="n">
        <v>45952</v>
      </c>
      <c r="D7712" t="inlineStr">
        <is>
          <t>VÄSTRA GÖTALANDS LÄN</t>
        </is>
      </c>
      <c r="E7712" t="inlineStr">
        <is>
          <t>MUNKEDAL</t>
        </is>
      </c>
      <c r="F7712" t="inlineStr">
        <is>
          <t>Övriga Aktiebolag</t>
        </is>
      </c>
      <c r="G7712" t="n">
        <v>25.2</v>
      </c>
      <c r="H7712" t="n">
        <v>0</v>
      </c>
      <c r="I7712" t="n">
        <v>0</v>
      </c>
      <c r="J7712" t="n">
        <v>0</v>
      </c>
      <c r="K7712" t="n">
        <v>0</v>
      </c>
      <c r="L7712" t="n">
        <v>0</v>
      </c>
      <c r="M7712" t="n">
        <v>0</v>
      </c>
      <c r="N7712" t="n">
        <v>0</v>
      </c>
      <c r="O7712" t="n">
        <v>0</v>
      </c>
      <c r="P7712" t="n">
        <v>0</v>
      </c>
      <c r="Q7712" t="n">
        <v>0</v>
      </c>
      <c r="R7712" s="2" t="inlineStr"/>
    </row>
    <row r="7713" ht="15" customHeight="1">
      <c r="A7713" t="inlineStr">
        <is>
          <t>A 60321-2024</t>
        </is>
      </c>
      <c r="B7713" s="1" t="n">
        <v>45643.37196759259</v>
      </c>
      <c r="C7713" s="1" t="n">
        <v>45952</v>
      </c>
      <c r="D7713" t="inlineStr">
        <is>
          <t>VÄSTRA GÖTALANDS LÄN</t>
        </is>
      </c>
      <c r="E7713" t="inlineStr">
        <is>
          <t>FÄRGELANDA</t>
        </is>
      </c>
      <c r="G7713" t="n">
        <v>3.4</v>
      </c>
      <c r="H7713" t="n">
        <v>0</v>
      </c>
      <c r="I7713" t="n">
        <v>0</v>
      </c>
      <c r="J7713" t="n">
        <v>0</v>
      </c>
      <c r="K7713" t="n">
        <v>0</v>
      </c>
      <c r="L7713" t="n">
        <v>0</v>
      </c>
      <c r="M7713" t="n">
        <v>0</v>
      </c>
      <c r="N7713" t="n">
        <v>0</v>
      </c>
      <c r="O7713" t="n">
        <v>0</v>
      </c>
      <c r="P7713" t="n">
        <v>0</v>
      </c>
      <c r="Q7713" t="n">
        <v>0</v>
      </c>
      <c r="R7713" s="2" t="inlineStr"/>
    </row>
    <row r="7714" ht="15" customHeight="1">
      <c r="A7714" t="inlineStr">
        <is>
          <t>A 17193-2025</t>
        </is>
      </c>
      <c r="B7714" s="1" t="n">
        <v>45756.39622685185</v>
      </c>
      <c r="C7714" s="1" t="n">
        <v>45952</v>
      </c>
      <c r="D7714" t="inlineStr">
        <is>
          <t>VÄSTRA GÖTALANDS LÄN</t>
        </is>
      </c>
      <c r="E7714" t="inlineStr">
        <is>
          <t>TANUM</t>
        </is>
      </c>
      <c r="G7714" t="n">
        <v>5.7</v>
      </c>
      <c r="H7714" t="n">
        <v>0</v>
      </c>
      <c r="I7714" t="n">
        <v>0</v>
      </c>
      <c r="J7714" t="n">
        <v>0</v>
      </c>
      <c r="K7714" t="n">
        <v>0</v>
      </c>
      <c r="L7714" t="n">
        <v>0</v>
      </c>
      <c r="M7714" t="n">
        <v>0</v>
      </c>
      <c r="N7714" t="n">
        <v>0</v>
      </c>
      <c r="O7714" t="n">
        <v>0</v>
      </c>
      <c r="P7714" t="n">
        <v>0</v>
      </c>
      <c r="Q7714" t="n">
        <v>0</v>
      </c>
      <c r="R7714" s="2" t="inlineStr"/>
    </row>
    <row r="7715" ht="15" customHeight="1">
      <c r="A7715" t="inlineStr">
        <is>
          <t>A 4124-2022</t>
        </is>
      </c>
      <c r="B7715" s="1" t="n">
        <v>44588</v>
      </c>
      <c r="C7715" s="1" t="n">
        <v>45952</v>
      </c>
      <c r="D7715" t="inlineStr">
        <is>
          <t>VÄSTRA GÖTALANDS LÄN</t>
        </is>
      </c>
      <c r="E7715" t="inlineStr">
        <is>
          <t>SVENLJUNGA</t>
        </is>
      </c>
      <c r="G7715" t="n">
        <v>4.4</v>
      </c>
      <c r="H7715" t="n">
        <v>0</v>
      </c>
      <c r="I7715" t="n">
        <v>0</v>
      </c>
      <c r="J7715" t="n">
        <v>0</v>
      </c>
      <c r="K7715" t="n">
        <v>0</v>
      </c>
      <c r="L7715" t="n">
        <v>0</v>
      </c>
      <c r="M7715" t="n">
        <v>0</v>
      </c>
      <c r="N7715" t="n">
        <v>0</v>
      </c>
      <c r="O7715" t="n">
        <v>0</v>
      </c>
      <c r="P7715" t="n">
        <v>0</v>
      </c>
      <c r="Q7715" t="n">
        <v>0</v>
      </c>
      <c r="R7715" s="2" t="inlineStr"/>
    </row>
    <row r="7716" ht="15" customHeight="1">
      <c r="A7716" t="inlineStr">
        <is>
          <t>A 4131-2022</t>
        </is>
      </c>
      <c r="B7716" s="1" t="n">
        <v>44588</v>
      </c>
      <c r="C7716" s="1" t="n">
        <v>45952</v>
      </c>
      <c r="D7716" t="inlineStr">
        <is>
          <t>VÄSTRA GÖTALANDS LÄN</t>
        </is>
      </c>
      <c r="E7716" t="inlineStr">
        <is>
          <t>MARK</t>
        </is>
      </c>
      <c r="G7716" t="n">
        <v>0.7</v>
      </c>
      <c r="H7716" t="n">
        <v>0</v>
      </c>
      <c r="I7716" t="n">
        <v>0</v>
      </c>
      <c r="J7716" t="n">
        <v>0</v>
      </c>
      <c r="K7716" t="n">
        <v>0</v>
      </c>
      <c r="L7716" t="n">
        <v>0</v>
      </c>
      <c r="M7716" t="n">
        <v>0</v>
      </c>
      <c r="N7716" t="n">
        <v>0</v>
      </c>
      <c r="O7716" t="n">
        <v>0</v>
      </c>
      <c r="P7716" t="n">
        <v>0</v>
      </c>
      <c r="Q7716" t="n">
        <v>0</v>
      </c>
      <c r="R7716" s="2" t="inlineStr"/>
    </row>
    <row r="7717" ht="15" customHeight="1">
      <c r="A7717" t="inlineStr">
        <is>
          <t>A 4136-2022</t>
        </is>
      </c>
      <c r="B7717" s="1" t="n">
        <v>44588.47145833333</v>
      </c>
      <c r="C7717" s="1" t="n">
        <v>45952</v>
      </c>
      <c r="D7717" t="inlineStr">
        <is>
          <t>VÄSTRA GÖTALANDS LÄN</t>
        </is>
      </c>
      <c r="E7717" t="inlineStr">
        <is>
          <t>MARK</t>
        </is>
      </c>
      <c r="G7717" t="n">
        <v>0.9</v>
      </c>
      <c r="H7717" t="n">
        <v>0</v>
      </c>
      <c r="I7717" t="n">
        <v>0</v>
      </c>
      <c r="J7717" t="n">
        <v>0</v>
      </c>
      <c r="K7717" t="n">
        <v>0</v>
      </c>
      <c r="L7717" t="n">
        <v>0</v>
      </c>
      <c r="M7717" t="n">
        <v>0</v>
      </c>
      <c r="N7717" t="n">
        <v>0</v>
      </c>
      <c r="O7717" t="n">
        <v>0</v>
      </c>
      <c r="P7717" t="n">
        <v>0</v>
      </c>
      <c r="Q7717" t="n">
        <v>0</v>
      </c>
      <c r="R7717" s="2" t="inlineStr"/>
    </row>
    <row r="7718" ht="15" customHeight="1">
      <c r="A7718" t="inlineStr">
        <is>
          <t>A 9168-2023</t>
        </is>
      </c>
      <c r="B7718" s="1" t="n">
        <v>44980.40984953703</v>
      </c>
      <c r="C7718" s="1" t="n">
        <v>45952</v>
      </c>
      <c r="D7718" t="inlineStr">
        <is>
          <t>VÄSTRA GÖTALANDS LÄN</t>
        </is>
      </c>
      <c r="E7718" t="inlineStr">
        <is>
          <t>FALKÖPING</t>
        </is>
      </c>
      <c r="G7718" t="n">
        <v>2.3</v>
      </c>
      <c r="H7718" t="n">
        <v>0</v>
      </c>
      <c r="I7718" t="n">
        <v>0</v>
      </c>
      <c r="J7718" t="n">
        <v>0</v>
      </c>
      <c r="K7718" t="n">
        <v>0</v>
      </c>
      <c r="L7718" t="n">
        <v>0</v>
      </c>
      <c r="M7718" t="n">
        <v>0</v>
      </c>
      <c r="N7718" t="n">
        <v>0</v>
      </c>
      <c r="O7718" t="n">
        <v>0</v>
      </c>
      <c r="P7718" t="n">
        <v>0</v>
      </c>
      <c r="Q7718" t="n">
        <v>0</v>
      </c>
      <c r="R7718" s="2" t="inlineStr"/>
    </row>
    <row r="7719" ht="15" customHeight="1">
      <c r="A7719" t="inlineStr">
        <is>
          <t>A 9169-2023</t>
        </is>
      </c>
      <c r="B7719" s="1" t="n">
        <v>44980.41365740741</v>
      </c>
      <c r="C7719" s="1" t="n">
        <v>45952</v>
      </c>
      <c r="D7719" t="inlineStr">
        <is>
          <t>VÄSTRA GÖTALANDS LÄN</t>
        </is>
      </c>
      <c r="E7719" t="inlineStr">
        <is>
          <t>VÄNERSBORG</t>
        </is>
      </c>
      <c r="G7719" t="n">
        <v>0.6</v>
      </c>
      <c r="H7719" t="n">
        <v>0</v>
      </c>
      <c r="I7719" t="n">
        <v>0</v>
      </c>
      <c r="J7719" t="n">
        <v>0</v>
      </c>
      <c r="K7719" t="n">
        <v>0</v>
      </c>
      <c r="L7719" t="n">
        <v>0</v>
      </c>
      <c r="M7719" t="n">
        <v>0</v>
      </c>
      <c r="N7719" t="n">
        <v>0</v>
      </c>
      <c r="O7719" t="n">
        <v>0</v>
      </c>
      <c r="P7719" t="n">
        <v>0</v>
      </c>
      <c r="Q7719" t="n">
        <v>0</v>
      </c>
      <c r="R7719" s="2" t="inlineStr"/>
    </row>
    <row r="7720" ht="15" customHeight="1">
      <c r="A7720" t="inlineStr">
        <is>
          <t>A 51458-2024</t>
        </is>
      </c>
      <c r="B7720" s="1" t="n">
        <v>45604.49313657408</v>
      </c>
      <c r="C7720" s="1" t="n">
        <v>45952</v>
      </c>
      <c r="D7720" t="inlineStr">
        <is>
          <t>VÄSTRA GÖTALANDS LÄN</t>
        </is>
      </c>
      <c r="E7720" t="inlineStr">
        <is>
          <t>MARK</t>
        </is>
      </c>
      <c r="G7720" t="n">
        <v>2.8</v>
      </c>
      <c r="H7720" t="n">
        <v>0</v>
      </c>
      <c r="I7720" t="n">
        <v>0</v>
      </c>
      <c r="J7720" t="n">
        <v>0</v>
      </c>
      <c r="K7720" t="n">
        <v>0</v>
      </c>
      <c r="L7720" t="n">
        <v>0</v>
      </c>
      <c r="M7720" t="n">
        <v>0</v>
      </c>
      <c r="N7720" t="n">
        <v>0</v>
      </c>
      <c r="O7720" t="n">
        <v>0</v>
      </c>
      <c r="P7720" t="n">
        <v>0</v>
      </c>
      <c r="Q7720" t="n">
        <v>0</v>
      </c>
      <c r="R7720" s="2" t="inlineStr"/>
    </row>
    <row r="7721" ht="15" customHeight="1">
      <c r="A7721" t="inlineStr">
        <is>
          <t>A 34436-2022</t>
        </is>
      </c>
      <c r="B7721" s="1" t="n">
        <v>44792</v>
      </c>
      <c r="C7721" s="1" t="n">
        <v>45952</v>
      </c>
      <c r="D7721" t="inlineStr">
        <is>
          <t>VÄSTRA GÖTALANDS LÄN</t>
        </is>
      </c>
      <c r="E7721" t="inlineStr">
        <is>
          <t>TÖREBODA</t>
        </is>
      </c>
      <c r="G7721" t="n">
        <v>4.1</v>
      </c>
      <c r="H7721" t="n">
        <v>0</v>
      </c>
      <c r="I7721" t="n">
        <v>0</v>
      </c>
      <c r="J7721" t="n">
        <v>0</v>
      </c>
      <c r="K7721" t="n">
        <v>0</v>
      </c>
      <c r="L7721" t="n">
        <v>0</v>
      </c>
      <c r="M7721" t="n">
        <v>0</v>
      </c>
      <c r="N7721" t="n">
        <v>0</v>
      </c>
      <c r="O7721" t="n">
        <v>0</v>
      </c>
      <c r="P7721" t="n">
        <v>0</v>
      </c>
      <c r="Q7721" t="n">
        <v>0</v>
      </c>
      <c r="R7721" s="2" t="inlineStr"/>
    </row>
    <row r="7722" ht="15" customHeight="1">
      <c r="A7722" t="inlineStr">
        <is>
          <t>A 28266-2023</t>
        </is>
      </c>
      <c r="B7722" s="1" t="n">
        <v>45099</v>
      </c>
      <c r="C7722" s="1" t="n">
        <v>45952</v>
      </c>
      <c r="D7722" t="inlineStr">
        <is>
          <t>VÄSTRA GÖTALANDS LÄN</t>
        </is>
      </c>
      <c r="E7722" t="inlineStr">
        <is>
          <t>SVENLJUNGA</t>
        </is>
      </c>
      <c r="G7722" t="n">
        <v>9.800000000000001</v>
      </c>
      <c r="H7722" t="n">
        <v>0</v>
      </c>
      <c r="I7722" t="n">
        <v>0</v>
      </c>
      <c r="J7722" t="n">
        <v>0</v>
      </c>
      <c r="K7722" t="n">
        <v>0</v>
      </c>
      <c r="L7722" t="n">
        <v>0</v>
      </c>
      <c r="M7722" t="n">
        <v>0</v>
      </c>
      <c r="N7722" t="n">
        <v>0</v>
      </c>
      <c r="O7722" t="n">
        <v>0</v>
      </c>
      <c r="P7722" t="n">
        <v>0</v>
      </c>
      <c r="Q7722" t="n">
        <v>0</v>
      </c>
      <c r="R7722" s="2" t="inlineStr"/>
    </row>
    <row r="7723" ht="15" customHeight="1">
      <c r="A7723" t="inlineStr">
        <is>
          <t>A 22167-2024</t>
        </is>
      </c>
      <c r="B7723" s="1" t="n">
        <v>45446.24280092592</v>
      </c>
      <c r="C7723" s="1" t="n">
        <v>45952</v>
      </c>
      <c r="D7723" t="inlineStr">
        <is>
          <t>VÄSTRA GÖTALANDS LÄN</t>
        </is>
      </c>
      <c r="E7723" t="inlineStr">
        <is>
          <t>GRÄSTORP</t>
        </is>
      </c>
      <c r="G7723" t="n">
        <v>0.4</v>
      </c>
      <c r="H7723" t="n">
        <v>0</v>
      </c>
      <c r="I7723" t="n">
        <v>0</v>
      </c>
      <c r="J7723" t="n">
        <v>0</v>
      </c>
      <c r="K7723" t="n">
        <v>0</v>
      </c>
      <c r="L7723" t="n">
        <v>0</v>
      </c>
      <c r="M7723" t="n">
        <v>0</v>
      </c>
      <c r="N7723" t="n">
        <v>0</v>
      </c>
      <c r="O7723" t="n">
        <v>0</v>
      </c>
      <c r="P7723" t="n">
        <v>0</v>
      </c>
      <c r="Q7723" t="n">
        <v>0</v>
      </c>
      <c r="R7723" s="2" t="inlineStr"/>
    </row>
    <row r="7724" ht="15" customHeight="1">
      <c r="A7724" t="inlineStr">
        <is>
          <t>A 16473-2023</t>
        </is>
      </c>
      <c r="B7724" s="1" t="n">
        <v>45029</v>
      </c>
      <c r="C7724" s="1" t="n">
        <v>45952</v>
      </c>
      <c r="D7724" t="inlineStr">
        <is>
          <t>VÄSTRA GÖTALANDS LÄN</t>
        </is>
      </c>
      <c r="E7724" t="inlineStr">
        <is>
          <t>TROLLHÄTTAN</t>
        </is>
      </c>
      <c r="G7724" t="n">
        <v>5.5</v>
      </c>
      <c r="H7724" t="n">
        <v>0</v>
      </c>
      <c r="I7724" t="n">
        <v>0</v>
      </c>
      <c r="J7724" t="n">
        <v>0</v>
      </c>
      <c r="K7724" t="n">
        <v>0</v>
      </c>
      <c r="L7724" t="n">
        <v>0</v>
      </c>
      <c r="M7724" t="n">
        <v>0</v>
      </c>
      <c r="N7724" t="n">
        <v>0</v>
      </c>
      <c r="O7724" t="n">
        <v>0</v>
      </c>
      <c r="P7724" t="n">
        <v>0</v>
      </c>
      <c r="Q7724" t="n">
        <v>0</v>
      </c>
      <c r="R7724" s="2" t="inlineStr"/>
    </row>
    <row r="7725" ht="15" customHeight="1">
      <c r="A7725" t="inlineStr">
        <is>
          <t>A 22144-2023</t>
        </is>
      </c>
      <c r="B7725" s="1" t="n">
        <v>45068</v>
      </c>
      <c r="C7725" s="1" t="n">
        <v>45952</v>
      </c>
      <c r="D7725" t="inlineStr">
        <is>
          <t>VÄSTRA GÖTALANDS LÄN</t>
        </is>
      </c>
      <c r="E7725" t="inlineStr">
        <is>
          <t>TIDAHOLM</t>
        </is>
      </c>
      <c r="G7725" t="n">
        <v>1.2</v>
      </c>
      <c r="H7725" t="n">
        <v>0</v>
      </c>
      <c r="I7725" t="n">
        <v>0</v>
      </c>
      <c r="J7725" t="n">
        <v>0</v>
      </c>
      <c r="K7725" t="n">
        <v>0</v>
      </c>
      <c r="L7725" t="n">
        <v>0</v>
      </c>
      <c r="M7725" t="n">
        <v>0</v>
      </c>
      <c r="N7725" t="n">
        <v>0</v>
      </c>
      <c r="O7725" t="n">
        <v>0</v>
      </c>
      <c r="P7725" t="n">
        <v>0</v>
      </c>
      <c r="Q7725" t="n">
        <v>0</v>
      </c>
      <c r="R7725" s="2" t="inlineStr"/>
    </row>
    <row r="7726" ht="15" customHeight="1">
      <c r="A7726" t="inlineStr">
        <is>
          <t>A 40053-2023</t>
        </is>
      </c>
      <c r="B7726" s="1" t="n">
        <v>45168.72297453704</v>
      </c>
      <c r="C7726" s="1" t="n">
        <v>45952</v>
      </c>
      <c r="D7726" t="inlineStr">
        <is>
          <t>VÄSTRA GÖTALANDS LÄN</t>
        </is>
      </c>
      <c r="E7726" t="inlineStr">
        <is>
          <t>HÄRRYDA</t>
        </is>
      </c>
      <c r="G7726" t="n">
        <v>2.5</v>
      </c>
      <c r="H7726" t="n">
        <v>0</v>
      </c>
      <c r="I7726" t="n">
        <v>0</v>
      </c>
      <c r="J7726" t="n">
        <v>0</v>
      </c>
      <c r="K7726" t="n">
        <v>0</v>
      </c>
      <c r="L7726" t="n">
        <v>0</v>
      </c>
      <c r="M7726" t="n">
        <v>0</v>
      </c>
      <c r="N7726" t="n">
        <v>0</v>
      </c>
      <c r="O7726" t="n">
        <v>0</v>
      </c>
      <c r="P7726" t="n">
        <v>0</v>
      </c>
      <c r="Q7726" t="n">
        <v>0</v>
      </c>
      <c r="R7726" s="2" t="inlineStr"/>
    </row>
    <row r="7727" ht="15" customHeight="1">
      <c r="A7727" t="inlineStr">
        <is>
          <t>A 28758-2021</t>
        </is>
      </c>
      <c r="B7727" s="1" t="n">
        <v>44357</v>
      </c>
      <c r="C7727" s="1" t="n">
        <v>45952</v>
      </c>
      <c r="D7727" t="inlineStr">
        <is>
          <t>VÄSTRA GÖTALANDS LÄN</t>
        </is>
      </c>
      <c r="E7727" t="inlineStr">
        <is>
          <t>MUNKEDAL</t>
        </is>
      </c>
      <c r="G7727" t="n">
        <v>9</v>
      </c>
      <c r="H7727" t="n">
        <v>0</v>
      </c>
      <c r="I7727" t="n">
        <v>0</v>
      </c>
      <c r="J7727" t="n">
        <v>0</v>
      </c>
      <c r="K7727" t="n">
        <v>0</v>
      </c>
      <c r="L7727" t="n">
        <v>0</v>
      </c>
      <c r="M7727" t="n">
        <v>0</v>
      </c>
      <c r="N7727" t="n">
        <v>0</v>
      </c>
      <c r="O7727" t="n">
        <v>0</v>
      </c>
      <c r="P7727" t="n">
        <v>0</v>
      </c>
      <c r="Q7727" t="n">
        <v>0</v>
      </c>
      <c r="R7727" s="2" t="inlineStr"/>
    </row>
    <row r="7728" ht="15" customHeight="1">
      <c r="A7728" t="inlineStr">
        <is>
          <t>A 16475-2023</t>
        </is>
      </c>
      <c r="B7728" s="1" t="n">
        <v>45029</v>
      </c>
      <c r="C7728" s="1" t="n">
        <v>45952</v>
      </c>
      <c r="D7728" t="inlineStr">
        <is>
          <t>VÄSTRA GÖTALANDS LÄN</t>
        </is>
      </c>
      <c r="E7728" t="inlineStr">
        <is>
          <t>TROLLHÄTTAN</t>
        </is>
      </c>
      <c r="G7728" t="n">
        <v>1.1</v>
      </c>
      <c r="H7728" t="n">
        <v>0</v>
      </c>
      <c r="I7728" t="n">
        <v>0</v>
      </c>
      <c r="J7728" t="n">
        <v>0</v>
      </c>
      <c r="K7728" t="n">
        <v>0</v>
      </c>
      <c r="L7728" t="n">
        <v>0</v>
      </c>
      <c r="M7728" t="n">
        <v>0</v>
      </c>
      <c r="N7728" t="n">
        <v>0</v>
      </c>
      <c r="O7728" t="n">
        <v>0</v>
      </c>
      <c r="P7728" t="n">
        <v>0</v>
      </c>
      <c r="Q7728" t="n">
        <v>0</v>
      </c>
      <c r="R7728" s="2" t="inlineStr"/>
    </row>
    <row r="7729" ht="15" customHeight="1">
      <c r="A7729" t="inlineStr">
        <is>
          <t>A 18043-2021</t>
        </is>
      </c>
      <c r="B7729" s="1" t="n">
        <v>44301</v>
      </c>
      <c r="C7729" s="1" t="n">
        <v>45952</v>
      </c>
      <c r="D7729" t="inlineStr">
        <is>
          <t>VÄSTRA GÖTALANDS LÄN</t>
        </is>
      </c>
      <c r="E7729" t="inlineStr">
        <is>
          <t>STRÖMSTAD</t>
        </is>
      </c>
      <c r="G7729" t="n">
        <v>6.1</v>
      </c>
      <c r="H7729" t="n">
        <v>0</v>
      </c>
      <c r="I7729" t="n">
        <v>0</v>
      </c>
      <c r="J7729" t="n">
        <v>0</v>
      </c>
      <c r="K7729" t="n">
        <v>0</v>
      </c>
      <c r="L7729" t="n">
        <v>0</v>
      </c>
      <c r="M7729" t="n">
        <v>0</v>
      </c>
      <c r="N7729" t="n">
        <v>0</v>
      </c>
      <c r="O7729" t="n">
        <v>0</v>
      </c>
      <c r="P7729" t="n">
        <v>0</v>
      </c>
      <c r="Q7729" t="n">
        <v>0</v>
      </c>
      <c r="R7729" s="2" t="inlineStr"/>
    </row>
    <row r="7730" ht="15" customHeight="1">
      <c r="A7730" t="inlineStr">
        <is>
          <t>A 41360-2024</t>
        </is>
      </c>
      <c r="B7730" s="1" t="n">
        <v>45559.7225</v>
      </c>
      <c r="C7730" s="1" t="n">
        <v>45952</v>
      </c>
      <c r="D7730" t="inlineStr">
        <is>
          <t>VÄSTRA GÖTALANDS LÄN</t>
        </is>
      </c>
      <c r="E7730" t="inlineStr">
        <is>
          <t>BENGTSFORS</t>
        </is>
      </c>
      <c r="G7730" t="n">
        <v>1.6</v>
      </c>
      <c r="H7730" t="n">
        <v>0</v>
      </c>
      <c r="I7730" t="n">
        <v>0</v>
      </c>
      <c r="J7730" t="n">
        <v>0</v>
      </c>
      <c r="K7730" t="n">
        <v>0</v>
      </c>
      <c r="L7730" t="n">
        <v>0</v>
      </c>
      <c r="M7730" t="n">
        <v>0</v>
      </c>
      <c r="N7730" t="n">
        <v>0</v>
      </c>
      <c r="O7730" t="n">
        <v>0</v>
      </c>
      <c r="P7730" t="n">
        <v>0</v>
      </c>
      <c r="Q7730" t="n">
        <v>0</v>
      </c>
      <c r="R7730" s="2" t="inlineStr"/>
    </row>
    <row r="7731" ht="15" customHeight="1">
      <c r="A7731" t="inlineStr">
        <is>
          <t>A 42341-2021</t>
        </is>
      </c>
      <c r="B7731" s="1" t="n">
        <v>44427</v>
      </c>
      <c r="C7731" s="1" t="n">
        <v>45952</v>
      </c>
      <c r="D7731" t="inlineStr">
        <is>
          <t>VÄSTRA GÖTALANDS LÄN</t>
        </is>
      </c>
      <c r="E7731" t="inlineStr">
        <is>
          <t>DALS-ED</t>
        </is>
      </c>
      <c r="G7731" t="n">
        <v>0.8</v>
      </c>
      <c r="H7731" t="n">
        <v>0</v>
      </c>
      <c r="I7731" t="n">
        <v>0</v>
      </c>
      <c r="J7731" t="n">
        <v>0</v>
      </c>
      <c r="K7731" t="n">
        <v>0</v>
      </c>
      <c r="L7731" t="n">
        <v>0</v>
      </c>
      <c r="M7731" t="n">
        <v>0</v>
      </c>
      <c r="N7731" t="n">
        <v>0</v>
      </c>
      <c r="O7731" t="n">
        <v>0</v>
      </c>
      <c r="P7731" t="n">
        <v>0</v>
      </c>
      <c r="Q7731" t="n">
        <v>0</v>
      </c>
      <c r="R7731" s="2" t="inlineStr"/>
    </row>
    <row r="7732" ht="15" customHeight="1">
      <c r="A7732" t="inlineStr">
        <is>
          <t>A 50858-2022</t>
        </is>
      </c>
      <c r="B7732" s="1" t="n">
        <v>44867</v>
      </c>
      <c r="C7732" s="1" t="n">
        <v>45952</v>
      </c>
      <c r="D7732" t="inlineStr">
        <is>
          <t>VÄSTRA GÖTALANDS LÄN</t>
        </is>
      </c>
      <c r="E7732" t="inlineStr">
        <is>
          <t>TRANEMO</t>
        </is>
      </c>
      <c r="G7732" t="n">
        <v>2</v>
      </c>
      <c r="H7732" t="n">
        <v>0</v>
      </c>
      <c r="I7732" t="n">
        <v>0</v>
      </c>
      <c r="J7732" t="n">
        <v>0</v>
      </c>
      <c r="K7732" t="n">
        <v>0</v>
      </c>
      <c r="L7732" t="n">
        <v>0</v>
      </c>
      <c r="M7732" t="n">
        <v>0</v>
      </c>
      <c r="N7732" t="n">
        <v>0</v>
      </c>
      <c r="O7732" t="n">
        <v>0</v>
      </c>
      <c r="P7732" t="n">
        <v>0</v>
      </c>
      <c r="Q7732" t="n">
        <v>0</v>
      </c>
      <c r="R7732" s="2" t="inlineStr"/>
    </row>
    <row r="7733" ht="15" customHeight="1">
      <c r="A7733" t="inlineStr">
        <is>
          <t>A 50935-2022</t>
        </is>
      </c>
      <c r="B7733" s="1" t="n">
        <v>44867</v>
      </c>
      <c r="C7733" s="1" t="n">
        <v>45952</v>
      </c>
      <c r="D7733" t="inlineStr">
        <is>
          <t>VÄSTRA GÖTALANDS LÄN</t>
        </is>
      </c>
      <c r="E7733" t="inlineStr">
        <is>
          <t>TANUM</t>
        </is>
      </c>
      <c r="G7733" t="n">
        <v>2.2</v>
      </c>
      <c r="H7733" t="n">
        <v>0</v>
      </c>
      <c r="I7733" t="n">
        <v>0</v>
      </c>
      <c r="J7733" t="n">
        <v>0</v>
      </c>
      <c r="K7733" t="n">
        <v>0</v>
      </c>
      <c r="L7733" t="n">
        <v>0</v>
      </c>
      <c r="M7733" t="n">
        <v>0</v>
      </c>
      <c r="N7733" t="n">
        <v>0</v>
      </c>
      <c r="O7733" t="n">
        <v>0</v>
      </c>
      <c r="P7733" t="n">
        <v>0</v>
      </c>
      <c r="Q7733" t="n">
        <v>0</v>
      </c>
      <c r="R7733" s="2" t="inlineStr"/>
    </row>
    <row r="7734" ht="15" customHeight="1">
      <c r="A7734" t="inlineStr">
        <is>
          <t>A 55984-2024</t>
        </is>
      </c>
      <c r="B7734" s="1" t="n">
        <v>45623</v>
      </c>
      <c r="C7734" s="1" t="n">
        <v>45952</v>
      </c>
      <c r="D7734" t="inlineStr">
        <is>
          <t>VÄSTRA GÖTALANDS LÄN</t>
        </is>
      </c>
      <c r="E7734" t="inlineStr">
        <is>
          <t>LIDKÖPING</t>
        </is>
      </c>
      <c r="G7734" t="n">
        <v>1.7</v>
      </c>
      <c r="H7734" t="n">
        <v>0</v>
      </c>
      <c r="I7734" t="n">
        <v>0</v>
      </c>
      <c r="J7734" t="n">
        <v>0</v>
      </c>
      <c r="K7734" t="n">
        <v>0</v>
      </c>
      <c r="L7734" t="n">
        <v>0</v>
      </c>
      <c r="M7734" t="n">
        <v>0</v>
      </c>
      <c r="N7734" t="n">
        <v>0</v>
      </c>
      <c r="O7734" t="n">
        <v>0</v>
      </c>
      <c r="P7734" t="n">
        <v>0</v>
      </c>
      <c r="Q7734" t="n">
        <v>0</v>
      </c>
      <c r="R7734" s="2" t="inlineStr"/>
    </row>
    <row r="7735" ht="15" customHeight="1">
      <c r="A7735" t="inlineStr">
        <is>
          <t>A 56027-2024</t>
        </is>
      </c>
      <c r="B7735" s="1" t="n">
        <v>45624.30578703704</v>
      </c>
      <c r="C7735" s="1" t="n">
        <v>45952</v>
      </c>
      <c r="D7735" t="inlineStr">
        <is>
          <t>VÄSTRA GÖTALANDS LÄN</t>
        </is>
      </c>
      <c r="E7735" t="inlineStr">
        <is>
          <t>TRANEMO</t>
        </is>
      </c>
      <c r="G7735" t="n">
        <v>1.5</v>
      </c>
      <c r="H7735" t="n">
        <v>0</v>
      </c>
      <c r="I7735" t="n">
        <v>0</v>
      </c>
      <c r="J7735" t="n">
        <v>0</v>
      </c>
      <c r="K7735" t="n">
        <v>0</v>
      </c>
      <c r="L7735" t="n">
        <v>0</v>
      </c>
      <c r="M7735" t="n">
        <v>0</v>
      </c>
      <c r="N7735" t="n">
        <v>0</v>
      </c>
      <c r="O7735" t="n">
        <v>0</v>
      </c>
      <c r="P7735" t="n">
        <v>0</v>
      </c>
      <c r="Q7735" t="n">
        <v>0</v>
      </c>
      <c r="R7735" s="2" t="inlineStr"/>
    </row>
    <row r="7736" ht="15" customHeight="1">
      <c r="A7736" t="inlineStr">
        <is>
          <t>A 46846-2025</t>
        </is>
      </c>
      <c r="B7736" s="1" t="n">
        <v>45928.68194444444</v>
      </c>
      <c r="C7736" s="1" t="n">
        <v>45952</v>
      </c>
      <c r="D7736" t="inlineStr">
        <is>
          <t>VÄSTRA GÖTALANDS LÄN</t>
        </is>
      </c>
      <c r="E7736" t="inlineStr">
        <is>
          <t>ALINGSÅS</t>
        </is>
      </c>
      <c r="G7736" t="n">
        <v>1.4</v>
      </c>
      <c r="H7736" t="n">
        <v>0</v>
      </c>
      <c r="I7736" t="n">
        <v>0</v>
      </c>
      <c r="J7736" t="n">
        <v>0</v>
      </c>
      <c r="K7736" t="n">
        <v>0</v>
      </c>
      <c r="L7736" t="n">
        <v>0</v>
      </c>
      <c r="M7736" t="n">
        <v>0</v>
      </c>
      <c r="N7736" t="n">
        <v>0</v>
      </c>
      <c r="O7736" t="n">
        <v>0</v>
      </c>
      <c r="P7736" t="n">
        <v>0</v>
      </c>
      <c r="Q7736" t="n">
        <v>0</v>
      </c>
      <c r="R7736" s="2" t="inlineStr"/>
    </row>
    <row r="7737" ht="15" customHeight="1">
      <c r="A7737" t="inlineStr">
        <is>
          <t>A 1293-2024</t>
        </is>
      </c>
      <c r="B7737" s="1" t="n">
        <v>45303.34233796296</v>
      </c>
      <c r="C7737" s="1" t="n">
        <v>45952</v>
      </c>
      <c r="D7737" t="inlineStr">
        <is>
          <t>VÄSTRA GÖTALANDS LÄN</t>
        </is>
      </c>
      <c r="E7737" t="inlineStr">
        <is>
          <t>UDDEVALLA</t>
        </is>
      </c>
      <c r="G7737" t="n">
        <v>2.2</v>
      </c>
      <c r="H7737" t="n">
        <v>0</v>
      </c>
      <c r="I7737" t="n">
        <v>0</v>
      </c>
      <c r="J7737" t="n">
        <v>0</v>
      </c>
      <c r="K7737" t="n">
        <v>0</v>
      </c>
      <c r="L7737" t="n">
        <v>0</v>
      </c>
      <c r="M7737" t="n">
        <v>0</v>
      </c>
      <c r="N7737" t="n">
        <v>0</v>
      </c>
      <c r="O7737" t="n">
        <v>0</v>
      </c>
      <c r="P7737" t="n">
        <v>0</v>
      </c>
      <c r="Q7737" t="n">
        <v>0</v>
      </c>
      <c r="R7737" s="2" t="inlineStr"/>
    </row>
    <row r="7738" ht="15" customHeight="1">
      <c r="A7738" t="inlineStr">
        <is>
          <t>A 53131-2022</t>
        </is>
      </c>
      <c r="B7738" s="1" t="n">
        <v>44876.47059027778</v>
      </c>
      <c r="C7738" s="1" t="n">
        <v>45952</v>
      </c>
      <c r="D7738" t="inlineStr">
        <is>
          <t>VÄSTRA GÖTALANDS LÄN</t>
        </is>
      </c>
      <c r="E7738" t="inlineStr">
        <is>
          <t>TROLLHÄTTAN</t>
        </is>
      </c>
      <c r="G7738" t="n">
        <v>1.8</v>
      </c>
      <c r="H7738" t="n">
        <v>0</v>
      </c>
      <c r="I7738" t="n">
        <v>0</v>
      </c>
      <c r="J7738" t="n">
        <v>0</v>
      </c>
      <c r="K7738" t="n">
        <v>0</v>
      </c>
      <c r="L7738" t="n">
        <v>0</v>
      </c>
      <c r="M7738" t="n">
        <v>0</v>
      </c>
      <c r="N7738" t="n">
        <v>0</v>
      </c>
      <c r="O7738" t="n">
        <v>0</v>
      </c>
      <c r="P7738" t="n">
        <v>0</v>
      </c>
      <c r="Q7738" t="n">
        <v>0</v>
      </c>
      <c r="R7738" s="2" t="inlineStr"/>
    </row>
    <row r="7739" ht="15" customHeight="1">
      <c r="A7739" t="inlineStr">
        <is>
          <t>A 1368-2024</t>
        </is>
      </c>
      <c r="B7739" s="1" t="n">
        <v>45303.53072916667</v>
      </c>
      <c r="C7739" s="1" t="n">
        <v>45952</v>
      </c>
      <c r="D7739" t="inlineStr">
        <is>
          <t>VÄSTRA GÖTALANDS LÄN</t>
        </is>
      </c>
      <c r="E7739" t="inlineStr">
        <is>
          <t>HERRLJUNGA</t>
        </is>
      </c>
      <c r="G7739" t="n">
        <v>0.6</v>
      </c>
      <c r="H7739" t="n">
        <v>0</v>
      </c>
      <c r="I7739" t="n">
        <v>0</v>
      </c>
      <c r="J7739" t="n">
        <v>0</v>
      </c>
      <c r="K7739" t="n">
        <v>0</v>
      </c>
      <c r="L7739" t="n">
        <v>0</v>
      </c>
      <c r="M7739" t="n">
        <v>0</v>
      </c>
      <c r="N7739" t="n">
        <v>0</v>
      </c>
      <c r="O7739" t="n">
        <v>0</v>
      </c>
      <c r="P7739" t="n">
        <v>0</v>
      </c>
      <c r="Q7739" t="n">
        <v>0</v>
      </c>
      <c r="R7739" s="2" t="inlineStr"/>
    </row>
    <row r="7740" ht="15" customHeight="1">
      <c r="A7740" t="inlineStr">
        <is>
          <t>A 1396-2024</t>
        </is>
      </c>
      <c r="B7740" s="1" t="n">
        <v>45303.58416666667</v>
      </c>
      <c r="C7740" s="1" t="n">
        <v>45952</v>
      </c>
      <c r="D7740" t="inlineStr">
        <is>
          <t>VÄSTRA GÖTALANDS LÄN</t>
        </is>
      </c>
      <c r="E7740" t="inlineStr">
        <is>
          <t>TANUM</t>
        </is>
      </c>
      <c r="G7740" t="n">
        <v>0.7</v>
      </c>
      <c r="H7740" t="n">
        <v>0</v>
      </c>
      <c r="I7740" t="n">
        <v>0</v>
      </c>
      <c r="J7740" t="n">
        <v>0</v>
      </c>
      <c r="K7740" t="n">
        <v>0</v>
      </c>
      <c r="L7740" t="n">
        <v>0</v>
      </c>
      <c r="M7740" t="n">
        <v>0</v>
      </c>
      <c r="N7740" t="n">
        <v>0</v>
      </c>
      <c r="O7740" t="n">
        <v>0</v>
      </c>
      <c r="P7740" t="n">
        <v>0</v>
      </c>
      <c r="Q7740" t="n">
        <v>0</v>
      </c>
      <c r="R7740" s="2" t="inlineStr"/>
    </row>
    <row r="7741" ht="15" customHeight="1">
      <c r="A7741" t="inlineStr">
        <is>
          <t>A 1403-2024</t>
        </is>
      </c>
      <c r="B7741" s="1" t="n">
        <v>45303.59265046296</v>
      </c>
      <c r="C7741" s="1" t="n">
        <v>45952</v>
      </c>
      <c r="D7741" t="inlineStr">
        <is>
          <t>VÄSTRA GÖTALANDS LÄN</t>
        </is>
      </c>
      <c r="E7741" t="inlineStr">
        <is>
          <t>HERRLJUNGA</t>
        </is>
      </c>
      <c r="G7741" t="n">
        <v>0.6</v>
      </c>
      <c r="H7741" t="n">
        <v>0</v>
      </c>
      <c r="I7741" t="n">
        <v>0</v>
      </c>
      <c r="J7741" t="n">
        <v>0</v>
      </c>
      <c r="K7741" t="n">
        <v>0</v>
      </c>
      <c r="L7741" t="n">
        <v>0</v>
      </c>
      <c r="M7741" t="n">
        <v>0</v>
      </c>
      <c r="N7741" t="n">
        <v>0</v>
      </c>
      <c r="O7741" t="n">
        <v>0</v>
      </c>
      <c r="P7741" t="n">
        <v>0</v>
      </c>
      <c r="Q7741" t="n">
        <v>0</v>
      </c>
      <c r="R7741" s="2" t="inlineStr"/>
    </row>
    <row r="7742" ht="15" customHeight="1">
      <c r="A7742" t="inlineStr">
        <is>
          <t>A 1413-2024</t>
        </is>
      </c>
      <c r="B7742" s="1" t="n">
        <v>45303.60452546296</v>
      </c>
      <c r="C7742" s="1" t="n">
        <v>45952</v>
      </c>
      <c r="D7742" t="inlineStr">
        <is>
          <t>VÄSTRA GÖTALANDS LÄN</t>
        </is>
      </c>
      <c r="E7742" t="inlineStr">
        <is>
          <t>TANUM</t>
        </is>
      </c>
      <c r="G7742" t="n">
        <v>0.7</v>
      </c>
      <c r="H7742" t="n">
        <v>0</v>
      </c>
      <c r="I7742" t="n">
        <v>0</v>
      </c>
      <c r="J7742" t="n">
        <v>0</v>
      </c>
      <c r="K7742" t="n">
        <v>0</v>
      </c>
      <c r="L7742" t="n">
        <v>0</v>
      </c>
      <c r="M7742" t="n">
        <v>0</v>
      </c>
      <c r="N7742" t="n">
        <v>0</v>
      </c>
      <c r="O7742" t="n">
        <v>0</v>
      </c>
      <c r="P7742" t="n">
        <v>0</v>
      </c>
      <c r="Q7742" t="n">
        <v>0</v>
      </c>
      <c r="R7742" s="2" t="inlineStr"/>
    </row>
    <row r="7743" ht="15" customHeight="1">
      <c r="A7743" t="inlineStr">
        <is>
          <t>A 60968-2020</t>
        </is>
      </c>
      <c r="B7743" s="1" t="n">
        <v>44154</v>
      </c>
      <c r="C7743" s="1" t="n">
        <v>45952</v>
      </c>
      <c r="D7743" t="inlineStr">
        <is>
          <t>VÄSTRA GÖTALANDS LÄN</t>
        </is>
      </c>
      <c r="E7743" t="inlineStr">
        <is>
          <t>SVENLJUNGA</t>
        </is>
      </c>
      <c r="G7743" t="n">
        <v>1</v>
      </c>
      <c r="H7743" t="n">
        <v>0</v>
      </c>
      <c r="I7743" t="n">
        <v>0</v>
      </c>
      <c r="J7743" t="n">
        <v>0</v>
      </c>
      <c r="K7743" t="n">
        <v>0</v>
      </c>
      <c r="L7743" t="n">
        <v>0</v>
      </c>
      <c r="M7743" t="n">
        <v>0</v>
      </c>
      <c r="N7743" t="n">
        <v>0</v>
      </c>
      <c r="O7743" t="n">
        <v>0</v>
      </c>
      <c r="P7743" t="n">
        <v>0</v>
      </c>
      <c r="Q7743" t="n">
        <v>0</v>
      </c>
      <c r="R7743" s="2" t="inlineStr"/>
    </row>
    <row r="7744" ht="15" customHeight="1">
      <c r="A7744" t="inlineStr">
        <is>
          <t>A 2337-2021</t>
        </is>
      </c>
      <c r="B7744" s="1" t="n">
        <v>44214</v>
      </c>
      <c r="C7744" s="1" t="n">
        <v>45952</v>
      </c>
      <c r="D7744" t="inlineStr">
        <is>
          <t>VÄSTRA GÖTALANDS LÄN</t>
        </is>
      </c>
      <c r="E7744" t="inlineStr">
        <is>
          <t>GÖTENE</t>
        </is>
      </c>
      <c r="G7744" t="n">
        <v>32.5</v>
      </c>
      <c r="H7744" t="n">
        <v>0</v>
      </c>
      <c r="I7744" t="n">
        <v>0</v>
      </c>
      <c r="J7744" t="n">
        <v>0</v>
      </c>
      <c r="K7744" t="n">
        <v>0</v>
      </c>
      <c r="L7744" t="n">
        <v>0</v>
      </c>
      <c r="M7744" t="n">
        <v>0</v>
      </c>
      <c r="N7744" t="n">
        <v>0</v>
      </c>
      <c r="O7744" t="n">
        <v>0</v>
      </c>
      <c r="P7744" t="n">
        <v>0</v>
      </c>
      <c r="Q7744" t="n">
        <v>0</v>
      </c>
      <c r="R7744" s="2" t="inlineStr"/>
    </row>
    <row r="7745" ht="15" customHeight="1">
      <c r="A7745" t="inlineStr">
        <is>
          <t>A 11218-2021</t>
        </is>
      </c>
      <c r="B7745" s="1" t="n">
        <v>44263</v>
      </c>
      <c r="C7745" s="1" t="n">
        <v>45952</v>
      </c>
      <c r="D7745" t="inlineStr">
        <is>
          <t>VÄSTRA GÖTALANDS LÄN</t>
        </is>
      </c>
      <c r="E7745" t="inlineStr">
        <is>
          <t>TRANEMO</t>
        </is>
      </c>
      <c r="G7745" t="n">
        <v>1.7</v>
      </c>
      <c r="H7745" t="n">
        <v>0</v>
      </c>
      <c r="I7745" t="n">
        <v>0</v>
      </c>
      <c r="J7745" t="n">
        <v>0</v>
      </c>
      <c r="K7745" t="n">
        <v>0</v>
      </c>
      <c r="L7745" t="n">
        <v>0</v>
      </c>
      <c r="M7745" t="n">
        <v>0</v>
      </c>
      <c r="N7745" t="n">
        <v>0</v>
      </c>
      <c r="O7745" t="n">
        <v>0</v>
      </c>
      <c r="P7745" t="n">
        <v>0</v>
      </c>
      <c r="Q7745" t="n">
        <v>0</v>
      </c>
      <c r="R7745" s="2" t="inlineStr"/>
    </row>
    <row r="7746" ht="15" customHeight="1">
      <c r="A7746" t="inlineStr">
        <is>
          <t>A 49309-2024</t>
        </is>
      </c>
      <c r="B7746" s="1" t="n">
        <v>45595</v>
      </c>
      <c r="C7746" s="1" t="n">
        <v>45952</v>
      </c>
      <c r="D7746" t="inlineStr">
        <is>
          <t>VÄSTRA GÖTALANDS LÄN</t>
        </is>
      </c>
      <c r="E7746" t="inlineStr">
        <is>
          <t>TANUM</t>
        </is>
      </c>
      <c r="G7746" t="n">
        <v>1.6</v>
      </c>
      <c r="H7746" t="n">
        <v>0</v>
      </c>
      <c r="I7746" t="n">
        <v>0</v>
      </c>
      <c r="J7746" t="n">
        <v>0</v>
      </c>
      <c r="K7746" t="n">
        <v>0</v>
      </c>
      <c r="L7746" t="n">
        <v>0</v>
      </c>
      <c r="M7746" t="n">
        <v>0</v>
      </c>
      <c r="N7746" t="n">
        <v>0</v>
      </c>
      <c r="O7746" t="n">
        <v>0</v>
      </c>
      <c r="P7746" t="n">
        <v>0</v>
      </c>
      <c r="Q7746" t="n">
        <v>0</v>
      </c>
      <c r="R7746" s="2" t="inlineStr"/>
    </row>
    <row r="7747" ht="15" customHeight="1">
      <c r="A7747" t="inlineStr">
        <is>
          <t>A 21054-2025</t>
        </is>
      </c>
      <c r="B7747" s="1" t="n">
        <v>45777.56768518518</v>
      </c>
      <c r="C7747" s="1" t="n">
        <v>45952</v>
      </c>
      <c r="D7747" t="inlineStr">
        <is>
          <t>VÄSTRA GÖTALANDS LÄN</t>
        </is>
      </c>
      <c r="E7747" t="inlineStr">
        <is>
          <t>MARIESTAD</t>
        </is>
      </c>
      <c r="G7747" t="n">
        <v>1.9</v>
      </c>
      <c r="H7747" t="n">
        <v>0</v>
      </c>
      <c r="I7747" t="n">
        <v>0</v>
      </c>
      <c r="J7747" t="n">
        <v>0</v>
      </c>
      <c r="K7747" t="n">
        <v>0</v>
      </c>
      <c r="L7747" t="n">
        <v>0</v>
      </c>
      <c r="M7747" t="n">
        <v>0</v>
      </c>
      <c r="N7747" t="n">
        <v>0</v>
      </c>
      <c r="O7747" t="n">
        <v>0</v>
      </c>
      <c r="P7747" t="n">
        <v>0</v>
      </c>
      <c r="Q7747" t="n">
        <v>0</v>
      </c>
      <c r="R7747" s="2" t="inlineStr"/>
    </row>
    <row r="7748" ht="15" customHeight="1">
      <c r="A7748" t="inlineStr">
        <is>
          <t>A 21063-2025</t>
        </is>
      </c>
      <c r="B7748" s="1" t="n">
        <v>45777.58376157407</v>
      </c>
      <c r="C7748" s="1" t="n">
        <v>45952</v>
      </c>
      <c r="D7748" t="inlineStr">
        <is>
          <t>VÄSTRA GÖTALANDS LÄN</t>
        </is>
      </c>
      <c r="E7748" t="inlineStr">
        <is>
          <t>MUNKEDAL</t>
        </is>
      </c>
      <c r="G7748" t="n">
        <v>9</v>
      </c>
      <c r="H7748" t="n">
        <v>0</v>
      </c>
      <c r="I7748" t="n">
        <v>0</v>
      </c>
      <c r="J7748" t="n">
        <v>0</v>
      </c>
      <c r="K7748" t="n">
        <v>0</v>
      </c>
      <c r="L7748" t="n">
        <v>0</v>
      </c>
      <c r="M7748" t="n">
        <v>0</v>
      </c>
      <c r="N7748" t="n">
        <v>0</v>
      </c>
      <c r="O7748" t="n">
        <v>0</v>
      </c>
      <c r="P7748" t="n">
        <v>0</v>
      </c>
      <c r="Q7748" t="n">
        <v>0</v>
      </c>
      <c r="R7748" s="2" t="inlineStr"/>
    </row>
    <row r="7749" ht="15" customHeight="1">
      <c r="A7749" t="inlineStr">
        <is>
          <t>A 54295-2023</t>
        </is>
      </c>
      <c r="B7749" s="1" t="n">
        <v>45232</v>
      </c>
      <c r="C7749" s="1" t="n">
        <v>45952</v>
      </c>
      <c r="D7749" t="inlineStr">
        <is>
          <t>VÄSTRA GÖTALANDS LÄN</t>
        </is>
      </c>
      <c r="E7749" t="inlineStr">
        <is>
          <t>BOLLEBYGD</t>
        </is>
      </c>
      <c r="G7749" t="n">
        <v>2.6</v>
      </c>
      <c r="H7749" t="n">
        <v>0</v>
      </c>
      <c r="I7749" t="n">
        <v>0</v>
      </c>
      <c r="J7749" t="n">
        <v>0</v>
      </c>
      <c r="K7749" t="n">
        <v>0</v>
      </c>
      <c r="L7749" t="n">
        <v>0</v>
      </c>
      <c r="M7749" t="n">
        <v>0</v>
      </c>
      <c r="N7749" t="n">
        <v>0</v>
      </c>
      <c r="O7749" t="n">
        <v>0</v>
      </c>
      <c r="P7749" t="n">
        <v>0</v>
      </c>
      <c r="Q7749" t="n">
        <v>0</v>
      </c>
      <c r="R7749" s="2" t="inlineStr"/>
    </row>
    <row r="7750" ht="15" customHeight="1">
      <c r="A7750" t="inlineStr">
        <is>
          <t>A 16803-2023</t>
        </is>
      </c>
      <c r="B7750" s="1" t="n">
        <v>45033.35427083333</v>
      </c>
      <c r="C7750" s="1" t="n">
        <v>45952</v>
      </c>
      <c r="D7750" t="inlineStr">
        <is>
          <t>VÄSTRA GÖTALANDS LÄN</t>
        </is>
      </c>
      <c r="E7750" t="inlineStr">
        <is>
          <t>FALKÖPING</t>
        </is>
      </c>
      <c r="G7750" t="n">
        <v>0.5</v>
      </c>
      <c r="H7750" t="n">
        <v>0</v>
      </c>
      <c r="I7750" t="n">
        <v>0</v>
      </c>
      <c r="J7750" t="n">
        <v>0</v>
      </c>
      <c r="K7750" t="n">
        <v>0</v>
      </c>
      <c r="L7750" t="n">
        <v>0</v>
      </c>
      <c r="M7750" t="n">
        <v>0</v>
      </c>
      <c r="N7750" t="n">
        <v>0</v>
      </c>
      <c r="O7750" t="n">
        <v>0</v>
      </c>
      <c r="P7750" t="n">
        <v>0</v>
      </c>
      <c r="Q7750" t="n">
        <v>0</v>
      </c>
      <c r="R7750" s="2" t="inlineStr"/>
    </row>
    <row r="7751" ht="15" customHeight="1">
      <c r="A7751" t="inlineStr">
        <is>
          <t>A 10830-2022</t>
        </is>
      </c>
      <c r="B7751" s="1" t="n">
        <v>44627.5578587963</v>
      </c>
      <c r="C7751" s="1" t="n">
        <v>45952</v>
      </c>
      <c r="D7751" t="inlineStr">
        <is>
          <t>VÄSTRA GÖTALANDS LÄN</t>
        </is>
      </c>
      <c r="E7751" t="inlineStr">
        <is>
          <t>FALKÖPING</t>
        </is>
      </c>
      <c r="F7751" t="inlineStr">
        <is>
          <t>Kommuner</t>
        </is>
      </c>
      <c r="G7751" t="n">
        <v>0.6</v>
      </c>
      <c r="H7751" t="n">
        <v>0</v>
      </c>
      <c r="I7751" t="n">
        <v>0</v>
      </c>
      <c r="J7751" t="n">
        <v>0</v>
      </c>
      <c r="K7751" t="n">
        <v>0</v>
      </c>
      <c r="L7751" t="n">
        <v>0</v>
      </c>
      <c r="M7751" t="n">
        <v>0</v>
      </c>
      <c r="N7751" t="n">
        <v>0</v>
      </c>
      <c r="O7751" t="n">
        <v>0</v>
      </c>
      <c r="P7751" t="n">
        <v>0</v>
      </c>
      <c r="Q7751" t="n">
        <v>0</v>
      </c>
      <c r="R7751" s="2" t="inlineStr"/>
    </row>
    <row r="7752" ht="15" customHeight="1">
      <c r="A7752" t="inlineStr">
        <is>
          <t>A 6454-2024</t>
        </is>
      </c>
      <c r="B7752" s="1" t="n">
        <v>45338.68309027778</v>
      </c>
      <c r="C7752" s="1" t="n">
        <v>45952</v>
      </c>
      <c r="D7752" t="inlineStr">
        <is>
          <t>VÄSTRA GÖTALANDS LÄN</t>
        </is>
      </c>
      <c r="E7752" t="inlineStr">
        <is>
          <t>VARA</t>
        </is>
      </c>
      <c r="F7752" t="inlineStr">
        <is>
          <t>Kyrkan</t>
        </is>
      </c>
      <c r="G7752" t="n">
        <v>3.6</v>
      </c>
      <c r="H7752" t="n">
        <v>0</v>
      </c>
      <c r="I7752" t="n">
        <v>0</v>
      </c>
      <c r="J7752" t="n">
        <v>0</v>
      </c>
      <c r="K7752" t="n">
        <v>0</v>
      </c>
      <c r="L7752" t="n">
        <v>0</v>
      </c>
      <c r="M7752" t="n">
        <v>0</v>
      </c>
      <c r="N7752" t="n">
        <v>0</v>
      </c>
      <c r="O7752" t="n">
        <v>0</v>
      </c>
      <c r="P7752" t="n">
        <v>0</v>
      </c>
      <c r="Q7752" t="n">
        <v>0</v>
      </c>
      <c r="R7752" s="2" t="inlineStr"/>
    </row>
    <row r="7753" ht="15" customHeight="1">
      <c r="A7753" t="inlineStr">
        <is>
          <t>A 9834-2023</t>
        </is>
      </c>
      <c r="B7753" s="1" t="n">
        <v>44984.78379629629</v>
      </c>
      <c r="C7753" s="1" t="n">
        <v>45952</v>
      </c>
      <c r="D7753" t="inlineStr">
        <is>
          <t>VÄSTRA GÖTALANDS LÄN</t>
        </is>
      </c>
      <c r="E7753" t="inlineStr">
        <is>
          <t>HERRLJUNGA</t>
        </is>
      </c>
      <c r="G7753" t="n">
        <v>3.8</v>
      </c>
      <c r="H7753" t="n">
        <v>0</v>
      </c>
      <c r="I7753" t="n">
        <v>0</v>
      </c>
      <c r="J7753" t="n">
        <v>0</v>
      </c>
      <c r="K7753" t="n">
        <v>0</v>
      </c>
      <c r="L7753" t="n">
        <v>0</v>
      </c>
      <c r="M7753" t="n">
        <v>0</v>
      </c>
      <c r="N7753" t="n">
        <v>0</v>
      </c>
      <c r="O7753" t="n">
        <v>0</v>
      </c>
      <c r="P7753" t="n">
        <v>0</v>
      </c>
      <c r="Q7753" t="n">
        <v>0</v>
      </c>
      <c r="R7753" s="2" t="inlineStr"/>
    </row>
    <row r="7754" ht="15" customHeight="1">
      <c r="A7754" t="inlineStr">
        <is>
          <t>A 6771-2024</t>
        </is>
      </c>
      <c r="B7754" s="1" t="n">
        <v>45342.49605324074</v>
      </c>
      <c r="C7754" s="1" t="n">
        <v>45952</v>
      </c>
      <c r="D7754" t="inlineStr">
        <is>
          <t>VÄSTRA GÖTALANDS LÄN</t>
        </is>
      </c>
      <c r="E7754" t="inlineStr">
        <is>
          <t>SVENLJUNGA</t>
        </is>
      </c>
      <c r="F7754" t="inlineStr">
        <is>
          <t>Sveaskog</t>
        </is>
      </c>
      <c r="G7754" t="n">
        <v>1</v>
      </c>
      <c r="H7754" t="n">
        <v>0</v>
      </c>
      <c r="I7754" t="n">
        <v>0</v>
      </c>
      <c r="J7754" t="n">
        <v>0</v>
      </c>
      <c r="K7754" t="n">
        <v>0</v>
      </c>
      <c r="L7754" t="n">
        <v>0</v>
      </c>
      <c r="M7754" t="n">
        <v>0</v>
      </c>
      <c r="N7754" t="n">
        <v>0</v>
      </c>
      <c r="O7754" t="n">
        <v>0</v>
      </c>
      <c r="P7754" t="n">
        <v>0</v>
      </c>
      <c r="Q7754" t="n">
        <v>0</v>
      </c>
      <c r="R7754" s="2" t="inlineStr"/>
    </row>
    <row r="7755" ht="15" customHeight="1">
      <c r="A7755" t="inlineStr">
        <is>
          <t>A 45529-2024</t>
        </is>
      </c>
      <c r="B7755" s="1" t="n">
        <v>45579.28255787037</v>
      </c>
      <c r="C7755" s="1" t="n">
        <v>45952</v>
      </c>
      <c r="D7755" t="inlineStr">
        <is>
          <t>VÄSTRA GÖTALANDS LÄN</t>
        </is>
      </c>
      <c r="E7755" t="inlineStr">
        <is>
          <t>ULRICEHAMN</t>
        </is>
      </c>
      <c r="G7755" t="n">
        <v>4.3</v>
      </c>
      <c r="H7755" t="n">
        <v>0</v>
      </c>
      <c r="I7755" t="n">
        <v>0</v>
      </c>
      <c r="J7755" t="n">
        <v>0</v>
      </c>
      <c r="K7755" t="n">
        <v>0</v>
      </c>
      <c r="L7755" t="n">
        <v>0</v>
      </c>
      <c r="M7755" t="n">
        <v>0</v>
      </c>
      <c r="N7755" t="n">
        <v>0</v>
      </c>
      <c r="O7755" t="n">
        <v>0</v>
      </c>
      <c r="P7755" t="n">
        <v>0</v>
      </c>
      <c r="Q7755" t="n">
        <v>0</v>
      </c>
      <c r="R7755" s="2" t="inlineStr"/>
    </row>
    <row r="7756" ht="15" customHeight="1">
      <c r="A7756" t="inlineStr">
        <is>
          <t>A 2998-2021</t>
        </is>
      </c>
      <c r="B7756" s="1" t="n">
        <v>44216</v>
      </c>
      <c r="C7756" s="1" t="n">
        <v>45952</v>
      </c>
      <c r="D7756" t="inlineStr">
        <is>
          <t>VÄSTRA GÖTALANDS LÄN</t>
        </is>
      </c>
      <c r="E7756" t="inlineStr">
        <is>
          <t>FÄRGELANDA</t>
        </is>
      </c>
      <c r="G7756" t="n">
        <v>1.3</v>
      </c>
      <c r="H7756" t="n">
        <v>0</v>
      </c>
      <c r="I7756" t="n">
        <v>0</v>
      </c>
      <c r="J7756" t="n">
        <v>0</v>
      </c>
      <c r="K7756" t="n">
        <v>0</v>
      </c>
      <c r="L7756" t="n">
        <v>0</v>
      </c>
      <c r="M7756" t="n">
        <v>0</v>
      </c>
      <c r="N7756" t="n">
        <v>0</v>
      </c>
      <c r="O7756" t="n">
        <v>0</v>
      </c>
      <c r="P7756" t="n">
        <v>0</v>
      </c>
      <c r="Q7756" t="n">
        <v>0</v>
      </c>
      <c r="R7756" s="2" t="inlineStr"/>
    </row>
    <row r="7757" ht="15" customHeight="1">
      <c r="A7757" t="inlineStr">
        <is>
          <t>A 63445-2023</t>
        </is>
      </c>
      <c r="B7757" s="1" t="n">
        <v>45274.60491898148</v>
      </c>
      <c r="C7757" s="1" t="n">
        <v>45952</v>
      </c>
      <c r="D7757" t="inlineStr">
        <is>
          <t>VÄSTRA GÖTALANDS LÄN</t>
        </is>
      </c>
      <c r="E7757" t="inlineStr">
        <is>
          <t>HERRLJUNGA</t>
        </is>
      </c>
      <c r="G7757" t="n">
        <v>0.6</v>
      </c>
      <c r="H7757" t="n">
        <v>0</v>
      </c>
      <c r="I7757" t="n">
        <v>0</v>
      </c>
      <c r="J7757" t="n">
        <v>0</v>
      </c>
      <c r="K7757" t="n">
        <v>0</v>
      </c>
      <c r="L7757" t="n">
        <v>0</v>
      </c>
      <c r="M7757" t="n">
        <v>0</v>
      </c>
      <c r="N7757" t="n">
        <v>0</v>
      </c>
      <c r="O7757" t="n">
        <v>0</v>
      </c>
      <c r="P7757" t="n">
        <v>0</v>
      </c>
      <c r="Q7757" t="n">
        <v>0</v>
      </c>
      <c r="R7757" s="2" t="inlineStr"/>
    </row>
    <row r="7758" ht="15" customHeight="1">
      <c r="A7758" t="inlineStr">
        <is>
          <t>A 63478-2023</t>
        </is>
      </c>
      <c r="B7758" s="1" t="n">
        <v>45274.65697916667</v>
      </c>
      <c r="C7758" s="1" t="n">
        <v>45952</v>
      </c>
      <c r="D7758" t="inlineStr">
        <is>
          <t>VÄSTRA GÖTALANDS LÄN</t>
        </is>
      </c>
      <c r="E7758" t="inlineStr">
        <is>
          <t>SVENLJUNGA</t>
        </is>
      </c>
      <c r="G7758" t="n">
        <v>1</v>
      </c>
      <c r="H7758" t="n">
        <v>0</v>
      </c>
      <c r="I7758" t="n">
        <v>0</v>
      </c>
      <c r="J7758" t="n">
        <v>0</v>
      </c>
      <c r="K7758" t="n">
        <v>0</v>
      </c>
      <c r="L7758" t="n">
        <v>0</v>
      </c>
      <c r="M7758" t="n">
        <v>0</v>
      </c>
      <c r="N7758" t="n">
        <v>0</v>
      </c>
      <c r="O7758" t="n">
        <v>0</v>
      </c>
      <c r="P7758" t="n">
        <v>0</v>
      </c>
      <c r="Q7758" t="n">
        <v>0</v>
      </c>
      <c r="R7758" s="2" t="inlineStr"/>
    </row>
    <row r="7759" ht="15" customHeight="1">
      <c r="A7759" t="inlineStr">
        <is>
          <t>A 73007-2021</t>
        </is>
      </c>
      <c r="B7759" s="1" t="n">
        <v>44550</v>
      </c>
      <c r="C7759" s="1" t="n">
        <v>45952</v>
      </c>
      <c r="D7759" t="inlineStr">
        <is>
          <t>VÄSTRA GÖTALANDS LÄN</t>
        </is>
      </c>
      <c r="E7759" t="inlineStr">
        <is>
          <t>UDDEVALLA</t>
        </is>
      </c>
      <c r="G7759" t="n">
        <v>1.6</v>
      </c>
      <c r="H7759" t="n">
        <v>0</v>
      </c>
      <c r="I7759" t="n">
        <v>0</v>
      </c>
      <c r="J7759" t="n">
        <v>0</v>
      </c>
      <c r="K7759" t="n">
        <v>0</v>
      </c>
      <c r="L7759" t="n">
        <v>0</v>
      </c>
      <c r="M7759" t="n">
        <v>0</v>
      </c>
      <c r="N7759" t="n">
        <v>0</v>
      </c>
      <c r="O7759" t="n">
        <v>0</v>
      </c>
      <c r="P7759" t="n">
        <v>0</v>
      </c>
      <c r="Q7759" t="n">
        <v>0</v>
      </c>
      <c r="R7759" s="2" t="inlineStr"/>
    </row>
    <row r="7760" ht="15" customHeight="1">
      <c r="A7760" t="inlineStr">
        <is>
          <t>A 13810-2022</t>
        </is>
      </c>
      <c r="B7760" s="1" t="n">
        <v>44649</v>
      </c>
      <c r="C7760" s="1" t="n">
        <v>45952</v>
      </c>
      <c r="D7760" t="inlineStr">
        <is>
          <t>VÄSTRA GÖTALANDS LÄN</t>
        </is>
      </c>
      <c r="E7760" t="inlineStr">
        <is>
          <t>BENGTSFORS</t>
        </is>
      </c>
      <c r="G7760" t="n">
        <v>2.6</v>
      </c>
      <c r="H7760" t="n">
        <v>0</v>
      </c>
      <c r="I7760" t="n">
        <v>0</v>
      </c>
      <c r="J7760" t="n">
        <v>0</v>
      </c>
      <c r="K7760" t="n">
        <v>0</v>
      </c>
      <c r="L7760" t="n">
        <v>0</v>
      </c>
      <c r="M7760" t="n">
        <v>0</v>
      </c>
      <c r="N7760" t="n">
        <v>0</v>
      </c>
      <c r="O7760" t="n">
        <v>0</v>
      </c>
      <c r="P7760" t="n">
        <v>0</v>
      </c>
      <c r="Q7760" t="n">
        <v>0</v>
      </c>
      <c r="R7760" s="2" t="inlineStr"/>
    </row>
    <row r="7761" ht="15" customHeight="1">
      <c r="A7761" t="inlineStr">
        <is>
          <t>A 16656-2022</t>
        </is>
      </c>
      <c r="B7761" s="1" t="n">
        <v>44672.70159722222</v>
      </c>
      <c r="C7761" s="1" t="n">
        <v>45952</v>
      </c>
      <c r="D7761" t="inlineStr">
        <is>
          <t>VÄSTRA GÖTALANDS LÄN</t>
        </is>
      </c>
      <c r="E7761" t="inlineStr">
        <is>
          <t>MELLERUD</t>
        </is>
      </c>
      <c r="G7761" t="n">
        <v>1.2</v>
      </c>
      <c r="H7761" t="n">
        <v>0</v>
      </c>
      <c r="I7761" t="n">
        <v>0</v>
      </c>
      <c r="J7761" t="n">
        <v>0</v>
      </c>
      <c r="K7761" t="n">
        <v>0</v>
      </c>
      <c r="L7761" t="n">
        <v>0</v>
      </c>
      <c r="M7761" t="n">
        <v>0</v>
      </c>
      <c r="N7761" t="n">
        <v>0</v>
      </c>
      <c r="O7761" t="n">
        <v>0</v>
      </c>
      <c r="P7761" t="n">
        <v>0</v>
      </c>
      <c r="Q7761" t="n">
        <v>0</v>
      </c>
      <c r="R7761" s="2" t="inlineStr"/>
    </row>
    <row r="7762" ht="15" customHeight="1">
      <c r="A7762" t="inlineStr">
        <is>
          <t>A 16661-2022</t>
        </is>
      </c>
      <c r="B7762" s="1" t="n">
        <v>44672</v>
      </c>
      <c r="C7762" s="1" t="n">
        <v>45952</v>
      </c>
      <c r="D7762" t="inlineStr">
        <is>
          <t>VÄSTRA GÖTALANDS LÄN</t>
        </is>
      </c>
      <c r="E7762" t="inlineStr">
        <is>
          <t>FALKÖPING</t>
        </is>
      </c>
      <c r="G7762" t="n">
        <v>0.8</v>
      </c>
      <c r="H7762" t="n">
        <v>0</v>
      </c>
      <c r="I7762" t="n">
        <v>0</v>
      </c>
      <c r="J7762" t="n">
        <v>0</v>
      </c>
      <c r="K7762" t="n">
        <v>0</v>
      </c>
      <c r="L7762" t="n">
        <v>0</v>
      </c>
      <c r="M7762" t="n">
        <v>0</v>
      </c>
      <c r="N7762" t="n">
        <v>0</v>
      </c>
      <c r="O7762" t="n">
        <v>0</v>
      </c>
      <c r="P7762" t="n">
        <v>0</v>
      </c>
      <c r="Q7762" t="n">
        <v>0</v>
      </c>
      <c r="R7762" s="2" t="inlineStr"/>
    </row>
    <row r="7763" ht="15" customHeight="1">
      <c r="A7763" t="inlineStr">
        <is>
          <t>A 10581-2021</t>
        </is>
      </c>
      <c r="B7763" s="1" t="n">
        <v>44258</v>
      </c>
      <c r="C7763" s="1" t="n">
        <v>45952</v>
      </c>
      <c r="D7763" t="inlineStr">
        <is>
          <t>VÄSTRA GÖTALANDS LÄN</t>
        </is>
      </c>
      <c r="E7763" t="inlineStr">
        <is>
          <t>TRANEMO</t>
        </is>
      </c>
      <c r="G7763" t="n">
        <v>1.7</v>
      </c>
      <c r="H7763" t="n">
        <v>0</v>
      </c>
      <c r="I7763" t="n">
        <v>0</v>
      </c>
      <c r="J7763" t="n">
        <v>0</v>
      </c>
      <c r="K7763" t="n">
        <v>0</v>
      </c>
      <c r="L7763" t="n">
        <v>0</v>
      </c>
      <c r="M7763" t="n">
        <v>0</v>
      </c>
      <c r="N7763" t="n">
        <v>0</v>
      </c>
      <c r="O7763" t="n">
        <v>0</v>
      </c>
      <c r="P7763" t="n">
        <v>0</v>
      </c>
      <c r="Q7763" t="n">
        <v>0</v>
      </c>
      <c r="R7763" s="2" t="inlineStr"/>
    </row>
    <row r="7764" ht="15" customHeight="1">
      <c r="A7764" t="inlineStr">
        <is>
          <t>A 56734-2023</t>
        </is>
      </c>
      <c r="B7764" s="1" t="n">
        <v>45244.35234953704</v>
      </c>
      <c r="C7764" s="1" t="n">
        <v>45952</v>
      </c>
      <c r="D7764" t="inlineStr">
        <is>
          <t>VÄSTRA GÖTALANDS LÄN</t>
        </is>
      </c>
      <c r="E7764" t="inlineStr">
        <is>
          <t>VÄNERSBORG</t>
        </is>
      </c>
      <c r="G7764" t="n">
        <v>1.3</v>
      </c>
      <c r="H7764" t="n">
        <v>0</v>
      </c>
      <c r="I7764" t="n">
        <v>0</v>
      </c>
      <c r="J7764" t="n">
        <v>0</v>
      </c>
      <c r="K7764" t="n">
        <v>0</v>
      </c>
      <c r="L7764" t="n">
        <v>0</v>
      </c>
      <c r="M7764" t="n">
        <v>0</v>
      </c>
      <c r="N7764" t="n">
        <v>0</v>
      </c>
      <c r="O7764" t="n">
        <v>0</v>
      </c>
      <c r="P7764" t="n">
        <v>0</v>
      </c>
      <c r="Q7764" t="n">
        <v>0</v>
      </c>
      <c r="R7764" s="2" t="inlineStr"/>
    </row>
    <row r="7765" ht="15" customHeight="1">
      <c r="A7765" t="inlineStr">
        <is>
          <t>A 56744-2023</t>
        </is>
      </c>
      <c r="B7765" s="1" t="n">
        <v>45244.36306712963</v>
      </c>
      <c r="C7765" s="1" t="n">
        <v>45952</v>
      </c>
      <c r="D7765" t="inlineStr">
        <is>
          <t>VÄSTRA GÖTALANDS LÄN</t>
        </is>
      </c>
      <c r="E7765" t="inlineStr">
        <is>
          <t>MUNKEDAL</t>
        </is>
      </c>
      <c r="G7765" t="n">
        <v>2.5</v>
      </c>
      <c r="H7765" t="n">
        <v>0</v>
      </c>
      <c r="I7765" t="n">
        <v>0</v>
      </c>
      <c r="J7765" t="n">
        <v>0</v>
      </c>
      <c r="K7765" t="n">
        <v>0</v>
      </c>
      <c r="L7765" t="n">
        <v>0</v>
      </c>
      <c r="M7765" t="n">
        <v>0</v>
      </c>
      <c r="N7765" t="n">
        <v>0</v>
      </c>
      <c r="O7765" t="n">
        <v>0</v>
      </c>
      <c r="P7765" t="n">
        <v>0</v>
      </c>
      <c r="Q7765" t="n">
        <v>0</v>
      </c>
      <c r="R7765" s="2" t="inlineStr"/>
    </row>
    <row r="7766" ht="15" customHeight="1">
      <c r="A7766" t="inlineStr">
        <is>
          <t>A 56766-2023</t>
        </is>
      </c>
      <c r="B7766" s="1" t="n">
        <v>45244.39653935185</v>
      </c>
      <c r="C7766" s="1" t="n">
        <v>45952</v>
      </c>
      <c r="D7766" t="inlineStr">
        <is>
          <t>VÄSTRA GÖTALANDS LÄN</t>
        </is>
      </c>
      <c r="E7766" t="inlineStr">
        <is>
          <t>MUNKEDAL</t>
        </is>
      </c>
      <c r="G7766" t="n">
        <v>1</v>
      </c>
      <c r="H7766" t="n">
        <v>0</v>
      </c>
      <c r="I7766" t="n">
        <v>0</v>
      </c>
      <c r="J7766" t="n">
        <v>0</v>
      </c>
      <c r="K7766" t="n">
        <v>0</v>
      </c>
      <c r="L7766" t="n">
        <v>0</v>
      </c>
      <c r="M7766" t="n">
        <v>0</v>
      </c>
      <c r="N7766" t="n">
        <v>0</v>
      </c>
      <c r="O7766" t="n">
        <v>0</v>
      </c>
      <c r="P7766" t="n">
        <v>0</v>
      </c>
      <c r="Q7766" t="n">
        <v>0</v>
      </c>
      <c r="R7766" s="2" t="inlineStr"/>
    </row>
    <row r="7767" ht="15" customHeight="1">
      <c r="A7767" t="inlineStr">
        <is>
          <t>A 2486-2025</t>
        </is>
      </c>
      <c r="B7767" s="1" t="n">
        <v>45673</v>
      </c>
      <c r="C7767" s="1" t="n">
        <v>45952</v>
      </c>
      <c r="D7767" t="inlineStr">
        <is>
          <t>VÄSTRA GÖTALANDS LÄN</t>
        </is>
      </c>
      <c r="E7767" t="inlineStr">
        <is>
          <t>TANUM</t>
        </is>
      </c>
      <c r="G7767" t="n">
        <v>0.5</v>
      </c>
      <c r="H7767" t="n">
        <v>0</v>
      </c>
      <c r="I7767" t="n">
        <v>0</v>
      </c>
      <c r="J7767" t="n">
        <v>0</v>
      </c>
      <c r="K7767" t="n">
        <v>0</v>
      </c>
      <c r="L7767" t="n">
        <v>0</v>
      </c>
      <c r="M7767" t="n">
        <v>0</v>
      </c>
      <c r="N7767" t="n">
        <v>0</v>
      </c>
      <c r="O7767" t="n">
        <v>0</v>
      </c>
      <c r="P7767" t="n">
        <v>0</v>
      </c>
      <c r="Q7767" t="n">
        <v>0</v>
      </c>
      <c r="R7767" s="2" t="inlineStr"/>
    </row>
    <row r="7768" ht="15" customHeight="1">
      <c r="A7768" t="inlineStr">
        <is>
          <t>A 2992-2025</t>
        </is>
      </c>
      <c r="B7768" s="1" t="n">
        <v>45678.53453703703</v>
      </c>
      <c r="C7768" s="1" t="n">
        <v>45952</v>
      </c>
      <c r="D7768" t="inlineStr">
        <is>
          <t>VÄSTRA GÖTALANDS LÄN</t>
        </is>
      </c>
      <c r="E7768" t="inlineStr">
        <is>
          <t>BORÅS</t>
        </is>
      </c>
      <c r="F7768" t="inlineStr">
        <is>
          <t>Sveaskog</t>
        </is>
      </c>
      <c r="G7768" t="n">
        <v>1.4</v>
      </c>
      <c r="H7768" t="n">
        <v>0</v>
      </c>
      <c r="I7768" t="n">
        <v>0</v>
      </c>
      <c r="J7768" t="n">
        <v>0</v>
      </c>
      <c r="K7768" t="n">
        <v>0</v>
      </c>
      <c r="L7768" t="n">
        <v>0</v>
      </c>
      <c r="M7768" t="n">
        <v>0</v>
      </c>
      <c r="N7768" t="n">
        <v>0</v>
      </c>
      <c r="O7768" t="n">
        <v>0</v>
      </c>
      <c r="P7768" t="n">
        <v>0</v>
      </c>
      <c r="Q7768" t="n">
        <v>0</v>
      </c>
      <c r="R7768" s="2" t="inlineStr"/>
    </row>
    <row r="7769" ht="15" customHeight="1">
      <c r="A7769" t="inlineStr">
        <is>
          <t>A 14990-2025</t>
        </is>
      </c>
      <c r="B7769" s="1" t="n">
        <v>45743.60700231481</v>
      </c>
      <c r="C7769" s="1" t="n">
        <v>45952</v>
      </c>
      <c r="D7769" t="inlineStr">
        <is>
          <t>VÄSTRA GÖTALANDS LÄN</t>
        </is>
      </c>
      <c r="E7769" t="inlineStr">
        <is>
          <t>STENUNGSUND</t>
        </is>
      </c>
      <c r="G7769" t="n">
        <v>1.9</v>
      </c>
      <c r="H7769" t="n">
        <v>0</v>
      </c>
      <c r="I7769" t="n">
        <v>0</v>
      </c>
      <c r="J7769" t="n">
        <v>0</v>
      </c>
      <c r="K7769" t="n">
        <v>0</v>
      </c>
      <c r="L7769" t="n">
        <v>0</v>
      </c>
      <c r="M7769" t="n">
        <v>0</v>
      </c>
      <c r="N7769" t="n">
        <v>0</v>
      </c>
      <c r="O7769" t="n">
        <v>0</v>
      </c>
      <c r="P7769" t="n">
        <v>0</v>
      </c>
      <c r="Q7769" t="n">
        <v>0</v>
      </c>
      <c r="R7769" s="2" t="inlineStr"/>
    </row>
    <row r="7770" ht="15" customHeight="1">
      <c r="A7770" t="inlineStr">
        <is>
          <t>A 61284-2022</t>
        </is>
      </c>
      <c r="B7770" s="1" t="n">
        <v>44915</v>
      </c>
      <c r="C7770" s="1" t="n">
        <v>45952</v>
      </c>
      <c r="D7770" t="inlineStr">
        <is>
          <t>VÄSTRA GÖTALANDS LÄN</t>
        </is>
      </c>
      <c r="E7770" t="inlineStr">
        <is>
          <t>LILLA EDET</t>
        </is>
      </c>
      <c r="G7770" t="n">
        <v>1</v>
      </c>
      <c r="H7770" t="n">
        <v>0</v>
      </c>
      <c r="I7770" t="n">
        <v>0</v>
      </c>
      <c r="J7770" t="n">
        <v>0</v>
      </c>
      <c r="K7770" t="n">
        <v>0</v>
      </c>
      <c r="L7770" t="n">
        <v>0</v>
      </c>
      <c r="M7770" t="n">
        <v>0</v>
      </c>
      <c r="N7770" t="n">
        <v>0</v>
      </c>
      <c r="O7770" t="n">
        <v>0</v>
      </c>
      <c r="P7770" t="n">
        <v>0</v>
      </c>
      <c r="Q7770" t="n">
        <v>0</v>
      </c>
      <c r="R7770" s="2" t="inlineStr"/>
    </row>
    <row r="7771" ht="15" customHeight="1">
      <c r="A7771" t="inlineStr">
        <is>
          <t>A 17643-2024</t>
        </is>
      </c>
      <c r="B7771" s="1" t="n">
        <v>45418.36640046296</v>
      </c>
      <c r="C7771" s="1" t="n">
        <v>45952</v>
      </c>
      <c r="D7771" t="inlineStr">
        <is>
          <t>VÄSTRA GÖTALANDS LÄN</t>
        </is>
      </c>
      <c r="E7771" t="inlineStr">
        <is>
          <t>DALS-ED</t>
        </is>
      </c>
      <c r="G7771" t="n">
        <v>1.4</v>
      </c>
      <c r="H7771" t="n">
        <v>0</v>
      </c>
      <c r="I7771" t="n">
        <v>0</v>
      </c>
      <c r="J7771" t="n">
        <v>0</v>
      </c>
      <c r="K7771" t="n">
        <v>0</v>
      </c>
      <c r="L7771" t="n">
        <v>0</v>
      </c>
      <c r="M7771" t="n">
        <v>0</v>
      </c>
      <c r="N7771" t="n">
        <v>0</v>
      </c>
      <c r="O7771" t="n">
        <v>0</v>
      </c>
      <c r="P7771" t="n">
        <v>0</v>
      </c>
      <c r="Q7771" t="n">
        <v>0</v>
      </c>
      <c r="R7771" s="2" t="inlineStr"/>
    </row>
    <row r="7772" ht="15" customHeight="1">
      <c r="A7772" t="inlineStr">
        <is>
          <t>A 16942-2023</t>
        </is>
      </c>
      <c r="B7772" s="1" t="n">
        <v>45033</v>
      </c>
      <c r="C7772" s="1" t="n">
        <v>45952</v>
      </c>
      <c r="D7772" t="inlineStr">
        <is>
          <t>VÄSTRA GÖTALANDS LÄN</t>
        </is>
      </c>
      <c r="E7772" t="inlineStr">
        <is>
          <t>FALKÖPING</t>
        </is>
      </c>
      <c r="G7772" t="n">
        <v>5.1</v>
      </c>
      <c r="H7772" t="n">
        <v>0</v>
      </c>
      <c r="I7772" t="n">
        <v>0</v>
      </c>
      <c r="J7772" t="n">
        <v>0</v>
      </c>
      <c r="K7772" t="n">
        <v>0</v>
      </c>
      <c r="L7772" t="n">
        <v>0</v>
      </c>
      <c r="M7772" t="n">
        <v>0</v>
      </c>
      <c r="N7772" t="n">
        <v>0</v>
      </c>
      <c r="O7772" t="n">
        <v>0</v>
      </c>
      <c r="P7772" t="n">
        <v>0</v>
      </c>
      <c r="Q7772" t="n">
        <v>0</v>
      </c>
      <c r="R7772" s="2" t="inlineStr"/>
    </row>
    <row r="7773" ht="15" customHeight="1">
      <c r="A7773" t="inlineStr">
        <is>
          <t>A 68454-2021</t>
        </is>
      </c>
      <c r="B7773" s="1" t="n">
        <v>44529.42045138889</v>
      </c>
      <c r="C7773" s="1" t="n">
        <v>45952</v>
      </c>
      <c r="D7773" t="inlineStr">
        <is>
          <t>VÄSTRA GÖTALANDS LÄN</t>
        </is>
      </c>
      <c r="E7773" t="inlineStr">
        <is>
          <t>TROLLHÄTTAN</t>
        </is>
      </c>
      <c r="G7773" t="n">
        <v>1.6</v>
      </c>
      <c r="H7773" t="n">
        <v>0</v>
      </c>
      <c r="I7773" t="n">
        <v>0</v>
      </c>
      <c r="J7773" t="n">
        <v>0</v>
      </c>
      <c r="K7773" t="n">
        <v>0</v>
      </c>
      <c r="L7773" t="n">
        <v>0</v>
      </c>
      <c r="M7773" t="n">
        <v>0</v>
      </c>
      <c r="N7773" t="n">
        <v>0</v>
      </c>
      <c r="O7773" t="n">
        <v>0</v>
      </c>
      <c r="P7773" t="n">
        <v>0</v>
      </c>
      <c r="Q7773" t="n">
        <v>0</v>
      </c>
      <c r="R7773" s="2" t="inlineStr"/>
    </row>
    <row r="7774" ht="15" customHeight="1">
      <c r="A7774" t="inlineStr">
        <is>
          <t>A 38548-2025</t>
        </is>
      </c>
      <c r="B7774" s="1" t="n">
        <v>45883</v>
      </c>
      <c r="C7774" s="1" t="n">
        <v>45952</v>
      </c>
      <c r="D7774" t="inlineStr">
        <is>
          <t>VÄSTRA GÖTALANDS LÄN</t>
        </is>
      </c>
      <c r="E7774" t="inlineStr">
        <is>
          <t>SKARA</t>
        </is>
      </c>
      <c r="G7774" t="n">
        <v>4.9</v>
      </c>
      <c r="H7774" t="n">
        <v>0</v>
      </c>
      <c r="I7774" t="n">
        <v>0</v>
      </c>
      <c r="J7774" t="n">
        <v>0</v>
      </c>
      <c r="K7774" t="n">
        <v>0</v>
      </c>
      <c r="L7774" t="n">
        <v>0</v>
      </c>
      <c r="M7774" t="n">
        <v>0</v>
      </c>
      <c r="N7774" t="n">
        <v>0</v>
      </c>
      <c r="O7774" t="n">
        <v>0</v>
      </c>
      <c r="P7774" t="n">
        <v>0</v>
      </c>
      <c r="Q7774" t="n">
        <v>0</v>
      </c>
      <c r="R7774" s="2" t="inlineStr"/>
    </row>
    <row r="7775" ht="15" customHeight="1">
      <c r="A7775" t="inlineStr">
        <is>
          <t>A 38553-2025</t>
        </is>
      </c>
      <c r="B7775" s="1" t="n">
        <v>45884.44027777778</v>
      </c>
      <c r="C7775" s="1" t="n">
        <v>45952</v>
      </c>
      <c r="D7775" t="inlineStr">
        <is>
          <t>VÄSTRA GÖTALANDS LÄN</t>
        </is>
      </c>
      <c r="E7775" t="inlineStr">
        <is>
          <t>MARK</t>
        </is>
      </c>
      <c r="G7775" t="n">
        <v>6</v>
      </c>
      <c r="H7775" t="n">
        <v>0</v>
      </c>
      <c r="I7775" t="n">
        <v>0</v>
      </c>
      <c r="J7775" t="n">
        <v>0</v>
      </c>
      <c r="K7775" t="n">
        <v>0</v>
      </c>
      <c r="L7775" t="n">
        <v>0</v>
      </c>
      <c r="M7775" t="n">
        <v>0</v>
      </c>
      <c r="N7775" t="n">
        <v>0</v>
      </c>
      <c r="O7775" t="n">
        <v>0</v>
      </c>
      <c r="P7775" t="n">
        <v>0</v>
      </c>
      <c r="Q7775" t="n">
        <v>0</v>
      </c>
      <c r="R7775" s="2" t="inlineStr"/>
    </row>
    <row r="7776" ht="15" customHeight="1">
      <c r="A7776" t="inlineStr">
        <is>
          <t>A 55728-2020</t>
        </is>
      </c>
      <c r="B7776" s="1" t="n">
        <v>44132</v>
      </c>
      <c r="C7776" s="1" t="n">
        <v>45952</v>
      </c>
      <c r="D7776" t="inlineStr">
        <is>
          <t>VÄSTRA GÖTALANDS LÄN</t>
        </is>
      </c>
      <c r="E7776" t="inlineStr">
        <is>
          <t>DALS-ED</t>
        </is>
      </c>
      <c r="G7776" t="n">
        <v>0.7</v>
      </c>
      <c r="H7776" t="n">
        <v>0</v>
      </c>
      <c r="I7776" t="n">
        <v>0</v>
      </c>
      <c r="J7776" t="n">
        <v>0</v>
      </c>
      <c r="K7776" t="n">
        <v>0</v>
      </c>
      <c r="L7776" t="n">
        <v>0</v>
      </c>
      <c r="M7776" t="n">
        <v>0</v>
      </c>
      <c r="N7776" t="n">
        <v>0</v>
      </c>
      <c r="O7776" t="n">
        <v>0</v>
      </c>
      <c r="P7776" t="n">
        <v>0</v>
      </c>
      <c r="Q7776" t="n">
        <v>0</v>
      </c>
      <c r="R7776" s="2" t="inlineStr"/>
    </row>
    <row r="7777" ht="15" customHeight="1">
      <c r="A7777" t="inlineStr">
        <is>
          <t>A 20112-2025</t>
        </is>
      </c>
      <c r="B7777" s="1" t="n">
        <v>45772.47728009259</v>
      </c>
      <c r="C7777" s="1" t="n">
        <v>45952</v>
      </c>
      <c r="D7777" t="inlineStr">
        <is>
          <t>VÄSTRA GÖTALANDS LÄN</t>
        </is>
      </c>
      <c r="E7777" t="inlineStr">
        <is>
          <t>BENGTSFORS</t>
        </is>
      </c>
      <c r="G7777" t="n">
        <v>1.4</v>
      </c>
      <c r="H7777" t="n">
        <v>0</v>
      </c>
      <c r="I7777" t="n">
        <v>0</v>
      </c>
      <c r="J7777" t="n">
        <v>0</v>
      </c>
      <c r="K7777" t="n">
        <v>0</v>
      </c>
      <c r="L7777" t="n">
        <v>0</v>
      </c>
      <c r="M7777" t="n">
        <v>0</v>
      </c>
      <c r="N7777" t="n">
        <v>0</v>
      </c>
      <c r="O7777" t="n">
        <v>0</v>
      </c>
      <c r="P7777" t="n">
        <v>0</v>
      </c>
      <c r="Q7777" t="n">
        <v>0</v>
      </c>
      <c r="R7777" s="2" t="inlineStr"/>
    </row>
    <row r="7778" ht="15" customHeight="1">
      <c r="A7778" t="inlineStr">
        <is>
          <t>A 23494-2023</t>
        </is>
      </c>
      <c r="B7778" s="1" t="n">
        <v>45072</v>
      </c>
      <c r="C7778" s="1" t="n">
        <v>45952</v>
      </c>
      <c r="D7778" t="inlineStr">
        <is>
          <t>VÄSTRA GÖTALANDS LÄN</t>
        </is>
      </c>
      <c r="E7778" t="inlineStr">
        <is>
          <t>LILLA EDET</t>
        </is>
      </c>
      <c r="F7778" t="inlineStr">
        <is>
          <t>Kyrkan</t>
        </is>
      </c>
      <c r="G7778" t="n">
        <v>1.3</v>
      </c>
      <c r="H7778" t="n">
        <v>0</v>
      </c>
      <c r="I7778" t="n">
        <v>0</v>
      </c>
      <c r="J7778" t="n">
        <v>0</v>
      </c>
      <c r="K7778" t="n">
        <v>0</v>
      </c>
      <c r="L7778" t="n">
        <v>0</v>
      </c>
      <c r="M7778" t="n">
        <v>0</v>
      </c>
      <c r="N7778" t="n">
        <v>0</v>
      </c>
      <c r="O7778" t="n">
        <v>0</v>
      </c>
      <c r="P7778" t="n">
        <v>0</v>
      </c>
      <c r="Q7778" t="n">
        <v>0</v>
      </c>
      <c r="R7778" s="2" t="inlineStr"/>
    </row>
    <row r="7779" ht="15" customHeight="1">
      <c r="A7779" t="inlineStr">
        <is>
          <t>A 4203-2025</t>
        </is>
      </c>
      <c r="B7779" s="1" t="n">
        <v>45685.46277777778</v>
      </c>
      <c r="C7779" s="1" t="n">
        <v>45952</v>
      </c>
      <c r="D7779" t="inlineStr">
        <is>
          <t>VÄSTRA GÖTALANDS LÄN</t>
        </is>
      </c>
      <c r="E7779" t="inlineStr">
        <is>
          <t>ULRICEHAMN</t>
        </is>
      </c>
      <c r="G7779" t="n">
        <v>6.3</v>
      </c>
      <c r="H7779" t="n">
        <v>0</v>
      </c>
      <c r="I7779" t="n">
        <v>0</v>
      </c>
      <c r="J7779" t="n">
        <v>0</v>
      </c>
      <c r="K7779" t="n">
        <v>0</v>
      </c>
      <c r="L7779" t="n">
        <v>0</v>
      </c>
      <c r="M7779" t="n">
        <v>0</v>
      </c>
      <c r="N7779" t="n">
        <v>0</v>
      </c>
      <c r="O7779" t="n">
        <v>0</v>
      </c>
      <c r="P7779" t="n">
        <v>0</v>
      </c>
      <c r="Q7779" t="n">
        <v>0</v>
      </c>
      <c r="R7779" s="2" t="inlineStr"/>
    </row>
    <row r="7780" ht="15" customHeight="1">
      <c r="A7780" t="inlineStr">
        <is>
          <t>A 59956-2023</t>
        </is>
      </c>
      <c r="B7780" s="1" t="n">
        <v>45257.71068287037</v>
      </c>
      <c r="C7780" s="1" t="n">
        <v>45952</v>
      </c>
      <c r="D7780" t="inlineStr">
        <is>
          <t>VÄSTRA GÖTALANDS LÄN</t>
        </is>
      </c>
      <c r="E7780" t="inlineStr">
        <is>
          <t>ALINGSÅS</t>
        </is>
      </c>
      <c r="G7780" t="n">
        <v>1.2</v>
      </c>
      <c r="H7780" t="n">
        <v>0</v>
      </c>
      <c r="I7780" t="n">
        <v>0</v>
      </c>
      <c r="J7780" t="n">
        <v>0</v>
      </c>
      <c r="K7780" t="n">
        <v>0</v>
      </c>
      <c r="L7780" t="n">
        <v>0</v>
      </c>
      <c r="M7780" t="n">
        <v>0</v>
      </c>
      <c r="N7780" t="n">
        <v>0</v>
      </c>
      <c r="O7780" t="n">
        <v>0</v>
      </c>
      <c r="P7780" t="n">
        <v>0</v>
      </c>
      <c r="Q7780" t="n">
        <v>0</v>
      </c>
      <c r="R7780" s="2" t="inlineStr"/>
    </row>
    <row r="7781" ht="15" customHeight="1">
      <c r="A7781" t="inlineStr">
        <is>
          <t>A 12628-2023</t>
        </is>
      </c>
      <c r="B7781" s="1" t="n">
        <v>45000</v>
      </c>
      <c r="C7781" s="1" t="n">
        <v>45952</v>
      </c>
      <c r="D7781" t="inlineStr">
        <is>
          <t>VÄSTRA GÖTALANDS LÄN</t>
        </is>
      </c>
      <c r="E7781" t="inlineStr">
        <is>
          <t>LILLA EDET</t>
        </is>
      </c>
      <c r="G7781" t="n">
        <v>0.7</v>
      </c>
      <c r="H7781" t="n">
        <v>0</v>
      </c>
      <c r="I7781" t="n">
        <v>0</v>
      </c>
      <c r="J7781" t="n">
        <v>0</v>
      </c>
      <c r="K7781" t="n">
        <v>0</v>
      </c>
      <c r="L7781" t="n">
        <v>0</v>
      </c>
      <c r="M7781" t="n">
        <v>0</v>
      </c>
      <c r="N7781" t="n">
        <v>0</v>
      </c>
      <c r="O7781" t="n">
        <v>0</v>
      </c>
      <c r="P7781" t="n">
        <v>0</v>
      </c>
      <c r="Q7781" t="n">
        <v>0</v>
      </c>
      <c r="R7781" s="2" t="inlineStr"/>
    </row>
    <row r="7782" ht="15" customHeight="1">
      <c r="A7782" t="inlineStr">
        <is>
          <t>A 55731-2023</t>
        </is>
      </c>
      <c r="B7782" s="1" t="n">
        <v>45239</v>
      </c>
      <c r="C7782" s="1" t="n">
        <v>45952</v>
      </c>
      <c r="D7782" t="inlineStr">
        <is>
          <t>VÄSTRA GÖTALANDS LÄN</t>
        </is>
      </c>
      <c r="E7782" t="inlineStr">
        <is>
          <t>UDDEVALLA</t>
        </is>
      </c>
      <c r="G7782" t="n">
        <v>1.5</v>
      </c>
      <c r="H7782" t="n">
        <v>0</v>
      </c>
      <c r="I7782" t="n">
        <v>0</v>
      </c>
      <c r="J7782" t="n">
        <v>0</v>
      </c>
      <c r="K7782" t="n">
        <v>0</v>
      </c>
      <c r="L7782" t="n">
        <v>0</v>
      </c>
      <c r="M7782" t="n">
        <v>0</v>
      </c>
      <c r="N7782" t="n">
        <v>0</v>
      </c>
      <c r="O7782" t="n">
        <v>0</v>
      </c>
      <c r="P7782" t="n">
        <v>0</v>
      </c>
      <c r="Q7782" t="n">
        <v>0</v>
      </c>
      <c r="R7782" s="2" t="inlineStr"/>
    </row>
    <row r="7783" ht="15" customHeight="1">
      <c r="A7783" t="inlineStr">
        <is>
          <t>A 41991-2024</t>
        </is>
      </c>
      <c r="B7783" s="1" t="n">
        <v>45561.64265046296</v>
      </c>
      <c r="C7783" s="1" t="n">
        <v>45952</v>
      </c>
      <c r="D7783" t="inlineStr">
        <is>
          <t>VÄSTRA GÖTALANDS LÄN</t>
        </is>
      </c>
      <c r="E7783" t="inlineStr">
        <is>
          <t>MARK</t>
        </is>
      </c>
      <c r="G7783" t="n">
        <v>0.5</v>
      </c>
      <c r="H7783" t="n">
        <v>0</v>
      </c>
      <c r="I7783" t="n">
        <v>0</v>
      </c>
      <c r="J7783" t="n">
        <v>0</v>
      </c>
      <c r="K7783" t="n">
        <v>0</v>
      </c>
      <c r="L7783" t="n">
        <v>0</v>
      </c>
      <c r="M7783" t="n">
        <v>0</v>
      </c>
      <c r="N7783" t="n">
        <v>0</v>
      </c>
      <c r="O7783" t="n">
        <v>0</v>
      </c>
      <c r="P7783" t="n">
        <v>0</v>
      </c>
      <c r="Q7783" t="n">
        <v>0</v>
      </c>
      <c r="R7783" s="2" t="inlineStr"/>
    </row>
    <row r="7784" ht="15" customHeight="1">
      <c r="A7784" t="inlineStr">
        <is>
          <t>A 38888-2025</t>
        </is>
      </c>
      <c r="B7784" s="1" t="n">
        <v>45887.58603009259</v>
      </c>
      <c r="C7784" s="1" t="n">
        <v>45952</v>
      </c>
      <c r="D7784" t="inlineStr">
        <is>
          <t>VÄSTRA GÖTALANDS LÄN</t>
        </is>
      </c>
      <c r="E7784" t="inlineStr">
        <is>
          <t>MELLERUD</t>
        </is>
      </c>
      <c r="G7784" t="n">
        <v>1.2</v>
      </c>
      <c r="H7784" t="n">
        <v>0</v>
      </c>
      <c r="I7784" t="n">
        <v>0</v>
      </c>
      <c r="J7784" t="n">
        <v>0</v>
      </c>
      <c r="K7784" t="n">
        <v>0</v>
      </c>
      <c r="L7784" t="n">
        <v>0</v>
      </c>
      <c r="M7784" t="n">
        <v>0</v>
      </c>
      <c r="N7784" t="n">
        <v>0</v>
      </c>
      <c r="O7784" t="n">
        <v>0</v>
      </c>
      <c r="P7784" t="n">
        <v>0</v>
      </c>
      <c r="Q7784" t="n">
        <v>0</v>
      </c>
      <c r="R7784" s="2" t="inlineStr"/>
    </row>
    <row r="7785" ht="15" customHeight="1">
      <c r="A7785" t="inlineStr">
        <is>
          <t>A 12631-2023</t>
        </is>
      </c>
      <c r="B7785" s="1" t="n">
        <v>45000.48203703704</v>
      </c>
      <c r="C7785" s="1" t="n">
        <v>45952</v>
      </c>
      <c r="D7785" t="inlineStr">
        <is>
          <t>VÄSTRA GÖTALANDS LÄN</t>
        </is>
      </c>
      <c r="E7785" t="inlineStr">
        <is>
          <t>SVENLJUNGA</t>
        </is>
      </c>
      <c r="G7785" t="n">
        <v>3.8</v>
      </c>
      <c r="H7785" t="n">
        <v>0</v>
      </c>
      <c r="I7785" t="n">
        <v>0</v>
      </c>
      <c r="J7785" t="n">
        <v>0</v>
      </c>
      <c r="K7785" t="n">
        <v>0</v>
      </c>
      <c r="L7785" t="n">
        <v>0</v>
      </c>
      <c r="M7785" t="n">
        <v>0</v>
      </c>
      <c r="N7785" t="n">
        <v>0</v>
      </c>
      <c r="O7785" t="n">
        <v>0</v>
      </c>
      <c r="P7785" t="n">
        <v>0</v>
      </c>
      <c r="Q7785" t="n">
        <v>0</v>
      </c>
      <c r="R7785" s="2" t="inlineStr"/>
    </row>
    <row r="7786" ht="15" customHeight="1">
      <c r="A7786" t="inlineStr">
        <is>
          <t>A 12628-2021</t>
        </is>
      </c>
      <c r="B7786" s="1" t="n">
        <v>44270</v>
      </c>
      <c r="C7786" s="1" t="n">
        <v>45952</v>
      </c>
      <c r="D7786" t="inlineStr">
        <is>
          <t>VÄSTRA GÖTALANDS LÄN</t>
        </is>
      </c>
      <c r="E7786" t="inlineStr">
        <is>
          <t>ÅMÅL</t>
        </is>
      </c>
      <c r="G7786" t="n">
        <v>0.9</v>
      </c>
      <c r="H7786" t="n">
        <v>0</v>
      </c>
      <c r="I7786" t="n">
        <v>0</v>
      </c>
      <c r="J7786" t="n">
        <v>0</v>
      </c>
      <c r="K7786" t="n">
        <v>0</v>
      </c>
      <c r="L7786" t="n">
        <v>0</v>
      </c>
      <c r="M7786" t="n">
        <v>0</v>
      </c>
      <c r="N7786" t="n">
        <v>0</v>
      </c>
      <c r="O7786" t="n">
        <v>0</v>
      </c>
      <c r="P7786" t="n">
        <v>0</v>
      </c>
      <c r="Q7786" t="n">
        <v>0</v>
      </c>
      <c r="R7786" s="2" t="inlineStr"/>
    </row>
    <row r="7787" ht="15" customHeight="1">
      <c r="A7787" t="inlineStr">
        <is>
          <t>A 42358-2024</t>
        </is>
      </c>
      <c r="B7787" s="1" t="n">
        <v>45562.75159722222</v>
      </c>
      <c r="C7787" s="1" t="n">
        <v>45952</v>
      </c>
      <c r="D7787" t="inlineStr">
        <is>
          <t>VÄSTRA GÖTALANDS LÄN</t>
        </is>
      </c>
      <c r="E7787" t="inlineStr">
        <is>
          <t>HERRLJUNGA</t>
        </is>
      </c>
      <c r="G7787" t="n">
        <v>4.2</v>
      </c>
      <c r="H7787" t="n">
        <v>0</v>
      </c>
      <c r="I7787" t="n">
        <v>0</v>
      </c>
      <c r="J7787" t="n">
        <v>0</v>
      </c>
      <c r="K7787" t="n">
        <v>0</v>
      </c>
      <c r="L7787" t="n">
        <v>0</v>
      </c>
      <c r="M7787" t="n">
        <v>0</v>
      </c>
      <c r="N7787" t="n">
        <v>0</v>
      </c>
      <c r="O7787" t="n">
        <v>0</v>
      </c>
      <c r="P7787" t="n">
        <v>0</v>
      </c>
      <c r="Q7787" t="n">
        <v>0</v>
      </c>
      <c r="R7787" s="2" t="inlineStr"/>
    </row>
    <row r="7788" ht="15" customHeight="1">
      <c r="A7788" t="inlineStr">
        <is>
          <t>A 20983-2023</t>
        </is>
      </c>
      <c r="B7788" s="1" t="n">
        <v>45061</v>
      </c>
      <c r="C7788" s="1" t="n">
        <v>45952</v>
      </c>
      <c r="D7788" t="inlineStr">
        <is>
          <t>VÄSTRA GÖTALANDS LÄN</t>
        </is>
      </c>
      <c r="E7788" t="inlineStr">
        <is>
          <t>TANUM</t>
        </is>
      </c>
      <c r="G7788" t="n">
        <v>6.1</v>
      </c>
      <c r="H7788" t="n">
        <v>0</v>
      </c>
      <c r="I7788" t="n">
        <v>0</v>
      </c>
      <c r="J7788" t="n">
        <v>0</v>
      </c>
      <c r="K7788" t="n">
        <v>0</v>
      </c>
      <c r="L7788" t="n">
        <v>0</v>
      </c>
      <c r="M7788" t="n">
        <v>0</v>
      </c>
      <c r="N7788" t="n">
        <v>0</v>
      </c>
      <c r="O7788" t="n">
        <v>0</v>
      </c>
      <c r="P7788" t="n">
        <v>0</v>
      </c>
      <c r="Q7788" t="n">
        <v>0</v>
      </c>
      <c r="R7788" s="2" t="inlineStr"/>
    </row>
    <row r="7789" ht="15" customHeight="1">
      <c r="A7789" t="inlineStr">
        <is>
          <t>A 55434-2024</t>
        </is>
      </c>
      <c r="B7789" s="1" t="n">
        <v>45622.39576388889</v>
      </c>
      <c r="C7789" s="1" t="n">
        <v>45952</v>
      </c>
      <c r="D7789" t="inlineStr">
        <is>
          <t>VÄSTRA GÖTALANDS LÄN</t>
        </is>
      </c>
      <c r="E7789" t="inlineStr">
        <is>
          <t>FALKÖPING</t>
        </is>
      </c>
      <c r="G7789" t="n">
        <v>0.7</v>
      </c>
      <c r="H7789" t="n">
        <v>0</v>
      </c>
      <c r="I7789" t="n">
        <v>0</v>
      </c>
      <c r="J7789" t="n">
        <v>0</v>
      </c>
      <c r="K7789" t="n">
        <v>0</v>
      </c>
      <c r="L7789" t="n">
        <v>0</v>
      </c>
      <c r="M7789" t="n">
        <v>0</v>
      </c>
      <c r="N7789" t="n">
        <v>0</v>
      </c>
      <c r="O7789" t="n">
        <v>0</v>
      </c>
      <c r="P7789" t="n">
        <v>0</v>
      </c>
      <c r="Q7789" t="n">
        <v>0</v>
      </c>
      <c r="R7789" s="2" t="inlineStr"/>
    </row>
    <row r="7790" ht="15" customHeight="1">
      <c r="A7790" t="inlineStr">
        <is>
          <t>A 18455-2025</t>
        </is>
      </c>
      <c r="B7790" s="1" t="n">
        <v>45762.66929398148</v>
      </c>
      <c r="C7790" s="1" t="n">
        <v>45952</v>
      </c>
      <c r="D7790" t="inlineStr">
        <is>
          <t>VÄSTRA GÖTALANDS LÄN</t>
        </is>
      </c>
      <c r="E7790" t="inlineStr">
        <is>
          <t>TRANEMO</t>
        </is>
      </c>
      <c r="G7790" t="n">
        <v>0.8</v>
      </c>
      <c r="H7790" t="n">
        <v>0</v>
      </c>
      <c r="I7790" t="n">
        <v>0</v>
      </c>
      <c r="J7790" t="n">
        <v>0</v>
      </c>
      <c r="K7790" t="n">
        <v>0</v>
      </c>
      <c r="L7790" t="n">
        <v>0</v>
      </c>
      <c r="M7790" t="n">
        <v>0</v>
      </c>
      <c r="N7790" t="n">
        <v>0</v>
      </c>
      <c r="O7790" t="n">
        <v>0</v>
      </c>
      <c r="P7790" t="n">
        <v>0</v>
      </c>
      <c r="Q7790" t="n">
        <v>0</v>
      </c>
      <c r="R7790" s="2" t="inlineStr"/>
    </row>
    <row r="7791" ht="15" customHeight="1">
      <c r="A7791" t="inlineStr">
        <is>
          <t>A 18227-2025</t>
        </is>
      </c>
      <c r="B7791" s="1" t="n">
        <v>45761.80167824074</v>
      </c>
      <c r="C7791" s="1" t="n">
        <v>45952</v>
      </c>
      <c r="D7791" t="inlineStr">
        <is>
          <t>VÄSTRA GÖTALANDS LÄN</t>
        </is>
      </c>
      <c r="E7791" t="inlineStr">
        <is>
          <t>UDDEVALLA</t>
        </is>
      </c>
      <c r="G7791" t="n">
        <v>2.6</v>
      </c>
      <c r="H7791" t="n">
        <v>0</v>
      </c>
      <c r="I7791" t="n">
        <v>0</v>
      </c>
      <c r="J7791" t="n">
        <v>0</v>
      </c>
      <c r="K7791" t="n">
        <v>0</v>
      </c>
      <c r="L7791" t="n">
        <v>0</v>
      </c>
      <c r="M7791" t="n">
        <v>0</v>
      </c>
      <c r="N7791" t="n">
        <v>0</v>
      </c>
      <c r="O7791" t="n">
        <v>0</v>
      </c>
      <c r="P7791" t="n">
        <v>0</v>
      </c>
      <c r="Q7791" t="n">
        <v>0</v>
      </c>
      <c r="R7791" s="2" t="inlineStr"/>
    </row>
    <row r="7792" ht="15" customHeight="1">
      <c r="A7792" t="inlineStr">
        <is>
          <t>A 35047-2024</t>
        </is>
      </c>
      <c r="B7792" s="1" t="n">
        <v>45527.64486111111</v>
      </c>
      <c r="C7792" s="1" t="n">
        <v>45952</v>
      </c>
      <c r="D7792" t="inlineStr">
        <is>
          <t>VÄSTRA GÖTALANDS LÄN</t>
        </is>
      </c>
      <c r="E7792" t="inlineStr">
        <is>
          <t>LIDKÖPING</t>
        </is>
      </c>
      <c r="G7792" t="n">
        <v>0.6</v>
      </c>
      <c r="H7792" t="n">
        <v>0</v>
      </c>
      <c r="I7792" t="n">
        <v>0</v>
      </c>
      <c r="J7792" t="n">
        <v>0</v>
      </c>
      <c r="K7792" t="n">
        <v>0</v>
      </c>
      <c r="L7792" t="n">
        <v>0</v>
      </c>
      <c r="M7792" t="n">
        <v>0</v>
      </c>
      <c r="N7792" t="n">
        <v>0</v>
      </c>
      <c r="O7792" t="n">
        <v>0</v>
      </c>
      <c r="P7792" t="n">
        <v>0</v>
      </c>
      <c r="Q7792" t="n">
        <v>0</v>
      </c>
      <c r="R7792" s="2" t="inlineStr"/>
    </row>
    <row r="7793" ht="15" customHeight="1">
      <c r="A7793" t="inlineStr">
        <is>
          <t>A 35048-2024</t>
        </is>
      </c>
      <c r="B7793" s="1" t="n">
        <v>45527.64537037037</v>
      </c>
      <c r="C7793" s="1" t="n">
        <v>45952</v>
      </c>
      <c r="D7793" t="inlineStr">
        <is>
          <t>VÄSTRA GÖTALANDS LÄN</t>
        </is>
      </c>
      <c r="E7793" t="inlineStr">
        <is>
          <t>TIBRO</t>
        </is>
      </c>
      <c r="G7793" t="n">
        <v>2.8</v>
      </c>
      <c r="H7793" t="n">
        <v>0</v>
      </c>
      <c r="I7793" t="n">
        <v>0</v>
      </c>
      <c r="J7793" t="n">
        <v>0</v>
      </c>
      <c r="K7793" t="n">
        <v>0</v>
      </c>
      <c r="L7793" t="n">
        <v>0</v>
      </c>
      <c r="M7793" t="n">
        <v>0</v>
      </c>
      <c r="N7793" t="n">
        <v>0</v>
      </c>
      <c r="O7793" t="n">
        <v>0</v>
      </c>
      <c r="P7793" t="n">
        <v>0</v>
      </c>
      <c r="Q7793" t="n">
        <v>0</v>
      </c>
      <c r="R7793" s="2" t="inlineStr"/>
    </row>
    <row r="7794" ht="15" customHeight="1">
      <c r="A7794" t="inlineStr">
        <is>
          <t>A 12760-2023</t>
        </is>
      </c>
      <c r="B7794" s="1" t="n">
        <v>45001</v>
      </c>
      <c r="C7794" s="1" t="n">
        <v>45952</v>
      </c>
      <c r="D7794" t="inlineStr">
        <is>
          <t>VÄSTRA GÖTALANDS LÄN</t>
        </is>
      </c>
      <c r="E7794" t="inlineStr">
        <is>
          <t>LILLA EDET</t>
        </is>
      </c>
      <c r="G7794" t="n">
        <v>1.1</v>
      </c>
      <c r="H7794" t="n">
        <v>0</v>
      </c>
      <c r="I7794" t="n">
        <v>0</v>
      </c>
      <c r="J7794" t="n">
        <v>0</v>
      </c>
      <c r="K7794" t="n">
        <v>0</v>
      </c>
      <c r="L7794" t="n">
        <v>0</v>
      </c>
      <c r="M7794" t="n">
        <v>0</v>
      </c>
      <c r="N7794" t="n">
        <v>0</v>
      </c>
      <c r="O7794" t="n">
        <v>0</v>
      </c>
      <c r="P7794" t="n">
        <v>0</v>
      </c>
      <c r="Q7794" t="n">
        <v>0</v>
      </c>
      <c r="R7794" s="2" t="inlineStr"/>
    </row>
    <row r="7795" ht="15" customHeight="1">
      <c r="A7795" t="inlineStr">
        <is>
          <t>A 35140-2024</t>
        </is>
      </c>
      <c r="B7795" s="1" t="n">
        <v>45530</v>
      </c>
      <c r="C7795" s="1" t="n">
        <v>45952</v>
      </c>
      <c r="D7795" t="inlineStr">
        <is>
          <t>VÄSTRA GÖTALANDS LÄN</t>
        </is>
      </c>
      <c r="E7795" t="inlineStr">
        <is>
          <t>TIDAHOLM</t>
        </is>
      </c>
      <c r="G7795" t="n">
        <v>0.6</v>
      </c>
      <c r="H7795" t="n">
        <v>0</v>
      </c>
      <c r="I7795" t="n">
        <v>0</v>
      </c>
      <c r="J7795" t="n">
        <v>0</v>
      </c>
      <c r="K7795" t="n">
        <v>0</v>
      </c>
      <c r="L7795" t="n">
        <v>0</v>
      </c>
      <c r="M7795" t="n">
        <v>0</v>
      </c>
      <c r="N7795" t="n">
        <v>0</v>
      </c>
      <c r="O7795" t="n">
        <v>0</v>
      </c>
      <c r="P7795" t="n">
        <v>0</v>
      </c>
      <c r="Q7795" t="n">
        <v>0</v>
      </c>
      <c r="R7795" s="2" t="inlineStr"/>
    </row>
    <row r="7796" ht="15" customHeight="1">
      <c r="A7796" t="inlineStr">
        <is>
          <t>A 33510-2023</t>
        </is>
      </c>
      <c r="B7796" s="1" t="n">
        <v>45131.48244212963</v>
      </c>
      <c r="C7796" s="1" t="n">
        <v>45952</v>
      </c>
      <c r="D7796" t="inlineStr">
        <is>
          <t>VÄSTRA GÖTALANDS LÄN</t>
        </is>
      </c>
      <c r="E7796" t="inlineStr">
        <is>
          <t>ESSUNGA</t>
        </is>
      </c>
      <c r="G7796" t="n">
        <v>1.9</v>
      </c>
      <c r="H7796" t="n">
        <v>0</v>
      </c>
      <c r="I7796" t="n">
        <v>0</v>
      </c>
      <c r="J7796" t="n">
        <v>0</v>
      </c>
      <c r="K7796" t="n">
        <v>0</v>
      </c>
      <c r="L7796" t="n">
        <v>0</v>
      </c>
      <c r="M7796" t="n">
        <v>0</v>
      </c>
      <c r="N7796" t="n">
        <v>0</v>
      </c>
      <c r="O7796" t="n">
        <v>0</v>
      </c>
      <c r="P7796" t="n">
        <v>0</v>
      </c>
      <c r="Q7796" t="n">
        <v>0</v>
      </c>
      <c r="R7796" s="2" t="inlineStr"/>
    </row>
    <row r="7797" ht="15" customHeight="1">
      <c r="A7797" t="inlineStr">
        <is>
          <t>A 53033-2021</t>
        </is>
      </c>
      <c r="B7797" s="1" t="n">
        <v>44467.68811342592</v>
      </c>
      <c r="C7797" s="1" t="n">
        <v>45952</v>
      </c>
      <c r="D7797" t="inlineStr">
        <is>
          <t>VÄSTRA GÖTALANDS LÄN</t>
        </is>
      </c>
      <c r="E7797" t="inlineStr">
        <is>
          <t>TANUM</t>
        </is>
      </c>
      <c r="G7797" t="n">
        <v>0.9</v>
      </c>
      <c r="H7797" t="n">
        <v>0</v>
      </c>
      <c r="I7797" t="n">
        <v>0</v>
      </c>
      <c r="J7797" t="n">
        <v>0</v>
      </c>
      <c r="K7797" t="n">
        <v>0</v>
      </c>
      <c r="L7797" t="n">
        <v>0</v>
      </c>
      <c r="M7797" t="n">
        <v>0</v>
      </c>
      <c r="N7797" t="n">
        <v>0</v>
      </c>
      <c r="O7797" t="n">
        <v>0</v>
      </c>
      <c r="P7797" t="n">
        <v>0</v>
      </c>
      <c r="Q7797" t="n">
        <v>0</v>
      </c>
      <c r="R7797" s="2" t="inlineStr"/>
    </row>
    <row r="7798" ht="15" customHeight="1">
      <c r="A7798" t="inlineStr">
        <is>
          <t>A 7607-2025</t>
        </is>
      </c>
      <c r="B7798" s="1" t="n">
        <v>45705</v>
      </c>
      <c r="C7798" s="1" t="n">
        <v>45952</v>
      </c>
      <c r="D7798" t="inlineStr">
        <is>
          <t>VÄSTRA GÖTALANDS LÄN</t>
        </is>
      </c>
      <c r="E7798" t="inlineStr">
        <is>
          <t>SVENLJUNGA</t>
        </is>
      </c>
      <c r="G7798" t="n">
        <v>7.5</v>
      </c>
      <c r="H7798" t="n">
        <v>0</v>
      </c>
      <c r="I7798" t="n">
        <v>0</v>
      </c>
      <c r="J7798" t="n">
        <v>0</v>
      </c>
      <c r="K7798" t="n">
        <v>0</v>
      </c>
      <c r="L7798" t="n">
        <v>0</v>
      </c>
      <c r="M7798" t="n">
        <v>0</v>
      </c>
      <c r="N7798" t="n">
        <v>0</v>
      </c>
      <c r="O7798" t="n">
        <v>0</v>
      </c>
      <c r="P7798" t="n">
        <v>0</v>
      </c>
      <c r="Q7798" t="n">
        <v>0</v>
      </c>
      <c r="R7798" s="2" t="inlineStr"/>
    </row>
    <row r="7799" ht="15" customHeight="1">
      <c r="A7799" t="inlineStr">
        <is>
          <t>A 20915-2025</t>
        </is>
      </c>
      <c r="B7799" s="1" t="n">
        <v>45777.40862268519</v>
      </c>
      <c r="C7799" s="1" t="n">
        <v>45952</v>
      </c>
      <c r="D7799" t="inlineStr">
        <is>
          <t>VÄSTRA GÖTALANDS LÄN</t>
        </is>
      </c>
      <c r="E7799" t="inlineStr">
        <is>
          <t>VARA</t>
        </is>
      </c>
      <c r="G7799" t="n">
        <v>1.8</v>
      </c>
      <c r="H7799" t="n">
        <v>0</v>
      </c>
      <c r="I7799" t="n">
        <v>0</v>
      </c>
      <c r="J7799" t="n">
        <v>0</v>
      </c>
      <c r="K7799" t="n">
        <v>0</v>
      </c>
      <c r="L7799" t="n">
        <v>0</v>
      </c>
      <c r="M7799" t="n">
        <v>0</v>
      </c>
      <c r="N7799" t="n">
        <v>0</v>
      </c>
      <c r="O7799" t="n">
        <v>0</v>
      </c>
      <c r="P7799" t="n">
        <v>0</v>
      </c>
      <c r="Q7799" t="n">
        <v>0</v>
      </c>
      <c r="R7799" s="2" t="inlineStr"/>
    </row>
    <row r="7800" ht="15" customHeight="1">
      <c r="A7800" t="inlineStr">
        <is>
          <t>A 60819-2024</t>
        </is>
      </c>
      <c r="B7800" s="1" t="n">
        <v>45644.62649305556</v>
      </c>
      <c r="C7800" s="1" t="n">
        <v>45952</v>
      </c>
      <c r="D7800" t="inlineStr">
        <is>
          <t>VÄSTRA GÖTALANDS LÄN</t>
        </is>
      </c>
      <c r="E7800" t="inlineStr">
        <is>
          <t>UDDEVALLA</t>
        </is>
      </c>
      <c r="G7800" t="n">
        <v>1.1</v>
      </c>
      <c r="H7800" t="n">
        <v>0</v>
      </c>
      <c r="I7800" t="n">
        <v>0</v>
      </c>
      <c r="J7800" t="n">
        <v>0</v>
      </c>
      <c r="K7800" t="n">
        <v>0</v>
      </c>
      <c r="L7800" t="n">
        <v>0</v>
      </c>
      <c r="M7800" t="n">
        <v>0</v>
      </c>
      <c r="N7800" t="n">
        <v>0</v>
      </c>
      <c r="O7800" t="n">
        <v>0</v>
      </c>
      <c r="P7800" t="n">
        <v>0</v>
      </c>
      <c r="Q7800" t="n">
        <v>0</v>
      </c>
      <c r="R7800" s="2" t="inlineStr"/>
    </row>
    <row r="7801" ht="15" customHeight="1">
      <c r="A7801" t="inlineStr">
        <is>
          <t>A 48077-2024</t>
        </is>
      </c>
      <c r="B7801" s="1" t="n">
        <v>45589.57429398148</v>
      </c>
      <c r="C7801" s="1" t="n">
        <v>45952</v>
      </c>
      <c r="D7801" t="inlineStr">
        <is>
          <t>VÄSTRA GÖTALANDS LÄN</t>
        </is>
      </c>
      <c r="E7801" t="inlineStr">
        <is>
          <t>TANUM</t>
        </is>
      </c>
      <c r="G7801" t="n">
        <v>5.7</v>
      </c>
      <c r="H7801" t="n">
        <v>0</v>
      </c>
      <c r="I7801" t="n">
        <v>0</v>
      </c>
      <c r="J7801" t="n">
        <v>0</v>
      </c>
      <c r="K7801" t="n">
        <v>0</v>
      </c>
      <c r="L7801" t="n">
        <v>0</v>
      </c>
      <c r="M7801" t="n">
        <v>0</v>
      </c>
      <c r="N7801" t="n">
        <v>0</v>
      </c>
      <c r="O7801" t="n">
        <v>0</v>
      </c>
      <c r="P7801" t="n">
        <v>0</v>
      </c>
      <c r="Q7801" t="n">
        <v>0</v>
      </c>
      <c r="R7801" s="2" t="inlineStr"/>
    </row>
    <row r="7802" ht="15" customHeight="1">
      <c r="A7802" t="inlineStr">
        <is>
          <t>A 20635-2025</t>
        </is>
      </c>
      <c r="B7802" s="1" t="n">
        <v>45776.3533912037</v>
      </c>
      <c r="C7802" s="1" t="n">
        <v>45952</v>
      </c>
      <c r="D7802" t="inlineStr">
        <is>
          <t>VÄSTRA GÖTALANDS LÄN</t>
        </is>
      </c>
      <c r="E7802" t="inlineStr">
        <is>
          <t>BORÅS</t>
        </is>
      </c>
      <c r="G7802" t="n">
        <v>2</v>
      </c>
      <c r="H7802" t="n">
        <v>0</v>
      </c>
      <c r="I7802" t="n">
        <v>0</v>
      </c>
      <c r="J7802" t="n">
        <v>0</v>
      </c>
      <c r="K7802" t="n">
        <v>0</v>
      </c>
      <c r="L7802" t="n">
        <v>0</v>
      </c>
      <c r="M7802" t="n">
        <v>0</v>
      </c>
      <c r="N7802" t="n">
        <v>0</v>
      </c>
      <c r="O7802" t="n">
        <v>0</v>
      </c>
      <c r="P7802" t="n">
        <v>0</v>
      </c>
      <c r="Q7802" t="n">
        <v>0</v>
      </c>
      <c r="R7802" s="2" t="inlineStr"/>
    </row>
    <row r="7803" ht="15" customHeight="1">
      <c r="A7803" t="inlineStr">
        <is>
          <t>A 37837-2023</t>
        </is>
      </c>
      <c r="B7803" s="1" t="n">
        <v>45156</v>
      </c>
      <c r="C7803" s="1" t="n">
        <v>45952</v>
      </c>
      <c r="D7803" t="inlineStr">
        <is>
          <t>VÄSTRA GÖTALANDS LÄN</t>
        </is>
      </c>
      <c r="E7803" t="inlineStr">
        <is>
          <t>TÖREBODA</t>
        </is>
      </c>
      <c r="G7803" t="n">
        <v>2.4</v>
      </c>
      <c r="H7803" t="n">
        <v>0</v>
      </c>
      <c r="I7803" t="n">
        <v>0</v>
      </c>
      <c r="J7803" t="n">
        <v>0</v>
      </c>
      <c r="K7803" t="n">
        <v>0</v>
      </c>
      <c r="L7803" t="n">
        <v>0</v>
      </c>
      <c r="M7803" t="n">
        <v>0</v>
      </c>
      <c r="N7803" t="n">
        <v>0</v>
      </c>
      <c r="O7803" t="n">
        <v>0</v>
      </c>
      <c r="P7803" t="n">
        <v>0</v>
      </c>
      <c r="Q7803" t="n">
        <v>0</v>
      </c>
      <c r="R7803" s="2" t="inlineStr"/>
    </row>
    <row r="7804" ht="15" customHeight="1">
      <c r="A7804" t="inlineStr">
        <is>
          <t>A 42440-2024</t>
        </is>
      </c>
      <c r="B7804" s="1" t="n">
        <v>45565.42386574074</v>
      </c>
      <c r="C7804" s="1" t="n">
        <v>45952</v>
      </c>
      <c r="D7804" t="inlineStr">
        <is>
          <t>VÄSTRA GÖTALANDS LÄN</t>
        </is>
      </c>
      <c r="E7804" t="inlineStr">
        <is>
          <t>DALS-ED</t>
        </is>
      </c>
      <c r="G7804" t="n">
        <v>9</v>
      </c>
      <c r="H7804" t="n">
        <v>0</v>
      </c>
      <c r="I7804" t="n">
        <v>0</v>
      </c>
      <c r="J7804" t="n">
        <v>0</v>
      </c>
      <c r="K7804" t="n">
        <v>0</v>
      </c>
      <c r="L7804" t="n">
        <v>0</v>
      </c>
      <c r="M7804" t="n">
        <v>0</v>
      </c>
      <c r="N7804" t="n">
        <v>0</v>
      </c>
      <c r="O7804" t="n">
        <v>0</v>
      </c>
      <c r="P7804" t="n">
        <v>0</v>
      </c>
      <c r="Q7804" t="n">
        <v>0</v>
      </c>
      <c r="R7804" s="2" t="inlineStr"/>
    </row>
    <row r="7805" ht="15" customHeight="1">
      <c r="A7805" t="inlineStr">
        <is>
          <t>A 12561-2025</t>
        </is>
      </c>
      <c r="B7805" s="1" t="n">
        <v>45731.49915509259</v>
      </c>
      <c r="C7805" s="1" t="n">
        <v>45952</v>
      </c>
      <c r="D7805" t="inlineStr">
        <is>
          <t>VÄSTRA GÖTALANDS LÄN</t>
        </is>
      </c>
      <c r="E7805" t="inlineStr">
        <is>
          <t>DALS-ED</t>
        </is>
      </c>
      <c r="G7805" t="n">
        <v>0.4</v>
      </c>
      <c r="H7805" t="n">
        <v>0</v>
      </c>
      <c r="I7805" t="n">
        <v>0</v>
      </c>
      <c r="J7805" t="n">
        <v>0</v>
      </c>
      <c r="K7805" t="n">
        <v>0</v>
      </c>
      <c r="L7805" t="n">
        <v>0</v>
      </c>
      <c r="M7805" t="n">
        <v>0</v>
      </c>
      <c r="N7805" t="n">
        <v>0</v>
      </c>
      <c r="O7805" t="n">
        <v>0</v>
      </c>
      <c r="P7805" t="n">
        <v>0</v>
      </c>
      <c r="Q7805" t="n">
        <v>0</v>
      </c>
      <c r="R7805" s="2" t="inlineStr"/>
    </row>
    <row r="7806" ht="15" customHeight="1">
      <c r="A7806" t="inlineStr">
        <is>
          <t>A 59865-2024</t>
        </is>
      </c>
      <c r="B7806" s="1" t="n">
        <v>45639.84203703704</v>
      </c>
      <c r="C7806" s="1" t="n">
        <v>45952</v>
      </c>
      <c r="D7806" t="inlineStr">
        <is>
          <t>VÄSTRA GÖTALANDS LÄN</t>
        </is>
      </c>
      <c r="E7806" t="inlineStr">
        <is>
          <t>MELLERUD</t>
        </is>
      </c>
      <c r="G7806" t="n">
        <v>5.9</v>
      </c>
      <c r="H7806" t="n">
        <v>0</v>
      </c>
      <c r="I7806" t="n">
        <v>0</v>
      </c>
      <c r="J7806" t="n">
        <v>0</v>
      </c>
      <c r="K7806" t="n">
        <v>0</v>
      </c>
      <c r="L7806" t="n">
        <v>0</v>
      </c>
      <c r="M7806" t="n">
        <v>0</v>
      </c>
      <c r="N7806" t="n">
        <v>0</v>
      </c>
      <c r="O7806" t="n">
        <v>0</v>
      </c>
      <c r="P7806" t="n">
        <v>0</v>
      </c>
      <c r="Q7806" t="n">
        <v>0</v>
      </c>
      <c r="R7806" s="2" t="inlineStr"/>
    </row>
    <row r="7807" ht="15" customHeight="1">
      <c r="A7807" t="inlineStr">
        <is>
          <t>A 20861-2025</t>
        </is>
      </c>
      <c r="B7807" s="1" t="n">
        <v>45777.33300925926</v>
      </c>
      <c r="C7807" s="1" t="n">
        <v>45952</v>
      </c>
      <c r="D7807" t="inlineStr">
        <is>
          <t>VÄSTRA GÖTALANDS LÄN</t>
        </is>
      </c>
      <c r="E7807" t="inlineStr">
        <is>
          <t>FÄRGELANDA</t>
        </is>
      </c>
      <c r="G7807" t="n">
        <v>1.3</v>
      </c>
      <c r="H7807" t="n">
        <v>0</v>
      </c>
      <c r="I7807" t="n">
        <v>0</v>
      </c>
      <c r="J7807" t="n">
        <v>0</v>
      </c>
      <c r="K7807" t="n">
        <v>0</v>
      </c>
      <c r="L7807" t="n">
        <v>0</v>
      </c>
      <c r="M7807" t="n">
        <v>0</v>
      </c>
      <c r="N7807" t="n">
        <v>0</v>
      </c>
      <c r="O7807" t="n">
        <v>0</v>
      </c>
      <c r="P7807" t="n">
        <v>0</v>
      </c>
      <c r="Q7807" t="n">
        <v>0</v>
      </c>
      <c r="R7807" s="2" t="inlineStr"/>
    </row>
    <row r="7808" ht="15" customHeight="1">
      <c r="A7808" t="inlineStr">
        <is>
          <t>A 21079-2025</t>
        </is>
      </c>
      <c r="B7808" s="1" t="n">
        <v>45777.60255787037</v>
      </c>
      <c r="C7808" s="1" t="n">
        <v>45952</v>
      </c>
      <c r="D7808" t="inlineStr">
        <is>
          <t>VÄSTRA GÖTALANDS LÄN</t>
        </is>
      </c>
      <c r="E7808" t="inlineStr">
        <is>
          <t>MUNKEDAL</t>
        </is>
      </c>
      <c r="G7808" t="n">
        <v>2.2</v>
      </c>
      <c r="H7808" t="n">
        <v>0</v>
      </c>
      <c r="I7808" t="n">
        <v>0</v>
      </c>
      <c r="J7808" t="n">
        <v>0</v>
      </c>
      <c r="K7808" t="n">
        <v>0</v>
      </c>
      <c r="L7808" t="n">
        <v>0</v>
      </c>
      <c r="M7808" t="n">
        <v>0</v>
      </c>
      <c r="N7808" t="n">
        <v>0</v>
      </c>
      <c r="O7808" t="n">
        <v>0</v>
      </c>
      <c r="P7808" t="n">
        <v>0</v>
      </c>
      <c r="Q7808" t="n">
        <v>0</v>
      </c>
      <c r="R7808" s="2" t="inlineStr"/>
    </row>
    <row r="7809" ht="15" customHeight="1">
      <c r="A7809" t="inlineStr">
        <is>
          <t>A 534-2024</t>
        </is>
      </c>
      <c r="B7809" s="1" t="n">
        <v>45299</v>
      </c>
      <c r="C7809" s="1" t="n">
        <v>45952</v>
      </c>
      <c r="D7809" t="inlineStr">
        <is>
          <t>VÄSTRA GÖTALANDS LÄN</t>
        </is>
      </c>
      <c r="E7809" t="inlineStr">
        <is>
          <t>ULRICEHAMN</t>
        </is>
      </c>
      <c r="G7809" t="n">
        <v>0.7</v>
      </c>
      <c r="H7809" t="n">
        <v>0</v>
      </c>
      <c r="I7809" t="n">
        <v>0</v>
      </c>
      <c r="J7809" t="n">
        <v>0</v>
      </c>
      <c r="K7809" t="n">
        <v>0</v>
      </c>
      <c r="L7809" t="n">
        <v>0</v>
      </c>
      <c r="M7809" t="n">
        <v>0</v>
      </c>
      <c r="N7809" t="n">
        <v>0</v>
      </c>
      <c r="O7809" t="n">
        <v>0</v>
      </c>
      <c r="P7809" t="n">
        <v>0</v>
      </c>
      <c r="Q7809" t="n">
        <v>0</v>
      </c>
      <c r="R7809" s="2" t="inlineStr"/>
    </row>
    <row r="7810" ht="15" customHeight="1">
      <c r="A7810" t="inlineStr">
        <is>
          <t>A 33918-2024</t>
        </is>
      </c>
      <c r="B7810" s="1" t="n">
        <v>45522</v>
      </c>
      <c r="C7810" s="1" t="n">
        <v>45952</v>
      </c>
      <c r="D7810" t="inlineStr">
        <is>
          <t>VÄSTRA GÖTALANDS LÄN</t>
        </is>
      </c>
      <c r="E7810" t="inlineStr">
        <is>
          <t>MUNKEDAL</t>
        </is>
      </c>
      <c r="G7810" t="n">
        <v>2.3</v>
      </c>
      <c r="H7810" t="n">
        <v>0</v>
      </c>
      <c r="I7810" t="n">
        <v>0</v>
      </c>
      <c r="J7810" t="n">
        <v>0</v>
      </c>
      <c r="K7810" t="n">
        <v>0</v>
      </c>
      <c r="L7810" t="n">
        <v>0</v>
      </c>
      <c r="M7810" t="n">
        <v>0</v>
      </c>
      <c r="N7810" t="n">
        <v>0</v>
      </c>
      <c r="O7810" t="n">
        <v>0</v>
      </c>
      <c r="P7810" t="n">
        <v>0</v>
      </c>
      <c r="Q7810" t="n">
        <v>0</v>
      </c>
      <c r="R7810" s="2" t="inlineStr"/>
    </row>
    <row r="7811" ht="15" customHeight="1">
      <c r="A7811" t="inlineStr">
        <is>
          <t>A 21102-2025</t>
        </is>
      </c>
      <c r="B7811" s="1" t="n">
        <v>45777.65589120371</v>
      </c>
      <c r="C7811" s="1" t="n">
        <v>45952</v>
      </c>
      <c r="D7811" t="inlineStr">
        <is>
          <t>VÄSTRA GÖTALANDS LÄN</t>
        </is>
      </c>
      <c r="E7811" t="inlineStr">
        <is>
          <t>UDDEVALLA</t>
        </is>
      </c>
      <c r="G7811" t="n">
        <v>12.9</v>
      </c>
      <c r="H7811" t="n">
        <v>0</v>
      </c>
      <c r="I7811" t="n">
        <v>0</v>
      </c>
      <c r="J7811" t="n">
        <v>0</v>
      </c>
      <c r="K7811" t="n">
        <v>0</v>
      </c>
      <c r="L7811" t="n">
        <v>0</v>
      </c>
      <c r="M7811" t="n">
        <v>0</v>
      </c>
      <c r="N7811" t="n">
        <v>0</v>
      </c>
      <c r="O7811" t="n">
        <v>0</v>
      </c>
      <c r="P7811" t="n">
        <v>0</v>
      </c>
      <c r="Q7811" t="n">
        <v>0</v>
      </c>
      <c r="R7811" s="2" t="inlineStr"/>
    </row>
    <row r="7812" ht="15" customHeight="1">
      <c r="A7812" t="inlineStr">
        <is>
          <t>A 5631-2024</t>
        </is>
      </c>
      <c r="B7812" s="1" t="n">
        <v>45334.61013888889</v>
      </c>
      <c r="C7812" s="1" t="n">
        <v>45952</v>
      </c>
      <c r="D7812" t="inlineStr">
        <is>
          <t>VÄSTRA GÖTALANDS LÄN</t>
        </is>
      </c>
      <c r="E7812" t="inlineStr">
        <is>
          <t>KUNGÄLV</t>
        </is>
      </c>
      <c r="G7812" t="n">
        <v>1.3</v>
      </c>
      <c r="H7812" t="n">
        <v>0</v>
      </c>
      <c r="I7812" t="n">
        <v>0</v>
      </c>
      <c r="J7812" t="n">
        <v>0</v>
      </c>
      <c r="K7812" t="n">
        <v>0</v>
      </c>
      <c r="L7812" t="n">
        <v>0</v>
      </c>
      <c r="M7812" t="n">
        <v>0</v>
      </c>
      <c r="N7812" t="n">
        <v>0</v>
      </c>
      <c r="O7812" t="n">
        <v>0</v>
      </c>
      <c r="P7812" t="n">
        <v>0</v>
      </c>
      <c r="Q7812" t="n">
        <v>0</v>
      </c>
      <c r="R7812" s="2" t="inlineStr"/>
    </row>
    <row r="7813" ht="15" customHeight="1">
      <c r="A7813" t="inlineStr">
        <is>
          <t>A 50794-2023</t>
        </is>
      </c>
      <c r="B7813" s="1" t="n">
        <v>45210</v>
      </c>
      <c r="C7813" s="1" t="n">
        <v>45952</v>
      </c>
      <c r="D7813" t="inlineStr">
        <is>
          <t>VÄSTRA GÖTALANDS LÄN</t>
        </is>
      </c>
      <c r="E7813" t="inlineStr">
        <is>
          <t>SVENLJUNGA</t>
        </is>
      </c>
      <c r="G7813" t="n">
        <v>1.8</v>
      </c>
      <c r="H7813" t="n">
        <v>0</v>
      </c>
      <c r="I7813" t="n">
        <v>0</v>
      </c>
      <c r="J7813" t="n">
        <v>0</v>
      </c>
      <c r="K7813" t="n">
        <v>0</v>
      </c>
      <c r="L7813" t="n">
        <v>0</v>
      </c>
      <c r="M7813" t="n">
        <v>0</v>
      </c>
      <c r="N7813" t="n">
        <v>0</v>
      </c>
      <c r="O7813" t="n">
        <v>0</v>
      </c>
      <c r="P7813" t="n">
        <v>0</v>
      </c>
      <c r="Q7813" t="n">
        <v>0</v>
      </c>
      <c r="R7813" s="2" t="inlineStr"/>
    </row>
    <row r="7814" ht="15" customHeight="1">
      <c r="A7814" t="inlineStr">
        <is>
          <t>A 50796-2023</t>
        </is>
      </c>
      <c r="B7814" s="1" t="n">
        <v>45211</v>
      </c>
      <c r="C7814" s="1" t="n">
        <v>45952</v>
      </c>
      <c r="D7814" t="inlineStr">
        <is>
          <t>VÄSTRA GÖTALANDS LÄN</t>
        </is>
      </c>
      <c r="E7814" t="inlineStr">
        <is>
          <t>TANUM</t>
        </is>
      </c>
      <c r="G7814" t="n">
        <v>0.8</v>
      </c>
      <c r="H7814" t="n">
        <v>0</v>
      </c>
      <c r="I7814" t="n">
        <v>0</v>
      </c>
      <c r="J7814" t="n">
        <v>0</v>
      </c>
      <c r="K7814" t="n">
        <v>0</v>
      </c>
      <c r="L7814" t="n">
        <v>0</v>
      </c>
      <c r="M7814" t="n">
        <v>0</v>
      </c>
      <c r="N7814" t="n">
        <v>0</v>
      </c>
      <c r="O7814" t="n">
        <v>0</v>
      </c>
      <c r="P7814" t="n">
        <v>0</v>
      </c>
      <c r="Q7814" t="n">
        <v>0</v>
      </c>
      <c r="R7814" s="2" t="inlineStr"/>
    </row>
    <row r="7815" ht="15" customHeight="1">
      <c r="A7815" t="inlineStr">
        <is>
          <t>A 49820-2022</t>
        </is>
      </c>
      <c r="B7815" s="1" t="n">
        <v>44862.70869212963</v>
      </c>
      <c r="C7815" s="1" t="n">
        <v>45952</v>
      </c>
      <c r="D7815" t="inlineStr">
        <is>
          <t>VÄSTRA GÖTALANDS LÄN</t>
        </is>
      </c>
      <c r="E7815" t="inlineStr">
        <is>
          <t>VARA</t>
        </is>
      </c>
      <c r="G7815" t="n">
        <v>1.1</v>
      </c>
      <c r="H7815" t="n">
        <v>0</v>
      </c>
      <c r="I7815" t="n">
        <v>0</v>
      </c>
      <c r="J7815" t="n">
        <v>0</v>
      </c>
      <c r="K7815" t="n">
        <v>0</v>
      </c>
      <c r="L7815" t="n">
        <v>0</v>
      </c>
      <c r="M7815" t="n">
        <v>0</v>
      </c>
      <c r="N7815" t="n">
        <v>0</v>
      </c>
      <c r="O7815" t="n">
        <v>0</v>
      </c>
      <c r="P7815" t="n">
        <v>0</v>
      </c>
      <c r="Q7815" t="n">
        <v>0</v>
      </c>
      <c r="R7815" s="2" t="inlineStr"/>
    </row>
    <row r="7816" ht="15" customHeight="1">
      <c r="A7816" t="inlineStr">
        <is>
          <t>A 52852-2024</t>
        </is>
      </c>
      <c r="B7816" s="1" t="n">
        <v>45610.60664351852</v>
      </c>
      <c r="C7816" s="1" t="n">
        <v>45952</v>
      </c>
      <c r="D7816" t="inlineStr">
        <is>
          <t>VÄSTRA GÖTALANDS LÄN</t>
        </is>
      </c>
      <c r="E7816" t="inlineStr">
        <is>
          <t>STRÖMSTAD</t>
        </is>
      </c>
      <c r="G7816" t="n">
        <v>2.9</v>
      </c>
      <c r="H7816" t="n">
        <v>0</v>
      </c>
      <c r="I7816" t="n">
        <v>0</v>
      </c>
      <c r="J7816" t="n">
        <v>0</v>
      </c>
      <c r="K7816" t="n">
        <v>0</v>
      </c>
      <c r="L7816" t="n">
        <v>0</v>
      </c>
      <c r="M7816" t="n">
        <v>0</v>
      </c>
      <c r="N7816" t="n">
        <v>0</v>
      </c>
      <c r="O7816" t="n">
        <v>0</v>
      </c>
      <c r="P7816" t="n">
        <v>0</v>
      </c>
      <c r="Q7816" t="n">
        <v>0</v>
      </c>
      <c r="R7816" s="2" t="inlineStr"/>
    </row>
    <row r="7817" ht="15" customHeight="1">
      <c r="A7817" t="inlineStr">
        <is>
          <t>A 8560-2024</t>
        </is>
      </c>
      <c r="B7817" s="1" t="n">
        <v>45355.58215277778</v>
      </c>
      <c r="C7817" s="1" t="n">
        <v>45952</v>
      </c>
      <c r="D7817" t="inlineStr">
        <is>
          <t>VÄSTRA GÖTALANDS LÄN</t>
        </is>
      </c>
      <c r="E7817" t="inlineStr">
        <is>
          <t>ALINGSÅS</t>
        </is>
      </c>
      <c r="G7817" t="n">
        <v>3.2</v>
      </c>
      <c r="H7817" t="n">
        <v>0</v>
      </c>
      <c r="I7817" t="n">
        <v>0</v>
      </c>
      <c r="J7817" t="n">
        <v>0</v>
      </c>
      <c r="K7817" t="n">
        <v>0</v>
      </c>
      <c r="L7817" t="n">
        <v>0</v>
      </c>
      <c r="M7817" t="n">
        <v>0</v>
      </c>
      <c r="N7817" t="n">
        <v>0</v>
      </c>
      <c r="O7817" t="n">
        <v>0</v>
      </c>
      <c r="P7817" t="n">
        <v>0</v>
      </c>
      <c r="Q7817" t="n">
        <v>0</v>
      </c>
      <c r="R7817" s="2" t="inlineStr"/>
    </row>
    <row r="7818" ht="15" customHeight="1">
      <c r="A7818" t="inlineStr">
        <is>
          <t>A 8597-2024</t>
        </is>
      </c>
      <c r="B7818" s="1" t="n">
        <v>45355.651875</v>
      </c>
      <c r="C7818" s="1" t="n">
        <v>45952</v>
      </c>
      <c r="D7818" t="inlineStr">
        <is>
          <t>VÄSTRA GÖTALANDS LÄN</t>
        </is>
      </c>
      <c r="E7818" t="inlineStr">
        <is>
          <t>MARK</t>
        </is>
      </c>
      <c r="G7818" t="n">
        <v>3.7</v>
      </c>
      <c r="H7818" t="n">
        <v>0</v>
      </c>
      <c r="I7818" t="n">
        <v>0</v>
      </c>
      <c r="J7818" t="n">
        <v>0</v>
      </c>
      <c r="K7818" t="n">
        <v>0</v>
      </c>
      <c r="L7818" t="n">
        <v>0</v>
      </c>
      <c r="M7818" t="n">
        <v>0</v>
      </c>
      <c r="N7818" t="n">
        <v>0</v>
      </c>
      <c r="O7818" t="n">
        <v>0</v>
      </c>
      <c r="P7818" t="n">
        <v>0</v>
      </c>
      <c r="Q7818" t="n">
        <v>0</v>
      </c>
      <c r="R7818" s="2" t="inlineStr"/>
    </row>
    <row r="7819" ht="15" customHeight="1">
      <c r="A7819" t="inlineStr">
        <is>
          <t>A 8600-2024</t>
        </is>
      </c>
      <c r="B7819" s="1" t="n">
        <v>45355.66673611111</v>
      </c>
      <c r="C7819" s="1" t="n">
        <v>45952</v>
      </c>
      <c r="D7819" t="inlineStr">
        <is>
          <t>VÄSTRA GÖTALANDS LÄN</t>
        </is>
      </c>
      <c r="E7819" t="inlineStr">
        <is>
          <t>TANUM</t>
        </is>
      </c>
      <c r="G7819" t="n">
        <v>4.9</v>
      </c>
      <c r="H7819" t="n">
        <v>0</v>
      </c>
      <c r="I7819" t="n">
        <v>0</v>
      </c>
      <c r="J7819" t="n">
        <v>0</v>
      </c>
      <c r="K7819" t="n">
        <v>0</v>
      </c>
      <c r="L7819" t="n">
        <v>0</v>
      </c>
      <c r="M7819" t="n">
        <v>0</v>
      </c>
      <c r="N7819" t="n">
        <v>0</v>
      </c>
      <c r="O7819" t="n">
        <v>0</v>
      </c>
      <c r="P7819" t="n">
        <v>0</v>
      </c>
      <c r="Q7819" t="n">
        <v>0</v>
      </c>
      <c r="R7819" s="2" t="inlineStr"/>
    </row>
    <row r="7820" ht="15" customHeight="1">
      <c r="A7820" t="inlineStr">
        <is>
          <t>A 35202-2024</t>
        </is>
      </c>
      <c r="B7820" s="1" t="n">
        <v>45530.47739583333</v>
      </c>
      <c r="C7820" s="1" t="n">
        <v>45952</v>
      </c>
      <c r="D7820" t="inlineStr">
        <is>
          <t>VÄSTRA GÖTALANDS LÄN</t>
        </is>
      </c>
      <c r="E7820" t="inlineStr">
        <is>
          <t>GÖTENE</t>
        </is>
      </c>
      <c r="G7820" t="n">
        <v>0.6</v>
      </c>
      <c r="H7820" t="n">
        <v>0</v>
      </c>
      <c r="I7820" t="n">
        <v>0</v>
      </c>
      <c r="J7820" t="n">
        <v>0</v>
      </c>
      <c r="K7820" t="n">
        <v>0</v>
      </c>
      <c r="L7820" t="n">
        <v>0</v>
      </c>
      <c r="M7820" t="n">
        <v>0</v>
      </c>
      <c r="N7820" t="n">
        <v>0</v>
      </c>
      <c r="O7820" t="n">
        <v>0</v>
      </c>
      <c r="P7820" t="n">
        <v>0</v>
      </c>
      <c r="Q7820" t="n">
        <v>0</v>
      </c>
      <c r="R7820" s="2" t="inlineStr"/>
    </row>
    <row r="7821" ht="15" customHeight="1">
      <c r="A7821" t="inlineStr">
        <is>
          <t>A 49822-2022</t>
        </is>
      </c>
      <c r="B7821" s="1" t="n">
        <v>44862</v>
      </c>
      <c r="C7821" s="1" t="n">
        <v>45952</v>
      </c>
      <c r="D7821" t="inlineStr">
        <is>
          <t>VÄSTRA GÖTALANDS LÄN</t>
        </is>
      </c>
      <c r="E7821" t="inlineStr">
        <is>
          <t>ORUST</t>
        </is>
      </c>
      <c r="G7821" t="n">
        <v>1.5</v>
      </c>
      <c r="H7821" t="n">
        <v>0</v>
      </c>
      <c r="I7821" t="n">
        <v>0</v>
      </c>
      <c r="J7821" t="n">
        <v>0</v>
      </c>
      <c r="K7821" t="n">
        <v>0</v>
      </c>
      <c r="L7821" t="n">
        <v>0</v>
      </c>
      <c r="M7821" t="n">
        <v>0</v>
      </c>
      <c r="N7821" t="n">
        <v>0</v>
      </c>
      <c r="O7821" t="n">
        <v>0</v>
      </c>
      <c r="P7821" t="n">
        <v>0</v>
      </c>
      <c r="Q7821" t="n">
        <v>0</v>
      </c>
      <c r="R7821" s="2" t="inlineStr"/>
    </row>
    <row r="7822" ht="15" customHeight="1">
      <c r="A7822" t="inlineStr">
        <is>
          <t>A 11828-2024</t>
        </is>
      </c>
      <c r="B7822" s="1" t="n">
        <v>45376.35157407408</v>
      </c>
      <c r="C7822" s="1" t="n">
        <v>45952</v>
      </c>
      <c r="D7822" t="inlineStr">
        <is>
          <t>VÄSTRA GÖTALANDS LÄN</t>
        </is>
      </c>
      <c r="E7822" t="inlineStr">
        <is>
          <t>SVENLJUNGA</t>
        </is>
      </c>
      <c r="G7822" t="n">
        <v>2.2</v>
      </c>
      <c r="H7822" t="n">
        <v>0</v>
      </c>
      <c r="I7822" t="n">
        <v>0</v>
      </c>
      <c r="J7822" t="n">
        <v>0</v>
      </c>
      <c r="K7822" t="n">
        <v>0</v>
      </c>
      <c r="L7822" t="n">
        <v>0</v>
      </c>
      <c r="M7822" t="n">
        <v>0</v>
      </c>
      <c r="N7822" t="n">
        <v>0</v>
      </c>
      <c r="O7822" t="n">
        <v>0</v>
      </c>
      <c r="P7822" t="n">
        <v>0</v>
      </c>
      <c r="Q7822" t="n">
        <v>0</v>
      </c>
      <c r="R7822" s="2" t="inlineStr"/>
    </row>
    <row r="7823" ht="15" customHeight="1">
      <c r="A7823" t="inlineStr">
        <is>
          <t>A 11238-2025</t>
        </is>
      </c>
      <c r="B7823" s="1" t="n">
        <v>45726.36733796296</v>
      </c>
      <c r="C7823" s="1" t="n">
        <v>45952</v>
      </c>
      <c r="D7823" t="inlineStr">
        <is>
          <t>VÄSTRA GÖTALANDS LÄN</t>
        </is>
      </c>
      <c r="E7823" t="inlineStr">
        <is>
          <t>SVENLJUNGA</t>
        </is>
      </c>
      <c r="G7823" t="n">
        <v>2.8</v>
      </c>
      <c r="H7823" t="n">
        <v>0</v>
      </c>
      <c r="I7823" t="n">
        <v>0</v>
      </c>
      <c r="J7823" t="n">
        <v>0</v>
      </c>
      <c r="K7823" t="n">
        <v>0</v>
      </c>
      <c r="L7823" t="n">
        <v>0</v>
      </c>
      <c r="M7823" t="n">
        <v>0</v>
      </c>
      <c r="N7823" t="n">
        <v>0</v>
      </c>
      <c r="O7823" t="n">
        <v>0</v>
      </c>
      <c r="P7823" t="n">
        <v>0</v>
      </c>
      <c r="Q7823" t="n">
        <v>0</v>
      </c>
      <c r="R7823" s="2" t="inlineStr"/>
    </row>
    <row r="7824" ht="15" customHeight="1">
      <c r="A7824" t="inlineStr">
        <is>
          <t>A 26371-2024</t>
        </is>
      </c>
      <c r="B7824" s="1" t="n">
        <v>45469.40561342592</v>
      </c>
      <c r="C7824" s="1" t="n">
        <v>45952</v>
      </c>
      <c r="D7824" t="inlineStr">
        <is>
          <t>VÄSTRA GÖTALANDS LÄN</t>
        </is>
      </c>
      <c r="E7824" t="inlineStr">
        <is>
          <t>TANUM</t>
        </is>
      </c>
      <c r="G7824" t="n">
        <v>8</v>
      </c>
      <c r="H7824" t="n">
        <v>0</v>
      </c>
      <c r="I7824" t="n">
        <v>0</v>
      </c>
      <c r="J7824" t="n">
        <v>0</v>
      </c>
      <c r="K7824" t="n">
        <v>0</v>
      </c>
      <c r="L7824" t="n">
        <v>0</v>
      </c>
      <c r="M7824" t="n">
        <v>0</v>
      </c>
      <c r="N7824" t="n">
        <v>0</v>
      </c>
      <c r="O7824" t="n">
        <v>0</v>
      </c>
      <c r="P7824" t="n">
        <v>0</v>
      </c>
      <c r="Q7824" t="n">
        <v>0</v>
      </c>
      <c r="R7824" s="2" t="inlineStr"/>
    </row>
    <row r="7825" ht="15" customHeight="1">
      <c r="A7825" t="inlineStr">
        <is>
          <t>A 66107-2021</t>
        </is>
      </c>
      <c r="B7825" s="1" t="n">
        <v>44517.71121527778</v>
      </c>
      <c r="C7825" s="1" t="n">
        <v>45952</v>
      </c>
      <c r="D7825" t="inlineStr">
        <is>
          <t>VÄSTRA GÖTALANDS LÄN</t>
        </is>
      </c>
      <c r="E7825" t="inlineStr">
        <is>
          <t>LERUM</t>
        </is>
      </c>
      <c r="G7825" t="n">
        <v>3.4</v>
      </c>
      <c r="H7825" t="n">
        <v>0</v>
      </c>
      <c r="I7825" t="n">
        <v>0</v>
      </c>
      <c r="J7825" t="n">
        <v>0</v>
      </c>
      <c r="K7825" t="n">
        <v>0</v>
      </c>
      <c r="L7825" t="n">
        <v>0</v>
      </c>
      <c r="M7825" t="n">
        <v>0</v>
      </c>
      <c r="N7825" t="n">
        <v>0</v>
      </c>
      <c r="O7825" t="n">
        <v>0</v>
      </c>
      <c r="P7825" t="n">
        <v>0</v>
      </c>
      <c r="Q7825" t="n">
        <v>0</v>
      </c>
      <c r="R7825" s="2" t="inlineStr"/>
    </row>
    <row r="7826" ht="15" customHeight="1">
      <c r="A7826" t="inlineStr">
        <is>
          <t>A 66109-2021</t>
        </is>
      </c>
      <c r="B7826" s="1" t="n">
        <v>44517</v>
      </c>
      <c r="C7826" s="1" t="n">
        <v>45952</v>
      </c>
      <c r="D7826" t="inlineStr">
        <is>
          <t>VÄSTRA GÖTALANDS LÄN</t>
        </is>
      </c>
      <c r="E7826" t="inlineStr">
        <is>
          <t>SVENLJUNGA</t>
        </is>
      </c>
      <c r="G7826" t="n">
        <v>3</v>
      </c>
      <c r="H7826" t="n">
        <v>0</v>
      </c>
      <c r="I7826" t="n">
        <v>0</v>
      </c>
      <c r="J7826" t="n">
        <v>0</v>
      </c>
      <c r="K7826" t="n">
        <v>0</v>
      </c>
      <c r="L7826" t="n">
        <v>0</v>
      </c>
      <c r="M7826" t="n">
        <v>0</v>
      </c>
      <c r="N7826" t="n">
        <v>0</v>
      </c>
      <c r="O7826" t="n">
        <v>0</v>
      </c>
      <c r="P7826" t="n">
        <v>0</v>
      </c>
      <c r="Q7826" t="n">
        <v>0</v>
      </c>
      <c r="R7826" s="2" t="inlineStr"/>
    </row>
    <row r="7827" ht="15" customHeight="1">
      <c r="A7827" t="inlineStr">
        <is>
          <t>A 58286-2022</t>
        </is>
      </c>
      <c r="B7827" s="1" t="n">
        <v>44901.49652777778</v>
      </c>
      <c r="C7827" s="1" t="n">
        <v>45952</v>
      </c>
      <c r="D7827" t="inlineStr">
        <is>
          <t>VÄSTRA GÖTALANDS LÄN</t>
        </is>
      </c>
      <c r="E7827" t="inlineStr">
        <is>
          <t>MARIESTAD</t>
        </is>
      </c>
      <c r="F7827" t="inlineStr">
        <is>
          <t>Kyrkan</t>
        </is>
      </c>
      <c r="G7827" t="n">
        <v>3.9</v>
      </c>
      <c r="H7827" t="n">
        <v>0</v>
      </c>
      <c r="I7827" t="n">
        <v>0</v>
      </c>
      <c r="J7827" t="n">
        <v>0</v>
      </c>
      <c r="K7827" t="n">
        <v>0</v>
      </c>
      <c r="L7827" t="n">
        <v>0</v>
      </c>
      <c r="M7827" t="n">
        <v>0</v>
      </c>
      <c r="N7827" t="n">
        <v>0</v>
      </c>
      <c r="O7827" t="n">
        <v>0</v>
      </c>
      <c r="P7827" t="n">
        <v>0</v>
      </c>
      <c r="Q7827" t="n">
        <v>0</v>
      </c>
      <c r="R7827" s="2" t="inlineStr"/>
    </row>
    <row r="7828" ht="15" customHeight="1">
      <c r="A7828" t="inlineStr">
        <is>
          <t>A 30034-2021</t>
        </is>
      </c>
      <c r="B7828" s="1" t="n">
        <v>44363</v>
      </c>
      <c r="C7828" s="1" t="n">
        <v>45952</v>
      </c>
      <c r="D7828" t="inlineStr">
        <is>
          <t>VÄSTRA GÖTALANDS LÄN</t>
        </is>
      </c>
      <c r="E7828" t="inlineStr">
        <is>
          <t>SKÖVDE</t>
        </is>
      </c>
      <c r="G7828" t="n">
        <v>1.4</v>
      </c>
      <c r="H7828" t="n">
        <v>0</v>
      </c>
      <c r="I7828" t="n">
        <v>0</v>
      </c>
      <c r="J7828" t="n">
        <v>0</v>
      </c>
      <c r="K7828" t="n">
        <v>0</v>
      </c>
      <c r="L7828" t="n">
        <v>0</v>
      </c>
      <c r="M7828" t="n">
        <v>0</v>
      </c>
      <c r="N7828" t="n">
        <v>0</v>
      </c>
      <c r="O7828" t="n">
        <v>0</v>
      </c>
      <c r="P7828" t="n">
        <v>0</v>
      </c>
      <c r="Q7828" t="n">
        <v>0</v>
      </c>
      <c r="R7828" s="2" t="inlineStr"/>
    </row>
    <row r="7829" ht="15" customHeight="1">
      <c r="A7829" t="inlineStr">
        <is>
          <t>A 30057-2021</t>
        </is>
      </c>
      <c r="B7829" s="1" t="n">
        <v>44363.47548611111</v>
      </c>
      <c r="C7829" s="1" t="n">
        <v>45952</v>
      </c>
      <c r="D7829" t="inlineStr">
        <is>
          <t>VÄSTRA GÖTALANDS LÄN</t>
        </is>
      </c>
      <c r="E7829" t="inlineStr">
        <is>
          <t>SKARA</t>
        </is>
      </c>
      <c r="G7829" t="n">
        <v>2.4</v>
      </c>
      <c r="H7829" t="n">
        <v>0</v>
      </c>
      <c r="I7829" t="n">
        <v>0</v>
      </c>
      <c r="J7829" t="n">
        <v>0</v>
      </c>
      <c r="K7829" t="n">
        <v>0</v>
      </c>
      <c r="L7829" t="n">
        <v>0</v>
      </c>
      <c r="M7829" t="n">
        <v>0</v>
      </c>
      <c r="N7829" t="n">
        <v>0</v>
      </c>
      <c r="O7829" t="n">
        <v>0</v>
      </c>
      <c r="P7829" t="n">
        <v>0</v>
      </c>
      <c r="Q7829" t="n">
        <v>0</v>
      </c>
      <c r="R7829" s="2" t="inlineStr"/>
    </row>
    <row r="7830" ht="15" customHeight="1">
      <c r="A7830" t="inlineStr">
        <is>
          <t>A 49146-2024</t>
        </is>
      </c>
      <c r="B7830" s="1" t="n">
        <v>45594.7358912037</v>
      </c>
      <c r="C7830" s="1" t="n">
        <v>45952</v>
      </c>
      <c r="D7830" t="inlineStr">
        <is>
          <t>VÄSTRA GÖTALANDS LÄN</t>
        </is>
      </c>
      <c r="E7830" t="inlineStr">
        <is>
          <t>ÅMÅL</t>
        </is>
      </c>
      <c r="G7830" t="n">
        <v>8.1</v>
      </c>
      <c r="H7830" t="n">
        <v>0</v>
      </c>
      <c r="I7830" t="n">
        <v>0</v>
      </c>
      <c r="J7830" t="n">
        <v>0</v>
      </c>
      <c r="K7830" t="n">
        <v>0</v>
      </c>
      <c r="L7830" t="n">
        <v>0</v>
      </c>
      <c r="M7830" t="n">
        <v>0</v>
      </c>
      <c r="N7830" t="n">
        <v>0</v>
      </c>
      <c r="O7830" t="n">
        <v>0</v>
      </c>
      <c r="P7830" t="n">
        <v>0</v>
      </c>
      <c r="Q7830" t="n">
        <v>0</v>
      </c>
      <c r="R7830" s="2" t="inlineStr"/>
    </row>
    <row r="7831" ht="15" customHeight="1">
      <c r="A7831" t="inlineStr">
        <is>
          <t>A 7047-2023</t>
        </is>
      </c>
      <c r="B7831" s="1" t="n">
        <v>44968</v>
      </c>
      <c r="C7831" s="1" t="n">
        <v>45952</v>
      </c>
      <c r="D7831" t="inlineStr">
        <is>
          <t>VÄSTRA GÖTALANDS LÄN</t>
        </is>
      </c>
      <c r="E7831" t="inlineStr">
        <is>
          <t>VÅRGÅRDA</t>
        </is>
      </c>
      <c r="G7831" t="n">
        <v>1.9</v>
      </c>
      <c r="H7831" t="n">
        <v>0</v>
      </c>
      <c r="I7831" t="n">
        <v>0</v>
      </c>
      <c r="J7831" t="n">
        <v>0</v>
      </c>
      <c r="K7831" t="n">
        <v>0</v>
      </c>
      <c r="L7831" t="n">
        <v>0</v>
      </c>
      <c r="M7831" t="n">
        <v>0</v>
      </c>
      <c r="N7831" t="n">
        <v>0</v>
      </c>
      <c r="O7831" t="n">
        <v>0</v>
      </c>
      <c r="P7831" t="n">
        <v>0</v>
      </c>
      <c r="Q7831" t="n">
        <v>0</v>
      </c>
      <c r="R7831" s="2" t="inlineStr"/>
    </row>
    <row r="7832" ht="15" customHeight="1">
      <c r="A7832" t="inlineStr">
        <is>
          <t>A 2159-2023</t>
        </is>
      </c>
      <c r="B7832" s="1" t="n">
        <v>44941.67449074074</v>
      </c>
      <c r="C7832" s="1" t="n">
        <v>45952</v>
      </c>
      <c r="D7832" t="inlineStr">
        <is>
          <t>VÄSTRA GÖTALANDS LÄN</t>
        </is>
      </c>
      <c r="E7832" t="inlineStr">
        <is>
          <t>BORÅS</t>
        </is>
      </c>
      <c r="G7832" t="n">
        <v>4.3</v>
      </c>
      <c r="H7832" t="n">
        <v>0</v>
      </c>
      <c r="I7832" t="n">
        <v>0</v>
      </c>
      <c r="J7832" t="n">
        <v>0</v>
      </c>
      <c r="K7832" t="n">
        <v>0</v>
      </c>
      <c r="L7832" t="n">
        <v>0</v>
      </c>
      <c r="M7832" t="n">
        <v>0</v>
      </c>
      <c r="N7832" t="n">
        <v>0</v>
      </c>
      <c r="O7832" t="n">
        <v>0</v>
      </c>
      <c r="P7832" t="n">
        <v>0</v>
      </c>
      <c r="Q7832" t="n">
        <v>0</v>
      </c>
      <c r="R7832" s="2" t="inlineStr"/>
    </row>
    <row r="7833" ht="15" customHeight="1">
      <c r="A7833" t="inlineStr">
        <is>
          <t>A 7088-2023</t>
        </is>
      </c>
      <c r="B7833" s="1" t="n">
        <v>44970</v>
      </c>
      <c r="C7833" s="1" t="n">
        <v>45952</v>
      </c>
      <c r="D7833" t="inlineStr">
        <is>
          <t>VÄSTRA GÖTALANDS LÄN</t>
        </is>
      </c>
      <c r="E7833" t="inlineStr">
        <is>
          <t>TRANEMO</t>
        </is>
      </c>
      <c r="G7833" t="n">
        <v>0.9</v>
      </c>
      <c r="H7833" t="n">
        <v>0</v>
      </c>
      <c r="I7833" t="n">
        <v>0</v>
      </c>
      <c r="J7833" t="n">
        <v>0</v>
      </c>
      <c r="K7833" t="n">
        <v>0</v>
      </c>
      <c r="L7833" t="n">
        <v>0</v>
      </c>
      <c r="M7833" t="n">
        <v>0</v>
      </c>
      <c r="N7833" t="n">
        <v>0</v>
      </c>
      <c r="O7833" t="n">
        <v>0</v>
      </c>
      <c r="P7833" t="n">
        <v>0</v>
      </c>
      <c r="Q7833" t="n">
        <v>0</v>
      </c>
      <c r="R7833" s="2" t="inlineStr"/>
    </row>
    <row r="7834" ht="15" customHeight="1">
      <c r="A7834" t="inlineStr">
        <is>
          <t>A 38180-2023</t>
        </is>
      </c>
      <c r="B7834" s="1" t="n">
        <v>45161.45855324074</v>
      </c>
      <c r="C7834" s="1" t="n">
        <v>45952</v>
      </c>
      <c r="D7834" t="inlineStr">
        <is>
          <t>VÄSTRA GÖTALANDS LÄN</t>
        </is>
      </c>
      <c r="E7834" t="inlineStr">
        <is>
          <t>ULRICEHAMN</t>
        </is>
      </c>
      <c r="G7834" t="n">
        <v>3.4</v>
      </c>
      <c r="H7834" t="n">
        <v>0</v>
      </c>
      <c r="I7834" t="n">
        <v>0</v>
      </c>
      <c r="J7834" t="n">
        <v>0</v>
      </c>
      <c r="K7834" t="n">
        <v>0</v>
      </c>
      <c r="L7834" t="n">
        <v>0</v>
      </c>
      <c r="M7834" t="n">
        <v>0</v>
      </c>
      <c r="N7834" t="n">
        <v>0</v>
      </c>
      <c r="O7834" t="n">
        <v>0</v>
      </c>
      <c r="P7834" t="n">
        <v>0</v>
      </c>
      <c r="Q7834" t="n">
        <v>0</v>
      </c>
      <c r="R7834" s="2" t="inlineStr"/>
    </row>
    <row r="7835" ht="15" customHeight="1">
      <c r="A7835" t="inlineStr">
        <is>
          <t>A 62725-2023</t>
        </is>
      </c>
      <c r="B7835" s="1" t="n">
        <v>45271</v>
      </c>
      <c r="C7835" s="1" t="n">
        <v>45952</v>
      </c>
      <c r="D7835" t="inlineStr">
        <is>
          <t>VÄSTRA GÖTALANDS LÄN</t>
        </is>
      </c>
      <c r="E7835" t="inlineStr">
        <is>
          <t>MARK</t>
        </is>
      </c>
      <c r="G7835" t="n">
        <v>2.1</v>
      </c>
      <c r="H7835" t="n">
        <v>0</v>
      </c>
      <c r="I7835" t="n">
        <v>0</v>
      </c>
      <c r="J7835" t="n">
        <v>0</v>
      </c>
      <c r="K7835" t="n">
        <v>0</v>
      </c>
      <c r="L7835" t="n">
        <v>0</v>
      </c>
      <c r="M7835" t="n">
        <v>0</v>
      </c>
      <c r="N7835" t="n">
        <v>0</v>
      </c>
      <c r="O7835" t="n">
        <v>0</v>
      </c>
      <c r="P7835" t="n">
        <v>0</v>
      </c>
      <c r="Q7835" t="n">
        <v>0</v>
      </c>
      <c r="R7835" s="2" t="inlineStr"/>
    </row>
    <row r="7836" ht="15" customHeight="1">
      <c r="A7836" t="inlineStr">
        <is>
          <t>A 62730-2023</t>
        </is>
      </c>
      <c r="B7836" s="1" t="n">
        <v>45268</v>
      </c>
      <c r="C7836" s="1" t="n">
        <v>45952</v>
      </c>
      <c r="D7836" t="inlineStr">
        <is>
          <t>VÄSTRA GÖTALANDS LÄN</t>
        </is>
      </c>
      <c r="E7836" t="inlineStr">
        <is>
          <t>LILLA EDET</t>
        </is>
      </c>
      <c r="G7836" t="n">
        <v>3.1</v>
      </c>
      <c r="H7836" t="n">
        <v>0</v>
      </c>
      <c r="I7836" t="n">
        <v>0</v>
      </c>
      <c r="J7836" t="n">
        <v>0</v>
      </c>
      <c r="K7836" t="n">
        <v>0</v>
      </c>
      <c r="L7836" t="n">
        <v>0</v>
      </c>
      <c r="M7836" t="n">
        <v>0</v>
      </c>
      <c r="N7836" t="n">
        <v>0</v>
      </c>
      <c r="O7836" t="n">
        <v>0</v>
      </c>
      <c r="P7836" t="n">
        <v>0</v>
      </c>
      <c r="Q7836" t="n">
        <v>0</v>
      </c>
      <c r="R7836" s="2" t="inlineStr"/>
    </row>
    <row r="7837" ht="15" customHeight="1">
      <c r="A7837" t="inlineStr">
        <is>
          <t>A 44985-2024</t>
        </is>
      </c>
      <c r="B7837" s="1" t="n">
        <v>45575.47465277778</v>
      </c>
      <c r="C7837" s="1" t="n">
        <v>45952</v>
      </c>
      <c r="D7837" t="inlineStr">
        <is>
          <t>VÄSTRA GÖTALANDS LÄN</t>
        </is>
      </c>
      <c r="E7837" t="inlineStr">
        <is>
          <t>KARLSBORG</t>
        </is>
      </c>
      <c r="G7837" t="n">
        <v>0.5</v>
      </c>
      <c r="H7837" t="n">
        <v>0</v>
      </c>
      <c r="I7837" t="n">
        <v>0</v>
      </c>
      <c r="J7837" t="n">
        <v>0</v>
      </c>
      <c r="K7837" t="n">
        <v>0</v>
      </c>
      <c r="L7837" t="n">
        <v>0</v>
      </c>
      <c r="M7837" t="n">
        <v>0</v>
      </c>
      <c r="N7837" t="n">
        <v>0</v>
      </c>
      <c r="O7837" t="n">
        <v>0</v>
      </c>
      <c r="P7837" t="n">
        <v>0</v>
      </c>
      <c r="Q7837" t="n">
        <v>0</v>
      </c>
      <c r="R7837" s="2" t="inlineStr"/>
    </row>
    <row r="7838" ht="15" customHeight="1">
      <c r="A7838" t="inlineStr">
        <is>
          <t>A 62751-2023</t>
        </is>
      </c>
      <c r="B7838" s="1" t="n">
        <v>45271.62438657408</v>
      </c>
      <c r="C7838" s="1" t="n">
        <v>45952</v>
      </c>
      <c r="D7838" t="inlineStr">
        <is>
          <t>VÄSTRA GÖTALANDS LÄN</t>
        </is>
      </c>
      <c r="E7838" t="inlineStr">
        <is>
          <t>MARIESTAD</t>
        </is>
      </c>
      <c r="G7838" t="n">
        <v>1.1</v>
      </c>
      <c r="H7838" t="n">
        <v>0</v>
      </c>
      <c r="I7838" t="n">
        <v>0</v>
      </c>
      <c r="J7838" t="n">
        <v>0</v>
      </c>
      <c r="K7838" t="n">
        <v>0</v>
      </c>
      <c r="L7838" t="n">
        <v>0</v>
      </c>
      <c r="M7838" t="n">
        <v>0</v>
      </c>
      <c r="N7838" t="n">
        <v>0</v>
      </c>
      <c r="O7838" t="n">
        <v>0</v>
      </c>
      <c r="P7838" t="n">
        <v>0</v>
      </c>
      <c r="Q7838" t="n">
        <v>0</v>
      </c>
      <c r="R7838" s="2" t="inlineStr"/>
    </row>
    <row r="7839" ht="15" customHeight="1">
      <c r="A7839" t="inlineStr">
        <is>
          <t>A 57399-2022</t>
        </is>
      </c>
      <c r="B7839" s="1" t="n">
        <v>44896</v>
      </c>
      <c r="C7839" s="1" t="n">
        <v>45952</v>
      </c>
      <c r="D7839" t="inlineStr">
        <is>
          <t>VÄSTRA GÖTALANDS LÄN</t>
        </is>
      </c>
      <c r="E7839" t="inlineStr">
        <is>
          <t>MARK</t>
        </is>
      </c>
      <c r="G7839" t="n">
        <v>0.6</v>
      </c>
      <c r="H7839" t="n">
        <v>0</v>
      </c>
      <c r="I7839" t="n">
        <v>0</v>
      </c>
      <c r="J7839" t="n">
        <v>0</v>
      </c>
      <c r="K7839" t="n">
        <v>0</v>
      </c>
      <c r="L7839" t="n">
        <v>0</v>
      </c>
      <c r="M7839" t="n">
        <v>0</v>
      </c>
      <c r="N7839" t="n">
        <v>0</v>
      </c>
      <c r="O7839" t="n">
        <v>0</v>
      </c>
      <c r="P7839" t="n">
        <v>0</v>
      </c>
      <c r="Q7839" t="n">
        <v>0</v>
      </c>
      <c r="R7839" s="2" t="inlineStr"/>
    </row>
    <row r="7840" ht="15" customHeight="1">
      <c r="A7840" t="inlineStr">
        <is>
          <t>A 57409-2022</t>
        </is>
      </c>
      <c r="B7840" s="1" t="n">
        <v>44896.4927662037</v>
      </c>
      <c r="C7840" s="1" t="n">
        <v>45952</v>
      </c>
      <c r="D7840" t="inlineStr">
        <is>
          <t>VÄSTRA GÖTALANDS LÄN</t>
        </is>
      </c>
      <c r="E7840" t="inlineStr">
        <is>
          <t>MUNKEDAL</t>
        </is>
      </c>
      <c r="G7840" t="n">
        <v>4.7</v>
      </c>
      <c r="H7840" t="n">
        <v>0</v>
      </c>
      <c r="I7840" t="n">
        <v>0</v>
      </c>
      <c r="J7840" t="n">
        <v>0</v>
      </c>
      <c r="K7840" t="n">
        <v>0</v>
      </c>
      <c r="L7840" t="n">
        <v>0</v>
      </c>
      <c r="M7840" t="n">
        <v>0</v>
      </c>
      <c r="N7840" t="n">
        <v>0</v>
      </c>
      <c r="O7840" t="n">
        <v>0</v>
      </c>
      <c r="P7840" t="n">
        <v>0</v>
      </c>
      <c r="Q7840" t="n">
        <v>0</v>
      </c>
      <c r="R7840" s="2" t="inlineStr"/>
    </row>
    <row r="7841" ht="15" customHeight="1">
      <c r="A7841" t="inlineStr">
        <is>
          <t>A 45001-2024</t>
        </is>
      </c>
      <c r="B7841" s="1" t="n">
        <v>45575.48587962963</v>
      </c>
      <c r="C7841" s="1" t="n">
        <v>45952</v>
      </c>
      <c r="D7841" t="inlineStr">
        <is>
          <t>VÄSTRA GÖTALANDS LÄN</t>
        </is>
      </c>
      <c r="E7841" t="inlineStr">
        <is>
          <t>BENGTSFORS</t>
        </is>
      </c>
      <c r="G7841" t="n">
        <v>2.9</v>
      </c>
      <c r="H7841" t="n">
        <v>0</v>
      </c>
      <c r="I7841" t="n">
        <v>0</v>
      </c>
      <c r="J7841" t="n">
        <v>0</v>
      </c>
      <c r="K7841" t="n">
        <v>0</v>
      </c>
      <c r="L7841" t="n">
        <v>0</v>
      </c>
      <c r="M7841" t="n">
        <v>0</v>
      </c>
      <c r="N7841" t="n">
        <v>0</v>
      </c>
      <c r="O7841" t="n">
        <v>0</v>
      </c>
      <c r="P7841" t="n">
        <v>0</v>
      </c>
      <c r="Q7841" t="n">
        <v>0</v>
      </c>
      <c r="R7841" s="2" t="inlineStr"/>
    </row>
    <row r="7842" ht="15" customHeight="1">
      <c r="A7842" t="inlineStr">
        <is>
          <t>A 46534-2025</t>
        </is>
      </c>
      <c r="B7842" s="1" t="n">
        <v>45926.34030092593</v>
      </c>
      <c r="C7842" s="1" t="n">
        <v>45952</v>
      </c>
      <c r="D7842" t="inlineStr">
        <is>
          <t>VÄSTRA GÖTALANDS LÄN</t>
        </is>
      </c>
      <c r="E7842" t="inlineStr">
        <is>
          <t>ULRICEHAMN</t>
        </is>
      </c>
      <c r="G7842" t="n">
        <v>0.9</v>
      </c>
      <c r="H7842" t="n">
        <v>0</v>
      </c>
      <c r="I7842" t="n">
        <v>0</v>
      </c>
      <c r="J7842" t="n">
        <v>0</v>
      </c>
      <c r="K7842" t="n">
        <v>0</v>
      </c>
      <c r="L7842" t="n">
        <v>0</v>
      </c>
      <c r="M7842" t="n">
        <v>0</v>
      </c>
      <c r="N7842" t="n">
        <v>0</v>
      </c>
      <c r="O7842" t="n">
        <v>0</v>
      </c>
      <c r="P7842" t="n">
        <v>0</v>
      </c>
      <c r="Q7842" t="n">
        <v>0</v>
      </c>
      <c r="R7842" s="2" t="inlineStr"/>
    </row>
    <row r="7843" ht="15" customHeight="1">
      <c r="A7843" t="inlineStr">
        <is>
          <t>A 20976-2025</t>
        </is>
      </c>
      <c r="B7843" s="1" t="n">
        <v>45777.45978009259</v>
      </c>
      <c r="C7843" s="1" t="n">
        <v>45952</v>
      </c>
      <c r="D7843" t="inlineStr">
        <is>
          <t>VÄSTRA GÖTALANDS LÄN</t>
        </is>
      </c>
      <c r="E7843" t="inlineStr">
        <is>
          <t>TÖREBODA</t>
        </is>
      </c>
      <c r="F7843" t="inlineStr">
        <is>
          <t>Sveaskog</t>
        </is>
      </c>
      <c r="G7843" t="n">
        <v>0.7</v>
      </c>
      <c r="H7843" t="n">
        <v>0</v>
      </c>
      <c r="I7843" t="n">
        <v>0</v>
      </c>
      <c r="J7843" t="n">
        <v>0</v>
      </c>
      <c r="K7843" t="n">
        <v>0</v>
      </c>
      <c r="L7843" t="n">
        <v>0</v>
      </c>
      <c r="M7843" t="n">
        <v>0</v>
      </c>
      <c r="N7843" t="n">
        <v>0</v>
      </c>
      <c r="O7843" t="n">
        <v>0</v>
      </c>
      <c r="P7843" t="n">
        <v>0</v>
      </c>
      <c r="Q7843" t="n">
        <v>0</v>
      </c>
      <c r="R7843" s="2" t="inlineStr"/>
    </row>
    <row r="7844" ht="15" customHeight="1">
      <c r="A7844" t="inlineStr">
        <is>
          <t>A 44884-2024</t>
        </is>
      </c>
      <c r="B7844" s="1" t="n">
        <v>45575.35196759259</v>
      </c>
      <c r="C7844" s="1" t="n">
        <v>45952</v>
      </c>
      <c r="D7844" t="inlineStr">
        <is>
          <t>VÄSTRA GÖTALANDS LÄN</t>
        </is>
      </c>
      <c r="E7844" t="inlineStr">
        <is>
          <t>ULRICEHAMN</t>
        </is>
      </c>
      <c r="F7844" t="inlineStr">
        <is>
          <t>Sveaskog</t>
        </is>
      </c>
      <c r="G7844" t="n">
        <v>11.6</v>
      </c>
      <c r="H7844" t="n">
        <v>0</v>
      </c>
      <c r="I7844" t="n">
        <v>0</v>
      </c>
      <c r="J7844" t="n">
        <v>0</v>
      </c>
      <c r="K7844" t="n">
        <v>0</v>
      </c>
      <c r="L7844" t="n">
        <v>0</v>
      </c>
      <c r="M7844" t="n">
        <v>0</v>
      </c>
      <c r="N7844" t="n">
        <v>0</v>
      </c>
      <c r="O7844" t="n">
        <v>0</v>
      </c>
      <c r="P7844" t="n">
        <v>0</v>
      </c>
      <c r="Q7844" t="n">
        <v>0</v>
      </c>
      <c r="R7844" s="2" t="inlineStr"/>
    </row>
    <row r="7845" ht="15" customHeight="1">
      <c r="A7845" t="inlineStr">
        <is>
          <t>A 2231-2023</t>
        </is>
      </c>
      <c r="B7845" s="1" t="n">
        <v>44942</v>
      </c>
      <c r="C7845" s="1" t="n">
        <v>45952</v>
      </c>
      <c r="D7845" t="inlineStr">
        <is>
          <t>VÄSTRA GÖTALANDS LÄN</t>
        </is>
      </c>
      <c r="E7845" t="inlineStr">
        <is>
          <t>STRÖMSTAD</t>
        </is>
      </c>
      <c r="G7845" t="n">
        <v>2</v>
      </c>
      <c r="H7845" t="n">
        <v>0</v>
      </c>
      <c r="I7845" t="n">
        <v>0</v>
      </c>
      <c r="J7845" t="n">
        <v>0</v>
      </c>
      <c r="K7845" t="n">
        <v>0</v>
      </c>
      <c r="L7845" t="n">
        <v>0</v>
      </c>
      <c r="M7845" t="n">
        <v>0</v>
      </c>
      <c r="N7845" t="n">
        <v>0</v>
      </c>
      <c r="O7845" t="n">
        <v>0</v>
      </c>
      <c r="P7845" t="n">
        <v>0</v>
      </c>
      <c r="Q7845" t="n">
        <v>0</v>
      </c>
      <c r="R7845" s="2" t="inlineStr"/>
    </row>
    <row r="7846" ht="15" customHeight="1">
      <c r="A7846" t="inlineStr">
        <is>
          <t>A 25147-2023</t>
        </is>
      </c>
      <c r="B7846" s="1" t="n">
        <v>45086.47355324074</v>
      </c>
      <c r="C7846" s="1" t="n">
        <v>45952</v>
      </c>
      <c r="D7846" t="inlineStr">
        <is>
          <t>VÄSTRA GÖTALANDS LÄN</t>
        </is>
      </c>
      <c r="E7846" t="inlineStr">
        <is>
          <t>HERRLJUNGA</t>
        </is>
      </c>
      <c r="G7846" t="n">
        <v>5.3</v>
      </c>
      <c r="H7846" t="n">
        <v>0</v>
      </c>
      <c r="I7846" t="n">
        <v>0</v>
      </c>
      <c r="J7846" t="n">
        <v>0</v>
      </c>
      <c r="K7846" t="n">
        <v>0</v>
      </c>
      <c r="L7846" t="n">
        <v>0</v>
      </c>
      <c r="M7846" t="n">
        <v>0</v>
      </c>
      <c r="N7846" t="n">
        <v>0</v>
      </c>
      <c r="O7846" t="n">
        <v>0</v>
      </c>
      <c r="P7846" t="n">
        <v>0</v>
      </c>
      <c r="Q7846" t="n">
        <v>0</v>
      </c>
      <c r="R7846" s="2" t="inlineStr"/>
    </row>
    <row r="7847" ht="15" customHeight="1">
      <c r="A7847" t="inlineStr">
        <is>
          <t>A 53846-2024</t>
        </is>
      </c>
      <c r="B7847" s="1" t="n">
        <v>45615.6309837963</v>
      </c>
      <c r="C7847" s="1" t="n">
        <v>45952</v>
      </c>
      <c r="D7847" t="inlineStr">
        <is>
          <t>VÄSTRA GÖTALANDS LÄN</t>
        </is>
      </c>
      <c r="E7847" t="inlineStr">
        <is>
          <t>HJO</t>
        </is>
      </c>
      <c r="G7847" t="n">
        <v>0.5</v>
      </c>
      <c r="H7847" t="n">
        <v>0</v>
      </c>
      <c r="I7847" t="n">
        <v>0</v>
      </c>
      <c r="J7847" t="n">
        <v>0</v>
      </c>
      <c r="K7847" t="n">
        <v>0</v>
      </c>
      <c r="L7847" t="n">
        <v>0</v>
      </c>
      <c r="M7847" t="n">
        <v>0</v>
      </c>
      <c r="N7847" t="n">
        <v>0</v>
      </c>
      <c r="O7847" t="n">
        <v>0</v>
      </c>
      <c r="P7847" t="n">
        <v>0</v>
      </c>
      <c r="Q7847" t="n">
        <v>0</v>
      </c>
      <c r="R7847" s="2" t="inlineStr"/>
    </row>
    <row r="7848" ht="15" customHeight="1">
      <c r="A7848" t="inlineStr">
        <is>
          <t>A 49920-2024</t>
        </is>
      </c>
      <c r="B7848" s="1" t="n">
        <v>45597.57233796296</v>
      </c>
      <c r="C7848" s="1" t="n">
        <v>45952</v>
      </c>
      <c r="D7848" t="inlineStr">
        <is>
          <t>VÄSTRA GÖTALANDS LÄN</t>
        </is>
      </c>
      <c r="E7848" t="inlineStr">
        <is>
          <t>GULLSPÅNG</t>
        </is>
      </c>
      <c r="G7848" t="n">
        <v>3.4</v>
      </c>
      <c r="H7848" t="n">
        <v>0</v>
      </c>
      <c r="I7848" t="n">
        <v>0</v>
      </c>
      <c r="J7848" t="n">
        <v>0</v>
      </c>
      <c r="K7848" t="n">
        <v>0</v>
      </c>
      <c r="L7848" t="n">
        <v>0</v>
      </c>
      <c r="M7848" t="n">
        <v>0</v>
      </c>
      <c r="N7848" t="n">
        <v>0</v>
      </c>
      <c r="O7848" t="n">
        <v>0</v>
      </c>
      <c r="P7848" t="n">
        <v>0</v>
      </c>
      <c r="Q7848" t="n">
        <v>0</v>
      </c>
      <c r="R7848" s="2" t="inlineStr"/>
    </row>
    <row r="7849" ht="15" customHeight="1">
      <c r="A7849" t="inlineStr">
        <is>
          <t>A 53514-2024</t>
        </is>
      </c>
      <c r="B7849" s="1" t="n">
        <v>45614.60059027778</v>
      </c>
      <c r="C7849" s="1" t="n">
        <v>45952</v>
      </c>
      <c r="D7849" t="inlineStr">
        <is>
          <t>VÄSTRA GÖTALANDS LÄN</t>
        </is>
      </c>
      <c r="E7849" t="inlineStr">
        <is>
          <t>MUNKEDAL</t>
        </is>
      </c>
      <c r="G7849" t="n">
        <v>7.7</v>
      </c>
      <c r="H7849" t="n">
        <v>0</v>
      </c>
      <c r="I7849" t="n">
        <v>0</v>
      </c>
      <c r="J7849" t="n">
        <v>0</v>
      </c>
      <c r="K7849" t="n">
        <v>0</v>
      </c>
      <c r="L7849" t="n">
        <v>0</v>
      </c>
      <c r="M7849" t="n">
        <v>0</v>
      </c>
      <c r="N7849" t="n">
        <v>0</v>
      </c>
      <c r="O7849" t="n">
        <v>0</v>
      </c>
      <c r="P7849" t="n">
        <v>0</v>
      </c>
      <c r="Q7849" t="n">
        <v>0</v>
      </c>
      <c r="R7849" s="2" t="inlineStr"/>
    </row>
    <row r="7850" ht="15" customHeight="1">
      <c r="A7850" t="inlineStr">
        <is>
          <t>A 67133-2021</t>
        </is>
      </c>
      <c r="B7850" s="1" t="n">
        <v>44523.37383101852</v>
      </c>
      <c r="C7850" s="1" t="n">
        <v>45952</v>
      </c>
      <c r="D7850" t="inlineStr">
        <is>
          <t>VÄSTRA GÖTALANDS LÄN</t>
        </is>
      </c>
      <c r="E7850" t="inlineStr">
        <is>
          <t>MARIESTAD</t>
        </is>
      </c>
      <c r="G7850" t="n">
        <v>1.5</v>
      </c>
      <c r="H7850" t="n">
        <v>0</v>
      </c>
      <c r="I7850" t="n">
        <v>0</v>
      </c>
      <c r="J7850" t="n">
        <v>0</v>
      </c>
      <c r="K7850" t="n">
        <v>0</v>
      </c>
      <c r="L7850" t="n">
        <v>0</v>
      </c>
      <c r="M7850" t="n">
        <v>0</v>
      </c>
      <c r="N7850" t="n">
        <v>0</v>
      </c>
      <c r="O7850" t="n">
        <v>0</v>
      </c>
      <c r="P7850" t="n">
        <v>0</v>
      </c>
      <c r="Q7850" t="n">
        <v>0</v>
      </c>
      <c r="R7850" s="2" t="inlineStr"/>
    </row>
    <row r="7851" ht="15" customHeight="1">
      <c r="A7851" t="inlineStr">
        <is>
          <t>A 14770-2023</t>
        </is>
      </c>
      <c r="B7851" s="1" t="n">
        <v>45014</v>
      </c>
      <c r="C7851" s="1" t="n">
        <v>45952</v>
      </c>
      <c r="D7851" t="inlineStr">
        <is>
          <t>VÄSTRA GÖTALANDS LÄN</t>
        </is>
      </c>
      <c r="E7851" t="inlineStr">
        <is>
          <t>FALKÖPING</t>
        </is>
      </c>
      <c r="G7851" t="n">
        <v>2.2</v>
      </c>
      <c r="H7851" t="n">
        <v>0</v>
      </c>
      <c r="I7851" t="n">
        <v>0</v>
      </c>
      <c r="J7851" t="n">
        <v>0</v>
      </c>
      <c r="K7851" t="n">
        <v>0</v>
      </c>
      <c r="L7851" t="n">
        <v>0</v>
      </c>
      <c r="M7851" t="n">
        <v>0</v>
      </c>
      <c r="N7851" t="n">
        <v>0</v>
      </c>
      <c r="O7851" t="n">
        <v>0</v>
      </c>
      <c r="P7851" t="n">
        <v>0</v>
      </c>
      <c r="Q7851" t="n">
        <v>0</v>
      </c>
      <c r="R7851" s="2" t="inlineStr"/>
    </row>
    <row r="7852" ht="15" customHeight="1">
      <c r="A7852" t="inlineStr">
        <is>
          <t>A 58703-2022</t>
        </is>
      </c>
      <c r="B7852" s="1" t="n">
        <v>44895</v>
      </c>
      <c r="C7852" s="1" t="n">
        <v>45952</v>
      </c>
      <c r="D7852" t="inlineStr">
        <is>
          <t>VÄSTRA GÖTALANDS LÄN</t>
        </is>
      </c>
      <c r="E7852" t="inlineStr">
        <is>
          <t>HERRLJUNGA</t>
        </is>
      </c>
      <c r="G7852" t="n">
        <v>5.2</v>
      </c>
      <c r="H7852" t="n">
        <v>0</v>
      </c>
      <c r="I7852" t="n">
        <v>0</v>
      </c>
      <c r="J7852" t="n">
        <v>0</v>
      </c>
      <c r="K7852" t="n">
        <v>0</v>
      </c>
      <c r="L7852" t="n">
        <v>0</v>
      </c>
      <c r="M7852" t="n">
        <v>0</v>
      </c>
      <c r="N7852" t="n">
        <v>0</v>
      </c>
      <c r="O7852" t="n">
        <v>0</v>
      </c>
      <c r="P7852" t="n">
        <v>0</v>
      </c>
      <c r="Q7852" t="n">
        <v>0</v>
      </c>
      <c r="R7852" s="2" t="inlineStr"/>
    </row>
    <row r="7853" ht="15" customHeight="1">
      <c r="A7853" t="inlineStr">
        <is>
          <t>A 3968-2024</t>
        </is>
      </c>
      <c r="B7853" s="1" t="n">
        <v>45322.71071759259</v>
      </c>
      <c r="C7853" s="1" t="n">
        <v>45952</v>
      </c>
      <c r="D7853" t="inlineStr">
        <is>
          <t>VÄSTRA GÖTALANDS LÄN</t>
        </is>
      </c>
      <c r="E7853" t="inlineStr">
        <is>
          <t>TÖREBODA</t>
        </is>
      </c>
      <c r="G7853" t="n">
        <v>5.9</v>
      </c>
      <c r="H7853" t="n">
        <v>0</v>
      </c>
      <c r="I7853" t="n">
        <v>0</v>
      </c>
      <c r="J7853" t="n">
        <v>0</v>
      </c>
      <c r="K7853" t="n">
        <v>0</v>
      </c>
      <c r="L7853" t="n">
        <v>0</v>
      </c>
      <c r="M7853" t="n">
        <v>0</v>
      </c>
      <c r="N7853" t="n">
        <v>0</v>
      </c>
      <c r="O7853" t="n">
        <v>0</v>
      </c>
      <c r="P7853" t="n">
        <v>0</v>
      </c>
      <c r="Q7853" t="n">
        <v>0</v>
      </c>
      <c r="R7853" s="2" t="inlineStr"/>
    </row>
    <row r="7854" ht="15" customHeight="1">
      <c r="A7854" t="inlineStr">
        <is>
          <t>A 55323-2022</t>
        </is>
      </c>
      <c r="B7854" s="1" t="n">
        <v>44887.42815972222</v>
      </c>
      <c r="C7854" s="1" t="n">
        <v>45952</v>
      </c>
      <c r="D7854" t="inlineStr">
        <is>
          <t>VÄSTRA GÖTALANDS LÄN</t>
        </is>
      </c>
      <c r="E7854" t="inlineStr">
        <is>
          <t>ULRICEHAMN</t>
        </is>
      </c>
      <c r="F7854" t="inlineStr">
        <is>
          <t>Sveaskog</t>
        </is>
      </c>
      <c r="G7854" t="n">
        <v>2.2</v>
      </c>
      <c r="H7854" t="n">
        <v>0</v>
      </c>
      <c r="I7854" t="n">
        <v>0</v>
      </c>
      <c r="J7854" t="n">
        <v>0</v>
      </c>
      <c r="K7854" t="n">
        <v>0</v>
      </c>
      <c r="L7854" t="n">
        <v>0</v>
      </c>
      <c r="M7854" t="n">
        <v>0</v>
      </c>
      <c r="N7854" t="n">
        <v>0</v>
      </c>
      <c r="O7854" t="n">
        <v>0</v>
      </c>
      <c r="P7854" t="n">
        <v>0</v>
      </c>
      <c r="Q7854" t="n">
        <v>0</v>
      </c>
      <c r="R7854" s="2" t="inlineStr"/>
    </row>
    <row r="7855" ht="15" customHeight="1">
      <c r="A7855" t="inlineStr">
        <is>
          <t>A 39907-2024</t>
        </is>
      </c>
      <c r="B7855" s="1" t="n">
        <v>45553.51288194444</v>
      </c>
      <c r="C7855" s="1" t="n">
        <v>45952</v>
      </c>
      <c r="D7855" t="inlineStr">
        <is>
          <t>VÄSTRA GÖTALANDS LÄN</t>
        </is>
      </c>
      <c r="E7855" t="inlineStr">
        <is>
          <t>HJO</t>
        </is>
      </c>
      <c r="G7855" t="n">
        <v>6.5</v>
      </c>
      <c r="H7855" t="n">
        <v>0</v>
      </c>
      <c r="I7855" t="n">
        <v>0</v>
      </c>
      <c r="J7855" t="n">
        <v>0</v>
      </c>
      <c r="K7855" t="n">
        <v>0</v>
      </c>
      <c r="L7855" t="n">
        <v>0</v>
      </c>
      <c r="M7855" t="n">
        <v>0</v>
      </c>
      <c r="N7855" t="n">
        <v>0</v>
      </c>
      <c r="O7855" t="n">
        <v>0</v>
      </c>
      <c r="P7855" t="n">
        <v>0</v>
      </c>
      <c r="Q7855" t="n">
        <v>0</v>
      </c>
      <c r="R7855" s="2" t="inlineStr"/>
    </row>
    <row r="7856" ht="15" customHeight="1">
      <c r="A7856" t="inlineStr">
        <is>
          <t>A 16530-2025</t>
        </is>
      </c>
      <c r="B7856" s="1" t="n">
        <v>45751.64501157407</v>
      </c>
      <c r="C7856" s="1" t="n">
        <v>45952</v>
      </c>
      <c r="D7856" t="inlineStr">
        <is>
          <t>VÄSTRA GÖTALANDS LÄN</t>
        </is>
      </c>
      <c r="E7856" t="inlineStr">
        <is>
          <t>TRANEMO</t>
        </is>
      </c>
      <c r="F7856" t="inlineStr">
        <is>
          <t>Sveaskog</t>
        </is>
      </c>
      <c r="G7856" t="n">
        <v>2.7</v>
      </c>
      <c r="H7856" t="n">
        <v>0</v>
      </c>
      <c r="I7856" t="n">
        <v>0</v>
      </c>
      <c r="J7856" t="n">
        <v>0</v>
      </c>
      <c r="K7856" t="n">
        <v>0</v>
      </c>
      <c r="L7856" t="n">
        <v>0</v>
      </c>
      <c r="M7856" t="n">
        <v>0</v>
      </c>
      <c r="N7856" t="n">
        <v>0</v>
      </c>
      <c r="O7856" t="n">
        <v>0</v>
      </c>
      <c r="P7856" t="n">
        <v>0</v>
      </c>
      <c r="Q7856" t="n">
        <v>0</v>
      </c>
      <c r="R7856" s="2" t="inlineStr"/>
    </row>
    <row r="7857" ht="15" customHeight="1">
      <c r="A7857" t="inlineStr">
        <is>
          <t>A 6246-2021</t>
        </is>
      </c>
      <c r="B7857" s="1" t="n">
        <v>44235</v>
      </c>
      <c r="C7857" s="1" t="n">
        <v>45952</v>
      </c>
      <c r="D7857" t="inlineStr">
        <is>
          <t>VÄSTRA GÖTALANDS LÄN</t>
        </is>
      </c>
      <c r="E7857" t="inlineStr">
        <is>
          <t>BENGTSFORS</t>
        </is>
      </c>
      <c r="G7857" t="n">
        <v>7</v>
      </c>
      <c r="H7857" t="n">
        <v>0</v>
      </c>
      <c r="I7857" t="n">
        <v>0</v>
      </c>
      <c r="J7857" t="n">
        <v>0</v>
      </c>
      <c r="K7857" t="n">
        <v>0</v>
      </c>
      <c r="L7857" t="n">
        <v>0</v>
      </c>
      <c r="M7857" t="n">
        <v>0</v>
      </c>
      <c r="N7857" t="n">
        <v>0</v>
      </c>
      <c r="O7857" t="n">
        <v>0</v>
      </c>
      <c r="P7857" t="n">
        <v>0</v>
      </c>
      <c r="Q7857" t="n">
        <v>0</v>
      </c>
      <c r="R7857" s="2" t="inlineStr"/>
    </row>
    <row r="7858" ht="15" customHeight="1">
      <c r="A7858" t="inlineStr">
        <is>
          <t>A 13908-2021</t>
        </is>
      </c>
      <c r="B7858" s="1" t="n">
        <v>44277</v>
      </c>
      <c r="C7858" s="1" t="n">
        <v>45952</v>
      </c>
      <c r="D7858" t="inlineStr">
        <is>
          <t>VÄSTRA GÖTALANDS LÄN</t>
        </is>
      </c>
      <c r="E7858" t="inlineStr">
        <is>
          <t>UDDEVALLA</t>
        </is>
      </c>
      <c r="G7858" t="n">
        <v>1.2</v>
      </c>
      <c r="H7858" t="n">
        <v>0</v>
      </c>
      <c r="I7858" t="n">
        <v>0</v>
      </c>
      <c r="J7858" t="n">
        <v>0</v>
      </c>
      <c r="K7858" t="n">
        <v>0</v>
      </c>
      <c r="L7858" t="n">
        <v>0</v>
      </c>
      <c r="M7858" t="n">
        <v>0</v>
      </c>
      <c r="N7858" t="n">
        <v>0</v>
      </c>
      <c r="O7858" t="n">
        <v>0</v>
      </c>
      <c r="P7858" t="n">
        <v>0</v>
      </c>
      <c r="Q7858" t="n">
        <v>0</v>
      </c>
      <c r="R7858" s="2" t="inlineStr"/>
    </row>
    <row r="7859" ht="15" customHeight="1">
      <c r="A7859" t="inlineStr">
        <is>
          <t>A 15691-2025</t>
        </is>
      </c>
      <c r="B7859" s="1" t="n">
        <v>45748.4649074074</v>
      </c>
      <c r="C7859" s="1" t="n">
        <v>45952</v>
      </c>
      <c r="D7859" t="inlineStr">
        <is>
          <t>VÄSTRA GÖTALANDS LÄN</t>
        </is>
      </c>
      <c r="E7859" t="inlineStr">
        <is>
          <t>TANUM</t>
        </is>
      </c>
      <c r="G7859" t="n">
        <v>5.7</v>
      </c>
      <c r="H7859" t="n">
        <v>0</v>
      </c>
      <c r="I7859" t="n">
        <v>0</v>
      </c>
      <c r="J7859" t="n">
        <v>0</v>
      </c>
      <c r="K7859" t="n">
        <v>0</v>
      </c>
      <c r="L7859" t="n">
        <v>0</v>
      </c>
      <c r="M7859" t="n">
        <v>0</v>
      </c>
      <c r="N7859" t="n">
        <v>0</v>
      </c>
      <c r="O7859" t="n">
        <v>0</v>
      </c>
      <c r="P7859" t="n">
        <v>0</v>
      </c>
      <c r="Q7859" t="n">
        <v>0</v>
      </c>
      <c r="R7859" s="2" t="inlineStr"/>
    </row>
    <row r="7860" ht="15" customHeight="1">
      <c r="A7860" t="inlineStr">
        <is>
          <t>A 48342-2022</t>
        </is>
      </c>
      <c r="B7860" s="1" t="n">
        <v>44858.56605324074</v>
      </c>
      <c r="C7860" s="1" t="n">
        <v>45952</v>
      </c>
      <c r="D7860" t="inlineStr">
        <is>
          <t>VÄSTRA GÖTALANDS LÄN</t>
        </is>
      </c>
      <c r="E7860" t="inlineStr">
        <is>
          <t>BORÅS</t>
        </is>
      </c>
      <c r="G7860" t="n">
        <v>1.1</v>
      </c>
      <c r="H7860" t="n">
        <v>0</v>
      </c>
      <c r="I7860" t="n">
        <v>0</v>
      </c>
      <c r="J7860" t="n">
        <v>0</v>
      </c>
      <c r="K7860" t="n">
        <v>0</v>
      </c>
      <c r="L7860" t="n">
        <v>0</v>
      </c>
      <c r="M7860" t="n">
        <v>0</v>
      </c>
      <c r="N7860" t="n">
        <v>0</v>
      </c>
      <c r="O7860" t="n">
        <v>0</v>
      </c>
      <c r="P7860" t="n">
        <v>0</v>
      </c>
      <c r="Q7860" t="n">
        <v>0</v>
      </c>
      <c r="R7860" s="2" t="inlineStr"/>
    </row>
    <row r="7861" ht="15" customHeight="1">
      <c r="A7861" t="inlineStr">
        <is>
          <t>A 60660-2023</t>
        </is>
      </c>
      <c r="B7861" s="1" t="n">
        <v>45260</v>
      </c>
      <c r="C7861" s="1" t="n">
        <v>45952</v>
      </c>
      <c r="D7861" t="inlineStr">
        <is>
          <t>VÄSTRA GÖTALANDS LÄN</t>
        </is>
      </c>
      <c r="E7861" t="inlineStr">
        <is>
          <t>BENGTSFORS</t>
        </is>
      </c>
      <c r="G7861" t="n">
        <v>1.7</v>
      </c>
      <c r="H7861" t="n">
        <v>0</v>
      </c>
      <c r="I7861" t="n">
        <v>0</v>
      </c>
      <c r="J7861" t="n">
        <v>0</v>
      </c>
      <c r="K7861" t="n">
        <v>0</v>
      </c>
      <c r="L7861" t="n">
        <v>0</v>
      </c>
      <c r="M7861" t="n">
        <v>0</v>
      </c>
      <c r="N7861" t="n">
        <v>0</v>
      </c>
      <c r="O7861" t="n">
        <v>0</v>
      </c>
      <c r="P7861" t="n">
        <v>0</v>
      </c>
      <c r="Q7861" t="n">
        <v>0</v>
      </c>
      <c r="R7861" s="2" t="inlineStr"/>
    </row>
    <row r="7862" ht="15" customHeight="1">
      <c r="A7862" t="inlineStr">
        <is>
          <t>A 23665-2021</t>
        </is>
      </c>
      <c r="B7862" s="1" t="n">
        <v>44334</v>
      </c>
      <c r="C7862" s="1" t="n">
        <v>45952</v>
      </c>
      <c r="D7862" t="inlineStr">
        <is>
          <t>VÄSTRA GÖTALANDS LÄN</t>
        </is>
      </c>
      <c r="E7862" t="inlineStr">
        <is>
          <t>GULLSPÅNG</t>
        </is>
      </c>
      <c r="G7862" t="n">
        <v>2.2</v>
      </c>
      <c r="H7862" t="n">
        <v>0</v>
      </c>
      <c r="I7862" t="n">
        <v>0</v>
      </c>
      <c r="J7862" t="n">
        <v>0</v>
      </c>
      <c r="K7862" t="n">
        <v>0</v>
      </c>
      <c r="L7862" t="n">
        <v>0</v>
      </c>
      <c r="M7862" t="n">
        <v>0</v>
      </c>
      <c r="N7862" t="n">
        <v>0</v>
      </c>
      <c r="O7862" t="n">
        <v>0</v>
      </c>
      <c r="P7862" t="n">
        <v>0</v>
      </c>
      <c r="Q7862" t="n">
        <v>0</v>
      </c>
      <c r="R7862" s="2" t="inlineStr"/>
    </row>
    <row r="7863" ht="15" customHeight="1">
      <c r="A7863" t="inlineStr">
        <is>
          <t>A 15164-2022</t>
        </is>
      </c>
      <c r="B7863" s="1" t="n">
        <v>44658.51116898148</v>
      </c>
      <c r="C7863" s="1" t="n">
        <v>45952</v>
      </c>
      <c r="D7863" t="inlineStr">
        <is>
          <t>VÄSTRA GÖTALANDS LÄN</t>
        </is>
      </c>
      <c r="E7863" t="inlineStr">
        <is>
          <t>SVENLJUNGA</t>
        </is>
      </c>
      <c r="G7863" t="n">
        <v>2</v>
      </c>
      <c r="H7863" t="n">
        <v>0</v>
      </c>
      <c r="I7863" t="n">
        <v>0</v>
      </c>
      <c r="J7863" t="n">
        <v>0</v>
      </c>
      <c r="K7863" t="n">
        <v>0</v>
      </c>
      <c r="L7863" t="n">
        <v>0</v>
      </c>
      <c r="M7863" t="n">
        <v>0</v>
      </c>
      <c r="N7863" t="n">
        <v>0</v>
      </c>
      <c r="O7863" t="n">
        <v>0</v>
      </c>
      <c r="P7863" t="n">
        <v>0</v>
      </c>
      <c r="Q7863" t="n">
        <v>0</v>
      </c>
      <c r="R7863" s="2" t="inlineStr"/>
    </row>
    <row r="7864" ht="15" customHeight="1">
      <c r="A7864" t="inlineStr">
        <is>
          <t>A 29554-2022</t>
        </is>
      </c>
      <c r="B7864" s="1" t="n">
        <v>44754.33582175926</v>
      </c>
      <c r="C7864" s="1" t="n">
        <v>45952</v>
      </c>
      <c r="D7864" t="inlineStr">
        <is>
          <t>VÄSTRA GÖTALANDS LÄN</t>
        </is>
      </c>
      <c r="E7864" t="inlineStr">
        <is>
          <t>SVENLJUNGA</t>
        </is>
      </c>
      <c r="G7864" t="n">
        <v>2.3</v>
      </c>
      <c r="H7864" t="n">
        <v>0</v>
      </c>
      <c r="I7864" t="n">
        <v>0</v>
      </c>
      <c r="J7864" t="n">
        <v>0</v>
      </c>
      <c r="K7864" t="n">
        <v>0</v>
      </c>
      <c r="L7864" t="n">
        <v>0</v>
      </c>
      <c r="M7864" t="n">
        <v>0</v>
      </c>
      <c r="N7864" t="n">
        <v>0</v>
      </c>
      <c r="O7864" t="n">
        <v>0</v>
      </c>
      <c r="P7864" t="n">
        <v>0</v>
      </c>
      <c r="Q7864" t="n">
        <v>0</v>
      </c>
      <c r="R7864" s="2" t="inlineStr"/>
    </row>
    <row r="7865" ht="15" customHeight="1">
      <c r="A7865" t="inlineStr">
        <is>
          <t>A 37499-2023</t>
        </is>
      </c>
      <c r="B7865" s="1" t="n">
        <v>45157</v>
      </c>
      <c r="C7865" s="1" t="n">
        <v>45952</v>
      </c>
      <c r="D7865" t="inlineStr">
        <is>
          <t>VÄSTRA GÖTALANDS LÄN</t>
        </is>
      </c>
      <c r="E7865" t="inlineStr">
        <is>
          <t>ULRICEHAMN</t>
        </is>
      </c>
      <c r="G7865" t="n">
        <v>7.7</v>
      </c>
      <c r="H7865" t="n">
        <v>0</v>
      </c>
      <c r="I7865" t="n">
        <v>0</v>
      </c>
      <c r="J7865" t="n">
        <v>0</v>
      </c>
      <c r="K7865" t="n">
        <v>0</v>
      </c>
      <c r="L7865" t="n">
        <v>0</v>
      </c>
      <c r="M7865" t="n">
        <v>0</v>
      </c>
      <c r="N7865" t="n">
        <v>0</v>
      </c>
      <c r="O7865" t="n">
        <v>0</v>
      </c>
      <c r="P7865" t="n">
        <v>0</v>
      </c>
      <c r="Q7865" t="n">
        <v>0</v>
      </c>
      <c r="R7865" s="2" t="inlineStr"/>
    </row>
    <row r="7866" ht="15" customHeight="1">
      <c r="A7866" t="inlineStr">
        <is>
          <t>A 43864-2023</t>
        </is>
      </c>
      <c r="B7866" s="1" t="n">
        <v>45187</v>
      </c>
      <c r="C7866" s="1" t="n">
        <v>45952</v>
      </c>
      <c r="D7866" t="inlineStr">
        <is>
          <t>VÄSTRA GÖTALANDS LÄN</t>
        </is>
      </c>
      <c r="E7866" t="inlineStr">
        <is>
          <t>TANUM</t>
        </is>
      </c>
      <c r="G7866" t="n">
        <v>1.6</v>
      </c>
      <c r="H7866" t="n">
        <v>0</v>
      </c>
      <c r="I7866" t="n">
        <v>0</v>
      </c>
      <c r="J7866" t="n">
        <v>0</v>
      </c>
      <c r="K7866" t="n">
        <v>0</v>
      </c>
      <c r="L7866" t="n">
        <v>0</v>
      </c>
      <c r="M7866" t="n">
        <v>0</v>
      </c>
      <c r="N7866" t="n">
        <v>0</v>
      </c>
      <c r="O7866" t="n">
        <v>0</v>
      </c>
      <c r="P7866" t="n">
        <v>0</v>
      </c>
      <c r="Q7866" t="n">
        <v>0</v>
      </c>
      <c r="R7866" s="2" t="inlineStr"/>
    </row>
    <row r="7867" ht="15" customHeight="1">
      <c r="A7867" t="inlineStr">
        <is>
          <t>A 34566-2024</t>
        </is>
      </c>
      <c r="B7867" s="1" t="n">
        <v>45526.33056712963</v>
      </c>
      <c r="C7867" s="1" t="n">
        <v>45952</v>
      </c>
      <c r="D7867" t="inlineStr">
        <is>
          <t>VÄSTRA GÖTALANDS LÄN</t>
        </is>
      </c>
      <c r="E7867" t="inlineStr">
        <is>
          <t>SVENLJUNGA</t>
        </is>
      </c>
      <c r="G7867" t="n">
        <v>3.6</v>
      </c>
      <c r="H7867" t="n">
        <v>0</v>
      </c>
      <c r="I7867" t="n">
        <v>0</v>
      </c>
      <c r="J7867" t="n">
        <v>0</v>
      </c>
      <c r="K7867" t="n">
        <v>0</v>
      </c>
      <c r="L7867" t="n">
        <v>0</v>
      </c>
      <c r="M7867" t="n">
        <v>0</v>
      </c>
      <c r="N7867" t="n">
        <v>0</v>
      </c>
      <c r="O7867" t="n">
        <v>0</v>
      </c>
      <c r="P7867" t="n">
        <v>0</v>
      </c>
      <c r="Q7867" t="n">
        <v>0</v>
      </c>
      <c r="R7867" s="2" t="inlineStr"/>
    </row>
    <row r="7868" ht="15" customHeight="1">
      <c r="A7868" t="inlineStr">
        <is>
          <t>A 49551-2024</t>
        </is>
      </c>
      <c r="B7868" s="1" t="n">
        <v>45596.4597337963</v>
      </c>
      <c r="C7868" s="1" t="n">
        <v>45952</v>
      </c>
      <c r="D7868" t="inlineStr">
        <is>
          <t>VÄSTRA GÖTALANDS LÄN</t>
        </is>
      </c>
      <c r="E7868" t="inlineStr">
        <is>
          <t>STRÖMSTAD</t>
        </is>
      </c>
      <c r="G7868" t="n">
        <v>2.6</v>
      </c>
      <c r="H7868" t="n">
        <v>0</v>
      </c>
      <c r="I7868" t="n">
        <v>0</v>
      </c>
      <c r="J7868" t="n">
        <v>0</v>
      </c>
      <c r="K7868" t="n">
        <v>0</v>
      </c>
      <c r="L7868" t="n">
        <v>0</v>
      </c>
      <c r="M7868" t="n">
        <v>0</v>
      </c>
      <c r="N7868" t="n">
        <v>0</v>
      </c>
      <c r="O7868" t="n">
        <v>0</v>
      </c>
      <c r="P7868" t="n">
        <v>0</v>
      </c>
      <c r="Q7868" t="n">
        <v>0</v>
      </c>
      <c r="R7868" s="2" t="inlineStr"/>
    </row>
    <row r="7869" ht="15" customHeight="1">
      <c r="A7869" t="inlineStr">
        <is>
          <t>A 49863-2024</t>
        </is>
      </c>
      <c r="B7869" s="1" t="n">
        <v>45597</v>
      </c>
      <c r="C7869" s="1" t="n">
        <v>45952</v>
      </c>
      <c r="D7869" t="inlineStr">
        <is>
          <t>VÄSTRA GÖTALANDS LÄN</t>
        </is>
      </c>
      <c r="E7869" t="inlineStr">
        <is>
          <t>DALS-ED</t>
        </is>
      </c>
      <c r="G7869" t="n">
        <v>0.7</v>
      </c>
      <c r="H7869" t="n">
        <v>0</v>
      </c>
      <c r="I7869" t="n">
        <v>0</v>
      </c>
      <c r="J7869" t="n">
        <v>0</v>
      </c>
      <c r="K7869" t="n">
        <v>0</v>
      </c>
      <c r="L7869" t="n">
        <v>0</v>
      </c>
      <c r="M7869" t="n">
        <v>0</v>
      </c>
      <c r="N7869" t="n">
        <v>0</v>
      </c>
      <c r="O7869" t="n">
        <v>0</v>
      </c>
      <c r="P7869" t="n">
        <v>0</v>
      </c>
      <c r="Q7869" t="n">
        <v>0</v>
      </c>
      <c r="R7869" s="2" t="inlineStr"/>
    </row>
    <row r="7870" ht="15" customHeight="1">
      <c r="A7870" t="inlineStr">
        <is>
          <t>A 42117-2024</t>
        </is>
      </c>
      <c r="B7870" s="1" t="n">
        <v>45562.38952546296</v>
      </c>
      <c r="C7870" s="1" t="n">
        <v>45952</v>
      </c>
      <c r="D7870" t="inlineStr">
        <is>
          <t>VÄSTRA GÖTALANDS LÄN</t>
        </is>
      </c>
      <c r="E7870" t="inlineStr">
        <is>
          <t>BORÅS</t>
        </is>
      </c>
      <c r="G7870" t="n">
        <v>1.4</v>
      </c>
      <c r="H7870" t="n">
        <v>0</v>
      </c>
      <c r="I7870" t="n">
        <v>0</v>
      </c>
      <c r="J7870" t="n">
        <v>0</v>
      </c>
      <c r="K7870" t="n">
        <v>0</v>
      </c>
      <c r="L7870" t="n">
        <v>0</v>
      </c>
      <c r="M7870" t="n">
        <v>0</v>
      </c>
      <c r="N7870" t="n">
        <v>0</v>
      </c>
      <c r="O7870" t="n">
        <v>0</v>
      </c>
      <c r="P7870" t="n">
        <v>0</v>
      </c>
      <c r="Q7870" t="n">
        <v>0</v>
      </c>
      <c r="R7870" s="2" t="inlineStr"/>
    </row>
    <row r="7871" ht="15" customHeight="1">
      <c r="A7871" t="inlineStr">
        <is>
          <t>A 46532-2024</t>
        </is>
      </c>
      <c r="B7871" s="1" t="n">
        <v>45582.63861111111</v>
      </c>
      <c r="C7871" s="1" t="n">
        <v>45952</v>
      </c>
      <c r="D7871" t="inlineStr">
        <is>
          <t>VÄSTRA GÖTALANDS LÄN</t>
        </is>
      </c>
      <c r="E7871" t="inlineStr">
        <is>
          <t>STRÖMSTAD</t>
        </is>
      </c>
      <c r="G7871" t="n">
        <v>4.3</v>
      </c>
      <c r="H7871" t="n">
        <v>0</v>
      </c>
      <c r="I7871" t="n">
        <v>0</v>
      </c>
      <c r="J7871" t="n">
        <v>0</v>
      </c>
      <c r="K7871" t="n">
        <v>0</v>
      </c>
      <c r="L7871" t="n">
        <v>0</v>
      </c>
      <c r="M7871" t="n">
        <v>0</v>
      </c>
      <c r="N7871" t="n">
        <v>0</v>
      </c>
      <c r="O7871" t="n">
        <v>0</v>
      </c>
      <c r="P7871" t="n">
        <v>0</v>
      </c>
      <c r="Q7871" t="n">
        <v>0</v>
      </c>
      <c r="R7871" s="2" t="inlineStr"/>
    </row>
    <row r="7872" ht="15" customHeight="1">
      <c r="A7872" t="inlineStr">
        <is>
          <t>A 10408-2025</t>
        </is>
      </c>
      <c r="B7872" s="1" t="n">
        <v>45720</v>
      </c>
      <c r="C7872" s="1" t="n">
        <v>45952</v>
      </c>
      <c r="D7872" t="inlineStr">
        <is>
          <t>VÄSTRA GÖTALANDS LÄN</t>
        </is>
      </c>
      <c r="E7872" t="inlineStr">
        <is>
          <t>MARIESTAD</t>
        </is>
      </c>
      <c r="G7872" t="n">
        <v>1.2</v>
      </c>
      <c r="H7872" t="n">
        <v>0</v>
      </c>
      <c r="I7872" t="n">
        <v>0</v>
      </c>
      <c r="J7872" t="n">
        <v>0</v>
      </c>
      <c r="K7872" t="n">
        <v>0</v>
      </c>
      <c r="L7872" t="n">
        <v>0</v>
      </c>
      <c r="M7872" t="n">
        <v>0</v>
      </c>
      <c r="N7872" t="n">
        <v>0</v>
      </c>
      <c r="O7872" t="n">
        <v>0</v>
      </c>
      <c r="P7872" t="n">
        <v>0</v>
      </c>
      <c r="Q7872" t="n">
        <v>0</v>
      </c>
      <c r="R7872" s="2" t="inlineStr"/>
    </row>
    <row r="7873" ht="15" customHeight="1">
      <c r="A7873" t="inlineStr">
        <is>
          <t>A 60583-2022</t>
        </is>
      </c>
      <c r="B7873" s="1" t="n">
        <v>44904</v>
      </c>
      <c r="C7873" s="1" t="n">
        <v>45952</v>
      </c>
      <c r="D7873" t="inlineStr">
        <is>
          <t>VÄSTRA GÖTALANDS LÄN</t>
        </is>
      </c>
      <c r="E7873" t="inlineStr">
        <is>
          <t>HERRLJUNGA</t>
        </is>
      </c>
      <c r="F7873" t="inlineStr">
        <is>
          <t>Övriga statliga verk och myndigheter</t>
        </is>
      </c>
      <c r="G7873" t="n">
        <v>9.800000000000001</v>
      </c>
      <c r="H7873" t="n">
        <v>0</v>
      </c>
      <c r="I7873" t="n">
        <v>0</v>
      </c>
      <c r="J7873" t="n">
        <v>0</v>
      </c>
      <c r="K7873" t="n">
        <v>0</v>
      </c>
      <c r="L7873" t="n">
        <v>0</v>
      </c>
      <c r="M7873" t="n">
        <v>0</v>
      </c>
      <c r="N7873" t="n">
        <v>0</v>
      </c>
      <c r="O7873" t="n">
        <v>0</v>
      </c>
      <c r="P7873" t="n">
        <v>0</v>
      </c>
      <c r="Q7873" t="n">
        <v>0</v>
      </c>
      <c r="R7873" s="2" t="inlineStr"/>
    </row>
    <row r="7874" ht="15" customHeight="1">
      <c r="A7874" t="inlineStr">
        <is>
          <t>A 5144-2024</t>
        </is>
      </c>
      <c r="B7874" s="1" t="n">
        <v>45330</v>
      </c>
      <c r="C7874" s="1" t="n">
        <v>45952</v>
      </c>
      <c r="D7874" t="inlineStr">
        <is>
          <t>VÄSTRA GÖTALANDS LÄN</t>
        </is>
      </c>
      <c r="E7874" t="inlineStr">
        <is>
          <t>VÅRGÅRDA</t>
        </is>
      </c>
      <c r="G7874" t="n">
        <v>0.9</v>
      </c>
      <c r="H7874" t="n">
        <v>0</v>
      </c>
      <c r="I7874" t="n">
        <v>0</v>
      </c>
      <c r="J7874" t="n">
        <v>0</v>
      </c>
      <c r="K7874" t="n">
        <v>0</v>
      </c>
      <c r="L7874" t="n">
        <v>0</v>
      </c>
      <c r="M7874" t="n">
        <v>0</v>
      </c>
      <c r="N7874" t="n">
        <v>0</v>
      </c>
      <c r="O7874" t="n">
        <v>0</v>
      </c>
      <c r="P7874" t="n">
        <v>0</v>
      </c>
      <c r="Q7874" t="n">
        <v>0</v>
      </c>
      <c r="R7874" s="2" t="inlineStr"/>
    </row>
    <row r="7875" ht="15" customHeight="1">
      <c r="A7875" t="inlineStr">
        <is>
          <t>A 21185-2025</t>
        </is>
      </c>
      <c r="B7875" s="1" t="n">
        <v>45779.45350694445</v>
      </c>
      <c r="C7875" s="1" t="n">
        <v>45952</v>
      </c>
      <c r="D7875" t="inlineStr">
        <is>
          <t>VÄSTRA GÖTALANDS LÄN</t>
        </is>
      </c>
      <c r="E7875" t="inlineStr">
        <is>
          <t>DALS-ED</t>
        </is>
      </c>
      <c r="G7875" t="n">
        <v>1.2</v>
      </c>
      <c r="H7875" t="n">
        <v>0</v>
      </c>
      <c r="I7875" t="n">
        <v>0</v>
      </c>
      <c r="J7875" t="n">
        <v>0</v>
      </c>
      <c r="K7875" t="n">
        <v>0</v>
      </c>
      <c r="L7875" t="n">
        <v>0</v>
      </c>
      <c r="M7875" t="n">
        <v>0</v>
      </c>
      <c r="N7875" t="n">
        <v>0</v>
      </c>
      <c r="O7875" t="n">
        <v>0</v>
      </c>
      <c r="P7875" t="n">
        <v>0</v>
      </c>
      <c r="Q7875" t="n">
        <v>0</v>
      </c>
      <c r="R7875" s="2" t="inlineStr"/>
    </row>
    <row r="7876" ht="15" customHeight="1">
      <c r="A7876" t="inlineStr">
        <is>
          <t>A 5228-2024</t>
        </is>
      </c>
      <c r="B7876" s="1" t="n">
        <v>45330.7070949074</v>
      </c>
      <c r="C7876" s="1" t="n">
        <v>45952</v>
      </c>
      <c r="D7876" t="inlineStr">
        <is>
          <t>VÄSTRA GÖTALANDS LÄN</t>
        </is>
      </c>
      <c r="E7876" t="inlineStr">
        <is>
          <t>FALKÖPING</t>
        </is>
      </c>
      <c r="G7876" t="n">
        <v>2.3</v>
      </c>
      <c r="H7876" t="n">
        <v>0</v>
      </c>
      <c r="I7876" t="n">
        <v>0</v>
      </c>
      <c r="J7876" t="n">
        <v>0</v>
      </c>
      <c r="K7876" t="n">
        <v>0</v>
      </c>
      <c r="L7876" t="n">
        <v>0</v>
      </c>
      <c r="M7876" t="n">
        <v>0</v>
      </c>
      <c r="N7876" t="n">
        <v>0</v>
      </c>
      <c r="O7876" t="n">
        <v>0</v>
      </c>
      <c r="P7876" t="n">
        <v>0</v>
      </c>
      <c r="Q7876" t="n">
        <v>0</v>
      </c>
      <c r="R7876" s="2" t="inlineStr"/>
    </row>
    <row r="7877" ht="15" customHeight="1">
      <c r="A7877" t="inlineStr">
        <is>
          <t>A 14821-2024</t>
        </is>
      </c>
      <c r="B7877" s="1" t="n">
        <v>45398.18991898148</v>
      </c>
      <c r="C7877" s="1" t="n">
        <v>45952</v>
      </c>
      <c r="D7877" t="inlineStr">
        <is>
          <t>VÄSTRA GÖTALANDS LÄN</t>
        </is>
      </c>
      <c r="E7877" t="inlineStr">
        <is>
          <t>GULLSPÅNG</t>
        </is>
      </c>
      <c r="G7877" t="n">
        <v>3.4</v>
      </c>
      <c r="H7877" t="n">
        <v>0</v>
      </c>
      <c r="I7877" t="n">
        <v>0</v>
      </c>
      <c r="J7877" t="n">
        <v>0</v>
      </c>
      <c r="K7877" t="n">
        <v>0</v>
      </c>
      <c r="L7877" t="n">
        <v>0</v>
      </c>
      <c r="M7877" t="n">
        <v>0</v>
      </c>
      <c r="N7877" t="n">
        <v>0</v>
      </c>
      <c r="O7877" t="n">
        <v>0</v>
      </c>
      <c r="P7877" t="n">
        <v>0</v>
      </c>
      <c r="Q7877" t="n">
        <v>0</v>
      </c>
      <c r="R7877" s="2" t="inlineStr"/>
    </row>
    <row r="7878" ht="15" customHeight="1">
      <c r="A7878" t="inlineStr">
        <is>
          <t>A 55604-2023</t>
        </is>
      </c>
      <c r="B7878" s="1" t="n">
        <v>45238.70208333333</v>
      </c>
      <c r="C7878" s="1" t="n">
        <v>45952</v>
      </c>
      <c r="D7878" t="inlineStr">
        <is>
          <t>VÄSTRA GÖTALANDS LÄN</t>
        </is>
      </c>
      <c r="E7878" t="inlineStr">
        <is>
          <t>MARK</t>
        </is>
      </c>
      <c r="G7878" t="n">
        <v>1.2</v>
      </c>
      <c r="H7878" t="n">
        <v>0</v>
      </c>
      <c r="I7878" t="n">
        <v>0</v>
      </c>
      <c r="J7878" t="n">
        <v>0</v>
      </c>
      <c r="K7878" t="n">
        <v>0</v>
      </c>
      <c r="L7878" t="n">
        <v>0</v>
      </c>
      <c r="M7878" t="n">
        <v>0</v>
      </c>
      <c r="N7878" t="n">
        <v>0</v>
      </c>
      <c r="O7878" t="n">
        <v>0</v>
      </c>
      <c r="P7878" t="n">
        <v>0</v>
      </c>
      <c r="Q7878" t="n">
        <v>0</v>
      </c>
      <c r="R7878" s="2" t="inlineStr"/>
    </row>
    <row r="7879" ht="15" customHeight="1">
      <c r="A7879" t="inlineStr">
        <is>
          <t>A 62162-2023</t>
        </is>
      </c>
      <c r="B7879" s="1" t="n">
        <v>45267.40234953703</v>
      </c>
      <c r="C7879" s="1" t="n">
        <v>45952</v>
      </c>
      <c r="D7879" t="inlineStr">
        <is>
          <t>VÄSTRA GÖTALANDS LÄN</t>
        </is>
      </c>
      <c r="E7879" t="inlineStr">
        <is>
          <t>BORÅS</t>
        </is>
      </c>
      <c r="G7879" t="n">
        <v>2.2</v>
      </c>
      <c r="H7879" t="n">
        <v>0</v>
      </c>
      <c r="I7879" t="n">
        <v>0</v>
      </c>
      <c r="J7879" t="n">
        <v>0</v>
      </c>
      <c r="K7879" t="n">
        <v>0</v>
      </c>
      <c r="L7879" t="n">
        <v>0</v>
      </c>
      <c r="M7879" t="n">
        <v>0</v>
      </c>
      <c r="N7879" t="n">
        <v>0</v>
      </c>
      <c r="O7879" t="n">
        <v>0</v>
      </c>
      <c r="P7879" t="n">
        <v>0</v>
      </c>
      <c r="Q7879" t="n">
        <v>0</v>
      </c>
      <c r="R7879" s="2" t="inlineStr"/>
    </row>
    <row r="7880" ht="15" customHeight="1">
      <c r="A7880" t="inlineStr">
        <is>
          <t>A 21173-2025</t>
        </is>
      </c>
      <c r="B7880" s="1" t="n">
        <v>45779.42712962963</v>
      </c>
      <c r="C7880" s="1" t="n">
        <v>45952</v>
      </c>
      <c r="D7880" t="inlineStr">
        <is>
          <t>VÄSTRA GÖTALANDS LÄN</t>
        </is>
      </c>
      <c r="E7880" t="inlineStr">
        <is>
          <t>TIDAHOLM</t>
        </is>
      </c>
      <c r="G7880" t="n">
        <v>0.5</v>
      </c>
      <c r="H7880" t="n">
        <v>0</v>
      </c>
      <c r="I7880" t="n">
        <v>0</v>
      </c>
      <c r="J7880" t="n">
        <v>0</v>
      </c>
      <c r="K7880" t="n">
        <v>0</v>
      </c>
      <c r="L7880" t="n">
        <v>0</v>
      </c>
      <c r="M7880" t="n">
        <v>0</v>
      </c>
      <c r="N7880" t="n">
        <v>0</v>
      </c>
      <c r="O7880" t="n">
        <v>0</v>
      </c>
      <c r="P7880" t="n">
        <v>0</v>
      </c>
      <c r="Q7880" t="n">
        <v>0</v>
      </c>
      <c r="R7880" s="2" t="inlineStr"/>
    </row>
    <row r="7881" ht="15" customHeight="1">
      <c r="A7881" t="inlineStr">
        <is>
          <t>A 55419-2023</t>
        </is>
      </c>
      <c r="B7881" s="1" t="n">
        <v>45231</v>
      </c>
      <c r="C7881" s="1" t="n">
        <v>45952</v>
      </c>
      <c r="D7881" t="inlineStr">
        <is>
          <t>VÄSTRA GÖTALANDS LÄN</t>
        </is>
      </c>
      <c r="E7881" t="inlineStr">
        <is>
          <t>ULRICEHAMN</t>
        </is>
      </c>
      <c r="G7881" t="n">
        <v>1.6</v>
      </c>
      <c r="H7881" t="n">
        <v>0</v>
      </c>
      <c r="I7881" t="n">
        <v>0</v>
      </c>
      <c r="J7881" t="n">
        <v>0</v>
      </c>
      <c r="K7881" t="n">
        <v>0</v>
      </c>
      <c r="L7881" t="n">
        <v>0</v>
      </c>
      <c r="M7881" t="n">
        <v>0</v>
      </c>
      <c r="N7881" t="n">
        <v>0</v>
      </c>
      <c r="O7881" t="n">
        <v>0</v>
      </c>
      <c r="P7881" t="n">
        <v>0</v>
      </c>
      <c r="Q7881" t="n">
        <v>0</v>
      </c>
      <c r="R7881" s="2" t="inlineStr"/>
    </row>
    <row r="7882" ht="15" customHeight="1">
      <c r="A7882" t="inlineStr">
        <is>
          <t>A 55455-2023</t>
        </is>
      </c>
      <c r="B7882" s="1" t="n">
        <v>45231</v>
      </c>
      <c r="C7882" s="1" t="n">
        <v>45952</v>
      </c>
      <c r="D7882" t="inlineStr">
        <is>
          <t>VÄSTRA GÖTALANDS LÄN</t>
        </is>
      </c>
      <c r="E7882" t="inlineStr">
        <is>
          <t>ULRICEHAMN</t>
        </is>
      </c>
      <c r="G7882" t="n">
        <v>2.5</v>
      </c>
      <c r="H7882" t="n">
        <v>0</v>
      </c>
      <c r="I7882" t="n">
        <v>0</v>
      </c>
      <c r="J7882" t="n">
        <v>0</v>
      </c>
      <c r="K7882" t="n">
        <v>0</v>
      </c>
      <c r="L7882" t="n">
        <v>0</v>
      </c>
      <c r="M7882" t="n">
        <v>0</v>
      </c>
      <c r="N7882" t="n">
        <v>0</v>
      </c>
      <c r="O7882" t="n">
        <v>0</v>
      </c>
      <c r="P7882" t="n">
        <v>0</v>
      </c>
      <c r="Q7882" t="n">
        <v>0</v>
      </c>
      <c r="R7882" s="2" t="inlineStr"/>
    </row>
    <row r="7883" ht="15" customHeight="1">
      <c r="A7883" t="inlineStr">
        <is>
          <t>A 21978-2021</t>
        </is>
      </c>
      <c r="B7883" s="1" t="n">
        <v>44323</v>
      </c>
      <c r="C7883" s="1" t="n">
        <v>45952</v>
      </c>
      <c r="D7883" t="inlineStr">
        <is>
          <t>VÄSTRA GÖTALANDS LÄN</t>
        </is>
      </c>
      <c r="E7883" t="inlineStr">
        <is>
          <t>KARLSBORG</t>
        </is>
      </c>
      <c r="G7883" t="n">
        <v>1.2</v>
      </c>
      <c r="H7883" t="n">
        <v>0</v>
      </c>
      <c r="I7883" t="n">
        <v>0</v>
      </c>
      <c r="J7883" t="n">
        <v>0</v>
      </c>
      <c r="K7883" t="n">
        <v>0</v>
      </c>
      <c r="L7883" t="n">
        <v>0</v>
      </c>
      <c r="M7883" t="n">
        <v>0</v>
      </c>
      <c r="N7883" t="n">
        <v>0</v>
      </c>
      <c r="O7883" t="n">
        <v>0</v>
      </c>
      <c r="P7883" t="n">
        <v>0</v>
      </c>
      <c r="Q7883" t="n">
        <v>0</v>
      </c>
      <c r="R7883" s="2" t="inlineStr"/>
    </row>
    <row r="7884" ht="15" customHeight="1">
      <c r="A7884" t="inlineStr">
        <is>
          <t>A 62379-2023</t>
        </is>
      </c>
      <c r="B7884" s="1" t="n">
        <v>45266</v>
      </c>
      <c r="C7884" s="1" t="n">
        <v>45952</v>
      </c>
      <c r="D7884" t="inlineStr">
        <is>
          <t>VÄSTRA GÖTALANDS LÄN</t>
        </is>
      </c>
      <c r="E7884" t="inlineStr">
        <is>
          <t>TROLLHÄTTAN</t>
        </is>
      </c>
      <c r="F7884" t="inlineStr">
        <is>
          <t>Kyrkan</t>
        </is>
      </c>
      <c r="G7884" t="n">
        <v>0.7</v>
      </c>
      <c r="H7884" t="n">
        <v>0</v>
      </c>
      <c r="I7884" t="n">
        <v>0</v>
      </c>
      <c r="J7884" t="n">
        <v>0</v>
      </c>
      <c r="K7884" t="n">
        <v>0</v>
      </c>
      <c r="L7884" t="n">
        <v>0</v>
      </c>
      <c r="M7884" t="n">
        <v>0</v>
      </c>
      <c r="N7884" t="n">
        <v>0</v>
      </c>
      <c r="O7884" t="n">
        <v>0</v>
      </c>
      <c r="P7884" t="n">
        <v>0</v>
      </c>
      <c r="Q7884" t="n">
        <v>0</v>
      </c>
      <c r="R7884" s="2" t="inlineStr"/>
    </row>
    <row r="7885" ht="15" customHeight="1">
      <c r="A7885" t="inlineStr">
        <is>
          <t>A 62390-2023</t>
        </is>
      </c>
      <c r="B7885" s="1" t="n">
        <v>45268</v>
      </c>
      <c r="C7885" s="1" t="n">
        <v>45952</v>
      </c>
      <c r="D7885" t="inlineStr">
        <is>
          <t>VÄSTRA GÖTALANDS LÄN</t>
        </is>
      </c>
      <c r="E7885" t="inlineStr">
        <is>
          <t>GÖTENE</t>
        </is>
      </c>
      <c r="G7885" t="n">
        <v>1.8</v>
      </c>
      <c r="H7885" t="n">
        <v>0</v>
      </c>
      <c r="I7885" t="n">
        <v>0</v>
      </c>
      <c r="J7885" t="n">
        <v>0</v>
      </c>
      <c r="K7885" t="n">
        <v>0</v>
      </c>
      <c r="L7885" t="n">
        <v>0</v>
      </c>
      <c r="M7885" t="n">
        <v>0</v>
      </c>
      <c r="N7885" t="n">
        <v>0</v>
      </c>
      <c r="O7885" t="n">
        <v>0</v>
      </c>
      <c r="P7885" t="n">
        <v>0</v>
      </c>
      <c r="Q7885" t="n">
        <v>0</v>
      </c>
      <c r="R7885" s="2" t="inlineStr"/>
    </row>
    <row r="7886" ht="15" customHeight="1">
      <c r="A7886" t="inlineStr">
        <is>
          <t>A 40629-2024</t>
        </is>
      </c>
      <c r="B7886" s="1" t="n">
        <v>45557.69868055556</v>
      </c>
      <c r="C7886" s="1" t="n">
        <v>45952</v>
      </c>
      <c r="D7886" t="inlineStr">
        <is>
          <t>VÄSTRA GÖTALANDS LÄN</t>
        </is>
      </c>
      <c r="E7886" t="inlineStr">
        <is>
          <t>HJO</t>
        </is>
      </c>
      <c r="G7886" t="n">
        <v>11.5</v>
      </c>
      <c r="H7886" t="n">
        <v>0</v>
      </c>
      <c r="I7886" t="n">
        <v>0</v>
      </c>
      <c r="J7886" t="n">
        <v>0</v>
      </c>
      <c r="K7886" t="n">
        <v>0</v>
      </c>
      <c r="L7886" t="n">
        <v>0</v>
      </c>
      <c r="M7886" t="n">
        <v>0</v>
      </c>
      <c r="N7886" t="n">
        <v>0</v>
      </c>
      <c r="O7886" t="n">
        <v>0</v>
      </c>
      <c r="P7886" t="n">
        <v>0</v>
      </c>
      <c r="Q7886" t="n">
        <v>0</v>
      </c>
      <c r="R7886" s="2" t="inlineStr"/>
    </row>
    <row r="7887" ht="15" customHeight="1">
      <c r="A7887" t="inlineStr">
        <is>
          <t>A 21134-2025</t>
        </is>
      </c>
      <c r="B7887" s="1" t="n">
        <v>45778.44113425926</v>
      </c>
      <c r="C7887" s="1" t="n">
        <v>45952</v>
      </c>
      <c r="D7887" t="inlineStr">
        <is>
          <t>VÄSTRA GÖTALANDS LÄN</t>
        </is>
      </c>
      <c r="E7887" t="inlineStr">
        <is>
          <t>MUNKEDAL</t>
        </is>
      </c>
      <c r="G7887" t="n">
        <v>1.7</v>
      </c>
      <c r="H7887" t="n">
        <v>0</v>
      </c>
      <c r="I7887" t="n">
        <v>0</v>
      </c>
      <c r="J7887" t="n">
        <v>0</v>
      </c>
      <c r="K7887" t="n">
        <v>0</v>
      </c>
      <c r="L7887" t="n">
        <v>0</v>
      </c>
      <c r="M7887" t="n">
        <v>0</v>
      </c>
      <c r="N7887" t="n">
        <v>0</v>
      </c>
      <c r="O7887" t="n">
        <v>0</v>
      </c>
      <c r="P7887" t="n">
        <v>0</v>
      </c>
      <c r="Q7887" t="n">
        <v>0</v>
      </c>
      <c r="R7887" s="2" t="inlineStr"/>
    </row>
    <row r="7888" ht="15" customHeight="1">
      <c r="A7888" t="inlineStr">
        <is>
          <t>A 21135-2025</t>
        </is>
      </c>
      <c r="B7888" s="1" t="n">
        <v>45778.54821759259</v>
      </c>
      <c r="C7888" s="1" t="n">
        <v>45952</v>
      </c>
      <c r="D7888" t="inlineStr">
        <is>
          <t>VÄSTRA GÖTALANDS LÄN</t>
        </is>
      </c>
      <c r="E7888" t="inlineStr">
        <is>
          <t>MUNKEDAL</t>
        </is>
      </c>
      <c r="G7888" t="n">
        <v>1.8</v>
      </c>
      <c r="H7888" t="n">
        <v>0</v>
      </c>
      <c r="I7888" t="n">
        <v>0</v>
      </c>
      <c r="J7888" t="n">
        <v>0</v>
      </c>
      <c r="K7888" t="n">
        <v>0</v>
      </c>
      <c r="L7888" t="n">
        <v>0</v>
      </c>
      <c r="M7888" t="n">
        <v>0</v>
      </c>
      <c r="N7888" t="n">
        <v>0</v>
      </c>
      <c r="O7888" t="n">
        <v>0</v>
      </c>
      <c r="P7888" t="n">
        <v>0</v>
      </c>
      <c r="Q7888" t="n">
        <v>0</v>
      </c>
      <c r="R7888" s="2" t="inlineStr"/>
    </row>
    <row r="7889" ht="15" customHeight="1">
      <c r="A7889" t="inlineStr">
        <is>
          <t>A 21137-2025</t>
        </is>
      </c>
      <c r="B7889" s="1" t="n">
        <v>45778.63582175926</v>
      </c>
      <c r="C7889" s="1" t="n">
        <v>45952</v>
      </c>
      <c r="D7889" t="inlineStr">
        <is>
          <t>VÄSTRA GÖTALANDS LÄN</t>
        </is>
      </c>
      <c r="E7889" t="inlineStr">
        <is>
          <t>ÅMÅL</t>
        </is>
      </c>
      <c r="G7889" t="n">
        <v>4.5</v>
      </c>
      <c r="H7889" t="n">
        <v>0</v>
      </c>
      <c r="I7889" t="n">
        <v>0</v>
      </c>
      <c r="J7889" t="n">
        <v>0</v>
      </c>
      <c r="K7889" t="n">
        <v>0</v>
      </c>
      <c r="L7889" t="n">
        <v>0</v>
      </c>
      <c r="M7889" t="n">
        <v>0</v>
      </c>
      <c r="N7889" t="n">
        <v>0</v>
      </c>
      <c r="O7889" t="n">
        <v>0</v>
      </c>
      <c r="P7889" t="n">
        <v>0</v>
      </c>
      <c r="Q7889" t="n">
        <v>0</v>
      </c>
      <c r="R7889" s="2" t="inlineStr"/>
    </row>
    <row r="7890" ht="15" customHeight="1">
      <c r="A7890" t="inlineStr">
        <is>
          <t>A 18569-2023</t>
        </is>
      </c>
      <c r="B7890" s="1" t="n">
        <v>45043.33277777778</v>
      </c>
      <c r="C7890" s="1" t="n">
        <v>45952</v>
      </c>
      <c r="D7890" t="inlineStr">
        <is>
          <t>VÄSTRA GÖTALANDS LÄN</t>
        </is>
      </c>
      <c r="E7890" t="inlineStr">
        <is>
          <t>ULRICEHAMN</t>
        </is>
      </c>
      <c r="G7890" t="n">
        <v>1.8</v>
      </c>
      <c r="H7890" t="n">
        <v>0</v>
      </c>
      <c r="I7890" t="n">
        <v>0</v>
      </c>
      <c r="J7890" t="n">
        <v>0</v>
      </c>
      <c r="K7890" t="n">
        <v>0</v>
      </c>
      <c r="L7890" t="n">
        <v>0</v>
      </c>
      <c r="M7890" t="n">
        <v>0</v>
      </c>
      <c r="N7890" t="n">
        <v>0</v>
      </c>
      <c r="O7890" t="n">
        <v>0</v>
      </c>
      <c r="P7890" t="n">
        <v>0</v>
      </c>
      <c r="Q7890" t="n">
        <v>0</v>
      </c>
      <c r="R7890" s="2" t="inlineStr"/>
    </row>
    <row r="7891" ht="15" customHeight="1">
      <c r="A7891" t="inlineStr">
        <is>
          <t>A 2524-2023</t>
        </is>
      </c>
      <c r="B7891" s="1" t="n">
        <v>44943</v>
      </c>
      <c r="C7891" s="1" t="n">
        <v>45952</v>
      </c>
      <c r="D7891" t="inlineStr">
        <is>
          <t>VÄSTRA GÖTALANDS LÄN</t>
        </is>
      </c>
      <c r="E7891" t="inlineStr">
        <is>
          <t>BENGTSFORS</t>
        </is>
      </c>
      <c r="G7891" t="n">
        <v>0.5</v>
      </c>
      <c r="H7891" t="n">
        <v>0</v>
      </c>
      <c r="I7891" t="n">
        <v>0</v>
      </c>
      <c r="J7891" t="n">
        <v>0</v>
      </c>
      <c r="K7891" t="n">
        <v>0</v>
      </c>
      <c r="L7891" t="n">
        <v>0</v>
      </c>
      <c r="M7891" t="n">
        <v>0</v>
      </c>
      <c r="N7891" t="n">
        <v>0</v>
      </c>
      <c r="O7891" t="n">
        <v>0</v>
      </c>
      <c r="P7891" t="n">
        <v>0</v>
      </c>
      <c r="Q7891" t="n">
        <v>0</v>
      </c>
      <c r="R7891" s="2" t="inlineStr"/>
    </row>
    <row r="7892" ht="15" customHeight="1">
      <c r="A7892" t="inlineStr">
        <is>
          <t>A 362-2023</t>
        </is>
      </c>
      <c r="B7892" s="1" t="n">
        <v>44923</v>
      </c>
      <c r="C7892" s="1" t="n">
        <v>45952</v>
      </c>
      <c r="D7892" t="inlineStr">
        <is>
          <t>VÄSTRA GÖTALANDS LÄN</t>
        </is>
      </c>
      <c r="E7892" t="inlineStr">
        <is>
          <t>GULLSPÅNG</t>
        </is>
      </c>
      <c r="G7892" t="n">
        <v>3</v>
      </c>
      <c r="H7892" t="n">
        <v>0</v>
      </c>
      <c r="I7892" t="n">
        <v>0</v>
      </c>
      <c r="J7892" t="n">
        <v>0</v>
      </c>
      <c r="K7892" t="n">
        <v>0</v>
      </c>
      <c r="L7892" t="n">
        <v>0</v>
      </c>
      <c r="M7892" t="n">
        <v>0</v>
      </c>
      <c r="N7892" t="n">
        <v>0</v>
      </c>
      <c r="O7892" t="n">
        <v>0</v>
      </c>
      <c r="P7892" t="n">
        <v>0</v>
      </c>
      <c r="Q7892" t="n">
        <v>0</v>
      </c>
      <c r="R7892" s="2" t="inlineStr"/>
    </row>
    <row r="7893" ht="15" customHeight="1">
      <c r="A7893" t="inlineStr">
        <is>
          <t>A 62446-2023</t>
        </is>
      </c>
      <c r="B7893" s="1" t="n">
        <v>45268.47841435186</v>
      </c>
      <c r="C7893" s="1" t="n">
        <v>45952</v>
      </c>
      <c r="D7893" t="inlineStr">
        <is>
          <t>VÄSTRA GÖTALANDS LÄN</t>
        </is>
      </c>
      <c r="E7893" t="inlineStr">
        <is>
          <t>BORÅS</t>
        </is>
      </c>
      <c r="G7893" t="n">
        <v>0.4</v>
      </c>
      <c r="H7893" t="n">
        <v>0</v>
      </c>
      <c r="I7893" t="n">
        <v>0</v>
      </c>
      <c r="J7893" t="n">
        <v>0</v>
      </c>
      <c r="K7893" t="n">
        <v>0</v>
      </c>
      <c r="L7893" t="n">
        <v>0</v>
      </c>
      <c r="M7893" t="n">
        <v>0</v>
      </c>
      <c r="N7893" t="n">
        <v>0</v>
      </c>
      <c r="O7893" t="n">
        <v>0</v>
      </c>
      <c r="P7893" t="n">
        <v>0</v>
      </c>
      <c r="Q7893" t="n">
        <v>0</v>
      </c>
      <c r="R7893" s="2" t="inlineStr"/>
    </row>
    <row r="7894" ht="15" customHeight="1">
      <c r="A7894" t="inlineStr">
        <is>
          <t>A 28746-2025</t>
        </is>
      </c>
      <c r="B7894" s="1" t="n">
        <v>45820</v>
      </c>
      <c r="C7894" s="1" t="n">
        <v>45952</v>
      </c>
      <c r="D7894" t="inlineStr">
        <is>
          <t>VÄSTRA GÖTALANDS LÄN</t>
        </is>
      </c>
      <c r="E7894" t="inlineStr">
        <is>
          <t>TROLLHÄTTAN</t>
        </is>
      </c>
      <c r="G7894" t="n">
        <v>2.8</v>
      </c>
      <c r="H7894" t="n">
        <v>0</v>
      </c>
      <c r="I7894" t="n">
        <v>0</v>
      </c>
      <c r="J7894" t="n">
        <v>0</v>
      </c>
      <c r="K7894" t="n">
        <v>0</v>
      </c>
      <c r="L7894" t="n">
        <v>0</v>
      </c>
      <c r="M7894" t="n">
        <v>0</v>
      </c>
      <c r="N7894" t="n">
        <v>0</v>
      </c>
      <c r="O7894" t="n">
        <v>0</v>
      </c>
      <c r="P7894" t="n">
        <v>0</v>
      </c>
      <c r="Q7894" t="n">
        <v>0</v>
      </c>
      <c r="R7894" s="2" t="inlineStr"/>
    </row>
    <row r="7895" ht="15" customHeight="1">
      <c r="A7895" t="inlineStr">
        <is>
          <t>A 62500-2023</t>
        </is>
      </c>
      <c r="B7895" s="1" t="n">
        <v>45267</v>
      </c>
      <c r="C7895" s="1" t="n">
        <v>45952</v>
      </c>
      <c r="D7895" t="inlineStr">
        <is>
          <t>VÄSTRA GÖTALANDS LÄN</t>
        </is>
      </c>
      <c r="E7895" t="inlineStr">
        <is>
          <t>TANUM</t>
        </is>
      </c>
      <c r="F7895" t="inlineStr">
        <is>
          <t>Kyrkan</t>
        </is>
      </c>
      <c r="G7895" t="n">
        <v>1.4</v>
      </c>
      <c r="H7895" t="n">
        <v>0</v>
      </c>
      <c r="I7895" t="n">
        <v>0</v>
      </c>
      <c r="J7895" t="n">
        <v>0</v>
      </c>
      <c r="K7895" t="n">
        <v>0</v>
      </c>
      <c r="L7895" t="n">
        <v>0</v>
      </c>
      <c r="M7895" t="n">
        <v>0</v>
      </c>
      <c r="N7895" t="n">
        <v>0</v>
      </c>
      <c r="O7895" t="n">
        <v>0</v>
      </c>
      <c r="P7895" t="n">
        <v>0</v>
      </c>
      <c r="Q7895" t="n">
        <v>0</v>
      </c>
      <c r="R7895" s="2" t="inlineStr"/>
    </row>
    <row r="7896" ht="15" customHeight="1">
      <c r="A7896" t="inlineStr">
        <is>
          <t>A 33300-2023</t>
        </is>
      </c>
      <c r="B7896" s="1" t="n">
        <v>45116</v>
      </c>
      <c r="C7896" s="1" t="n">
        <v>45952</v>
      </c>
      <c r="D7896" t="inlineStr">
        <is>
          <t>VÄSTRA GÖTALANDS LÄN</t>
        </is>
      </c>
      <c r="E7896" t="inlineStr">
        <is>
          <t>VARA</t>
        </is>
      </c>
      <c r="G7896" t="n">
        <v>1.4</v>
      </c>
      <c r="H7896" t="n">
        <v>0</v>
      </c>
      <c r="I7896" t="n">
        <v>0</v>
      </c>
      <c r="J7896" t="n">
        <v>0</v>
      </c>
      <c r="K7896" t="n">
        <v>0</v>
      </c>
      <c r="L7896" t="n">
        <v>0</v>
      </c>
      <c r="M7896" t="n">
        <v>0</v>
      </c>
      <c r="N7896" t="n">
        <v>0</v>
      </c>
      <c r="O7896" t="n">
        <v>0</v>
      </c>
      <c r="P7896" t="n">
        <v>0</v>
      </c>
      <c r="Q7896" t="n">
        <v>0</v>
      </c>
      <c r="R7896" s="2" t="inlineStr"/>
    </row>
    <row r="7897" ht="15" customHeight="1">
      <c r="A7897" t="inlineStr">
        <is>
          <t>A 33301-2023</t>
        </is>
      </c>
      <c r="B7897" s="1" t="n">
        <v>45116</v>
      </c>
      <c r="C7897" s="1" t="n">
        <v>45952</v>
      </c>
      <c r="D7897" t="inlineStr">
        <is>
          <t>VÄSTRA GÖTALANDS LÄN</t>
        </is>
      </c>
      <c r="E7897" t="inlineStr">
        <is>
          <t>VARA</t>
        </is>
      </c>
      <c r="G7897" t="n">
        <v>1.3</v>
      </c>
      <c r="H7897" t="n">
        <v>0</v>
      </c>
      <c r="I7897" t="n">
        <v>0</v>
      </c>
      <c r="J7897" t="n">
        <v>0</v>
      </c>
      <c r="K7897" t="n">
        <v>0</v>
      </c>
      <c r="L7897" t="n">
        <v>0</v>
      </c>
      <c r="M7897" t="n">
        <v>0</v>
      </c>
      <c r="N7897" t="n">
        <v>0</v>
      </c>
      <c r="O7897" t="n">
        <v>0</v>
      </c>
      <c r="P7897" t="n">
        <v>0</v>
      </c>
      <c r="Q7897" t="n">
        <v>0</v>
      </c>
      <c r="R7897" s="2" t="inlineStr"/>
    </row>
    <row r="7898" ht="15" customHeight="1">
      <c r="A7898" t="inlineStr">
        <is>
          <t>A 63556-2023</t>
        </is>
      </c>
      <c r="B7898" s="1" t="n">
        <v>45275.3553587963</v>
      </c>
      <c r="C7898" s="1" t="n">
        <v>45952</v>
      </c>
      <c r="D7898" t="inlineStr">
        <is>
          <t>VÄSTRA GÖTALANDS LÄN</t>
        </is>
      </c>
      <c r="E7898" t="inlineStr">
        <is>
          <t>SVENLJUNGA</t>
        </is>
      </c>
      <c r="G7898" t="n">
        <v>1.8</v>
      </c>
      <c r="H7898" t="n">
        <v>0</v>
      </c>
      <c r="I7898" t="n">
        <v>0</v>
      </c>
      <c r="J7898" t="n">
        <v>0</v>
      </c>
      <c r="K7898" t="n">
        <v>0</v>
      </c>
      <c r="L7898" t="n">
        <v>0</v>
      </c>
      <c r="M7898" t="n">
        <v>0</v>
      </c>
      <c r="N7898" t="n">
        <v>0</v>
      </c>
      <c r="O7898" t="n">
        <v>0</v>
      </c>
      <c r="P7898" t="n">
        <v>0</v>
      </c>
      <c r="Q7898" t="n">
        <v>0</v>
      </c>
      <c r="R7898" s="2" t="inlineStr"/>
    </row>
    <row r="7899" ht="15" customHeight="1">
      <c r="A7899" t="inlineStr">
        <is>
          <t>A 16344-2023</t>
        </is>
      </c>
      <c r="B7899" s="1" t="n">
        <v>45028</v>
      </c>
      <c r="C7899" s="1" t="n">
        <v>45952</v>
      </c>
      <c r="D7899" t="inlineStr">
        <is>
          <t>VÄSTRA GÖTALANDS LÄN</t>
        </is>
      </c>
      <c r="E7899" t="inlineStr">
        <is>
          <t>ALE</t>
        </is>
      </c>
      <c r="G7899" t="n">
        <v>6.6</v>
      </c>
      <c r="H7899" t="n">
        <v>0</v>
      </c>
      <c r="I7899" t="n">
        <v>0</v>
      </c>
      <c r="J7899" t="n">
        <v>0</v>
      </c>
      <c r="K7899" t="n">
        <v>0</v>
      </c>
      <c r="L7899" t="n">
        <v>0</v>
      </c>
      <c r="M7899" t="n">
        <v>0</v>
      </c>
      <c r="N7899" t="n">
        <v>0</v>
      </c>
      <c r="O7899" t="n">
        <v>0</v>
      </c>
      <c r="P7899" t="n">
        <v>0</v>
      </c>
      <c r="Q7899" t="n">
        <v>0</v>
      </c>
      <c r="R7899" s="2" t="inlineStr"/>
    </row>
    <row r="7900" ht="15" customHeight="1">
      <c r="A7900" t="inlineStr">
        <is>
          <t>A 20452-2025</t>
        </is>
      </c>
      <c r="B7900" s="1" t="n">
        <v>45775.50196759259</v>
      </c>
      <c r="C7900" s="1" t="n">
        <v>45952</v>
      </c>
      <c r="D7900" t="inlineStr">
        <is>
          <t>VÄSTRA GÖTALANDS LÄN</t>
        </is>
      </c>
      <c r="E7900" t="inlineStr">
        <is>
          <t>BENGTSFORS</t>
        </is>
      </c>
      <c r="G7900" t="n">
        <v>0.5</v>
      </c>
      <c r="H7900" t="n">
        <v>0</v>
      </c>
      <c r="I7900" t="n">
        <v>0</v>
      </c>
      <c r="J7900" t="n">
        <v>0</v>
      </c>
      <c r="K7900" t="n">
        <v>0</v>
      </c>
      <c r="L7900" t="n">
        <v>0</v>
      </c>
      <c r="M7900" t="n">
        <v>0</v>
      </c>
      <c r="N7900" t="n">
        <v>0</v>
      </c>
      <c r="O7900" t="n">
        <v>0</v>
      </c>
      <c r="P7900" t="n">
        <v>0</v>
      </c>
      <c r="Q7900" t="n">
        <v>0</v>
      </c>
      <c r="R7900" s="2" t="inlineStr"/>
    </row>
    <row r="7901" ht="15" customHeight="1">
      <c r="A7901" t="inlineStr">
        <is>
          <t>A 11249-2024</t>
        </is>
      </c>
      <c r="B7901" s="1" t="n">
        <v>45371.63502314815</v>
      </c>
      <c r="C7901" s="1" t="n">
        <v>45952</v>
      </c>
      <c r="D7901" t="inlineStr">
        <is>
          <t>VÄSTRA GÖTALANDS LÄN</t>
        </is>
      </c>
      <c r="E7901" t="inlineStr">
        <is>
          <t>HÄRRYDA</t>
        </is>
      </c>
      <c r="G7901" t="n">
        <v>6.5</v>
      </c>
      <c r="H7901" t="n">
        <v>0</v>
      </c>
      <c r="I7901" t="n">
        <v>0</v>
      </c>
      <c r="J7901" t="n">
        <v>0</v>
      </c>
      <c r="K7901" t="n">
        <v>0</v>
      </c>
      <c r="L7901" t="n">
        <v>0</v>
      </c>
      <c r="M7901" t="n">
        <v>0</v>
      </c>
      <c r="N7901" t="n">
        <v>0</v>
      </c>
      <c r="O7901" t="n">
        <v>0</v>
      </c>
      <c r="P7901" t="n">
        <v>0</v>
      </c>
      <c r="Q7901" t="n">
        <v>0</v>
      </c>
      <c r="R7901" s="2" t="inlineStr"/>
    </row>
    <row r="7902" ht="15" customHeight="1">
      <c r="A7902" t="inlineStr">
        <is>
          <t>A 64194-2023</t>
        </is>
      </c>
      <c r="B7902" s="1" t="n">
        <v>45279.68320601852</v>
      </c>
      <c r="C7902" s="1" t="n">
        <v>45952</v>
      </c>
      <c r="D7902" t="inlineStr">
        <is>
          <t>VÄSTRA GÖTALANDS LÄN</t>
        </is>
      </c>
      <c r="E7902" t="inlineStr">
        <is>
          <t>ALINGSÅS</t>
        </is>
      </c>
      <c r="F7902" t="inlineStr">
        <is>
          <t>Kommuner</t>
        </is>
      </c>
      <c r="G7902" t="n">
        <v>0.5</v>
      </c>
      <c r="H7902" t="n">
        <v>0</v>
      </c>
      <c r="I7902" t="n">
        <v>0</v>
      </c>
      <c r="J7902" t="n">
        <v>0</v>
      </c>
      <c r="K7902" t="n">
        <v>0</v>
      </c>
      <c r="L7902" t="n">
        <v>0</v>
      </c>
      <c r="M7902" t="n">
        <v>0</v>
      </c>
      <c r="N7902" t="n">
        <v>0</v>
      </c>
      <c r="O7902" t="n">
        <v>0</v>
      </c>
      <c r="P7902" t="n">
        <v>0</v>
      </c>
      <c r="Q7902" t="n">
        <v>0</v>
      </c>
      <c r="R7902" s="2" t="inlineStr"/>
    </row>
    <row r="7903" ht="15" customHeight="1">
      <c r="A7903" t="inlineStr">
        <is>
          <t>A 57235-2022</t>
        </is>
      </c>
      <c r="B7903" s="1" t="n">
        <v>44895.67813657408</v>
      </c>
      <c r="C7903" s="1" t="n">
        <v>45952</v>
      </c>
      <c r="D7903" t="inlineStr">
        <is>
          <t>VÄSTRA GÖTALANDS LÄN</t>
        </is>
      </c>
      <c r="E7903" t="inlineStr">
        <is>
          <t>KARLSBORG</t>
        </is>
      </c>
      <c r="G7903" t="n">
        <v>2.8</v>
      </c>
      <c r="H7903" t="n">
        <v>0</v>
      </c>
      <c r="I7903" t="n">
        <v>0</v>
      </c>
      <c r="J7903" t="n">
        <v>0</v>
      </c>
      <c r="K7903" t="n">
        <v>0</v>
      </c>
      <c r="L7903" t="n">
        <v>0</v>
      </c>
      <c r="M7903" t="n">
        <v>0</v>
      </c>
      <c r="N7903" t="n">
        <v>0</v>
      </c>
      <c r="O7903" t="n">
        <v>0</v>
      </c>
      <c r="P7903" t="n">
        <v>0</v>
      </c>
      <c r="Q7903" t="n">
        <v>0</v>
      </c>
      <c r="R7903" s="2" t="inlineStr"/>
    </row>
    <row r="7904" ht="15" customHeight="1">
      <c r="A7904" t="inlineStr">
        <is>
          <t>A 57253-2022</t>
        </is>
      </c>
      <c r="B7904" s="1" t="n">
        <v>44895.77885416667</v>
      </c>
      <c r="C7904" s="1" t="n">
        <v>45952</v>
      </c>
      <c r="D7904" t="inlineStr">
        <is>
          <t>VÄSTRA GÖTALANDS LÄN</t>
        </is>
      </c>
      <c r="E7904" t="inlineStr">
        <is>
          <t>VARA</t>
        </is>
      </c>
      <c r="G7904" t="n">
        <v>1.6</v>
      </c>
      <c r="H7904" t="n">
        <v>0</v>
      </c>
      <c r="I7904" t="n">
        <v>0</v>
      </c>
      <c r="J7904" t="n">
        <v>0</v>
      </c>
      <c r="K7904" t="n">
        <v>0</v>
      </c>
      <c r="L7904" t="n">
        <v>0</v>
      </c>
      <c r="M7904" t="n">
        <v>0</v>
      </c>
      <c r="N7904" t="n">
        <v>0</v>
      </c>
      <c r="O7904" t="n">
        <v>0</v>
      </c>
      <c r="P7904" t="n">
        <v>0</v>
      </c>
      <c r="Q7904" t="n">
        <v>0</v>
      </c>
      <c r="R7904" s="2" t="inlineStr"/>
    </row>
    <row r="7905" ht="15" customHeight="1">
      <c r="A7905" t="inlineStr">
        <is>
          <t>A 41022-2024</t>
        </is>
      </c>
      <c r="B7905" s="1" t="n">
        <v>45558</v>
      </c>
      <c r="C7905" s="1" t="n">
        <v>45952</v>
      </c>
      <c r="D7905" t="inlineStr">
        <is>
          <t>VÄSTRA GÖTALANDS LÄN</t>
        </is>
      </c>
      <c r="E7905" t="inlineStr">
        <is>
          <t>BENGTSFORS</t>
        </is>
      </c>
      <c r="G7905" t="n">
        <v>1.5</v>
      </c>
      <c r="H7905" t="n">
        <v>0</v>
      </c>
      <c r="I7905" t="n">
        <v>0</v>
      </c>
      <c r="J7905" t="n">
        <v>0</v>
      </c>
      <c r="K7905" t="n">
        <v>0</v>
      </c>
      <c r="L7905" t="n">
        <v>0</v>
      </c>
      <c r="M7905" t="n">
        <v>0</v>
      </c>
      <c r="N7905" t="n">
        <v>0</v>
      </c>
      <c r="O7905" t="n">
        <v>0</v>
      </c>
      <c r="P7905" t="n">
        <v>0</v>
      </c>
      <c r="Q7905" t="n">
        <v>0</v>
      </c>
      <c r="R7905" s="2" t="inlineStr"/>
    </row>
    <row r="7906" ht="15" customHeight="1">
      <c r="A7906" t="inlineStr">
        <is>
          <t>A 20454-2025</t>
        </is>
      </c>
      <c r="B7906" s="1" t="n">
        <v>45775.50877314815</v>
      </c>
      <c r="C7906" s="1" t="n">
        <v>45952</v>
      </c>
      <c r="D7906" t="inlineStr">
        <is>
          <t>VÄSTRA GÖTALANDS LÄN</t>
        </is>
      </c>
      <c r="E7906" t="inlineStr">
        <is>
          <t>VÅRGÅRDA</t>
        </is>
      </c>
      <c r="G7906" t="n">
        <v>0.8</v>
      </c>
      <c r="H7906" t="n">
        <v>0</v>
      </c>
      <c r="I7906" t="n">
        <v>0</v>
      </c>
      <c r="J7906" t="n">
        <v>0</v>
      </c>
      <c r="K7906" t="n">
        <v>0</v>
      </c>
      <c r="L7906" t="n">
        <v>0</v>
      </c>
      <c r="M7906" t="n">
        <v>0</v>
      </c>
      <c r="N7906" t="n">
        <v>0</v>
      </c>
      <c r="O7906" t="n">
        <v>0</v>
      </c>
      <c r="P7906" t="n">
        <v>0</v>
      </c>
      <c r="Q7906" t="n">
        <v>0</v>
      </c>
      <c r="R7906" s="2" t="inlineStr"/>
    </row>
    <row r="7907" ht="15" customHeight="1">
      <c r="A7907" t="inlineStr">
        <is>
          <t>A 57259-2022</t>
        </is>
      </c>
      <c r="B7907" s="1" t="n">
        <v>44895.82489583334</v>
      </c>
      <c r="C7907" s="1" t="n">
        <v>45952</v>
      </c>
      <c r="D7907" t="inlineStr">
        <is>
          <t>VÄSTRA GÖTALANDS LÄN</t>
        </is>
      </c>
      <c r="E7907" t="inlineStr">
        <is>
          <t>TROLLHÄTTAN</t>
        </is>
      </c>
      <c r="G7907" t="n">
        <v>2</v>
      </c>
      <c r="H7907" t="n">
        <v>0</v>
      </c>
      <c r="I7907" t="n">
        <v>0</v>
      </c>
      <c r="J7907" t="n">
        <v>0</v>
      </c>
      <c r="K7907" t="n">
        <v>0</v>
      </c>
      <c r="L7907" t="n">
        <v>0</v>
      </c>
      <c r="M7907" t="n">
        <v>0</v>
      </c>
      <c r="N7907" t="n">
        <v>0</v>
      </c>
      <c r="O7907" t="n">
        <v>0</v>
      </c>
      <c r="P7907" t="n">
        <v>0</v>
      </c>
      <c r="Q7907" t="n">
        <v>0</v>
      </c>
      <c r="R7907" s="2" t="inlineStr"/>
    </row>
    <row r="7908" ht="15" customHeight="1">
      <c r="A7908" t="inlineStr">
        <is>
          <t>A 41024-2024</t>
        </is>
      </c>
      <c r="B7908" s="1" t="n">
        <v>45558</v>
      </c>
      <c r="C7908" s="1" t="n">
        <v>45952</v>
      </c>
      <c r="D7908" t="inlineStr">
        <is>
          <t>VÄSTRA GÖTALANDS LÄN</t>
        </is>
      </c>
      <c r="E7908" t="inlineStr">
        <is>
          <t>BENGTSFORS</t>
        </is>
      </c>
      <c r="G7908" t="n">
        <v>1.8</v>
      </c>
      <c r="H7908" t="n">
        <v>0</v>
      </c>
      <c r="I7908" t="n">
        <v>0</v>
      </c>
      <c r="J7908" t="n">
        <v>0</v>
      </c>
      <c r="K7908" t="n">
        <v>0</v>
      </c>
      <c r="L7908" t="n">
        <v>0</v>
      </c>
      <c r="M7908" t="n">
        <v>0</v>
      </c>
      <c r="N7908" t="n">
        <v>0</v>
      </c>
      <c r="O7908" t="n">
        <v>0</v>
      </c>
      <c r="P7908" t="n">
        <v>0</v>
      </c>
      <c r="Q7908" t="n">
        <v>0</v>
      </c>
      <c r="R7908" s="2" t="inlineStr"/>
    </row>
    <row r="7909" ht="15" customHeight="1">
      <c r="A7909" t="inlineStr">
        <is>
          <t>A 21260-2025</t>
        </is>
      </c>
      <c r="B7909" s="1" t="n">
        <v>45779.60204861111</v>
      </c>
      <c r="C7909" s="1" t="n">
        <v>45952</v>
      </c>
      <c r="D7909" t="inlineStr">
        <is>
          <t>VÄSTRA GÖTALANDS LÄN</t>
        </is>
      </c>
      <c r="E7909" t="inlineStr">
        <is>
          <t>MARK</t>
        </is>
      </c>
      <c r="G7909" t="n">
        <v>1.4</v>
      </c>
      <c r="H7909" t="n">
        <v>0</v>
      </c>
      <c r="I7909" t="n">
        <v>0</v>
      </c>
      <c r="J7909" t="n">
        <v>0</v>
      </c>
      <c r="K7909" t="n">
        <v>0</v>
      </c>
      <c r="L7909" t="n">
        <v>0</v>
      </c>
      <c r="M7909" t="n">
        <v>0</v>
      </c>
      <c r="N7909" t="n">
        <v>0</v>
      </c>
      <c r="O7909" t="n">
        <v>0</v>
      </c>
      <c r="P7909" t="n">
        <v>0</v>
      </c>
      <c r="Q7909" t="n">
        <v>0</v>
      </c>
      <c r="R7909" s="2" t="inlineStr"/>
    </row>
    <row r="7910" ht="15" customHeight="1">
      <c r="A7910" t="inlineStr">
        <is>
          <t>A 22603-2023</t>
        </is>
      </c>
      <c r="B7910" s="1" t="n">
        <v>45071</v>
      </c>
      <c r="C7910" s="1" t="n">
        <v>45952</v>
      </c>
      <c r="D7910" t="inlineStr">
        <is>
          <t>VÄSTRA GÖTALANDS LÄN</t>
        </is>
      </c>
      <c r="E7910" t="inlineStr">
        <is>
          <t>UDDEVALLA</t>
        </is>
      </c>
      <c r="G7910" t="n">
        <v>2.7</v>
      </c>
      <c r="H7910" t="n">
        <v>0</v>
      </c>
      <c r="I7910" t="n">
        <v>0</v>
      </c>
      <c r="J7910" t="n">
        <v>0</v>
      </c>
      <c r="K7910" t="n">
        <v>0</v>
      </c>
      <c r="L7910" t="n">
        <v>0</v>
      </c>
      <c r="M7910" t="n">
        <v>0</v>
      </c>
      <c r="N7910" t="n">
        <v>0</v>
      </c>
      <c r="O7910" t="n">
        <v>0</v>
      </c>
      <c r="P7910" t="n">
        <v>0</v>
      </c>
      <c r="Q7910" t="n">
        <v>0</v>
      </c>
      <c r="R7910" s="2" t="inlineStr"/>
    </row>
    <row r="7911" ht="15" customHeight="1">
      <c r="A7911" t="inlineStr">
        <is>
          <t>A 21126-2025</t>
        </is>
      </c>
      <c r="B7911" s="1" t="n">
        <v>45777.90707175926</v>
      </c>
      <c r="C7911" s="1" t="n">
        <v>45952</v>
      </c>
      <c r="D7911" t="inlineStr">
        <is>
          <t>VÄSTRA GÖTALANDS LÄN</t>
        </is>
      </c>
      <c r="E7911" t="inlineStr">
        <is>
          <t>FÄRGELANDA</t>
        </is>
      </c>
      <c r="G7911" t="n">
        <v>5.2</v>
      </c>
      <c r="H7911" t="n">
        <v>0</v>
      </c>
      <c r="I7911" t="n">
        <v>0</v>
      </c>
      <c r="J7911" t="n">
        <v>0</v>
      </c>
      <c r="K7911" t="n">
        <v>0</v>
      </c>
      <c r="L7911" t="n">
        <v>0</v>
      </c>
      <c r="M7911" t="n">
        <v>0</v>
      </c>
      <c r="N7911" t="n">
        <v>0</v>
      </c>
      <c r="O7911" t="n">
        <v>0</v>
      </c>
      <c r="P7911" t="n">
        <v>0</v>
      </c>
      <c r="Q7911" t="n">
        <v>0</v>
      </c>
      <c r="R7911" s="2" t="inlineStr"/>
    </row>
    <row r="7912" ht="15" customHeight="1">
      <c r="A7912" t="inlineStr">
        <is>
          <t>A 21159-2025</t>
        </is>
      </c>
      <c r="B7912" s="1" t="n">
        <v>45779.3799074074</v>
      </c>
      <c r="C7912" s="1" t="n">
        <v>45952</v>
      </c>
      <c r="D7912" t="inlineStr">
        <is>
          <t>VÄSTRA GÖTALANDS LÄN</t>
        </is>
      </c>
      <c r="E7912" t="inlineStr">
        <is>
          <t>GULLSPÅNG</t>
        </is>
      </c>
      <c r="G7912" t="n">
        <v>0.9</v>
      </c>
      <c r="H7912" t="n">
        <v>0</v>
      </c>
      <c r="I7912" t="n">
        <v>0</v>
      </c>
      <c r="J7912" t="n">
        <v>0</v>
      </c>
      <c r="K7912" t="n">
        <v>0</v>
      </c>
      <c r="L7912" t="n">
        <v>0</v>
      </c>
      <c r="M7912" t="n">
        <v>0</v>
      </c>
      <c r="N7912" t="n">
        <v>0</v>
      </c>
      <c r="O7912" t="n">
        <v>0</v>
      </c>
      <c r="P7912" t="n">
        <v>0</v>
      </c>
      <c r="Q7912" t="n">
        <v>0</v>
      </c>
      <c r="R7912" s="2" t="inlineStr"/>
    </row>
    <row r="7913" ht="15" customHeight="1">
      <c r="A7913" t="inlineStr">
        <is>
          <t>A 23559-2022</t>
        </is>
      </c>
      <c r="B7913" s="1" t="n">
        <v>44721.47039351852</v>
      </c>
      <c r="C7913" s="1" t="n">
        <v>45952</v>
      </c>
      <c r="D7913" t="inlineStr">
        <is>
          <t>VÄSTRA GÖTALANDS LÄN</t>
        </is>
      </c>
      <c r="E7913" t="inlineStr">
        <is>
          <t>ALINGSÅS</t>
        </is>
      </c>
      <c r="G7913" t="n">
        <v>2.8</v>
      </c>
      <c r="H7913" t="n">
        <v>0</v>
      </c>
      <c r="I7913" t="n">
        <v>0</v>
      </c>
      <c r="J7913" t="n">
        <v>0</v>
      </c>
      <c r="K7913" t="n">
        <v>0</v>
      </c>
      <c r="L7913" t="n">
        <v>0</v>
      </c>
      <c r="M7913" t="n">
        <v>0</v>
      </c>
      <c r="N7913" t="n">
        <v>0</v>
      </c>
      <c r="O7913" t="n">
        <v>0</v>
      </c>
      <c r="P7913" t="n">
        <v>0</v>
      </c>
      <c r="Q7913" t="n">
        <v>0</v>
      </c>
      <c r="R7913" s="2" t="inlineStr"/>
    </row>
    <row r="7914" ht="15" customHeight="1">
      <c r="A7914" t="inlineStr">
        <is>
          <t>A 6428-2025</t>
        </is>
      </c>
      <c r="B7914" s="1" t="n">
        <v>45699</v>
      </c>
      <c r="C7914" s="1" t="n">
        <v>45952</v>
      </c>
      <c r="D7914" t="inlineStr">
        <is>
          <t>VÄSTRA GÖTALANDS LÄN</t>
        </is>
      </c>
      <c r="E7914" t="inlineStr">
        <is>
          <t>MARK</t>
        </is>
      </c>
      <c r="G7914" t="n">
        <v>3.7</v>
      </c>
      <c r="H7914" t="n">
        <v>0</v>
      </c>
      <c r="I7914" t="n">
        <v>0</v>
      </c>
      <c r="J7914" t="n">
        <v>0</v>
      </c>
      <c r="K7914" t="n">
        <v>0</v>
      </c>
      <c r="L7914" t="n">
        <v>0</v>
      </c>
      <c r="M7914" t="n">
        <v>0</v>
      </c>
      <c r="N7914" t="n">
        <v>0</v>
      </c>
      <c r="O7914" t="n">
        <v>0</v>
      </c>
      <c r="P7914" t="n">
        <v>0</v>
      </c>
      <c r="Q7914" t="n">
        <v>0</v>
      </c>
      <c r="R7914" s="2" t="inlineStr"/>
    </row>
    <row r="7915" ht="15" customHeight="1">
      <c r="A7915" t="inlineStr">
        <is>
          <t>A 5039-2024</t>
        </is>
      </c>
      <c r="B7915" s="1" t="n">
        <v>45329.88466435186</v>
      </c>
      <c r="C7915" s="1" t="n">
        <v>45952</v>
      </c>
      <c r="D7915" t="inlineStr">
        <is>
          <t>VÄSTRA GÖTALANDS LÄN</t>
        </is>
      </c>
      <c r="E7915" t="inlineStr">
        <is>
          <t>BORÅS</t>
        </is>
      </c>
      <c r="G7915" t="n">
        <v>1.3</v>
      </c>
      <c r="H7915" t="n">
        <v>0</v>
      </c>
      <c r="I7915" t="n">
        <v>0</v>
      </c>
      <c r="J7915" t="n">
        <v>0</v>
      </c>
      <c r="K7915" t="n">
        <v>0</v>
      </c>
      <c r="L7915" t="n">
        <v>0</v>
      </c>
      <c r="M7915" t="n">
        <v>0</v>
      </c>
      <c r="N7915" t="n">
        <v>0</v>
      </c>
      <c r="O7915" t="n">
        <v>0</v>
      </c>
      <c r="P7915" t="n">
        <v>0</v>
      </c>
      <c r="Q7915" t="n">
        <v>0</v>
      </c>
      <c r="R7915" s="2" t="inlineStr"/>
    </row>
    <row r="7916" ht="15" customHeight="1">
      <c r="A7916" t="inlineStr">
        <is>
          <t>A 16621-2025</t>
        </is>
      </c>
      <c r="B7916" s="1" t="n">
        <v>45754.32112268519</v>
      </c>
      <c r="C7916" s="1" t="n">
        <v>45952</v>
      </c>
      <c r="D7916" t="inlineStr">
        <is>
          <t>VÄSTRA GÖTALANDS LÄN</t>
        </is>
      </c>
      <c r="E7916" t="inlineStr">
        <is>
          <t>SKÖVDE</t>
        </is>
      </c>
      <c r="G7916" t="n">
        <v>6.8</v>
      </c>
      <c r="H7916" t="n">
        <v>0</v>
      </c>
      <c r="I7916" t="n">
        <v>0</v>
      </c>
      <c r="J7916" t="n">
        <v>0</v>
      </c>
      <c r="K7916" t="n">
        <v>0</v>
      </c>
      <c r="L7916" t="n">
        <v>0</v>
      </c>
      <c r="M7916" t="n">
        <v>0</v>
      </c>
      <c r="N7916" t="n">
        <v>0</v>
      </c>
      <c r="O7916" t="n">
        <v>0</v>
      </c>
      <c r="P7916" t="n">
        <v>0</v>
      </c>
      <c r="Q7916" t="n">
        <v>0</v>
      </c>
      <c r="R7916" s="2" t="inlineStr"/>
    </row>
    <row r="7917" ht="15" customHeight="1">
      <c r="A7917" t="inlineStr">
        <is>
          <t>A 7223-2025</t>
        </is>
      </c>
      <c r="B7917" s="1" t="n">
        <v>45702.48797453703</v>
      </c>
      <c r="C7917" s="1" t="n">
        <v>45952</v>
      </c>
      <c r="D7917" t="inlineStr">
        <is>
          <t>VÄSTRA GÖTALANDS LÄN</t>
        </is>
      </c>
      <c r="E7917" t="inlineStr">
        <is>
          <t>LIDKÖPING</t>
        </is>
      </c>
      <c r="G7917" t="n">
        <v>3.5</v>
      </c>
      <c r="H7917" t="n">
        <v>0</v>
      </c>
      <c r="I7917" t="n">
        <v>0</v>
      </c>
      <c r="J7917" t="n">
        <v>0</v>
      </c>
      <c r="K7917" t="n">
        <v>0</v>
      </c>
      <c r="L7917" t="n">
        <v>0</v>
      </c>
      <c r="M7917" t="n">
        <v>0</v>
      </c>
      <c r="N7917" t="n">
        <v>0</v>
      </c>
      <c r="O7917" t="n">
        <v>0</v>
      </c>
      <c r="P7917" t="n">
        <v>0</v>
      </c>
      <c r="Q7917" t="n">
        <v>0</v>
      </c>
      <c r="R7917" s="2" t="inlineStr"/>
    </row>
    <row r="7918" ht="15" customHeight="1">
      <c r="A7918" t="inlineStr">
        <is>
          <t>A 22649-2023</t>
        </is>
      </c>
      <c r="B7918" s="1" t="n">
        <v>45071</v>
      </c>
      <c r="C7918" s="1" t="n">
        <v>45952</v>
      </c>
      <c r="D7918" t="inlineStr">
        <is>
          <t>VÄSTRA GÖTALANDS LÄN</t>
        </is>
      </c>
      <c r="E7918" t="inlineStr">
        <is>
          <t>BENGTSFORS</t>
        </is>
      </c>
      <c r="G7918" t="n">
        <v>3.6</v>
      </c>
      <c r="H7918" t="n">
        <v>0</v>
      </c>
      <c r="I7918" t="n">
        <v>0</v>
      </c>
      <c r="J7918" t="n">
        <v>0</v>
      </c>
      <c r="K7918" t="n">
        <v>0</v>
      </c>
      <c r="L7918" t="n">
        <v>0</v>
      </c>
      <c r="M7918" t="n">
        <v>0</v>
      </c>
      <c r="N7918" t="n">
        <v>0</v>
      </c>
      <c r="O7918" t="n">
        <v>0</v>
      </c>
      <c r="P7918" t="n">
        <v>0</v>
      </c>
      <c r="Q7918" t="n">
        <v>0</v>
      </c>
      <c r="R7918" s="2" t="inlineStr"/>
    </row>
    <row r="7919" ht="15" customHeight="1">
      <c r="A7919" t="inlineStr">
        <is>
          <t>A 17373-2025</t>
        </is>
      </c>
      <c r="B7919" s="1" t="n">
        <v>45756.86658564815</v>
      </c>
      <c r="C7919" s="1" t="n">
        <v>45952</v>
      </c>
      <c r="D7919" t="inlineStr">
        <is>
          <t>VÄSTRA GÖTALANDS LÄN</t>
        </is>
      </c>
      <c r="E7919" t="inlineStr">
        <is>
          <t>ÅMÅL</t>
        </is>
      </c>
      <c r="G7919" t="n">
        <v>2</v>
      </c>
      <c r="H7919" t="n">
        <v>0</v>
      </c>
      <c r="I7919" t="n">
        <v>0</v>
      </c>
      <c r="J7919" t="n">
        <v>0</v>
      </c>
      <c r="K7919" t="n">
        <v>0</v>
      </c>
      <c r="L7919" t="n">
        <v>0</v>
      </c>
      <c r="M7919" t="n">
        <v>0</v>
      </c>
      <c r="N7919" t="n">
        <v>0</v>
      </c>
      <c r="O7919" t="n">
        <v>0</v>
      </c>
      <c r="P7919" t="n">
        <v>0</v>
      </c>
      <c r="Q7919" t="n">
        <v>0</v>
      </c>
      <c r="R7919" s="2" t="inlineStr"/>
    </row>
    <row r="7920" ht="15" customHeight="1">
      <c r="A7920" t="inlineStr">
        <is>
          <t>A 25322-2024</t>
        </is>
      </c>
      <c r="B7920" s="1" t="n">
        <v>45462.77667824074</v>
      </c>
      <c r="C7920" s="1" t="n">
        <v>45952</v>
      </c>
      <c r="D7920" t="inlineStr">
        <is>
          <t>VÄSTRA GÖTALANDS LÄN</t>
        </is>
      </c>
      <c r="E7920" t="inlineStr">
        <is>
          <t>LIDKÖPING</t>
        </is>
      </c>
      <c r="G7920" t="n">
        <v>1.3</v>
      </c>
      <c r="H7920" t="n">
        <v>0</v>
      </c>
      <c r="I7920" t="n">
        <v>0</v>
      </c>
      <c r="J7920" t="n">
        <v>0</v>
      </c>
      <c r="K7920" t="n">
        <v>0</v>
      </c>
      <c r="L7920" t="n">
        <v>0</v>
      </c>
      <c r="M7920" t="n">
        <v>0</v>
      </c>
      <c r="N7920" t="n">
        <v>0</v>
      </c>
      <c r="O7920" t="n">
        <v>0</v>
      </c>
      <c r="P7920" t="n">
        <v>0</v>
      </c>
      <c r="Q7920" t="n">
        <v>0</v>
      </c>
      <c r="R7920" s="2" t="inlineStr"/>
    </row>
    <row r="7921" ht="15" customHeight="1">
      <c r="A7921" t="inlineStr">
        <is>
          <t>A 21125-2025</t>
        </is>
      </c>
      <c r="B7921" s="1" t="n">
        <v>45777.89259259259</v>
      </c>
      <c r="C7921" s="1" t="n">
        <v>45952</v>
      </c>
      <c r="D7921" t="inlineStr">
        <is>
          <t>VÄSTRA GÖTALANDS LÄN</t>
        </is>
      </c>
      <c r="E7921" t="inlineStr">
        <is>
          <t>FÄRGELANDA</t>
        </is>
      </c>
      <c r="G7921" t="n">
        <v>3.6</v>
      </c>
      <c r="H7921" t="n">
        <v>0</v>
      </c>
      <c r="I7921" t="n">
        <v>0</v>
      </c>
      <c r="J7921" t="n">
        <v>0</v>
      </c>
      <c r="K7921" t="n">
        <v>0</v>
      </c>
      <c r="L7921" t="n">
        <v>0</v>
      </c>
      <c r="M7921" t="n">
        <v>0</v>
      </c>
      <c r="N7921" t="n">
        <v>0</v>
      </c>
      <c r="O7921" t="n">
        <v>0</v>
      </c>
      <c r="P7921" t="n">
        <v>0</v>
      </c>
      <c r="Q7921" t="n">
        <v>0</v>
      </c>
      <c r="R7921" s="2" t="inlineStr"/>
    </row>
    <row r="7922" ht="15" customHeight="1">
      <c r="A7922" t="inlineStr">
        <is>
          <t>A 21285-2025</t>
        </is>
      </c>
      <c r="B7922" s="1" t="n">
        <v>45779.69329861111</v>
      </c>
      <c r="C7922" s="1" t="n">
        <v>45952</v>
      </c>
      <c r="D7922" t="inlineStr">
        <is>
          <t>VÄSTRA GÖTALANDS LÄN</t>
        </is>
      </c>
      <c r="E7922" t="inlineStr">
        <is>
          <t>TIDAHOLM</t>
        </is>
      </c>
      <c r="G7922" t="n">
        <v>0.9</v>
      </c>
      <c r="H7922" t="n">
        <v>0</v>
      </c>
      <c r="I7922" t="n">
        <v>0</v>
      </c>
      <c r="J7922" t="n">
        <v>0</v>
      </c>
      <c r="K7922" t="n">
        <v>0</v>
      </c>
      <c r="L7922" t="n">
        <v>0</v>
      </c>
      <c r="M7922" t="n">
        <v>0</v>
      </c>
      <c r="N7922" t="n">
        <v>0</v>
      </c>
      <c r="O7922" t="n">
        <v>0</v>
      </c>
      <c r="P7922" t="n">
        <v>0</v>
      </c>
      <c r="Q7922" t="n">
        <v>0</v>
      </c>
      <c r="R7922" s="2" t="inlineStr"/>
    </row>
    <row r="7923" ht="15" customHeight="1">
      <c r="A7923" t="inlineStr">
        <is>
          <t>A 47103-2025</t>
        </is>
      </c>
      <c r="B7923" s="1" t="n">
        <v>45929.65766203704</v>
      </c>
      <c r="C7923" s="1" t="n">
        <v>45952</v>
      </c>
      <c r="D7923" t="inlineStr">
        <is>
          <t>VÄSTRA GÖTALANDS LÄN</t>
        </is>
      </c>
      <c r="E7923" t="inlineStr">
        <is>
          <t>UDDEVALLA</t>
        </is>
      </c>
      <c r="G7923" t="n">
        <v>0.4</v>
      </c>
      <c r="H7923" t="n">
        <v>0</v>
      </c>
      <c r="I7923" t="n">
        <v>0</v>
      </c>
      <c r="J7923" t="n">
        <v>0</v>
      </c>
      <c r="K7923" t="n">
        <v>0</v>
      </c>
      <c r="L7923" t="n">
        <v>0</v>
      </c>
      <c r="M7923" t="n">
        <v>0</v>
      </c>
      <c r="N7923" t="n">
        <v>0</v>
      </c>
      <c r="O7923" t="n">
        <v>0</v>
      </c>
      <c r="P7923" t="n">
        <v>0</v>
      </c>
      <c r="Q7923" t="n">
        <v>0</v>
      </c>
      <c r="R7923" s="2" t="inlineStr"/>
    </row>
    <row r="7924" ht="15" customHeight="1">
      <c r="A7924" t="inlineStr">
        <is>
          <t>A 4622-2025</t>
        </is>
      </c>
      <c r="B7924" s="1" t="n">
        <v>45687.61902777778</v>
      </c>
      <c r="C7924" s="1" t="n">
        <v>45952</v>
      </c>
      <c r="D7924" t="inlineStr">
        <is>
          <t>VÄSTRA GÖTALANDS LÄN</t>
        </is>
      </c>
      <c r="E7924" t="inlineStr">
        <is>
          <t>VARA</t>
        </is>
      </c>
      <c r="G7924" t="n">
        <v>7.8</v>
      </c>
      <c r="H7924" t="n">
        <v>0</v>
      </c>
      <c r="I7924" t="n">
        <v>0</v>
      </c>
      <c r="J7924" t="n">
        <v>0</v>
      </c>
      <c r="K7924" t="n">
        <v>0</v>
      </c>
      <c r="L7924" t="n">
        <v>0</v>
      </c>
      <c r="M7924" t="n">
        <v>0</v>
      </c>
      <c r="N7924" t="n">
        <v>0</v>
      </c>
      <c r="O7924" t="n">
        <v>0</v>
      </c>
      <c r="P7924" t="n">
        <v>0</v>
      </c>
      <c r="Q7924" t="n">
        <v>0</v>
      </c>
      <c r="R7924" s="2" t="inlineStr"/>
    </row>
    <row r="7925" ht="15" customHeight="1">
      <c r="A7925" t="inlineStr">
        <is>
          <t>A 4646-2025</t>
        </is>
      </c>
      <c r="B7925" s="1" t="n">
        <v>45687.65769675926</v>
      </c>
      <c r="C7925" s="1" t="n">
        <v>45952</v>
      </c>
      <c r="D7925" t="inlineStr">
        <is>
          <t>VÄSTRA GÖTALANDS LÄN</t>
        </is>
      </c>
      <c r="E7925" t="inlineStr">
        <is>
          <t>FÄRGELANDA</t>
        </is>
      </c>
      <c r="G7925" t="n">
        <v>2.8</v>
      </c>
      <c r="H7925" t="n">
        <v>0</v>
      </c>
      <c r="I7925" t="n">
        <v>0</v>
      </c>
      <c r="J7925" t="n">
        <v>0</v>
      </c>
      <c r="K7925" t="n">
        <v>0</v>
      </c>
      <c r="L7925" t="n">
        <v>0</v>
      </c>
      <c r="M7925" t="n">
        <v>0</v>
      </c>
      <c r="N7925" t="n">
        <v>0</v>
      </c>
      <c r="O7925" t="n">
        <v>0</v>
      </c>
      <c r="P7925" t="n">
        <v>0</v>
      </c>
      <c r="Q7925" t="n">
        <v>0</v>
      </c>
      <c r="R7925" s="2" t="inlineStr"/>
    </row>
    <row r="7926" ht="15" customHeight="1">
      <c r="A7926" t="inlineStr">
        <is>
          <t>A 4655-2025</t>
        </is>
      </c>
      <c r="B7926" s="1" t="n">
        <v>45687.68706018518</v>
      </c>
      <c r="C7926" s="1" t="n">
        <v>45952</v>
      </c>
      <c r="D7926" t="inlineStr">
        <is>
          <t>VÄSTRA GÖTALANDS LÄN</t>
        </is>
      </c>
      <c r="E7926" t="inlineStr">
        <is>
          <t>SVENLJUNGA</t>
        </is>
      </c>
      <c r="G7926" t="n">
        <v>1.7</v>
      </c>
      <c r="H7926" t="n">
        <v>0</v>
      </c>
      <c r="I7926" t="n">
        <v>0</v>
      </c>
      <c r="J7926" t="n">
        <v>0</v>
      </c>
      <c r="K7926" t="n">
        <v>0</v>
      </c>
      <c r="L7926" t="n">
        <v>0</v>
      </c>
      <c r="M7926" t="n">
        <v>0</v>
      </c>
      <c r="N7926" t="n">
        <v>0</v>
      </c>
      <c r="O7926" t="n">
        <v>0</v>
      </c>
      <c r="P7926" t="n">
        <v>0</v>
      </c>
      <c r="Q7926" t="n">
        <v>0</v>
      </c>
      <c r="R7926" s="2" t="inlineStr"/>
    </row>
    <row r="7927" ht="15" customHeight="1">
      <c r="A7927" t="inlineStr">
        <is>
          <t>A 20982-2021</t>
        </is>
      </c>
      <c r="B7927" s="1" t="n">
        <v>44318</v>
      </c>
      <c r="C7927" s="1" t="n">
        <v>45952</v>
      </c>
      <c r="D7927" t="inlineStr">
        <is>
          <t>VÄSTRA GÖTALANDS LÄN</t>
        </is>
      </c>
      <c r="E7927" t="inlineStr">
        <is>
          <t>TANUM</t>
        </is>
      </c>
      <c r="G7927" t="n">
        <v>1.6</v>
      </c>
      <c r="H7927" t="n">
        <v>0</v>
      </c>
      <c r="I7927" t="n">
        <v>0</v>
      </c>
      <c r="J7927" t="n">
        <v>0</v>
      </c>
      <c r="K7927" t="n">
        <v>0</v>
      </c>
      <c r="L7927" t="n">
        <v>0</v>
      </c>
      <c r="M7927" t="n">
        <v>0</v>
      </c>
      <c r="N7927" t="n">
        <v>0</v>
      </c>
      <c r="O7927" t="n">
        <v>0</v>
      </c>
      <c r="P7927" t="n">
        <v>0</v>
      </c>
      <c r="Q7927" t="n">
        <v>0</v>
      </c>
      <c r="R7927" s="2" t="inlineStr"/>
    </row>
    <row r="7928" ht="15" customHeight="1">
      <c r="A7928" t="inlineStr">
        <is>
          <t>A 4661-2025</t>
        </is>
      </c>
      <c r="B7928" s="1" t="n">
        <v>45687.71972222222</v>
      </c>
      <c r="C7928" s="1" t="n">
        <v>45952</v>
      </c>
      <c r="D7928" t="inlineStr">
        <is>
          <t>VÄSTRA GÖTALANDS LÄN</t>
        </is>
      </c>
      <c r="E7928" t="inlineStr">
        <is>
          <t>ALINGSÅS</t>
        </is>
      </c>
      <c r="G7928" t="n">
        <v>2.8</v>
      </c>
      <c r="H7928" t="n">
        <v>0</v>
      </c>
      <c r="I7928" t="n">
        <v>0</v>
      </c>
      <c r="J7928" t="n">
        <v>0</v>
      </c>
      <c r="K7928" t="n">
        <v>0</v>
      </c>
      <c r="L7928" t="n">
        <v>0</v>
      </c>
      <c r="M7928" t="n">
        <v>0</v>
      </c>
      <c r="N7928" t="n">
        <v>0</v>
      </c>
      <c r="O7928" t="n">
        <v>0</v>
      </c>
      <c r="P7928" t="n">
        <v>0</v>
      </c>
      <c r="Q7928" t="n">
        <v>0</v>
      </c>
      <c r="R7928" s="2" t="inlineStr"/>
    </row>
    <row r="7929" ht="15" customHeight="1">
      <c r="A7929" t="inlineStr">
        <is>
          <t>A 21419-2025</t>
        </is>
      </c>
      <c r="B7929" s="1" t="n">
        <v>45782.50159722222</v>
      </c>
      <c r="C7929" s="1" t="n">
        <v>45952</v>
      </c>
      <c r="D7929" t="inlineStr">
        <is>
          <t>VÄSTRA GÖTALANDS LÄN</t>
        </is>
      </c>
      <c r="E7929" t="inlineStr">
        <is>
          <t>ULRICEHAMN</t>
        </is>
      </c>
      <c r="G7929" t="n">
        <v>0.9</v>
      </c>
      <c r="H7929" t="n">
        <v>0</v>
      </c>
      <c r="I7929" t="n">
        <v>0</v>
      </c>
      <c r="J7929" t="n">
        <v>0</v>
      </c>
      <c r="K7929" t="n">
        <v>0</v>
      </c>
      <c r="L7929" t="n">
        <v>0</v>
      </c>
      <c r="M7929" t="n">
        <v>0</v>
      </c>
      <c r="N7929" t="n">
        <v>0</v>
      </c>
      <c r="O7929" t="n">
        <v>0</v>
      </c>
      <c r="P7929" t="n">
        <v>0</v>
      </c>
      <c r="Q7929" t="n">
        <v>0</v>
      </c>
      <c r="R7929" s="2" t="inlineStr"/>
    </row>
    <row r="7930" ht="15" customHeight="1">
      <c r="A7930" t="inlineStr">
        <is>
          <t>A 21477-2025</t>
        </is>
      </c>
      <c r="B7930" s="1" t="n">
        <v>45782.59390046296</v>
      </c>
      <c r="C7930" s="1" t="n">
        <v>45952</v>
      </c>
      <c r="D7930" t="inlineStr">
        <is>
          <t>VÄSTRA GÖTALANDS LÄN</t>
        </is>
      </c>
      <c r="E7930" t="inlineStr">
        <is>
          <t>MÖLNDAL</t>
        </is>
      </c>
      <c r="G7930" t="n">
        <v>2.9</v>
      </c>
      <c r="H7930" t="n">
        <v>0</v>
      </c>
      <c r="I7930" t="n">
        <v>0</v>
      </c>
      <c r="J7930" t="n">
        <v>0</v>
      </c>
      <c r="K7930" t="n">
        <v>0</v>
      </c>
      <c r="L7930" t="n">
        <v>0</v>
      </c>
      <c r="M7930" t="n">
        <v>0</v>
      </c>
      <c r="N7930" t="n">
        <v>0</v>
      </c>
      <c r="O7930" t="n">
        <v>0</v>
      </c>
      <c r="P7930" t="n">
        <v>0</v>
      </c>
      <c r="Q7930" t="n">
        <v>0</v>
      </c>
      <c r="R7930" s="2" t="inlineStr"/>
    </row>
    <row r="7931" ht="15" customHeight="1">
      <c r="A7931" t="inlineStr">
        <is>
          <t>A 60207-2022</t>
        </is>
      </c>
      <c r="B7931" s="1" t="n">
        <v>44910</v>
      </c>
      <c r="C7931" s="1" t="n">
        <v>45952</v>
      </c>
      <c r="D7931" t="inlineStr">
        <is>
          <t>VÄSTRA GÖTALANDS LÄN</t>
        </is>
      </c>
      <c r="E7931" t="inlineStr">
        <is>
          <t>TIDAHOLM</t>
        </is>
      </c>
      <c r="G7931" t="n">
        <v>1.8</v>
      </c>
      <c r="H7931" t="n">
        <v>0</v>
      </c>
      <c r="I7931" t="n">
        <v>0</v>
      </c>
      <c r="J7931" t="n">
        <v>0</v>
      </c>
      <c r="K7931" t="n">
        <v>0</v>
      </c>
      <c r="L7931" t="n">
        <v>0</v>
      </c>
      <c r="M7931" t="n">
        <v>0</v>
      </c>
      <c r="N7931" t="n">
        <v>0</v>
      </c>
      <c r="O7931" t="n">
        <v>0</v>
      </c>
      <c r="P7931" t="n">
        <v>0</v>
      </c>
      <c r="Q7931" t="n">
        <v>0</v>
      </c>
      <c r="R7931" s="2" t="inlineStr"/>
    </row>
    <row r="7932" ht="15" customHeight="1">
      <c r="A7932" t="inlineStr">
        <is>
          <t>A 35431-2022</t>
        </is>
      </c>
      <c r="B7932" s="1" t="n">
        <v>44798</v>
      </c>
      <c r="C7932" s="1" t="n">
        <v>45952</v>
      </c>
      <c r="D7932" t="inlineStr">
        <is>
          <t>VÄSTRA GÖTALANDS LÄN</t>
        </is>
      </c>
      <c r="E7932" t="inlineStr">
        <is>
          <t>MARK</t>
        </is>
      </c>
      <c r="F7932" t="inlineStr">
        <is>
          <t>Sveaskog</t>
        </is>
      </c>
      <c r="G7932" t="n">
        <v>8.5</v>
      </c>
      <c r="H7932" t="n">
        <v>0</v>
      </c>
      <c r="I7932" t="n">
        <v>0</v>
      </c>
      <c r="J7932" t="n">
        <v>0</v>
      </c>
      <c r="K7932" t="n">
        <v>0</v>
      </c>
      <c r="L7932" t="n">
        <v>0</v>
      </c>
      <c r="M7932" t="n">
        <v>0</v>
      </c>
      <c r="N7932" t="n">
        <v>0</v>
      </c>
      <c r="O7932" t="n">
        <v>0</v>
      </c>
      <c r="P7932" t="n">
        <v>0</v>
      </c>
      <c r="Q7932" t="n">
        <v>0</v>
      </c>
      <c r="R7932" s="2" t="inlineStr"/>
    </row>
    <row r="7933" ht="15" customHeight="1">
      <c r="A7933" t="inlineStr">
        <is>
          <t>A 21106-2025</t>
        </is>
      </c>
      <c r="B7933" s="1" t="n">
        <v>45777.67112268518</v>
      </c>
      <c r="C7933" s="1" t="n">
        <v>45952</v>
      </c>
      <c r="D7933" t="inlineStr">
        <is>
          <t>VÄSTRA GÖTALANDS LÄN</t>
        </is>
      </c>
      <c r="E7933" t="inlineStr">
        <is>
          <t>ÅMÅL</t>
        </is>
      </c>
      <c r="G7933" t="n">
        <v>3.8</v>
      </c>
      <c r="H7933" t="n">
        <v>0</v>
      </c>
      <c r="I7933" t="n">
        <v>0</v>
      </c>
      <c r="J7933" t="n">
        <v>0</v>
      </c>
      <c r="K7933" t="n">
        <v>0</v>
      </c>
      <c r="L7933" t="n">
        <v>0</v>
      </c>
      <c r="M7933" t="n">
        <v>0</v>
      </c>
      <c r="N7933" t="n">
        <v>0</v>
      </c>
      <c r="O7933" t="n">
        <v>0</v>
      </c>
      <c r="P7933" t="n">
        <v>0</v>
      </c>
      <c r="Q7933" t="n">
        <v>0</v>
      </c>
      <c r="R7933" s="2" t="inlineStr"/>
    </row>
    <row r="7934" ht="15" customHeight="1">
      <c r="A7934" t="inlineStr">
        <is>
          <t>A 46528-2025</t>
        </is>
      </c>
      <c r="B7934" s="1" t="n">
        <v>45926.33401620371</v>
      </c>
      <c r="C7934" s="1" t="n">
        <v>45952</v>
      </c>
      <c r="D7934" t="inlineStr">
        <is>
          <t>VÄSTRA GÖTALANDS LÄN</t>
        </is>
      </c>
      <c r="E7934" t="inlineStr">
        <is>
          <t>TANUM</t>
        </is>
      </c>
      <c r="G7934" t="n">
        <v>11.9</v>
      </c>
      <c r="H7934" t="n">
        <v>0</v>
      </c>
      <c r="I7934" t="n">
        <v>0</v>
      </c>
      <c r="J7934" t="n">
        <v>0</v>
      </c>
      <c r="K7934" t="n">
        <v>0</v>
      </c>
      <c r="L7934" t="n">
        <v>0</v>
      </c>
      <c r="M7934" t="n">
        <v>0</v>
      </c>
      <c r="N7934" t="n">
        <v>0</v>
      </c>
      <c r="O7934" t="n">
        <v>0</v>
      </c>
      <c r="P7934" t="n">
        <v>0</v>
      </c>
      <c r="Q7934" t="n">
        <v>0</v>
      </c>
      <c r="R7934" s="2" t="inlineStr"/>
    </row>
    <row r="7935" ht="15" customHeight="1">
      <c r="A7935" t="inlineStr">
        <is>
          <t>A 32189-2024</t>
        </is>
      </c>
      <c r="B7935" s="1" t="n">
        <v>45511</v>
      </c>
      <c r="C7935" s="1" t="n">
        <v>45952</v>
      </c>
      <c r="D7935" t="inlineStr">
        <is>
          <t>VÄSTRA GÖTALANDS LÄN</t>
        </is>
      </c>
      <c r="E7935" t="inlineStr">
        <is>
          <t>BENGTSFORS</t>
        </is>
      </c>
      <c r="F7935" t="inlineStr">
        <is>
          <t>Kommuner</t>
        </is>
      </c>
      <c r="G7935" t="n">
        <v>1.2</v>
      </c>
      <c r="H7935" t="n">
        <v>0</v>
      </c>
      <c r="I7935" t="n">
        <v>0</v>
      </c>
      <c r="J7935" t="n">
        <v>0</v>
      </c>
      <c r="K7935" t="n">
        <v>0</v>
      </c>
      <c r="L7935" t="n">
        <v>0</v>
      </c>
      <c r="M7935" t="n">
        <v>0</v>
      </c>
      <c r="N7935" t="n">
        <v>0</v>
      </c>
      <c r="O7935" t="n">
        <v>0</v>
      </c>
      <c r="P7935" t="n">
        <v>0</v>
      </c>
      <c r="Q7935" t="n">
        <v>0</v>
      </c>
      <c r="R7935" s="2" t="inlineStr"/>
    </row>
    <row r="7936" ht="15" customHeight="1">
      <c r="A7936" t="inlineStr">
        <is>
          <t>A 8334-2023</t>
        </is>
      </c>
      <c r="B7936" s="1" t="n">
        <v>44975</v>
      </c>
      <c r="C7936" s="1" t="n">
        <v>45952</v>
      </c>
      <c r="D7936" t="inlineStr">
        <is>
          <t>VÄSTRA GÖTALANDS LÄN</t>
        </is>
      </c>
      <c r="E7936" t="inlineStr">
        <is>
          <t>KUNGÄLV</t>
        </is>
      </c>
      <c r="G7936" t="n">
        <v>1.8</v>
      </c>
      <c r="H7936" t="n">
        <v>0</v>
      </c>
      <c r="I7936" t="n">
        <v>0</v>
      </c>
      <c r="J7936" t="n">
        <v>0</v>
      </c>
      <c r="K7936" t="n">
        <v>0</v>
      </c>
      <c r="L7936" t="n">
        <v>0</v>
      </c>
      <c r="M7936" t="n">
        <v>0</v>
      </c>
      <c r="N7936" t="n">
        <v>0</v>
      </c>
      <c r="O7936" t="n">
        <v>0</v>
      </c>
      <c r="P7936" t="n">
        <v>0</v>
      </c>
      <c r="Q7936" t="n">
        <v>0</v>
      </c>
      <c r="R7936" s="2" t="inlineStr"/>
    </row>
    <row r="7937" ht="15" customHeight="1">
      <c r="A7937" t="inlineStr">
        <is>
          <t>A 35501-2021</t>
        </is>
      </c>
      <c r="B7937" s="1" t="n">
        <v>44385.61822916667</v>
      </c>
      <c r="C7937" s="1" t="n">
        <v>45952</v>
      </c>
      <c r="D7937" t="inlineStr">
        <is>
          <t>VÄSTRA GÖTALANDS LÄN</t>
        </is>
      </c>
      <c r="E7937" t="inlineStr">
        <is>
          <t>BENGTSFORS</t>
        </is>
      </c>
      <c r="G7937" t="n">
        <v>1.5</v>
      </c>
      <c r="H7937" t="n">
        <v>0</v>
      </c>
      <c r="I7937" t="n">
        <v>0</v>
      </c>
      <c r="J7937" t="n">
        <v>0</v>
      </c>
      <c r="K7937" t="n">
        <v>0</v>
      </c>
      <c r="L7937" t="n">
        <v>0</v>
      </c>
      <c r="M7937" t="n">
        <v>0</v>
      </c>
      <c r="N7937" t="n">
        <v>0</v>
      </c>
      <c r="O7937" t="n">
        <v>0</v>
      </c>
      <c r="P7937" t="n">
        <v>0</v>
      </c>
      <c r="Q7937" t="n">
        <v>0</v>
      </c>
      <c r="R7937" s="2" t="inlineStr"/>
    </row>
    <row r="7938" ht="15" customHeight="1">
      <c r="A7938" t="inlineStr">
        <is>
          <t>A 21737-2025</t>
        </is>
      </c>
      <c r="B7938" s="1" t="n">
        <v>45783.59091435185</v>
      </c>
      <c r="C7938" s="1" t="n">
        <v>45952</v>
      </c>
      <c r="D7938" t="inlineStr">
        <is>
          <t>VÄSTRA GÖTALANDS LÄN</t>
        </is>
      </c>
      <c r="E7938" t="inlineStr">
        <is>
          <t>MARIESTAD</t>
        </is>
      </c>
      <c r="F7938" t="inlineStr">
        <is>
          <t>Sveaskog</t>
        </is>
      </c>
      <c r="G7938" t="n">
        <v>1.6</v>
      </c>
      <c r="H7938" t="n">
        <v>0</v>
      </c>
      <c r="I7938" t="n">
        <v>0</v>
      </c>
      <c r="J7938" t="n">
        <v>0</v>
      </c>
      <c r="K7938" t="n">
        <v>0</v>
      </c>
      <c r="L7938" t="n">
        <v>0</v>
      </c>
      <c r="M7938" t="n">
        <v>0</v>
      </c>
      <c r="N7938" t="n">
        <v>0</v>
      </c>
      <c r="O7938" t="n">
        <v>0</v>
      </c>
      <c r="P7938" t="n">
        <v>0</v>
      </c>
      <c r="Q7938" t="n">
        <v>0</v>
      </c>
      <c r="R7938" s="2" t="inlineStr"/>
    </row>
    <row r="7939" ht="15" customHeight="1">
      <c r="A7939" t="inlineStr">
        <is>
          <t>A 18639-2025</t>
        </is>
      </c>
      <c r="B7939" s="1" t="n">
        <v>45763.56734953704</v>
      </c>
      <c r="C7939" s="1" t="n">
        <v>45952</v>
      </c>
      <c r="D7939" t="inlineStr">
        <is>
          <t>VÄSTRA GÖTALANDS LÄN</t>
        </is>
      </c>
      <c r="E7939" t="inlineStr">
        <is>
          <t>TRANEMO</t>
        </is>
      </c>
      <c r="G7939" t="n">
        <v>2.2</v>
      </c>
      <c r="H7939" t="n">
        <v>0</v>
      </c>
      <c r="I7939" t="n">
        <v>0</v>
      </c>
      <c r="J7939" t="n">
        <v>0</v>
      </c>
      <c r="K7939" t="n">
        <v>0</v>
      </c>
      <c r="L7939" t="n">
        <v>0</v>
      </c>
      <c r="M7939" t="n">
        <v>0</v>
      </c>
      <c r="N7939" t="n">
        <v>0</v>
      </c>
      <c r="O7939" t="n">
        <v>0</v>
      </c>
      <c r="P7939" t="n">
        <v>0</v>
      </c>
      <c r="Q7939" t="n">
        <v>0</v>
      </c>
      <c r="R7939" s="2" t="inlineStr"/>
    </row>
    <row r="7940" ht="15" customHeight="1">
      <c r="A7940" t="inlineStr">
        <is>
          <t>A 22278-2024</t>
        </is>
      </c>
      <c r="B7940" s="1" t="n">
        <v>45446</v>
      </c>
      <c r="C7940" s="1" t="n">
        <v>45952</v>
      </c>
      <c r="D7940" t="inlineStr">
        <is>
          <t>VÄSTRA GÖTALANDS LÄN</t>
        </is>
      </c>
      <c r="E7940" t="inlineStr">
        <is>
          <t>GÖTENE</t>
        </is>
      </c>
      <c r="G7940" t="n">
        <v>1.8</v>
      </c>
      <c r="H7940" t="n">
        <v>0</v>
      </c>
      <c r="I7940" t="n">
        <v>0</v>
      </c>
      <c r="J7940" t="n">
        <v>0</v>
      </c>
      <c r="K7940" t="n">
        <v>0</v>
      </c>
      <c r="L7940" t="n">
        <v>0</v>
      </c>
      <c r="M7940" t="n">
        <v>0</v>
      </c>
      <c r="N7940" t="n">
        <v>0</v>
      </c>
      <c r="O7940" t="n">
        <v>0</v>
      </c>
      <c r="P7940" t="n">
        <v>0</v>
      </c>
      <c r="Q7940" t="n">
        <v>0</v>
      </c>
      <c r="R7940" s="2" t="inlineStr"/>
    </row>
    <row r="7941" ht="15" customHeight="1">
      <c r="A7941" t="inlineStr">
        <is>
          <t>A 1369-2025</t>
        </is>
      </c>
      <c r="B7941" s="1" t="n">
        <v>45667.6443287037</v>
      </c>
      <c r="C7941" s="1" t="n">
        <v>45952</v>
      </c>
      <c r="D7941" t="inlineStr">
        <is>
          <t>VÄSTRA GÖTALANDS LÄN</t>
        </is>
      </c>
      <c r="E7941" t="inlineStr">
        <is>
          <t>MELLERUD</t>
        </is>
      </c>
      <c r="G7941" t="n">
        <v>1.9</v>
      </c>
      <c r="H7941" t="n">
        <v>0</v>
      </c>
      <c r="I7941" t="n">
        <v>0</v>
      </c>
      <c r="J7941" t="n">
        <v>0</v>
      </c>
      <c r="K7941" t="n">
        <v>0</v>
      </c>
      <c r="L7941" t="n">
        <v>0</v>
      </c>
      <c r="M7941" t="n">
        <v>0</v>
      </c>
      <c r="N7941" t="n">
        <v>0</v>
      </c>
      <c r="O7941" t="n">
        <v>0</v>
      </c>
      <c r="P7941" t="n">
        <v>0</v>
      </c>
      <c r="Q7941" t="n">
        <v>0</v>
      </c>
      <c r="R7941" s="2" t="inlineStr"/>
    </row>
    <row r="7942" ht="15" customHeight="1">
      <c r="A7942" t="inlineStr">
        <is>
          <t>A 40278-2024</t>
        </is>
      </c>
      <c r="B7942" s="1" t="n">
        <v>45554.65760416666</v>
      </c>
      <c r="C7942" s="1" t="n">
        <v>45952</v>
      </c>
      <c r="D7942" t="inlineStr">
        <is>
          <t>VÄSTRA GÖTALANDS LÄN</t>
        </is>
      </c>
      <c r="E7942" t="inlineStr">
        <is>
          <t>ÅMÅL</t>
        </is>
      </c>
      <c r="G7942" t="n">
        <v>1</v>
      </c>
      <c r="H7942" t="n">
        <v>0</v>
      </c>
      <c r="I7942" t="n">
        <v>0</v>
      </c>
      <c r="J7942" t="n">
        <v>0</v>
      </c>
      <c r="K7942" t="n">
        <v>0</v>
      </c>
      <c r="L7942" t="n">
        <v>0</v>
      </c>
      <c r="M7942" t="n">
        <v>0</v>
      </c>
      <c r="N7942" t="n">
        <v>0</v>
      </c>
      <c r="O7942" t="n">
        <v>0</v>
      </c>
      <c r="P7942" t="n">
        <v>0</v>
      </c>
      <c r="Q7942" t="n">
        <v>0</v>
      </c>
      <c r="R7942" s="2" t="inlineStr"/>
    </row>
    <row r="7943" ht="15" customHeight="1">
      <c r="A7943" t="inlineStr">
        <is>
          <t>A 46532-2025</t>
        </is>
      </c>
      <c r="B7943" s="1" t="n">
        <v>45926.33767361111</v>
      </c>
      <c r="C7943" s="1" t="n">
        <v>45952</v>
      </c>
      <c r="D7943" t="inlineStr">
        <is>
          <t>VÄSTRA GÖTALANDS LÄN</t>
        </is>
      </c>
      <c r="E7943" t="inlineStr">
        <is>
          <t>ULRICEHAMN</t>
        </is>
      </c>
      <c r="G7943" t="n">
        <v>0.9</v>
      </c>
      <c r="H7943" t="n">
        <v>0</v>
      </c>
      <c r="I7943" t="n">
        <v>0</v>
      </c>
      <c r="J7943" t="n">
        <v>0</v>
      </c>
      <c r="K7943" t="n">
        <v>0</v>
      </c>
      <c r="L7943" t="n">
        <v>0</v>
      </c>
      <c r="M7943" t="n">
        <v>0</v>
      </c>
      <c r="N7943" t="n">
        <v>0</v>
      </c>
      <c r="O7943" t="n">
        <v>0</v>
      </c>
      <c r="P7943" t="n">
        <v>0</v>
      </c>
      <c r="Q7943" t="n">
        <v>0</v>
      </c>
      <c r="R7943" s="2" t="inlineStr"/>
    </row>
    <row r="7944" ht="15" customHeight="1">
      <c r="A7944" t="inlineStr">
        <is>
          <t>A 6364-2025</t>
        </is>
      </c>
      <c r="B7944" s="1" t="n">
        <v>45699.37768518519</v>
      </c>
      <c r="C7944" s="1" t="n">
        <v>45952</v>
      </c>
      <c r="D7944" t="inlineStr">
        <is>
          <t>VÄSTRA GÖTALANDS LÄN</t>
        </is>
      </c>
      <c r="E7944" t="inlineStr">
        <is>
          <t>UDDEVALLA</t>
        </is>
      </c>
      <c r="G7944" t="n">
        <v>5.8</v>
      </c>
      <c r="H7944" t="n">
        <v>0</v>
      </c>
      <c r="I7944" t="n">
        <v>0</v>
      </c>
      <c r="J7944" t="n">
        <v>0</v>
      </c>
      <c r="K7944" t="n">
        <v>0</v>
      </c>
      <c r="L7944" t="n">
        <v>0</v>
      </c>
      <c r="M7944" t="n">
        <v>0</v>
      </c>
      <c r="N7944" t="n">
        <v>0</v>
      </c>
      <c r="O7944" t="n">
        <v>0</v>
      </c>
      <c r="P7944" t="n">
        <v>0</v>
      </c>
      <c r="Q7944" t="n">
        <v>0</v>
      </c>
      <c r="R7944" s="2" t="inlineStr"/>
    </row>
    <row r="7945" ht="15" customHeight="1">
      <c r="A7945" t="inlineStr">
        <is>
          <t>A 2271-2024</t>
        </is>
      </c>
      <c r="B7945" s="1" t="n">
        <v>45310.35899305555</v>
      </c>
      <c r="C7945" s="1" t="n">
        <v>45952</v>
      </c>
      <c r="D7945" t="inlineStr">
        <is>
          <t>VÄSTRA GÖTALANDS LÄN</t>
        </is>
      </c>
      <c r="E7945" t="inlineStr">
        <is>
          <t>HERRLJUNGA</t>
        </is>
      </c>
      <c r="F7945" t="inlineStr">
        <is>
          <t>Sveaskog</t>
        </is>
      </c>
      <c r="G7945" t="n">
        <v>12.6</v>
      </c>
      <c r="H7945" t="n">
        <v>0</v>
      </c>
      <c r="I7945" t="n">
        <v>0</v>
      </c>
      <c r="J7945" t="n">
        <v>0</v>
      </c>
      <c r="K7945" t="n">
        <v>0</v>
      </c>
      <c r="L7945" t="n">
        <v>0</v>
      </c>
      <c r="M7945" t="n">
        <v>0</v>
      </c>
      <c r="N7945" t="n">
        <v>0</v>
      </c>
      <c r="O7945" t="n">
        <v>0</v>
      </c>
      <c r="P7945" t="n">
        <v>0</v>
      </c>
      <c r="Q7945" t="n">
        <v>0</v>
      </c>
      <c r="R7945" s="2" t="inlineStr"/>
    </row>
    <row r="7946" ht="15" customHeight="1">
      <c r="A7946" t="inlineStr">
        <is>
          <t>A 14470-2023</t>
        </is>
      </c>
      <c r="B7946" s="1" t="n">
        <v>45012.65436342593</v>
      </c>
      <c r="C7946" s="1" t="n">
        <v>45952</v>
      </c>
      <c r="D7946" t="inlineStr">
        <is>
          <t>VÄSTRA GÖTALANDS LÄN</t>
        </is>
      </c>
      <c r="E7946" t="inlineStr">
        <is>
          <t>ÅMÅL</t>
        </is>
      </c>
      <c r="G7946" t="n">
        <v>1.3</v>
      </c>
      <c r="H7946" t="n">
        <v>0</v>
      </c>
      <c r="I7946" t="n">
        <v>0</v>
      </c>
      <c r="J7946" t="n">
        <v>0</v>
      </c>
      <c r="K7946" t="n">
        <v>0</v>
      </c>
      <c r="L7946" t="n">
        <v>0</v>
      </c>
      <c r="M7946" t="n">
        <v>0</v>
      </c>
      <c r="N7946" t="n">
        <v>0</v>
      </c>
      <c r="O7946" t="n">
        <v>0</v>
      </c>
      <c r="P7946" t="n">
        <v>0</v>
      </c>
      <c r="Q7946" t="n">
        <v>0</v>
      </c>
      <c r="R7946" s="2" t="inlineStr"/>
    </row>
    <row r="7947" ht="15" customHeight="1">
      <c r="A7947" t="inlineStr">
        <is>
          <t>A 14749-2024</t>
        </is>
      </c>
      <c r="B7947" s="1" t="n">
        <v>45397.64184027778</v>
      </c>
      <c r="C7947" s="1" t="n">
        <v>45952</v>
      </c>
      <c r="D7947" t="inlineStr">
        <is>
          <t>VÄSTRA GÖTALANDS LÄN</t>
        </is>
      </c>
      <c r="E7947" t="inlineStr">
        <is>
          <t>MARK</t>
        </is>
      </c>
      <c r="G7947" t="n">
        <v>1.9</v>
      </c>
      <c r="H7947" t="n">
        <v>0</v>
      </c>
      <c r="I7947" t="n">
        <v>0</v>
      </c>
      <c r="J7947" t="n">
        <v>0</v>
      </c>
      <c r="K7947" t="n">
        <v>0</v>
      </c>
      <c r="L7947" t="n">
        <v>0</v>
      </c>
      <c r="M7947" t="n">
        <v>0</v>
      </c>
      <c r="N7947" t="n">
        <v>0</v>
      </c>
      <c r="O7947" t="n">
        <v>0</v>
      </c>
      <c r="P7947" t="n">
        <v>0</v>
      </c>
      <c r="Q7947" t="n">
        <v>0</v>
      </c>
      <c r="R7947" s="2" t="inlineStr"/>
    </row>
    <row r="7948" ht="15" customHeight="1">
      <c r="A7948" t="inlineStr">
        <is>
          <t>A 21640-2025</t>
        </is>
      </c>
      <c r="B7948" s="1" t="n">
        <v>45783.43237268519</v>
      </c>
      <c r="C7948" s="1" t="n">
        <v>45952</v>
      </c>
      <c r="D7948" t="inlineStr">
        <is>
          <t>VÄSTRA GÖTALANDS LÄN</t>
        </is>
      </c>
      <c r="E7948" t="inlineStr">
        <is>
          <t>BENGTSFORS</t>
        </is>
      </c>
      <c r="G7948" t="n">
        <v>2.4</v>
      </c>
      <c r="H7948" t="n">
        <v>0</v>
      </c>
      <c r="I7948" t="n">
        <v>0</v>
      </c>
      <c r="J7948" t="n">
        <v>0</v>
      </c>
      <c r="K7948" t="n">
        <v>0</v>
      </c>
      <c r="L7948" t="n">
        <v>0</v>
      </c>
      <c r="M7948" t="n">
        <v>0</v>
      </c>
      <c r="N7948" t="n">
        <v>0</v>
      </c>
      <c r="O7948" t="n">
        <v>0</v>
      </c>
      <c r="P7948" t="n">
        <v>0</v>
      </c>
      <c r="Q7948" t="n">
        <v>0</v>
      </c>
      <c r="R7948" s="2" t="inlineStr"/>
    </row>
    <row r="7949" ht="15" customHeight="1">
      <c r="A7949" t="inlineStr">
        <is>
          <t>A 21673-2025</t>
        </is>
      </c>
      <c r="B7949" s="1" t="n">
        <v>45783.47327546297</v>
      </c>
      <c r="C7949" s="1" t="n">
        <v>45952</v>
      </c>
      <c r="D7949" t="inlineStr">
        <is>
          <t>VÄSTRA GÖTALANDS LÄN</t>
        </is>
      </c>
      <c r="E7949" t="inlineStr">
        <is>
          <t>BORÅS</t>
        </is>
      </c>
      <c r="G7949" t="n">
        <v>1.5</v>
      </c>
      <c r="H7949" t="n">
        <v>0</v>
      </c>
      <c r="I7949" t="n">
        <v>0</v>
      </c>
      <c r="J7949" t="n">
        <v>0</v>
      </c>
      <c r="K7949" t="n">
        <v>0</v>
      </c>
      <c r="L7949" t="n">
        <v>0</v>
      </c>
      <c r="M7949" t="n">
        <v>0</v>
      </c>
      <c r="N7949" t="n">
        <v>0</v>
      </c>
      <c r="O7949" t="n">
        <v>0</v>
      </c>
      <c r="P7949" t="n">
        <v>0</v>
      </c>
      <c r="Q7949" t="n">
        <v>0</v>
      </c>
      <c r="R7949" s="2" t="inlineStr"/>
    </row>
    <row r="7950" ht="15" customHeight="1">
      <c r="A7950" t="inlineStr">
        <is>
          <t>A 21689-2025</t>
        </is>
      </c>
      <c r="B7950" s="1" t="n">
        <v>45783.49379629629</v>
      </c>
      <c r="C7950" s="1" t="n">
        <v>45952</v>
      </c>
      <c r="D7950" t="inlineStr">
        <is>
          <t>VÄSTRA GÖTALANDS LÄN</t>
        </is>
      </c>
      <c r="E7950" t="inlineStr">
        <is>
          <t>MELLERUD</t>
        </is>
      </c>
      <c r="G7950" t="n">
        <v>1.5</v>
      </c>
      <c r="H7950" t="n">
        <v>0</v>
      </c>
      <c r="I7950" t="n">
        <v>0</v>
      </c>
      <c r="J7950" t="n">
        <v>0</v>
      </c>
      <c r="K7950" t="n">
        <v>0</v>
      </c>
      <c r="L7950" t="n">
        <v>0</v>
      </c>
      <c r="M7950" t="n">
        <v>0</v>
      </c>
      <c r="N7950" t="n">
        <v>0</v>
      </c>
      <c r="O7950" t="n">
        <v>0</v>
      </c>
      <c r="P7950" t="n">
        <v>0</v>
      </c>
      <c r="Q7950" t="n">
        <v>0</v>
      </c>
      <c r="R7950" s="2" t="inlineStr"/>
    </row>
    <row r="7951" ht="15" customHeight="1">
      <c r="A7951" t="inlineStr">
        <is>
          <t>A 37059-2023</t>
        </is>
      </c>
      <c r="B7951" s="1" t="n">
        <v>45155.44679398148</v>
      </c>
      <c r="C7951" s="1" t="n">
        <v>45952</v>
      </c>
      <c r="D7951" t="inlineStr">
        <is>
          <t>VÄSTRA GÖTALANDS LÄN</t>
        </is>
      </c>
      <c r="E7951" t="inlineStr">
        <is>
          <t>TRANEMO</t>
        </is>
      </c>
      <c r="G7951" t="n">
        <v>3.3</v>
      </c>
      <c r="H7951" t="n">
        <v>0</v>
      </c>
      <c r="I7951" t="n">
        <v>0</v>
      </c>
      <c r="J7951" t="n">
        <v>0</v>
      </c>
      <c r="K7951" t="n">
        <v>0</v>
      </c>
      <c r="L7951" t="n">
        <v>0</v>
      </c>
      <c r="M7951" t="n">
        <v>0</v>
      </c>
      <c r="N7951" t="n">
        <v>0</v>
      </c>
      <c r="O7951" t="n">
        <v>0</v>
      </c>
      <c r="P7951" t="n">
        <v>0</v>
      </c>
      <c r="Q7951" t="n">
        <v>0</v>
      </c>
      <c r="R7951" s="2" t="inlineStr"/>
    </row>
    <row r="7952" ht="15" customHeight="1">
      <c r="A7952" t="inlineStr">
        <is>
          <t>A 52042-2024</t>
        </is>
      </c>
      <c r="B7952" s="1" t="n">
        <v>45608.32445601852</v>
      </c>
      <c r="C7952" s="1" t="n">
        <v>45952</v>
      </c>
      <c r="D7952" t="inlineStr">
        <is>
          <t>VÄSTRA GÖTALANDS LÄN</t>
        </is>
      </c>
      <c r="E7952" t="inlineStr">
        <is>
          <t>TIDAHOLM</t>
        </is>
      </c>
      <c r="G7952" t="n">
        <v>1.4</v>
      </c>
      <c r="H7952" t="n">
        <v>0</v>
      </c>
      <c r="I7952" t="n">
        <v>0</v>
      </c>
      <c r="J7952" t="n">
        <v>0</v>
      </c>
      <c r="K7952" t="n">
        <v>0</v>
      </c>
      <c r="L7952" t="n">
        <v>0</v>
      </c>
      <c r="M7952" t="n">
        <v>0</v>
      </c>
      <c r="N7952" t="n">
        <v>0</v>
      </c>
      <c r="O7952" t="n">
        <v>0</v>
      </c>
      <c r="P7952" t="n">
        <v>0</v>
      </c>
      <c r="Q7952" t="n">
        <v>0</v>
      </c>
      <c r="R7952" s="2" t="inlineStr"/>
    </row>
    <row r="7953" ht="15" customHeight="1">
      <c r="A7953" t="inlineStr">
        <is>
          <t>A 14552-2023</t>
        </is>
      </c>
      <c r="B7953" s="1" t="n">
        <v>45013.42783564814</v>
      </c>
      <c r="C7953" s="1" t="n">
        <v>45952</v>
      </c>
      <c r="D7953" t="inlineStr">
        <is>
          <t>VÄSTRA GÖTALANDS LÄN</t>
        </is>
      </c>
      <c r="E7953" t="inlineStr">
        <is>
          <t>SKÖVDE</t>
        </is>
      </c>
      <c r="G7953" t="n">
        <v>1.5</v>
      </c>
      <c r="H7953" t="n">
        <v>0</v>
      </c>
      <c r="I7953" t="n">
        <v>0</v>
      </c>
      <c r="J7953" t="n">
        <v>0</v>
      </c>
      <c r="K7953" t="n">
        <v>0</v>
      </c>
      <c r="L7953" t="n">
        <v>0</v>
      </c>
      <c r="M7953" t="n">
        <v>0</v>
      </c>
      <c r="N7953" t="n">
        <v>0</v>
      </c>
      <c r="O7953" t="n">
        <v>0</v>
      </c>
      <c r="P7953" t="n">
        <v>0</v>
      </c>
      <c r="Q7953" t="n">
        <v>0</v>
      </c>
      <c r="R7953" s="2" t="inlineStr"/>
    </row>
    <row r="7954" ht="15" customHeight="1">
      <c r="A7954" t="inlineStr">
        <is>
          <t>A 17469-2025</t>
        </is>
      </c>
      <c r="B7954" s="1" t="n">
        <v>45757.47178240741</v>
      </c>
      <c r="C7954" s="1" t="n">
        <v>45952</v>
      </c>
      <c r="D7954" t="inlineStr">
        <is>
          <t>VÄSTRA GÖTALANDS LÄN</t>
        </is>
      </c>
      <c r="E7954" t="inlineStr">
        <is>
          <t>LIDKÖPING</t>
        </is>
      </c>
      <c r="G7954" t="n">
        <v>1.8</v>
      </c>
      <c r="H7954" t="n">
        <v>0</v>
      </c>
      <c r="I7954" t="n">
        <v>0</v>
      </c>
      <c r="J7954" t="n">
        <v>0</v>
      </c>
      <c r="K7954" t="n">
        <v>0</v>
      </c>
      <c r="L7954" t="n">
        <v>0</v>
      </c>
      <c r="M7954" t="n">
        <v>0</v>
      </c>
      <c r="N7954" t="n">
        <v>0</v>
      </c>
      <c r="O7954" t="n">
        <v>0</v>
      </c>
      <c r="P7954" t="n">
        <v>0</v>
      </c>
      <c r="Q7954" t="n">
        <v>0</v>
      </c>
      <c r="R7954" s="2" t="inlineStr"/>
    </row>
    <row r="7955" ht="15" customHeight="1">
      <c r="A7955" t="inlineStr">
        <is>
          <t>A 20974-2023</t>
        </is>
      </c>
      <c r="B7955" s="1" t="n">
        <v>45061</v>
      </c>
      <c r="C7955" s="1" t="n">
        <v>45952</v>
      </c>
      <c r="D7955" t="inlineStr">
        <is>
          <t>VÄSTRA GÖTALANDS LÄN</t>
        </is>
      </c>
      <c r="E7955" t="inlineStr">
        <is>
          <t>TANUM</t>
        </is>
      </c>
      <c r="G7955" t="n">
        <v>1.5</v>
      </c>
      <c r="H7955" t="n">
        <v>0</v>
      </c>
      <c r="I7955" t="n">
        <v>0</v>
      </c>
      <c r="J7955" t="n">
        <v>0</v>
      </c>
      <c r="K7955" t="n">
        <v>0</v>
      </c>
      <c r="L7955" t="n">
        <v>0</v>
      </c>
      <c r="M7955" t="n">
        <v>0</v>
      </c>
      <c r="N7955" t="n">
        <v>0</v>
      </c>
      <c r="O7955" t="n">
        <v>0</v>
      </c>
      <c r="P7955" t="n">
        <v>0</v>
      </c>
      <c r="Q7955" t="n">
        <v>0</v>
      </c>
      <c r="R7955" s="2" t="inlineStr"/>
    </row>
    <row r="7956" ht="15" customHeight="1">
      <c r="A7956" t="inlineStr">
        <is>
          <t>A 29801-2022</t>
        </is>
      </c>
      <c r="B7956" s="1" t="n">
        <v>44755.70518518519</v>
      </c>
      <c r="C7956" s="1" t="n">
        <v>45952</v>
      </c>
      <c r="D7956" t="inlineStr">
        <is>
          <t>VÄSTRA GÖTALANDS LÄN</t>
        </is>
      </c>
      <c r="E7956" t="inlineStr">
        <is>
          <t>KUNGÄLV</t>
        </is>
      </c>
      <c r="G7956" t="n">
        <v>4.8</v>
      </c>
      <c r="H7956" t="n">
        <v>0</v>
      </c>
      <c r="I7956" t="n">
        <v>0</v>
      </c>
      <c r="J7956" t="n">
        <v>0</v>
      </c>
      <c r="K7956" t="n">
        <v>0</v>
      </c>
      <c r="L7956" t="n">
        <v>0</v>
      </c>
      <c r="M7956" t="n">
        <v>0</v>
      </c>
      <c r="N7956" t="n">
        <v>0</v>
      </c>
      <c r="O7956" t="n">
        <v>0</v>
      </c>
      <c r="P7956" t="n">
        <v>0</v>
      </c>
      <c r="Q7956" t="n">
        <v>0</v>
      </c>
      <c r="R7956" s="2" t="inlineStr"/>
    </row>
    <row r="7957" ht="15" customHeight="1">
      <c r="A7957" t="inlineStr">
        <is>
          <t>A 13450-2022</t>
        </is>
      </c>
      <c r="B7957" s="1" t="n">
        <v>44645.63090277778</v>
      </c>
      <c r="C7957" s="1" t="n">
        <v>45952</v>
      </c>
      <c r="D7957" t="inlineStr">
        <is>
          <t>VÄSTRA GÖTALANDS LÄN</t>
        </is>
      </c>
      <c r="E7957" t="inlineStr">
        <is>
          <t>FALKÖPING</t>
        </is>
      </c>
      <c r="G7957" t="n">
        <v>2.5</v>
      </c>
      <c r="H7957" t="n">
        <v>0</v>
      </c>
      <c r="I7957" t="n">
        <v>0</v>
      </c>
      <c r="J7957" t="n">
        <v>0</v>
      </c>
      <c r="K7957" t="n">
        <v>0</v>
      </c>
      <c r="L7957" t="n">
        <v>0</v>
      </c>
      <c r="M7957" t="n">
        <v>0</v>
      </c>
      <c r="N7957" t="n">
        <v>0</v>
      </c>
      <c r="O7957" t="n">
        <v>0</v>
      </c>
      <c r="P7957" t="n">
        <v>0</v>
      </c>
      <c r="Q7957" t="n">
        <v>0</v>
      </c>
      <c r="R7957" s="2" t="inlineStr"/>
    </row>
    <row r="7958" ht="15" customHeight="1">
      <c r="A7958" t="inlineStr">
        <is>
          <t>A 64639-2023</t>
        </is>
      </c>
      <c r="B7958" s="1" t="n">
        <v>45281.55422453704</v>
      </c>
      <c r="C7958" s="1" t="n">
        <v>45952</v>
      </c>
      <c r="D7958" t="inlineStr">
        <is>
          <t>VÄSTRA GÖTALANDS LÄN</t>
        </is>
      </c>
      <c r="E7958" t="inlineStr">
        <is>
          <t>ESSUNGA</t>
        </is>
      </c>
      <c r="G7958" t="n">
        <v>1.7</v>
      </c>
      <c r="H7958" t="n">
        <v>0</v>
      </c>
      <c r="I7958" t="n">
        <v>0</v>
      </c>
      <c r="J7958" t="n">
        <v>0</v>
      </c>
      <c r="K7958" t="n">
        <v>0</v>
      </c>
      <c r="L7958" t="n">
        <v>0</v>
      </c>
      <c r="M7958" t="n">
        <v>0</v>
      </c>
      <c r="N7958" t="n">
        <v>0</v>
      </c>
      <c r="O7958" t="n">
        <v>0</v>
      </c>
      <c r="P7958" t="n">
        <v>0</v>
      </c>
      <c r="Q7958" t="n">
        <v>0</v>
      </c>
      <c r="R7958" s="2" t="inlineStr"/>
    </row>
    <row r="7959" ht="15" customHeight="1">
      <c r="A7959" t="inlineStr">
        <is>
          <t>A 3948-2024</t>
        </is>
      </c>
      <c r="B7959" s="1" t="n">
        <v>45322</v>
      </c>
      <c r="C7959" s="1" t="n">
        <v>45952</v>
      </c>
      <c r="D7959" t="inlineStr">
        <is>
          <t>VÄSTRA GÖTALANDS LÄN</t>
        </is>
      </c>
      <c r="E7959" t="inlineStr">
        <is>
          <t>SKÖVDE</t>
        </is>
      </c>
      <c r="G7959" t="n">
        <v>6.6</v>
      </c>
      <c r="H7959" t="n">
        <v>0</v>
      </c>
      <c r="I7959" t="n">
        <v>0</v>
      </c>
      <c r="J7959" t="n">
        <v>0</v>
      </c>
      <c r="K7959" t="n">
        <v>0</v>
      </c>
      <c r="L7959" t="n">
        <v>0</v>
      </c>
      <c r="M7959" t="n">
        <v>0</v>
      </c>
      <c r="N7959" t="n">
        <v>0</v>
      </c>
      <c r="O7959" t="n">
        <v>0</v>
      </c>
      <c r="P7959" t="n">
        <v>0</v>
      </c>
      <c r="Q7959" t="n">
        <v>0</v>
      </c>
      <c r="R7959" s="2" t="inlineStr"/>
    </row>
    <row r="7960" ht="15" customHeight="1">
      <c r="A7960" t="inlineStr">
        <is>
          <t>A 15648-2025</t>
        </is>
      </c>
      <c r="B7960" s="1" t="n">
        <v>45748.39800925926</v>
      </c>
      <c r="C7960" s="1" t="n">
        <v>45952</v>
      </c>
      <c r="D7960" t="inlineStr">
        <is>
          <t>VÄSTRA GÖTALANDS LÄN</t>
        </is>
      </c>
      <c r="E7960" t="inlineStr">
        <is>
          <t>TROLLHÄTTAN</t>
        </is>
      </c>
      <c r="G7960" t="n">
        <v>2.2</v>
      </c>
      <c r="H7960" t="n">
        <v>0</v>
      </c>
      <c r="I7960" t="n">
        <v>0</v>
      </c>
      <c r="J7960" t="n">
        <v>0</v>
      </c>
      <c r="K7960" t="n">
        <v>0</v>
      </c>
      <c r="L7960" t="n">
        <v>0</v>
      </c>
      <c r="M7960" t="n">
        <v>0</v>
      </c>
      <c r="N7960" t="n">
        <v>0</v>
      </c>
      <c r="O7960" t="n">
        <v>0</v>
      </c>
      <c r="P7960" t="n">
        <v>0</v>
      </c>
      <c r="Q7960" t="n">
        <v>0</v>
      </c>
      <c r="R7960" s="2" t="inlineStr"/>
    </row>
    <row r="7961" ht="15" customHeight="1">
      <c r="A7961" t="inlineStr">
        <is>
          <t>A 11089-2023</t>
        </is>
      </c>
      <c r="B7961" s="1" t="n">
        <v>44986</v>
      </c>
      <c r="C7961" s="1" t="n">
        <v>45952</v>
      </c>
      <c r="D7961" t="inlineStr">
        <is>
          <t>VÄSTRA GÖTALANDS LÄN</t>
        </is>
      </c>
      <c r="E7961" t="inlineStr">
        <is>
          <t>MARIESTAD</t>
        </is>
      </c>
      <c r="G7961" t="n">
        <v>1.1</v>
      </c>
      <c r="H7961" t="n">
        <v>0</v>
      </c>
      <c r="I7961" t="n">
        <v>0</v>
      </c>
      <c r="J7961" t="n">
        <v>0</v>
      </c>
      <c r="K7961" t="n">
        <v>0</v>
      </c>
      <c r="L7961" t="n">
        <v>0</v>
      </c>
      <c r="M7961" t="n">
        <v>0</v>
      </c>
      <c r="N7961" t="n">
        <v>0</v>
      </c>
      <c r="O7961" t="n">
        <v>0</v>
      </c>
      <c r="P7961" t="n">
        <v>0</v>
      </c>
      <c r="Q7961" t="n">
        <v>0</v>
      </c>
      <c r="R7961" s="2" t="inlineStr"/>
    </row>
    <row r="7962" ht="15" customHeight="1">
      <c r="A7962" t="inlineStr">
        <is>
          <t>A 16344-2024</t>
        </is>
      </c>
      <c r="B7962" s="1" t="n">
        <v>45407.5666550926</v>
      </c>
      <c r="C7962" s="1" t="n">
        <v>45952</v>
      </c>
      <c r="D7962" t="inlineStr">
        <is>
          <t>VÄSTRA GÖTALANDS LÄN</t>
        </is>
      </c>
      <c r="E7962" t="inlineStr">
        <is>
          <t>SVENLJUNGA</t>
        </is>
      </c>
      <c r="G7962" t="n">
        <v>3.5</v>
      </c>
      <c r="H7962" t="n">
        <v>0</v>
      </c>
      <c r="I7962" t="n">
        <v>0</v>
      </c>
      <c r="J7962" t="n">
        <v>0</v>
      </c>
      <c r="K7962" t="n">
        <v>0</v>
      </c>
      <c r="L7962" t="n">
        <v>0</v>
      </c>
      <c r="M7962" t="n">
        <v>0</v>
      </c>
      <c r="N7962" t="n">
        <v>0</v>
      </c>
      <c r="O7962" t="n">
        <v>0</v>
      </c>
      <c r="P7962" t="n">
        <v>0</v>
      </c>
      <c r="Q7962" t="n">
        <v>0</v>
      </c>
      <c r="R7962" s="2" t="inlineStr"/>
    </row>
    <row r="7963" ht="15" customHeight="1">
      <c r="A7963" t="inlineStr">
        <is>
          <t>A 16363-2024</t>
        </is>
      </c>
      <c r="B7963" s="1" t="n">
        <v>45407.59325231481</v>
      </c>
      <c r="C7963" s="1" t="n">
        <v>45952</v>
      </c>
      <c r="D7963" t="inlineStr">
        <is>
          <t>VÄSTRA GÖTALANDS LÄN</t>
        </is>
      </c>
      <c r="E7963" t="inlineStr">
        <is>
          <t>STRÖMSTAD</t>
        </is>
      </c>
      <c r="G7963" t="n">
        <v>2.9</v>
      </c>
      <c r="H7963" t="n">
        <v>0</v>
      </c>
      <c r="I7963" t="n">
        <v>0</v>
      </c>
      <c r="J7963" t="n">
        <v>0</v>
      </c>
      <c r="K7963" t="n">
        <v>0</v>
      </c>
      <c r="L7963" t="n">
        <v>0</v>
      </c>
      <c r="M7963" t="n">
        <v>0</v>
      </c>
      <c r="N7963" t="n">
        <v>0</v>
      </c>
      <c r="O7963" t="n">
        <v>0</v>
      </c>
      <c r="P7963" t="n">
        <v>0</v>
      </c>
      <c r="Q7963" t="n">
        <v>0</v>
      </c>
      <c r="R7963" s="2" t="inlineStr"/>
    </row>
    <row r="7964" ht="15" customHeight="1">
      <c r="A7964" t="inlineStr">
        <is>
          <t>A 13381-2023</t>
        </is>
      </c>
      <c r="B7964" s="1" t="n">
        <v>45005</v>
      </c>
      <c r="C7964" s="1" t="n">
        <v>45952</v>
      </c>
      <c r="D7964" t="inlineStr">
        <is>
          <t>VÄSTRA GÖTALANDS LÄN</t>
        </is>
      </c>
      <c r="E7964" t="inlineStr">
        <is>
          <t>UDDEVALLA</t>
        </is>
      </c>
      <c r="G7964" t="n">
        <v>1</v>
      </c>
      <c r="H7964" t="n">
        <v>0</v>
      </c>
      <c r="I7964" t="n">
        <v>0</v>
      </c>
      <c r="J7964" t="n">
        <v>0</v>
      </c>
      <c r="K7964" t="n">
        <v>0</v>
      </c>
      <c r="L7964" t="n">
        <v>0</v>
      </c>
      <c r="M7964" t="n">
        <v>0</v>
      </c>
      <c r="N7964" t="n">
        <v>0</v>
      </c>
      <c r="O7964" t="n">
        <v>0</v>
      </c>
      <c r="P7964" t="n">
        <v>0</v>
      </c>
      <c r="Q7964" t="n">
        <v>0</v>
      </c>
      <c r="R7964" s="2" t="inlineStr"/>
    </row>
    <row r="7965" ht="15" customHeight="1">
      <c r="A7965" t="inlineStr">
        <is>
          <t>A 16424-2024</t>
        </is>
      </c>
      <c r="B7965" s="1" t="n">
        <v>45407.66299768518</v>
      </c>
      <c r="C7965" s="1" t="n">
        <v>45952</v>
      </c>
      <c r="D7965" t="inlineStr">
        <is>
          <t>VÄSTRA GÖTALANDS LÄN</t>
        </is>
      </c>
      <c r="E7965" t="inlineStr">
        <is>
          <t>FÄRGELANDA</t>
        </is>
      </c>
      <c r="G7965" t="n">
        <v>9.800000000000001</v>
      </c>
      <c r="H7965" t="n">
        <v>0</v>
      </c>
      <c r="I7965" t="n">
        <v>0</v>
      </c>
      <c r="J7965" t="n">
        <v>0</v>
      </c>
      <c r="K7965" t="n">
        <v>0</v>
      </c>
      <c r="L7965" t="n">
        <v>0</v>
      </c>
      <c r="M7965" t="n">
        <v>0</v>
      </c>
      <c r="N7965" t="n">
        <v>0</v>
      </c>
      <c r="O7965" t="n">
        <v>0</v>
      </c>
      <c r="P7965" t="n">
        <v>0</v>
      </c>
      <c r="Q7965" t="n">
        <v>0</v>
      </c>
      <c r="R7965" s="2" t="inlineStr"/>
    </row>
    <row r="7966" ht="15" customHeight="1">
      <c r="A7966" t="inlineStr">
        <is>
          <t>A 12466-2025</t>
        </is>
      </c>
      <c r="B7966" s="1" t="n">
        <v>45730</v>
      </c>
      <c r="C7966" s="1" t="n">
        <v>45952</v>
      </c>
      <c r="D7966" t="inlineStr">
        <is>
          <t>VÄSTRA GÖTALANDS LÄN</t>
        </is>
      </c>
      <c r="E7966" t="inlineStr">
        <is>
          <t>TRANEMO</t>
        </is>
      </c>
      <c r="G7966" t="n">
        <v>2.4</v>
      </c>
      <c r="H7966" t="n">
        <v>0</v>
      </c>
      <c r="I7966" t="n">
        <v>0</v>
      </c>
      <c r="J7966" t="n">
        <v>0</v>
      </c>
      <c r="K7966" t="n">
        <v>0</v>
      </c>
      <c r="L7966" t="n">
        <v>0</v>
      </c>
      <c r="M7966" t="n">
        <v>0</v>
      </c>
      <c r="N7966" t="n">
        <v>0</v>
      </c>
      <c r="O7966" t="n">
        <v>0</v>
      </c>
      <c r="P7966" t="n">
        <v>0</v>
      </c>
      <c r="Q7966" t="n">
        <v>0</v>
      </c>
      <c r="R7966" s="2" t="inlineStr"/>
    </row>
    <row r="7967" ht="15" customHeight="1">
      <c r="A7967" t="inlineStr">
        <is>
          <t>A 507-2025</t>
        </is>
      </c>
      <c r="B7967" s="1" t="n">
        <v>45664.47</v>
      </c>
      <c r="C7967" s="1" t="n">
        <v>45952</v>
      </c>
      <c r="D7967" t="inlineStr">
        <is>
          <t>VÄSTRA GÖTALANDS LÄN</t>
        </is>
      </c>
      <c r="E7967" t="inlineStr">
        <is>
          <t>MELLERUD</t>
        </is>
      </c>
      <c r="G7967" t="n">
        <v>5.4</v>
      </c>
      <c r="H7967" t="n">
        <v>0</v>
      </c>
      <c r="I7967" t="n">
        <v>0</v>
      </c>
      <c r="J7967" t="n">
        <v>0</v>
      </c>
      <c r="K7967" t="n">
        <v>0</v>
      </c>
      <c r="L7967" t="n">
        <v>0</v>
      </c>
      <c r="M7967" t="n">
        <v>0</v>
      </c>
      <c r="N7967" t="n">
        <v>0</v>
      </c>
      <c r="O7967" t="n">
        <v>0</v>
      </c>
      <c r="P7967" t="n">
        <v>0</v>
      </c>
      <c r="Q7967" t="n">
        <v>0</v>
      </c>
      <c r="R7967" s="2" t="inlineStr"/>
    </row>
    <row r="7968" ht="15" customHeight="1">
      <c r="A7968" t="inlineStr">
        <is>
          <t>A 38601-2025</t>
        </is>
      </c>
      <c r="B7968" s="1" t="n">
        <v>45884.50131944445</v>
      </c>
      <c r="C7968" s="1" t="n">
        <v>45952</v>
      </c>
      <c r="D7968" t="inlineStr">
        <is>
          <t>VÄSTRA GÖTALANDS LÄN</t>
        </is>
      </c>
      <c r="E7968" t="inlineStr">
        <is>
          <t>DALS-ED</t>
        </is>
      </c>
      <c r="G7968" t="n">
        <v>1.2</v>
      </c>
      <c r="H7968" t="n">
        <v>0</v>
      </c>
      <c r="I7968" t="n">
        <v>0</v>
      </c>
      <c r="J7968" t="n">
        <v>0</v>
      </c>
      <c r="K7968" t="n">
        <v>0</v>
      </c>
      <c r="L7968" t="n">
        <v>0</v>
      </c>
      <c r="M7968" t="n">
        <v>0</v>
      </c>
      <c r="N7968" t="n">
        <v>0</v>
      </c>
      <c r="O7968" t="n">
        <v>0</v>
      </c>
      <c r="P7968" t="n">
        <v>0</v>
      </c>
      <c r="Q7968" t="n">
        <v>0</v>
      </c>
      <c r="R7968" s="2" t="inlineStr"/>
    </row>
    <row r="7969" ht="15" customHeight="1">
      <c r="A7969" t="inlineStr">
        <is>
          <t>A 21678-2025</t>
        </is>
      </c>
      <c r="B7969" s="1" t="n">
        <v>45783.48696759259</v>
      </c>
      <c r="C7969" s="1" t="n">
        <v>45952</v>
      </c>
      <c r="D7969" t="inlineStr">
        <is>
          <t>VÄSTRA GÖTALANDS LÄN</t>
        </is>
      </c>
      <c r="E7969" t="inlineStr">
        <is>
          <t>MELLERUD</t>
        </is>
      </c>
      <c r="G7969" t="n">
        <v>1.6</v>
      </c>
      <c r="H7969" t="n">
        <v>0</v>
      </c>
      <c r="I7969" t="n">
        <v>0</v>
      </c>
      <c r="J7969" t="n">
        <v>0</v>
      </c>
      <c r="K7969" t="n">
        <v>0</v>
      </c>
      <c r="L7969" t="n">
        <v>0</v>
      </c>
      <c r="M7969" t="n">
        <v>0</v>
      </c>
      <c r="N7969" t="n">
        <v>0</v>
      </c>
      <c r="O7969" t="n">
        <v>0</v>
      </c>
      <c r="P7969" t="n">
        <v>0</v>
      </c>
      <c r="Q7969" t="n">
        <v>0</v>
      </c>
      <c r="R7969" s="2" t="inlineStr"/>
    </row>
    <row r="7970" ht="15" customHeight="1">
      <c r="A7970" t="inlineStr">
        <is>
          <t>A 21739-2025</t>
        </is>
      </c>
      <c r="B7970" s="1" t="n">
        <v>45783.59233796296</v>
      </c>
      <c r="C7970" s="1" t="n">
        <v>45952</v>
      </c>
      <c r="D7970" t="inlineStr">
        <is>
          <t>VÄSTRA GÖTALANDS LÄN</t>
        </is>
      </c>
      <c r="E7970" t="inlineStr">
        <is>
          <t>MARIESTAD</t>
        </is>
      </c>
      <c r="F7970" t="inlineStr">
        <is>
          <t>Sveaskog</t>
        </is>
      </c>
      <c r="G7970" t="n">
        <v>0.8</v>
      </c>
      <c r="H7970" t="n">
        <v>0</v>
      </c>
      <c r="I7970" t="n">
        <v>0</v>
      </c>
      <c r="J7970" t="n">
        <v>0</v>
      </c>
      <c r="K7970" t="n">
        <v>0</v>
      </c>
      <c r="L7970" t="n">
        <v>0</v>
      </c>
      <c r="M7970" t="n">
        <v>0</v>
      </c>
      <c r="N7970" t="n">
        <v>0</v>
      </c>
      <c r="O7970" t="n">
        <v>0</v>
      </c>
      <c r="P7970" t="n">
        <v>0</v>
      </c>
      <c r="Q7970" t="n">
        <v>0</v>
      </c>
      <c r="R7970" s="2" t="inlineStr"/>
    </row>
    <row r="7971" ht="15" customHeight="1">
      <c r="A7971" t="inlineStr">
        <is>
          <t>A 21740-2025</t>
        </is>
      </c>
      <c r="B7971" s="1" t="n">
        <v>45783.59347222222</v>
      </c>
      <c r="C7971" s="1" t="n">
        <v>45952</v>
      </c>
      <c r="D7971" t="inlineStr">
        <is>
          <t>VÄSTRA GÖTALANDS LÄN</t>
        </is>
      </c>
      <c r="E7971" t="inlineStr">
        <is>
          <t>MARIESTAD</t>
        </is>
      </c>
      <c r="F7971" t="inlineStr">
        <is>
          <t>Sveaskog</t>
        </is>
      </c>
      <c r="G7971" t="n">
        <v>0.9</v>
      </c>
      <c r="H7971" t="n">
        <v>0</v>
      </c>
      <c r="I7971" t="n">
        <v>0</v>
      </c>
      <c r="J7971" t="n">
        <v>0</v>
      </c>
      <c r="K7971" t="n">
        <v>0</v>
      </c>
      <c r="L7971" t="n">
        <v>0</v>
      </c>
      <c r="M7971" t="n">
        <v>0</v>
      </c>
      <c r="N7971" t="n">
        <v>0</v>
      </c>
      <c r="O7971" t="n">
        <v>0</v>
      </c>
      <c r="P7971" t="n">
        <v>0</v>
      </c>
      <c r="Q7971" t="n">
        <v>0</v>
      </c>
      <c r="R7971" s="2" t="inlineStr"/>
    </row>
    <row r="7972" ht="15" customHeight="1">
      <c r="A7972" t="inlineStr">
        <is>
          <t>A 21573-2025</t>
        </is>
      </c>
      <c r="B7972" s="1" t="n">
        <v>45782.82457175926</v>
      </c>
      <c r="C7972" s="1" t="n">
        <v>45952</v>
      </c>
      <c r="D7972" t="inlineStr">
        <is>
          <t>VÄSTRA GÖTALANDS LÄN</t>
        </is>
      </c>
      <c r="E7972" t="inlineStr">
        <is>
          <t>BOLLEBYGD</t>
        </is>
      </c>
      <c r="G7972" t="n">
        <v>1.3</v>
      </c>
      <c r="H7972" t="n">
        <v>0</v>
      </c>
      <c r="I7972" t="n">
        <v>0</v>
      </c>
      <c r="J7972" t="n">
        <v>0</v>
      </c>
      <c r="K7972" t="n">
        <v>0</v>
      </c>
      <c r="L7972" t="n">
        <v>0</v>
      </c>
      <c r="M7972" t="n">
        <v>0</v>
      </c>
      <c r="N7972" t="n">
        <v>0</v>
      </c>
      <c r="O7972" t="n">
        <v>0</v>
      </c>
      <c r="P7972" t="n">
        <v>0</v>
      </c>
      <c r="Q7972" t="n">
        <v>0</v>
      </c>
      <c r="R7972" s="2" t="inlineStr"/>
    </row>
    <row r="7973" ht="15" customHeight="1">
      <c r="A7973" t="inlineStr">
        <is>
          <t>A 3021-2024</t>
        </is>
      </c>
      <c r="B7973" s="1" t="n">
        <v>45316.24631944444</v>
      </c>
      <c r="C7973" s="1" t="n">
        <v>45952</v>
      </c>
      <c r="D7973" t="inlineStr">
        <is>
          <t>VÄSTRA GÖTALANDS LÄN</t>
        </is>
      </c>
      <c r="E7973" t="inlineStr">
        <is>
          <t>BORÅS</t>
        </is>
      </c>
      <c r="G7973" t="n">
        <v>1.4</v>
      </c>
      <c r="H7973" t="n">
        <v>0</v>
      </c>
      <c r="I7973" t="n">
        <v>0</v>
      </c>
      <c r="J7973" t="n">
        <v>0</v>
      </c>
      <c r="K7973" t="n">
        <v>0</v>
      </c>
      <c r="L7973" t="n">
        <v>0</v>
      </c>
      <c r="M7973" t="n">
        <v>0</v>
      </c>
      <c r="N7973" t="n">
        <v>0</v>
      </c>
      <c r="O7973" t="n">
        <v>0</v>
      </c>
      <c r="P7973" t="n">
        <v>0</v>
      </c>
      <c r="Q7973" t="n">
        <v>0</v>
      </c>
      <c r="R7973" s="2" t="inlineStr"/>
    </row>
    <row r="7974" ht="15" customHeight="1">
      <c r="A7974" t="inlineStr">
        <is>
          <t>A 3095-2024</t>
        </is>
      </c>
      <c r="B7974" s="1" t="n">
        <v>45316</v>
      </c>
      <c r="C7974" s="1" t="n">
        <v>45952</v>
      </c>
      <c r="D7974" t="inlineStr">
        <is>
          <t>VÄSTRA GÖTALANDS LÄN</t>
        </is>
      </c>
      <c r="E7974" t="inlineStr">
        <is>
          <t>BORÅS</t>
        </is>
      </c>
      <c r="G7974" t="n">
        <v>6.3</v>
      </c>
      <c r="H7974" t="n">
        <v>0</v>
      </c>
      <c r="I7974" t="n">
        <v>0</v>
      </c>
      <c r="J7974" t="n">
        <v>0</v>
      </c>
      <c r="K7974" t="n">
        <v>0</v>
      </c>
      <c r="L7974" t="n">
        <v>0</v>
      </c>
      <c r="M7974" t="n">
        <v>0</v>
      </c>
      <c r="N7974" t="n">
        <v>0</v>
      </c>
      <c r="O7974" t="n">
        <v>0</v>
      </c>
      <c r="P7974" t="n">
        <v>0</v>
      </c>
      <c r="Q7974" t="n">
        <v>0</v>
      </c>
      <c r="R7974" s="2" t="inlineStr"/>
    </row>
    <row r="7975" ht="15" customHeight="1">
      <c r="A7975" t="inlineStr">
        <is>
          <t>A 21575-2025</t>
        </is>
      </c>
      <c r="B7975" s="1" t="n">
        <v>45782.8308912037</v>
      </c>
      <c r="C7975" s="1" t="n">
        <v>45952</v>
      </c>
      <c r="D7975" t="inlineStr">
        <is>
          <t>VÄSTRA GÖTALANDS LÄN</t>
        </is>
      </c>
      <c r="E7975" t="inlineStr">
        <is>
          <t>BOLLEBYGD</t>
        </is>
      </c>
      <c r="G7975" t="n">
        <v>1.7</v>
      </c>
      <c r="H7975" t="n">
        <v>0</v>
      </c>
      <c r="I7975" t="n">
        <v>0</v>
      </c>
      <c r="J7975" t="n">
        <v>0</v>
      </c>
      <c r="K7975" t="n">
        <v>0</v>
      </c>
      <c r="L7975" t="n">
        <v>0</v>
      </c>
      <c r="M7975" t="n">
        <v>0</v>
      </c>
      <c r="N7975" t="n">
        <v>0</v>
      </c>
      <c r="O7975" t="n">
        <v>0</v>
      </c>
      <c r="P7975" t="n">
        <v>0</v>
      </c>
      <c r="Q7975" t="n">
        <v>0</v>
      </c>
      <c r="R7975" s="2" t="inlineStr"/>
    </row>
    <row r="7976" ht="15" customHeight="1">
      <c r="A7976" t="inlineStr">
        <is>
          <t>A 21388-2025</t>
        </is>
      </c>
      <c r="B7976" s="1" t="n">
        <v>45782.47429398148</v>
      </c>
      <c r="C7976" s="1" t="n">
        <v>45952</v>
      </c>
      <c r="D7976" t="inlineStr">
        <is>
          <t>VÄSTRA GÖTALANDS LÄN</t>
        </is>
      </c>
      <c r="E7976" t="inlineStr">
        <is>
          <t>BORÅS</t>
        </is>
      </c>
      <c r="G7976" t="n">
        <v>1.3</v>
      </c>
      <c r="H7976" t="n">
        <v>0</v>
      </c>
      <c r="I7976" t="n">
        <v>0</v>
      </c>
      <c r="J7976" t="n">
        <v>0</v>
      </c>
      <c r="K7976" t="n">
        <v>0</v>
      </c>
      <c r="L7976" t="n">
        <v>0</v>
      </c>
      <c r="M7976" t="n">
        <v>0</v>
      </c>
      <c r="N7976" t="n">
        <v>0</v>
      </c>
      <c r="O7976" t="n">
        <v>0</v>
      </c>
      <c r="P7976" t="n">
        <v>0</v>
      </c>
      <c r="Q7976" t="n">
        <v>0</v>
      </c>
      <c r="R7976" s="2" t="inlineStr"/>
    </row>
    <row r="7977" ht="15" customHeight="1">
      <c r="A7977" t="inlineStr">
        <is>
          <t>A 25938-2021</t>
        </is>
      </c>
      <c r="B7977" s="1" t="n">
        <v>44344</v>
      </c>
      <c r="C7977" s="1" t="n">
        <v>45952</v>
      </c>
      <c r="D7977" t="inlineStr">
        <is>
          <t>VÄSTRA GÖTALANDS LÄN</t>
        </is>
      </c>
      <c r="E7977" t="inlineStr">
        <is>
          <t>BOLLEBYGD</t>
        </is>
      </c>
      <c r="G7977" t="n">
        <v>2.1</v>
      </c>
      <c r="H7977" t="n">
        <v>0</v>
      </c>
      <c r="I7977" t="n">
        <v>0</v>
      </c>
      <c r="J7977" t="n">
        <v>0</v>
      </c>
      <c r="K7977" t="n">
        <v>0</v>
      </c>
      <c r="L7977" t="n">
        <v>0</v>
      </c>
      <c r="M7977" t="n">
        <v>0</v>
      </c>
      <c r="N7977" t="n">
        <v>0</v>
      </c>
      <c r="O7977" t="n">
        <v>0</v>
      </c>
      <c r="P7977" t="n">
        <v>0</v>
      </c>
      <c r="Q7977" t="n">
        <v>0</v>
      </c>
      <c r="R7977" s="2" t="inlineStr"/>
    </row>
    <row r="7978" ht="15" customHeight="1">
      <c r="A7978" t="inlineStr">
        <is>
          <t>A 21469-2025</t>
        </is>
      </c>
      <c r="B7978" s="1" t="n">
        <v>45782.58692129629</v>
      </c>
      <c r="C7978" s="1" t="n">
        <v>45952</v>
      </c>
      <c r="D7978" t="inlineStr">
        <is>
          <t>VÄSTRA GÖTALANDS LÄN</t>
        </is>
      </c>
      <c r="E7978" t="inlineStr">
        <is>
          <t>UDDEVALLA</t>
        </is>
      </c>
      <c r="G7978" t="n">
        <v>7.4</v>
      </c>
      <c r="H7978" t="n">
        <v>0</v>
      </c>
      <c r="I7978" t="n">
        <v>0</v>
      </c>
      <c r="J7978" t="n">
        <v>0</v>
      </c>
      <c r="K7978" t="n">
        <v>0</v>
      </c>
      <c r="L7978" t="n">
        <v>0</v>
      </c>
      <c r="M7978" t="n">
        <v>0</v>
      </c>
      <c r="N7978" t="n">
        <v>0</v>
      </c>
      <c r="O7978" t="n">
        <v>0</v>
      </c>
      <c r="P7978" t="n">
        <v>0</v>
      </c>
      <c r="Q7978" t="n">
        <v>0</v>
      </c>
      <c r="R7978" s="2" t="inlineStr"/>
    </row>
    <row r="7979" ht="15" customHeight="1">
      <c r="A7979" t="inlineStr">
        <is>
          <t>A 21470-2025</t>
        </is>
      </c>
      <c r="B7979" s="1" t="n">
        <v>45782.58934027778</v>
      </c>
      <c r="C7979" s="1" t="n">
        <v>45952</v>
      </c>
      <c r="D7979" t="inlineStr">
        <is>
          <t>VÄSTRA GÖTALANDS LÄN</t>
        </is>
      </c>
      <c r="E7979" t="inlineStr">
        <is>
          <t>UDDEVALLA</t>
        </is>
      </c>
      <c r="G7979" t="n">
        <v>11.8</v>
      </c>
      <c r="H7979" t="n">
        <v>0</v>
      </c>
      <c r="I7979" t="n">
        <v>0</v>
      </c>
      <c r="J7979" t="n">
        <v>0</v>
      </c>
      <c r="K7979" t="n">
        <v>0</v>
      </c>
      <c r="L7979" t="n">
        <v>0</v>
      </c>
      <c r="M7979" t="n">
        <v>0</v>
      </c>
      <c r="N7979" t="n">
        <v>0</v>
      </c>
      <c r="O7979" t="n">
        <v>0</v>
      </c>
      <c r="P7979" t="n">
        <v>0</v>
      </c>
      <c r="Q7979" t="n">
        <v>0</v>
      </c>
      <c r="R7979" s="2" t="inlineStr"/>
    </row>
    <row r="7980" ht="15" customHeight="1">
      <c r="A7980" t="inlineStr">
        <is>
          <t>A 21293-2025</t>
        </is>
      </c>
      <c r="B7980" s="1" t="n">
        <v>45780.44622685185</v>
      </c>
      <c r="C7980" s="1" t="n">
        <v>45952</v>
      </c>
      <c r="D7980" t="inlineStr">
        <is>
          <t>VÄSTRA GÖTALANDS LÄN</t>
        </is>
      </c>
      <c r="E7980" t="inlineStr">
        <is>
          <t>MARK</t>
        </is>
      </c>
      <c r="G7980" t="n">
        <v>5.1</v>
      </c>
      <c r="H7980" t="n">
        <v>0</v>
      </c>
      <c r="I7980" t="n">
        <v>0</v>
      </c>
      <c r="J7980" t="n">
        <v>0</v>
      </c>
      <c r="K7980" t="n">
        <v>0</v>
      </c>
      <c r="L7980" t="n">
        <v>0</v>
      </c>
      <c r="M7980" t="n">
        <v>0</v>
      </c>
      <c r="N7980" t="n">
        <v>0</v>
      </c>
      <c r="O7980" t="n">
        <v>0</v>
      </c>
      <c r="P7980" t="n">
        <v>0</v>
      </c>
      <c r="Q7980" t="n">
        <v>0</v>
      </c>
      <c r="R7980" s="2" t="inlineStr"/>
    </row>
    <row r="7981" ht="15" customHeight="1">
      <c r="A7981" t="inlineStr">
        <is>
          <t>A 21294-2025</t>
        </is>
      </c>
      <c r="B7981" s="1" t="n">
        <v>45780.4630787037</v>
      </c>
      <c r="C7981" s="1" t="n">
        <v>45952</v>
      </c>
      <c r="D7981" t="inlineStr">
        <is>
          <t>VÄSTRA GÖTALANDS LÄN</t>
        </is>
      </c>
      <c r="E7981" t="inlineStr">
        <is>
          <t>MARK</t>
        </is>
      </c>
      <c r="G7981" t="n">
        <v>6.8</v>
      </c>
      <c r="H7981" t="n">
        <v>0</v>
      </c>
      <c r="I7981" t="n">
        <v>0</v>
      </c>
      <c r="J7981" t="n">
        <v>0</v>
      </c>
      <c r="K7981" t="n">
        <v>0</v>
      </c>
      <c r="L7981" t="n">
        <v>0</v>
      </c>
      <c r="M7981" t="n">
        <v>0</v>
      </c>
      <c r="N7981" t="n">
        <v>0</v>
      </c>
      <c r="O7981" t="n">
        <v>0</v>
      </c>
      <c r="P7981" t="n">
        <v>0</v>
      </c>
      <c r="Q7981" t="n">
        <v>0</v>
      </c>
      <c r="R7981" s="2" t="inlineStr"/>
    </row>
    <row r="7982" ht="15" customHeight="1">
      <c r="A7982" t="inlineStr">
        <is>
          <t>A 21367-2025</t>
        </is>
      </c>
      <c r="B7982" s="1" t="n">
        <v>45782.44706018519</v>
      </c>
      <c r="C7982" s="1" t="n">
        <v>45952</v>
      </c>
      <c r="D7982" t="inlineStr">
        <is>
          <t>VÄSTRA GÖTALANDS LÄN</t>
        </is>
      </c>
      <c r="E7982" t="inlineStr">
        <is>
          <t>BENGTSFORS</t>
        </is>
      </c>
      <c r="G7982" t="n">
        <v>0.8</v>
      </c>
      <c r="H7982" t="n">
        <v>0</v>
      </c>
      <c r="I7982" t="n">
        <v>0</v>
      </c>
      <c r="J7982" t="n">
        <v>0</v>
      </c>
      <c r="K7982" t="n">
        <v>0</v>
      </c>
      <c r="L7982" t="n">
        <v>0</v>
      </c>
      <c r="M7982" t="n">
        <v>0</v>
      </c>
      <c r="N7982" t="n">
        <v>0</v>
      </c>
      <c r="O7982" t="n">
        <v>0</v>
      </c>
      <c r="P7982" t="n">
        <v>0</v>
      </c>
      <c r="Q7982" t="n">
        <v>0</v>
      </c>
      <c r="R7982" s="2" t="inlineStr"/>
    </row>
    <row r="7983" ht="15" customHeight="1">
      <c r="A7983" t="inlineStr">
        <is>
          <t>A 50579-2023</t>
        </is>
      </c>
      <c r="B7983" s="1" t="n">
        <v>45217</v>
      </c>
      <c r="C7983" s="1" t="n">
        <v>45952</v>
      </c>
      <c r="D7983" t="inlineStr">
        <is>
          <t>VÄSTRA GÖTALANDS LÄN</t>
        </is>
      </c>
      <c r="E7983" t="inlineStr">
        <is>
          <t>MARIESTAD</t>
        </is>
      </c>
      <c r="G7983" t="n">
        <v>8</v>
      </c>
      <c r="H7983" t="n">
        <v>0</v>
      </c>
      <c r="I7983" t="n">
        <v>0</v>
      </c>
      <c r="J7983" t="n">
        <v>0</v>
      </c>
      <c r="K7983" t="n">
        <v>0</v>
      </c>
      <c r="L7983" t="n">
        <v>0</v>
      </c>
      <c r="M7983" t="n">
        <v>0</v>
      </c>
      <c r="N7983" t="n">
        <v>0</v>
      </c>
      <c r="O7983" t="n">
        <v>0</v>
      </c>
      <c r="P7983" t="n">
        <v>0</v>
      </c>
      <c r="Q7983" t="n">
        <v>0</v>
      </c>
      <c r="R7983" s="2" t="inlineStr"/>
    </row>
    <row r="7984" ht="15" customHeight="1">
      <c r="A7984" t="inlineStr">
        <is>
          <t>A 50581-2023</t>
        </is>
      </c>
      <c r="B7984" s="1" t="n">
        <v>45217.39053240741</v>
      </c>
      <c r="C7984" s="1" t="n">
        <v>45952</v>
      </c>
      <c r="D7984" t="inlineStr">
        <is>
          <t>VÄSTRA GÖTALANDS LÄN</t>
        </is>
      </c>
      <c r="E7984" t="inlineStr">
        <is>
          <t>MARIESTAD</t>
        </is>
      </c>
      <c r="G7984" t="n">
        <v>1.6</v>
      </c>
      <c r="H7984" t="n">
        <v>0</v>
      </c>
      <c r="I7984" t="n">
        <v>0</v>
      </c>
      <c r="J7984" t="n">
        <v>0</v>
      </c>
      <c r="K7984" t="n">
        <v>0</v>
      </c>
      <c r="L7984" t="n">
        <v>0</v>
      </c>
      <c r="M7984" t="n">
        <v>0</v>
      </c>
      <c r="N7984" t="n">
        <v>0</v>
      </c>
      <c r="O7984" t="n">
        <v>0</v>
      </c>
      <c r="P7984" t="n">
        <v>0</v>
      </c>
      <c r="Q7984" t="n">
        <v>0</v>
      </c>
      <c r="R7984" s="2" t="inlineStr"/>
    </row>
    <row r="7985" ht="15" customHeight="1">
      <c r="A7985" t="inlineStr">
        <is>
          <t>A 38753-2025</t>
        </is>
      </c>
      <c r="B7985" s="1" t="n">
        <v>45887.39331018519</v>
      </c>
      <c r="C7985" s="1" t="n">
        <v>45952</v>
      </c>
      <c r="D7985" t="inlineStr">
        <is>
          <t>VÄSTRA GÖTALANDS LÄN</t>
        </is>
      </c>
      <c r="E7985" t="inlineStr">
        <is>
          <t>BORÅS</t>
        </is>
      </c>
      <c r="G7985" t="n">
        <v>4.4</v>
      </c>
      <c r="H7985" t="n">
        <v>0</v>
      </c>
      <c r="I7985" t="n">
        <v>0</v>
      </c>
      <c r="J7985" t="n">
        <v>0</v>
      </c>
      <c r="K7985" t="n">
        <v>0</v>
      </c>
      <c r="L7985" t="n">
        <v>0</v>
      </c>
      <c r="M7985" t="n">
        <v>0</v>
      </c>
      <c r="N7985" t="n">
        <v>0</v>
      </c>
      <c r="O7985" t="n">
        <v>0</v>
      </c>
      <c r="P7985" t="n">
        <v>0</v>
      </c>
      <c r="Q7985" t="n">
        <v>0</v>
      </c>
      <c r="R7985" s="2" t="inlineStr"/>
    </row>
    <row r="7986" ht="15" customHeight="1">
      <c r="A7986" t="inlineStr">
        <is>
          <t>A 71326-2021</t>
        </is>
      </c>
      <c r="B7986" s="1" t="n">
        <v>44539.75721064815</v>
      </c>
      <c r="C7986" s="1" t="n">
        <v>45952</v>
      </c>
      <c r="D7986" t="inlineStr">
        <is>
          <t>VÄSTRA GÖTALANDS LÄN</t>
        </is>
      </c>
      <c r="E7986" t="inlineStr">
        <is>
          <t>VARA</t>
        </is>
      </c>
      <c r="G7986" t="n">
        <v>4</v>
      </c>
      <c r="H7986" t="n">
        <v>0</v>
      </c>
      <c r="I7986" t="n">
        <v>0</v>
      </c>
      <c r="J7986" t="n">
        <v>0</v>
      </c>
      <c r="K7986" t="n">
        <v>0</v>
      </c>
      <c r="L7986" t="n">
        <v>0</v>
      </c>
      <c r="M7986" t="n">
        <v>0</v>
      </c>
      <c r="N7986" t="n">
        <v>0</v>
      </c>
      <c r="O7986" t="n">
        <v>0</v>
      </c>
      <c r="P7986" t="n">
        <v>0</v>
      </c>
      <c r="Q7986" t="n">
        <v>0</v>
      </c>
      <c r="R7986" s="2" t="inlineStr"/>
    </row>
    <row r="7987" ht="15" customHeight="1">
      <c r="A7987" t="inlineStr">
        <is>
          <t>A 4017-2025</t>
        </is>
      </c>
      <c r="B7987" s="1" t="n">
        <v>45684.58362268518</v>
      </c>
      <c r="C7987" s="1" t="n">
        <v>45952</v>
      </c>
      <c r="D7987" t="inlineStr">
        <is>
          <t>VÄSTRA GÖTALANDS LÄN</t>
        </is>
      </c>
      <c r="E7987" t="inlineStr">
        <is>
          <t>MARIESTAD</t>
        </is>
      </c>
      <c r="F7987" t="inlineStr">
        <is>
          <t>Kyrkan</t>
        </is>
      </c>
      <c r="G7987" t="n">
        <v>2.2</v>
      </c>
      <c r="H7987" t="n">
        <v>0</v>
      </c>
      <c r="I7987" t="n">
        <v>0</v>
      </c>
      <c r="J7987" t="n">
        <v>0</v>
      </c>
      <c r="K7987" t="n">
        <v>0</v>
      </c>
      <c r="L7987" t="n">
        <v>0</v>
      </c>
      <c r="M7987" t="n">
        <v>0</v>
      </c>
      <c r="N7987" t="n">
        <v>0</v>
      </c>
      <c r="O7987" t="n">
        <v>0</v>
      </c>
      <c r="P7987" t="n">
        <v>0</v>
      </c>
      <c r="Q7987" t="n">
        <v>0</v>
      </c>
      <c r="R7987" s="2" t="inlineStr"/>
    </row>
    <row r="7988" ht="15" customHeight="1">
      <c r="A7988" t="inlineStr">
        <is>
          <t>A 51564-2023</t>
        </is>
      </c>
      <c r="B7988" s="1" t="n">
        <v>45222</v>
      </c>
      <c r="C7988" s="1" t="n">
        <v>45952</v>
      </c>
      <c r="D7988" t="inlineStr">
        <is>
          <t>VÄSTRA GÖTALANDS LÄN</t>
        </is>
      </c>
      <c r="E7988" t="inlineStr">
        <is>
          <t>ALE</t>
        </is>
      </c>
      <c r="G7988" t="n">
        <v>1.5</v>
      </c>
      <c r="H7988" t="n">
        <v>0</v>
      </c>
      <c r="I7988" t="n">
        <v>0</v>
      </c>
      <c r="J7988" t="n">
        <v>0</v>
      </c>
      <c r="K7988" t="n">
        <v>0</v>
      </c>
      <c r="L7988" t="n">
        <v>0</v>
      </c>
      <c r="M7988" t="n">
        <v>0</v>
      </c>
      <c r="N7988" t="n">
        <v>0</v>
      </c>
      <c r="O7988" t="n">
        <v>0</v>
      </c>
      <c r="P7988" t="n">
        <v>0</v>
      </c>
      <c r="Q7988" t="n">
        <v>0</v>
      </c>
      <c r="R7988" s="2" t="inlineStr"/>
    </row>
    <row r="7989" ht="15" customHeight="1">
      <c r="A7989" t="inlineStr">
        <is>
          <t>A 51612-2023</t>
        </is>
      </c>
      <c r="B7989" s="1" t="n">
        <v>45222.51053240741</v>
      </c>
      <c r="C7989" s="1" t="n">
        <v>45952</v>
      </c>
      <c r="D7989" t="inlineStr">
        <is>
          <t>VÄSTRA GÖTALANDS LÄN</t>
        </is>
      </c>
      <c r="E7989" t="inlineStr">
        <is>
          <t>TRANEMO</t>
        </is>
      </c>
      <c r="G7989" t="n">
        <v>0.8</v>
      </c>
      <c r="H7989" t="n">
        <v>0</v>
      </c>
      <c r="I7989" t="n">
        <v>0</v>
      </c>
      <c r="J7989" t="n">
        <v>0</v>
      </c>
      <c r="K7989" t="n">
        <v>0</v>
      </c>
      <c r="L7989" t="n">
        <v>0</v>
      </c>
      <c r="M7989" t="n">
        <v>0</v>
      </c>
      <c r="N7989" t="n">
        <v>0</v>
      </c>
      <c r="O7989" t="n">
        <v>0</v>
      </c>
      <c r="P7989" t="n">
        <v>0</v>
      </c>
      <c r="Q7989" t="n">
        <v>0</v>
      </c>
      <c r="R7989" s="2" t="inlineStr"/>
    </row>
    <row r="7990" ht="15" customHeight="1">
      <c r="A7990" t="inlineStr">
        <is>
          <t>A 2280-2025</t>
        </is>
      </c>
      <c r="B7990" s="1" t="n">
        <v>45673</v>
      </c>
      <c r="C7990" s="1" t="n">
        <v>45952</v>
      </c>
      <c r="D7990" t="inlineStr">
        <is>
          <t>VÄSTRA GÖTALANDS LÄN</t>
        </is>
      </c>
      <c r="E7990" t="inlineStr">
        <is>
          <t>MARIESTAD</t>
        </is>
      </c>
      <c r="G7990" t="n">
        <v>1.3</v>
      </c>
      <c r="H7990" t="n">
        <v>0</v>
      </c>
      <c r="I7990" t="n">
        <v>0</v>
      </c>
      <c r="J7990" t="n">
        <v>0</v>
      </c>
      <c r="K7990" t="n">
        <v>0</v>
      </c>
      <c r="L7990" t="n">
        <v>0</v>
      </c>
      <c r="M7990" t="n">
        <v>0</v>
      </c>
      <c r="N7990" t="n">
        <v>0</v>
      </c>
      <c r="O7990" t="n">
        <v>0</v>
      </c>
      <c r="P7990" t="n">
        <v>0</v>
      </c>
      <c r="Q7990" t="n">
        <v>0</v>
      </c>
      <c r="R7990" s="2" t="inlineStr"/>
    </row>
    <row r="7991" ht="15" customHeight="1">
      <c r="A7991" t="inlineStr">
        <is>
          <t>A 3881-2024</t>
        </is>
      </c>
      <c r="B7991" s="1" t="n">
        <v>45322</v>
      </c>
      <c r="C7991" s="1" t="n">
        <v>45952</v>
      </c>
      <c r="D7991" t="inlineStr">
        <is>
          <t>VÄSTRA GÖTALANDS LÄN</t>
        </is>
      </c>
      <c r="E7991" t="inlineStr">
        <is>
          <t>SVENLJUNGA</t>
        </is>
      </c>
      <c r="G7991" t="n">
        <v>6.2</v>
      </c>
      <c r="H7991" t="n">
        <v>0</v>
      </c>
      <c r="I7991" t="n">
        <v>0</v>
      </c>
      <c r="J7991" t="n">
        <v>0</v>
      </c>
      <c r="K7991" t="n">
        <v>0</v>
      </c>
      <c r="L7991" t="n">
        <v>0</v>
      </c>
      <c r="M7991" t="n">
        <v>0</v>
      </c>
      <c r="N7991" t="n">
        <v>0</v>
      </c>
      <c r="O7991" t="n">
        <v>0</v>
      </c>
      <c r="P7991" t="n">
        <v>0</v>
      </c>
      <c r="Q7991" t="n">
        <v>0</v>
      </c>
      <c r="R7991" s="2" t="inlineStr"/>
    </row>
    <row r="7992" ht="15" customHeight="1">
      <c r="A7992" t="inlineStr">
        <is>
          <t>A 47980-2023</t>
        </is>
      </c>
      <c r="B7992" s="1" t="n">
        <v>45204</v>
      </c>
      <c r="C7992" s="1" t="n">
        <v>45952</v>
      </c>
      <c r="D7992" t="inlineStr">
        <is>
          <t>VÄSTRA GÖTALANDS LÄN</t>
        </is>
      </c>
      <c r="E7992" t="inlineStr">
        <is>
          <t>BOLLEBYGD</t>
        </is>
      </c>
      <c r="G7992" t="n">
        <v>4.4</v>
      </c>
      <c r="H7992" t="n">
        <v>0</v>
      </c>
      <c r="I7992" t="n">
        <v>0</v>
      </c>
      <c r="J7992" t="n">
        <v>0</v>
      </c>
      <c r="K7992" t="n">
        <v>0</v>
      </c>
      <c r="L7992" t="n">
        <v>0</v>
      </c>
      <c r="M7992" t="n">
        <v>0</v>
      </c>
      <c r="N7992" t="n">
        <v>0</v>
      </c>
      <c r="O7992" t="n">
        <v>0</v>
      </c>
      <c r="P7992" t="n">
        <v>0</v>
      </c>
      <c r="Q7992" t="n">
        <v>0</v>
      </c>
      <c r="R7992" s="2" t="inlineStr"/>
    </row>
    <row r="7993" ht="15" customHeight="1">
      <c r="A7993" t="inlineStr">
        <is>
          <t>A 21342-2025</t>
        </is>
      </c>
      <c r="B7993" s="1" t="n">
        <v>45782.39655092593</v>
      </c>
      <c r="C7993" s="1" t="n">
        <v>45952</v>
      </c>
      <c r="D7993" t="inlineStr">
        <is>
          <t>VÄSTRA GÖTALANDS LÄN</t>
        </is>
      </c>
      <c r="E7993" t="inlineStr">
        <is>
          <t>ULRICEHAMN</t>
        </is>
      </c>
      <c r="G7993" t="n">
        <v>2.4</v>
      </c>
      <c r="H7993" t="n">
        <v>0</v>
      </c>
      <c r="I7993" t="n">
        <v>0</v>
      </c>
      <c r="J7993" t="n">
        <v>0</v>
      </c>
      <c r="K7993" t="n">
        <v>0</v>
      </c>
      <c r="L7993" t="n">
        <v>0</v>
      </c>
      <c r="M7993" t="n">
        <v>0</v>
      </c>
      <c r="N7993" t="n">
        <v>0</v>
      </c>
      <c r="O7993" t="n">
        <v>0</v>
      </c>
      <c r="P7993" t="n">
        <v>0</v>
      </c>
      <c r="Q7993" t="n">
        <v>0</v>
      </c>
      <c r="R7993" s="2" t="inlineStr"/>
    </row>
    <row r="7994" ht="15" customHeight="1">
      <c r="A7994" t="inlineStr">
        <is>
          <t>A 2752-2025</t>
        </is>
      </c>
      <c r="B7994" s="1" t="n">
        <v>45677.46724537037</v>
      </c>
      <c r="C7994" s="1" t="n">
        <v>45952</v>
      </c>
      <c r="D7994" t="inlineStr">
        <is>
          <t>VÄSTRA GÖTALANDS LÄN</t>
        </is>
      </c>
      <c r="E7994" t="inlineStr">
        <is>
          <t>TANUM</t>
        </is>
      </c>
      <c r="G7994" t="n">
        <v>0.8</v>
      </c>
      <c r="H7994" t="n">
        <v>0</v>
      </c>
      <c r="I7994" t="n">
        <v>0</v>
      </c>
      <c r="J7994" t="n">
        <v>0</v>
      </c>
      <c r="K7994" t="n">
        <v>0</v>
      </c>
      <c r="L7994" t="n">
        <v>0</v>
      </c>
      <c r="M7994" t="n">
        <v>0</v>
      </c>
      <c r="N7994" t="n">
        <v>0</v>
      </c>
      <c r="O7994" t="n">
        <v>0</v>
      </c>
      <c r="P7994" t="n">
        <v>0</v>
      </c>
      <c r="Q7994" t="n">
        <v>0</v>
      </c>
      <c r="R7994" s="2" t="inlineStr"/>
    </row>
    <row r="7995" ht="15" customHeight="1">
      <c r="A7995" t="inlineStr">
        <is>
          <t>A 48035-2023</t>
        </is>
      </c>
      <c r="B7995" s="1" t="n">
        <v>45204</v>
      </c>
      <c r="C7995" s="1" t="n">
        <v>45952</v>
      </c>
      <c r="D7995" t="inlineStr">
        <is>
          <t>VÄSTRA GÖTALANDS LÄN</t>
        </is>
      </c>
      <c r="E7995" t="inlineStr">
        <is>
          <t>TIDAHOLM</t>
        </is>
      </c>
      <c r="G7995" t="n">
        <v>1.4</v>
      </c>
      <c r="H7995" t="n">
        <v>0</v>
      </c>
      <c r="I7995" t="n">
        <v>0</v>
      </c>
      <c r="J7995" t="n">
        <v>0</v>
      </c>
      <c r="K7995" t="n">
        <v>0</v>
      </c>
      <c r="L7995" t="n">
        <v>0</v>
      </c>
      <c r="M7995" t="n">
        <v>0</v>
      </c>
      <c r="N7995" t="n">
        <v>0</v>
      </c>
      <c r="O7995" t="n">
        <v>0</v>
      </c>
      <c r="P7995" t="n">
        <v>0</v>
      </c>
      <c r="Q7995" t="n">
        <v>0</v>
      </c>
      <c r="R7995" s="2" t="inlineStr"/>
    </row>
    <row r="7996" ht="15" customHeight="1">
      <c r="A7996" t="inlineStr">
        <is>
          <t>A 21359-2025</t>
        </is>
      </c>
      <c r="B7996" s="1" t="n">
        <v>45782.43465277777</v>
      </c>
      <c r="C7996" s="1" t="n">
        <v>45952</v>
      </c>
      <c r="D7996" t="inlineStr">
        <is>
          <t>VÄSTRA GÖTALANDS LÄN</t>
        </is>
      </c>
      <c r="E7996" t="inlineStr">
        <is>
          <t>SVENLJUNGA</t>
        </is>
      </c>
      <c r="G7996" t="n">
        <v>1</v>
      </c>
      <c r="H7996" t="n">
        <v>0</v>
      </c>
      <c r="I7996" t="n">
        <v>0</v>
      </c>
      <c r="J7996" t="n">
        <v>0</v>
      </c>
      <c r="K7996" t="n">
        <v>0</v>
      </c>
      <c r="L7996" t="n">
        <v>0</v>
      </c>
      <c r="M7996" t="n">
        <v>0</v>
      </c>
      <c r="N7996" t="n">
        <v>0</v>
      </c>
      <c r="O7996" t="n">
        <v>0</v>
      </c>
      <c r="P7996" t="n">
        <v>0</v>
      </c>
      <c r="Q7996" t="n">
        <v>0</v>
      </c>
      <c r="R7996" s="2" t="inlineStr"/>
    </row>
    <row r="7997" ht="15" customHeight="1">
      <c r="A7997" t="inlineStr">
        <is>
          <t>A 3296-2024</t>
        </is>
      </c>
      <c r="B7997" s="1" t="n">
        <v>45317</v>
      </c>
      <c r="C7997" s="1" t="n">
        <v>45952</v>
      </c>
      <c r="D7997" t="inlineStr">
        <is>
          <t>VÄSTRA GÖTALANDS LÄN</t>
        </is>
      </c>
      <c r="E7997" t="inlineStr">
        <is>
          <t>TRANEMO</t>
        </is>
      </c>
      <c r="G7997" t="n">
        <v>1.5</v>
      </c>
      <c r="H7997" t="n">
        <v>0</v>
      </c>
      <c r="I7997" t="n">
        <v>0</v>
      </c>
      <c r="J7997" t="n">
        <v>0</v>
      </c>
      <c r="K7997" t="n">
        <v>0</v>
      </c>
      <c r="L7997" t="n">
        <v>0</v>
      </c>
      <c r="M7997" t="n">
        <v>0</v>
      </c>
      <c r="N7997" t="n">
        <v>0</v>
      </c>
      <c r="O7997" t="n">
        <v>0</v>
      </c>
      <c r="P7997" t="n">
        <v>0</v>
      </c>
      <c r="Q7997" t="n">
        <v>0</v>
      </c>
      <c r="R7997" s="2" t="inlineStr"/>
    </row>
    <row r="7998" ht="15" customHeight="1">
      <c r="A7998" t="inlineStr">
        <is>
          <t>A 3312-2024</t>
        </is>
      </c>
      <c r="B7998" s="1" t="n">
        <v>45317.4774537037</v>
      </c>
      <c r="C7998" s="1" t="n">
        <v>45952</v>
      </c>
      <c r="D7998" t="inlineStr">
        <is>
          <t>VÄSTRA GÖTALANDS LÄN</t>
        </is>
      </c>
      <c r="E7998" t="inlineStr">
        <is>
          <t>MUNKEDAL</t>
        </is>
      </c>
      <c r="G7998" t="n">
        <v>2.3</v>
      </c>
      <c r="H7998" t="n">
        <v>0</v>
      </c>
      <c r="I7998" t="n">
        <v>0</v>
      </c>
      <c r="J7998" t="n">
        <v>0</v>
      </c>
      <c r="K7998" t="n">
        <v>0</v>
      </c>
      <c r="L7998" t="n">
        <v>0</v>
      </c>
      <c r="M7998" t="n">
        <v>0</v>
      </c>
      <c r="N7998" t="n">
        <v>0</v>
      </c>
      <c r="O7998" t="n">
        <v>0</v>
      </c>
      <c r="P7998" t="n">
        <v>0</v>
      </c>
      <c r="Q7998" t="n">
        <v>0</v>
      </c>
      <c r="R7998" s="2" t="inlineStr"/>
    </row>
    <row r="7999" ht="15" customHeight="1">
      <c r="A7999" t="inlineStr">
        <is>
          <t>A 3314-2024</t>
        </is>
      </c>
      <c r="B7999" s="1" t="n">
        <v>45317.48802083333</v>
      </c>
      <c r="C7999" s="1" t="n">
        <v>45952</v>
      </c>
      <c r="D7999" t="inlineStr">
        <is>
          <t>VÄSTRA GÖTALANDS LÄN</t>
        </is>
      </c>
      <c r="E7999" t="inlineStr">
        <is>
          <t>HERRLJUNGA</t>
        </is>
      </c>
      <c r="F7999" t="inlineStr">
        <is>
          <t>Kyrkan</t>
        </is>
      </c>
      <c r="G7999" t="n">
        <v>2.3</v>
      </c>
      <c r="H7999" t="n">
        <v>0</v>
      </c>
      <c r="I7999" t="n">
        <v>0</v>
      </c>
      <c r="J7999" t="n">
        <v>0</v>
      </c>
      <c r="K7999" t="n">
        <v>0</v>
      </c>
      <c r="L7999" t="n">
        <v>0</v>
      </c>
      <c r="M7999" t="n">
        <v>0</v>
      </c>
      <c r="N7999" t="n">
        <v>0</v>
      </c>
      <c r="O7999" t="n">
        <v>0</v>
      </c>
      <c r="P7999" t="n">
        <v>0</v>
      </c>
      <c r="Q7999" t="n">
        <v>0</v>
      </c>
      <c r="R7999" s="2" t="inlineStr"/>
    </row>
    <row r="8000" ht="15" customHeight="1">
      <c r="A8000" t="inlineStr">
        <is>
          <t>A 3317-2024</t>
        </is>
      </c>
      <c r="B8000" s="1" t="n">
        <v>45317.49085648148</v>
      </c>
      <c r="C8000" s="1" t="n">
        <v>45952</v>
      </c>
      <c r="D8000" t="inlineStr">
        <is>
          <t>VÄSTRA GÖTALANDS LÄN</t>
        </is>
      </c>
      <c r="E8000" t="inlineStr">
        <is>
          <t>ESSUNGA</t>
        </is>
      </c>
      <c r="F8000" t="inlineStr">
        <is>
          <t>Kyrkan</t>
        </is>
      </c>
      <c r="G8000" t="n">
        <v>10.2</v>
      </c>
      <c r="H8000" t="n">
        <v>0</v>
      </c>
      <c r="I8000" t="n">
        <v>0</v>
      </c>
      <c r="J8000" t="n">
        <v>0</v>
      </c>
      <c r="K8000" t="n">
        <v>0</v>
      </c>
      <c r="L8000" t="n">
        <v>0</v>
      </c>
      <c r="M8000" t="n">
        <v>0</v>
      </c>
      <c r="N8000" t="n">
        <v>0</v>
      </c>
      <c r="O8000" t="n">
        <v>0</v>
      </c>
      <c r="P8000" t="n">
        <v>0</v>
      </c>
      <c r="Q8000" t="n">
        <v>0</v>
      </c>
      <c r="R8000" s="2" t="inlineStr"/>
    </row>
    <row r="8001" ht="15" customHeight="1">
      <c r="A8001" t="inlineStr">
        <is>
          <t>A 21698-2025</t>
        </is>
      </c>
      <c r="B8001" s="1" t="n">
        <v>45783.51045138889</v>
      </c>
      <c r="C8001" s="1" t="n">
        <v>45952</v>
      </c>
      <c r="D8001" t="inlineStr">
        <is>
          <t>VÄSTRA GÖTALANDS LÄN</t>
        </is>
      </c>
      <c r="E8001" t="inlineStr">
        <is>
          <t>MELLERUD</t>
        </is>
      </c>
      <c r="G8001" t="n">
        <v>0.5</v>
      </c>
      <c r="H8001" t="n">
        <v>0</v>
      </c>
      <c r="I8001" t="n">
        <v>0</v>
      </c>
      <c r="J8001" t="n">
        <v>0</v>
      </c>
      <c r="K8001" t="n">
        <v>0</v>
      </c>
      <c r="L8001" t="n">
        <v>0</v>
      </c>
      <c r="M8001" t="n">
        <v>0</v>
      </c>
      <c r="N8001" t="n">
        <v>0</v>
      </c>
      <c r="O8001" t="n">
        <v>0</v>
      </c>
      <c r="P8001" t="n">
        <v>0</v>
      </c>
      <c r="Q8001" t="n">
        <v>0</v>
      </c>
      <c r="R8001" s="2" t="inlineStr"/>
    </row>
    <row r="8002" ht="15" customHeight="1">
      <c r="A8002" t="inlineStr">
        <is>
          <t>A 21706-2025</t>
        </is>
      </c>
      <c r="B8002" s="1" t="n">
        <v>45783.5255787037</v>
      </c>
      <c r="C8002" s="1" t="n">
        <v>45952</v>
      </c>
      <c r="D8002" t="inlineStr">
        <is>
          <t>VÄSTRA GÖTALANDS LÄN</t>
        </is>
      </c>
      <c r="E8002" t="inlineStr">
        <is>
          <t>FALKÖPING</t>
        </is>
      </c>
      <c r="G8002" t="n">
        <v>0.8</v>
      </c>
      <c r="H8002" t="n">
        <v>0</v>
      </c>
      <c r="I8002" t="n">
        <v>0</v>
      </c>
      <c r="J8002" t="n">
        <v>0</v>
      </c>
      <c r="K8002" t="n">
        <v>0</v>
      </c>
      <c r="L8002" t="n">
        <v>0</v>
      </c>
      <c r="M8002" t="n">
        <v>0</v>
      </c>
      <c r="N8002" t="n">
        <v>0</v>
      </c>
      <c r="O8002" t="n">
        <v>0</v>
      </c>
      <c r="P8002" t="n">
        <v>0</v>
      </c>
      <c r="Q8002" t="n">
        <v>0</v>
      </c>
      <c r="R8002" s="2" t="inlineStr"/>
    </row>
    <row r="8003" ht="15" customHeight="1">
      <c r="A8003" t="inlineStr">
        <is>
          <t>A 21735-2025</t>
        </is>
      </c>
      <c r="B8003" s="1" t="n">
        <v>45783.58949074074</v>
      </c>
      <c r="C8003" s="1" t="n">
        <v>45952</v>
      </c>
      <c r="D8003" t="inlineStr">
        <is>
          <t>VÄSTRA GÖTALANDS LÄN</t>
        </is>
      </c>
      <c r="E8003" t="inlineStr">
        <is>
          <t>FALKÖPING</t>
        </is>
      </c>
      <c r="G8003" t="n">
        <v>3.9</v>
      </c>
      <c r="H8003" t="n">
        <v>0</v>
      </c>
      <c r="I8003" t="n">
        <v>0</v>
      </c>
      <c r="J8003" t="n">
        <v>0</v>
      </c>
      <c r="K8003" t="n">
        <v>0</v>
      </c>
      <c r="L8003" t="n">
        <v>0</v>
      </c>
      <c r="M8003" t="n">
        <v>0</v>
      </c>
      <c r="N8003" t="n">
        <v>0</v>
      </c>
      <c r="O8003" t="n">
        <v>0</v>
      </c>
      <c r="P8003" t="n">
        <v>0</v>
      </c>
      <c r="Q8003" t="n">
        <v>0</v>
      </c>
      <c r="R8003" s="2" t="inlineStr"/>
    </row>
    <row r="8004" ht="15" customHeight="1">
      <c r="A8004" t="inlineStr">
        <is>
          <t>A 46088-2024</t>
        </is>
      </c>
      <c r="B8004" s="1" t="n">
        <v>45581.34831018518</v>
      </c>
      <c r="C8004" s="1" t="n">
        <v>45952</v>
      </c>
      <c r="D8004" t="inlineStr">
        <is>
          <t>VÄSTRA GÖTALANDS LÄN</t>
        </is>
      </c>
      <c r="E8004" t="inlineStr">
        <is>
          <t>TÖREBODA</t>
        </is>
      </c>
      <c r="F8004" t="inlineStr">
        <is>
          <t>Sveaskog</t>
        </is>
      </c>
      <c r="G8004" t="n">
        <v>1.3</v>
      </c>
      <c r="H8004" t="n">
        <v>0</v>
      </c>
      <c r="I8004" t="n">
        <v>0</v>
      </c>
      <c r="J8004" t="n">
        <v>0</v>
      </c>
      <c r="K8004" t="n">
        <v>0</v>
      </c>
      <c r="L8004" t="n">
        <v>0</v>
      </c>
      <c r="M8004" t="n">
        <v>0</v>
      </c>
      <c r="N8004" t="n">
        <v>0</v>
      </c>
      <c r="O8004" t="n">
        <v>0</v>
      </c>
      <c r="P8004" t="n">
        <v>0</v>
      </c>
      <c r="Q8004" t="n">
        <v>0</v>
      </c>
      <c r="R8004" s="2" t="inlineStr"/>
    </row>
    <row r="8005" ht="15" customHeight="1">
      <c r="A8005" t="inlineStr">
        <is>
          <t>A 21671-2025</t>
        </is>
      </c>
      <c r="B8005" s="1" t="n">
        <v>45783.47040509259</v>
      </c>
      <c r="C8005" s="1" t="n">
        <v>45952</v>
      </c>
      <c r="D8005" t="inlineStr">
        <is>
          <t>VÄSTRA GÖTALANDS LÄN</t>
        </is>
      </c>
      <c r="E8005" t="inlineStr">
        <is>
          <t>BORÅS</t>
        </is>
      </c>
      <c r="G8005" t="n">
        <v>1.1</v>
      </c>
      <c r="H8005" t="n">
        <v>0</v>
      </c>
      <c r="I8005" t="n">
        <v>0</v>
      </c>
      <c r="J8005" t="n">
        <v>0</v>
      </c>
      <c r="K8005" t="n">
        <v>0</v>
      </c>
      <c r="L8005" t="n">
        <v>0</v>
      </c>
      <c r="M8005" t="n">
        <v>0</v>
      </c>
      <c r="N8005" t="n">
        <v>0</v>
      </c>
      <c r="O8005" t="n">
        <v>0</v>
      </c>
      <c r="P8005" t="n">
        <v>0</v>
      </c>
      <c r="Q8005" t="n">
        <v>0</v>
      </c>
      <c r="R8005" s="2" t="inlineStr"/>
    </row>
    <row r="8006" ht="15" customHeight="1">
      <c r="A8006" t="inlineStr">
        <is>
          <t>A 46655-2021</t>
        </is>
      </c>
      <c r="B8006" s="1" t="n">
        <v>44445</v>
      </c>
      <c r="C8006" s="1" t="n">
        <v>45952</v>
      </c>
      <c r="D8006" t="inlineStr">
        <is>
          <t>VÄSTRA GÖTALANDS LÄN</t>
        </is>
      </c>
      <c r="E8006" t="inlineStr">
        <is>
          <t>MARIESTAD</t>
        </is>
      </c>
      <c r="G8006" t="n">
        <v>0.6</v>
      </c>
      <c r="H8006" t="n">
        <v>0</v>
      </c>
      <c r="I8006" t="n">
        <v>0</v>
      </c>
      <c r="J8006" t="n">
        <v>0</v>
      </c>
      <c r="K8006" t="n">
        <v>0</v>
      </c>
      <c r="L8006" t="n">
        <v>0</v>
      </c>
      <c r="M8006" t="n">
        <v>0</v>
      </c>
      <c r="N8006" t="n">
        <v>0</v>
      </c>
      <c r="O8006" t="n">
        <v>0</v>
      </c>
      <c r="P8006" t="n">
        <v>0</v>
      </c>
      <c r="Q8006" t="n">
        <v>0</v>
      </c>
      <c r="R8006" s="2" t="inlineStr"/>
    </row>
    <row r="8007" ht="15" customHeight="1">
      <c r="A8007" t="inlineStr">
        <is>
          <t>A 36576-2023</t>
        </is>
      </c>
      <c r="B8007" s="1" t="n">
        <v>45153.44586805555</v>
      </c>
      <c r="C8007" s="1" t="n">
        <v>45952</v>
      </c>
      <c r="D8007" t="inlineStr">
        <is>
          <t>VÄSTRA GÖTALANDS LÄN</t>
        </is>
      </c>
      <c r="E8007" t="inlineStr">
        <is>
          <t>TRANEMO</t>
        </is>
      </c>
      <c r="G8007" t="n">
        <v>1</v>
      </c>
      <c r="H8007" t="n">
        <v>0</v>
      </c>
      <c r="I8007" t="n">
        <v>0</v>
      </c>
      <c r="J8007" t="n">
        <v>0</v>
      </c>
      <c r="K8007" t="n">
        <v>0</v>
      </c>
      <c r="L8007" t="n">
        <v>0</v>
      </c>
      <c r="M8007" t="n">
        <v>0</v>
      </c>
      <c r="N8007" t="n">
        <v>0</v>
      </c>
      <c r="O8007" t="n">
        <v>0</v>
      </c>
      <c r="P8007" t="n">
        <v>0</v>
      </c>
      <c r="Q8007" t="n">
        <v>0</v>
      </c>
      <c r="R8007" s="2" t="inlineStr"/>
    </row>
    <row r="8008" ht="15" customHeight="1">
      <c r="A8008" t="inlineStr">
        <is>
          <t>A 61194-2024</t>
        </is>
      </c>
      <c r="B8008" s="1" t="n">
        <v>45645.62891203703</v>
      </c>
      <c r="C8008" s="1" t="n">
        <v>45952</v>
      </c>
      <c r="D8008" t="inlineStr">
        <is>
          <t>VÄSTRA GÖTALANDS LÄN</t>
        </is>
      </c>
      <c r="E8008" t="inlineStr">
        <is>
          <t>GÖTENE</t>
        </is>
      </c>
      <c r="F8008" t="inlineStr">
        <is>
          <t>Sveaskog</t>
        </is>
      </c>
      <c r="G8008" t="n">
        <v>1.5</v>
      </c>
      <c r="H8008" t="n">
        <v>0</v>
      </c>
      <c r="I8008" t="n">
        <v>0</v>
      </c>
      <c r="J8008" t="n">
        <v>0</v>
      </c>
      <c r="K8008" t="n">
        <v>0</v>
      </c>
      <c r="L8008" t="n">
        <v>0</v>
      </c>
      <c r="M8008" t="n">
        <v>0</v>
      </c>
      <c r="N8008" t="n">
        <v>0</v>
      </c>
      <c r="O8008" t="n">
        <v>0</v>
      </c>
      <c r="P8008" t="n">
        <v>0</v>
      </c>
      <c r="Q8008" t="n">
        <v>0</v>
      </c>
      <c r="R8008" s="2" t="inlineStr"/>
    </row>
    <row r="8009" ht="15" customHeight="1">
      <c r="A8009" t="inlineStr">
        <is>
          <t>A 21314-2025</t>
        </is>
      </c>
      <c r="B8009" s="1" t="n">
        <v>45782.31944444445</v>
      </c>
      <c r="C8009" s="1" t="n">
        <v>45952</v>
      </c>
      <c r="D8009" t="inlineStr">
        <is>
          <t>VÄSTRA GÖTALANDS LÄN</t>
        </is>
      </c>
      <c r="E8009" t="inlineStr">
        <is>
          <t>ULRICEHAMN</t>
        </is>
      </c>
      <c r="G8009" t="n">
        <v>0.6</v>
      </c>
      <c r="H8009" t="n">
        <v>0</v>
      </c>
      <c r="I8009" t="n">
        <v>0</v>
      </c>
      <c r="J8009" t="n">
        <v>0</v>
      </c>
      <c r="K8009" t="n">
        <v>0</v>
      </c>
      <c r="L8009" t="n">
        <v>0</v>
      </c>
      <c r="M8009" t="n">
        <v>0</v>
      </c>
      <c r="N8009" t="n">
        <v>0</v>
      </c>
      <c r="O8009" t="n">
        <v>0</v>
      </c>
      <c r="P8009" t="n">
        <v>0</v>
      </c>
      <c r="Q8009" t="n">
        <v>0</v>
      </c>
      <c r="R8009" s="2" t="inlineStr"/>
    </row>
    <row r="8010" ht="15" customHeight="1">
      <c r="A8010" t="inlineStr">
        <is>
          <t>A 25693-2025</t>
        </is>
      </c>
      <c r="B8010" s="1" t="n">
        <v>45803.6643287037</v>
      </c>
      <c r="C8010" s="1" t="n">
        <v>45952</v>
      </c>
      <c r="D8010" t="inlineStr">
        <is>
          <t>VÄSTRA GÖTALANDS LÄN</t>
        </is>
      </c>
      <c r="E8010" t="inlineStr">
        <is>
          <t>ÅMÅL</t>
        </is>
      </c>
      <c r="G8010" t="n">
        <v>1.5</v>
      </c>
      <c r="H8010" t="n">
        <v>0</v>
      </c>
      <c r="I8010" t="n">
        <v>0</v>
      </c>
      <c r="J8010" t="n">
        <v>0</v>
      </c>
      <c r="K8010" t="n">
        <v>0</v>
      </c>
      <c r="L8010" t="n">
        <v>0</v>
      </c>
      <c r="M8010" t="n">
        <v>0</v>
      </c>
      <c r="N8010" t="n">
        <v>0</v>
      </c>
      <c r="O8010" t="n">
        <v>0</v>
      </c>
      <c r="P8010" t="n">
        <v>0</v>
      </c>
      <c r="Q8010" t="n">
        <v>0</v>
      </c>
      <c r="R8010" s="2" t="inlineStr"/>
    </row>
    <row r="8011" ht="15" customHeight="1">
      <c r="A8011" t="inlineStr">
        <is>
          <t>A 19002-2023</t>
        </is>
      </c>
      <c r="B8011" s="1" t="n">
        <v>45045</v>
      </c>
      <c r="C8011" s="1" t="n">
        <v>45952</v>
      </c>
      <c r="D8011" t="inlineStr">
        <is>
          <t>VÄSTRA GÖTALANDS LÄN</t>
        </is>
      </c>
      <c r="E8011" t="inlineStr">
        <is>
          <t>ÅMÅL</t>
        </is>
      </c>
      <c r="G8011" t="n">
        <v>11.3</v>
      </c>
      <c r="H8011" t="n">
        <v>0</v>
      </c>
      <c r="I8011" t="n">
        <v>0</v>
      </c>
      <c r="J8011" t="n">
        <v>0</v>
      </c>
      <c r="K8011" t="n">
        <v>0</v>
      </c>
      <c r="L8011" t="n">
        <v>0</v>
      </c>
      <c r="M8011" t="n">
        <v>0</v>
      </c>
      <c r="N8011" t="n">
        <v>0</v>
      </c>
      <c r="O8011" t="n">
        <v>0</v>
      </c>
      <c r="P8011" t="n">
        <v>0</v>
      </c>
      <c r="Q8011" t="n">
        <v>0</v>
      </c>
      <c r="R8011" s="2" t="inlineStr"/>
    </row>
    <row r="8012" ht="15" customHeight="1">
      <c r="A8012" t="inlineStr">
        <is>
          <t>A 47241-2025</t>
        </is>
      </c>
      <c r="B8012" s="1" t="n">
        <v>45930.42329861111</v>
      </c>
      <c r="C8012" s="1" t="n">
        <v>45952</v>
      </c>
      <c r="D8012" t="inlineStr">
        <is>
          <t>VÄSTRA GÖTALANDS LÄN</t>
        </is>
      </c>
      <c r="E8012" t="inlineStr">
        <is>
          <t>ESSUNGA</t>
        </is>
      </c>
      <c r="G8012" t="n">
        <v>1.2</v>
      </c>
      <c r="H8012" t="n">
        <v>0</v>
      </c>
      <c r="I8012" t="n">
        <v>0</v>
      </c>
      <c r="J8012" t="n">
        <v>0</v>
      </c>
      <c r="K8012" t="n">
        <v>0</v>
      </c>
      <c r="L8012" t="n">
        <v>0</v>
      </c>
      <c r="M8012" t="n">
        <v>0</v>
      </c>
      <c r="N8012" t="n">
        <v>0</v>
      </c>
      <c r="O8012" t="n">
        <v>0</v>
      </c>
      <c r="P8012" t="n">
        <v>0</v>
      </c>
      <c r="Q8012" t="n">
        <v>0</v>
      </c>
      <c r="R8012" s="2" t="inlineStr"/>
    </row>
    <row r="8013" ht="15" customHeight="1">
      <c r="A8013" t="inlineStr">
        <is>
          <t>A 21302-2025</t>
        </is>
      </c>
      <c r="B8013" s="1" t="n">
        <v>45780.88960648148</v>
      </c>
      <c r="C8013" s="1" t="n">
        <v>45952</v>
      </c>
      <c r="D8013" t="inlineStr">
        <is>
          <t>VÄSTRA GÖTALANDS LÄN</t>
        </is>
      </c>
      <c r="E8013" t="inlineStr">
        <is>
          <t>HÄRRYDA</t>
        </is>
      </c>
      <c r="G8013" t="n">
        <v>0.9</v>
      </c>
      <c r="H8013" t="n">
        <v>0</v>
      </c>
      <c r="I8013" t="n">
        <v>0</v>
      </c>
      <c r="J8013" t="n">
        <v>0</v>
      </c>
      <c r="K8013" t="n">
        <v>0</v>
      </c>
      <c r="L8013" t="n">
        <v>0</v>
      </c>
      <c r="M8013" t="n">
        <v>0</v>
      </c>
      <c r="N8013" t="n">
        <v>0</v>
      </c>
      <c r="O8013" t="n">
        <v>0</v>
      </c>
      <c r="P8013" t="n">
        <v>0</v>
      </c>
      <c r="Q8013" t="n">
        <v>0</v>
      </c>
      <c r="R8013" s="2" t="inlineStr"/>
    </row>
    <row r="8014" ht="15" customHeight="1">
      <c r="A8014" t="inlineStr">
        <is>
          <t>A 27752-2024</t>
        </is>
      </c>
      <c r="B8014" s="1" t="n">
        <v>45475.4787037037</v>
      </c>
      <c r="C8014" s="1" t="n">
        <v>45952</v>
      </c>
      <c r="D8014" t="inlineStr">
        <is>
          <t>VÄSTRA GÖTALANDS LÄN</t>
        </is>
      </c>
      <c r="E8014" t="inlineStr">
        <is>
          <t>BORÅS</t>
        </is>
      </c>
      <c r="G8014" t="n">
        <v>3.5</v>
      </c>
      <c r="H8014" t="n">
        <v>0</v>
      </c>
      <c r="I8014" t="n">
        <v>0</v>
      </c>
      <c r="J8014" t="n">
        <v>0</v>
      </c>
      <c r="K8014" t="n">
        <v>0</v>
      </c>
      <c r="L8014" t="n">
        <v>0</v>
      </c>
      <c r="M8014" t="n">
        <v>0</v>
      </c>
      <c r="N8014" t="n">
        <v>0</v>
      </c>
      <c r="O8014" t="n">
        <v>0</v>
      </c>
      <c r="P8014" t="n">
        <v>0</v>
      </c>
      <c r="Q8014" t="n">
        <v>0</v>
      </c>
      <c r="R8014" s="2" t="inlineStr"/>
    </row>
    <row r="8015" ht="15" customHeight="1">
      <c r="A8015" t="inlineStr">
        <is>
          <t>A 40399-2024</t>
        </is>
      </c>
      <c r="B8015" s="1" t="n">
        <v>45555.44511574074</v>
      </c>
      <c r="C8015" s="1" t="n">
        <v>45952</v>
      </c>
      <c r="D8015" t="inlineStr">
        <is>
          <t>VÄSTRA GÖTALANDS LÄN</t>
        </is>
      </c>
      <c r="E8015" t="inlineStr">
        <is>
          <t>VÄNERSBORG</t>
        </is>
      </c>
      <c r="G8015" t="n">
        <v>4</v>
      </c>
      <c r="H8015" t="n">
        <v>0</v>
      </c>
      <c r="I8015" t="n">
        <v>0</v>
      </c>
      <c r="J8015" t="n">
        <v>0</v>
      </c>
      <c r="K8015" t="n">
        <v>0</v>
      </c>
      <c r="L8015" t="n">
        <v>0</v>
      </c>
      <c r="M8015" t="n">
        <v>0</v>
      </c>
      <c r="N8015" t="n">
        <v>0</v>
      </c>
      <c r="O8015" t="n">
        <v>0</v>
      </c>
      <c r="P8015" t="n">
        <v>0</v>
      </c>
      <c r="Q8015" t="n">
        <v>0</v>
      </c>
      <c r="R8015" s="2" t="inlineStr"/>
    </row>
    <row r="8016" ht="15" customHeight="1">
      <c r="A8016" t="inlineStr">
        <is>
          <t>A 18852-2024</t>
        </is>
      </c>
      <c r="B8016" s="1" t="n">
        <v>45426.69550925926</v>
      </c>
      <c r="C8016" s="1" t="n">
        <v>45952</v>
      </c>
      <c r="D8016" t="inlineStr">
        <is>
          <t>VÄSTRA GÖTALANDS LÄN</t>
        </is>
      </c>
      <c r="E8016" t="inlineStr">
        <is>
          <t>KUNGÄLV</t>
        </is>
      </c>
      <c r="G8016" t="n">
        <v>2.7</v>
      </c>
      <c r="H8016" t="n">
        <v>0</v>
      </c>
      <c r="I8016" t="n">
        <v>0</v>
      </c>
      <c r="J8016" t="n">
        <v>0</v>
      </c>
      <c r="K8016" t="n">
        <v>0</v>
      </c>
      <c r="L8016" t="n">
        <v>0</v>
      </c>
      <c r="M8016" t="n">
        <v>0</v>
      </c>
      <c r="N8016" t="n">
        <v>0</v>
      </c>
      <c r="O8016" t="n">
        <v>0</v>
      </c>
      <c r="P8016" t="n">
        <v>0</v>
      </c>
      <c r="Q8016" t="n">
        <v>0</v>
      </c>
      <c r="R8016" s="2" t="inlineStr"/>
    </row>
    <row r="8017" ht="15" customHeight="1">
      <c r="A8017" t="inlineStr">
        <is>
          <t>A 26835-2021</t>
        </is>
      </c>
      <c r="B8017" s="1" t="n">
        <v>44349</v>
      </c>
      <c r="C8017" s="1" t="n">
        <v>45952</v>
      </c>
      <c r="D8017" t="inlineStr">
        <is>
          <t>VÄSTRA GÖTALANDS LÄN</t>
        </is>
      </c>
      <c r="E8017" t="inlineStr">
        <is>
          <t>SVENLJUNGA</t>
        </is>
      </c>
      <c r="F8017" t="inlineStr">
        <is>
          <t>Kommuner</t>
        </is>
      </c>
      <c r="G8017" t="n">
        <v>2.3</v>
      </c>
      <c r="H8017" t="n">
        <v>0</v>
      </c>
      <c r="I8017" t="n">
        <v>0</v>
      </c>
      <c r="J8017" t="n">
        <v>0</v>
      </c>
      <c r="K8017" t="n">
        <v>0</v>
      </c>
      <c r="L8017" t="n">
        <v>0</v>
      </c>
      <c r="M8017" t="n">
        <v>0</v>
      </c>
      <c r="N8017" t="n">
        <v>0</v>
      </c>
      <c r="O8017" t="n">
        <v>0</v>
      </c>
      <c r="P8017" t="n">
        <v>0</v>
      </c>
      <c r="Q8017" t="n">
        <v>0</v>
      </c>
      <c r="R8017" s="2" t="inlineStr"/>
    </row>
    <row r="8018" ht="15" customHeight="1">
      <c r="A8018" t="inlineStr">
        <is>
          <t>A 28397-2025</t>
        </is>
      </c>
      <c r="B8018" s="1" t="n">
        <v>45819.34091435185</v>
      </c>
      <c r="C8018" s="1" t="n">
        <v>45952</v>
      </c>
      <c r="D8018" t="inlineStr">
        <is>
          <t>VÄSTRA GÖTALANDS LÄN</t>
        </is>
      </c>
      <c r="E8018" t="inlineStr">
        <is>
          <t>MUNKEDAL</t>
        </is>
      </c>
      <c r="G8018" t="n">
        <v>1.5</v>
      </c>
      <c r="H8018" t="n">
        <v>0</v>
      </c>
      <c r="I8018" t="n">
        <v>0</v>
      </c>
      <c r="J8018" t="n">
        <v>0</v>
      </c>
      <c r="K8018" t="n">
        <v>0</v>
      </c>
      <c r="L8018" t="n">
        <v>0</v>
      </c>
      <c r="M8018" t="n">
        <v>0</v>
      </c>
      <c r="N8018" t="n">
        <v>0</v>
      </c>
      <c r="O8018" t="n">
        <v>0</v>
      </c>
      <c r="P8018" t="n">
        <v>0</v>
      </c>
      <c r="Q8018" t="n">
        <v>0</v>
      </c>
      <c r="R8018" s="2" t="inlineStr"/>
    </row>
    <row r="8019" ht="15" customHeight="1">
      <c r="A8019" t="inlineStr">
        <is>
          <t>A 47603-2025</t>
        </is>
      </c>
      <c r="B8019" s="1" t="n">
        <v>45931.46130787037</v>
      </c>
      <c r="C8019" s="1" t="n">
        <v>45952</v>
      </c>
      <c r="D8019" t="inlineStr">
        <is>
          <t>VÄSTRA GÖTALANDS LÄN</t>
        </is>
      </c>
      <c r="E8019" t="inlineStr">
        <is>
          <t>UDDEVALLA</t>
        </is>
      </c>
      <c r="G8019" t="n">
        <v>0.8</v>
      </c>
      <c r="H8019" t="n">
        <v>0</v>
      </c>
      <c r="I8019" t="n">
        <v>0</v>
      </c>
      <c r="J8019" t="n">
        <v>0</v>
      </c>
      <c r="K8019" t="n">
        <v>0</v>
      </c>
      <c r="L8019" t="n">
        <v>0</v>
      </c>
      <c r="M8019" t="n">
        <v>0</v>
      </c>
      <c r="N8019" t="n">
        <v>0</v>
      </c>
      <c r="O8019" t="n">
        <v>0</v>
      </c>
      <c r="P8019" t="n">
        <v>0</v>
      </c>
      <c r="Q8019" t="n">
        <v>0</v>
      </c>
      <c r="R8019" s="2" t="inlineStr"/>
    </row>
    <row r="8020" ht="15" customHeight="1">
      <c r="A8020" t="inlineStr">
        <is>
          <t>A 47397-2025</t>
        </is>
      </c>
      <c r="B8020" s="1" t="n">
        <v>45930.60707175926</v>
      </c>
      <c r="C8020" s="1" t="n">
        <v>45952</v>
      </c>
      <c r="D8020" t="inlineStr">
        <is>
          <t>VÄSTRA GÖTALANDS LÄN</t>
        </is>
      </c>
      <c r="E8020" t="inlineStr">
        <is>
          <t>TIDAHOLM</t>
        </is>
      </c>
      <c r="F8020" t="inlineStr">
        <is>
          <t>Sveaskog</t>
        </is>
      </c>
      <c r="G8020" t="n">
        <v>2.4</v>
      </c>
      <c r="H8020" t="n">
        <v>0</v>
      </c>
      <c r="I8020" t="n">
        <v>0</v>
      </c>
      <c r="J8020" t="n">
        <v>0</v>
      </c>
      <c r="K8020" t="n">
        <v>0</v>
      </c>
      <c r="L8020" t="n">
        <v>0</v>
      </c>
      <c r="M8020" t="n">
        <v>0</v>
      </c>
      <c r="N8020" t="n">
        <v>0</v>
      </c>
      <c r="O8020" t="n">
        <v>0</v>
      </c>
      <c r="P8020" t="n">
        <v>0</v>
      </c>
      <c r="Q8020" t="n">
        <v>0</v>
      </c>
      <c r="R8020" s="2" t="inlineStr"/>
    </row>
    <row r="8021" ht="15" customHeight="1">
      <c r="A8021" t="inlineStr">
        <is>
          <t>A 47368-2025</t>
        </is>
      </c>
      <c r="B8021" s="1" t="n">
        <v>45930.59194444444</v>
      </c>
      <c r="C8021" s="1" t="n">
        <v>45952</v>
      </c>
      <c r="D8021" t="inlineStr">
        <is>
          <t>VÄSTRA GÖTALANDS LÄN</t>
        </is>
      </c>
      <c r="E8021" t="inlineStr">
        <is>
          <t>GÖTENE</t>
        </is>
      </c>
      <c r="G8021" t="n">
        <v>1.3</v>
      </c>
      <c r="H8021" t="n">
        <v>0</v>
      </c>
      <c r="I8021" t="n">
        <v>0</v>
      </c>
      <c r="J8021" t="n">
        <v>0</v>
      </c>
      <c r="K8021" t="n">
        <v>0</v>
      </c>
      <c r="L8021" t="n">
        <v>0</v>
      </c>
      <c r="M8021" t="n">
        <v>0</v>
      </c>
      <c r="N8021" t="n">
        <v>0</v>
      </c>
      <c r="O8021" t="n">
        <v>0</v>
      </c>
      <c r="P8021" t="n">
        <v>0</v>
      </c>
      <c r="Q8021" t="n">
        <v>0</v>
      </c>
      <c r="R8021" s="2" t="inlineStr"/>
    </row>
    <row r="8022" ht="15" customHeight="1">
      <c r="A8022" t="inlineStr">
        <is>
          <t>A 47373-2025</t>
        </is>
      </c>
      <c r="B8022" s="1" t="n">
        <v>45930.59353009259</v>
      </c>
      <c r="C8022" s="1" t="n">
        <v>45952</v>
      </c>
      <c r="D8022" t="inlineStr">
        <is>
          <t>VÄSTRA GÖTALANDS LÄN</t>
        </is>
      </c>
      <c r="E8022" t="inlineStr">
        <is>
          <t>FALKÖPING</t>
        </is>
      </c>
      <c r="G8022" t="n">
        <v>1.6</v>
      </c>
      <c r="H8022" t="n">
        <v>0</v>
      </c>
      <c r="I8022" t="n">
        <v>0</v>
      </c>
      <c r="J8022" t="n">
        <v>0</v>
      </c>
      <c r="K8022" t="n">
        <v>0</v>
      </c>
      <c r="L8022" t="n">
        <v>0</v>
      </c>
      <c r="M8022" t="n">
        <v>0</v>
      </c>
      <c r="N8022" t="n">
        <v>0</v>
      </c>
      <c r="O8022" t="n">
        <v>0</v>
      </c>
      <c r="P8022" t="n">
        <v>0</v>
      </c>
      <c r="Q8022" t="n">
        <v>0</v>
      </c>
      <c r="R8022" s="2" t="inlineStr"/>
    </row>
    <row r="8023" ht="15" customHeight="1">
      <c r="A8023" t="inlineStr">
        <is>
          <t>A 61487-2022</t>
        </is>
      </c>
      <c r="B8023" s="1" t="n">
        <v>44910</v>
      </c>
      <c r="C8023" s="1" t="n">
        <v>45952</v>
      </c>
      <c r="D8023" t="inlineStr">
        <is>
          <t>VÄSTRA GÖTALANDS LÄN</t>
        </is>
      </c>
      <c r="E8023" t="inlineStr">
        <is>
          <t>DALS-ED</t>
        </is>
      </c>
      <c r="F8023" t="inlineStr">
        <is>
          <t>Kyrkan</t>
        </is>
      </c>
      <c r="G8023" t="n">
        <v>9.4</v>
      </c>
      <c r="H8023" t="n">
        <v>0</v>
      </c>
      <c r="I8023" t="n">
        <v>0</v>
      </c>
      <c r="J8023" t="n">
        <v>0</v>
      </c>
      <c r="K8023" t="n">
        <v>0</v>
      </c>
      <c r="L8023" t="n">
        <v>0</v>
      </c>
      <c r="M8023" t="n">
        <v>0</v>
      </c>
      <c r="N8023" t="n">
        <v>0</v>
      </c>
      <c r="O8023" t="n">
        <v>0</v>
      </c>
      <c r="P8023" t="n">
        <v>0</v>
      </c>
      <c r="Q8023" t="n">
        <v>0</v>
      </c>
      <c r="R8023" s="2" t="inlineStr"/>
    </row>
    <row r="8024" ht="15" customHeight="1">
      <c r="A8024" t="inlineStr">
        <is>
          <t>A 5592-2025</t>
        </is>
      </c>
      <c r="B8024" s="1" t="n">
        <v>45693.56583333333</v>
      </c>
      <c r="C8024" s="1" t="n">
        <v>45952</v>
      </c>
      <c r="D8024" t="inlineStr">
        <is>
          <t>VÄSTRA GÖTALANDS LÄN</t>
        </is>
      </c>
      <c r="E8024" t="inlineStr">
        <is>
          <t>MARK</t>
        </is>
      </c>
      <c r="G8024" t="n">
        <v>8.300000000000001</v>
      </c>
      <c r="H8024" t="n">
        <v>0</v>
      </c>
      <c r="I8024" t="n">
        <v>0</v>
      </c>
      <c r="J8024" t="n">
        <v>0</v>
      </c>
      <c r="K8024" t="n">
        <v>0</v>
      </c>
      <c r="L8024" t="n">
        <v>0</v>
      </c>
      <c r="M8024" t="n">
        <v>0</v>
      </c>
      <c r="N8024" t="n">
        <v>0</v>
      </c>
      <c r="O8024" t="n">
        <v>0</v>
      </c>
      <c r="P8024" t="n">
        <v>0</v>
      </c>
      <c r="Q8024" t="n">
        <v>0</v>
      </c>
      <c r="R8024" s="2" t="inlineStr"/>
    </row>
    <row r="8025" ht="15" customHeight="1">
      <c r="A8025" t="inlineStr">
        <is>
          <t>A 17586-2023</t>
        </is>
      </c>
      <c r="B8025" s="1" t="n">
        <v>45034</v>
      </c>
      <c r="C8025" s="1" t="n">
        <v>45952</v>
      </c>
      <c r="D8025" t="inlineStr">
        <is>
          <t>VÄSTRA GÖTALANDS LÄN</t>
        </is>
      </c>
      <c r="E8025" t="inlineStr">
        <is>
          <t>FÄRGELANDA</t>
        </is>
      </c>
      <c r="G8025" t="n">
        <v>5.9</v>
      </c>
      <c r="H8025" t="n">
        <v>0</v>
      </c>
      <c r="I8025" t="n">
        <v>0</v>
      </c>
      <c r="J8025" t="n">
        <v>0</v>
      </c>
      <c r="K8025" t="n">
        <v>0</v>
      </c>
      <c r="L8025" t="n">
        <v>0</v>
      </c>
      <c r="M8025" t="n">
        <v>0</v>
      </c>
      <c r="N8025" t="n">
        <v>0</v>
      </c>
      <c r="O8025" t="n">
        <v>0</v>
      </c>
      <c r="P8025" t="n">
        <v>0</v>
      </c>
      <c r="Q8025" t="n">
        <v>0</v>
      </c>
      <c r="R8025" s="2" t="inlineStr"/>
    </row>
    <row r="8026" ht="15" customHeight="1">
      <c r="A8026" t="inlineStr">
        <is>
          <t>A 37431-2024</t>
        </is>
      </c>
      <c r="B8026" s="1" t="n">
        <v>45540.65302083334</v>
      </c>
      <c r="C8026" s="1" t="n">
        <v>45952</v>
      </c>
      <c r="D8026" t="inlineStr">
        <is>
          <t>VÄSTRA GÖTALANDS LÄN</t>
        </is>
      </c>
      <c r="E8026" t="inlineStr">
        <is>
          <t>UDDEVALLA</t>
        </is>
      </c>
      <c r="F8026" t="inlineStr">
        <is>
          <t>Kyrkan</t>
        </is>
      </c>
      <c r="G8026" t="n">
        <v>1.9</v>
      </c>
      <c r="H8026" t="n">
        <v>0</v>
      </c>
      <c r="I8026" t="n">
        <v>0</v>
      </c>
      <c r="J8026" t="n">
        <v>0</v>
      </c>
      <c r="K8026" t="n">
        <v>0</v>
      </c>
      <c r="L8026" t="n">
        <v>0</v>
      </c>
      <c r="M8026" t="n">
        <v>0</v>
      </c>
      <c r="N8026" t="n">
        <v>0</v>
      </c>
      <c r="O8026" t="n">
        <v>0</v>
      </c>
      <c r="P8026" t="n">
        <v>0</v>
      </c>
      <c r="Q8026" t="n">
        <v>0</v>
      </c>
      <c r="R8026" s="2" t="inlineStr"/>
    </row>
    <row r="8027" ht="15" customHeight="1">
      <c r="A8027" t="inlineStr">
        <is>
          <t>A 58584-2024</t>
        </is>
      </c>
      <c r="B8027" s="1" t="n">
        <v>45632</v>
      </c>
      <c r="C8027" s="1" t="n">
        <v>45952</v>
      </c>
      <c r="D8027" t="inlineStr">
        <is>
          <t>VÄSTRA GÖTALANDS LÄN</t>
        </is>
      </c>
      <c r="E8027" t="inlineStr">
        <is>
          <t>DALS-ED</t>
        </is>
      </c>
      <c r="G8027" t="n">
        <v>1.5</v>
      </c>
      <c r="H8027" t="n">
        <v>0</v>
      </c>
      <c r="I8027" t="n">
        <v>0</v>
      </c>
      <c r="J8027" t="n">
        <v>0</v>
      </c>
      <c r="K8027" t="n">
        <v>0</v>
      </c>
      <c r="L8027" t="n">
        <v>0</v>
      </c>
      <c r="M8027" t="n">
        <v>0</v>
      </c>
      <c r="N8027" t="n">
        <v>0</v>
      </c>
      <c r="O8027" t="n">
        <v>0</v>
      </c>
      <c r="P8027" t="n">
        <v>0</v>
      </c>
      <c r="Q8027" t="n">
        <v>0</v>
      </c>
      <c r="R8027" s="2" t="inlineStr"/>
    </row>
    <row r="8028" ht="15" customHeight="1">
      <c r="A8028" t="inlineStr">
        <is>
          <t>A 21362-2025</t>
        </is>
      </c>
      <c r="B8028" s="1" t="n">
        <v>45782.43984953704</v>
      </c>
      <c r="C8028" s="1" t="n">
        <v>45952</v>
      </c>
      <c r="D8028" t="inlineStr">
        <is>
          <t>VÄSTRA GÖTALANDS LÄN</t>
        </is>
      </c>
      <c r="E8028" t="inlineStr">
        <is>
          <t>BENGTSFORS</t>
        </is>
      </c>
      <c r="G8028" t="n">
        <v>0.9</v>
      </c>
      <c r="H8028" t="n">
        <v>0</v>
      </c>
      <c r="I8028" t="n">
        <v>0</v>
      </c>
      <c r="J8028" t="n">
        <v>0</v>
      </c>
      <c r="K8028" t="n">
        <v>0</v>
      </c>
      <c r="L8028" t="n">
        <v>0</v>
      </c>
      <c r="M8028" t="n">
        <v>0</v>
      </c>
      <c r="N8028" t="n">
        <v>0</v>
      </c>
      <c r="O8028" t="n">
        <v>0</v>
      </c>
      <c r="P8028" t="n">
        <v>0</v>
      </c>
      <c r="Q8028" t="n">
        <v>0</v>
      </c>
      <c r="R8028" s="2" t="inlineStr"/>
    </row>
    <row r="8029" ht="15" customHeight="1">
      <c r="A8029" t="inlineStr">
        <is>
          <t>A 47783-2025</t>
        </is>
      </c>
      <c r="B8029" s="1" t="n">
        <v>45931.76866898148</v>
      </c>
      <c r="C8029" s="1" t="n">
        <v>45952</v>
      </c>
      <c r="D8029" t="inlineStr">
        <is>
          <t>VÄSTRA GÖTALANDS LÄN</t>
        </is>
      </c>
      <c r="E8029" t="inlineStr">
        <is>
          <t>VÄNERSBORG</t>
        </is>
      </c>
      <c r="G8029" t="n">
        <v>1.9</v>
      </c>
      <c r="H8029" t="n">
        <v>0</v>
      </c>
      <c r="I8029" t="n">
        <v>0</v>
      </c>
      <c r="J8029" t="n">
        <v>0</v>
      </c>
      <c r="K8029" t="n">
        <v>0</v>
      </c>
      <c r="L8029" t="n">
        <v>0</v>
      </c>
      <c r="M8029" t="n">
        <v>0</v>
      </c>
      <c r="N8029" t="n">
        <v>0</v>
      </c>
      <c r="O8029" t="n">
        <v>0</v>
      </c>
      <c r="P8029" t="n">
        <v>0</v>
      </c>
      <c r="Q8029" t="n">
        <v>0</v>
      </c>
      <c r="R8029" s="2" t="inlineStr"/>
    </row>
    <row r="8030" ht="15" customHeight="1">
      <c r="A8030" t="inlineStr">
        <is>
          <t>A 59200-2024</t>
        </is>
      </c>
      <c r="B8030" s="1" t="n">
        <v>45636</v>
      </c>
      <c r="C8030" s="1" t="n">
        <v>45952</v>
      </c>
      <c r="D8030" t="inlineStr">
        <is>
          <t>VÄSTRA GÖTALANDS LÄN</t>
        </is>
      </c>
      <c r="E8030" t="inlineStr">
        <is>
          <t>GULLSPÅNG</t>
        </is>
      </c>
      <c r="G8030" t="n">
        <v>4.6</v>
      </c>
      <c r="H8030" t="n">
        <v>0</v>
      </c>
      <c r="I8030" t="n">
        <v>0</v>
      </c>
      <c r="J8030" t="n">
        <v>0</v>
      </c>
      <c r="K8030" t="n">
        <v>0</v>
      </c>
      <c r="L8030" t="n">
        <v>0</v>
      </c>
      <c r="M8030" t="n">
        <v>0</v>
      </c>
      <c r="N8030" t="n">
        <v>0</v>
      </c>
      <c r="O8030" t="n">
        <v>0</v>
      </c>
      <c r="P8030" t="n">
        <v>0</v>
      </c>
      <c r="Q8030" t="n">
        <v>0</v>
      </c>
      <c r="R8030" s="2" t="inlineStr"/>
    </row>
    <row r="8031" ht="15" customHeight="1">
      <c r="A8031" t="inlineStr">
        <is>
          <t>A 59217-2024</t>
        </is>
      </c>
      <c r="B8031" s="1" t="n">
        <v>45637</v>
      </c>
      <c r="C8031" s="1" t="n">
        <v>45952</v>
      </c>
      <c r="D8031" t="inlineStr">
        <is>
          <t>VÄSTRA GÖTALANDS LÄN</t>
        </is>
      </c>
      <c r="E8031" t="inlineStr">
        <is>
          <t>BORÅS</t>
        </is>
      </c>
      <c r="G8031" t="n">
        <v>1.6</v>
      </c>
      <c r="H8031" t="n">
        <v>0</v>
      </c>
      <c r="I8031" t="n">
        <v>0</v>
      </c>
      <c r="J8031" t="n">
        <v>0</v>
      </c>
      <c r="K8031" t="n">
        <v>0</v>
      </c>
      <c r="L8031" t="n">
        <v>0</v>
      </c>
      <c r="M8031" t="n">
        <v>0</v>
      </c>
      <c r="N8031" t="n">
        <v>0</v>
      </c>
      <c r="O8031" t="n">
        <v>0</v>
      </c>
      <c r="P8031" t="n">
        <v>0</v>
      </c>
      <c r="Q8031" t="n">
        <v>0</v>
      </c>
      <c r="R8031" s="2" t="inlineStr"/>
    </row>
    <row r="8032" ht="15" customHeight="1">
      <c r="A8032" t="inlineStr">
        <is>
          <t>A 51411-2024</t>
        </is>
      </c>
      <c r="B8032" s="1" t="n">
        <v>45604</v>
      </c>
      <c r="C8032" s="1" t="n">
        <v>45952</v>
      </c>
      <c r="D8032" t="inlineStr">
        <is>
          <t>VÄSTRA GÖTALANDS LÄN</t>
        </is>
      </c>
      <c r="E8032" t="inlineStr">
        <is>
          <t>BORÅS</t>
        </is>
      </c>
      <c r="G8032" t="n">
        <v>11.8</v>
      </c>
      <c r="H8032" t="n">
        <v>0</v>
      </c>
      <c r="I8032" t="n">
        <v>0</v>
      </c>
      <c r="J8032" t="n">
        <v>0</v>
      </c>
      <c r="K8032" t="n">
        <v>0</v>
      </c>
      <c r="L8032" t="n">
        <v>0</v>
      </c>
      <c r="M8032" t="n">
        <v>0</v>
      </c>
      <c r="N8032" t="n">
        <v>0</v>
      </c>
      <c r="O8032" t="n">
        <v>0</v>
      </c>
      <c r="P8032" t="n">
        <v>0</v>
      </c>
      <c r="Q8032" t="n">
        <v>0</v>
      </c>
      <c r="R8032" s="2" t="inlineStr"/>
    </row>
    <row r="8033" ht="15" customHeight="1">
      <c r="A8033" t="inlineStr">
        <is>
          <t>A 53692-2024</t>
        </is>
      </c>
      <c r="B8033" s="1" t="n">
        <v>45615.37414351852</v>
      </c>
      <c r="C8033" s="1" t="n">
        <v>45952</v>
      </c>
      <c r="D8033" t="inlineStr">
        <is>
          <t>VÄSTRA GÖTALANDS LÄN</t>
        </is>
      </c>
      <c r="E8033" t="inlineStr">
        <is>
          <t>TRANEMO</t>
        </is>
      </c>
      <c r="G8033" t="n">
        <v>9.1</v>
      </c>
      <c r="H8033" t="n">
        <v>0</v>
      </c>
      <c r="I8033" t="n">
        <v>0</v>
      </c>
      <c r="J8033" t="n">
        <v>0</v>
      </c>
      <c r="K8033" t="n">
        <v>0</v>
      </c>
      <c r="L8033" t="n">
        <v>0</v>
      </c>
      <c r="M8033" t="n">
        <v>0</v>
      </c>
      <c r="N8033" t="n">
        <v>0</v>
      </c>
      <c r="O8033" t="n">
        <v>0</v>
      </c>
      <c r="P8033" t="n">
        <v>0</v>
      </c>
      <c r="Q8033" t="n">
        <v>0</v>
      </c>
      <c r="R8033" s="2" t="inlineStr"/>
    </row>
    <row r="8034" ht="15" customHeight="1">
      <c r="A8034" t="inlineStr">
        <is>
          <t>A 17272-2025</t>
        </is>
      </c>
      <c r="B8034" s="1" t="n">
        <v>45756</v>
      </c>
      <c r="C8034" s="1" t="n">
        <v>45952</v>
      </c>
      <c r="D8034" t="inlineStr">
        <is>
          <t>VÄSTRA GÖTALANDS LÄN</t>
        </is>
      </c>
      <c r="E8034" t="inlineStr">
        <is>
          <t>HERRLJUNGA</t>
        </is>
      </c>
      <c r="G8034" t="n">
        <v>1</v>
      </c>
      <c r="H8034" t="n">
        <v>0</v>
      </c>
      <c r="I8034" t="n">
        <v>0</v>
      </c>
      <c r="J8034" t="n">
        <v>0</v>
      </c>
      <c r="K8034" t="n">
        <v>0</v>
      </c>
      <c r="L8034" t="n">
        <v>0</v>
      </c>
      <c r="M8034" t="n">
        <v>0</v>
      </c>
      <c r="N8034" t="n">
        <v>0</v>
      </c>
      <c r="O8034" t="n">
        <v>0</v>
      </c>
      <c r="P8034" t="n">
        <v>0</v>
      </c>
      <c r="Q8034" t="n">
        <v>0</v>
      </c>
      <c r="R8034" s="2" t="inlineStr"/>
    </row>
    <row r="8035" ht="15" customHeight="1">
      <c r="A8035" t="inlineStr">
        <is>
          <t>A 39160-2025</t>
        </is>
      </c>
      <c r="B8035" s="1" t="n">
        <v>45888.63064814815</v>
      </c>
      <c r="C8035" s="1" t="n">
        <v>45952</v>
      </c>
      <c r="D8035" t="inlineStr">
        <is>
          <t>VÄSTRA GÖTALANDS LÄN</t>
        </is>
      </c>
      <c r="E8035" t="inlineStr">
        <is>
          <t>MARK</t>
        </is>
      </c>
      <c r="G8035" t="n">
        <v>0.5</v>
      </c>
      <c r="H8035" t="n">
        <v>0</v>
      </c>
      <c r="I8035" t="n">
        <v>0</v>
      </c>
      <c r="J8035" t="n">
        <v>0</v>
      </c>
      <c r="K8035" t="n">
        <v>0</v>
      </c>
      <c r="L8035" t="n">
        <v>0</v>
      </c>
      <c r="M8035" t="n">
        <v>0</v>
      </c>
      <c r="N8035" t="n">
        <v>0</v>
      </c>
      <c r="O8035" t="n">
        <v>0</v>
      </c>
      <c r="P8035" t="n">
        <v>0</v>
      </c>
      <c r="Q8035" t="n">
        <v>0</v>
      </c>
      <c r="R8035" s="2" t="inlineStr"/>
    </row>
    <row r="8036" ht="15" customHeight="1">
      <c r="A8036" t="inlineStr">
        <is>
          <t>A 46339-2025</t>
        </is>
      </c>
      <c r="B8036" s="1" t="n">
        <v>45925</v>
      </c>
      <c r="C8036" s="1" t="n">
        <v>45952</v>
      </c>
      <c r="D8036" t="inlineStr">
        <is>
          <t>VÄSTRA GÖTALANDS LÄN</t>
        </is>
      </c>
      <c r="E8036" t="inlineStr">
        <is>
          <t>FALKÖPING</t>
        </is>
      </c>
      <c r="G8036" t="n">
        <v>0.5</v>
      </c>
      <c r="H8036" t="n">
        <v>0</v>
      </c>
      <c r="I8036" t="n">
        <v>0</v>
      </c>
      <c r="J8036" t="n">
        <v>0</v>
      </c>
      <c r="K8036" t="n">
        <v>0</v>
      </c>
      <c r="L8036" t="n">
        <v>0</v>
      </c>
      <c r="M8036" t="n">
        <v>0</v>
      </c>
      <c r="N8036" t="n">
        <v>0</v>
      </c>
      <c r="O8036" t="n">
        <v>0</v>
      </c>
      <c r="P8036" t="n">
        <v>0</v>
      </c>
      <c r="Q8036" t="n">
        <v>0</v>
      </c>
      <c r="R8036" s="2" t="inlineStr"/>
    </row>
    <row r="8037" ht="15" customHeight="1">
      <c r="A8037" t="inlineStr">
        <is>
          <t>A 47330-2025</t>
        </is>
      </c>
      <c r="B8037" s="1" t="n">
        <v>45930.56170138889</v>
      </c>
      <c r="C8037" s="1" t="n">
        <v>45952</v>
      </c>
      <c r="D8037" t="inlineStr">
        <is>
          <t>VÄSTRA GÖTALANDS LÄN</t>
        </is>
      </c>
      <c r="E8037" t="inlineStr">
        <is>
          <t>ALE</t>
        </is>
      </c>
      <c r="G8037" t="n">
        <v>3.7</v>
      </c>
      <c r="H8037" t="n">
        <v>0</v>
      </c>
      <c r="I8037" t="n">
        <v>0</v>
      </c>
      <c r="J8037" t="n">
        <v>0</v>
      </c>
      <c r="K8037" t="n">
        <v>0</v>
      </c>
      <c r="L8037" t="n">
        <v>0</v>
      </c>
      <c r="M8037" t="n">
        <v>0</v>
      </c>
      <c r="N8037" t="n">
        <v>0</v>
      </c>
      <c r="O8037" t="n">
        <v>0</v>
      </c>
      <c r="P8037" t="n">
        <v>0</v>
      </c>
      <c r="Q8037" t="n">
        <v>0</v>
      </c>
      <c r="R8037" s="2" t="inlineStr"/>
    </row>
    <row r="8038" ht="15" customHeight="1">
      <c r="A8038" t="inlineStr">
        <is>
          <t>A 47389-2025</t>
        </is>
      </c>
      <c r="B8038" s="1" t="n">
        <v>45930.60195601852</v>
      </c>
      <c r="C8038" s="1" t="n">
        <v>45952</v>
      </c>
      <c r="D8038" t="inlineStr">
        <is>
          <t>VÄSTRA GÖTALANDS LÄN</t>
        </is>
      </c>
      <c r="E8038" t="inlineStr">
        <is>
          <t>GÖTENE</t>
        </is>
      </c>
      <c r="G8038" t="n">
        <v>0.5</v>
      </c>
      <c r="H8038" t="n">
        <v>0</v>
      </c>
      <c r="I8038" t="n">
        <v>0</v>
      </c>
      <c r="J8038" t="n">
        <v>0</v>
      </c>
      <c r="K8038" t="n">
        <v>0</v>
      </c>
      <c r="L8038" t="n">
        <v>0</v>
      </c>
      <c r="M8038" t="n">
        <v>0</v>
      </c>
      <c r="N8038" t="n">
        <v>0</v>
      </c>
      <c r="O8038" t="n">
        <v>0</v>
      </c>
      <c r="P8038" t="n">
        <v>0</v>
      </c>
      <c r="Q8038" t="n">
        <v>0</v>
      </c>
      <c r="R8038" s="2" t="inlineStr"/>
    </row>
    <row r="8039" ht="15" customHeight="1">
      <c r="A8039" t="inlineStr">
        <is>
          <t>A 49142-2024</t>
        </is>
      </c>
      <c r="B8039" s="1" t="n">
        <v>45594.71888888889</v>
      </c>
      <c r="C8039" s="1" t="n">
        <v>45952</v>
      </c>
      <c r="D8039" t="inlineStr">
        <is>
          <t>VÄSTRA GÖTALANDS LÄN</t>
        </is>
      </c>
      <c r="E8039" t="inlineStr">
        <is>
          <t>UDDEVALLA</t>
        </is>
      </c>
      <c r="G8039" t="n">
        <v>2.4</v>
      </c>
      <c r="H8039" t="n">
        <v>0</v>
      </c>
      <c r="I8039" t="n">
        <v>0</v>
      </c>
      <c r="J8039" t="n">
        <v>0</v>
      </c>
      <c r="K8039" t="n">
        <v>0</v>
      </c>
      <c r="L8039" t="n">
        <v>0</v>
      </c>
      <c r="M8039" t="n">
        <v>0</v>
      </c>
      <c r="N8039" t="n">
        <v>0</v>
      </c>
      <c r="O8039" t="n">
        <v>0</v>
      </c>
      <c r="P8039" t="n">
        <v>0</v>
      </c>
      <c r="Q8039" t="n">
        <v>0</v>
      </c>
      <c r="R8039" s="2" t="inlineStr"/>
    </row>
    <row r="8040" ht="15" customHeight="1">
      <c r="A8040" t="inlineStr">
        <is>
          <t>A 49157-2024</t>
        </is>
      </c>
      <c r="B8040" s="1" t="n">
        <v>45594.83465277778</v>
      </c>
      <c r="C8040" s="1" t="n">
        <v>45952</v>
      </c>
      <c r="D8040" t="inlineStr">
        <is>
          <t>VÄSTRA GÖTALANDS LÄN</t>
        </is>
      </c>
      <c r="E8040" t="inlineStr">
        <is>
          <t>TIDAHOLM</t>
        </is>
      </c>
      <c r="G8040" t="n">
        <v>3</v>
      </c>
      <c r="H8040" t="n">
        <v>0</v>
      </c>
      <c r="I8040" t="n">
        <v>0</v>
      </c>
      <c r="J8040" t="n">
        <v>0</v>
      </c>
      <c r="K8040" t="n">
        <v>0</v>
      </c>
      <c r="L8040" t="n">
        <v>0</v>
      </c>
      <c r="M8040" t="n">
        <v>0</v>
      </c>
      <c r="N8040" t="n">
        <v>0</v>
      </c>
      <c r="O8040" t="n">
        <v>0</v>
      </c>
      <c r="P8040" t="n">
        <v>0</v>
      </c>
      <c r="Q8040" t="n">
        <v>0</v>
      </c>
      <c r="R8040" s="2" t="inlineStr"/>
    </row>
    <row r="8041" ht="15" customHeight="1">
      <c r="A8041" t="inlineStr">
        <is>
          <t>A 47391-2025</t>
        </is>
      </c>
      <c r="B8041" s="1" t="n">
        <v>45930.60347222222</v>
      </c>
      <c r="C8041" s="1" t="n">
        <v>45952</v>
      </c>
      <c r="D8041" t="inlineStr">
        <is>
          <t>VÄSTRA GÖTALANDS LÄN</t>
        </is>
      </c>
      <c r="E8041" t="inlineStr">
        <is>
          <t>TIDAHOLM</t>
        </is>
      </c>
      <c r="F8041" t="inlineStr">
        <is>
          <t>Sveaskog</t>
        </is>
      </c>
      <c r="G8041" t="n">
        <v>1.6</v>
      </c>
      <c r="H8041" t="n">
        <v>0</v>
      </c>
      <c r="I8041" t="n">
        <v>0</v>
      </c>
      <c r="J8041" t="n">
        <v>0</v>
      </c>
      <c r="K8041" t="n">
        <v>0</v>
      </c>
      <c r="L8041" t="n">
        <v>0</v>
      </c>
      <c r="M8041" t="n">
        <v>0</v>
      </c>
      <c r="N8041" t="n">
        <v>0</v>
      </c>
      <c r="O8041" t="n">
        <v>0</v>
      </c>
      <c r="P8041" t="n">
        <v>0</v>
      </c>
      <c r="Q8041" t="n">
        <v>0</v>
      </c>
      <c r="R8041" s="2" t="inlineStr"/>
    </row>
    <row r="8042" ht="15" customHeight="1">
      <c r="A8042" t="inlineStr">
        <is>
          <t>A 6013-2023</t>
        </is>
      </c>
      <c r="B8042" s="1" t="n">
        <v>44964</v>
      </c>
      <c r="C8042" s="1" t="n">
        <v>45952</v>
      </c>
      <c r="D8042" t="inlineStr">
        <is>
          <t>VÄSTRA GÖTALANDS LÄN</t>
        </is>
      </c>
      <c r="E8042" t="inlineStr">
        <is>
          <t>SVENLJUNGA</t>
        </is>
      </c>
      <c r="G8042" t="n">
        <v>1.1</v>
      </c>
      <c r="H8042" t="n">
        <v>0</v>
      </c>
      <c r="I8042" t="n">
        <v>0</v>
      </c>
      <c r="J8042" t="n">
        <v>0</v>
      </c>
      <c r="K8042" t="n">
        <v>0</v>
      </c>
      <c r="L8042" t="n">
        <v>0</v>
      </c>
      <c r="M8042" t="n">
        <v>0</v>
      </c>
      <c r="N8042" t="n">
        <v>0</v>
      </c>
      <c r="O8042" t="n">
        <v>0</v>
      </c>
      <c r="P8042" t="n">
        <v>0</v>
      </c>
      <c r="Q8042" t="n">
        <v>0</v>
      </c>
      <c r="R8042" s="2" t="inlineStr"/>
    </row>
    <row r="8043" ht="15" customHeight="1">
      <c r="A8043" t="inlineStr">
        <is>
          <t>A 25884-2023</t>
        </is>
      </c>
      <c r="B8043" s="1" t="n">
        <v>45085</v>
      </c>
      <c r="C8043" s="1" t="n">
        <v>45952</v>
      </c>
      <c r="D8043" t="inlineStr">
        <is>
          <t>VÄSTRA GÖTALANDS LÄN</t>
        </is>
      </c>
      <c r="E8043" t="inlineStr">
        <is>
          <t>STRÖMSTAD</t>
        </is>
      </c>
      <c r="G8043" t="n">
        <v>1</v>
      </c>
      <c r="H8043" t="n">
        <v>0</v>
      </c>
      <c r="I8043" t="n">
        <v>0</v>
      </c>
      <c r="J8043" t="n">
        <v>0</v>
      </c>
      <c r="K8043" t="n">
        <v>0</v>
      </c>
      <c r="L8043" t="n">
        <v>0</v>
      </c>
      <c r="M8043" t="n">
        <v>0</v>
      </c>
      <c r="N8043" t="n">
        <v>0</v>
      </c>
      <c r="O8043" t="n">
        <v>0</v>
      </c>
      <c r="P8043" t="n">
        <v>0</v>
      </c>
      <c r="Q8043" t="n">
        <v>0</v>
      </c>
      <c r="R8043" s="2" t="inlineStr"/>
    </row>
    <row r="8044" ht="15" customHeight="1">
      <c r="A8044" t="inlineStr">
        <is>
          <t>A 7115-2025</t>
        </is>
      </c>
      <c r="B8044" s="1" t="n">
        <v>45702</v>
      </c>
      <c r="C8044" s="1" t="n">
        <v>45952</v>
      </c>
      <c r="D8044" t="inlineStr">
        <is>
          <t>VÄSTRA GÖTALANDS LÄN</t>
        </is>
      </c>
      <c r="E8044" t="inlineStr">
        <is>
          <t>BORÅS</t>
        </is>
      </c>
      <c r="G8044" t="n">
        <v>0.7</v>
      </c>
      <c r="H8044" t="n">
        <v>0</v>
      </c>
      <c r="I8044" t="n">
        <v>0</v>
      </c>
      <c r="J8044" t="n">
        <v>0</v>
      </c>
      <c r="K8044" t="n">
        <v>0</v>
      </c>
      <c r="L8044" t="n">
        <v>0</v>
      </c>
      <c r="M8044" t="n">
        <v>0</v>
      </c>
      <c r="N8044" t="n">
        <v>0</v>
      </c>
      <c r="O8044" t="n">
        <v>0</v>
      </c>
      <c r="P8044" t="n">
        <v>0</v>
      </c>
      <c r="Q8044" t="n">
        <v>0</v>
      </c>
      <c r="R8044" s="2" t="inlineStr"/>
    </row>
    <row r="8045" ht="15" customHeight="1">
      <c r="A8045" t="inlineStr">
        <is>
          <t>A 4289-2025</t>
        </is>
      </c>
      <c r="B8045" s="1" t="n">
        <v>45685.65704861111</v>
      </c>
      <c r="C8045" s="1" t="n">
        <v>45952</v>
      </c>
      <c r="D8045" t="inlineStr">
        <is>
          <t>VÄSTRA GÖTALANDS LÄN</t>
        </is>
      </c>
      <c r="E8045" t="inlineStr">
        <is>
          <t>VARA</t>
        </is>
      </c>
      <c r="G8045" t="n">
        <v>1.9</v>
      </c>
      <c r="H8045" t="n">
        <v>0</v>
      </c>
      <c r="I8045" t="n">
        <v>0</v>
      </c>
      <c r="J8045" t="n">
        <v>0</v>
      </c>
      <c r="K8045" t="n">
        <v>0</v>
      </c>
      <c r="L8045" t="n">
        <v>0</v>
      </c>
      <c r="M8045" t="n">
        <v>0</v>
      </c>
      <c r="N8045" t="n">
        <v>0</v>
      </c>
      <c r="O8045" t="n">
        <v>0</v>
      </c>
      <c r="P8045" t="n">
        <v>0</v>
      </c>
      <c r="Q8045" t="n">
        <v>0</v>
      </c>
      <c r="R8045" s="2" t="inlineStr"/>
    </row>
    <row r="8046" ht="15" customHeight="1">
      <c r="A8046" t="inlineStr">
        <is>
          <t>A 21567-2025</t>
        </is>
      </c>
      <c r="B8046" s="1" t="n">
        <v>45782.73740740741</v>
      </c>
      <c r="C8046" s="1" t="n">
        <v>45952</v>
      </c>
      <c r="D8046" t="inlineStr">
        <is>
          <t>VÄSTRA GÖTALANDS LÄN</t>
        </is>
      </c>
      <c r="E8046" t="inlineStr">
        <is>
          <t>UDDEVALLA</t>
        </is>
      </c>
      <c r="G8046" t="n">
        <v>10.3</v>
      </c>
      <c r="H8046" t="n">
        <v>0</v>
      </c>
      <c r="I8046" t="n">
        <v>0</v>
      </c>
      <c r="J8046" t="n">
        <v>0</v>
      </c>
      <c r="K8046" t="n">
        <v>0</v>
      </c>
      <c r="L8046" t="n">
        <v>0</v>
      </c>
      <c r="M8046" t="n">
        <v>0</v>
      </c>
      <c r="N8046" t="n">
        <v>0</v>
      </c>
      <c r="O8046" t="n">
        <v>0</v>
      </c>
      <c r="P8046" t="n">
        <v>0</v>
      </c>
      <c r="Q8046" t="n">
        <v>0</v>
      </c>
      <c r="R8046" s="2" t="inlineStr"/>
    </row>
    <row r="8047" ht="15" customHeight="1">
      <c r="A8047" t="inlineStr">
        <is>
          <t>A 21574-2025</t>
        </is>
      </c>
      <c r="B8047" s="1" t="n">
        <v>45782.82858796296</v>
      </c>
      <c r="C8047" s="1" t="n">
        <v>45952</v>
      </c>
      <c r="D8047" t="inlineStr">
        <is>
          <t>VÄSTRA GÖTALANDS LÄN</t>
        </is>
      </c>
      <c r="E8047" t="inlineStr">
        <is>
          <t>BOLLEBYGD</t>
        </is>
      </c>
      <c r="G8047" t="n">
        <v>2.7</v>
      </c>
      <c r="H8047" t="n">
        <v>0</v>
      </c>
      <c r="I8047" t="n">
        <v>0</v>
      </c>
      <c r="J8047" t="n">
        <v>0</v>
      </c>
      <c r="K8047" t="n">
        <v>0</v>
      </c>
      <c r="L8047" t="n">
        <v>0</v>
      </c>
      <c r="M8047" t="n">
        <v>0</v>
      </c>
      <c r="N8047" t="n">
        <v>0</v>
      </c>
      <c r="O8047" t="n">
        <v>0</v>
      </c>
      <c r="P8047" t="n">
        <v>0</v>
      </c>
      <c r="Q8047" t="n">
        <v>0</v>
      </c>
      <c r="R8047" s="2" t="inlineStr"/>
    </row>
    <row r="8048" ht="15" customHeight="1">
      <c r="A8048" t="inlineStr">
        <is>
          <t>A 9401-2024</t>
        </is>
      </c>
      <c r="B8048" s="1" t="n">
        <v>45359.42094907408</v>
      </c>
      <c r="C8048" s="1" t="n">
        <v>45952</v>
      </c>
      <c r="D8048" t="inlineStr">
        <is>
          <t>VÄSTRA GÖTALANDS LÄN</t>
        </is>
      </c>
      <c r="E8048" t="inlineStr">
        <is>
          <t>BOLLEBYGD</t>
        </is>
      </c>
      <c r="G8048" t="n">
        <v>0.9</v>
      </c>
      <c r="H8048" t="n">
        <v>0</v>
      </c>
      <c r="I8048" t="n">
        <v>0</v>
      </c>
      <c r="J8048" t="n">
        <v>0</v>
      </c>
      <c r="K8048" t="n">
        <v>0</v>
      </c>
      <c r="L8048" t="n">
        <v>0</v>
      </c>
      <c r="M8048" t="n">
        <v>0</v>
      </c>
      <c r="N8048" t="n">
        <v>0</v>
      </c>
      <c r="O8048" t="n">
        <v>0</v>
      </c>
      <c r="P8048" t="n">
        <v>0</v>
      </c>
      <c r="Q8048" t="n">
        <v>0</v>
      </c>
      <c r="R8048" s="2" t="inlineStr"/>
    </row>
    <row r="8049" ht="15" customHeight="1">
      <c r="A8049" t="inlineStr">
        <is>
          <t>A 21535-2025</t>
        </is>
      </c>
      <c r="B8049" s="1" t="n">
        <v>45782.65741898148</v>
      </c>
      <c r="C8049" s="1" t="n">
        <v>45952</v>
      </c>
      <c r="D8049" t="inlineStr">
        <is>
          <t>VÄSTRA GÖTALANDS LÄN</t>
        </is>
      </c>
      <c r="E8049" t="inlineStr">
        <is>
          <t>VÅRGÅRDA</t>
        </is>
      </c>
      <c r="G8049" t="n">
        <v>3.6</v>
      </c>
      <c r="H8049" t="n">
        <v>0</v>
      </c>
      <c r="I8049" t="n">
        <v>0</v>
      </c>
      <c r="J8049" t="n">
        <v>0</v>
      </c>
      <c r="K8049" t="n">
        <v>0</v>
      </c>
      <c r="L8049" t="n">
        <v>0</v>
      </c>
      <c r="M8049" t="n">
        <v>0</v>
      </c>
      <c r="N8049" t="n">
        <v>0</v>
      </c>
      <c r="O8049" t="n">
        <v>0</v>
      </c>
      <c r="P8049" t="n">
        <v>0</v>
      </c>
      <c r="Q8049" t="n">
        <v>0</v>
      </c>
      <c r="R8049" s="2" t="inlineStr"/>
    </row>
    <row r="8050" ht="15" customHeight="1">
      <c r="A8050" t="inlineStr">
        <is>
          <t>A 21644-2025</t>
        </is>
      </c>
      <c r="B8050" s="1" t="n">
        <v>45783.43486111111</v>
      </c>
      <c r="C8050" s="1" t="n">
        <v>45952</v>
      </c>
      <c r="D8050" t="inlineStr">
        <is>
          <t>VÄSTRA GÖTALANDS LÄN</t>
        </is>
      </c>
      <c r="E8050" t="inlineStr">
        <is>
          <t>BENGTSFORS</t>
        </is>
      </c>
      <c r="G8050" t="n">
        <v>1.2</v>
      </c>
      <c r="H8050" t="n">
        <v>0</v>
      </c>
      <c r="I8050" t="n">
        <v>0</v>
      </c>
      <c r="J8050" t="n">
        <v>0</v>
      </c>
      <c r="K8050" t="n">
        <v>0</v>
      </c>
      <c r="L8050" t="n">
        <v>0</v>
      </c>
      <c r="M8050" t="n">
        <v>0</v>
      </c>
      <c r="N8050" t="n">
        <v>0</v>
      </c>
      <c r="O8050" t="n">
        <v>0</v>
      </c>
      <c r="P8050" t="n">
        <v>0</v>
      </c>
      <c r="Q8050" t="n">
        <v>0</v>
      </c>
      <c r="R8050" s="2" t="inlineStr"/>
    </row>
    <row r="8051" ht="15" customHeight="1">
      <c r="A8051" t="inlineStr">
        <is>
          <t>A 21579-2025</t>
        </is>
      </c>
      <c r="B8051" s="1" t="n">
        <v>45782.91234953704</v>
      </c>
      <c r="C8051" s="1" t="n">
        <v>45952</v>
      </c>
      <c r="D8051" t="inlineStr">
        <is>
          <t>VÄSTRA GÖTALANDS LÄN</t>
        </is>
      </c>
      <c r="E8051" t="inlineStr">
        <is>
          <t>KUNGÄLV</t>
        </is>
      </c>
      <c r="G8051" t="n">
        <v>1.3</v>
      </c>
      <c r="H8051" t="n">
        <v>0</v>
      </c>
      <c r="I8051" t="n">
        <v>0</v>
      </c>
      <c r="J8051" t="n">
        <v>0</v>
      </c>
      <c r="K8051" t="n">
        <v>0</v>
      </c>
      <c r="L8051" t="n">
        <v>0</v>
      </c>
      <c r="M8051" t="n">
        <v>0</v>
      </c>
      <c r="N8051" t="n">
        <v>0</v>
      </c>
      <c r="O8051" t="n">
        <v>0</v>
      </c>
      <c r="P8051" t="n">
        <v>0</v>
      </c>
      <c r="Q8051" t="n">
        <v>0</v>
      </c>
      <c r="R8051" s="2" t="inlineStr"/>
    </row>
    <row r="8052" ht="15" customHeight="1">
      <c r="A8052" t="inlineStr">
        <is>
          <t>A 4284-2024</t>
        </is>
      </c>
      <c r="B8052" s="1" t="n">
        <v>45324.58987268519</v>
      </c>
      <c r="C8052" s="1" t="n">
        <v>45952</v>
      </c>
      <c r="D8052" t="inlineStr">
        <is>
          <t>VÄSTRA GÖTALANDS LÄN</t>
        </is>
      </c>
      <c r="E8052" t="inlineStr">
        <is>
          <t>ULRICEHAMN</t>
        </is>
      </c>
      <c r="F8052" t="inlineStr">
        <is>
          <t>Kyrkan</t>
        </is>
      </c>
      <c r="G8052" t="n">
        <v>0.6</v>
      </c>
      <c r="H8052" t="n">
        <v>0</v>
      </c>
      <c r="I8052" t="n">
        <v>0</v>
      </c>
      <c r="J8052" t="n">
        <v>0</v>
      </c>
      <c r="K8052" t="n">
        <v>0</v>
      </c>
      <c r="L8052" t="n">
        <v>0</v>
      </c>
      <c r="M8052" t="n">
        <v>0</v>
      </c>
      <c r="N8052" t="n">
        <v>0</v>
      </c>
      <c r="O8052" t="n">
        <v>0</v>
      </c>
      <c r="P8052" t="n">
        <v>0</v>
      </c>
      <c r="Q8052" t="n">
        <v>0</v>
      </c>
      <c r="R8052" s="2" t="inlineStr"/>
    </row>
    <row r="8053" ht="15" customHeight="1">
      <c r="A8053" t="inlineStr">
        <is>
          <t>A 6715-2024</t>
        </is>
      </c>
      <c r="B8053" s="1" t="n">
        <v>45342.34943287037</v>
      </c>
      <c r="C8053" s="1" t="n">
        <v>45952</v>
      </c>
      <c r="D8053" t="inlineStr">
        <is>
          <t>VÄSTRA GÖTALANDS LÄN</t>
        </is>
      </c>
      <c r="E8053" t="inlineStr">
        <is>
          <t>SVENLJUNGA</t>
        </is>
      </c>
      <c r="G8053" t="n">
        <v>8.800000000000001</v>
      </c>
      <c r="H8053" t="n">
        <v>0</v>
      </c>
      <c r="I8053" t="n">
        <v>0</v>
      </c>
      <c r="J8053" t="n">
        <v>0</v>
      </c>
      <c r="K8053" t="n">
        <v>0</v>
      </c>
      <c r="L8053" t="n">
        <v>0</v>
      </c>
      <c r="M8053" t="n">
        <v>0</v>
      </c>
      <c r="N8053" t="n">
        <v>0</v>
      </c>
      <c r="O8053" t="n">
        <v>0</v>
      </c>
      <c r="P8053" t="n">
        <v>0</v>
      </c>
      <c r="Q8053" t="n">
        <v>0</v>
      </c>
      <c r="R8053" s="2" t="inlineStr"/>
    </row>
    <row r="8054" ht="15" customHeight="1">
      <c r="A8054" t="inlineStr">
        <is>
          <t>A 47189-2025</t>
        </is>
      </c>
      <c r="B8054" s="1" t="n">
        <v>45930</v>
      </c>
      <c r="C8054" s="1" t="n">
        <v>45952</v>
      </c>
      <c r="D8054" t="inlineStr">
        <is>
          <t>VÄSTRA GÖTALANDS LÄN</t>
        </is>
      </c>
      <c r="E8054" t="inlineStr">
        <is>
          <t>GULLSPÅNG</t>
        </is>
      </c>
      <c r="G8054" t="n">
        <v>1.2</v>
      </c>
      <c r="H8054" t="n">
        <v>0</v>
      </c>
      <c r="I8054" t="n">
        <v>0</v>
      </c>
      <c r="J8054" t="n">
        <v>0</v>
      </c>
      <c r="K8054" t="n">
        <v>0</v>
      </c>
      <c r="L8054" t="n">
        <v>0</v>
      </c>
      <c r="M8054" t="n">
        <v>0</v>
      </c>
      <c r="N8054" t="n">
        <v>0</v>
      </c>
      <c r="O8054" t="n">
        <v>0</v>
      </c>
      <c r="P8054" t="n">
        <v>0</v>
      </c>
      <c r="Q8054" t="n">
        <v>0</v>
      </c>
      <c r="R8054" s="2" t="inlineStr"/>
    </row>
    <row r="8055" ht="15" customHeight="1">
      <c r="A8055" t="inlineStr">
        <is>
          <t>A 24107-2024</t>
        </is>
      </c>
      <c r="B8055" s="1" t="n">
        <v>45456</v>
      </c>
      <c r="C8055" s="1" t="n">
        <v>45952</v>
      </c>
      <c r="D8055" t="inlineStr">
        <is>
          <t>VÄSTRA GÖTALANDS LÄN</t>
        </is>
      </c>
      <c r="E8055" t="inlineStr">
        <is>
          <t>VÄNERSBORG</t>
        </is>
      </c>
      <c r="G8055" t="n">
        <v>1.5</v>
      </c>
      <c r="H8055" t="n">
        <v>0</v>
      </c>
      <c r="I8055" t="n">
        <v>0</v>
      </c>
      <c r="J8055" t="n">
        <v>0</v>
      </c>
      <c r="K8055" t="n">
        <v>0</v>
      </c>
      <c r="L8055" t="n">
        <v>0</v>
      </c>
      <c r="M8055" t="n">
        <v>0</v>
      </c>
      <c r="N8055" t="n">
        <v>0</v>
      </c>
      <c r="O8055" t="n">
        <v>0</v>
      </c>
      <c r="P8055" t="n">
        <v>0</v>
      </c>
      <c r="Q8055" t="n">
        <v>0</v>
      </c>
      <c r="R8055" s="2" t="inlineStr"/>
    </row>
    <row r="8056" ht="15" customHeight="1">
      <c r="A8056" t="inlineStr">
        <is>
          <t>A 39188-2025</t>
        </is>
      </c>
      <c r="B8056" s="1" t="n">
        <v>45888.67532407407</v>
      </c>
      <c r="C8056" s="1" t="n">
        <v>45952</v>
      </c>
      <c r="D8056" t="inlineStr">
        <is>
          <t>VÄSTRA GÖTALANDS LÄN</t>
        </is>
      </c>
      <c r="E8056" t="inlineStr">
        <is>
          <t>BOLLEBYGD</t>
        </is>
      </c>
      <c r="G8056" t="n">
        <v>1.8</v>
      </c>
      <c r="H8056" t="n">
        <v>0</v>
      </c>
      <c r="I8056" t="n">
        <v>0</v>
      </c>
      <c r="J8056" t="n">
        <v>0</v>
      </c>
      <c r="K8056" t="n">
        <v>0</v>
      </c>
      <c r="L8056" t="n">
        <v>0</v>
      </c>
      <c r="M8056" t="n">
        <v>0</v>
      </c>
      <c r="N8056" t="n">
        <v>0</v>
      </c>
      <c r="O8056" t="n">
        <v>0</v>
      </c>
      <c r="P8056" t="n">
        <v>0</v>
      </c>
      <c r="Q8056" t="n">
        <v>0</v>
      </c>
      <c r="R8056" s="2" t="inlineStr"/>
    </row>
    <row r="8057" ht="15" customHeight="1">
      <c r="A8057" t="inlineStr">
        <is>
          <t>A 33902-2021</t>
        </is>
      </c>
      <c r="B8057" s="1" t="n">
        <v>44378</v>
      </c>
      <c r="C8057" s="1" t="n">
        <v>45952</v>
      </c>
      <c r="D8057" t="inlineStr">
        <is>
          <t>VÄSTRA GÖTALANDS LÄN</t>
        </is>
      </c>
      <c r="E8057" t="inlineStr">
        <is>
          <t>MELLERUD</t>
        </is>
      </c>
      <c r="G8057" t="n">
        <v>1</v>
      </c>
      <c r="H8057" t="n">
        <v>0</v>
      </c>
      <c r="I8057" t="n">
        <v>0</v>
      </c>
      <c r="J8057" t="n">
        <v>0</v>
      </c>
      <c r="K8057" t="n">
        <v>0</v>
      </c>
      <c r="L8057" t="n">
        <v>0</v>
      </c>
      <c r="M8057" t="n">
        <v>0</v>
      </c>
      <c r="N8057" t="n">
        <v>0</v>
      </c>
      <c r="O8057" t="n">
        <v>0</v>
      </c>
      <c r="P8057" t="n">
        <v>0</v>
      </c>
      <c r="Q8057" t="n">
        <v>0</v>
      </c>
      <c r="R8057" s="2" t="inlineStr"/>
    </row>
    <row r="8058" ht="15" customHeight="1">
      <c r="A8058" t="inlineStr">
        <is>
          <t>A 49409-2022</t>
        </is>
      </c>
      <c r="B8058" s="1" t="n">
        <v>44861.63327546296</v>
      </c>
      <c r="C8058" s="1" t="n">
        <v>45952</v>
      </c>
      <c r="D8058" t="inlineStr">
        <is>
          <t>VÄSTRA GÖTALANDS LÄN</t>
        </is>
      </c>
      <c r="E8058" t="inlineStr">
        <is>
          <t>BENGTSFORS</t>
        </is>
      </c>
      <c r="G8058" t="n">
        <v>2.7</v>
      </c>
      <c r="H8058" t="n">
        <v>0</v>
      </c>
      <c r="I8058" t="n">
        <v>0</v>
      </c>
      <c r="J8058" t="n">
        <v>0</v>
      </c>
      <c r="K8058" t="n">
        <v>0</v>
      </c>
      <c r="L8058" t="n">
        <v>0</v>
      </c>
      <c r="M8058" t="n">
        <v>0</v>
      </c>
      <c r="N8058" t="n">
        <v>0</v>
      </c>
      <c r="O8058" t="n">
        <v>0</v>
      </c>
      <c r="P8058" t="n">
        <v>0</v>
      </c>
      <c r="Q8058" t="n">
        <v>0</v>
      </c>
      <c r="R8058" s="2" t="inlineStr"/>
    </row>
    <row r="8059" ht="15" customHeight="1">
      <c r="A8059" t="inlineStr">
        <is>
          <t>A 23906-2024</t>
        </is>
      </c>
      <c r="B8059" s="1" t="n">
        <v>45455.80586805556</v>
      </c>
      <c r="C8059" s="1" t="n">
        <v>45952</v>
      </c>
      <c r="D8059" t="inlineStr">
        <is>
          <t>VÄSTRA GÖTALANDS LÄN</t>
        </is>
      </c>
      <c r="E8059" t="inlineStr">
        <is>
          <t>BOLLEBYGD</t>
        </is>
      </c>
      <c r="G8059" t="n">
        <v>4</v>
      </c>
      <c r="H8059" t="n">
        <v>0</v>
      </c>
      <c r="I8059" t="n">
        <v>0</v>
      </c>
      <c r="J8059" t="n">
        <v>0</v>
      </c>
      <c r="K8059" t="n">
        <v>0</v>
      </c>
      <c r="L8059" t="n">
        <v>0</v>
      </c>
      <c r="M8059" t="n">
        <v>0</v>
      </c>
      <c r="N8059" t="n">
        <v>0</v>
      </c>
      <c r="O8059" t="n">
        <v>0</v>
      </c>
      <c r="P8059" t="n">
        <v>0</v>
      </c>
      <c r="Q8059" t="n">
        <v>0</v>
      </c>
      <c r="R8059" s="2" t="inlineStr"/>
    </row>
    <row r="8060" ht="15" customHeight="1">
      <c r="A8060" t="inlineStr">
        <is>
          <t>A 21304-2025</t>
        </is>
      </c>
      <c r="B8060" s="1" t="n">
        <v>45781.36851851852</v>
      </c>
      <c r="C8060" s="1" t="n">
        <v>45952</v>
      </c>
      <c r="D8060" t="inlineStr">
        <is>
          <t>VÄSTRA GÖTALANDS LÄN</t>
        </is>
      </c>
      <c r="E8060" t="inlineStr">
        <is>
          <t>LILLA EDET</t>
        </is>
      </c>
      <c r="G8060" t="n">
        <v>2.3</v>
      </c>
      <c r="H8060" t="n">
        <v>0</v>
      </c>
      <c r="I8060" t="n">
        <v>0</v>
      </c>
      <c r="J8060" t="n">
        <v>0</v>
      </c>
      <c r="K8060" t="n">
        <v>0</v>
      </c>
      <c r="L8060" t="n">
        <v>0</v>
      </c>
      <c r="M8060" t="n">
        <v>0</v>
      </c>
      <c r="N8060" t="n">
        <v>0</v>
      </c>
      <c r="O8060" t="n">
        <v>0</v>
      </c>
      <c r="P8060" t="n">
        <v>0</v>
      </c>
      <c r="Q8060" t="n">
        <v>0</v>
      </c>
      <c r="R8060" s="2" t="inlineStr"/>
    </row>
    <row r="8061" ht="15" customHeight="1">
      <c r="A8061" t="inlineStr">
        <is>
          <t>A 28953-2025</t>
        </is>
      </c>
      <c r="B8061" s="1" t="n">
        <v>45821.27439814815</v>
      </c>
      <c r="C8061" s="1" t="n">
        <v>45952</v>
      </c>
      <c r="D8061" t="inlineStr">
        <is>
          <t>VÄSTRA GÖTALANDS LÄN</t>
        </is>
      </c>
      <c r="E8061" t="inlineStr">
        <is>
          <t>MUNKEDAL</t>
        </is>
      </c>
      <c r="G8061" t="n">
        <v>1.6</v>
      </c>
      <c r="H8061" t="n">
        <v>0</v>
      </c>
      <c r="I8061" t="n">
        <v>0</v>
      </c>
      <c r="J8061" t="n">
        <v>0</v>
      </c>
      <c r="K8061" t="n">
        <v>0</v>
      </c>
      <c r="L8061" t="n">
        <v>0</v>
      </c>
      <c r="M8061" t="n">
        <v>0</v>
      </c>
      <c r="N8061" t="n">
        <v>0</v>
      </c>
      <c r="O8061" t="n">
        <v>0</v>
      </c>
      <c r="P8061" t="n">
        <v>0</v>
      </c>
      <c r="Q8061" t="n">
        <v>0</v>
      </c>
      <c r="R8061" s="2" t="inlineStr"/>
    </row>
    <row r="8062" ht="15" customHeight="1">
      <c r="A8062" t="inlineStr">
        <is>
          <t>A 3251-2023</t>
        </is>
      </c>
      <c r="B8062" s="1" t="n">
        <v>44947.52337962963</v>
      </c>
      <c r="C8062" s="1" t="n">
        <v>45952</v>
      </c>
      <c r="D8062" t="inlineStr">
        <is>
          <t>VÄSTRA GÖTALANDS LÄN</t>
        </is>
      </c>
      <c r="E8062" t="inlineStr">
        <is>
          <t>ULRICEHAMN</t>
        </is>
      </c>
      <c r="G8062" t="n">
        <v>0.7</v>
      </c>
      <c r="H8062" t="n">
        <v>0</v>
      </c>
      <c r="I8062" t="n">
        <v>0</v>
      </c>
      <c r="J8062" t="n">
        <v>0</v>
      </c>
      <c r="K8062" t="n">
        <v>0</v>
      </c>
      <c r="L8062" t="n">
        <v>0</v>
      </c>
      <c r="M8062" t="n">
        <v>0</v>
      </c>
      <c r="N8062" t="n">
        <v>0</v>
      </c>
      <c r="O8062" t="n">
        <v>0</v>
      </c>
      <c r="P8062" t="n">
        <v>0</v>
      </c>
      <c r="Q8062" t="n">
        <v>0</v>
      </c>
      <c r="R8062" s="2" t="inlineStr"/>
    </row>
    <row r="8063" ht="15" customHeight="1">
      <c r="A8063" t="inlineStr">
        <is>
          <t>A 47258-2025</t>
        </is>
      </c>
      <c r="B8063" s="1" t="n">
        <v>45930.44646990741</v>
      </c>
      <c r="C8063" s="1" t="n">
        <v>45952</v>
      </c>
      <c r="D8063" t="inlineStr">
        <is>
          <t>VÄSTRA GÖTALANDS LÄN</t>
        </is>
      </c>
      <c r="E8063" t="inlineStr">
        <is>
          <t>BOLLEBYGD</t>
        </is>
      </c>
      <c r="G8063" t="n">
        <v>3.8</v>
      </c>
      <c r="H8063" t="n">
        <v>0</v>
      </c>
      <c r="I8063" t="n">
        <v>0</v>
      </c>
      <c r="J8063" t="n">
        <v>0</v>
      </c>
      <c r="K8063" t="n">
        <v>0</v>
      </c>
      <c r="L8063" t="n">
        <v>0</v>
      </c>
      <c r="M8063" t="n">
        <v>0</v>
      </c>
      <c r="N8063" t="n">
        <v>0</v>
      </c>
      <c r="O8063" t="n">
        <v>0</v>
      </c>
      <c r="P8063" t="n">
        <v>0</v>
      </c>
      <c r="Q8063" t="n">
        <v>0</v>
      </c>
      <c r="R8063" s="2" t="inlineStr"/>
    </row>
    <row r="8064" ht="15" customHeight="1">
      <c r="A8064" t="inlineStr">
        <is>
          <t>A 15965-2025</t>
        </is>
      </c>
      <c r="B8064" s="1" t="n">
        <v>45749.54219907407</v>
      </c>
      <c r="C8064" s="1" t="n">
        <v>45952</v>
      </c>
      <c r="D8064" t="inlineStr">
        <is>
          <t>VÄSTRA GÖTALANDS LÄN</t>
        </is>
      </c>
      <c r="E8064" t="inlineStr">
        <is>
          <t>BORÅS</t>
        </is>
      </c>
      <c r="G8064" t="n">
        <v>2</v>
      </c>
      <c r="H8064" t="n">
        <v>0</v>
      </c>
      <c r="I8064" t="n">
        <v>0</v>
      </c>
      <c r="J8064" t="n">
        <v>0</v>
      </c>
      <c r="K8064" t="n">
        <v>0</v>
      </c>
      <c r="L8064" t="n">
        <v>0</v>
      </c>
      <c r="M8064" t="n">
        <v>0</v>
      </c>
      <c r="N8064" t="n">
        <v>0</v>
      </c>
      <c r="O8064" t="n">
        <v>0</v>
      </c>
      <c r="P8064" t="n">
        <v>0</v>
      </c>
      <c r="Q8064" t="n">
        <v>0</v>
      </c>
      <c r="R8064" s="2" t="inlineStr"/>
    </row>
    <row r="8065" ht="15" customHeight="1">
      <c r="A8065" t="inlineStr">
        <is>
          <t>A 39403-2025</t>
        </is>
      </c>
      <c r="B8065" s="1" t="n">
        <v>45889.63668981481</v>
      </c>
      <c r="C8065" s="1" t="n">
        <v>45952</v>
      </c>
      <c r="D8065" t="inlineStr">
        <is>
          <t>VÄSTRA GÖTALANDS LÄN</t>
        </is>
      </c>
      <c r="E8065" t="inlineStr">
        <is>
          <t>ULRICEHAMN</t>
        </is>
      </c>
      <c r="G8065" t="n">
        <v>4.3</v>
      </c>
      <c r="H8065" t="n">
        <v>0</v>
      </c>
      <c r="I8065" t="n">
        <v>0</v>
      </c>
      <c r="J8065" t="n">
        <v>0</v>
      </c>
      <c r="K8065" t="n">
        <v>0</v>
      </c>
      <c r="L8065" t="n">
        <v>0</v>
      </c>
      <c r="M8065" t="n">
        <v>0</v>
      </c>
      <c r="N8065" t="n">
        <v>0</v>
      </c>
      <c r="O8065" t="n">
        <v>0</v>
      </c>
      <c r="P8065" t="n">
        <v>0</v>
      </c>
      <c r="Q8065" t="n">
        <v>0</v>
      </c>
      <c r="R8065" s="2" t="inlineStr"/>
    </row>
    <row r="8066" ht="15" customHeight="1">
      <c r="A8066" t="inlineStr">
        <is>
          <t>A 39405-2025</t>
        </is>
      </c>
      <c r="B8066" s="1" t="n">
        <v>45889</v>
      </c>
      <c r="C8066" s="1" t="n">
        <v>45952</v>
      </c>
      <c r="D8066" t="inlineStr">
        <is>
          <t>VÄSTRA GÖTALANDS LÄN</t>
        </is>
      </c>
      <c r="E8066" t="inlineStr">
        <is>
          <t>MARIESTAD</t>
        </is>
      </c>
      <c r="G8066" t="n">
        <v>0.9</v>
      </c>
      <c r="H8066" t="n">
        <v>0</v>
      </c>
      <c r="I8066" t="n">
        <v>0</v>
      </c>
      <c r="J8066" t="n">
        <v>0</v>
      </c>
      <c r="K8066" t="n">
        <v>0</v>
      </c>
      <c r="L8066" t="n">
        <v>0</v>
      </c>
      <c r="M8066" t="n">
        <v>0</v>
      </c>
      <c r="N8066" t="n">
        <v>0</v>
      </c>
      <c r="O8066" t="n">
        <v>0</v>
      </c>
      <c r="P8066" t="n">
        <v>0</v>
      </c>
      <c r="Q8066" t="n">
        <v>0</v>
      </c>
      <c r="R8066" s="2" t="inlineStr"/>
    </row>
    <row r="8067" ht="15" customHeight="1">
      <c r="A8067" t="inlineStr">
        <is>
          <t>A 46338-2025</t>
        </is>
      </c>
      <c r="B8067" s="1" t="n">
        <v>45925</v>
      </c>
      <c r="C8067" s="1" t="n">
        <v>45952</v>
      </c>
      <c r="D8067" t="inlineStr">
        <is>
          <t>VÄSTRA GÖTALANDS LÄN</t>
        </is>
      </c>
      <c r="E8067" t="inlineStr">
        <is>
          <t>FALKÖPING</t>
        </is>
      </c>
      <c r="G8067" t="n">
        <v>0.4</v>
      </c>
      <c r="H8067" t="n">
        <v>0</v>
      </c>
      <c r="I8067" t="n">
        <v>0</v>
      </c>
      <c r="J8067" t="n">
        <v>0</v>
      </c>
      <c r="K8067" t="n">
        <v>0</v>
      </c>
      <c r="L8067" t="n">
        <v>0</v>
      </c>
      <c r="M8067" t="n">
        <v>0</v>
      </c>
      <c r="N8067" t="n">
        <v>0</v>
      </c>
      <c r="O8067" t="n">
        <v>0</v>
      </c>
      <c r="P8067" t="n">
        <v>0</v>
      </c>
      <c r="Q8067" t="n">
        <v>0</v>
      </c>
      <c r="R8067" s="2" t="inlineStr"/>
    </row>
    <row r="8068" ht="15" customHeight="1">
      <c r="A8068" t="inlineStr">
        <is>
          <t>A 12101-2022</t>
        </is>
      </c>
      <c r="B8068" s="1" t="n">
        <v>44636</v>
      </c>
      <c r="C8068" s="1" t="n">
        <v>45952</v>
      </c>
      <c r="D8068" t="inlineStr">
        <is>
          <t>VÄSTRA GÖTALANDS LÄN</t>
        </is>
      </c>
      <c r="E8068" t="inlineStr">
        <is>
          <t>ULRICEHAMN</t>
        </is>
      </c>
      <c r="G8068" t="n">
        <v>1.6</v>
      </c>
      <c r="H8068" t="n">
        <v>0</v>
      </c>
      <c r="I8068" t="n">
        <v>0</v>
      </c>
      <c r="J8068" t="n">
        <v>0</v>
      </c>
      <c r="K8068" t="n">
        <v>0</v>
      </c>
      <c r="L8068" t="n">
        <v>0</v>
      </c>
      <c r="M8068" t="n">
        <v>0</v>
      </c>
      <c r="N8068" t="n">
        <v>0</v>
      </c>
      <c r="O8068" t="n">
        <v>0</v>
      </c>
      <c r="P8068" t="n">
        <v>0</v>
      </c>
      <c r="Q8068" t="n">
        <v>0</v>
      </c>
      <c r="R8068" s="2" t="inlineStr"/>
    </row>
    <row r="8069" ht="15" customHeight="1">
      <c r="A8069" t="inlineStr">
        <is>
          <t>A 9601-2023</t>
        </is>
      </c>
      <c r="B8069" s="1" t="n">
        <v>44983</v>
      </c>
      <c r="C8069" s="1" t="n">
        <v>45952</v>
      </c>
      <c r="D8069" t="inlineStr">
        <is>
          <t>VÄSTRA GÖTALANDS LÄN</t>
        </is>
      </c>
      <c r="E8069" t="inlineStr">
        <is>
          <t>TRANEMO</t>
        </is>
      </c>
      <c r="G8069" t="n">
        <v>1</v>
      </c>
      <c r="H8069" t="n">
        <v>0</v>
      </c>
      <c r="I8069" t="n">
        <v>0</v>
      </c>
      <c r="J8069" t="n">
        <v>0</v>
      </c>
      <c r="K8069" t="n">
        <v>0</v>
      </c>
      <c r="L8069" t="n">
        <v>0</v>
      </c>
      <c r="M8069" t="n">
        <v>0</v>
      </c>
      <c r="N8069" t="n">
        <v>0</v>
      </c>
      <c r="O8069" t="n">
        <v>0</v>
      </c>
      <c r="P8069" t="n">
        <v>0</v>
      </c>
      <c r="Q8069" t="n">
        <v>0</v>
      </c>
      <c r="R8069" s="2" t="inlineStr"/>
    </row>
    <row r="8070" ht="15" customHeight="1">
      <c r="A8070" t="inlineStr">
        <is>
          <t>A 47613-2025</t>
        </is>
      </c>
      <c r="B8070" s="1" t="n">
        <v>45931</v>
      </c>
      <c r="C8070" s="1" t="n">
        <v>45952</v>
      </c>
      <c r="D8070" t="inlineStr">
        <is>
          <t>VÄSTRA GÖTALANDS LÄN</t>
        </is>
      </c>
      <c r="E8070" t="inlineStr">
        <is>
          <t>BORÅS</t>
        </is>
      </c>
      <c r="F8070" t="inlineStr">
        <is>
          <t>Kommuner</t>
        </is>
      </c>
      <c r="G8070" t="n">
        <v>4.5</v>
      </c>
      <c r="H8070" t="n">
        <v>0</v>
      </c>
      <c r="I8070" t="n">
        <v>0</v>
      </c>
      <c r="J8070" t="n">
        <v>0</v>
      </c>
      <c r="K8070" t="n">
        <v>0</v>
      </c>
      <c r="L8070" t="n">
        <v>0</v>
      </c>
      <c r="M8070" t="n">
        <v>0</v>
      </c>
      <c r="N8070" t="n">
        <v>0</v>
      </c>
      <c r="O8070" t="n">
        <v>0</v>
      </c>
      <c r="P8070" t="n">
        <v>0</v>
      </c>
      <c r="Q8070" t="n">
        <v>0</v>
      </c>
      <c r="R8070" s="2" t="inlineStr"/>
    </row>
    <row r="8071" ht="15" customHeight="1">
      <c r="A8071" t="inlineStr">
        <is>
          <t>A 47630-2025</t>
        </is>
      </c>
      <c r="B8071" s="1" t="n">
        <v>45931.48855324074</v>
      </c>
      <c r="C8071" s="1" t="n">
        <v>45952</v>
      </c>
      <c r="D8071" t="inlineStr">
        <is>
          <t>VÄSTRA GÖTALANDS LÄN</t>
        </is>
      </c>
      <c r="E8071" t="inlineStr">
        <is>
          <t>ORUST</t>
        </is>
      </c>
      <c r="G8071" t="n">
        <v>2.8</v>
      </c>
      <c r="H8071" t="n">
        <v>0</v>
      </c>
      <c r="I8071" t="n">
        <v>0</v>
      </c>
      <c r="J8071" t="n">
        <v>0</v>
      </c>
      <c r="K8071" t="n">
        <v>0</v>
      </c>
      <c r="L8071" t="n">
        <v>0</v>
      </c>
      <c r="M8071" t="n">
        <v>0</v>
      </c>
      <c r="N8071" t="n">
        <v>0</v>
      </c>
      <c r="O8071" t="n">
        <v>0</v>
      </c>
      <c r="P8071" t="n">
        <v>0</v>
      </c>
      <c r="Q8071" t="n">
        <v>0</v>
      </c>
      <c r="R8071" s="2" t="inlineStr"/>
    </row>
    <row r="8072" ht="15" customHeight="1">
      <c r="A8072" t="inlineStr">
        <is>
          <t>A 45483-2021</t>
        </is>
      </c>
      <c r="B8072" s="1" t="n">
        <v>44440.48633101852</v>
      </c>
      <c r="C8072" s="1" t="n">
        <v>45952</v>
      </c>
      <c r="D8072" t="inlineStr">
        <is>
          <t>VÄSTRA GÖTALANDS LÄN</t>
        </is>
      </c>
      <c r="E8072" t="inlineStr">
        <is>
          <t>SVENLJUNGA</t>
        </is>
      </c>
      <c r="G8072" t="n">
        <v>1.2</v>
      </c>
      <c r="H8072" t="n">
        <v>0</v>
      </c>
      <c r="I8072" t="n">
        <v>0</v>
      </c>
      <c r="J8072" t="n">
        <v>0</v>
      </c>
      <c r="K8072" t="n">
        <v>0</v>
      </c>
      <c r="L8072" t="n">
        <v>0</v>
      </c>
      <c r="M8072" t="n">
        <v>0</v>
      </c>
      <c r="N8072" t="n">
        <v>0</v>
      </c>
      <c r="O8072" t="n">
        <v>0</v>
      </c>
      <c r="P8072" t="n">
        <v>0</v>
      </c>
      <c r="Q8072" t="n">
        <v>0</v>
      </c>
      <c r="R8072" s="2" t="inlineStr"/>
    </row>
    <row r="8073" ht="15" customHeight="1">
      <c r="A8073" t="inlineStr">
        <is>
          <t>A 52198-2022</t>
        </is>
      </c>
      <c r="B8073" s="1" t="n">
        <v>44873.55699074074</v>
      </c>
      <c r="C8073" s="1" t="n">
        <v>45952</v>
      </c>
      <c r="D8073" t="inlineStr">
        <is>
          <t>VÄSTRA GÖTALANDS LÄN</t>
        </is>
      </c>
      <c r="E8073" t="inlineStr">
        <is>
          <t>ULRICEHAMN</t>
        </is>
      </c>
      <c r="G8073" t="n">
        <v>2.9</v>
      </c>
      <c r="H8073" t="n">
        <v>0</v>
      </c>
      <c r="I8073" t="n">
        <v>0</v>
      </c>
      <c r="J8073" t="n">
        <v>0</v>
      </c>
      <c r="K8073" t="n">
        <v>0</v>
      </c>
      <c r="L8073" t="n">
        <v>0</v>
      </c>
      <c r="M8073" t="n">
        <v>0</v>
      </c>
      <c r="N8073" t="n">
        <v>0</v>
      </c>
      <c r="O8073" t="n">
        <v>0</v>
      </c>
      <c r="P8073" t="n">
        <v>0</v>
      </c>
      <c r="Q8073" t="n">
        <v>0</v>
      </c>
      <c r="R8073" s="2" t="inlineStr"/>
    </row>
    <row r="8074" ht="15" customHeight="1">
      <c r="A8074" t="inlineStr">
        <is>
          <t>A 21641-2025</t>
        </is>
      </c>
      <c r="B8074" s="1" t="n">
        <v>45783.43375</v>
      </c>
      <c r="C8074" s="1" t="n">
        <v>45952</v>
      </c>
      <c r="D8074" t="inlineStr">
        <is>
          <t>VÄSTRA GÖTALANDS LÄN</t>
        </is>
      </c>
      <c r="E8074" t="inlineStr">
        <is>
          <t>BENGTSFORS</t>
        </is>
      </c>
      <c r="G8074" t="n">
        <v>3</v>
      </c>
      <c r="H8074" t="n">
        <v>0</v>
      </c>
      <c r="I8074" t="n">
        <v>0</v>
      </c>
      <c r="J8074" t="n">
        <v>0</v>
      </c>
      <c r="K8074" t="n">
        <v>0</v>
      </c>
      <c r="L8074" t="n">
        <v>0</v>
      </c>
      <c r="M8074" t="n">
        <v>0</v>
      </c>
      <c r="N8074" t="n">
        <v>0</v>
      </c>
      <c r="O8074" t="n">
        <v>0</v>
      </c>
      <c r="P8074" t="n">
        <v>0</v>
      </c>
      <c r="Q8074" t="n">
        <v>0</v>
      </c>
      <c r="R8074" s="2" t="inlineStr"/>
    </row>
    <row r="8075" ht="15" customHeight="1">
      <c r="A8075" t="inlineStr">
        <is>
          <t>A 21571-2025</t>
        </is>
      </c>
      <c r="B8075" s="1" t="n">
        <v>45782.76021990741</v>
      </c>
      <c r="C8075" s="1" t="n">
        <v>45952</v>
      </c>
      <c r="D8075" t="inlineStr">
        <is>
          <t>VÄSTRA GÖTALANDS LÄN</t>
        </is>
      </c>
      <c r="E8075" t="inlineStr">
        <is>
          <t>DALS-ED</t>
        </is>
      </c>
      <c r="G8075" t="n">
        <v>2.2</v>
      </c>
      <c r="H8075" t="n">
        <v>0</v>
      </c>
      <c r="I8075" t="n">
        <v>0</v>
      </c>
      <c r="J8075" t="n">
        <v>0</v>
      </c>
      <c r="K8075" t="n">
        <v>0</v>
      </c>
      <c r="L8075" t="n">
        <v>0</v>
      </c>
      <c r="M8075" t="n">
        <v>0</v>
      </c>
      <c r="N8075" t="n">
        <v>0</v>
      </c>
      <c r="O8075" t="n">
        <v>0</v>
      </c>
      <c r="P8075" t="n">
        <v>0</v>
      </c>
      <c r="Q8075" t="n">
        <v>0</v>
      </c>
      <c r="R8075" s="2" t="inlineStr"/>
    </row>
    <row r="8076" ht="15" customHeight="1">
      <c r="A8076" t="inlineStr">
        <is>
          <t>A 8052-2023</t>
        </is>
      </c>
      <c r="B8076" s="1" t="n">
        <v>44974</v>
      </c>
      <c r="C8076" s="1" t="n">
        <v>45952</v>
      </c>
      <c r="D8076" t="inlineStr">
        <is>
          <t>VÄSTRA GÖTALANDS LÄN</t>
        </is>
      </c>
      <c r="E8076" t="inlineStr">
        <is>
          <t>KARLSBORG</t>
        </is>
      </c>
      <c r="G8076" t="n">
        <v>0.9</v>
      </c>
      <c r="H8076" t="n">
        <v>0</v>
      </c>
      <c r="I8076" t="n">
        <v>0</v>
      </c>
      <c r="J8076" t="n">
        <v>0</v>
      </c>
      <c r="K8076" t="n">
        <v>0</v>
      </c>
      <c r="L8076" t="n">
        <v>0</v>
      </c>
      <c r="M8076" t="n">
        <v>0</v>
      </c>
      <c r="N8076" t="n">
        <v>0</v>
      </c>
      <c r="O8076" t="n">
        <v>0</v>
      </c>
      <c r="P8076" t="n">
        <v>0</v>
      </c>
      <c r="Q8076" t="n">
        <v>0</v>
      </c>
      <c r="R8076" s="2" t="inlineStr"/>
    </row>
    <row r="8077" ht="15" customHeight="1">
      <c r="A8077" t="inlineStr">
        <is>
          <t>A 8053-2023</t>
        </is>
      </c>
      <c r="B8077" s="1" t="n">
        <v>44974</v>
      </c>
      <c r="C8077" s="1" t="n">
        <v>45952</v>
      </c>
      <c r="D8077" t="inlineStr">
        <is>
          <t>VÄSTRA GÖTALANDS LÄN</t>
        </is>
      </c>
      <c r="E8077" t="inlineStr">
        <is>
          <t>KARLSBORG</t>
        </is>
      </c>
      <c r="G8077" t="n">
        <v>1.1</v>
      </c>
      <c r="H8077" t="n">
        <v>0</v>
      </c>
      <c r="I8077" t="n">
        <v>0</v>
      </c>
      <c r="J8077" t="n">
        <v>0</v>
      </c>
      <c r="K8077" t="n">
        <v>0</v>
      </c>
      <c r="L8077" t="n">
        <v>0</v>
      </c>
      <c r="M8077" t="n">
        <v>0</v>
      </c>
      <c r="N8077" t="n">
        <v>0</v>
      </c>
      <c r="O8077" t="n">
        <v>0</v>
      </c>
      <c r="P8077" t="n">
        <v>0</v>
      </c>
      <c r="Q8077" t="n">
        <v>0</v>
      </c>
      <c r="R8077" s="2" t="inlineStr"/>
    </row>
    <row r="8078" ht="15" customHeight="1">
      <c r="A8078" t="inlineStr">
        <is>
          <t>A 21339-2025</t>
        </is>
      </c>
      <c r="B8078" s="1" t="n">
        <v>45782.38717592593</v>
      </c>
      <c r="C8078" s="1" t="n">
        <v>45952</v>
      </c>
      <c r="D8078" t="inlineStr">
        <is>
          <t>VÄSTRA GÖTALANDS LÄN</t>
        </is>
      </c>
      <c r="E8078" t="inlineStr">
        <is>
          <t>TRANEMO</t>
        </is>
      </c>
      <c r="G8078" t="n">
        <v>6.1</v>
      </c>
      <c r="H8078" t="n">
        <v>0</v>
      </c>
      <c r="I8078" t="n">
        <v>0</v>
      </c>
      <c r="J8078" t="n">
        <v>0</v>
      </c>
      <c r="K8078" t="n">
        <v>0</v>
      </c>
      <c r="L8078" t="n">
        <v>0</v>
      </c>
      <c r="M8078" t="n">
        <v>0</v>
      </c>
      <c r="N8078" t="n">
        <v>0</v>
      </c>
      <c r="O8078" t="n">
        <v>0</v>
      </c>
      <c r="P8078" t="n">
        <v>0</v>
      </c>
      <c r="Q8078" t="n">
        <v>0</v>
      </c>
      <c r="R8078" s="2" t="inlineStr"/>
    </row>
    <row r="8079" ht="15" customHeight="1">
      <c r="A8079" t="inlineStr">
        <is>
          <t>A 47401-2025</t>
        </is>
      </c>
      <c r="B8079" s="1" t="n">
        <v>45930.60961805555</v>
      </c>
      <c r="C8079" s="1" t="n">
        <v>45952</v>
      </c>
      <c r="D8079" t="inlineStr">
        <is>
          <t>VÄSTRA GÖTALANDS LÄN</t>
        </is>
      </c>
      <c r="E8079" t="inlineStr">
        <is>
          <t>TIDAHOLM</t>
        </is>
      </c>
      <c r="F8079" t="inlineStr">
        <is>
          <t>Sveaskog</t>
        </is>
      </c>
      <c r="G8079" t="n">
        <v>1.9</v>
      </c>
      <c r="H8079" t="n">
        <v>0</v>
      </c>
      <c r="I8079" t="n">
        <v>0</v>
      </c>
      <c r="J8079" t="n">
        <v>0</v>
      </c>
      <c r="K8079" t="n">
        <v>0</v>
      </c>
      <c r="L8079" t="n">
        <v>0</v>
      </c>
      <c r="M8079" t="n">
        <v>0</v>
      </c>
      <c r="N8079" t="n">
        <v>0</v>
      </c>
      <c r="O8079" t="n">
        <v>0</v>
      </c>
      <c r="P8079" t="n">
        <v>0</v>
      </c>
      <c r="Q8079" t="n">
        <v>0</v>
      </c>
      <c r="R8079" s="2" t="inlineStr"/>
    </row>
    <row r="8080" ht="15" customHeight="1">
      <c r="A8080" t="inlineStr">
        <is>
          <t>A 47404-2025</t>
        </is>
      </c>
      <c r="B8080" s="1" t="n">
        <v>45930.61149305556</v>
      </c>
      <c r="C8080" s="1" t="n">
        <v>45952</v>
      </c>
      <c r="D8080" t="inlineStr">
        <is>
          <t>VÄSTRA GÖTALANDS LÄN</t>
        </is>
      </c>
      <c r="E8080" t="inlineStr">
        <is>
          <t>ORUST</t>
        </is>
      </c>
      <c r="G8080" t="n">
        <v>0.6</v>
      </c>
      <c r="H8080" t="n">
        <v>0</v>
      </c>
      <c r="I8080" t="n">
        <v>0</v>
      </c>
      <c r="J8080" t="n">
        <v>0</v>
      </c>
      <c r="K8080" t="n">
        <v>0</v>
      </c>
      <c r="L8080" t="n">
        <v>0</v>
      </c>
      <c r="M8080" t="n">
        <v>0</v>
      </c>
      <c r="N8080" t="n">
        <v>0</v>
      </c>
      <c r="O8080" t="n">
        <v>0</v>
      </c>
      <c r="P8080" t="n">
        <v>0</v>
      </c>
      <c r="Q8080" t="n">
        <v>0</v>
      </c>
      <c r="R8080" s="2" t="inlineStr"/>
    </row>
    <row r="8081" ht="15" customHeight="1">
      <c r="A8081" t="inlineStr">
        <is>
          <t>A 47383-2025</t>
        </is>
      </c>
      <c r="B8081" s="1" t="n">
        <v>45930.59738425926</v>
      </c>
      <c r="C8081" s="1" t="n">
        <v>45952</v>
      </c>
      <c r="D8081" t="inlineStr">
        <is>
          <t>VÄSTRA GÖTALANDS LÄN</t>
        </is>
      </c>
      <c r="E8081" t="inlineStr">
        <is>
          <t>GÖTENE</t>
        </is>
      </c>
      <c r="G8081" t="n">
        <v>1.4</v>
      </c>
      <c r="H8081" t="n">
        <v>0</v>
      </c>
      <c r="I8081" t="n">
        <v>0</v>
      </c>
      <c r="J8081" t="n">
        <v>0</v>
      </c>
      <c r="K8081" t="n">
        <v>0</v>
      </c>
      <c r="L8081" t="n">
        <v>0</v>
      </c>
      <c r="M8081" t="n">
        <v>0</v>
      </c>
      <c r="N8081" t="n">
        <v>0</v>
      </c>
      <c r="O8081" t="n">
        <v>0</v>
      </c>
      <c r="P8081" t="n">
        <v>0</v>
      </c>
      <c r="Q8081" t="n">
        <v>0</v>
      </c>
      <c r="R8081" s="2" t="inlineStr"/>
    </row>
    <row r="8082" ht="15" customHeight="1">
      <c r="A8082" t="inlineStr">
        <is>
          <t>A 61178-2024</t>
        </is>
      </c>
      <c r="B8082" s="1" t="n">
        <v>45645</v>
      </c>
      <c r="C8082" s="1" t="n">
        <v>45952</v>
      </c>
      <c r="D8082" t="inlineStr">
        <is>
          <t>VÄSTRA GÖTALANDS LÄN</t>
        </is>
      </c>
      <c r="E8082" t="inlineStr">
        <is>
          <t>MÖLNDAL</t>
        </is>
      </c>
      <c r="G8082" t="n">
        <v>6.6</v>
      </c>
      <c r="H8082" t="n">
        <v>0</v>
      </c>
      <c r="I8082" t="n">
        <v>0</v>
      </c>
      <c r="J8082" t="n">
        <v>0</v>
      </c>
      <c r="K8082" t="n">
        <v>0</v>
      </c>
      <c r="L8082" t="n">
        <v>0</v>
      </c>
      <c r="M8082" t="n">
        <v>0</v>
      </c>
      <c r="N8082" t="n">
        <v>0</v>
      </c>
      <c r="O8082" t="n">
        <v>0</v>
      </c>
      <c r="P8082" t="n">
        <v>0</v>
      </c>
      <c r="Q8082" t="n">
        <v>0</v>
      </c>
      <c r="R8082" s="2" t="inlineStr"/>
    </row>
    <row r="8083" ht="15" customHeight="1">
      <c r="A8083" t="inlineStr">
        <is>
          <t>A 14409-2025</t>
        </is>
      </c>
      <c r="B8083" s="1" t="n">
        <v>45741.47278935185</v>
      </c>
      <c r="C8083" s="1" t="n">
        <v>45952</v>
      </c>
      <c r="D8083" t="inlineStr">
        <is>
          <t>VÄSTRA GÖTALANDS LÄN</t>
        </is>
      </c>
      <c r="E8083" t="inlineStr">
        <is>
          <t>LERUM</t>
        </is>
      </c>
      <c r="G8083" t="n">
        <v>3.7</v>
      </c>
      <c r="H8083" t="n">
        <v>0</v>
      </c>
      <c r="I8083" t="n">
        <v>0</v>
      </c>
      <c r="J8083" t="n">
        <v>0</v>
      </c>
      <c r="K8083" t="n">
        <v>0</v>
      </c>
      <c r="L8083" t="n">
        <v>0</v>
      </c>
      <c r="M8083" t="n">
        <v>0</v>
      </c>
      <c r="N8083" t="n">
        <v>0</v>
      </c>
      <c r="O8083" t="n">
        <v>0</v>
      </c>
      <c r="P8083" t="n">
        <v>0</v>
      </c>
      <c r="Q8083" t="n">
        <v>0</v>
      </c>
      <c r="R8083" s="2" t="inlineStr"/>
    </row>
    <row r="8084" ht="15" customHeight="1">
      <c r="A8084" t="inlineStr">
        <is>
          <t>A 42588-2021</t>
        </is>
      </c>
      <c r="B8084" s="1" t="n">
        <v>44428</v>
      </c>
      <c r="C8084" s="1" t="n">
        <v>45952</v>
      </c>
      <c r="D8084" t="inlineStr">
        <is>
          <t>VÄSTRA GÖTALANDS LÄN</t>
        </is>
      </c>
      <c r="E8084" t="inlineStr">
        <is>
          <t>DALS-ED</t>
        </is>
      </c>
      <c r="G8084" t="n">
        <v>5.7</v>
      </c>
      <c r="H8084" t="n">
        <v>0</v>
      </c>
      <c r="I8084" t="n">
        <v>0</v>
      </c>
      <c r="J8084" t="n">
        <v>0</v>
      </c>
      <c r="K8084" t="n">
        <v>0</v>
      </c>
      <c r="L8084" t="n">
        <v>0</v>
      </c>
      <c r="M8084" t="n">
        <v>0</v>
      </c>
      <c r="N8084" t="n">
        <v>0</v>
      </c>
      <c r="O8084" t="n">
        <v>0</v>
      </c>
      <c r="P8084" t="n">
        <v>0</v>
      </c>
      <c r="Q8084" t="n">
        <v>0</v>
      </c>
      <c r="R8084" s="2" t="inlineStr"/>
    </row>
    <row r="8085" ht="15" customHeight="1">
      <c r="A8085" t="inlineStr">
        <is>
          <t>A 47186-2025</t>
        </is>
      </c>
      <c r="B8085" s="1" t="n">
        <v>45930.32436342593</v>
      </c>
      <c r="C8085" s="1" t="n">
        <v>45952</v>
      </c>
      <c r="D8085" t="inlineStr">
        <is>
          <t>VÄSTRA GÖTALANDS LÄN</t>
        </is>
      </c>
      <c r="E8085" t="inlineStr">
        <is>
          <t>TIDAHOLM</t>
        </is>
      </c>
      <c r="G8085" t="n">
        <v>2.6</v>
      </c>
      <c r="H8085" t="n">
        <v>0</v>
      </c>
      <c r="I8085" t="n">
        <v>0</v>
      </c>
      <c r="J8085" t="n">
        <v>0</v>
      </c>
      <c r="K8085" t="n">
        <v>0</v>
      </c>
      <c r="L8085" t="n">
        <v>0</v>
      </c>
      <c r="M8085" t="n">
        <v>0</v>
      </c>
      <c r="N8085" t="n">
        <v>0</v>
      </c>
      <c r="O8085" t="n">
        <v>0</v>
      </c>
      <c r="P8085" t="n">
        <v>0</v>
      </c>
      <c r="Q8085" t="n">
        <v>0</v>
      </c>
      <c r="R8085" s="2" t="inlineStr"/>
    </row>
    <row r="8086" ht="15" customHeight="1">
      <c r="A8086" t="inlineStr">
        <is>
          <t>A 23865-2024</t>
        </is>
      </c>
      <c r="B8086" s="1" t="n">
        <v>45455</v>
      </c>
      <c r="C8086" s="1" t="n">
        <v>45952</v>
      </c>
      <c r="D8086" t="inlineStr">
        <is>
          <t>VÄSTRA GÖTALANDS LÄN</t>
        </is>
      </c>
      <c r="E8086" t="inlineStr">
        <is>
          <t>MARK</t>
        </is>
      </c>
      <c r="G8086" t="n">
        <v>5</v>
      </c>
      <c r="H8086" t="n">
        <v>0</v>
      </c>
      <c r="I8086" t="n">
        <v>0</v>
      </c>
      <c r="J8086" t="n">
        <v>0</v>
      </c>
      <c r="K8086" t="n">
        <v>0</v>
      </c>
      <c r="L8086" t="n">
        <v>0</v>
      </c>
      <c r="M8086" t="n">
        <v>0</v>
      </c>
      <c r="N8086" t="n">
        <v>0</v>
      </c>
      <c r="O8086" t="n">
        <v>0</v>
      </c>
      <c r="P8086" t="n">
        <v>0</v>
      </c>
      <c r="Q8086" t="n">
        <v>0</v>
      </c>
      <c r="R8086" s="2" t="inlineStr"/>
    </row>
    <row r="8087" ht="15" customHeight="1">
      <c r="A8087" t="inlineStr">
        <is>
          <t>A 42661-2021</t>
        </is>
      </c>
      <c r="B8087" s="1" t="n">
        <v>44428</v>
      </c>
      <c r="C8087" s="1" t="n">
        <v>45952</v>
      </c>
      <c r="D8087" t="inlineStr">
        <is>
          <t>VÄSTRA GÖTALANDS LÄN</t>
        </is>
      </c>
      <c r="E8087" t="inlineStr">
        <is>
          <t>KARLSBORG</t>
        </is>
      </c>
      <c r="F8087" t="inlineStr">
        <is>
          <t>Kyrkan</t>
        </is>
      </c>
      <c r="G8087" t="n">
        <v>0.5</v>
      </c>
      <c r="H8087" t="n">
        <v>0</v>
      </c>
      <c r="I8087" t="n">
        <v>0</v>
      </c>
      <c r="J8087" t="n">
        <v>0</v>
      </c>
      <c r="K8087" t="n">
        <v>0</v>
      </c>
      <c r="L8087" t="n">
        <v>0</v>
      </c>
      <c r="M8087" t="n">
        <v>0</v>
      </c>
      <c r="N8087" t="n">
        <v>0</v>
      </c>
      <c r="O8087" t="n">
        <v>0</v>
      </c>
      <c r="P8087" t="n">
        <v>0</v>
      </c>
      <c r="Q8087" t="n">
        <v>0</v>
      </c>
      <c r="R8087" s="2" t="inlineStr"/>
    </row>
    <row r="8088" ht="15" customHeight="1">
      <c r="A8088" t="inlineStr">
        <is>
          <t>A 47593-2025</t>
        </is>
      </c>
      <c r="B8088" s="1" t="n">
        <v>45931.4480787037</v>
      </c>
      <c r="C8088" s="1" t="n">
        <v>45952</v>
      </c>
      <c r="D8088" t="inlineStr">
        <is>
          <t>VÄSTRA GÖTALANDS LÄN</t>
        </is>
      </c>
      <c r="E8088" t="inlineStr">
        <is>
          <t>ALE</t>
        </is>
      </c>
      <c r="G8088" t="n">
        <v>1</v>
      </c>
      <c r="H8088" t="n">
        <v>0</v>
      </c>
      <c r="I8088" t="n">
        <v>0</v>
      </c>
      <c r="J8088" t="n">
        <v>0</v>
      </c>
      <c r="K8088" t="n">
        <v>0</v>
      </c>
      <c r="L8088" t="n">
        <v>0</v>
      </c>
      <c r="M8088" t="n">
        <v>0</v>
      </c>
      <c r="N8088" t="n">
        <v>0</v>
      </c>
      <c r="O8088" t="n">
        <v>0</v>
      </c>
      <c r="P8088" t="n">
        <v>0</v>
      </c>
      <c r="Q8088" t="n">
        <v>0</v>
      </c>
      <c r="R8088" s="2" t="inlineStr"/>
    </row>
    <row r="8089" ht="15" customHeight="1">
      <c r="A8089" t="inlineStr">
        <is>
          <t>A 11718-2025</t>
        </is>
      </c>
      <c r="B8089" s="1" t="n">
        <v>45727.60891203704</v>
      </c>
      <c r="C8089" s="1" t="n">
        <v>45952</v>
      </c>
      <c r="D8089" t="inlineStr">
        <is>
          <t>VÄSTRA GÖTALANDS LÄN</t>
        </is>
      </c>
      <c r="E8089" t="inlineStr">
        <is>
          <t>BORÅS</t>
        </is>
      </c>
      <c r="G8089" t="n">
        <v>1.5</v>
      </c>
      <c r="H8089" t="n">
        <v>0</v>
      </c>
      <c r="I8089" t="n">
        <v>0</v>
      </c>
      <c r="J8089" t="n">
        <v>0</v>
      </c>
      <c r="K8089" t="n">
        <v>0</v>
      </c>
      <c r="L8089" t="n">
        <v>0</v>
      </c>
      <c r="M8089" t="n">
        <v>0</v>
      </c>
      <c r="N8089" t="n">
        <v>0</v>
      </c>
      <c r="O8089" t="n">
        <v>0</v>
      </c>
      <c r="P8089" t="n">
        <v>0</v>
      </c>
      <c r="Q8089" t="n">
        <v>0</v>
      </c>
      <c r="R8089" s="2" t="inlineStr"/>
    </row>
    <row r="8090" ht="15" customHeight="1">
      <c r="A8090" t="inlineStr">
        <is>
          <t>A 33010-2022</t>
        </is>
      </c>
      <c r="B8090" s="1" t="n">
        <v>44785</v>
      </c>
      <c r="C8090" s="1" t="n">
        <v>45952</v>
      </c>
      <c r="D8090" t="inlineStr">
        <is>
          <t>VÄSTRA GÖTALANDS LÄN</t>
        </is>
      </c>
      <c r="E8090" t="inlineStr">
        <is>
          <t>STENUNGSUND</t>
        </is>
      </c>
      <c r="G8090" t="n">
        <v>3.4</v>
      </c>
      <c r="H8090" t="n">
        <v>0</v>
      </c>
      <c r="I8090" t="n">
        <v>0</v>
      </c>
      <c r="J8090" t="n">
        <v>0</v>
      </c>
      <c r="K8090" t="n">
        <v>0</v>
      </c>
      <c r="L8090" t="n">
        <v>0</v>
      </c>
      <c r="M8090" t="n">
        <v>0</v>
      </c>
      <c r="N8090" t="n">
        <v>0</v>
      </c>
      <c r="O8090" t="n">
        <v>0</v>
      </c>
      <c r="P8090" t="n">
        <v>0</v>
      </c>
      <c r="Q8090" t="n">
        <v>0</v>
      </c>
      <c r="R8090" s="2" t="inlineStr"/>
    </row>
    <row r="8091" ht="15" customHeight="1">
      <c r="A8091" t="inlineStr">
        <is>
          <t>A 33011-2022</t>
        </is>
      </c>
      <c r="B8091" s="1" t="n">
        <v>44785.31972222222</v>
      </c>
      <c r="C8091" s="1" t="n">
        <v>45952</v>
      </c>
      <c r="D8091" t="inlineStr">
        <is>
          <t>VÄSTRA GÖTALANDS LÄN</t>
        </is>
      </c>
      <c r="E8091" t="inlineStr">
        <is>
          <t>STENUNGSUND</t>
        </is>
      </c>
      <c r="G8091" t="n">
        <v>2.6</v>
      </c>
      <c r="H8091" t="n">
        <v>0</v>
      </c>
      <c r="I8091" t="n">
        <v>0</v>
      </c>
      <c r="J8091" t="n">
        <v>0</v>
      </c>
      <c r="K8091" t="n">
        <v>0</v>
      </c>
      <c r="L8091" t="n">
        <v>0</v>
      </c>
      <c r="M8091" t="n">
        <v>0</v>
      </c>
      <c r="N8091" t="n">
        <v>0</v>
      </c>
      <c r="O8091" t="n">
        <v>0</v>
      </c>
      <c r="P8091" t="n">
        <v>0</v>
      </c>
      <c r="Q8091" t="n">
        <v>0</v>
      </c>
      <c r="R8091" s="2" t="inlineStr"/>
    </row>
    <row r="8092" ht="15" customHeight="1">
      <c r="A8092" t="inlineStr">
        <is>
          <t>A 47592-2025</t>
        </is>
      </c>
      <c r="B8092" s="1" t="n">
        <v>45931.44649305556</v>
      </c>
      <c r="C8092" s="1" t="n">
        <v>45952</v>
      </c>
      <c r="D8092" t="inlineStr">
        <is>
          <t>VÄSTRA GÖTALANDS LÄN</t>
        </is>
      </c>
      <c r="E8092" t="inlineStr">
        <is>
          <t>ALE</t>
        </is>
      </c>
      <c r="G8092" t="n">
        <v>0.6</v>
      </c>
      <c r="H8092" t="n">
        <v>0</v>
      </c>
      <c r="I8092" t="n">
        <v>0</v>
      </c>
      <c r="J8092" t="n">
        <v>0</v>
      </c>
      <c r="K8092" t="n">
        <v>0</v>
      </c>
      <c r="L8092" t="n">
        <v>0</v>
      </c>
      <c r="M8092" t="n">
        <v>0</v>
      </c>
      <c r="N8092" t="n">
        <v>0</v>
      </c>
      <c r="O8092" t="n">
        <v>0</v>
      </c>
      <c r="P8092" t="n">
        <v>0</v>
      </c>
      <c r="Q8092" t="n">
        <v>0</v>
      </c>
      <c r="R8092" s="2" t="inlineStr"/>
    </row>
    <row r="8093" ht="15" customHeight="1">
      <c r="A8093" t="inlineStr">
        <is>
          <t>A 47599-2025</t>
        </is>
      </c>
      <c r="B8093" s="1" t="n">
        <v>45931.45528935185</v>
      </c>
      <c r="C8093" s="1" t="n">
        <v>45952</v>
      </c>
      <c r="D8093" t="inlineStr">
        <is>
          <t>VÄSTRA GÖTALANDS LÄN</t>
        </is>
      </c>
      <c r="E8093" t="inlineStr">
        <is>
          <t>LERUM</t>
        </is>
      </c>
      <c r="G8093" t="n">
        <v>1.1</v>
      </c>
      <c r="H8093" t="n">
        <v>0</v>
      </c>
      <c r="I8093" t="n">
        <v>0</v>
      </c>
      <c r="J8093" t="n">
        <v>0</v>
      </c>
      <c r="K8093" t="n">
        <v>0</v>
      </c>
      <c r="L8093" t="n">
        <v>0</v>
      </c>
      <c r="M8093" t="n">
        <v>0</v>
      </c>
      <c r="N8093" t="n">
        <v>0</v>
      </c>
      <c r="O8093" t="n">
        <v>0</v>
      </c>
      <c r="P8093" t="n">
        <v>0</v>
      </c>
      <c r="Q8093" t="n">
        <v>0</v>
      </c>
      <c r="R8093" s="2" t="inlineStr"/>
    </row>
    <row r="8094" ht="15" customHeight="1">
      <c r="A8094" t="inlineStr">
        <is>
          <t>A 33921-2024</t>
        </is>
      </c>
      <c r="B8094" s="1" t="n">
        <v>45523.40038194445</v>
      </c>
      <c r="C8094" s="1" t="n">
        <v>45952</v>
      </c>
      <c r="D8094" t="inlineStr">
        <is>
          <t>VÄSTRA GÖTALANDS LÄN</t>
        </is>
      </c>
      <c r="E8094" t="inlineStr">
        <is>
          <t>SVENLJUNGA</t>
        </is>
      </c>
      <c r="G8094" t="n">
        <v>2.4</v>
      </c>
      <c r="H8094" t="n">
        <v>0</v>
      </c>
      <c r="I8094" t="n">
        <v>0</v>
      </c>
      <c r="J8094" t="n">
        <v>0</v>
      </c>
      <c r="K8094" t="n">
        <v>0</v>
      </c>
      <c r="L8094" t="n">
        <v>0</v>
      </c>
      <c r="M8094" t="n">
        <v>0</v>
      </c>
      <c r="N8094" t="n">
        <v>0</v>
      </c>
      <c r="O8094" t="n">
        <v>0</v>
      </c>
      <c r="P8094" t="n">
        <v>0</v>
      </c>
      <c r="Q8094" t="n">
        <v>0</v>
      </c>
      <c r="R8094" s="2" t="inlineStr"/>
    </row>
    <row r="8095" ht="15" customHeight="1">
      <c r="A8095" t="inlineStr">
        <is>
          <t>A 47175-2025</t>
        </is>
      </c>
      <c r="B8095" s="1" t="n">
        <v>45930.26871527778</v>
      </c>
      <c r="C8095" s="1" t="n">
        <v>45952</v>
      </c>
      <c r="D8095" t="inlineStr">
        <is>
          <t>VÄSTRA GÖTALANDS LÄN</t>
        </is>
      </c>
      <c r="E8095" t="inlineStr">
        <is>
          <t>GÖTENE</t>
        </is>
      </c>
      <c r="G8095" t="n">
        <v>2.9</v>
      </c>
      <c r="H8095" t="n">
        <v>0</v>
      </c>
      <c r="I8095" t="n">
        <v>0</v>
      </c>
      <c r="J8095" t="n">
        <v>0</v>
      </c>
      <c r="K8095" t="n">
        <v>0</v>
      </c>
      <c r="L8095" t="n">
        <v>0</v>
      </c>
      <c r="M8095" t="n">
        <v>0</v>
      </c>
      <c r="N8095" t="n">
        <v>0</v>
      </c>
      <c r="O8095" t="n">
        <v>0</v>
      </c>
      <c r="P8095" t="n">
        <v>0</v>
      </c>
      <c r="Q8095" t="n">
        <v>0</v>
      </c>
      <c r="R8095" s="2" t="inlineStr"/>
    </row>
    <row r="8096" ht="15" customHeight="1">
      <c r="A8096" t="inlineStr">
        <is>
          <t>A 13346-2024</t>
        </is>
      </c>
      <c r="B8096" s="1" t="n">
        <v>45386</v>
      </c>
      <c r="C8096" s="1" t="n">
        <v>45952</v>
      </c>
      <c r="D8096" t="inlineStr">
        <is>
          <t>VÄSTRA GÖTALANDS LÄN</t>
        </is>
      </c>
      <c r="E8096" t="inlineStr">
        <is>
          <t>BENGTSFORS</t>
        </is>
      </c>
      <c r="G8096" t="n">
        <v>1.6</v>
      </c>
      <c r="H8096" t="n">
        <v>0</v>
      </c>
      <c r="I8096" t="n">
        <v>0</v>
      </c>
      <c r="J8096" t="n">
        <v>0</v>
      </c>
      <c r="K8096" t="n">
        <v>0</v>
      </c>
      <c r="L8096" t="n">
        <v>0</v>
      </c>
      <c r="M8096" t="n">
        <v>0</v>
      </c>
      <c r="N8096" t="n">
        <v>0</v>
      </c>
      <c r="O8096" t="n">
        <v>0</v>
      </c>
      <c r="P8096" t="n">
        <v>0</v>
      </c>
      <c r="Q8096" t="n">
        <v>0</v>
      </c>
      <c r="R8096" s="2" t="inlineStr"/>
    </row>
    <row r="8097" ht="15" customHeight="1">
      <c r="A8097" t="inlineStr">
        <is>
          <t>A 47311-2023</t>
        </is>
      </c>
      <c r="B8097" s="1" t="n">
        <v>45202.49175925926</v>
      </c>
      <c r="C8097" s="1" t="n">
        <v>45952</v>
      </c>
      <c r="D8097" t="inlineStr">
        <is>
          <t>VÄSTRA GÖTALANDS LÄN</t>
        </is>
      </c>
      <c r="E8097" t="inlineStr">
        <is>
          <t>DALS-ED</t>
        </is>
      </c>
      <c r="G8097" t="n">
        <v>2.8</v>
      </c>
      <c r="H8097" t="n">
        <v>0</v>
      </c>
      <c r="I8097" t="n">
        <v>0</v>
      </c>
      <c r="J8097" t="n">
        <v>0</v>
      </c>
      <c r="K8097" t="n">
        <v>0</v>
      </c>
      <c r="L8097" t="n">
        <v>0</v>
      </c>
      <c r="M8097" t="n">
        <v>0</v>
      </c>
      <c r="N8097" t="n">
        <v>0</v>
      </c>
      <c r="O8097" t="n">
        <v>0</v>
      </c>
      <c r="P8097" t="n">
        <v>0</v>
      </c>
      <c r="Q8097" t="n">
        <v>0</v>
      </c>
      <c r="R8097" s="2" t="inlineStr"/>
    </row>
    <row r="8098" ht="15" customHeight="1">
      <c r="A8098" t="inlineStr">
        <is>
          <t>A 31246-2024</t>
        </is>
      </c>
      <c r="B8098" s="1" t="n">
        <v>45503.65310185185</v>
      </c>
      <c r="C8098" s="1" t="n">
        <v>45952</v>
      </c>
      <c r="D8098" t="inlineStr">
        <is>
          <t>VÄSTRA GÖTALANDS LÄN</t>
        </is>
      </c>
      <c r="E8098" t="inlineStr">
        <is>
          <t>BENGTSFORS</t>
        </is>
      </c>
      <c r="G8098" t="n">
        <v>1.5</v>
      </c>
      <c r="H8098" t="n">
        <v>0</v>
      </c>
      <c r="I8098" t="n">
        <v>0</v>
      </c>
      <c r="J8098" t="n">
        <v>0</v>
      </c>
      <c r="K8098" t="n">
        <v>0</v>
      </c>
      <c r="L8098" t="n">
        <v>0</v>
      </c>
      <c r="M8098" t="n">
        <v>0</v>
      </c>
      <c r="N8098" t="n">
        <v>0</v>
      </c>
      <c r="O8098" t="n">
        <v>0</v>
      </c>
      <c r="P8098" t="n">
        <v>0</v>
      </c>
      <c r="Q8098" t="n">
        <v>0</v>
      </c>
      <c r="R8098" s="2" t="inlineStr"/>
    </row>
    <row r="8099" ht="15" customHeight="1">
      <c r="A8099" t="inlineStr">
        <is>
          <t>A 43374-2021</t>
        </is>
      </c>
      <c r="B8099" s="1" t="n">
        <v>44432</v>
      </c>
      <c r="C8099" s="1" t="n">
        <v>45952</v>
      </c>
      <c r="D8099" t="inlineStr">
        <is>
          <t>VÄSTRA GÖTALANDS LÄN</t>
        </is>
      </c>
      <c r="E8099" t="inlineStr">
        <is>
          <t>TROLLHÄTTAN</t>
        </is>
      </c>
      <c r="G8099" t="n">
        <v>1.1</v>
      </c>
      <c r="H8099" t="n">
        <v>0</v>
      </c>
      <c r="I8099" t="n">
        <v>0</v>
      </c>
      <c r="J8099" t="n">
        <v>0</v>
      </c>
      <c r="K8099" t="n">
        <v>0</v>
      </c>
      <c r="L8099" t="n">
        <v>0</v>
      </c>
      <c r="M8099" t="n">
        <v>0</v>
      </c>
      <c r="N8099" t="n">
        <v>0</v>
      </c>
      <c r="O8099" t="n">
        <v>0</v>
      </c>
      <c r="P8099" t="n">
        <v>0</v>
      </c>
      <c r="Q8099" t="n">
        <v>0</v>
      </c>
      <c r="R8099" s="2" t="inlineStr"/>
    </row>
    <row r="8100" ht="15" customHeight="1">
      <c r="A8100" t="inlineStr">
        <is>
          <t>A 21880-2025</t>
        </is>
      </c>
      <c r="B8100" s="1" t="n">
        <v>45784.40811342592</v>
      </c>
      <c r="C8100" s="1" t="n">
        <v>45952</v>
      </c>
      <c r="D8100" t="inlineStr">
        <is>
          <t>VÄSTRA GÖTALANDS LÄN</t>
        </is>
      </c>
      <c r="E8100" t="inlineStr">
        <is>
          <t>MARK</t>
        </is>
      </c>
      <c r="G8100" t="n">
        <v>5.8</v>
      </c>
      <c r="H8100" t="n">
        <v>0</v>
      </c>
      <c r="I8100" t="n">
        <v>0</v>
      </c>
      <c r="J8100" t="n">
        <v>0</v>
      </c>
      <c r="K8100" t="n">
        <v>0</v>
      </c>
      <c r="L8100" t="n">
        <v>0</v>
      </c>
      <c r="M8100" t="n">
        <v>0</v>
      </c>
      <c r="N8100" t="n">
        <v>0</v>
      </c>
      <c r="O8100" t="n">
        <v>0</v>
      </c>
      <c r="P8100" t="n">
        <v>0</v>
      </c>
      <c r="Q8100" t="n">
        <v>0</v>
      </c>
      <c r="R8100" s="2" t="inlineStr"/>
    </row>
    <row r="8101" ht="15" customHeight="1">
      <c r="A8101" t="inlineStr">
        <is>
          <t>A 28316-2024</t>
        </is>
      </c>
      <c r="B8101" s="1" t="n">
        <v>45477.50171296296</v>
      </c>
      <c r="C8101" s="1" t="n">
        <v>45952</v>
      </c>
      <c r="D8101" t="inlineStr">
        <is>
          <t>VÄSTRA GÖTALANDS LÄN</t>
        </is>
      </c>
      <c r="E8101" t="inlineStr">
        <is>
          <t>GÖTENE</t>
        </is>
      </c>
      <c r="G8101" t="n">
        <v>3.4</v>
      </c>
      <c r="H8101" t="n">
        <v>0</v>
      </c>
      <c r="I8101" t="n">
        <v>0</v>
      </c>
      <c r="J8101" t="n">
        <v>0</v>
      </c>
      <c r="K8101" t="n">
        <v>0</v>
      </c>
      <c r="L8101" t="n">
        <v>0</v>
      </c>
      <c r="M8101" t="n">
        <v>0</v>
      </c>
      <c r="N8101" t="n">
        <v>0</v>
      </c>
      <c r="O8101" t="n">
        <v>0</v>
      </c>
      <c r="P8101" t="n">
        <v>0</v>
      </c>
      <c r="Q8101" t="n">
        <v>0</v>
      </c>
      <c r="R8101" s="2" t="inlineStr"/>
    </row>
    <row r="8102" ht="15" customHeight="1">
      <c r="A8102" t="inlineStr">
        <is>
          <t>A 55248-2024</t>
        </is>
      </c>
      <c r="B8102" s="1" t="n">
        <v>45621.59472222222</v>
      </c>
      <c r="C8102" s="1" t="n">
        <v>45952</v>
      </c>
      <c r="D8102" t="inlineStr">
        <is>
          <t>VÄSTRA GÖTALANDS LÄN</t>
        </is>
      </c>
      <c r="E8102" t="inlineStr">
        <is>
          <t>TANUM</t>
        </is>
      </c>
      <c r="G8102" t="n">
        <v>0.7</v>
      </c>
      <c r="H8102" t="n">
        <v>0</v>
      </c>
      <c r="I8102" t="n">
        <v>0</v>
      </c>
      <c r="J8102" t="n">
        <v>0</v>
      </c>
      <c r="K8102" t="n">
        <v>0</v>
      </c>
      <c r="L8102" t="n">
        <v>0</v>
      </c>
      <c r="M8102" t="n">
        <v>0</v>
      </c>
      <c r="N8102" t="n">
        <v>0</v>
      </c>
      <c r="O8102" t="n">
        <v>0</v>
      </c>
      <c r="P8102" t="n">
        <v>0</v>
      </c>
      <c r="Q8102" t="n">
        <v>0</v>
      </c>
      <c r="R8102" s="2" t="inlineStr"/>
    </row>
    <row r="8103" ht="15" customHeight="1">
      <c r="A8103" t="inlineStr">
        <is>
          <t>A 55255-2024</t>
        </is>
      </c>
      <c r="B8103" s="1" t="n">
        <v>45621.59979166667</v>
      </c>
      <c r="C8103" s="1" t="n">
        <v>45952</v>
      </c>
      <c r="D8103" t="inlineStr">
        <is>
          <t>VÄSTRA GÖTALANDS LÄN</t>
        </is>
      </c>
      <c r="E8103" t="inlineStr">
        <is>
          <t>TANUM</t>
        </is>
      </c>
      <c r="G8103" t="n">
        <v>1.6</v>
      </c>
      <c r="H8103" t="n">
        <v>0</v>
      </c>
      <c r="I8103" t="n">
        <v>0</v>
      </c>
      <c r="J8103" t="n">
        <v>0</v>
      </c>
      <c r="K8103" t="n">
        <v>0</v>
      </c>
      <c r="L8103" t="n">
        <v>0</v>
      </c>
      <c r="M8103" t="n">
        <v>0</v>
      </c>
      <c r="N8103" t="n">
        <v>0</v>
      </c>
      <c r="O8103" t="n">
        <v>0</v>
      </c>
      <c r="P8103" t="n">
        <v>0</v>
      </c>
      <c r="Q8103" t="n">
        <v>0</v>
      </c>
      <c r="R8103" s="2" t="inlineStr"/>
    </row>
    <row r="8104" ht="15" customHeight="1">
      <c r="A8104" t="inlineStr">
        <is>
          <t>A 47358-2024</t>
        </is>
      </c>
      <c r="B8104" s="1" t="n">
        <v>45587.43356481481</v>
      </c>
      <c r="C8104" s="1" t="n">
        <v>45952</v>
      </c>
      <c r="D8104" t="inlineStr">
        <is>
          <t>VÄSTRA GÖTALANDS LÄN</t>
        </is>
      </c>
      <c r="E8104" t="inlineStr">
        <is>
          <t>BORÅS</t>
        </is>
      </c>
      <c r="G8104" t="n">
        <v>1</v>
      </c>
      <c r="H8104" t="n">
        <v>0</v>
      </c>
      <c r="I8104" t="n">
        <v>0</v>
      </c>
      <c r="J8104" t="n">
        <v>0</v>
      </c>
      <c r="K8104" t="n">
        <v>0</v>
      </c>
      <c r="L8104" t="n">
        <v>0</v>
      </c>
      <c r="M8104" t="n">
        <v>0</v>
      </c>
      <c r="N8104" t="n">
        <v>0</v>
      </c>
      <c r="O8104" t="n">
        <v>0</v>
      </c>
      <c r="P8104" t="n">
        <v>0</v>
      </c>
      <c r="Q8104" t="n">
        <v>0</v>
      </c>
      <c r="R8104" s="2" t="inlineStr"/>
    </row>
    <row r="8105" ht="15" customHeight="1">
      <c r="A8105" t="inlineStr">
        <is>
          <t>A 52381-2024</t>
        </is>
      </c>
      <c r="B8105" s="1" t="n">
        <v>45609.41010416667</v>
      </c>
      <c r="C8105" s="1" t="n">
        <v>45952</v>
      </c>
      <c r="D8105" t="inlineStr">
        <is>
          <t>VÄSTRA GÖTALANDS LÄN</t>
        </is>
      </c>
      <c r="E8105" t="inlineStr">
        <is>
          <t>KARLSBORG</t>
        </is>
      </c>
      <c r="G8105" t="n">
        <v>1.4</v>
      </c>
      <c r="H8105" t="n">
        <v>0</v>
      </c>
      <c r="I8105" t="n">
        <v>0</v>
      </c>
      <c r="J8105" t="n">
        <v>0</v>
      </c>
      <c r="K8105" t="n">
        <v>0</v>
      </c>
      <c r="L8105" t="n">
        <v>0</v>
      </c>
      <c r="M8105" t="n">
        <v>0</v>
      </c>
      <c r="N8105" t="n">
        <v>0</v>
      </c>
      <c r="O8105" t="n">
        <v>0</v>
      </c>
      <c r="P8105" t="n">
        <v>0</v>
      </c>
      <c r="Q8105" t="n">
        <v>0</v>
      </c>
      <c r="R8105" s="2" t="inlineStr"/>
      <c r="U8105">
        <f>HYPERLINK("https://klasma.github.io/Logging_1446/knärot/A 52381-2024 karta knärot.png", "A 52381-2024")</f>
        <v/>
      </c>
      <c r="V8105">
        <f>HYPERLINK("https://klasma.github.io/Logging_1446/klagomål/A 52381-2024 FSC-klagomål.docx", "A 52381-2024")</f>
        <v/>
      </c>
      <c r="W8105">
        <f>HYPERLINK("https://klasma.github.io/Logging_1446/klagomålsmail/A 52381-2024 FSC-klagomål mail.docx", "A 52381-2024")</f>
        <v/>
      </c>
      <c r="X8105">
        <f>HYPERLINK("https://klasma.github.io/Logging_1446/tillsyn/A 52381-2024 tillsynsbegäran.docx", "A 52381-2024")</f>
        <v/>
      </c>
      <c r="Y8105">
        <f>HYPERLINK("https://klasma.github.io/Logging_1446/tillsynsmail/A 52381-2024 tillsynsbegäran mail.docx", "A 52381-2024")</f>
        <v/>
      </c>
    </row>
    <row r="8106" ht="15" customHeight="1">
      <c r="A8106" t="inlineStr">
        <is>
          <t>A 47451-2025</t>
        </is>
      </c>
      <c r="B8106" s="1" t="n">
        <v>45930</v>
      </c>
      <c r="C8106" s="1" t="n">
        <v>45952</v>
      </c>
      <c r="D8106" t="inlineStr">
        <is>
          <t>VÄSTRA GÖTALANDS LÄN</t>
        </is>
      </c>
      <c r="E8106" t="inlineStr">
        <is>
          <t>GULLSPÅNG</t>
        </is>
      </c>
      <c r="G8106" t="n">
        <v>2.3</v>
      </c>
      <c r="H8106" t="n">
        <v>0</v>
      </c>
      <c r="I8106" t="n">
        <v>0</v>
      </c>
      <c r="J8106" t="n">
        <v>0</v>
      </c>
      <c r="K8106" t="n">
        <v>0</v>
      </c>
      <c r="L8106" t="n">
        <v>0</v>
      </c>
      <c r="M8106" t="n">
        <v>0</v>
      </c>
      <c r="N8106" t="n">
        <v>0</v>
      </c>
      <c r="O8106" t="n">
        <v>0</v>
      </c>
      <c r="P8106" t="n">
        <v>0</v>
      </c>
      <c r="Q8106" t="n">
        <v>0</v>
      </c>
      <c r="R8106" s="2" t="inlineStr"/>
    </row>
    <row r="8107" ht="15" customHeight="1">
      <c r="A8107" t="inlineStr">
        <is>
          <t>A 4290-2023</t>
        </is>
      </c>
      <c r="B8107" s="1" t="n">
        <v>44953.60280092592</v>
      </c>
      <c r="C8107" s="1" t="n">
        <v>45952</v>
      </c>
      <c r="D8107" t="inlineStr">
        <is>
          <t>VÄSTRA GÖTALANDS LÄN</t>
        </is>
      </c>
      <c r="E8107" t="inlineStr">
        <is>
          <t>GULLSPÅNG</t>
        </is>
      </c>
      <c r="G8107" t="n">
        <v>0.5</v>
      </c>
      <c r="H8107" t="n">
        <v>0</v>
      </c>
      <c r="I8107" t="n">
        <v>0</v>
      </c>
      <c r="J8107" t="n">
        <v>0</v>
      </c>
      <c r="K8107" t="n">
        <v>0</v>
      </c>
      <c r="L8107" t="n">
        <v>0</v>
      </c>
      <c r="M8107" t="n">
        <v>0</v>
      </c>
      <c r="N8107" t="n">
        <v>0</v>
      </c>
      <c r="O8107" t="n">
        <v>0</v>
      </c>
      <c r="P8107" t="n">
        <v>0</v>
      </c>
      <c r="Q8107" t="n">
        <v>0</v>
      </c>
      <c r="R8107" s="2" t="inlineStr"/>
    </row>
    <row r="8108" ht="15" customHeight="1">
      <c r="A8108" t="inlineStr">
        <is>
          <t>A 12977-2025</t>
        </is>
      </c>
      <c r="B8108" s="1" t="n">
        <v>45734.45465277778</v>
      </c>
      <c r="C8108" s="1" t="n">
        <v>45952</v>
      </c>
      <c r="D8108" t="inlineStr">
        <is>
          <t>VÄSTRA GÖTALANDS LÄN</t>
        </is>
      </c>
      <c r="E8108" t="inlineStr">
        <is>
          <t>MÖLNDAL</t>
        </is>
      </c>
      <c r="G8108" t="n">
        <v>2.1</v>
      </c>
      <c r="H8108" t="n">
        <v>0</v>
      </c>
      <c r="I8108" t="n">
        <v>0</v>
      </c>
      <c r="J8108" t="n">
        <v>0</v>
      </c>
      <c r="K8108" t="n">
        <v>0</v>
      </c>
      <c r="L8108" t="n">
        <v>0</v>
      </c>
      <c r="M8108" t="n">
        <v>0</v>
      </c>
      <c r="N8108" t="n">
        <v>0</v>
      </c>
      <c r="O8108" t="n">
        <v>0</v>
      </c>
      <c r="P8108" t="n">
        <v>0</v>
      </c>
      <c r="Q8108" t="n">
        <v>0</v>
      </c>
      <c r="R8108" s="2" t="inlineStr"/>
    </row>
    <row r="8109" ht="15" customHeight="1">
      <c r="A8109" t="inlineStr">
        <is>
          <t>A 196-2024</t>
        </is>
      </c>
      <c r="B8109" s="1" t="n">
        <v>45294</v>
      </c>
      <c r="C8109" s="1" t="n">
        <v>45952</v>
      </c>
      <c r="D8109" t="inlineStr">
        <is>
          <t>VÄSTRA GÖTALANDS LÄN</t>
        </is>
      </c>
      <c r="E8109" t="inlineStr">
        <is>
          <t>BORÅS</t>
        </is>
      </c>
      <c r="G8109" t="n">
        <v>1</v>
      </c>
      <c r="H8109" t="n">
        <v>0</v>
      </c>
      <c r="I8109" t="n">
        <v>0</v>
      </c>
      <c r="J8109" t="n">
        <v>0</v>
      </c>
      <c r="K8109" t="n">
        <v>0</v>
      </c>
      <c r="L8109" t="n">
        <v>0</v>
      </c>
      <c r="M8109" t="n">
        <v>0</v>
      </c>
      <c r="N8109" t="n">
        <v>0</v>
      </c>
      <c r="O8109" t="n">
        <v>0</v>
      </c>
      <c r="P8109" t="n">
        <v>0</v>
      </c>
      <c r="Q8109" t="n">
        <v>0</v>
      </c>
      <c r="R8109" s="2" t="inlineStr"/>
    </row>
    <row r="8110" ht="15" customHeight="1">
      <c r="A8110" t="inlineStr">
        <is>
          <t>A 39375-2025</t>
        </is>
      </c>
      <c r="B8110" s="1" t="n">
        <v>45889.58944444444</v>
      </c>
      <c r="C8110" s="1" t="n">
        <v>45952</v>
      </c>
      <c r="D8110" t="inlineStr">
        <is>
          <t>VÄSTRA GÖTALANDS LÄN</t>
        </is>
      </c>
      <c r="E8110" t="inlineStr">
        <is>
          <t>VÅRGÅRDA</t>
        </is>
      </c>
      <c r="G8110" t="n">
        <v>0.9</v>
      </c>
      <c r="H8110" t="n">
        <v>0</v>
      </c>
      <c r="I8110" t="n">
        <v>0</v>
      </c>
      <c r="J8110" t="n">
        <v>0</v>
      </c>
      <c r="K8110" t="n">
        <v>0</v>
      </c>
      <c r="L8110" t="n">
        <v>0</v>
      </c>
      <c r="M8110" t="n">
        <v>0</v>
      </c>
      <c r="N8110" t="n">
        <v>0</v>
      </c>
      <c r="O8110" t="n">
        <v>0</v>
      </c>
      <c r="P8110" t="n">
        <v>0</v>
      </c>
      <c r="Q8110" t="n">
        <v>0</v>
      </c>
      <c r="R8110" s="2" t="inlineStr"/>
    </row>
    <row r="8111" ht="15" customHeight="1">
      <c r="A8111" t="inlineStr">
        <is>
          <t>A 39407-2025</t>
        </is>
      </c>
      <c r="B8111" s="1" t="n">
        <v>45889.63934027778</v>
      </c>
      <c r="C8111" s="1" t="n">
        <v>45952</v>
      </c>
      <c r="D8111" t="inlineStr">
        <is>
          <t>VÄSTRA GÖTALANDS LÄN</t>
        </is>
      </c>
      <c r="E8111" t="inlineStr">
        <is>
          <t>ULRICEHAMN</t>
        </is>
      </c>
      <c r="G8111" t="n">
        <v>0.9</v>
      </c>
      <c r="H8111" t="n">
        <v>0</v>
      </c>
      <c r="I8111" t="n">
        <v>0</v>
      </c>
      <c r="J8111" t="n">
        <v>0</v>
      </c>
      <c r="K8111" t="n">
        <v>0</v>
      </c>
      <c r="L8111" t="n">
        <v>0</v>
      </c>
      <c r="M8111" t="n">
        <v>0</v>
      </c>
      <c r="N8111" t="n">
        <v>0</v>
      </c>
      <c r="O8111" t="n">
        <v>0</v>
      </c>
      <c r="P8111" t="n">
        <v>0</v>
      </c>
      <c r="Q8111" t="n">
        <v>0</v>
      </c>
      <c r="R8111" s="2" t="inlineStr"/>
    </row>
    <row r="8112" ht="15" customHeight="1">
      <c r="A8112" t="inlineStr">
        <is>
          <t>A 19963-2024</t>
        </is>
      </c>
      <c r="B8112" s="1" t="n">
        <v>45433.67465277778</v>
      </c>
      <c r="C8112" s="1" t="n">
        <v>45952</v>
      </c>
      <c r="D8112" t="inlineStr">
        <is>
          <t>VÄSTRA GÖTALANDS LÄN</t>
        </is>
      </c>
      <c r="E8112" t="inlineStr">
        <is>
          <t>TANUM</t>
        </is>
      </c>
      <c r="G8112" t="n">
        <v>4.2</v>
      </c>
      <c r="H8112" t="n">
        <v>0</v>
      </c>
      <c r="I8112" t="n">
        <v>0</v>
      </c>
      <c r="J8112" t="n">
        <v>0</v>
      </c>
      <c r="K8112" t="n">
        <v>0</v>
      </c>
      <c r="L8112" t="n">
        <v>0</v>
      </c>
      <c r="M8112" t="n">
        <v>0</v>
      </c>
      <c r="N8112" t="n">
        <v>0</v>
      </c>
      <c r="O8112" t="n">
        <v>0</v>
      </c>
      <c r="P8112" t="n">
        <v>0</v>
      </c>
      <c r="Q8112" t="n">
        <v>0</v>
      </c>
      <c r="R8112" s="2" t="inlineStr"/>
    </row>
    <row r="8113" ht="15" customHeight="1">
      <c r="A8113" t="inlineStr">
        <is>
          <t>A 1922-2025</t>
        </is>
      </c>
      <c r="B8113" s="1" t="n">
        <v>45671.69181712963</v>
      </c>
      <c r="C8113" s="1" t="n">
        <v>45952</v>
      </c>
      <c r="D8113" t="inlineStr">
        <is>
          <t>VÄSTRA GÖTALANDS LÄN</t>
        </is>
      </c>
      <c r="E8113" t="inlineStr">
        <is>
          <t>BORÅS</t>
        </is>
      </c>
      <c r="F8113" t="inlineStr">
        <is>
          <t>Kyrkan</t>
        </is>
      </c>
      <c r="G8113" t="n">
        <v>5.9</v>
      </c>
      <c r="H8113" t="n">
        <v>0</v>
      </c>
      <c r="I8113" t="n">
        <v>0</v>
      </c>
      <c r="J8113" t="n">
        <v>0</v>
      </c>
      <c r="K8113" t="n">
        <v>0</v>
      </c>
      <c r="L8113" t="n">
        <v>0</v>
      </c>
      <c r="M8113" t="n">
        <v>0</v>
      </c>
      <c r="N8113" t="n">
        <v>0</v>
      </c>
      <c r="O8113" t="n">
        <v>0</v>
      </c>
      <c r="P8113" t="n">
        <v>0</v>
      </c>
      <c r="Q8113" t="n">
        <v>0</v>
      </c>
      <c r="R8113" s="2" t="inlineStr"/>
    </row>
    <row r="8114" ht="15" customHeight="1">
      <c r="A8114" t="inlineStr">
        <is>
          <t>A 1954-2025</t>
        </is>
      </c>
      <c r="B8114" s="1" t="n">
        <v>45671</v>
      </c>
      <c r="C8114" s="1" t="n">
        <v>45952</v>
      </c>
      <c r="D8114" t="inlineStr">
        <is>
          <t>VÄSTRA GÖTALANDS LÄN</t>
        </is>
      </c>
      <c r="E8114" t="inlineStr">
        <is>
          <t>ÅMÅL</t>
        </is>
      </c>
      <c r="F8114" t="inlineStr">
        <is>
          <t>Bergvik skog väst AB</t>
        </is>
      </c>
      <c r="G8114" t="n">
        <v>8.800000000000001</v>
      </c>
      <c r="H8114" t="n">
        <v>0</v>
      </c>
      <c r="I8114" t="n">
        <v>0</v>
      </c>
      <c r="J8114" t="n">
        <v>0</v>
      </c>
      <c r="K8114" t="n">
        <v>0</v>
      </c>
      <c r="L8114" t="n">
        <v>0</v>
      </c>
      <c r="M8114" t="n">
        <v>0</v>
      </c>
      <c r="N8114" t="n">
        <v>0</v>
      </c>
      <c r="O8114" t="n">
        <v>0</v>
      </c>
      <c r="P8114" t="n">
        <v>0</v>
      </c>
      <c r="Q8114" t="n">
        <v>0</v>
      </c>
      <c r="R8114" s="2" t="inlineStr"/>
    </row>
    <row r="8115" ht="15" customHeight="1">
      <c r="A8115" t="inlineStr">
        <is>
          <t>A 22059-2025</t>
        </is>
      </c>
      <c r="B8115" s="1" t="n">
        <v>45785.37339120371</v>
      </c>
      <c r="C8115" s="1" t="n">
        <v>45952</v>
      </c>
      <c r="D8115" t="inlineStr">
        <is>
          <t>VÄSTRA GÖTALANDS LÄN</t>
        </is>
      </c>
      <c r="E8115" t="inlineStr">
        <is>
          <t>DALS-ED</t>
        </is>
      </c>
      <c r="F8115" t="inlineStr">
        <is>
          <t>Övriga Aktiebolag</t>
        </is>
      </c>
      <c r="G8115" t="n">
        <v>2.9</v>
      </c>
      <c r="H8115" t="n">
        <v>0</v>
      </c>
      <c r="I8115" t="n">
        <v>0</v>
      </c>
      <c r="J8115" t="n">
        <v>0</v>
      </c>
      <c r="K8115" t="n">
        <v>0</v>
      </c>
      <c r="L8115" t="n">
        <v>0</v>
      </c>
      <c r="M8115" t="n">
        <v>0</v>
      </c>
      <c r="N8115" t="n">
        <v>0</v>
      </c>
      <c r="O8115" t="n">
        <v>0</v>
      </c>
      <c r="P8115" t="n">
        <v>0</v>
      </c>
      <c r="Q8115" t="n">
        <v>0</v>
      </c>
      <c r="R8115" s="2" t="inlineStr"/>
    </row>
    <row r="8116" ht="15" customHeight="1">
      <c r="A8116" t="inlineStr">
        <is>
          <t>A 47307-2025</t>
        </is>
      </c>
      <c r="B8116" s="1" t="n">
        <v>45930.52902777777</v>
      </c>
      <c r="C8116" s="1" t="n">
        <v>45952</v>
      </c>
      <c r="D8116" t="inlineStr">
        <is>
          <t>VÄSTRA GÖTALANDS LÄN</t>
        </is>
      </c>
      <c r="E8116" t="inlineStr">
        <is>
          <t>MUNKEDAL</t>
        </is>
      </c>
      <c r="G8116" t="n">
        <v>3.1</v>
      </c>
      <c r="H8116" t="n">
        <v>0</v>
      </c>
      <c r="I8116" t="n">
        <v>0</v>
      </c>
      <c r="J8116" t="n">
        <v>0</v>
      </c>
      <c r="K8116" t="n">
        <v>0</v>
      </c>
      <c r="L8116" t="n">
        <v>0</v>
      </c>
      <c r="M8116" t="n">
        <v>0</v>
      </c>
      <c r="N8116" t="n">
        <v>0</v>
      </c>
      <c r="O8116" t="n">
        <v>0</v>
      </c>
      <c r="P8116" t="n">
        <v>0</v>
      </c>
      <c r="Q8116" t="n">
        <v>0</v>
      </c>
      <c r="R8116" s="2" t="inlineStr"/>
    </row>
    <row r="8117" ht="15" customHeight="1">
      <c r="A8117" t="inlineStr">
        <is>
          <t>A 27014-2025</t>
        </is>
      </c>
      <c r="B8117" s="1" t="n">
        <v>45811.56616898148</v>
      </c>
      <c r="C8117" s="1" t="n">
        <v>45952</v>
      </c>
      <c r="D8117" t="inlineStr">
        <is>
          <t>VÄSTRA GÖTALANDS LÄN</t>
        </is>
      </c>
      <c r="E8117" t="inlineStr">
        <is>
          <t>TIDAHOLM</t>
        </is>
      </c>
      <c r="G8117" t="n">
        <v>0.7</v>
      </c>
      <c r="H8117" t="n">
        <v>0</v>
      </c>
      <c r="I8117" t="n">
        <v>0</v>
      </c>
      <c r="J8117" t="n">
        <v>0</v>
      </c>
      <c r="K8117" t="n">
        <v>0</v>
      </c>
      <c r="L8117" t="n">
        <v>0</v>
      </c>
      <c r="M8117" t="n">
        <v>0</v>
      </c>
      <c r="N8117" t="n">
        <v>0</v>
      </c>
      <c r="O8117" t="n">
        <v>0</v>
      </c>
      <c r="P8117" t="n">
        <v>0</v>
      </c>
      <c r="Q8117" t="n">
        <v>0</v>
      </c>
      <c r="R8117" s="2" t="inlineStr"/>
    </row>
    <row r="8118" ht="15" customHeight="1">
      <c r="A8118" t="inlineStr">
        <is>
          <t>A 34395-2025</t>
        </is>
      </c>
      <c r="B8118" s="1" t="n">
        <v>45846.59416666667</v>
      </c>
      <c r="C8118" s="1" t="n">
        <v>45952</v>
      </c>
      <c r="D8118" t="inlineStr">
        <is>
          <t>VÄSTRA GÖTALANDS LÄN</t>
        </is>
      </c>
      <c r="E8118" t="inlineStr">
        <is>
          <t>GÖTENE</t>
        </is>
      </c>
      <c r="G8118" t="n">
        <v>11.1</v>
      </c>
      <c r="H8118" t="n">
        <v>0</v>
      </c>
      <c r="I8118" t="n">
        <v>0</v>
      </c>
      <c r="J8118" t="n">
        <v>0</v>
      </c>
      <c r="K8118" t="n">
        <v>0</v>
      </c>
      <c r="L8118" t="n">
        <v>0</v>
      </c>
      <c r="M8118" t="n">
        <v>0</v>
      </c>
      <c r="N8118" t="n">
        <v>0</v>
      </c>
      <c r="O8118" t="n">
        <v>0</v>
      </c>
      <c r="P8118" t="n">
        <v>0</v>
      </c>
      <c r="Q8118" t="n">
        <v>0</v>
      </c>
      <c r="R8118" s="2" t="inlineStr"/>
    </row>
    <row r="8119" ht="15" customHeight="1">
      <c r="A8119" t="inlineStr">
        <is>
          <t>A 1981-2025</t>
        </is>
      </c>
      <c r="B8119" s="1" t="n">
        <v>45665</v>
      </c>
      <c r="C8119" s="1" t="n">
        <v>45952</v>
      </c>
      <c r="D8119" t="inlineStr">
        <is>
          <t>VÄSTRA GÖTALANDS LÄN</t>
        </is>
      </c>
      <c r="E8119" t="inlineStr">
        <is>
          <t>TÖREBODA</t>
        </is>
      </c>
      <c r="G8119" t="n">
        <v>1.9</v>
      </c>
      <c r="H8119" t="n">
        <v>0</v>
      </c>
      <c r="I8119" t="n">
        <v>0</v>
      </c>
      <c r="J8119" t="n">
        <v>0</v>
      </c>
      <c r="K8119" t="n">
        <v>0</v>
      </c>
      <c r="L8119" t="n">
        <v>0</v>
      </c>
      <c r="M8119" t="n">
        <v>0</v>
      </c>
      <c r="N8119" t="n">
        <v>0</v>
      </c>
      <c r="O8119" t="n">
        <v>0</v>
      </c>
      <c r="P8119" t="n">
        <v>0</v>
      </c>
      <c r="Q8119" t="n">
        <v>0</v>
      </c>
      <c r="R8119" s="2" t="inlineStr"/>
    </row>
    <row r="8120" ht="15" customHeight="1">
      <c r="A8120" t="inlineStr">
        <is>
          <t>A 18641-2025</t>
        </is>
      </c>
      <c r="B8120" s="1" t="n">
        <v>45763</v>
      </c>
      <c r="C8120" s="1" t="n">
        <v>45952</v>
      </c>
      <c r="D8120" t="inlineStr">
        <is>
          <t>VÄSTRA GÖTALANDS LÄN</t>
        </is>
      </c>
      <c r="E8120" t="inlineStr">
        <is>
          <t>TRANEMO</t>
        </is>
      </c>
      <c r="G8120" t="n">
        <v>1.4</v>
      </c>
      <c r="H8120" t="n">
        <v>0</v>
      </c>
      <c r="I8120" t="n">
        <v>0</v>
      </c>
      <c r="J8120" t="n">
        <v>0</v>
      </c>
      <c r="K8120" t="n">
        <v>0</v>
      </c>
      <c r="L8120" t="n">
        <v>0</v>
      </c>
      <c r="M8120" t="n">
        <v>0</v>
      </c>
      <c r="N8120" t="n">
        <v>0</v>
      </c>
      <c r="O8120" t="n">
        <v>0</v>
      </c>
      <c r="P8120" t="n">
        <v>0</v>
      </c>
      <c r="Q8120" t="n">
        <v>0</v>
      </c>
      <c r="R8120" s="2" t="inlineStr"/>
    </row>
    <row r="8121" ht="15" customHeight="1">
      <c r="A8121" t="inlineStr">
        <is>
          <t>A 10777-2024</t>
        </is>
      </c>
      <c r="B8121" s="1" t="n">
        <v>45369.59260416667</v>
      </c>
      <c r="C8121" s="1" t="n">
        <v>45952</v>
      </c>
      <c r="D8121" t="inlineStr">
        <is>
          <t>VÄSTRA GÖTALANDS LÄN</t>
        </is>
      </c>
      <c r="E8121" t="inlineStr">
        <is>
          <t>TROLLHÄTTAN</t>
        </is>
      </c>
      <c r="G8121" t="n">
        <v>0.9</v>
      </c>
      <c r="H8121" t="n">
        <v>0</v>
      </c>
      <c r="I8121" t="n">
        <v>0</v>
      </c>
      <c r="J8121" t="n">
        <v>0</v>
      </c>
      <c r="K8121" t="n">
        <v>0</v>
      </c>
      <c r="L8121" t="n">
        <v>0</v>
      </c>
      <c r="M8121" t="n">
        <v>0</v>
      </c>
      <c r="N8121" t="n">
        <v>0</v>
      </c>
      <c r="O8121" t="n">
        <v>0</v>
      </c>
      <c r="P8121" t="n">
        <v>0</v>
      </c>
      <c r="Q8121" t="n">
        <v>0</v>
      </c>
      <c r="R8121" s="2" t="inlineStr"/>
    </row>
    <row r="8122" ht="15" customHeight="1">
      <c r="A8122" t="inlineStr">
        <is>
          <t>A 6650-2025</t>
        </is>
      </c>
      <c r="B8122" s="1" t="n">
        <v>45700.41292824074</v>
      </c>
      <c r="C8122" s="1" t="n">
        <v>45952</v>
      </c>
      <c r="D8122" t="inlineStr">
        <is>
          <t>VÄSTRA GÖTALANDS LÄN</t>
        </is>
      </c>
      <c r="E8122" t="inlineStr">
        <is>
          <t>UDDEVALLA</t>
        </is>
      </c>
      <c r="G8122" t="n">
        <v>2.1</v>
      </c>
      <c r="H8122" t="n">
        <v>0</v>
      </c>
      <c r="I8122" t="n">
        <v>0</v>
      </c>
      <c r="J8122" t="n">
        <v>0</v>
      </c>
      <c r="K8122" t="n">
        <v>0</v>
      </c>
      <c r="L8122" t="n">
        <v>0</v>
      </c>
      <c r="M8122" t="n">
        <v>0</v>
      </c>
      <c r="N8122" t="n">
        <v>0</v>
      </c>
      <c r="O8122" t="n">
        <v>0</v>
      </c>
      <c r="P8122" t="n">
        <v>0</v>
      </c>
      <c r="Q8122" t="n">
        <v>0</v>
      </c>
      <c r="R8122" s="2" t="inlineStr"/>
    </row>
    <row r="8123" ht="15" customHeight="1">
      <c r="A8123" t="inlineStr">
        <is>
          <t>A 22023-2025</t>
        </is>
      </c>
      <c r="B8123" s="1" t="n">
        <v>45784</v>
      </c>
      <c r="C8123" s="1" t="n">
        <v>45952</v>
      </c>
      <c r="D8123" t="inlineStr">
        <is>
          <t>VÄSTRA GÖTALANDS LÄN</t>
        </is>
      </c>
      <c r="E8123" t="inlineStr">
        <is>
          <t>SKÖVDE</t>
        </is>
      </c>
      <c r="G8123" t="n">
        <v>6.3</v>
      </c>
      <c r="H8123" t="n">
        <v>0</v>
      </c>
      <c r="I8123" t="n">
        <v>0</v>
      </c>
      <c r="J8123" t="n">
        <v>0</v>
      </c>
      <c r="K8123" t="n">
        <v>0</v>
      </c>
      <c r="L8123" t="n">
        <v>0</v>
      </c>
      <c r="M8123" t="n">
        <v>0</v>
      </c>
      <c r="N8123" t="n">
        <v>0</v>
      </c>
      <c r="O8123" t="n">
        <v>0</v>
      </c>
      <c r="P8123" t="n">
        <v>0</v>
      </c>
      <c r="Q8123" t="n">
        <v>0</v>
      </c>
      <c r="R8123" s="2" t="inlineStr"/>
    </row>
    <row r="8124" ht="15" customHeight="1">
      <c r="A8124" t="inlineStr">
        <is>
          <t>A 22028-2025</t>
        </is>
      </c>
      <c r="B8124" s="1" t="n">
        <v>45785.21606481481</v>
      </c>
      <c r="C8124" s="1" t="n">
        <v>45952</v>
      </c>
      <c r="D8124" t="inlineStr">
        <is>
          <t>VÄSTRA GÖTALANDS LÄN</t>
        </is>
      </c>
      <c r="E8124" t="inlineStr">
        <is>
          <t>TIBRO</t>
        </is>
      </c>
      <c r="G8124" t="n">
        <v>1.2</v>
      </c>
      <c r="H8124" t="n">
        <v>0</v>
      </c>
      <c r="I8124" t="n">
        <v>0</v>
      </c>
      <c r="J8124" t="n">
        <v>0</v>
      </c>
      <c r="K8124" t="n">
        <v>0</v>
      </c>
      <c r="L8124" t="n">
        <v>0</v>
      </c>
      <c r="M8124" t="n">
        <v>0</v>
      </c>
      <c r="N8124" t="n">
        <v>0</v>
      </c>
      <c r="O8124" t="n">
        <v>0</v>
      </c>
      <c r="P8124" t="n">
        <v>0</v>
      </c>
      <c r="Q8124" t="n">
        <v>0</v>
      </c>
      <c r="R8124" s="2" t="inlineStr"/>
    </row>
    <row r="8125" ht="15" customHeight="1">
      <c r="A8125" t="inlineStr">
        <is>
          <t>A 22077-2025</t>
        </is>
      </c>
      <c r="B8125" s="1" t="n">
        <v>45785.42474537037</v>
      </c>
      <c r="C8125" s="1" t="n">
        <v>45952</v>
      </c>
      <c r="D8125" t="inlineStr">
        <is>
          <t>VÄSTRA GÖTALANDS LÄN</t>
        </is>
      </c>
      <c r="E8125" t="inlineStr">
        <is>
          <t>DALS-ED</t>
        </is>
      </c>
      <c r="G8125" t="n">
        <v>10.9</v>
      </c>
      <c r="H8125" t="n">
        <v>0</v>
      </c>
      <c r="I8125" t="n">
        <v>0</v>
      </c>
      <c r="J8125" t="n">
        <v>0</v>
      </c>
      <c r="K8125" t="n">
        <v>0</v>
      </c>
      <c r="L8125" t="n">
        <v>0</v>
      </c>
      <c r="M8125" t="n">
        <v>0</v>
      </c>
      <c r="N8125" t="n">
        <v>0</v>
      </c>
      <c r="O8125" t="n">
        <v>0</v>
      </c>
      <c r="P8125" t="n">
        <v>0</v>
      </c>
      <c r="Q8125" t="n">
        <v>0</v>
      </c>
      <c r="R8125" s="2" t="inlineStr"/>
    </row>
    <row r="8126" ht="15" customHeight="1">
      <c r="A8126" t="inlineStr">
        <is>
          <t>A 10833-2024</t>
        </is>
      </c>
      <c r="B8126" s="1" t="n">
        <v>45369.72144675926</v>
      </c>
      <c r="C8126" s="1" t="n">
        <v>45952</v>
      </c>
      <c r="D8126" t="inlineStr">
        <is>
          <t>VÄSTRA GÖTALANDS LÄN</t>
        </is>
      </c>
      <c r="E8126" t="inlineStr">
        <is>
          <t>TÖREBODA</t>
        </is>
      </c>
      <c r="G8126" t="n">
        <v>1</v>
      </c>
      <c r="H8126" t="n">
        <v>0</v>
      </c>
      <c r="I8126" t="n">
        <v>0</v>
      </c>
      <c r="J8126" t="n">
        <v>0</v>
      </c>
      <c r="K8126" t="n">
        <v>0</v>
      </c>
      <c r="L8126" t="n">
        <v>0</v>
      </c>
      <c r="M8126" t="n">
        <v>0</v>
      </c>
      <c r="N8126" t="n">
        <v>0</v>
      </c>
      <c r="O8126" t="n">
        <v>0</v>
      </c>
      <c r="P8126" t="n">
        <v>0</v>
      </c>
      <c r="Q8126" t="n">
        <v>0</v>
      </c>
      <c r="R8126" s="2" t="inlineStr"/>
    </row>
    <row r="8127" ht="15" customHeight="1">
      <c r="A8127" t="inlineStr">
        <is>
          <t>A 30280-2023</t>
        </is>
      </c>
      <c r="B8127" s="1" t="n">
        <v>45110.88763888889</v>
      </c>
      <c r="C8127" s="1" t="n">
        <v>45952</v>
      </c>
      <c r="D8127" t="inlineStr">
        <is>
          <t>VÄSTRA GÖTALANDS LÄN</t>
        </is>
      </c>
      <c r="E8127" t="inlineStr">
        <is>
          <t>VÅRGÅRDA</t>
        </is>
      </c>
      <c r="G8127" t="n">
        <v>0.6</v>
      </c>
      <c r="H8127" t="n">
        <v>0</v>
      </c>
      <c r="I8127" t="n">
        <v>0</v>
      </c>
      <c r="J8127" t="n">
        <v>0</v>
      </c>
      <c r="K8127" t="n">
        <v>0</v>
      </c>
      <c r="L8127" t="n">
        <v>0</v>
      </c>
      <c r="M8127" t="n">
        <v>0</v>
      </c>
      <c r="N8127" t="n">
        <v>0</v>
      </c>
      <c r="O8127" t="n">
        <v>0</v>
      </c>
      <c r="P8127" t="n">
        <v>0</v>
      </c>
      <c r="Q8127" t="n">
        <v>0</v>
      </c>
      <c r="R8127" s="2" t="inlineStr"/>
    </row>
    <row r="8128" ht="15" customHeight="1">
      <c r="A8128" t="inlineStr">
        <is>
          <t>A 47569-2025</t>
        </is>
      </c>
      <c r="B8128" s="1" t="n">
        <v>45931.39331018519</v>
      </c>
      <c r="C8128" s="1" t="n">
        <v>45952</v>
      </c>
      <c r="D8128" t="inlineStr">
        <is>
          <t>VÄSTRA GÖTALANDS LÄN</t>
        </is>
      </c>
      <c r="E8128" t="inlineStr">
        <is>
          <t>KUNGÄLV</t>
        </is>
      </c>
      <c r="G8128" t="n">
        <v>8</v>
      </c>
      <c r="H8128" t="n">
        <v>0</v>
      </c>
      <c r="I8128" t="n">
        <v>0</v>
      </c>
      <c r="J8128" t="n">
        <v>0</v>
      </c>
      <c r="K8128" t="n">
        <v>0</v>
      </c>
      <c r="L8128" t="n">
        <v>0</v>
      </c>
      <c r="M8128" t="n">
        <v>0</v>
      </c>
      <c r="N8128" t="n">
        <v>0</v>
      </c>
      <c r="O8128" t="n">
        <v>0</v>
      </c>
      <c r="P8128" t="n">
        <v>0</v>
      </c>
      <c r="Q8128" t="n">
        <v>0</v>
      </c>
      <c r="R8128" s="2" t="inlineStr"/>
    </row>
    <row r="8129" ht="15" customHeight="1">
      <c r="A8129" t="inlineStr">
        <is>
          <t>A 39963-2021</t>
        </is>
      </c>
      <c r="B8129" s="1" t="n">
        <v>44418.31126157408</v>
      </c>
      <c r="C8129" s="1" t="n">
        <v>45952</v>
      </c>
      <c r="D8129" t="inlineStr">
        <is>
          <t>VÄSTRA GÖTALANDS LÄN</t>
        </is>
      </c>
      <c r="E8129" t="inlineStr">
        <is>
          <t>ALINGSÅS</t>
        </is>
      </c>
      <c r="G8129" t="n">
        <v>4.3</v>
      </c>
      <c r="H8129" t="n">
        <v>0</v>
      </c>
      <c r="I8129" t="n">
        <v>0</v>
      </c>
      <c r="J8129" t="n">
        <v>0</v>
      </c>
      <c r="K8129" t="n">
        <v>0</v>
      </c>
      <c r="L8129" t="n">
        <v>0</v>
      </c>
      <c r="M8129" t="n">
        <v>0</v>
      </c>
      <c r="N8129" t="n">
        <v>0</v>
      </c>
      <c r="O8129" t="n">
        <v>0</v>
      </c>
      <c r="P8129" t="n">
        <v>0</v>
      </c>
      <c r="Q8129" t="n">
        <v>0</v>
      </c>
      <c r="R8129" s="2" t="inlineStr"/>
    </row>
    <row r="8130" ht="15" customHeight="1">
      <c r="A8130" t="inlineStr">
        <is>
          <t>A 29598-2025</t>
        </is>
      </c>
      <c r="B8130" s="1" t="n">
        <v>45825.40863425926</v>
      </c>
      <c r="C8130" s="1" t="n">
        <v>45952</v>
      </c>
      <c r="D8130" t="inlineStr">
        <is>
          <t>VÄSTRA GÖTALANDS LÄN</t>
        </is>
      </c>
      <c r="E8130" t="inlineStr">
        <is>
          <t>ÅMÅL</t>
        </is>
      </c>
      <c r="G8130" t="n">
        <v>8.300000000000001</v>
      </c>
      <c r="H8130" t="n">
        <v>0</v>
      </c>
      <c r="I8130" t="n">
        <v>0</v>
      </c>
      <c r="J8130" t="n">
        <v>0</v>
      </c>
      <c r="K8130" t="n">
        <v>0</v>
      </c>
      <c r="L8130" t="n">
        <v>0</v>
      </c>
      <c r="M8130" t="n">
        <v>0</v>
      </c>
      <c r="N8130" t="n">
        <v>0</v>
      </c>
      <c r="O8130" t="n">
        <v>0</v>
      </c>
      <c r="P8130" t="n">
        <v>0</v>
      </c>
      <c r="Q8130" t="n">
        <v>0</v>
      </c>
      <c r="R8130" s="2" t="inlineStr"/>
    </row>
    <row r="8131" ht="15" customHeight="1">
      <c r="A8131" t="inlineStr">
        <is>
          <t>A 61773-2022</t>
        </is>
      </c>
      <c r="B8131" s="1" t="n">
        <v>44917.51491898148</v>
      </c>
      <c r="C8131" s="1" t="n">
        <v>45952</v>
      </c>
      <c r="D8131" t="inlineStr">
        <is>
          <t>VÄSTRA GÖTALANDS LÄN</t>
        </is>
      </c>
      <c r="E8131" t="inlineStr">
        <is>
          <t>ULRICEHAMN</t>
        </is>
      </c>
      <c r="F8131" t="inlineStr">
        <is>
          <t>Kommuner</t>
        </is>
      </c>
      <c r="G8131" t="n">
        <v>4.8</v>
      </c>
      <c r="H8131" t="n">
        <v>0</v>
      </c>
      <c r="I8131" t="n">
        <v>0</v>
      </c>
      <c r="J8131" t="n">
        <v>0</v>
      </c>
      <c r="K8131" t="n">
        <v>0</v>
      </c>
      <c r="L8131" t="n">
        <v>0</v>
      </c>
      <c r="M8131" t="n">
        <v>0</v>
      </c>
      <c r="N8131" t="n">
        <v>0</v>
      </c>
      <c r="O8131" t="n">
        <v>0</v>
      </c>
      <c r="P8131" t="n">
        <v>0</v>
      </c>
      <c r="Q8131" t="n">
        <v>0</v>
      </c>
      <c r="R8131" s="2" t="inlineStr"/>
    </row>
    <row r="8132" ht="15" customHeight="1">
      <c r="A8132" t="inlineStr">
        <is>
          <t>A 71890-2021</t>
        </is>
      </c>
      <c r="B8132" s="1" t="n">
        <v>44543.78116898148</v>
      </c>
      <c r="C8132" s="1" t="n">
        <v>45952</v>
      </c>
      <c r="D8132" t="inlineStr">
        <is>
          <t>VÄSTRA GÖTALANDS LÄN</t>
        </is>
      </c>
      <c r="E8132" t="inlineStr">
        <is>
          <t>ORUST</t>
        </is>
      </c>
      <c r="G8132" t="n">
        <v>2.4</v>
      </c>
      <c r="H8132" t="n">
        <v>0</v>
      </c>
      <c r="I8132" t="n">
        <v>0</v>
      </c>
      <c r="J8132" t="n">
        <v>0</v>
      </c>
      <c r="K8132" t="n">
        <v>0</v>
      </c>
      <c r="L8132" t="n">
        <v>0</v>
      </c>
      <c r="M8132" t="n">
        <v>0</v>
      </c>
      <c r="N8132" t="n">
        <v>0</v>
      </c>
      <c r="O8132" t="n">
        <v>0</v>
      </c>
      <c r="P8132" t="n">
        <v>0</v>
      </c>
      <c r="Q8132" t="n">
        <v>0</v>
      </c>
      <c r="R8132" s="2" t="inlineStr"/>
    </row>
    <row r="8133" ht="15" customHeight="1">
      <c r="A8133" t="inlineStr">
        <is>
          <t>A 72456-2021</t>
        </is>
      </c>
      <c r="B8133" s="1" t="n">
        <v>44545.71697916667</v>
      </c>
      <c r="C8133" s="1" t="n">
        <v>45952</v>
      </c>
      <c r="D8133" t="inlineStr">
        <is>
          <t>VÄSTRA GÖTALANDS LÄN</t>
        </is>
      </c>
      <c r="E8133" t="inlineStr">
        <is>
          <t>DALS-ED</t>
        </is>
      </c>
      <c r="G8133" t="n">
        <v>1.6</v>
      </c>
      <c r="H8133" t="n">
        <v>0</v>
      </c>
      <c r="I8133" t="n">
        <v>0</v>
      </c>
      <c r="J8133" t="n">
        <v>0</v>
      </c>
      <c r="K8133" t="n">
        <v>0</v>
      </c>
      <c r="L8133" t="n">
        <v>0</v>
      </c>
      <c r="M8133" t="n">
        <v>0</v>
      </c>
      <c r="N8133" t="n">
        <v>0</v>
      </c>
      <c r="O8133" t="n">
        <v>0</v>
      </c>
      <c r="P8133" t="n">
        <v>0</v>
      </c>
      <c r="Q8133" t="n">
        <v>0</v>
      </c>
      <c r="R8133" s="2" t="inlineStr"/>
    </row>
    <row r="8134" ht="15" customHeight="1">
      <c r="A8134" t="inlineStr">
        <is>
          <t>A 39219-2025</t>
        </is>
      </c>
      <c r="B8134" s="1" t="n">
        <v>45888</v>
      </c>
      <c r="C8134" s="1" t="n">
        <v>45952</v>
      </c>
      <c r="D8134" t="inlineStr">
        <is>
          <t>VÄSTRA GÖTALANDS LÄN</t>
        </is>
      </c>
      <c r="E8134" t="inlineStr">
        <is>
          <t>ORUST</t>
        </is>
      </c>
      <c r="G8134" t="n">
        <v>1.2</v>
      </c>
      <c r="H8134" t="n">
        <v>0</v>
      </c>
      <c r="I8134" t="n">
        <v>0</v>
      </c>
      <c r="J8134" t="n">
        <v>0</v>
      </c>
      <c r="K8134" t="n">
        <v>0</v>
      </c>
      <c r="L8134" t="n">
        <v>0</v>
      </c>
      <c r="M8134" t="n">
        <v>0</v>
      </c>
      <c r="N8134" t="n">
        <v>0</v>
      </c>
      <c r="O8134" t="n">
        <v>0</v>
      </c>
      <c r="P8134" t="n">
        <v>0</v>
      </c>
      <c r="Q8134" t="n">
        <v>0</v>
      </c>
      <c r="R8134" s="2" t="inlineStr"/>
    </row>
    <row r="8135" ht="15" customHeight="1">
      <c r="A8135" t="inlineStr">
        <is>
          <t>A 39241-2025</t>
        </is>
      </c>
      <c r="B8135" s="1" t="n">
        <v>45889.3391550926</v>
      </c>
      <c r="C8135" s="1" t="n">
        <v>45952</v>
      </c>
      <c r="D8135" t="inlineStr">
        <is>
          <t>VÄSTRA GÖTALANDS LÄN</t>
        </is>
      </c>
      <c r="E8135" t="inlineStr">
        <is>
          <t>BENGTSFORS</t>
        </is>
      </c>
      <c r="G8135" t="n">
        <v>3.6</v>
      </c>
      <c r="H8135" t="n">
        <v>0</v>
      </c>
      <c r="I8135" t="n">
        <v>0</v>
      </c>
      <c r="J8135" t="n">
        <v>0</v>
      </c>
      <c r="K8135" t="n">
        <v>0</v>
      </c>
      <c r="L8135" t="n">
        <v>0</v>
      </c>
      <c r="M8135" t="n">
        <v>0</v>
      </c>
      <c r="N8135" t="n">
        <v>0</v>
      </c>
      <c r="O8135" t="n">
        <v>0</v>
      </c>
      <c r="P8135" t="n">
        <v>0</v>
      </c>
      <c r="Q8135" t="n">
        <v>0</v>
      </c>
      <c r="R8135" s="2" t="inlineStr"/>
    </row>
    <row r="8136" ht="15" customHeight="1">
      <c r="A8136" t="inlineStr">
        <is>
          <t>A 11143-2025</t>
        </is>
      </c>
      <c r="B8136" s="1" t="n">
        <v>45723.67199074074</v>
      </c>
      <c r="C8136" s="1" t="n">
        <v>45952</v>
      </c>
      <c r="D8136" t="inlineStr">
        <is>
          <t>VÄSTRA GÖTALANDS LÄN</t>
        </is>
      </c>
      <c r="E8136" t="inlineStr">
        <is>
          <t>MUNKEDAL</t>
        </is>
      </c>
      <c r="G8136" t="n">
        <v>5.3</v>
      </c>
      <c r="H8136" t="n">
        <v>0</v>
      </c>
      <c r="I8136" t="n">
        <v>0</v>
      </c>
      <c r="J8136" t="n">
        <v>0</v>
      </c>
      <c r="K8136" t="n">
        <v>0</v>
      </c>
      <c r="L8136" t="n">
        <v>0</v>
      </c>
      <c r="M8136" t="n">
        <v>0</v>
      </c>
      <c r="N8136" t="n">
        <v>0</v>
      </c>
      <c r="O8136" t="n">
        <v>0</v>
      </c>
      <c r="P8136" t="n">
        <v>0</v>
      </c>
      <c r="Q8136" t="n">
        <v>0</v>
      </c>
      <c r="R8136" s="2" t="inlineStr"/>
    </row>
    <row r="8137" ht="15" customHeight="1">
      <c r="A8137" t="inlineStr">
        <is>
          <t>A 65619-2021</t>
        </is>
      </c>
      <c r="B8137" s="1" t="n">
        <v>44516.53974537037</v>
      </c>
      <c r="C8137" s="1" t="n">
        <v>45952</v>
      </c>
      <c r="D8137" t="inlineStr">
        <is>
          <t>VÄSTRA GÖTALANDS LÄN</t>
        </is>
      </c>
      <c r="E8137" t="inlineStr">
        <is>
          <t>LILLA EDET</t>
        </is>
      </c>
      <c r="G8137" t="n">
        <v>2.9</v>
      </c>
      <c r="H8137" t="n">
        <v>0</v>
      </c>
      <c r="I8137" t="n">
        <v>0</v>
      </c>
      <c r="J8137" t="n">
        <v>0</v>
      </c>
      <c r="K8137" t="n">
        <v>0</v>
      </c>
      <c r="L8137" t="n">
        <v>0</v>
      </c>
      <c r="M8137" t="n">
        <v>0</v>
      </c>
      <c r="N8137" t="n">
        <v>0</v>
      </c>
      <c r="O8137" t="n">
        <v>0</v>
      </c>
      <c r="P8137" t="n">
        <v>0</v>
      </c>
      <c r="Q8137" t="n">
        <v>0</v>
      </c>
      <c r="R8137" s="2" t="inlineStr"/>
    </row>
    <row r="8138" ht="15" customHeight="1">
      <c r="A8138" t="inlineStr">
        <is>
          <t>A 32454-2023</t>
        </is>
      </c>
      <c r="B8138" s="1" t="n">
        <v>45120</v>
      </c>
      <c r="C8138" s="1" t="n">
        <v>45952</v>
      </c>
      <c r="D8138" t="inlineStr">
        <is>
          <t>VÄSTRA GÖTALANDS LÄN</t>
        </is>
      </c>
      <c r="E8138" t="inlineStr">
        <is>
          <t>BORÅS</t>
        </is>
      </c>
      <c r="G8138" t="n">
        <v>1.3</v>
      </c>
      <c r="H8138" t="n">
        <v>0</v>
      </c>
      <c r="I8138" t="n">
        <v>0</v>
      </c>
      <c r="J8138" t="n">
        <v>0</v>
      </c>
      <c r="K8138" t="n">
        <v>0</v>
      </c>
      <c r="L8138" t="n">
        <v>0</v>
      </c>
      <c r="M8138" t="n">
        <v>0</v>
      </c>
      <c r="N8138" t="n">
        <v>0</v>
      </c>
      <c r="O8138" t="n">
        <v>0</v>
      </c>
      <c r="P8138" t="n">
        <v>0</v>
      </c>
      <c r="Q8138" t="n">
        <v>0</v>
      </c>
      <c r="R8138" s="2" t="inlineStr"/>
    </row>
    <row r="8139" ht="15" customHeight="1">
      <c r="A8139" t="inlineStr">
        <is>
          <t>A 47265-2025</t>
        </is>
      </c>
      <c r="B8139" s="1" t="n">
        <v>45930.45715277778</v>
      </c>
      <c r="C8139" s="1" t="n">
        <v>45952</v>
      </c>
      <c r="D8139" t="inlineStr">
        <is>
          <t>VÄSTRA GÖTALANDS LÄN</t>
        </is>
      </c>
      <c r="E8139" t="inlineStr">
        <is>
          <t>KARLSBORG</t>
        </is>
      </c>
      <c r="G8139" t="n">
        <v>4.8</v>
      </c>
      <c r="H8139" t="n">
        <v>0</v>
      </c>
      <c r="I8139" t="n">
        <v>0</v>
      </c>
      <c r="J8139" t="n">
        <v>0</v>
      </c>
      <c r="K8139" t="n">
        <v>0</v>
      </c>
      <c r="L8139" t="n">
        <v>0</v>
      </c>
      <c r="M8139" t="n">
        <v>0</v>
      </c>
      <c r="N8139" t="n">
        <v>0</v>
      </c>
      <c r="O8139" t="n">
        <v>0</v>
      </c>
      <c r="P8139" t="n">
        <v>0</v>
      </c>
      <c r="Q8139" t="n">
        <v>0</v>
      </c>
      <c r="R8139" s="2" t="inlineStr"/>
    </row>
    <row r="8140" ht="15" customHeight="1">
      <c r="A8140" t="inlineStr">
        <is>
          <t>A 32472-2023</t>
        </is>
      </c>
      <c r="B8140" s="1" t="n">
        <v>45120.93417824074</v>
      </c>
      <c r="C8140" s="1" t="n">
        <v>45952</v>
      </c>
      <c r="D8140" t="inlineStr">
        <is>
          <t>VÄSTRA GÖTALANDS LÄN</t>
        </is>
      </c>
      <c r="E8140" t="inlineStr">
        <is>
          <t>BORÅS</t>
        </is>
      </c>
      <c r="G8140" t="n">
        <v>8.300000000000001</v>
      </c>
      <c r="H8140" t="n">
        <v>0</v>
      </c>
      <c r="I8140" t="n">
        <v>0</v>
      </c>
      <c r="J8140" t="n">
        <v>0</v>
      </c>
      <c r="K8140" t="n">
        <v>0</v>
      </c>
      <c r="L8140" t="n">
        <v>0</v>
      </c>
      <c r="M8140" t="n">
        <v>0</v>
      </c>
      <c r="N8140" t="n">
        <v>0</v>
      </c>
      <c r="O8140" t="n">
        <v>0</v>
      </c>
      <c r="P8140" t="n">
        <v>0</v>
      </c>
      <c r="Q8140" t="n">
        <v>0</v>
      </c>
      <c r="R8140" s="2" t="inlineStr"/>
    </row>
    <row r="8141" ht="15" customHeight="1">
      <c r="A8141" t="inlineStr">
        <is>
          <t>A 32482-2023</t>
        </is>
      </c>
      <c r="B8141" s="1" t="n">
        <v>45120</v>
      </c>
      <c r="C8141" s="1" t="n">
        <v>45952</v>
      </c>
      <c r="D8141" t="inlineStr">
        <is>
          <t>VÄSTRA GÖTALANDS LÄN</t>
        </is>
      </c>
      <c r="E8141" t="inlineStr">
        <is>
          <t>BORÅS</t>
        </is>
      </c>
      <c r="G8141" t="n">
        <v>1.7</v>
      </c>
      <c r="H8141" t="n">
        <v>0</v>
      </c>
      <c r="I8141" t="n">
        <v>0</v>
      </c>
      <c r="J8141" t="n">
        <v>0</v>
      </c>
      <c r="K8141" t="n">
        <v>0</v>
      </c>
      <c r="L8141" t="n">
        <v>0</v>
      </c>
      <c r="M8141" t="n">
        <v>0</v>
      </c>
      <c r="N8141" t="n">
        <v>0</v>
      </c>
      <c r="O8141" t="n">
        <v>0</v>
      </c>
      <c r="P8141" t="n">
        <v>0</v>
      </c>
      <c r="Q8141" t="n">
        <v>0</v>
      </c>
      <c r="R8141" s="2" t="inlineStr"/>
    </row>
    <row r="8142" ht="15" customHeight="1">
      <c r="A8142" t="inlineStr">
        <is>
          <t>A 2796-2023</t>
        </is>
      </c>
      <c r="B8142" s="1" t="n">
        <v>44944.70200231481</v>
      </c>
      <c r="C8142" s="1" t="n">
        <v>45952</v>
      </c>
      <c r="D8142" t="inlineStr">
        <is>
          <t>VÄSTRA GÖTALANDS LÄN</t>
        </is>
      </c>
      <c r="E8142" t="inlineStr">
        <is>
          <t>KARLSBORG</t>
        </is>
      </c>
      <c r="F8142" t="inlineStr">
        <is>
          <t>Övriga Aktiebolag</t>
        </is>
      </c>
      <c r="G8142" t="n">
        <v>8.5</v>
      </c>
      <c r="H8142" t="n">
        <v>0</v>
      </c>
      <c r="I8142" t="n">
        <v>0</v>
      </c>
      <c r="J8142" t="n">
        <v>0</v>
      </c>
      <c r="K8142" t="n">
        <v>0</v>
      </c>
      <c r="L8142" t="n">
        <v>0</v>
      </c>
      <c r="M8142" t="n">
        <v>0</v>
      </c>
      <c r="N8142" t="n">
        <v>0</v>
      </c>
      <c r="O8142" t="n">
        <v>0</v>
      </c>
      <c r="P8142" t="n">
        <v>0</v>
      </c>
      <c r="Q8142" t="n">
        <v>0</v>
      </c>
      <c r="R8142" s="2" t="inlineStr"/>
    </row>
    <row r="8143" ht="15" customHeight="1">
      <c r="A8143" t="inlineStr">
        <is>
          <t>A 47466-2024</t>
        </is>
      </c>
      <c r="B8143" s="1" t="n">
        <v>45586</v>
      </c>
      <c r="C8143" s="1" t="n">
        <v>45952</v>
      </c>
      <c r="D8143" t="inlineStr">
        <is>
          <t>VÄSTRA GÖTALANDS LÄN</t>
        </is>
      </c>
      <c r="E8143" t="inlineStr">
        <is>
          <t>SKÖVDE</t>
        </is>
      </c>
      <c r="G8143" t="n">
        <v>1.1</v>
      </c>
      <c r="H8143" t="n">
        <v>0</v>
      </c>
      <c r="I8143" t="n">
        <v>0</v>
      </c>
      <c r="J8143" t="n">
        <v>0</v>
      </c>
      <c r="K8143" t="n">
        <v>0</v>
      </c>
      <c r="L8143" t="n">
        <v>0</v>
      </c>
      <c r="M8143" t="n">
        <v>0</v>
      </c>
      <c r="N8143" t="n">
        <v>0</v>
      </c>
      <c r="O8143" t="n">
        <v>0</v>
      </c>
      <c r="P8143" t="n">
        <v>0</v>
      </c>
      <c r="Q8143" t="n">
        <v>0</v>
      </c>
      <c r="R8143" s="2" t="inlineStr"/>
    </row>
    <row r="8144" ht="15" customHeight="1">
      <c r="A8144" t="inlineStr">
        <is>
          <t>A 31711-2023</t>
        </is>
      </c>
      <c r="B8144" s="1" t="n">
        <v>45117.82019675926</v>
      </c>
      <c r="C8144" s="1" t="n">
        <v>45952</v>
      </c>
      <c r="D8144" t="inlineStr">
        <is>
          <t>VÄSTRA GÖTALANDS LÄN</t>
        </is>
      </c>
      <c r="E8144" t="inlineStr">
        <is>
          <t>BOLLEBYGD</t>
        </is>
      </c>
      <c r="G8144" t="n">
        <v>1.9</v>
      </c>
      <c r="H8144" t="n">
        <v>0</v>
      </c>
      <c r="I8144" t="n">
        <v>0</v>
      </c>
      <c r="J8144" t="n">
        <v>0</v>
      </c>
      <c r="K8144" t="n">
        <v>0</v>
      </c>
      <c r="L8144" t="n">
        <v>0</v>
      </c>
      <c r="M8144" t="n">
        <v>0</v>
      </c>
      <c r="N8144" t="n">
        <v>0</v>
      </c>
      <c r="O8144" t="n">
        <v>0</v>
      </c>
      <c r="P8144" t="n">
        <v>0</v>
      </c>
      <c r="Q8144" t="n">
        <v>0</v>
      </c>
      <c r="R8144" s="2" t="inlineStr"/>
    </row>
    <row r="8145" ht="15" customHeight="1">
      <c r="A8145" t="inlineStr">
        <is>
          <t>A 38526-2022</t>
        </is>
      </c>
      <c r="B8145" s="1" t="n">
        <v>44813.45697916667</v>
      </c>
      <c r="C8145" s="1" t="n">
        <v>45952</v>
      </c>
      <c r="D8145" t="inlineStr">
        <is>
          <t>VÄSTRA GÖTALANDS LÄN</t>
        </is>
      </c>
      <c r="E8145" t="inlineStr">
        <is>
          <t>ÅMÅL</t>
        </is>
      </c>
      <c r="G8145" t="n">
        <v>4.1</v>
      </c>
      <c r="H8145" t="n">
        <v>0</v>
      </c>
      <c r="I8145" t="n">
        <v>0</v>
      </c>
      <c r="J8145" t="n">
        <v>0</v>
      </c>
      <c r="K8145" t="n">
        <v>0</v>
      </c>
      <c r="L8145" t="n">
        <v>0</v>
      </c>
      <c r="M8145" t="n">
        <v>0</v>
      </c>
      <c r="N8145" t="n">
        <v>0</v>
      </c>
      <c r="O8145" t="n">
        <v>0</v>
      </c>
      <c r="P8145" t="n">
        <v>0</v>
      </c>
      <c r="Q8145" t="n">
        <v>0</v>
      </c>
      <c r="R8145" s="2" t="inlineStr"/>
    </row>
    <row r="8146" ht="15" customHeight="1">
      <c r="A8146" t="inlineStr">
        <is>
          <t>A 51665-2024</t>
        </is>
      </c>
      <c r="B8146" s="1" t="n">
        <v>45606.84010416667</v>
      </c>
      <c r="C8146" s="1" t="n">
        <v>45952</v>
      </c>
      <c r="D8146" t="inlineStr">
        <is>
          <t>VÄSTRA GÖTALANDS LÄN</t>
        </is>
      </c>
      <c r="E8146" t="inlineStr">
        <is>
          <t>ULRICEHAMN</t>
        </is>
      </c>
      <c r="G8146" t="n">
        <v>1.1</v>
      </c>
      <c r="H8146" t="n">
        <v>0</v>
      </c>
      <c r="I8146" t="n">
        <v>0</v>
      </c>
      <c r="J8146" t="n">
        <v>0</v>
      </c>
      <c r="K8146" t="n">
        <v>0</v>
      </c>
      <c r="L8146" t="n">
        <v>0</v>
      </c>
      <c r="M8146" t="n">
        <v>0</v>
      </c>
      <c r="N8146" t="n">
        <v>0</v>
      </c>
      <c r="O8146" t="n">
        <v>0</v>
      </c>
      <c r="P8146" t="n">
        <v>0</v>
      </c>
      <c r="Q8146" t="n">
        <v>0</v>
      </c>
      <c r="R8146" s="2" t="inlineStr"/>
    </row>
    <row r="8147" ht="15" customHeight="1">
      <c r="A8147" t="inlineStr">
        <is>
          <t>A 31727-2023</t>
        </is>
      </c>
      <c r="B8147" s="1" t="n">
        <v>45117</v>
      </c>
      <c r="C8147" s="1" t="n">
        <v>45952</v>
      </c>
      <c r="D8147" t="inlineStr">
        <is>
          <t>VÄSTRA GÖTALANDS LÄN</t>
        </is>
      </c>
      <c r="E8147" t="inlineStr">
        <is>
          <t>BOLLEBYGD</t>
        </is>
      </c>
      <c r="G8147" t="n">
        <v>3.1</v>
      </c>
      <c r="H8147" t="n">
        <v>0</v>
      </c>
      <c r="I8147" t="n">
        <v>0</v>
      </c>
      <c r="J8147" t="n">
        <v>0</v>
      </c>
      <c r="K8147" t="n">
        <v>0</v>
      </c>
      <c r="L8147" t="n">
        <v>0</v>
      </c>
      <c r="M8147" t="n">
        <v>0</v>
      </c>
      <c r="N8147" t="n">
        <v>0</v>
      </c>
      <c r="O8147" t="n">
        <v>0</v>
      </c>
      <c r="P8147" t="n">
        <v>0</v>
      </c>
      <c r="Q8147" t="n">
        <v>0</v>
      </c>
      <c r="R8147" s="2" t="inlineStr"/>
    </row>
    <row r="8148" ht="15" customHeight="1">
      <c r="A8148" t="inlineStr">
        <is>
          <t>A 31728-2023</t>
        </is>
      </c>
      <c r="B8148" s="1" t="n">
        <v>45117</v>
      </c>
      <c r="C8148" s="1" t="n">
        <v>45952</v>
      </c>
      <c r="D8148" t="inlineStr">
        <is>
          <t>VÄSTRA GÖTALANDS LÄN</t>
        </is>
      </c>
      <c r="E8148" t="inlineStr">
        <is>
          <t>BOLLEBYGD</t>
        </is>
      </c>
      <c r="G8148" t="n">
        <v>0.6</v>
      </c>
      <c r="H8148" t="n">
        <v>0</v>
      </c>
      <c r="I8148" t="n">
        <v>0</v>
      </c>
      <c r="J8148" t="n">
        <v>0</v>
      </c>
      <c r="K8148" t="n">
        <v>0</v>
      </c>
      <c r="L8148" t="n">
        <v>0</v>
      </c>
      <c r="M8148" t="n">
        <v>0</v>
      </c>
      <c r="N8148" t="n">
        <v>0</v>
      </c>
      <c r="O8148" t="n">
        <v>0</v>
      </c>
      <c r="P8148" t="n">
        <v>0</v>
      </c>
      <c r="Q8148" t="n">
        <v>0</v>
      </c>
      <c r="R8148" s="2" t="inlineStr"/>
    </row>
    <row r="8149" ht="15" customHeight="1">
      <c r="A8149" t="inlineStr">
        <is>
          <t>A 72612-2021</t>
        </is>
      </c>
      <c r="B8149" s="1" t="n">
        <v>44546.51971064815</v>
      </c>
      <c r="C8149" s="1" t="n">
        <v>45952</v>
      </c>
      <c r="D8149" t="inlineStr">
        <is>
          <t>VÄSTRA GÖTALANDS LÄN</t>
        </is>
      </c>
      <c r="E8149" t="inlineStr">
        <is>
          <t>FÄRGELANDA</t>
        </is>
      </c>
      <c r="G8149" t="n">
        <v>2.1</v>
      </c>
      <c r="H8149" t="n">
        <v>0</v>
      </c>
      <c r="I8149" t="n">
        <v>0</v>
      </c>
      <c r="J8149" t="n">
        <v>0</v>
      </c>
      <c r="K8149" t="n">
        <v>0</v>
      </c>
      <c r="L8149" t="n">
        <v>0</v>
      </c>
      <c r="M8149" t="n">
        <v>0</v>
      </c>
      <c r="N8149" t="n">
        <v>0</v>
      </c>
      <c r="O8149" t="n">
        <v>0</v>
      </c>
      <c r="P8149" t="n">
        <v>0</v>
      </c>
      <c r="Q8149" t="n">
        <v>0</v>
      </c>
      <c r="R8149" s="2" t="inlineStr"/>
    </row>
    <row r="8150" ht="15" customHeight="1">
      <c r="A8150" t="inlineStr">
        <is>
          <t>A 7086-2022</t>
        </is>
      </c>
      <c r="B8150" s="1" t="n">
        <v>44603</v>
      </c>
      <c r="C8150" s="1" t="n">
        <v>45952</v>
      </c>
      <c r="D8150" t="inlineStr">
        <is>
          <t>VÄSTRA GÖTALANDS LÄN</t>
        </is>
      </c>
      <c r="E8150" t="inlineStr">
        <is>
          <t>ÅMÅL</t>
        </is>
      </c>
      <c r="G8150" t="n">
        <v>1.8</v>
      </c>
      <c r="H8150" t="n">
        <v>0</v>
      </c>
      <c r="I8150" t="n">
        <v>0</v>
      </c>
      <c r="J8150" t="n">
        <v>0</v>
      </c>
      <c r="K8150" t="n">
        <v>0</v>
      </c>
      <c r="L8150" t="n">
        <v>0</v>
      </c>
      <c r="M8150" t="n">
        <v>0</v>
      </c>
      <c r="N8150" t="n">
        <v>0</v>
      </c>
      <c r="O8150" t="n">
        <v>0</v>
      </c>
      <c r="P8150" t="n">
        <v>0</v>
      </c>
      <c r="Q8150" t="n">
        <v>0</v>
      </c>
      <c r="R8150" s="2" t="inlineStr"/>
    </row>
    <row r="8151" ht="15" customHeight="1">
      <c r="A8151" t="inlineStr">
        <is>
          <t>A 7554-2024</t>
        </is>
      </c>
      <c r="B8151" s="1" t="n">
        <v>45348</v>
      </c>
      <c r="C8151" s="1" t="n">
        <v>45952</v>
      </c>
      <c r="D8151" t="inlineStr">
        <is>
          <t>VÄSTRA GÖTALANDS LÄN</t>
        </is>
      </c>
      <c r="E8151" t="inlineStr">
        <is>
          <t>MUNKEDAL</t>
        </is>
      </c>
      <c r="G8151" t="n">
        <v>1.1</v>
      </c>
      <c r="H8151" t="n">
        <v>0</v>
      </c>
      <c r="I8151" t="n">
        <v>0</v>
      </c>
      <c r="J8151" t="n">
        <v>0</v>
      </c>
      <c r="K8151" t="n">
        <v>0</v>
      </c>
      <c r="L8151" t="n">
        <v>0</v>
      </c>
      <c r="M8151" t="n">
        <v>0</v>
      </c>
      <c r="N8151" t="n">
        <v>0</v>
      </c>
      <c r="O8151" t="n">
        <v>0</v>
      </c>
      <c r="P8151" t="n">
        <v>0</v>
      </c>
      <c r="Q8151" t="n">
        <v>0</v>
      </c>
      <c r="R8151" s="2" t="inlineStr"/>
    </row>
    <row r="8152" ht="15" customHeight="1">
      <c r="A8152" t="inlineStr">
        <is>
          <t>A 39558-2024</t>
        </is>
      </c>
      <c r="B8152" s="1" t="n">
        <v>45552.34012731481</v>
      </c>
      <c r="C8152" s="1" t="n">
        <v>45952</v>
      </c>
      <c r="D8152" t="inlineStr">
        <is>
          <t>VÄSTRA GÖTALANDS LÄN</t>
        </is>
      </c>
      <c r="E8152" t="inlineStr">
        <is>
          <t>TÖREBODA</t>
        </is>
      </c>
      <c r="G8152" t="n">
        <v>3.1</v>
      </c>
      <c r="H8152" t="n">
        <v>0</v>
      </c>
      <c r="I8152" t="n">
        <v>0</v>
      </c>
      <c r="J8152" t="n">
        <v>0</v>
      </c>
      <c r="K8152" t="n">
        <v>0</v>
      </c>
      <c r="L8152" t="n">
        <v>0</v>
      </c>
      <c r="M8152" t="n">
        <v>0</v>
      </c>
      <c r="N8152" t="n">
        <v>0</v>
      </c>
      <c r="O8152" t="n">
        <v>0</v>
      </c>
      <c r="P8152" t="n">
        <v>0</v>
      </c>
      <c r="Q8152" t="n">
        <v>0</v>
      </c>
      <c r="R8152" s="2" t="inlineStr"/>
    </row>
    <row r="8153" ht="15" customHeight="1">
      <c r="A8153" t="inlineStr">
        <is>
          <t>A 5662-2025</t>
        </is>
      </c>
      <c r="B8153" s="1" t="n">
        <v>45693.7809375</v>
      </c>
      <c r="C8153" s="1" t="n">
        <v>45952</v>
      </c>
      <c r="D8153" t="inlineStr">
        <is>
          <t>VÄSTRA GÖTALANDS LÄN</t>
        </is>
      </c>
      <c r="E8153" t="inlineStr">
        <is>
          <t>DALS-ED</t>
        </is>
      </c>
      <c r="G8153" t="n">
        <v>8.1</v>
      </c>
      <c r="H8153" t="n">
        <v>0</v>
      </c>
      <c r="I8153" t="n">
        <v>0</v>
      </c>
      <c r="J8153" t="n">
        <v>0</v>
      </c>
      <c r="K8153" t="n">
        <v>0</v>
      </c>
      <c r="L8153" t="n">
        <v>0</v>
      </c>
      <c r="M8153" t="n">
        <v>0</v>
      </c>
      <c r="N8153" t="n">
        <v>0</v>
      </c>
      <c r="O8153" t="n">
        <v>0</v>
      </c>
      <c r="P8153" t="n">
        <v>0</v>
      </c>
      <c r="Q8153" t="n">
        <v>0</v>
      </c>
      <c r="R8153" s="2" t="inlineStr"/>
    </row>
    <row r="8154" ht="15" customHeight="1">
      <c r="A8154" t="inlineStr">
        <is>
          <t>A 73437-2021</t>
        </is>
      </c>
      <c r="B8154" s="1" t="n">
        <v>44551</v>
      </c>
      <c r="C8154" s="1" t="n">
        <v>45952</v>
      </c>
      <c r="D8154" t="inlineStr">
        <is>
          <t>VÄSTRA GÖTALANDS LÄN</t>
        </is>
      </c>
      <c r="E8154" t="inlineStr">
        <is>
          <t>UDDEVALLA</t>
        </is>
      </c>
      <c r="G8154" t="n">
        <v>8.1</v>
      </c>
      <c r="H8154" t="n">
        <v>0</v>
      </c>
      <c r="I8154" t="n">
        <v>0</v>
      </c>
      <c r="J8154" t="n">
        <v>0</v>
      </c>
      <c r="K8154" t="n">
        <v>0</v>
      </c>
      <c r="L8154" t="n">
        <v>0</v>
      </c>
      <c r="M8154" t="n">
        <v>0</v>
      </c>
      <c r="N8154" t="n">
        <v>0</v>
      </c>
      <c r="O8154" t="n">
        <v>0</v>
      </c>
      <c r="P8154" t="n">
        <v>0</v>
      </c>
      <c r="Q8154" t="n">
        <v>0</v>
      </c>
      <c r="R8154" s="2" t="inlineStr"/>
    </row>
    <row r="8155" ht="15" customHeight="1">
      <c r="A8155" t="inlineStr">
        <is>
          <t>A 59212-2024</t>
        </is>
      </c>
      <c r="B8155" s="1" t="n">
        <v>45637</v>
      </c>
      <c r="C8155" s="1" t="n">
        <v>45952</v>
      </c>
      <c r="D8155" t="inlineStr">
        <is>
          <t>VÄSTRA GÖTALANDS LÄN</t>
        </is>
      </c>
      <c r="E8155" t="inlineStr">
        <is>
          <t>BORÅS</t>
        </is>
      </c>
      <c r="G8155" t="n">
        <v>4.7</v>
      </c>
      <c r="H8155" t="n">
        <v>0</v>
      </c>
      <c r="I8155" t="n">
        <v>0</v>
      </c>
      <c r="J8155" t="n">
        <v>0</v>
      </c>
      <c r="K8155" t="n">
        <v>0</v>
      </c>
      <c r="L8155" t="n">
        <v>0</v>
      </c>
      <c r="M8155" t="n">
        <v>0</v>
      </c>
      <c r="N8155" t="n">
        <v>0</v>
      </c>
      <c r="O8155" t="n">
        <v>0</v>
      </c>
      <c r="P8155" t="n">
        <v>0</v>
      </c>
      <c r="Q8155" t="n">
        <v>0</v>
      </c>
      <c r="R8155" s="2" t="inlineStr"/>
    </row>
    <row r="8156" ht="15" customHeight="1">
      <c r="A8156" t="inlineStr">
        <is>
          <t>A 28034-2023</t>
        </is>
      </c>
      <c r="B8156" s="1" t="n">
        <v>45099.29707175926</v>
      </c>
      <c r="C8156" s="1" t="n">
        <v>45952</v>
      </c>
      <c r="D8156" t="inlineStr">
        <is>
          <t>VÄSTRA GÖTALANDS LÄN</t>
        </is>
      </c>
      <c r="E8156" t="inlineStr">
        <is>
          <t>TRANEMO</t>
        </is>
      </c>
      <c r="G8156" t="n">
        <v>1.1</v>
      </c>
      <c r="H8156" t="n">
        <v>0</v>
      </c>
      <c r="I8156" t="n">
        <v>0</v>
      </c>
      <c r="J8156" t="n">
        <v>0</v>
      </c>
      <c r="K8156" t="n">
        <v>0</v>
      </c>
      <c r="L8156" t="n">
        <v>0</v>
      </c>
      <c r="M8156" t="n">
        <v>0</v>
      </c>
      <c r="N8156" t="n">
        <v>0</v>
      </c>
      <c r="O8156" t="n">
        <v>0</v>
      </c>
      <c r="P8156" t="n">
        <v>0</v>
      </c>
      <c r="Q8156" t="n">
        <v>0</v>
      </c>
      <c r="R8156" s="2" t="inlineStr"/>
    </row>
    <row r="8157" ht="15" customHeight="1">
      <c r="A8157" t="inlineStr">
        <is>
          <t>A 15704-2025</t>
        </is>
      </c>
      <c r="B8157" s="1" t="n">
        <v>45748.4815162037</v>
      </c>
      <c r="C8157" s="1" t="n">
        <v>45952</v>
      </c>
      <c r="D8157" t="inlineStr">
        <is>
          <t>VÄSTRA GÖTALANDS LÄN</t>
        </is>
      </c>
      <c r="E8157" t="inlineStr">
        <is>
          <t>STRÖMSTAD</t>
        </is>
      </c>
      <c r="G8157" t="n">
        <v>2.7</v>
      </c>
      <c r="H8157" t="n">
        <v>0</v>
      </c>
      <c r="I8157" t="n">
        <v>0</v>
      </c>
      <c r="J8157" t="n">
        <v>0</v>
      </c>
      <c r="K8157" t="n">
        <v>0</v>
      </c>
      <c r="L8157" t="n">
        <v>0</v>
      </c>
      <c r="M8157" t="n">
        <v>0</v>
      </c>
      <c r="N8157" t="n">
        <v>0</v>
      </c>
      <c r="O8157" t="n">
        <v>0</v>
      </c>
      <c r="P8157" t="n">
        <v>0</v>
      </c>
      <c r="Q8157" t="n">
        <v>0</v>
      </c>
      <c r="R8157" s="2" t="inlineStr"/>
    </row>
    <row r="8158" ht="15" customHeight="1">
      <c r="A8158" t="inlineStr">
        <is>
          <t>A 28044-2023</t>
        </is>
      </c>
      <c r="B8158" s="1" t="n">
        <v>45099.32682870371</v>
      </c>
      <c r="C8158" s="1" t="n">
        <v>45952</v>
      </c>
      <c r="D8158" t="inlineStr">
        <is>
          <t>VÄSTRA GÖTALANDS LÄN</t>
        </is>
      </c>
      <c r="E8158" t="inlineStr">
        <is>
          <t>TÖREBODA</t>
        </is>
      </c>
      <c r="G8158" t="n">
        <v>2</v>
      </c>
      <c r="H8158" t="n">
        <v>0</v>
      </c>
      <c r="I8158" t="n">
        <v>0</v>
      </c>
      <c r="J8158" t="n">
        <v>0</v>
      </c>
      <c r="K8158" t="n">
        <v>0</v>
      </c>
      <c r="L8158" t="n">
        <v>0</v>
      </c>
      <c r="M8158" t="n">
        <v>0</v>
      </c>
      <c r="N8158" t="n">
        <v>0</v>
      </c>
      <c r="O8158" t="n">
        <v>0</v>
      </c>
      <c r="P8158" t="n">
        <v>0</v>
      </c>
      <c r="Q8158" t="n">
        <v>0</v>
      </c>
      <c r="R8158" s="2" t="inlineStr"/>
    </row>
    <row r="8159" ht="15" customHeight="1">
      <c r="A8159" t="inlineStr">
        <is>
          <t>A 28145-2024</t>
        </is>
      </c>
      <c r="B8159" s="1" t="n">
        <v>45476.72542824074</v>
      </c>
      <c r="C8159" s="1" t="n">
        <v>45952</v>
      </c>
      <c r="D8159" t="inlineStr">
        <is>
          <t>VÄSTRA GÖTALANDS LÄN</t>
        </is>
      </c>
      <c r="E8159" t="inlineStr">
        <is>
          <t>HERRLJUNGA</t>
        </is>
      </c>
      <c r="G8159" t="n">
        <v>2.5</v>
      </c>
      <c r="H8159" t="n">
        <v>0</v>
      </c>
      <c r="I8159" t="n">
        <v>0</v>
      </c>
      <c r="J8159" t="n">
        <v>0</v>
      </c>
      <c r="K8159" t="n">
        <v>0</v>
      </c>
      <c r="L8159" t="n">
        <v>0</v>
      </c>
      <c r="M8159" t="n">
        <v>0</v>
      </c>
      <c r="N8159" t="n">
        <v>0</v>
      </c>
      <c r="O8159" t="n">
        <v>0</v>
      </c>
      <c r="P8159" t="n">
        <v>0</v>
      </c>
      <c r="Q8159" t="n">
        <v>0</v>
      </c>
      <c r="R8159" s="2" t="inlineStr"/>
    </row>
    <row r="8160" ht="15" customHeight="1">
      <c r="A8160" t="inlineStr">
        <is>
          <t>A 50720-2023</t>
        </is>
      </c>
      <c r="B8160" s="1" t="n">
        <v>45217</v>
      </c>
      <c r="C8160" s="1" t="n">
        <v>45952</v>
      </c>
      <c r="D8160" t="inlineStr">
        <is>
          <t>VÄSTRA GÖTALANDS LÄN</t>
        </is>
      </c>
      <c r="E8160" t="inlineStr">
        <is>
          <t>FALKÖPING</t>
        </is>
      </c>
      <c r="G8160" t="n">
        <v>1</v>
      </c>
      <c r="H8160" t="n">
        <v>0</v>
      </c>
      <c r="I8160" t="n">
        <v>0</v>
      </c>
      <c r="J8160" t="n">
        <v>0</v>
      </c>
      <c r="K8160" t="n">
        <v>0</v>
      </c>
      <c r="L8160" t="n">
        <v>0</v>
      </c>
      <c r="M8160" t="n">
        <v>0</v>
      </c>
      <c r="N8160" t="n">
        <v>0</v>
      </c>
      <c r="O8160" t="n">
        <v>0</v>
      </c>
      <c r="P8160" t="n">
        <v>0</v>
      </c>
      <c r="Q8160" t="n">
        <v>0</v>
      </c>
      <c r="R8160" s="2" t="inlineStr"/>
    </row>
    <row r="8161" ht="15" customHeight="1">
      <c r="A8161" t="inlineStr">
        <is>
          <t>A 59228-2024</t>
        </is>
      </c>
      <c r="B8161" s="1" t="n">
        <v>45637.58385416667</v>
      </c>
      <c r="C8161" s="1" t="n">
        <v>45952</v>
      </c>
      <c r="D8161" t="inlineStr">
        <is>
          <t>VÄSTRA GÖTALANDS LÄN</t>
        </is>
      </c>
      <c r="E8161" t="inlineStr">
        <is>
          <t>MARK</t>
        </is>
      </c>
      <c r="G8161" t="n">
        <v>5.6</v>
      </c>
      <c r="H8161" t="n">
        <v>0</v>
      </c>
      <c r="I8161" t="n">
        <v>0</v>
      </c>
      <c r="J8161" t="n">
        <v>0</v>
      </c>
      <c r="K8161" t="n">
        <v>0</v>
      </c>
      <c r="L8161" t="n">
        <v>0</v>
      </c>
      <c r="M8161" t="n">
        <v>0</v>
      </c>
      <c r="N8161" t="n">
        <v>0</v>
      </c>
      <c r="O8161" t="n">
        <v>0</v>
      </c>
      <c r="P8161" t="n">
        <v>0</v>
      </c>
      <c r="Q8161" t="n">
        <v>0</v>
      </c>
      <c r="R8161" s="2" t="inlineStr"/>
    </row>
    <row r="8162" ht="15" customHeight="1">
      <c r="A8162" t="inlineStr">
        <is>
          <t>A 15661-2025</t>
        </is>
      </c>
      <c r="B8162" s="1" t="n">
        <v>45748.42809027778</v>
      </c>
      <c r="C8162" s="1" t="n">
        <v>45952</v>
      </c>
      <c r="D8162" t="inlineStr">
        <is>
          <t>VÄSTRA GÖTALANDS LÄN</t>
        </is>
      </c>
      <c r="E8162" t="inlineStr">
        <is>
          <t>BENGTSFORS</t>
        </is>
      </c>
      <c r="F8162" t="inlineStr">
        <is>
          <t>Kommuner</t>
        </is>
      </c>
      <c r="G8162" t="n">
        <v>3.2</v>
      </c>
      <c r="H8162" t="n">
        <v>0</v>
      </c>
      <c r="I8162" t="n">
        <v>0</v>
      </c>
      <c r="J8162" t="n">
        <v>0</v>
      </c>
      <c r="K8162" t="n">
        <v>0</v>
      </c>
      <c r="L8162" t="n">
        <v>0</v>
      </c>
      <c r="M8162" t="n">
        <v>0</v>
      </c>
      <c r="N8162" t="n">
        <v>0</v>
      </c>
      <c r="O8162" t="n">
        <v>0</v>
      </c>
      <c r="P8162" t="n">
        <v>0</v>
      </c>
      <c r="Q8162" t="n">
        <v>0</v>
      </c>
      <c r="R8162" s="2" t="inlineStr"/>
    </row>
    <row r="8163" ht="15" customHeight="1">
      <c r="A8163" t="inlineStr">
        <is>
          <t>A 3483-2023</t>
        </is>
      </c>
      <c r="B8163" s="1" t="n">
        <v>44949</v>
      </c>
      <c r="C8163" s="1" t="n">
        <v>45952</v>
      </c>
      <c r="D8163" t="inlineStr">
        <is>
          <t>VÄSTRA GÖTALANDS LÄN</t>
        </is>
      </c>
      <c r="E8163" t="inlineStr">
        <is>
          <t>BORÅS</t>
        </is>
      </c>
      <c r="G8163" t="n">
        <v>0.3</v>
      </c>
      <c r="H8163" t="n">
        <v>0</v>
      </c>
      <c r="I8163" t="n">
        <v>0</v>
      </c>
      <c r="J8163" t="n">
        <v>0</v>
      </c>
      <c r="K8163" t="n">
        <v>0</v>
      </c>
      <c r="L8163" t="n">
        <v>0</v>
      </c>
      <c r="M8163" t="n">
        <v>0</v>
      </c>
      <c r="N8163" t="n">
        <v>0</v>
      </c>
      <c r="O8163" t="n">
        <v>0</v>
      </c>
      <c r="P8163" t="n">
        <v>0</v>
      </c>
      <c r="Q8163" t="n">
        <v>0</v>
      </c>
      <c r="R8163" s="2" t="inlineStr"/>
    </row>
    <row r="8164" ht="15" customHeight="1">
      <c r="A8164" t="inlineStr">
        <is>
          <t>A 21884-2025</t>
        </is>
      </c>
      <c r="B8164" s="1" t="n">
        <v>45784.41475694445</v>
      </c>
      <c r="C8164" s="1" t="n">
        <v>45952</v>
      </c>
      <c r="D8164" t="inlineStr">
        <is>
          <t>VÄSTRA GÖTALANDS LÄN</t>
        </is>
      </c>
      <c r="E8164" t="inlineStr">
        <is>
          <t>MARK</t>
        </is>
      </c>
      <c r="G8164" t="n">
        <v>7.5</v>
      </c>
      <c r="H8164" t="n">
        <v>0</v>
      </c>
      <c r="I8164" t="n">
        <v>0</v>
      </c>
      <c r="J8164" t="n">
        <v>0</v>
      </c>
      <c r="K8164" t="n">
        <v>0</v>
      </c>
      <c r="L8164" t="n">
        <v>0</v>
      </c>
      <c r="M8164" t="n">
        <v>0</v>
      </c>
      <c r="N8164" t="n">
        <v>0</v>
      </c>
      <c r="O8164" t="n">
        <v>0</v>
      </c>
      <c r="P8164" t="n">
        <v>0</v>
      </c>
      <c r="Q8164" t="n">
        <v>0</v>
      </c>
      <c r="R8164" s="2" t="inlineStr"/>
    </row>
    <row r="8165" ht="15" customHeight="1">
      <c r="A8165" t="inlineStr">
        <is>
          <t>A 57219-2023</t>
        </is>
      </c>
      <c r="B8165" s="1" t="n">
        <v>45245</v>
      </c>
      <c r="C8165" s="1" t="n">
        <v>45952</v>
      </c>
      <c r="D8165" t="inlineStr">
        <is>
          <t>VÄSTRA GÖTALANDS LÄN</t>
        </is>
      </c>
      <c r="E8165" t="inlineStr">
        <is>
          <t>SVENLJUNGA</t>
        </is>
      </c>
      <c r="G8165" t="n">
        <v>2.4</v>
      </c>
      <c r="H8165" t="n">
        <v>0</v>
      </c>
      <c r="I8165" t="n">
        <v>0</v>
      </c>
      <c r="J8165" t="n">
        <v>0</v>
      </c>
      <c r="K8165" t="n">
        <v>0</v>
      </c>
      <c r="L8165" t="n">
        <v>0</v>
      </c>
      <c r="M8165" t="n">
        <v>0</v>
      </c>
      <c r="N8165" t="n">
        <v>0</v>
      </c>
      <c r="O8165" t="n">
        <v>0</v>
      </c>
      <c r="P8165" t="n">
        <v>0</v>
      </c>
      <c r="Q8165" t="n">
        <v>0</v>
      </c>
      <c r="R8165" s="2" t="inlineStr"/>
    </row>
    <row r="8166" ht="15" customHeight="1">
      <c r="A8166" t="inlineStr">
        <is>
          <t>A 60127-2023</t>
        </is>
      </c>
      <c r="B8166" s="1" t="n">
        <v>45258</v>
      </c>
      <c r="C8166" s="1" t="n">
        <v>45952</v>
      </c>
      <c r="D8166" t="inlineStr">
        <is>
          <t>VÄSTRA GÖTALANDS LÄN</t>
        </is>
      </c>
      <c r="E8166" t="inlineStr">
        <is>
          <t>BORÅS</t>
        </is>
      </c>
      <c r="F8166" t="inlineStr">
        <is>
          <t>Kyrkan</t>
        </is>
      </c>
      <c r="G8166" t="n">
        <v>0.7</v>
      </c>
      <c r="H8166" t="n">
        <v>0</v>
      </c>
      <c r="I8166" t="n">
        <v>0</v>
      </c>
      <c r="J8166" t="n">
        <v>0</v>
      </c>
      <c r="K8166" t="n">
        <v>0</v>
      </c>
      <c r="L8166" t="n">
        <v>0</v>
      </c>
      <c r="M8166" t="n">
        <v>0</v>
      </c>
      <c r="N8166" t="n">
        <v>0</v>
      </c>
      <c r="O8166" t="n">
        <v>0</v>
      </c>
      <c r="P8166" t="n">
        <v>0</v>
      </c>
      <c r="Q8166" t="n">
        <v>0</v>
      </c>
      <c r="R8166" s="2" t="inlineStr"/>
    </row>
    <row r="8167" ht="15" customHeight="1">
      <c r="A8167" t="inlineStr">
        <is>
          <t>A 4883-2024</t>
        </is>
      </c>
      <c r="B8167" s="1" t="n">
        <v>45329</v>
      </c>
      <c r="C8167" s="1" t="n">
        <v>45952</v>
      </c>
      <c r="D8167" t="inlineStr">
        <is>
          <t>VÄSTRA GÖTALANDS LÄN</t>
        </is>
      </c>
      <c r="E8167" t="inlineStr">
        <is>
          <t>LERUM</t>
        </is>
      </c>
      <c r="G8167" t="n">
        <v>6.9</v>
      </c>
      <c r="H8167" t="n">
        <v>0</v>
      </c>
      <c r="I8167" t="n">
        <v>0</v>
      </c>
      <c r="J8167" t="n">
        <v>0</v>
      </c>
      <c r="K8167" t="n">
        <v>0</v>
      </c>
      <c r="L8167" t="n">
        <v>0</v>
      </c>
      <c r="M8167" t="n">
        <v>0</v>
      </c>
      <c r="N8167" t="n">
        <v>0</v>
      </c>
      <c r="O8167" t="n">
        <v>0</v>
      </c>
      <c r="P8167" t="n">
        <v>0</v>
      </c>
      <c r="Q8167" t="n">
        <v>0</v>
      </c>
      <c r="R8167" s="2" t="inlineStr"/>
    </row>
    <row r="8168" ht="15" customHeight="1">
      <c r="A8168" t="inlineStr">
        <is>
          <t>A 14786-2024</t>
        </is>
      </c>
      <c r="B8168" s="1" t="n">
        <v>45397.76206018519</v>
      </c>
      <c r="C8168" s="1" t="n">
        <v>45952</v>
      </c>
      <c r="D8168" t="inlineStr">
        <is>
          <t>VÄSTRA GÖTALANDS LÄN</t>
        </is>
      </c>
      <c r="E8168" t="inlineStr">
        <is>
          <t>VÅRGÅRDA</t>
        </is>
      </c>
      <c r="G8168" t="n">
        <v>1.7</v>
      </c>
      <c r="H8168" t="n">
        <v>0</v>
      </c>
      <c r="I8168" t="n">
        <v>0</v>
      </c>
      <c r="J8168" t="n">
        <v>0</v>
      </c>
      <c r="K8168" t="n">
        <v>0</v>
      </c>
      <c r="L8168" t="n">
        <v>0</v>
      </c>
      <c r="M8168" t="n">
        <v>0</v>
      </c>
      <c r="N8168" t="n">
        <v>0</v>
      </c>
      <c r="O8168" t="n">
        <v>0</v>
      </c>
      <c r="P8168" t="n">
        <v>0</v>
      </c>
      <c r="Q8168" t="n">
        <v>0</v>
      </c>
      <c r="R8168" s="2" t="inlineStr"/>
    </row>
    <row r="8169" ht="15" customHeight="1">
      <c r="A8169" t="inlineStr">
        <is>
          <t>A 3569-2023</t>
        </is>
      </c>
      <c r="B8169" s="1" t="n">
        <v>44950.48391203704</v>
      </c>
      <c r="C8169" s="1" t="n">
        <v>45952</v>
      </c>
      <c r="D8169" t="inlineStr">
        <is>
          <t>VÄSTRA GÖTALANDS LÄN</t>
        </is>
      </c>
      <c r="E8169" t="inlineStr">
        <is>
          <t>STENUNGSUND</t>
        </is>
      </c>
      <c r="G8169" t="n">
        <v>2.2</v>
      </c>
      <c r="H8169" t="n">
        <v>0</v>
      </c>
      <c r="I8169" t="n">
        <v>0</v>
      </c>
      <c r="J8169" t="n">
        <v>0</v>
      </c>
      <c r="K8169" t="n">
        <v>0</v>
      </c>
      <c r="L8169" t="n">
        <v>0</v>
      </c>
      <c r="M8169" t="n">
        <v>0</v>
      </c>
      <c r="N8169" t="n">
        <v>0</v>
      </c>
      <c r="O8169" t="n">
        <v>0</v>
      </c>
      <c r="P8169" t="n">
        <v>0</v>
      </c>
      <c r="Q8169" t="n">
        <v>0</v>
      </c>
      <c r="R8169" s="2" t="inlineStr"/>
    </row>
    <row r="8170" ht="15" customHeight="1">
      <c r="A8170" t="inlineStr">
        <is>
          <t>A 3611-2023</t>
        </is>
      </c>
      <c r="B8170" s="1" t="n">
        <v>44946</v>
      </c>
      <c r="C8170" s="1" t="n">
        <v>45952</v>
      </c>
      <c r="D8170" t="inlineStr">
        <is>
          <t>VÄSTRA GÖTALANDS LÄN</t>
        </is>
      </c>
      <c r="E8170" t="inlineStr">
        <is>
          <t>MUNKEDAL</t>
        </is>
      </c>
      <c r="F8170" t="inlineStr">
        <is>
          <t>Övriga Aktiebolag</t>
        </is>
      </c>
      <c r="G8170" t="n">
        <v>6</v>
      </c>
      <c r="H8170" t="n">
        <v>0</v>
      </c>
      <c r="I8170" t="n">
        <v>0</v>
      </c>
      <c r="J8170" t="n">
        <v>0</v>
      </c>
      <c r="K8170" t="n">
        <v>0</v>
      </c>
      <c r="L8170" t="n">
        <v>0</v>
      </c>
      <c r="M8170" t="n">
        <v>0</v>
      </c>
      <c r="N8170" t="n">
        <v>0</v>
      </c>
      <c r="O8170" t="n">
        <v>0</v>
      </c>
      <c r="P8170" t="n">
        <v>0</v>
      </c>
      <c r="Q8170" t="n">
        <v>0</v>
      </c>
      <c r="R8170" s="2" t="inlineStr"/>
    </row>
    <row r="8171" ht="15" customHeight="1">
      <c r="A8171" t="inlineStr">
        <is>
          <t>A 24349-2022</t>
        </is>
      </c>
      <c r="B8171" s="1" t="n">
        <v>44726</v>
      </c>
      <c r="C8171" s="1" t="n">
        <v>45952</v>
      </c>
      <c r="D8171" t="inlineStr">
        <is>
          <t>VÄSTRA GÖTALANDS LÄN</t>
        </is>
      </c>
      <c r="E8171" t="inlineStr">
        <is>
          <t>FALKÖPING</t>
        </is>
      </c>
      <c r="G8171" t="n">
        <v>5.9</v>
      </c>
      <c r="H8171" t="n">
        <v>0</v>
      </c>
      <c r="I8171" t="n">
        <v>0</v>
      </c>
      <c r="J8171" t="n">
        <v>0</v>
      </c>
      <c r="K8171" t="n">
        <v>0</v>
      </c>
      <c r="L8171" t="n">
        <v>0</v>
      </c>
      <c r="M8171" t="n">
        <v>0</v>
      </c>
      <c r="N8171" t="n">
        <v>0</v>
      </c>
      <c r="O8171" t="n">
        <v>0</v>
      </c>
      <c r="P8171" t="n">
        <v>0</v>
      </c>
      <c r="Q8171" t="n">
        <v>0</v>
      </c>
      <c r="R8171" s="2" t="inlineStr"/>
    </row>
    <row r="8172" ht="15" customHeight="1">
      <c r="A8172" t="inlineStr">
        <is>
          <t>A 22068-2025</t>
        </is>
      </c>
      <c r="B8172" s="1" t="n">
        <v>45785.39237268519</v>
      </c>
      <c r="C8172" s="1" t="n">
        <v>45952</v>
      </c>
      <c r="D8172" t="inlineStr">
        <is>
          <t>VÄSTRA GÖTALANDS LÄN</t>
        </is>
      </c>
      <c r="E8172" t="inlineStr">
        <is>
          <t>DALS-ED</t>
        </is>
      </c>
      <c r="F8172" t="inlineStr">
        <is>
          <t>Övriga Aktiebolag</t>
        </is>
      </c>
      <c r="G8172" t="n">
        <v>2.1</v>
      </c>
      <c r="H8172" t="n">
        <v>0</v>
      </c>
      <c r="I8172" t="n">
        <v>0</v>
      </c>
      <c r="J8172" t="n">
        <v>0</v>
      </c>
      <c r="K8172" t="n">
        <v>0</v>
      </c>
      <c r="L8172" t="n">
        <v>0</v>
      </c>
      <c r="M8172" t="n">
        <v>0</v>
      </c>
      <c r="N8172" t="n">
        <v>0</v>
      </c>
      <c r="O8172" t="n">
        <v>0</v>
      </c>
      <c r="P8172" t="n">
        <v>0</v>
      </c>
      <c r="Q8172" t="n">
        <v>0</v>
      </c>
      <c r="R8172" s="2" t="inlineStr"/>
    </row>
    <row r="8173" ht="15" customHeight="1">
      <c r="A8173" t="inlineStr">
        <is>
          <t>A 60904-2023</t>
        </is>
      </c>
      <c r="B8173" s="1" t="n">
        <v>45261</v>
      </c>
      <c r="C8173" s="1" t="n">
        <v>45952</v>
      </c>
      <c r="D8173" t="inlineStr">
        <is>
          <t>VÄSTRA GÖTALANDS LÄN</t>
        </is>
      </c>
      <c r="E8173" t="inlineStr">
        <is>
          <t>ALINGSÅS</t>
        </is>
      </c>
      <c r="G8173" t="n">
        <v>1.4</v>
      </c>
      <c r="H8173" t="n">
        <v>0</v>
      </c>
      <c r="I8173" t="n">
        <v>0</v>
      </c>
      <c r="J8173" t="n">
        <v>0</v>
      </c>
      <c r="K8173" t="n">
        <v>0</v>
      </c>
      <c r="L8173" t="n">
        <v>0</v>
      </c>
      <c r="M8173" t="n">
        <v>0</v>
      </c>
      <c r="N8173" t="n">
        <v>0</v>
      </c>
      <c r="O8173" t="n">
        <v>0</v>
      </c>
      <c r="P8173" t="n">
        <v>0</v>
      </c>
      <c r="Q8173" t="n">
        <v>0</v>
      </c>
      <c r="R8173" s="2" t="inlineStr"/>
    </row>
    <row r="8174" ht="15" customHeight="1">
      <c r="A8174" t="inlineStr">
        <is>
          <t>A 39365-2025</t>
        </is>
      </c>
      <c r="B8174" s="1" t="n">
        <v>45889.5662962963</v>
      </c>
      <c r="C8174" s="1" t="n">
        <v>45952</v>
      </c>
      <c r="D8174" t="inlineStr">
        <is>
          <t>VÄSTRA GÖTALANDS LÄN</t>
        </is>
      </c>
      <c r="E8174" t="inlineStr">
        <is>
          <t>SKARA</t>
        </is>
      </c>
      <c r="F8174" t="inlineStr">
        <is>
          <t>Sveaskog</t>
        </is>
      </c>
      <c r="G8174" t="n">
        <v>3.7</v>
      </c>
      <c r="H8174" t="n">
        <v>0</v>
      </c>
      <c r="I8174" t="n">
        <v>0</v>
      </c>
      <c r="J8174" t="n">
        <v>0</v>
      </c>
      <c r="K8174" t="n">
        <v>0</v>
      </c>
      <c r="L8174" t="n">
        <v>0</v>
      </c>
      <c r="M8174" t="n">
        <v>0</v>
      </c>
      <c r="N8174" t="n">
        <v>0</v>
      </c>
      <c r="O8174" t="n">
        <v>0</v>
      </c>
      <c r="P8174" t="n">
        <v>0</v>
      </c>
      <c r="Q8174" t="n">
        <v>0</v>
      </c>
      <c r="R8174" s="2" t="inlineStr"/>
    </row>
    <row r="8175" ht="15" customHeight="1">
      <c r="A8175" t="inlineStr">
        <is>
          <t>A 39367-2025</t>
        </is>
      </c>
      <c r="B8175" s="1" t="n">
        <v>45889.57412037037</v>
      </c>
      <c r="C8175" s="1" t="n">
        <v>45952</v>
      </c>
      <c r="D8175" t="inlineStr">
        <is>
          <t>VÄSTRA GÖTALANDS LÄN</t>
        </is>
      </c>
      <c r="E8175" t="inlineStr">
        <is>
          <t>SKARA</t>
        </is>
      </c>
      <c r="F8175" t="inlineStr">
        <is>
          <t>Sveaskog</t>
        </is>
      </c>
      <c r="G8175" t="n">
        <v>2.4</v>
      </c>
      <c r="H8175" t="n">
        <v>0</v>
      </c>
      <c r="I8175" t="n">
        <v>0</v>
      </c>
      <c r="J8175" t="n">
        <v>0</v>
      </c>
      <c r="K8175" t="n">
        <v>0</v>
      </c>
      <c r="L8175" t="n">
        <v>0</v>
      </c>
      <c r="M8175" t="n">
        <v>0</v>
      </c>
      <c r="N8175" t="n">
        <v>0</v>
      </c>
      <c r="O8175" t="n">
        <v>0</v>
      </c>
      <c r="P8175" t="n">
        <v>0</v>
      </c>
      <c r="Q8175" t="n">
        <v>0</v>
      </c>
      <c r="R8175" s="2" t="inlineStr"/>
    </row>
    <row r="8176" ht="15" customHeight="1">
      <c r="A8176" t="inlineStr">
        <is>
          <t>A 39394-2025</t>
        </is>
      </c>
      <c r="B8176" s="1" t="n">
        <v>45889.63019675926</v>
      </c>
      <c r="C8176" s="1" t="n">
        <v>45952</v>
      </c>
      <c r="D8176" t="inlineStr">
        <is>
          <t>VÄSTRA GÖTALANDS LÄN</t>
        </is>
      </c>
      <c r="E8176" t="inlineStr">
        <is>
          <t>TÖREBODA</t>
        </is>
      </c>
      <c r="G8176" t="n">
        <v>6</v>
      </c>
      <c r="H8176" t="n">
        <v>0</v>
      </c>
      <c r="I8176" t="n">
        <v>0</v>
      </c>
      <c r="J8176" t="n">
        <v>0</v>
      </c>
      <c r="K8176" t="n">
        <v>0</v>
      </c>
      <c r="L8176" t="n">
        <v>0</v>
      </c>
      <c r="M8176" t="n">
        <v>0</v>
      </c>
      <c r="N8176" t="n">
        <v>0</v>
      </c>
      <c r="O8176" t="n">
        <v>0</v>
      </c>
      <c r="P8176" t="n">
        <v>0</v>
      </c>
      <c r="Q8176" t="n">
        <v>0</v>
      </c>
      <c r="R8176" s="2" t="inlineStr"/>
    </row>
    <row r="8177" ht="15" customHeight="1">
      <c r="A8177" t="inlineStr">
        <is>
          <t>A 21872-2025</t>
        </is>
      </c>
      <c r="B8177" s="1" t="n">
        <v>45784.38836805556</v>
      </c>
      <c r="C8177" s="1" t="n">
        <v>45952</v>
      </c>
      <c r="D8177" t="inlineStr">
        <is>
          <t>VÄSTRA GÖTALANDS LÄN</t>
        </is>
      </c>
      <c r="E8177" t="inlineStr">
        <is>
          <t>HÄRRYDA</t>
        </is>
      </c>
      <c r="G8177" t="n">
        <v>1</v>
      </c>
      <c r="H8177" t="n">
        <v>0</v>
      </c>
      <c r="I8177" t="n">
        <v>0</v>
      </c>
      <c r="J8177" t="n">
        <v>0</v>
      </c>
      <c r="K8177" t="n">
        <v>0</v>
      </c>
      <c r="L8177" t="n">
        <v>0</v>
      </c>
      <c r="M8177" t="n">
        <v>0</v>
      </c>
      <c r="N8177" t="n">
        <v>0</v>
      </c>
      <c r="O8177" t="n">
        <v>0</v>
      </c>
      <c r="P8177" t="n">
        <v>0</v>
      </c>
      <c r="Q8177" t="n">
        <v>0</v>
      </c>
      <c r="R8177" s="2" t="inlineStr"/>
    </row>
    <row r="8178" ht="15" customHeight="1">
      <c r="A8178" t="inlineStr">
        <is>
          <t>A 25251-2025</t>
        </is>
      </c>
      <c r="B8178" s="1" t="n">
        <v>45800.50082175926</v>
      </c>
      <c r="C8178" s="1" t="n">
        <v>45952</v>
      </c>
      <c r="D8178" t="inlineStr">
        <is>
          <t>VÄSTRA GÖTALANDS LÄN</t>
        </is>
      </c>
      <c r="E8178" t="inlineStr">
        <is>
          <t>PARTILLE</t>
        </is>
      </c>
      <c r="F8178" t="inlineStr">
        <is>
          <t>Kommuner</t>
        </is>
      </c>
      <c r="G8178" t="n">
        <v>0.7</v>
      </c>
      <c r="H8178" t="n">
        <v>0</v>
      </c>
      <c r="I8178" t="n">
        <v>0</v>
      </c>
      <c r="J8178" t="n">
        <v>0</v>
      </c>
      <c r="K8178" t="n">
        <v>0</v>
      </c>
      <c r="L8178" t="n">
        <v>0</v>
      </c>
      <c r="M8178" t="n">
        <v>0</v>
      </c>
      <c r="N8178" t="n">
        <v>0</v>
      </c>
      <c r="O8178" t="n">
        <v>0</v>
      </c>
      <c r="P8178" t="n">
        <v>0</v>
      </c>
      <c r="Q8178" t="n">
        <v>0</v>
      </c>
      <c r="R8178" s="2" t="inlineStr"/>
    </row>
    <row r="8179" ht="15" customHeight="1">
      <c r="A8179" t="inlineStr">
        <is>
          <t>A 32764-2025</t>
        </is>
      </c>
      <c r="B8179" s="1" t="n">
        <v>45839</v>
      </c>
      <c r="C8179" s="1" t="n">
        <v>45952</v>
      </c>
      <c r="D8179" t="inlineStr">
        <is>
          <t>VÄSTRA GÖTALANDS LÄN</t>
        </is>
      </c>
      <c r="E8179" t="inlineStr">
        <is>
          <t>BENGTSFORS</t>
        </is>
      </c>
      <c r="F8179" t="inlineStr">
        <is>
          <t>Övriga Aktiebolag</t>
        </is>
      </c>
      <c r="G8179" t="n">
        <v>12.8</v>
      </c>
      <c r="H8179" t="n">
        <v>0</v>
      </c>
      <c r="I8179" t="n">
        <v>0</v>
      </c>
      <c r="J8179" t="n">
        <v>0</v>
      </c>
      <c r="K8179" t="n">
        <v>0</v>
      </c>
      <c r="L8179" t="n">
        <v>0</v>
      </c>
      <c r="M8179" t="n">
        <v>0</v>
      </c>
      <c r="N8179" t="n">
        <v>0</v>
      </c>
      <c r="O8179" t="n">
        <v>0</v>
      </c>
      <c r="P8179" t="n">
        <v>0</v>
      </c>
      <c r="Q8179" t="n">
        <v>0</v>
      </c>
      <c r="R8179" s="2" t="inlineStr"/>
    </row>
    <row r="8180" ht="15" customHeight="1">
      <c r="A8180" t="inlineStr">
        <is>
          <t>A 59068-2023</t>
        </is>
      </c>
      <c r="B8180" s="1" t="n">
        <v>45252</v>
      </c>
      <c r="C8180" s="1" t="n">
        <v>45952</v>
      </c>
      <c r="D8180" t="inlineStr">
        <is>
          <t>VÄSTRA GÖTALANDS LÄN</t>
        </is>
      </c>
      <c r="E8180" t="inlineStr">
        <is>
          <t>LIDKÖPING</t>
        </is>
      </c>
      <c r="G8180" t="n">
        <v>6.4</v>
      </c>
      <c r="H8180" t="n">
        <v>0</v>
      </c>
      <c r="I8180" t="n">
        <v>0</v>
      </c>
      <c r="J8180" t="n">
        <v>0</v>
      </c>
      <c r="K8180" t="n">
        <v>0</v>
      </c>
      <c r="L8180" t="n">
        <v>0</v>
      </c>
      <c r="M8180" t="n">
        <v>0</v>
      </c>
      <c r="N8180" t="n">
        <v>0</v>
      </c>
      <c r="O8180" t="n">
        <v>0</v>
      </c>
      <c r="P8180" t="n">
        <v>0</v>
      </c>
      <c r="Q8180" t="n">
        <v>0</v>
      </c>
      <c r="R8180" s="2" t="inlineStr"/>
    </row>
    <row r="8181" ht="15" customHeight="1">
      <c r="A8181" t="inlineStr">
        <is>
          <t>A 22187-2025</t>
        </is>
      </c>
      <c r="B8181" s="1" t="n">
        <v>45785.62372685185</v>
      </c>
      <c r="C8181" s="1" t="n">
        <v>45952</v>
      </c>
      <c r="D8181" t="inlineStr">
        <is>
          <t>VÄSTRA GÖTALANDS LÄN</t>
        </is>
      </c>
      <c r="E8181" t="inlineStr">
        <is>
          <t>STENUNGSUND</t>
        </is>
      </c>
      <c r="G8181" t="n">
        <v>2.1</v>
      </c>
      <c r="H8181" t="n">
        <v>0</v>
      </c>
      <c r="I8181" t="n">
        <v>0</v>
      </c>
      <c r="J8181" t="n">
        <v>0</v>
      </c>
      <c r="K8181" t="n">
        <v>0</v>
      </c>
      <c r="L8181" t="n">
        <v>0</v>
      </c>
      <c r="M8181" t="n">
        <v>0</v>
      </c>
      <c r="N8181" t="n">
        <v>0</v>
      </c>
      <c r="O8181" t="n">
        <v>0</v>
      </c>
      <c r="P8181" t="n">
        <v>0</v>
      </c>
      <c r="Q8181" t="n">
        <v>0</v>
      </c>
      <c r="R8181" s="2" t="inlineStr"/>
    </row>
    <row r="8182" ht="15" customHeight="1">
      <c r="A8182" t="inlineStr">
        <is>
          <t>A 53898-2021</t>
        </is>
      </c>
      <c r="B8182" s="1" t="n">
        <v>44469.70724537037</v>
      </c>
      <c r="C8182" s="1" t="n">
        <v>45952</v>
      </c>
      <c r="D8182" t="inlineStr">
        <is>
          <t>VÄSTRA GÖTALANDS LÄN</t>
        </is>
      </c>
      <c r="E8182" t="inlineStr">
        <is>
          <t>KARLSBORG</t>
        </is>
      </c>
      <c r="G8182" t="n">
        <v>2.2</v>
      </c>
      <c r="H8182" t="n">
        <v>0</v>
      </c>
      <c r="I8182" t="n">
        <v>0</v>
      </c>
      <c r="J8182" t="n">
        <v>0</v>
      </c>
      <c r="K8182" t="n">
        <v>0</v>
      </c>
      <c r="L8182" t="n">
        <v>0</v>
      </c>
      <c r="M8182" t="n">
        <v>0</v>
      </c>
      <c r="N8182" t="n">
        <v>0</v>
      </c>
      <c r="O8182" t="n">
        <v>0</v>
      </c>
      <c r="P8182" t="n">
        <v>0</v>
      </c>
      <c r="Q8182" t="n">
        <v>0</v>
      </c>
      <c r="R8182" s="2" t="inlineStr"/>
    </row>
    <row r="8183" ht="15" customHeight="1">
      <c r="A8183" t="inlineStr">
        <is>
          <t>A 59070-2023</t>
        </is>
      </c>
      <c r="B8183" s="1" t="n">
        <v>45252.8665625</v>
      </c>
      <c r="C8183" s="1" t="n">
        <v>45952</v>
      </c>
      <c r="D8183" t="inlineStr">
        <is>
          <t>VÄSTRA GÖTALANDS LÄN</t>
        </is>
      </c>
      <c r="E8183" t="inlineStr">
        <is>
          <t>TANUM</t>
        </is>
      </c>
      <c r="G8183" t="n">
        <v>3.6</v>
      </c>
      <c r="H8183" t="n">
        <v>0</v>
      </c>
      <c r="I8183" t="n">
        <v>0</v>
      </c>
      <c r="J8183" t="n">
        <v>0</v>
      </c>
      <c r="K8183" t="n">
        <v>0</v>
      </c>
      <c r="L8183" t="n">
        <v>0</v>
      </c>
      <c r="M8183" t="n">
        <v>0</v>
      </c>
      <c r="N8183" t="n">
        <v>0</v>
      </c>
      <c r="O8183" t="n">
        <v>0</v>
      </c>
      <c r="P8183" t="n">
        <v>0</v>
      </c>
      <c r="Q8183" t="n">
        <v>0</v>
      </c>
      <c r="R8183" s="2" t="inlineStr"/>
    </row>
    <row r="8184" ht="15" customHeight="1">
      <c r="A8184" t="inlineStr">
        <is>
          <t>A 46047-2023</t>
        </is>
      </c>
      <c r="B8184" s="1" t="n">
        <v>45196.44100694444</v>
      </c>
      <c r="C8184" s="1" t="n">
        <v>45952</v>
      </c>
      <c r="D8184" t="inlineStr">
        <is>
          <t>VÄSTRA GÖTALANDS LÄN</t>
        </is>
      </c>
      <c r="E8184" t="inlineStr">
        <is>
          <t>TANUM</t>
        </is>
      </c>
      <c r="G8184" t="n">
        <v>7.8</v>
      </c>
      <c r="H8184" t="n">
        <v>0</v>
      </c>
      <c r="I8184" t="n">
        <v>0</v>
      </c>
      <c r="J8184" t="n">
        <v>0</v>
      </c>
      <c r="K8184" t="n">
        <v>0</v>
      </c>
      <c r="L8184" t="n">
        <v>0</v>
      </c>
      <c r="M8184" t="n">
        <v>0</v>
      </c>
      <c r="N8184" t="n">
        <v>0</v>
      </c>
      <c r="O8184" t="n">
        <v>0</v>
      </c>
      <c r="P8184" t="n">
        <v>0</v>
      </c>
      <c r="Q8184" t="n">
        <v>0</v>
      </c>
      <c r="R8184" s="2" t="inlineStr"/>
    </row>
    <row r="8185" ht="15" customHeight="1">
      <c r="A8185" t="inlineStr">
        <is>
          <t>A 3683-2022</t>
        </is>
      </c>
      <c r="B8185" s="1" t="n">
        <v>44586.55920138889</v>
      </c>
      <c r="C8185" s="1" t="n">
        <v>45952</v>
      </c>
      <c r="D8185" t="inlineStr">
        <is>
          <t>VÄSTRA GÖTALANDS LÄN</t>
        </is>
      </c>
      <c r="E8185" t="inlineStr">
        <is>
          <t>MARK</t>
        </is>
      </c>
      <c r="G8185" t="n">
        <v>12.1</v>
      </c>
      <c r="H8185" t="n">
        <v>0</v>
      </c>
      <c r="I8185" t="n">
        <v>0</v>
      </c>
      <c r="J8185" t="n">
        <v>0</v>
      </c>
      <c r="K8185" t="n">
        <v>0</v>
      </c>
      <c r="L8185" t="n">
        <v>0</v>
      </c>
      <c r="M8185" t="n">
        <v>0</v>
      </c>
      <c r="N8185" t="n">
        <v>0</v>
      </c>
      <c r="O8185" t="n">
        <v>0</v>
      </c>
      <c r="P8185" t="n">
        <v>0</v>
      </c>
      <c r="Q8185" t="n">
        <v>0</v>
      </c>
      <c r="R8185" s="2" t="inlineStr"/>
    </row>
    <row r="8186" ht="15" customHeight="1">
      <c r="A8186" t="inlineStr">
        <is>
          <t>A 22056-2025</t>
        </is>
      </c>
      <c r="B8186" s="1" t="n">
        <v>45785.36883101852</v>
      </c>
      <c r="C8186" s="1" t="n">
        <v>45952</v>
      </c>
      <c r="D8186" t="inlineStr">
        <is>
          <t>VÄSTRA GÖTALANDS LÄN</t>
        </is>
      </c>
      <c r="E8186" t="inlineStr">
        <is>
          <t>BENGTSFORS</t>
        </is>
      </c>
      <c r="G8186" t="n">
        <v>1.9</v>
      </c>
      <c r="H8186" t="n">
        <v>0</v>
      </c>
      <c r="I8186" t="n">
        <v>0</v>
      </c>
      <c r="J8186" t="n">
        <v>0</v>
      </c>
      <c r="K8186" t="n">
        <v>0</v>
      </c>
      <c r="L8186" t="n">
        <v>0</v>
      </c>
      <c r="M8186" t="n">
        <v>0</v>
      </c>
      <c r="N8186" t="n">
        <v>0</v>
      </c>
      <c r="O8186" t="n">
        <v>0</v>
      </c>
      <c r="P8186" t="n">
        <v>0</v>
      </c>
      <c r="Q8186" t="n">
        <v>0</v>
      </c>
      <c r="R8186" s="2" t="inlineStr"/>
    </row>
    <row r="8187" ht="15" customHeight="1">
      <c r="A8187" t="inlineStr">
        <is>
          <t>A 22058-2025</t>
        </is>
      </c>
      <c r="B8187" s="1" t="n">
        <v>45785.37185185185</v>
      </c>
      <c r="C8187" s="1" t="n">
        <v>45952</v>
      </c>
      <c r="D8187" t="inlineStr">
        <is>
          <t>VÄSTRA GÖTALANDS LÄN</t>
        </is>
      </c>
      <c r="E8187" t="inlineStr">
        <is>
          <t>DALS-ED</t>
        </is>
      </c>
      <c r="F8187" t="inlineStr">
        <is>
          <t>Övriga Aktiebolag</t>
        </is>
      </c>
      <c r="G8187" t="n">
        <v>2</v>
      </c>
      <c r="H8187" t="n">
        <v>0</v>
      </c>
      <c r="I8187" t="n">
        <v>0</v>
      </c>
      <c r="J8187" t="n">
        <v>0</v>
      </c>
      <c r="K8187" t="n">
        <v>0</v>
      </c>
      <c r="L8187" t="n">
        <v>0</v>
      </c>
      <c r="M8187" t="n">
        <v>0</v>
      </c>
      <c r="N8187" t="n">
        <v>0</v>
      </c>
      <c r="O8187" t="n">
        <v>0</v>
      </c>
      <c r="P8187" t="n">
        <v>0</v>
      </c>
      <c r="Q8187" t="n">
        <v>0</v>
      </c>
      <c r="R8187" s="2" t="inlineStr"/>
    </row>
    <row r="8188" ht="15" customHeight="1">
      <c r="A8188" t="inlineStr">
        <is>
          <t>A 59274-2020</t>
        </is>
      </c>
      <c r="B8188" s="1" t="n">
        <v>44147</v>
      </c>
      <c r="C8188" s="1" t="n">
        <v>45952</v>
      </c>
      <c r="D8188" t="inlineStr">
        <is>
          <t>VÄSTRA GÖTALANDS LÄN</t>
        </is>
      </c>
      <c r="E8188" t="inlineStr">
        <is>
          <t>SKARA</t>
        </is>
      </c>
      <c r="G8188" t="n">
        <v>0.9</v>
      </c>
      <c r="H8188" t="n">
        <v>0</v>
      </c>
      <c r="I8188" t="n">
        <v>0</v>
      </c>
      <c r="J8188" t="n">
        <v>0</v>
      </c>
      <c r="K8188" t="n">
        <v>0</v>
      </c>
      <c r="L8188" t="n">
        <v>0</v>
      </c>
      <c r="M8188" t="n">
        <v>0</v>
      </c>
      <c r="N8188" t="n">
        <v>0</v>
      </c>
      <c r="O8188" t="n">
        <v>0</v>
      </c>
      <c r="P8188" t="n">
        <v>0</v>
      </c>
      <c r="Q8188" t="n">
        <v>0</v>
      </c>
      <c r="R8188" s="2" t="inlineStr"/>
    </row>
    <row r="8189" ht="15" customHeight="1">
      <c r="A8189" t="inlineStr">
        <is>
          <t>A 53930-2024</t>
        </is>
      </c>
      <c r="B8189" s="1" t="n">
        <v>45615</v>
      </c>
      <c r="C8189" s="1" t="n">
        <v>45952</v>
      </c>
      <c r="D8189" t="inlineStr">
        <is>
          <t>VÄSTRA GÖTALANDS LÄN</t>
        </is>
      </c>
      <c r="E8189" t="inlineStr">
        <is>
          <t>BORÅS</t>
        </is>
      </c>
      <c r="G8189" t="n">
        <v>2.1</v>
      </c>
      <c r="H8189" t="n">
        <v>0</v>
      </c>
      <c r="I8189" t="n">
        <v>0</v>
      </c>
      <c r="J8189" t="n">
        <v>0</v>
      </c>
      <c r="K8189" t="n">
        <v>0</v>
      </c>
      <c r="L8189" t="n">
        <v>0</v>
      </c>
      <c r="M8189" t="n">
        <v>0</v>
      </c>
      <c r="N8189" t="n">
        <v>0</v>
      </c>
      <c r="O8189" t="n">
        <v>0</v>
      </c>
      <c r="P8189" t="n">
        <v>0</v>
      </c>
      <c r="Q8189" t="n">
        <v>0</v>
      </c>
      <c r="R8189" s="2" t="inlineStr"/>
    </row>
    <row r="8190" ht="15" customHeight="1">
      <c r="A8190" t="inlineStr">
        <is>
          <t>A 22147-2025</t>
        </is>
      </c>
      <c r="B8190" s="1" t="n">
        <v>45785.55520833333</v>
      </c>
      <c r="C8190" s="1" t="n">
        <v>45952</v>
      </c>
      <c r="D8190" t="inlineStr">
        <is>
          <t>VÄSTRA GÖTALANDS LÄN</t>
        </is>
      </c>
      <c r="E8190" t="inlineStr">
        <is>
          <t>TRANEMO</t>
        </is>
      </c>
      <c r="G8190" t="n">
        <v>2.4</v>
      </c>
      <c r="H8190" t="n">
        <v>0</v>
      </c>
      <c r="I8190" t="n">
        <v>0</v>
      </c>
      <c r="J8190" t="n">
        <v>0</v>
      </c>
      <c r="K8190" t="n">
        <v>0</v>
      </c>
      <c r="L8190" t="n">
        <v>0</v>
      </c>
      <c r="M8190" t="n">
        <v>0</v>
      </c>
      <c r="N8190" t="n">
        <v>0</v>
      </c>
      <c r="O8190" t="n">
        <v>0</v>
      </c>
      <c r="P8190" t="n">
        <v>0</v>
      </c>
      <c r="Q8190" t="n">
        <v>0</v>
      </c>
      <c r="R8190" s="2" t="inlineStr"/>
    </row>
    <row r="8191" ht="15" customHeight="1">
      <c r="A8191" t="inlineStr">
        <is>
          <t>A 22152-2025</t>
        </is>
      </c>
      <c r="B8191" s="1" t="n">
        <v>45785.56844907408</v>
      </c>
      <c r="C8191" s="1" t="n">
        <v>45952</v>
      </c>
      <c r="D8191" t="inlineStr">
        <is>
          <t>VÄSTRA GÖTALANDS LÄN</t>
        </is>
      </c>
      <c r="E8191" t="inlineStr">
        <is>
          <t>ULRICEHAMN</t>
        </is>
      </c>
      <c r="G8191" t="n">
        <v>2</v>
      </c>
      <c r="H8191" t="n">
        <v>0</v>
      </c>
      <c r="I8191" t="n">
        <v>0</v>
      </c>
      <c r="J8191" t="n">
        <v>0</v>
      </c>
      <c r="K8191" t="n">
        <v>0</v>
      </c>
      <c r="L8191" t="n">
        <v>0</v>
      </c>
      <c r="M8191" t="n">
        <v>0</v>
      </c>
      <c r="N8191" t="n">
        <v>0</v>
      </c>
      <c r="O8191" t="n">
        <v>0</v>
      </c>
      <c r="P8191" t="n">
        <v>0</v>
      </c>
      <c r="Q8191" t="n">
        <v>0</v>
      </c>
      <c r="R8191" s="2" t="inlineStr"/>
    </row>
    <row r="8192" ht="15" customHeight="1">
      <c r="A8192" t="inlineStr">
        <is>
          <t>A 18656-2023</t>
        </is>
      </c>
      <c r="B8192" s="1" t="n">
        <v>45043</v>
      </c>
      <c r="C8192" s="1" t="n">
        <v>45952</v>
      </c>
      <c r="D8192" t="inlineStr">
        <is>
          <t>VÄSTRA GÖTALANDS LÄN</t>
        </is>
      </c>
      <c r="E8192" t="inlineStr">
        <is>
          <t>ULRICEHAMN</t>
        </is>
      </c>
      <c r="G8192" t="n">
        <v>2</v>
      </c>
      <c r="H8192" t="n">
        <v>0</v>
      </c>
      <c r="I8192" t="n">
        <v>0</v>
      </c>
      <c r="J8192" t="n">
        <v>0</v>
      </c>
      <c r="K8192" t="n">
        <v>0</v>
      </c>
      <c r="L8192" t="n">
        <v>0</v>
      </c>
      <c r="M8192" t="n">
        <v>0</v>
      </c>
      <c r="N8192" t="n">
        <v>0</v>
      </c>
      <c r="O8192" t="n">
        <v>0</v>
      </c>
      <c r="P8192" t="n">
        <v>0</v>
      </c>
      <c r="Q8192" t="n">
        <v>0</v>
      </c>
      <c r="R8192" s="2" t="inlineStr"/>
    </row>
    <row r="8193" ht="15" customHeight="1">
      <c r="A8193" t="inlineStr">
        <is>
          <t>A 9519-2025</t>
        </is>
      </c>
      <c r="B8193" s="1" t="n">
        <v>45715.56043981481</v>
      </c>
      <c r="C8193" s="1" t="n">
        <v>45952</v>
      </c>
      <c r="D8193" t="inlineStr">
        <is>
          <t>VÄSTRA GÖTALANDS LÄN</t>
        </is>
      </c>
      <c r="E8193" t="inlineStr">
        <is>
          <t>BORÅS</t>
        </is>
      </c>
      <c r="G8193" t="n">
        <v>3.3</v>
      </c>
      <c r="H8193" t="n">
        <v>0</v>
      </c>
      <c r="I8193" t="n">
        <v>0</v>
      </c>
      <c r="J8193" t="n">
        <v>0</v>
      </c>
      <c r="K8193" t="n">
        <v>0</v>
      </c>
      <c r="L8193" t="n">
        <v>0</v>
      </c>
      <c r="M8193" t="n">
        <v>0</v>
      </c>
      <c r="N8193" t="n">
        <v>0</v>
      </c>
      <c r="O8193" t="n">
        <v>0</v>
      </c>
      <c r="P8193" t="n">
        <v>0</v>
      </c>
      <c r="Q8193" t="n">
        <v>0</v>
      </c>
      <c r="R8193" s="2" t="inlineStr"/>
    </row>
    <row r="8194" ht="15" customHeight="1">
      <c r="A8194" t="inlineStr">
        <is>
          <t>A 14383-2024</t>
        </is>
      </c>
      <c r="B8194" s="1" t="n">
        <v>45394</v>
      </c>
      <c r="C8194" s="1" t="n">
        <v>45952</v>
      </c>
      <c r="D8194" t="inlineStr">
        <is>
          <t>VÄSTRA GÖTALANDS LÄN</t>
        </is>
      </c>
      <c r="E8194" t="inlineStr">
        <is>
          <t>TIBRO</t>
        </is>
      </c>
      <c r="G8194" t="n">
        <v>1.2</v>
      </c>
      <c r="H8194" t="n">
        <v>0</v>
      </c>
      <c r="I8194" t="n">
        <v>0</v>
      </c>
      <c r="J8194" t="n">
        <v>0</v>
      </c>
      <c r="K8194" t="n">
        <v>0</v>
      </c>
      <c r="L8194" t="n">
        <v>0</v>
      </c>
      <c r="M8194" t="n">
        <v>0</v>
      </c>
      <c r="N8194" t="n">
        <v>0</v>
      </c>
      <c r="O8194" t="n">
        <v>0</v>
      </c>
      <c r="P8194" t="n">
        <v>0</v>
      </c>
      <c r="Q8194" t="n">
        <v>0</v>
      </c>
      <c r="R8194" s="2" t="inlineStr"/>
    </row>
    <row r="8195" ht="15" customHeight="1">
      <c r="A8195" t="inlineStr">
        <is>
          <t>A 22019-2025</t>
        </is>
      </c>
      <c r="B8195" s="1" t="n">
        <v>45784.83086805556</v>
      </c>
      <c r="C8195" s="1" t="n">
        <v>45952</v>
      </c>
      <c r="D8195" t="inlineStr">
        <is>
          <t>VÄSTRA GÖTALANDS LÄN</t>
        </is>
      </c>
      <c r="E8195" t="inlineStr">
        <is>
          <t>UDDEVALLA</t>
        </is>
      </c>
      <c r="G8195" t="n">
        <v>1.9</v>
      </c>
      <c r="H8195" t="n">
        <v>0</v>
      </c>
      <c r="I8195" t="n">
        <v>0</v>
      </c>
      <c r="J8195" t="n">
        <v>0</v>
      </c>
      <c r="K8195" t="n">
        <v>0</v>
      </c>
      <c r="L8195" t="n">
        <v>0</v>
      </c>
      <c r="M8195" t="n">
        <v>0</v>
      </c>
      <c r="N8195" t="n">
        <v>0</v>
      </c>
      <c r="O8195" t="n">
        <v>0</v>
      </c>
      <c r="P8195" t="n">
        <v>0</v>
      </c>
      <c r="Q8195" t="n">
        <v>0</v>
      </c>
      <c r="R8195" s="2" t="inlineStr"/>
    </row>
    <row r="8196" ht="15" customHeight="1">
      <c r="A8196" t="inlineStr">
        <is>
          <t>A 47342-2025</t>
        </is>
      </c>
      <c r="B8196" s="1" t="n">
        <v>45930.56956018518</v>
      </c>
      <c r="C8196" s="1" t="n">
        <v>45952</v>
      </c>
      <c r="D8196" t="inlineStr">
        <is>
          <t>VÄSTRA GÖTALANDS LÄN</t>
        </is>
      </c>
      <c r="E8196" t="inlineStr">
        <is>
          <t>VÄNERSBORG</t>
        </is>
      </c>
      <c r="G8196" t="n">
        <v>0.8</v>
      </c>
      <c r="H8196" t="n">
        <v>0</v>
      </c>
      <c r="I8196" t="n">
        <v>0</v>
      </c>
      <c r="J8196" t="n">
        <v>0</v>
      </c>
      <c r="K8196" t="n">
        <v>0</v>
      </c>
      <c r="L8196" t="n">
        <v>0</v>
      </c>
      <c r="M8196" t="n">
        <v>0</v>
      </c>
      <c r="N8196" t="n">
        <v>0</v>
      </c>
      <c r="O8196" t="n">
        <v>0</v>
      </c>
      <c r="P8196" t="n">
        <v>0</v>
      </c>
      <c r="Q8196" t="n">
        <v>0</v>
      </c>
      <c r="R8196" s="2" t="inlineStr"/>
    </row>
    <row r="8197" ht="15" customHeight="1">
      <c r="A8197" t="inlineStr">
        <is>
          <t>A 22110-2025</t>
        </is>
      </c>
      <c r="B8197" s="1" t="n">
        <v>45785.49209490741</v>
      </c>
      <c r="C8197" s="1" t="n">
        <v>45952</v>
      </c>
      <c r="D8197" t="inlineStr">
        <is>
          <t>VÄSTRA GÖTALANDS LÄN</t>
        </is>
      </c>
      <c r="E8197" t="inlineStr">
        <is>
          <t>ULRICEHAMN</t>
        </is>
      </c>
      <c r="G8197" t="n">
        <v>0</v>
      </c>
      <c r="H8197" t="n">
        <v>0</v>
      </c>
      <c r="I8197" t="n">
        <v>0</v>
      </c>
      <c r="J8197" t="n">
        <v>0</v>
      </c>
      <c r="K8197" t="n">
        <v>0</v>
      </c>
      <c r="L8197" t="n">
        <v>0</v>
      </c>
      <c r="M8197" t="n">
        <v>0</v>
      </c>
      <c r="N8197" t="n">
        <v>0</v>
      </c>
      <c r="O8197" t="n">
        <v>0</v>
      </c>
      <c r="P8197" t="n">
        <v>0</v>
      </c>
      <c r="Q8197" t="n">
        <v>0</v>
      </c>
      <c r="R8197" s="2" t="inlineStr"/>
    </row>
    <row r="8198" ht="15" customHeight="1">
      <c r="A8198" t="inlineStr">
        <is>
          <t>A 43599-2021</t>
        </is>
      </c>
      <c r="B8198" s="1" t="n">
        <v>44433</v>
      </c>
      <c r="C8198" s="1" t="n">
        <v>45952</v>
      </c>
      <c r="D8198" t="inlineStr">
        <is>
          <t>VÄSTRA GÖTALANDS LÄN</t>
        </is>
      </c>
      <c r="E8198" t="inlineStr">
        <is>
          <t>MUNKEDAL</t>
        </is>
      </c>
      <c r="G8198" t="n">
        <v>4.9</v>
      </c>
      <c r="H8198" t="n">
        <v>0</v>
      </c>
      <c r="I8198" t="n">
        <v>0</v>
      </c>
      <c r="J8198" t="n">
        <v>0</v>
      </c>
      <c r="K8198" t="n">
        <v>0</v>
      </c>
      <c r="L8198" t="n">
        <v>0</v>
      </c>
      <c r="M8198" t="n">
        <v>0</v>
      </c>
      <c r="N8198" t="n">
        <v>0</v>
      </c>
      <c r="O8198" t="n">
        <v>0</v>
      </c>
      <c r="P8198" t="n">
        <v>0</v>
      </c>
      <c r="Q8198" t="n">
        <v>0</v>
      </c>
      <c r="R8198" s="2" t="inlineStr"/>
    </row>
    <row r="8199" ht="15" customHeight="1">
      <c r="A8199" t="inlineStr">
        <is>
          <t>A 21229-2023</t>
        </is>
      </c>
      <c r="B8199" s="1" t="n">
        <v>45062</v>
      </c>
      <c r="C8199" s="1" t="n">
        <v>45952</v>
      </c>
      <c r="D8199" t="inlineStr">
        <is>
          <t>VÄSTRA GÖTALANDS LÄN</t>
        </is>
      </c>
      <c r="E8199" t="inlineStr">
        <is>
          <t>BENGTSFORS</t>
        </is>
      </c>
      <c r="G8199" t="n">
        <v>0.8</v>
      </c>
      <c r="H8199" t="n">
        <v>0</v>
      </c>
      <c r="I8199" t="n">
        <v>0</v>
      </c>
      <c r="J8199" t="n">
        <v>0</v>
      </c>
      <c r="K8199" t="n">
        <v>0</v>
      </c>
      <c r="L8199" t="n">
        <v>0</v>
      </c>
      <c r="M8199" t="n">
        <v>0</v>
      </c>
      <c r="N8199" t="n">
        <v>0</v>
      </c>
      <c r="O8199" t="n">
        <v>0</v>
      </c>
      <c r="P8199" t="n">
        <v>0</v>
      </c>
      <c r="Q8199" t="n">
        <v>0</v>
      </c>
      <c r="R8199" s="2" t="inlineStr"/>
    </row>
    <row r="8200" ht="15" customHeight="1">
      <c r="A8200" t="inlineStr">
        <is>
          <t>A 47723-2025</t>
        </is>
      </c>
      <c r="B8200" s="1" t="n">
        <v>45931.62960648148</v>
      </c>
      <c r="C8200" s="1" t="n">
        <v>45952</v>
      </c>
      <c r="D8200" t="inlineStr">
        <is>
          <t>VÄSTRA GÖTALANDS LÄN</t>
        </is>
      </c>
      <c r="E8200" t="inlineStr">
        <is>
          <t>BOLLEBYGD</t>
        </is>
      </c>
      <c r="G8200" t="n">
        <v>1.2</v>
      </c>
      <c r="H8200" t="n">
        <v>0</v>
      </c>
      <c r="I8200" t="n">
        <v>0</v>
      </c>
      <c r="J8200" t="n">
        <v>0</v>
      </c>
      <c r="K8200" t="n">
        <v>0</v>
      </c>
      <c r="L8200" t="n">
        <v>0</v>
      </c>
      <c r="M8200" t="n">
        <v>0</v>
      </c>
      <c r="N8200" t="n">
        <v>0</v>
      </c>
      <c r="O8200" t="n">
        <v>0</v>
      </c>
      <c r="P8200" t="n">
        <v>0</v>
      </c>
      <c r="Q8200" t="n">
        <v>0</v>
      </c>
      <c r="R8200" s="2" t="inlineStr"/>
    </row>
    <row r="8201" ht="15" customHeight="1">
      <c r="A8201" t="inlineStr">
        <is>
          <t>A 47728-2025</t>
        </is>
      </c>
      <c r="B8201" s="1" t="n">
        <v>45931.63186342592</v>
      </c>
      <c r="C8201" s="1" t="n">
        <v>45952</v>
      </c>
      <c r="D8201" t="inlineStr">
        <is>
          <t>VÄSTRA GÖTALANDS LÄN</t>
        </is>
      </c>
      <c r="E8201" t="inlineStr">
        <is>
          <t>ALE</t>
        </is>
      </c>
      <c r="G8201" t="n">
        <v>1.1</v>
      </c>
      <c r="H8201" t="n">
        <v>0</v>
      </c>
      <c r="I8201" t="n">
        <v>0</v>
      </c>
      <c r="J8201" t="n">
        <v>0</v>
      </c>
      <c r="K8201" t="n">
        <v>0</v>
      </c>
      <c r="L8201" t="n">
        <v>0</v>
      </c>
      <c r="M8201" t="n">
        <v>0</v>
      </c>
      <c r="N8201" t="n">
        <v>0</v>
      </c>
      <c r="O8201" t="n">
        <v>0</v>
      </c>
      <c r="P8201" t="n">
        <v>0</v>
      </c>
      <c r="Q8201" t="n">
        <v>0</v>
      </c>
      <c r="R8201" s="2" t="inlineStr"/>
    </row>
    <row r="8202" ht="15" customHeight="1">
      <c r="A8202" t="inlineStr">
        <is>
          <t>A 34562-2025</t>
        </is>
      </c>
      <c r="B8202" s="1" t="n">
        <v>45847.57822916667</v>
      </c>
      <c r="C8202" s="1" t="n">
        <v>45952</v>
      </c>
      <c r="D8202" t="inlineStr">
        <is>
          <t>VÄSTRA GÖTALANDS LÄN</t>
        </is>
      </c>
      <c r="E8202" t="inlineStr">
        <is>
          <t>GÖTENE</t>
        </is>
      </c>
      <c r="G8202" t="n">
        <v>11.1</v>
      </c>
      <c r="H8202" t="n">
        <v>0</v>
      </c>
      <c r="I8202" t="n">
        <v>0</v>
      </c>
      <c r="J8202" t="n">
        <v>0</v>
      </c>
      <c r="K8202" t="n">
        <v>0</v>
      </c>
      <c r="L8202" t="n">
        <v>0</v>
      </c>
      <c r="M8202" t="n">
        <v>0</v>
      </c>
      <c r="N8202" t="n">
        <v>0</v>
      </c>
      <c r="O8202" t="n">
        <v>0</v>
      </c>
      <c r="P8202" t="n">
        <v>0</v>
      </c>
      <c r="Q8202" t="n">
        <v>0</v>
      </c>
      <c r="R8202" s="2" t="inlineStr"/>
    </row>
    <row r="8203" ht="15" customHeight="1">
      <c r="A8203" t="inlineStr">
        <is>
          <t>A 47750-2025</t>
        </is>
      </c>
      <c r="B8203" s="1" t="n">
        <v>45931.66099537037</v>
      </c>
      <c r="C8203" s="1" t="n">
        <v>45952</v>
      </c>
      <c r="D8203" t="inlineStr">
        <is>
          <t>VÄSTRA GÖTALANDS LÄN</t>
        </is>
      </c>
      <c r="E8203" t="inlineStr">
        <is>
          <t>HERRLJUNGA</t>
        </is>
      </c>
      <c r="G8203" t="n">
        <v>1</v>
      </c>
      <c r="H8203" t="n">
        <v>0</v>
      </c>
      <c r="I8203" t="n">
        <v>0</v>
      </c>
      <c r="J8203" t="n">
        <v>0</v>
      </c>
      <c r="K8203" t="n">
        <v>0</v>
      </c>
      <c r="L8203" t="n">
        <v>0</v>
      </c>
      <c r="M8203" t="n">
        <v>0</v>
      </c>
      <c r="N8203" t="n">
        <v>0</v>
      </c>
      <c r="O8203" t="n">
        <v>0</v>
      </c>
      <c r="P8203" t="n">
        <v>0</v>
      </c>
      <c r="Q8203" t="n">
        <v>0</v>
      </c>
      <c r="R8203" s="2" t="inlineStr"/>
    </row>
    <row r="8204" ht="15" customHeight="1">
      <c r="A8204" t="inlineStr">
        <is>
          <t>A 629-2023</t>
        </is>
      </c>
      <c r="B8204" s="1" t="n">
        <v>44930.62032407407</v>
      </c>
      <c r="C8204" s="1" t="n">
        <v>45952</v>
      </c>
      <c r="D8204" t="inlineStr">
        <is>
          <t>VÄSTRA GÖTALANDS LÄN</t>
        </is>
      </c>
      <c r="E8204" t="inlineStr">
        <is>
          <t>MARIESTAD</t>
        </is>
      </c>
      <c r="G8204" t="n">
        <v>0.1</v>
      </c>
      <c r="H8204" t="n">
        <v>0</v>
      </c>
      <c r="I8204" t="n">
        <v>0</v>
      </c>
      <c r="J8204" t="n">
        <v>0</v>
      </c>
      <c r="K8204" t="n">
        <v>0</v>
      </c>
      <c r="L8204" t="n">
        <v>0</v>
      </c>
      <c r="M8204" t="n">
        <v>0</v>
      </c>
      <c r="N8204" t="n">
        <v>0</v>
      </c>
      <c r="O8204" t="n">
        <v>0</v>
      </c>
      <c r="P8204" t="n">
        <v>0</v>
      </c>
      <c r="Q8204" t="n">
        <v>0</v>
      </c>
      <c r="R8204" s="2" t="inlineStr"/>
    </row>
    <row r="8205" ht="15" customHeight="1">
      <c r="A8205" t="inlineStr">
        <is>
          <t>A 39294-2025</t>
        </is>
      </c>
      <c r="B8205" s="1" t="n">
        <v>45889.42077546296</v>
      </c>
      <c r="C8205" s="1" t="n">
        <v>45952</v>
      </c>
      <c r="D8205" t="inlineStr">
        <is>
          <t>VÄSTRA GÖTALANDS LÄN</t>
        </is>
      </c>
      <c r="E8205" t="inlineStr">
        <is>
          <t>FALKÖPING</t>
        </is>
      </c>
      <c r="G8205" t="n">
        <v>2.7</v>
      </c>
      <c r="H8205" t="n">
        <v>0</v>
      </c>
      <c r="I8205" t="n">
        <v>0</v>
      </c>
      <c r="J8205" t="n">
        <v>0</v>
      </c>
      <c r="K8205" t="n">
        <v>0</v>
      </c>
      <c r="L8205" t="n">
        <v>0</v>
      </c>
      <c r="M8205" t="n">
        <v>0</v>
      </c>
      <c r="N8205" t="n">
        <v>0</v>
      </c>
      <c r="O8205" t="n">
        <v>0</v>
      </c>
      <c r="P8205" t="n">
        <v>0</v>
      </c>
      <c r="Q8205" t="n">
        <v>0</v>
      </c>
      <c r="R8205" s="2" t="inlineStr"/>
    </row>
    <row r="8206" ht="15" customHeight="1">
      <c r="A8206" t="inlineStr">
        <is>
          <t>A 54133-2023</t>
        </is>
      </c>
      <c r="B8206" s="1" t="n">
        <v>45232</v>
      </c>
      <c r="C8206" s="1" t="n">
        <v>45952</v>
      </c>
      <c r="D8206" t="inlineStr">
        <is>
          <t>VÄSTRA GÖTALANDS LÄN</t>
        </is>
      </c>
      <c r="E8206" t="inlineStr">
        <is>
          <t>TIDAHOLM</t>
        </is>
      </c>
      <c r="F8206" t="inlineStr">
        <is>
          <t>Kyrkan</t>
        </is>
      </c>
      <c r="G8206" t="n">
        <v>9.300000000000001</v>
      </c>
      <c r="H8206" t="n">
        <v>0</v>
      </c>
      <c r="I8206" t="n">
        <v>0</v>
      </c>
      <c r="J8206" t="n">
        <v>0</v>
      </c>
      <c r="K8206" t="n">
        <v>0</v>
      </c>
      <c r="L8206" t="n">
        <v>0</v>
      </c>
      <c r="M8206" t="n">
        <v>0</v>
      </c>
      <c r="N8206" t="n">
        <v>0</v>
      </c>
      <c r="O8206" t="n">
        <v>0</v>
      </c>
      <c r="P8206" t="n">
        <v>0</v>
      </c>
      <c r="Q8206" t="n">
        <v>0</v>
      </c>
      <c r="R8206" s="2" t="inlineStr"/>
    </row>
    <row r="8207" ht="15" customHeight="1">
      <c r="A8207" t="inlineStr">
        <is>
          <t>A 61700-2023</t>
        </is>
      </c>
      <c r="B8207" s="1" t="n">
        <v>45265.65236111111</v>
      </c>
      <c r="C8207" s="1" t="n">
        <v>45952</v>
      </c>
      <c r="D8207" t="inlineStr">
        <is>
          <t>VÄSTRA GÖTALANDS LÄN</t>
        </is>
      </c>
      <c r="E8207" t="inlineStr">
        <is>
          <t>HJO</t>
        </is>
      </c>
      <c r="F8207" t="inlineStr">
        <is>
          <t>Sveaskog</t>
        </is>
      </c>
      <c r="G8207" t="n">
        <v>2.4</v>
      </c>
      <c r="H8207" t="n">
        <v>0</v>
      </c>
      <c r="I8207" t="n">
        <v>0</v>
      </c>
      <c r="J8207" t="n">
        <v>0</v>
      </c>
      <c r="K8207" t="n">
        <v>0</v>
      </c>
      <c r="L8207" t="n">
        <v>0</v>
      </c>
      <c r="M8207" t="n">
        <v>0</v>
      </c>
      <c r="N8207" t="n">
        <v>0</v>
      </c>
      <c r="O8207" t="n">
        <v>0</v>
      </c>
      <c r="P8207" t="n">
        <v>0</v>
      </c>
      <c r="Q8207" t="n">
        <v>0</v>
      </c>
      <c r="R8207" s="2" t="inlineStr"/>
    </row>
    <row r="8208" ht="15" customHeight="1">
      <c r="A8208" t="inlineStr">
        <is>
          <t>A 61709-2023</t>
        </is>
      </c>
      <c r="B8208" s="1" t="n">
        <v>45265.66319444445</v>
      </c>
      <c r="C8208" s="1" t="n">
        <v>45952</v>
      </c>
      <c r="D8208" t="inlineStr">
        <is>
          <t>VÄSTRA GÖTALANDS LÄN</t>
        </is>
      </c>
      <c r="E8208" t="inlineStr">
        <is>
          <t>TANUM</t>
        </is>
      </c>
      <c r="G8208" t="n">
        <v>0.6</v>
      </c>
      <c r="H8208" t="n">
        <v>0</v>
      </c>
      <c r="I8208" t="n">
        <v>0</v>
      </c>
      <c r="J8208" t="n">
        <v>0</v>
      </c>
      <c r="K8208" t="n">
        <v>0</v>
      </c>
      <c r="L8208" t="n">
        <v>0</v>
      </c>
      <c r="M8208" t="n">
        <v>0</v>
      </c>
      <c r="N8208" t="n">
        <v>0</v>
      </c>
      <c r="O8208" t="n">
        <v>0</v>
      </c>
      <c r="P8208" t="n">
        <v>0</v>
      </c>
      <c r="Q8208" t="n">
        <v>0</v>
      </c>
      <c r="R8208" s="2" t="inlineStr"/>
    </row>
    <row r="8209" ht="15" customHeight="1">
      <c r="A8209" t="inlineStr">
        <is>
          <t>A 61734-2023</t>
        </is>
      </c>
      <c r="B8209" s="1" t="n">
        <v>45265</v>
      </c>
      <c r="C8209" s="1" t="n">
        <v>45952</v>
      </c>
      <c r="D8209" t="inlineStr">
        <is>
          <t>VÄSTRA GÖTALANDS LÄN</t>
        </is>
      </c>
      <c r="E8209" t="inlineStr">
        <is>
          <t>ALINGSÅS</t>
        </is>
      </c>
      <c r="G8209" t="n">
        <v>4.8</v>
      </c>
      <c r="H8209" t="n">
        <v>0</v>
      </c>
      <c r="I8209" t="n">
        <v>0</v>
      </c>
      <c r="J8209" t="n">
        <v>0</v>
      </c>
      <c r="K8209" t="n">
        <v>0</v>
      </c>
      <c r="L8209" t="n">
        <v>0</v>
      </c>
      <c r="M8209" t="n">
        <v>0</v>
      </c>
      <c r="N8209" t="n">
        <v>0</v>
      </c>
      <c r="O8209" t="n">
        <v>0</v>
      </c>
      <c r="P8209" t="n">
        <v>0</v>
      </c>
      <c r="Q8209" t="n">
        <v>0</v>
      </c>
      <c r="R8209" s="2" t="inlineStr"/>
    </row>
    <row r="8210" ht="15" customHeight="1">
      <c r="A8210" t="inlineStr">
        <is>
          <t>A 38016-2024</t>
        </is>
      </c>
      <c r="B8210" s="1" t="n">
        <v>45544.63393518519</v>
      </c>
      <c r="C8210" s="1" t="n">
        <v>45952</v>
      </c>
      <c r="D8210" t="inlineStr">
        <is>
          <t>VÄSTRA GÖTALANDS LÄN</t>
        </is>
      </c>
      <c r="E8210" t="inlineStr">
        <is>
          <t>TRANEMO</t>
        </is>
      </c>
      <c r="G8210" t="n">
        <v>1.3</v>
      </c>
      <c r="H8210" t="n">
        <v>0</v>
      </c>
      <c r="I8210" t="n">
        <v>0</v>
      </c>
      <c r="J8210" t="n">
        <v>0</v>
      </c>
      <c r="K8210" t="n">
        <v>0</v>
      </c>
      <c r="L8210" t="n">
        <v>0</v>
      </c>
      <c r="M8210" t="n">
        <v>0</v>
      </c>
      <c r="N8210" t="n">
        <v>0</v>
      </c>
      <c r="O8210" t="n">
        <v>0</v>
      </c>
      <c r="P8210" t="n">
        <v>0</v>
      </c>
      <c r="Q8210" t="n">
        <v>0</v>
      </c>
      <c r="R8210" s="2" t="inlineStr"/>
    </row>
    <row r="8211" ht="15" customHeight="1">
      <c r="A8211" t="inlineStr">
        <is>
          <t>A 53047-2024</t>
        </is>
      </c>
      <c r="B8211" s="1" t="n">
        <v>45611.45182870371</v>
      </c>
      <c r="C8211" s="1" t="n">
        <v>45952</v>
      </c>
      <c r="D8211" t="inlineStr">
        <is>
          <t>VÄSTRA GÖTALANDS LÄN</t>
        </is>
      </c>
      <c r="E8211" t="inlineStr">
        <is>
          <t>FÄRGELANDA</t>
        </is>
      </c>
      <c r="G8211" t="n">
        <v>4.2</v>
      </c>
      <c r="H8211" t="n">
        <v>0</v>
      </c>
      <c r="I8211" t="n">
        <v>0</v>
      </c>
      <c r="J8211" t="n">
        <v>0</v>
      </c>
      <c r="K8211" t="n">
        <v>0</v>
      </c>
      <c r="L8211" t="n">
        <v>0</v>
      </c>
      <c r="M8211" t="n">
        <v>0</v>
      </c>
      <c r="N8211" t="n">
        <v>0</v>
      </c>
      <c r="O8211" t="n">
        <v>0</v>
      </c>
      <c r="P8211" t="n">
        <v>0</v>
      </c>
      <c r="Q8211" t="n">
        <v>0</v>
      </c>
      <c r="R8211" s="2" t="inlineStr"/>
    </row>
    <row r="8212" ht="15" customHeight="1">
      <c r="A8212" t="inlineStr">
        <is>
          <t>A 56480-2024</t>
        </is>
      </c>
      <c r="B8212" s="1" t="n">
        <v>45625.47077546296</v>
      </c>
      <c r="C8212" s="1" t="n">
        <v>45952</v>
      </c>
      <c r="D8212" t="inlineStr">
        <is>
          <t>VÄSTRA GÖTALANDS LÄN</t>
        </is>
      </c>
      <c r="E8212" t="inlineStr">
        <is>
          <t>VÄNERSBORG</t>
        </is>
      </c>
      <c r="G8212" t="n">
        <v>1.8</v>
      </c>
      <c r="H8212" t="n">
        <v>0</v>
      </c>
      <c r="I8212" t="n">
        <v>0</v>
      </c>
      <c r="J8212" t="n">
        <v>0</v>
      </c>
      <c r="K8212" t="n">
        <v>0</v>
      </c>
      <c r="L8212" t="n">
        <v>0</v>
      </c>
      <c r="M8212" t="n">
        <v>0</v>
      </c>
      <c r="N8212" t="n">
        <v>0</v>
      </c>
      <c r="O8212" t="n">
        <v>0</v>
      </c>
      <c r="P8212" t="n">
        <v>0</v>
      </c>
      <c r="Q8212" t="n">
        <v>0</v>
      </c>
      <c r="R8212" s="2" t="inlineStr"/>
    </row>
    <row r="8213" ht="15" customHeight="1">
      <c r="A8213" t="inlineStr">
        <is>
          <t>A 2625-2022</t>
        </is>
      </c>
      <c r="B8213" s="1" t="n">
        <v>44580.45658564815</v>
      </c>
      <c r="C8213" s="1" t="n">
        <v>45952</v>
      </c>
      <c r="D8213" t="inlineStr">
        <is>
          <t>VÄSTRA GÖTALANDS LÄN</t>
        </is>
      </c>
      <c r="E8213" t="inlineStr">
        <is>
          <t>MARK</t>
        </is>
      </c>
      <c r="G8213" t="n">
        <v>3.7</v>
      </c>
      <c r="H8213" t="n">
        <v>0</v>
      </c>
      <c r="I8213" t="n">
        <v>0</v>
      </c>
      <c r="J8213" t="n">
        <v>0</v>
      </c>
      <c r="K8213" t="n">
        <v>0</v>
      </c>
      <c r="L8213" t="n">
        <v>0</v>
      </c>
      <c r="M8213" t="n">
        <v>0</v>
      </c>
      <c r="N8213" t="n">
        <v>0</v>
      </c>
      <c r="O8213" t="n">
        <v>0</v>
      </c>
      <c r="P8213" t="n">
        <v>0</v>
      </c>
      <c r="Q8213" t="n">
        <v>0</v>
      </c>
      <c r="R8213" s="2" t="inlineStr"/>
    </row>
    <row r="8214" ht="15" customHeight="1">
      <c r="A8214" t="inlineStr">
        <is>
          <t>A 29489-2025</t>
        </is>
      </c>
      <c r="B8214" s="1" t="n">
        <v>45824.76096064815</v>
      </c>
      <c r="C8214" s="1" t="n">
        <v>45952</v>
      </c>
      <c r="D8214" t="inlineStr">
        <is>
          <t>VÄSTRA GÖTALANDS LÄN</t>
        </is>
      </c>
      <c r="E8214" t="inlineStr">
        <is>
          <t>KARLSBORG</t>
        </is>
      </c>
      <c r="F8214" t="inlineStr">
        <is>
          <t>Övriga Aktiebolag</t>
        </is>
      </c>
      <c r="G8214" t="n">
        <v>1.8</v>
      </c>
      <c r="H8214" t="n">
        <v>0</v>
      </c>
      <c r="I8214" t="n">
        <v>0</v>
      </c>
      <c r="J8214" t="n">
        <v>0</v>
      </c>
      <c r="K8214" t="n">
        <v>0</v>
      </c>
      <c r="L8214" t="n">
        <v>0</v>
      </c>
      <c r="M8214" t="n">
        <v>0</v>
      </c>
      <c r="N8214" t="n">
        <v>0</v>
      </c>
      <c r="O8214" t="n">
        <v>0</v>
      </c>
      <c r="P8214" t="n">
        <v>0</v>
      </c>
      <c r="Q8214" t="n">
        <v>0</v>
      </c>
      <c r="R8214" s="2" t="inlineStr"/>
    </row>
    <row r="8215" ht="15" customHeight="1">
      <c r="A8215" t="inlineStr">
        <is>
          <t>A 10714-2022</t>
        </is>
      </c>
      <c r="B8215" s="1" t="n">
        <v>44626</v>
      </c>
      <c r="C8215" s="1" t="n">
        <v>45952</v>
      </c>
      <c r="D8215" t="inlineStr">
        <is>
          <t>VÄSTRA GÖTALANDS LÄN</t>
        </is>
      </c>
      <c r="E8215" t="inlineStr">
        <is>
          <t>ULRICEHAMN</t>
        </is>
      </c>
      <c r="G8215" t="n">
        <v>0.9</v>
      </c>
      <c r="H8215" t="n">
        <v>0</v>
      </c>
      <c r="I8215" t="n">
        <v>0</v>
      </c>
      <c r="J8215" t="n">
        <v>0</v>
      </c>
      <c r="K8215" t="n">
        <v>0</v>
      </c>
      <c r="L8215" t="n">
        <v>0</v>
      </c>
      <c r="M8215" t="n">
        <v>0</v>
      </c>
      <c r="N8215" t="n">
        <v>0</v>
      </c>
      <c r="O8215" t="n">
        <v>0</v>
      </c>
      <c r="P8215" t="n">
        <v>0</v>
      </c>
      <c r="Q8215" t="n">
        <v>0</v>
      </c>
      <c r="R8215" s="2" t="inlineStr"/>
    </row>
    <row r="8216" ht="15" customHeight="1">
      <c r="A8216" t="inlineStr">
        <is>
          <t>A 5358-2021</t>
        </is>
      </c>
      <c r="B8216" s="1" t="n">
        <v>44229</v>
      </c>
      <c r="C8216" s="1" t="n">
        <v>45952</v>
      </c>
      <c r="D8216" t="inlineStr">
        <is>
          <t>VÄSTRA GÖTALANDS LÄN</t>
        </is>
      </c>
      <c r="E8216" t="inlineStr">
        <is>
          <t>LIDKÖPING</t>
        </is>
      </c>
      <c r="G8216" t="n">
        <v>1.7</v>
      </c>
      <c r="H8216" t="n">
        <v>0</v>
      </c>
      <c r="I8216" t="n">
        <v>0</v>
      </c>
      <c r="J8216" t="n">
        <v>0</v>
      </c>
      <c r="K8216" t="n">
        <v>0</v>
      </c>
      <c r="L8216" t="n">
        <v>0</v>
      </c>
      <c r="M8216" t="n">
        <v>0</v>
      </c>
      <c r="N8216" t="n">
        <v>0</v>
      </c>
      <c r="O8216" t="n">
        <v>0</v>
      </c>
      <c r="P8216" t="n">
        <v>0</v>
      </c>
      <c r="Q8216" t="n">
        <v>0</v>
      </c>
      <c r="R8216" s="2" t="inlineStr"/>
    </row>
    <row r="8217" ht="15" customHeight="1">
      <c r="A8217" t="inlineStr">
        <is>
          <t>A 19820-2021</t>
        </is>
      </c>
      <c r="B8217" s="1" t="n">
        <v>44312</v>
      </c>
      <c r="C8217" s="1" t="n">
        <v>45952</v>
      </c>
      <c r="D8217" t="inlineStr">
        <is>
          <t>VÄSTRA GÖTALANDS LÄN</t>
        </is>
      </c>
      <c r="E8217" t="inlineStr">
        <is>
          <t>TROLLHÄTTAN</t>
        </is>
      </c>
      <c r="G8217" t="n">
        <v>2.9</v>
      </c>
      <c r="H8217" t="n">
        <v>0</v>
      </c>
      <c r="I8217" t="n">
        <v>0</v>
      </c>
      <c r="J8217" t="n">
        <v>0</v>
      </c>
      <c r="K8217" t="n">
        <v>0</v>
      </c>
      <c r="L8217" t="n">
        <v>0</v>
      </c>
      <c r="M8217" t="n">
        <v>0</v>
      </c>
      <c r="N8217" t="n">
        <v>0</v>
      </c>
      <c r="O8217" t="n">
        <v>0</v>
      </c>
      <c r="P8217" t="n">
        <v>0</v>
      </c>
      <c r="Q8217" t="n">
        <v>0</v>
      </c>
      <c r="R8217" s="2" t="inlineStr"/>
    </row>
    <row r="8218" ht="15" customHeight="1">
      <c r="A8218" t="inlineStr">
        <is>
          <t>A 20469-2021</t>
        </is>
      </c>
      <c r="B8218" s="1" t="n">
        <v>44315</v>
      </c>
      <c r="C8218" s="1" t="n">
        <v>45952</v>
      </c>
      <c r="D8218" t="inlineStr">
        <is>
          <t>VÄSTRA GÖTALANDS LÄN</t>
        </is>
      </c>
      <c r="E8218" t="inlineStr">
        <is>
          <t>HJO</t>
        </is>
      </c>
      <c r="F8218" t="inlineStr">
        <is>
          <t>Övriga Aktiebolag</t>
        </is>
      </c>
      <c r="G8218" t="n">
        <v>2.2</v>
      </c>
      <c r="H8218" t="n">
        <v>0</v>
      </c>
      <c r="I8218" t="n">
        <v>0</v>
      </c>
      <c r="J8218" t="n">
        <v>0</v>
      </c>
      <c r="K8218" t="n">
        <v>0</v>
      </c>
      <c r="L8218" t="n">
        <v>0</v>
      </c>
      <c r="M8218" t="n">
        <v>0</v>
      </c>
      <c r="N8218" t="n">
        <v>0</v>
      </c>
      <c r="O8218" t="n">
        <v>0</v>
      </c>
      <c r="P8218" t="n">
        <v>0</v>
      </c>
      <c r="Q8218" t="n">
        <v>0</v>
      </c>
      <c r="R8218" s="2" t="inlineStr"/>
    </row>
    <row r="8219" ht="15" customHeight="1">
      <c r="A8219" t="inlineStr">
        <is>
          <t>A 62489-2023</t>
        </is>
      </c>
      <c r="B8219" s="1" t="n">
        <v>45268.58481481481</v>
      </c>
      <c r="C8219" s="1" t="n">
        <v>45952</v>
      </c>
      <c r="D8219" t="inlineStr">
        <is>
          <t>VÄSTRA GÖTALANDS LÄN</t>
        </is>
      </c>
      <c r="E8219" t="inlineStr">
        <is>
          <t>TANUM</t>
        </is>
      </c>
      <c r="G8219" t="n">
        <v>2.3</v>
      </c>
      <c r="H8219" t="n">
        <v>0</v>
      </c>
      <c r="I8219" t="n">
        <v>0</v>
      </c>
      <c r="J8219" t="n">
        <v>0</v>
      </c>
      <c r="K8219" t="n">
        <v>0</v>
      </c>
      <c r="L8219" t="n">
        <v>0</v>
      </c>
      <c r="M8219" t="n">
        <v>0</v>
      </c>
      <c r="N8219" t="n">
        <v>0</v>
      </c>
      <c r="O8219" t="n">
        <v>0</v>
      </c>
      <c r="P8219" t="n">
        <v>0</v>
      </c>
      <c r="Q8219" t="n">
        <v>0</v>
      </c>
      <c r="R8219" s="2" t="inlineStr"/>
    </row>
    <row r="8220" ht="15" customHeight="1">
      <c r="A8220" t="inlineStr">
        <is>
          <t>A 47355-2025</t>
        </is>
      </c>
      <c r="B8220" s="1" t="n">
        <v>45930.57943287037</v>
      </c>
      <c r="C8220" s="1" t="n">
        <v>45952</v>
      </c>
      <c r="D8220" t="inlineStr">
        <is>
          <t>VÄSTRA GÖTALANDS LÄN</t>
        </is>
      </c>
      <c r="E8220" t="inlineStr">
        <is>
          <t>TIDAHOLM</t>
        </is>
      </c>
      <c r="F8220" t="inlineStr">
        <is>
          <t>Sveaskog</t>
        </is>
      </c>
      <c r="G8220" t="n">
        <v>0.8</v>
      </c>
      <c r="H8220" t="n">
        <v>0</v>
      </c>
      <c r="I8220" t="n">
        <v>0</v>
      </c>
      <c r="J8220" t="n">
        <v>0</v>
      </c>
      <c r="K8220" t="n">
        <v>0</v>
      </c>
      <c r="L8220" t="n">
        <v>0</v>
      </c>
      <c r="M8220" t="n">
        <v>0</v>
      </c>
      <c r="N8220" t="n">
        <v>0</v>
      </c>
      <c r="O8220" t="n">
        <v>0</v>
      </c>
      <c r="P8220" t="n">
        <v>0</v>
      </c>
      <c r="Q8220" t="n">
        <v>0</v>
      </c>
      <c r="R8220" s="2" t="inlineStr"/>
    </row>
    <row r="8221" ht="15" customHeight="1">
      <c r="A8221" t="inlineStr">
        <is>
          <t>A 39073-2025</t>
        </is>
      </c>
      <c r="B8221" s="1" t="n">
        <v>45888</v>
      </c>
      <c r="C8221" s="1" t="n">
        <v>45952</v>
      </c>
      <c r="D8221" t="inlineStr">
        <is>
          <t>VÄSTRA GÖTALANDS LÄN</t>
        </is>
      </c>
      <c r="E8221" t="inlineStr">
        <is>
          <t>SKÖVDE</t>
        </is>
      </c>
      <c r="F8221" t="inlineStr">
        <is>
          <t>Kyrkan</t>
        </is>
      </c>
      <c r="G8221" t="n">
        <v>0.5</v>
      </c>
      <c r="H8221" t="n">
        <v>0</v>
      </c>
      <c r="I8221" t="n">
        <v>0</v>
      </c>
      <c r="J8221" t="n">
        <v>0</v>
      </c>
      <c r="K8221" t="n">
        <v>0</v>
      </c>
      <c r="L8221" t="n">
        <v>0</v>
      </c>
      <c r="M8221" t="n">
        <v>0</v>
      </c>
      <c r="N8221" t="n">
        <v>0</v>
      </c>
      <c r="O8221" t="n">
        <v>0</v>
      </c>
      <c r="P8221" t="n">
        <v>0</v>
      </c>
      <c r="Q8221" t="n">
        <v>0</v>
      </c>
      <c r="R8221" s="2" t="inlineStr"/>
    </row>
    <row r="8222" ht="15" customHeight="1">
      <c r="A8222" t="inlineStr">
        <is>
          <t>A 39238-2025</t>
        </is>
      </c>
      <c r="B8222" s="1" t="n">
        <v>45889.33467592593</v>
      </c>
      <c r="C8222" s="1" t="n">
        <v>45952</v>
      </c>
      <c r="D8222" t="inlineStr">
        <is>
          <t>VÄSTRA GÖTALANDS LÄN</t>
        </is>
      </c>
      <c r="E8222" t="inlineStr">
        <is>
          <t>SKÖVDE</t>
        </is>
      </c>
      <c r="G8222" t="n">
        <v>6.8</v>
      </c>
      <c r="H8222" t="n">
        <v>0</v>
      </c>
      <c r="I8222" t="n">
        <v>0</v>
      </c>
      <c r="J8222" t="n">
        <v>0</v>
      </c>
      <c r="K8222" t="n">
        <v>0</v>
      </c>
      <c r="L8222" t="n">
        <v>0</v>
      </c>
      <c r="M8222" t="n">
        <v>0</v>
      </c>
      <c r="N8222" t="n">
        <v>0</v>
      </c>
      <c r="O8222" t="n">
        <v>0</v>
      </c>
      <c r="P8222" t="n">
        <v>0</v>
      </c>
      <c r="Q8222" t="n">
        <v>0</v>
      </c>
      <c r="R8222" s="2" t="inlineStr"/>
    </row>
    <row r="8223" ht="15" customHeight="1">
      <c r="A8223" t="inlineStr">
        <is>
          <t>A 39243-2025</t>
        </is>
      </c>
      <c r="B8223" s="1" t="n">
        <v>45889.34508101852</v>
      </c>
      <c r="C8223" s="1" t="n">
        <v>45952</v>
      </c>
      <c r="D8223" t="inlineStr">
        <is>
          <t>VÄSTRA GÖTALANDS LÄN</t>
        </is>
      </c>
      <c r="E8223" t="inlineStr">
        <is>
          <t>SKÖVDE</t>
        </is>
      </c>
      <c r="G8223" t="n">
        <v>9.199999999999999</v>
      </c>
      <c r="H8223" t="n">
        <v>0</v>
      </c>
      <c r="I8223" t="n">
        <v>0</v>
      </c>
      <c r="J8223" t="n">
        <v>0</v>
      </c>
      <c r="K8223" t="n">
        <v>0</v>
      </c>
      <c r="L8223" t="n">
        <v>0</v>
      </c>
      <c r="M8223" t="n">
        <v>0</v>
      </c>
      <c r="N8223" t="n">
        <v>0</v>
      </c>
      <c r="O8223" t="n">
        <v>0</v>
      </c>
      <c r="P8223" t="n">
        <v>0</v>
      </c>
      <c r="Q8223" t="n">
        <v>0</v>
      </c>
      <c r="R8223" s="2" t="inlineStr"/>
    </row>
    <row r="8224" ht="15" customHeight="1">
      <c r="A8224" t="inlineStr">
        <is>
          <t>A 47564-2025</t>
        </is>
      </c>
      <c r="B8224" s="1" t="n">
        <v>45931.38982638889</v>
      </c>
      <c r="C8224" s="1" t="n">
        <v>45952</v>
      </c>
      <c r="D8224" t="inlineStr">
        <is>
          <t>VÄSTRA GÖTALANDS LÄN</t>
        </is>
      </c>
      <c r="E8224" t="inlineStr">
        <is>
          <t>KUNGÄLV</t>
        </is>
      </c>
      <c r="G8224" t="n">
        <v>2</v>
      </c>
      <c r="H8224" t="n">
        <v>0</v>
      </c>
      <c r="I8224" t="n">
        <v>0</v>
      </c>
      <c r="J8224" t="n">
        <v>0</v>
      </c>
      <c r="K8224" t="n">
        <v>0</v>
      </c>
      <c r="L8224" t="n">
        <v>0</v>
      </c>
      <c r="M8224" t="n">
        <v>0</v>
      </c>
      <c r="N8224" t="n">
        <v>0</v>
      </c>
      <c r="O8224" t="n">
        <v>0</v>
      </c>
      <c r="P8224" t="n">
        <v>0</v>
      </c>
      <c r="Q8224" t="n">
        <v>0</v>
      </c>
      <c r="R8224" s="2" t="inlineStr"/>
    </row>
    <row r="8225" ht="15" customHeight="1">
      <c r="A8225" t="inlineStr">
        <is>
          <t>A 21857-2025</t>
        </is>
      </c>
      <c r="B8225" s="1" t="n">
        <v>45784.35984953704</v>
      </c>
      <c r="C8225" s="1" t="n">
        <v>45952</v>
      </c>
      <c r="D8225" t="inlineStr">
        <is>
          <t>VÄSTRA GÖTALANDS LÄN</t>
        </is>
      </c>
      <c r="E8225" t="inlineStr">
        <is>
          <t>SVENLJUNGA</t>
        </is>
      </c>
      <c r="G8225" t="n">
        <v>1</v>
      </c>
      <c r="H8225" t="n">
        <v>0</v>
      </c>
      <c r="I8225" t="n">
        <v>0</v>
      </c>
      <c r="J8225" t="n">
        <v>0</v>
      </c>
      <c r="K8225" t="n">
        <v>0</v>
      </c>
      <c r="L8225" t="n">
        <v>0</v>
      </c>
      <c r="M8225" t="n">
        <v>0</v>
      </c>
      <c r="N8225" t="n">
        <v>0</v>
      </c>
      <c r="O8225" t="n">
        <v>0</v>
      </c>
      <c r="P8225" t="n">
        <v>0</v>
      </c>
      <c r="Q8225" t="n">
        <v>0</v>
      </c>
      <c r="R8225" s="2" t="inlineStr"/>
    </row>
    <row r="8226" ht="15" customHeight="1">
      <c r="A8226" t="inlineStr">
        <is>
          <t>A 13313-2024</t>
        </is>
      </c>
      <c r="B8226" s="1" t="n">
        <v>45386.73177083334</v>
      </c>
      <c r="C8226" s="1" t="n">
        <v>45952</v>
      </c>
      <c r="D8226" t="inlineStr">
        <is>
          <t>VÄSTRA GÖTALANDS LÄN</t>
        </is>
      </c>
      <c r="E8226" t="inlineStr">
        <is>
          <t>MELLERUD</t>
        </is>
      </c>
      <c r="G8226" t="n">
        <v>2.1</v>
      </c>
      <c r="H8226" t="n">
        <v>0</v>
      </c>
      <c r="I8226" t="n">
        <v>0</v>
      </c>
      <c r="J8226" t="n">
        <v>0</v>
      </c>
      <c r="K8226" t="n">
        <v>0</v>
      </c>
      <c r="L8226" t="n">
        <v>0</v>
      </c>
      <c r="M8226" t="n">
        <v>0</v>
      </c>
      <c r="N8226" t="n">
        <v>0</v>
      </c>
      <c r="O8226" t="n">
        <v>0</v>
      </c>
      <c r="P8226" t="n">
        <v>0</v>
      </c>
      <c r="Q8226" t="n">
        <v>0</v>
      </c>
      <c r="R8226" s="2" t="inlineStr"/>
    </row>
    <row r="8227" ht="15" customHeight="1">
      <c r="A8227" t="inlineStr">
        <is>
          <t>A 22022-2024</t>
        </is>
      </c>
      <c r="B8227" s="1" t="n">
        <v>45443.5905324074</v>
      </c>
      <c r="C8227" s="1" t="n">
        <v>45952</v>
      </c>
      <c r="D8227" t="inlineStr">
        <is>
          <t>VÄSTRA GÖTALANDS LÄN</t>
        </is>
      </c>
      <c r="E8227" t="inlineStr">
        <is>
          <t>MARK</t>
        </is>
      </c>
      <c r="G8227" t="n">
        <v>2.8</v>
      </c>
      <c r="H8227" t="n">
        <v>0</v>
      </c>
      <c r="I8227" t="n">
        <v>0</v>
      </c>
      <c r="J8227" t="n">
        <v>0</v>
      </c>
      <c r="K8227" t="n">
        <v>0</v>
      </c>
      <c r="L8227" t="n">
        <v>0</v>
      </c>
      <c r="M8227" t="n">
        <v>0</v>
      </c>
      <c r="N8227" t="n">
        <v>0</v>
      </c>
      <c r="O8227" t="n">
        <v>0</v>
      </c>
      <c r="P8227" t="n">
        <v>0</v>
      </c>
      <c r="Q8227" t="n">
        <v>0</v>
      </c>
      <c r="R8227" s="2" t="inlineStr"/>
    </row>
    <row r="8228" ht="15" customHeight="1">
      <c r="A8228" t="inlineStr">
        <is>
          <t>A 27369-2024</t>
        </is>
      </c>
      <c r="B8228" s="1" t="n">
        <v>45473</v>
      </c>
      <c r="C8228" s="1" t="n">
        <v>45952</v>
      </c>
      <c r="D8228" t="inlineStr">
        <is>
          <t>VÄSTRA GÖTALANDS LÄN</t>
        </is>
      </c>
      <c r="E8228" t="inlineStr">
        <is>
          <t>TIDAHOLM</t>
        </is>
      </c>
      <c r="G8228" t="n">
        <v>8.800000000000001</v>
      </c>
      <c r="H8228" t="n">
        <v>0</v>
      </c>
      <c r="I8228" t="n">
        <v>0</v>
      </c>
      <c r="J8228" t="n">
        <v>0</v>
      </c>
      <c r="K8228" t="n">
        <v>0</v>
      </c>
      <c r="L8228" t="n">
        <v>0</v>
      </c>
      <c r="M8228" t="n">
        <v>0</v>
      </c>
      <c r="N8228" t="n">
        <v>0</v>
      </c>
      <c r="O8228" t="n">
        <v>0</v>
      </c>
      <c r="P8228" t="n">
        <v>0</v>
      </c>
      <c r="Q8228" t="n">
        <v>0</v>
      </c>
      <c r="R8228" s="2" t="inlineStr"/>
    </row>
    <row r="8229" ht="15" customHeight="1">
      <c r="A8229" t="inlineStr">
        <is>
          <t>A 27177-2023</t>
        </is>
      </c>
      <c r="B8229" s="1" t="n">
        <v>45096</v>
      </c>
      <c r="C8229" s="1" t="n">
        <v>45952</v>
      </c>
      <c r="D8229" t="inlineStr">
        <is>
          <t>VÄSTRA GÖTALANDS LÄN</t>
        </is>
      </c>
      <c r="E8229" t="inlineStr">
        <is>
          <t>TRANEMO</t>
        </is>
      </c>
      <c r="F8229" t="inlineStr">
        <is>
          <t>Kommuner</t>
        </is>
      </c>
      <c r="G8229" t="n">
        <v>1.8</v>
      </c>
      <c r="H8229" t="n">
        <v>0</v>
      </c>
      <c r="I8229" t="n">
        <v>0</v>
      </c>
      <c r="J8229" t="n">
        <v>0</v>
      </c>
      <c r="K8229" t="n">
        <v>0</v>
      </c>
      <c r="L8229" t="n">
        <v>0</v>
      </c>
      <c r="M8229" t="n">
        <v>0</v>
      </c>
      <c r="N8229" t="n">
        <v>0</v>
      </c>
      <c r="O8229" t="n">
        <v>0</v>
      </c>
      <c r="P8229" t="n">
        <v>0</v>
      </c>
      <c r="Q8229" t="n">
        <v>0</v>
      </c>
      <c r="R8229" s="2" t="inlineStr"/>
    </row>
    <row r="8230" ht="15" customHeight="1">
      <c r="A8230" t="inlineStr">
        <is>
          <t>A 49004-2023</t>
        </is>
      </c>
      <c r="B8230" s="1" t="n">
        <v>45209.67533564815</v>
      </c>
      <c r="C8230" s="1" t="n">
        <v>45952</v>
      </c>
      <c r="D8230" t="inlineStr">
        <is>
          <t>VÄSTRA GÖTALANDS LÄN</t>
        </is>
      </c>
      <c r="E8230" t="inlineStr">
        <is>
          <t>BORÅS</t>
        </is>
      </c>
      <c r="G8230" t="n">
        <v>2.7</v>
      </c>
      <c r="H8230" t="n">
        <v>0</v>
      </c>
      <c r="I8230" t="n">
        <v>0</v>
      </c>
      <c r="J8230" t="n">
        <v>0</v>
      </c>
      <c r="K8230" t="n">
        <v>0</v>
      </c>
      <c r="L8230" t="n">
        <v>0</v>
      </c>
      <c r="M8230" t="n">
        <v>0</v>
      </c>
      <c r="N8230" t="n">
        <v>0</v>
      </c>
      <c r="O8230" t="n">
        <v>0</v>
      </c>
      <c r="P8230" t="n">
        <v>0</v>
      </c>
      <c r="Q8230" t="n">
        <v>0</v>
      </c>
      <c r="R8230" s="2" t="inlineStr"/>
    </row>
    <row r="8231" ht="15" customHeight="1">
      <c r="A8231" t="inlineStr">
        <is>
          <t>A 2946-2024</t>
        </is>
      </c>
      <c r="B8231" s="1" t="n">
        <v>45315</v>
      </c>
      <c r="C8231" s="1" t="n">
        <v>45952</v>
      </c>
      <c r="D8231" t="inlineStr">
        <is>
          <t>VÄSTRA GÖTALANDS LÄN</t>
        </is>
      </c>
      <c r="E8231" t="inlineStr">
        <is>
          <t>HÄRRYDA</t>
        </is>
      </c>
      <c r="G8231" t="n">
        <v>1.6</v>
      </c>
      <c r="H8231" t="n">
        <v>0</v>
      </c>
      <c r="I8231" t="n">
        <v>0</v>
      </c>
      <c r="J8231" t="n">
        <v>0</v>
      </c>
      <c r="K8231" t="n">
        <v>0</v>
      </c>
      <c r="L8231" t="n">
        <v>0</v>
      </c>
      <c r="M8231" t="n">
        <v>0</v>
      </c>
      <c r="N8231" t="n">
        <v>0</v>
      </c>
      <c r="O8231" t="n">
        <v>0</v>
      </c>
      <c r="P8231" t="n">
        <v>0</v>
      </c>
      <c r="Q8231" t="n">
        <v>0</v>
      </c>
      <c r="R8231" s="2" t="inlineStr"/>
    </row>
    <row r="8232" ht="15" customHeight="1">
      <c r="A8232" t="inlineStr">
        <is>
          <t>A 47518-2025</t>
        </is>
      </c>
      <c r="B8232" s="1" t="n">
        <v>45931.30692129629</v>
      </c>
      <c r="C8232" s="1" t="n">
        <v>45952</v>
      </c>
      <c r="D8232" t="inlineStr">
        <is>
          <t>VÄSTRA GÖTALANDS LÄN</t>
        </is>
      </c>
      <c r="E8232" t="inlineStr">
        <is>
          <t>TIDAHOLM</t>
        </is>
      </c>
      <c r="G8232" t="n">
        <v>1.6</v>
      </c>
      <c r="H8232" t="n">
        <v>0</v>
      </c>
      <c r="I8232" t="n">
        <v>0</v>
      </c>
      <c r="J8232" t="n">
        <v>0</v>
      </c>
      <c r="K8232" t="n">
        <v>0</v>
      </c>
      <c r="L8232" t="n">
        <v>0</v>
      </c>
      <c r="M8232" t="n">
        <v>0</v>
      </c>
      <c r="N8232" t="n">
        <v>0</v>
      </c>
      <c r="O8232" t="n">
        <v>0</v>
      </c>
      <c r="P8232" t="n">
        <v>0</v>
      </c>
      <c r="Q8232" t="n">
        <v>0</v>
      </c>
      <c r="R8232" s="2" t="inlineStr"/>
    </row>
    <row r="8233" ht="15" customHeight="1">
      <c r="A8233" t="inlineStr">
        <is>
          <t>A 50965-2024</t>
        </is>
      </c>
      <c r="B8233" s="1" t="n">
        <v>45603</v>
      </c>
      <c r="C8233" s="1" t="n">
        <v>45952</v>
      </c>
      <c r="D8233" t="inlineStr">
        <is>
          <t>VÄSTRA GÖTALANDS LÄN</t>
        </is>
      </c>
      <c r="E8233" t="inlineStr">
        <is>
          <t>ULRICEHAMN</t>
        </is>
      </c>
      <c r="G8233" t="n">
        <v>0.5</v>
      </c>
      <c r="H8233" t="n">
        <v>0</v>
      </c>
      <c r="I8233" t="n">
        <v>0</v>
      </c>
      <c r="J8233" t="n">
        <v>0</v>
      </c>
      <c r="K8233" t="n">
        <v>0</v>
      </c>
      <c r="L8233" t="n">
        <v>0</v>
      </c>
      <c r="M8233" t="n">
        <v>0</v>
      </c>
      <c r="N8233" t="n">
        <v>0</v>
      </c>
      <c r="O8233" t="n">
        <v>0</v>
      </c>
      <c r="P8233" t="n">
        <v>0</v>
      </c>
      <c r="Q8233" t="n">
        <v>0</v>
      </c>
      <c r="R8233" s="2" t="inlineStr"/>
    </row>
    <row r="8234" ht="15" customHeight="1">
      <c r="A8234" t="inlineStr">
        <is>
          <t>A 47594-2025</t>
        </is>
      </c>
      <c r="B8234" s="1" t="n">
        <v>45931</v>
      </c>
      <c r="C8234" s="1" t="n">
        <v>45952</v>
      </c>
      <c r="D8234" t="inlineStr">
        <is>
          <t>VÄSTRA GÖTALANDS LÄN</t>
        </is>
      </c>
      <c r="E8234" t="inlineStr">
        <is>
          <t>BORÅS</t>
        </is>
      </c>
      <c r="F8234" t="inlineStr">
        <is>
          <t>Kommuner</t>
        </is>
      </c>
      <c r="G8234" t="n">
        <v>1.6</v>
      </c>
      <c r="H8234" t="n">
        <v>0</v>
      </c>
      <c r="I8234" t="n">
        <v>0</v>
      </c>
      <c r="J8234" t="n">
        <v>0</v>
      </c>
      <c r="K8234" t="n">
        <v>0</v>
      </c>
      <c r="L8234" t="n">
        <v>0</v>
      </c>
      <c r="M8234" t="n">
        <v>0</v>
      </c>
      <c r="N8234" t="n">
        <v>0</v>
      </c>
      <c r="O8234" t="n">
        <v>0</v>
      </c>
      <c r="P8234" t="n">
        <v>0</v>
      </c>
      <c r="Q8234" t="n">
        <v>0</v>
      </c>
      <c r="R8234" s="2" t="inlineStr"/>
    </row>
    <row r="8235" ht="15" customHeight="1">
      <c r="A8235" t="inlineStr">
        <is>
          <t>A 47250-2025</t>
        </is>
      </c>
      <c r="B8235" s="1" t="n">
        <v>45929</v>
      </c>
      <c r="C8235" s="1" t="n">
        <v>45952</v>
      </c>
      <c r="D8235" t="inlineStr">
        <is>
          <t>VÄSTRA GÖTALANDS LÄN</t>
        </is>
      </c>
      <c r="E8235" t="inlineStr">
        <is>
          <t>TANUM</t>
        </is>
      </c>
      <c r="G8235" t="n">
        <v>0.7</v>
      </c>
      <c r="H8235" t="n">
        <v>0</v>
      </c>
      <c r="I8235" t="n">
        <v>0</v>
      </c>
      <c r="J8235" t="n">
        <v>0</v>
      </c>
      <c r="K8235" t="n">
        <v>0</v>
      </c>
      <c r="L8235" t="n">
        <v>0</v>
      </c>
      <c r="M8235" t="n">
        <v>0</v>
      </c>
      <c r="N8235" t="n">
        <v>0</v>
      </c>
      <c r="O8235" t="n">
        <v>0</v>
      </c>
      <c r="P8235" t="n">
        <v>0</v>
      </c>
      <c r="Q8235" t="n">
        <v>0</v>
      </c>
      <c r="R8235" s="2" t="inlineStr"/>
    </row>
    <row r="8236" ht="15" customHeight="1">
      <c r="A8236" t="inlineStr">
        <is>
          <t>A 47358-2025</t>
        </is>
      </c>
      <c r="B8236" s="1" t="n">
        <v>45930</v>
      </c>
      <c r="C8236" s="1" t="n">
        <v>45952</v>
      </c>
      <c r="D8236" t="inlineStr">
        <is>
          <t>VÄSTRA GÖTALANDS LÄN</t>
        </is>
      </c>
      <c r="E8236" t="inlineStr">
        <is>
          <t>GULLSPÅNG</t>
        </is>
      </c>
      <c r="G8236" t="n">
        <v>1.2</v>
      </c>
      <c r="H8236" t="n">
        <v>0</v>
      </c>
      <c r="I8236" t="n">
        <v>0</v>
      </c>
      <c r="J8236" t="n">
        <v>0</v>
      </c>
      <c r="K8236" t="n">
        <v>0</v>
      </c>
      <c r="L8236" t="n">
        <v>0</v>
      </c>
      <c r="M8236" t="n">
        <v>0</v>
      </c>
      <c r="N8236" t="n">
        <v>0</v>
      </c>
      <c r="O8236" t="n">
        <v>0</v>
      </c>
      <c r="P8236" t="n">
        <v>0</v>
      </c>
      <c r="Q8236" t="n">
        <v>0</v>
      </c>
      <c r="R8236" s="2" t="inlineStr"/>
    </row>
    <row r="8237" ht="15" customHeight="1">
      <c r="A8237" t="inlineStr">
        <is>
          <t>A 5108-2025</t>
        </is>
      </c>
      <c r="B8237" s="1" t="n">
        <v>45691.55012731482</v>
      </c>
      <c r="C8237" s="1" t="n">
        <v>45952</v>
      </c>
      <c r="D8237" t="inlineStr">
        <is>
          <t>VÄSTRA GÖTALANDS LÄN</t>
        </is>
      </c>
      <c r="E8237" t="inlineStr">
        <is>
          <t>BENGTSFORS</t>
        </is>
      </c>
      <c r="G8237" t="n">
        <v>3.5</v>
      </c>
      <c r="H8237" t="n">
        <v>0</v>
      </c>
      <c r="I8237" t="n">
        <v>0</v>
      </c>
      <c r="J8237" t="n">
        <v>0</v>
      </c>
      <c r="K8237" t="n">
        <v>0</v>
      </c>
      <c r="L8237" t="n">
        <v>0</v>
      </c>
      <c r="M8237" t="n">
        <v>0</v>
      </c>
      <c r="N8237" t="n">
        <v>0</v>
      </c>
      <c r="O8237" t="n">
        <v>0</v>
      </c>
      <c r="P8237" t="n">
        <v>0</v>
      </c>
      <c r="Q8237" t="n">
        <v>0</v>
      </c>
      <c r="R8237" s="2" t="inlineStr"/>
    </row>
    <row r="8238" ht="15" customHeight="1">
      <c r="A8238" t="inlineStr">
        <is>
          <t>A 47365-2025</t>
        </is>
      </c>
      <c r="B8238" s="1" t="n">
        <v>45930</v>
      </c>
      <c r="C8238" s="1" t="n">
        <v>45952</v>
      </c>
      <c r="D8238" t="inlineStr">
        <is>
          <t>VÄSTRA GÖTALANDS LÄN</t>
        </is>
      </c>
      <c r="E8238" t="inlineStr">
        <is>
          <t>GULLSPÅNG</t>
        </is>
      </c>
      <c r="G8238" t="n">
        <v>2</v>
      </c>
      <c r="H8238" t="n">
        <v>0</v>
      </c>
      <c r="I8238" t="n">
        <v>0</v>
      </c>
      <c r="J8238" t="n">
        <v>0</v>
      </c>
      <c r="K8238" t="n">
        <v>0</v>
      </c>
      <c r="L8238" t="n">
        <v>0</v>
      </c>
      <c r="M8238" t="n">
        <v>0</v>
      </c>
      <c r="N8238" t="n">
        <v>0</v>
      </c>
      <c r="O8238" t="n">
        <v>0</v>
      </c>
      <c r="P8238" t="n">
        <v>0</v>
      </c>
      <c r="Q8238" t="n">
        <v>0</v>
      </c>
      <c r="R8238" s="2" t="inlineStr"/>
    </row>
    <row r="8239" ht="15" customHeight="1">
      <c r="A8239" t="inlineStr">
        <is>
          <t>A 47371-2025</t>
        </is>
      </c>
      <c r="B8239" s="1" t="n">
        <v>45930.59351851852</v>
      </c>
      <c r="C8239" s="1" t="n">
        <v>45952</v>
      </c>
      <c r="D8239" t="inlineStr">
        <is>
          <t>VÄSTRA GÖTALANDS LÄN</t>
        </is>
      </c>
      <c r="E8239" t="inlineStr">
        <is>
          <t>GÖTENE</t>
        </is>
      </c>
      <c r="G8239" t="n">
        <v>3.2</v>
      </c>
      <c r="H8239" t="n">
        <v>0</v>
      </c>
      <c r="I8239" t="n">
        <v>0</v>
      </c>
      <c r="J8239" t="n">
        <v>0</v>
      </c>
      <c r="K8239" t="n">
        <v>0</v>
      </c>
      <c r="L8239" t="n">
        <v>0</v>
      </c>
      <c r="M8239" t="n">
        <v>0</v>
      </c>
      <c r="N8239" t="n">
        <v>0</v>
      </c>
      <c r="O8239" t="n">
        <v>0</v>
      </c>
      <c r="P8239" t="n">
        <v>0</v>
      </c>
      <c r="Q8239" t="n">
        <v>0</v>
      </c>
      <c r="R8239" s="2" t="inlineStr"/>
    </row>
    <row r="8240" ht="15" customHeight="1">
      <c r="A8240" t="inlineStr">
        <is>
          <t>A 11983-2025</t>
        </is>
      </c>
      <c r="B8240" s="1" t="n">
        <v>45728</v>
      </c>
      <c r="C8240" s="1" t="n">
        <v>45952</v>
      </c>
      <c r="D8240" t="inlineStr">
        <is>
          <t>VÄSTRA GÖTALANDS LÄN</t>
        </is>
      </c>
      <c r="E8240" t="inlineStr">
        <is>
          <t>VARA</t>
        </is>
      </c>
      <c r="G8240" t="n">
        <v>4.1</v>
      </c>
      <c r="H8240" t="n">
        <v>0</v>
      </c>
      <c r="I8240" t="n">
        <v>0</v>
      </c>
      <c r="J8240" t="n">
        <v>0</v>
      </c>
      <c r="K8240" t="n">
        <v>0</v>
      </c>
      <c r="L8240" t="n">
        <v>0</v>
      </c>
      <c r="M8240" t="n">
        <v>0</v>
      </c>
      <c r="N8240" t="n">
        <v>0</v>
      </c>
      <c r="O8240" t="n">
        <v>0</v>
      </c>
      <c r="P8240" t="n">
        <v>0</v>
      </c>
      <c r="Q8240" t="n">
        <v>0</v>
      </c>
      <c r="R8240" s="2" t="inlineStr"/>
    </row>
    <row r="8241" ht="15" customHeight="1">
      <c r="A8241" t="inlineStr">
        <is>
          <t>A 24283-2025</t>
        </is>
      </c>
      <c r="B8241" s="1" t="n">
        <v>45797.45854166667</v>
      </c>
      <c r="C8241" s="1" t="n">
        <v>45952</v>
      </c>
      <c r="D8241" t="inlineStr">
        <is>
          <t>VÄSTRA GÖTALANDS LÄN</t>
        </is>
      </c>
      <c r="E8241" t="inlineStr">
        <is>
          <t>ULRICEHAMN</t>
        </is>
      </c>
      <c r="F8241" t="inlineStr">
        <is>
          <t>Sveaskog</t>
        </is>
      </c>
      <c r="G8241" t="n">
        <v>1.8</v>
      </c>
      <c r="H8241" t="n">
        <v>0</v>
      </c>
      <c r="I8241" t="n">
        <v>0</v>
      </c>
      <c r="J8241" t="n">
        <v>0</v>
      </c>
      <c r="K8241" t="n">
        <v>0</v>
      </c>
      <c r="L8241" t="n">
        <v>0</v>
      </c>
      <c r="M8241" t="n">
        <v>0</v>
      </c>
      <c r="N8241" t="n">
        <v>0</v>
      </c>
      <c r="O8241" t="n">
        <v>0</v>
      </c>
      <c r="P8241" t="n">
        <v>0</v>
      </c>
      <c r="Q8241" t="n">
        <v>0</v>
      </c>
      <c r="R8241" s="2" t="inlineStr"/>
    </row>
    <row r="8242" ht="15" customHeight="1">
      <c r="A8242" t="inlineStr">
        <is>
          <t>A 10681-2025</t>
        </is>
      </c>
      <c r="B8242" s="1" t="n">
        <v>45721.90905092593</v>
      </c>
      <c r="C8242" s="1" t="n">
        <v>45952</v>
      </c>
      <c r="D8242" t="inlineStr">
        <is>
          <t>VÄSTRA GÖTALANDS LÄN</t>
        </is>
      </c>
      <c r="E8242" t="inlineStr">
        <is>
          <t>BORÅS</t>
        </is>
      </c>
      <c r="G8242" t="n">
        <v>1.9</v>
      </c>
      <c r="H8242" t="n">
        <v>0</v>
      </c>
      <c r="I8242" t="n">
        <v>0</v>
      </c>
      <c r="J8242" t="n">
        <v>0</v>
      </c>
      <c r="K8242" t="n">
        <v>0</v>
      </c>
      <c r="L8242" t="n">
        <v>0</v>
      </c>
      <c r="M8242" t="n">
        <v>0</v>
      </c>
      <c r="N8242" t="n">
        <v>0</v>
      </c>
      <c r="O8242" t="n">
        <v>0</v>
      </c>
      <c r="P8242" t="n">
        <v>0</v>
      </c>
      <c r="Q8242" t="n">
        <v>0</v>
      </c>
      <c r="R8242" s="2" t="inlineStr"/>
    </row>
    <row r="8243" ht="15" customHeight="1">
      <c r="A8243" t="inlineStr">
        <is>
          <t>A 22033-2025</t>
        </is>
      </c>
      <c r="B8243" s="1" t="n">
        <v>45785.29449074074</v>
      </c>
      <c r="C8243" s="1" t="n">
        <v>45952</v>
      </c>
      <c r="D8243" t="inlineStr">
        <is>
          <t>VÄSTRA GÖTALANDS LÄN</t>
        </is>
      </c>
      <c r="E8243" t="inlineStr">
        <is>
          <t>MÖLNDAL</t>
        </is>
      </c>
      <c r="G8243" t="n">
        <v>5.2</v>
      </c>
      <c r="H8243" t="n">
        <v>0</v>
      </c>
      <c r="I8243" t="n">
        <v>0</v>
      </c>
      <c r="J8243" t="n">
        <v>0</v>
      </c>
      <c r="K8243" t="n">
        <v>0</v>
      </c>
      <c r="L8243" t="n">
        <v>0</v>
      </c>
      <c r="M8243" t="n">
        <v>0</v>
      </c>
      <c r="N8243" t="n">
        <v>0</v>
      </c>
      <c r="O8243" t="n">
        <v>0</v>
      </c>
      <c r="P8243" t="n">
        <v>0</v>
      </c>
      <c r="Q8243" t="n">
        <v>0</v>
      </c>
      <c r="R8243" s="2" t="inlineStr"/>
    </row>
    <row r="8244" ht="15" customHeight="1">
      <c r="A8244" t="inlineStr">
        <is>
          <t>A 22175-2025</t>
        </is>
      </c>
      <c r="B8244" s="1" t="n">
        <v>45785.60768518518</v>
      </c>
      <c r="C8244" s="1" t="n">
        <v>45952</v>
      </c>
      <c r="D8244" t="inlineStr">
        <is>
          <t>VÄSTRA GÖTALANDS LÄN</t>
        </is>
      </c>
      <c r="E8244" t="inlineStr">
        <is>
          <t>TANUM</t>
        </is>
      </c>
      <c r="G8244" t="n">
        <v>4</v>
      </c>
      <c r="H8244" t="n">
        <v>0</v>
      </c>
      <c r="I8244" t="n">
        <v>0</v>
      </c>
      <c r="J8244" t="n">
        <v>0</v>
      </c>
      <c r="K8244" t="n">
        <v>0</v>
      </c>
      <c r="L8244" t="n">
        <v>0</v>
      </c>
      <c r="M8244" t="n">
        <v>0</v>
      </c>
      <c r="N8244" t="n">
        <v>0</v>
      </c>
      <c r="O8244" t="n">
        <v>0</v>
      </c>
      <c r="P8244" t="n">
        <v>0</v>
      </c>
      <c r="Q8244" t="n">
        <v>0</v>
      </c>
      <c r="R8244" s="2" t="inlineStr"/>
    </row>
    <row r="8245" ht="15" customHeight="1">
      <c r="A8245" t="inlineStr">
        <is>
          <t>A 22196-2025</t>
        </is>
      </c>
      <c r="B8245" s="1" t="n">
        <v>45785.64512731481</v>
      </c>
      <c r="C8245" s="1" t="n">
        <v>45952</v>
      </c>
      <c r="D8245" t="inlineStr">
        <is>
          <t>VÄSTRA GÖTALANDS LÄN</t>
        </is>
      </c>
      <c r="E8245" t="inlineStr">
        <is>
          <t>BENGTSFORS</t>
        </is>
      </c>
      <c r="G8245" t="n">
        <v>2.6</v>
      </c>
      <c r="H8245" t="n">
        <v>0</v>
      </c>
      <c r="I8245" t="n">
        <v>0</v>
      </c>
      <c r="J8245" t="n">
        <v>0</v>
      </c>
      <c r="K8245" t="n">
        <v>0</v>
      </c>
      <c r="L8245" t="n">
        <v>0</v>
      </c>
      <c r="M8245" t="n">
        <v>0</v>
      </c>
      <c r="N8245" t="n">
        <v>0</v>
      </c>
      <c r="O8245" t="n">
        <v>0</v>
      </c>
      <c r="P8245" t="n">
        <v>0</v>
      </c>
      <c r="Q8245" t="n">
        <v>0</v>
      </c>
      <c r="R8245" s="2" t="inlineStr"/>
    </row>
    <row r="8246" ht="15" customHeight="1">
      <c r="A8246" t="inlineStr">
        <is>
          <t>A 26076-2025</t>
        </is>
      </c>
      <c r="B8246" s="1" t="n">
        <v>45805.3340625</v>
      </c>
      <c r="C8246" s="1" t="n">
        <v>45952</v>
      </c>
      <c r="D8246" t="inlineStr">
        <is>
          <t>VÄSTRA GÖTALANDS LÄN</t>
        </is>
      </c>
      <c r="E8246" t="inlineStr">
        <is>
          <t>MUNKEDAL</t>
        </is>
      </c>
      <c r="G8246" t="n">
        <v>1.5</v>
      </c>
      <c r="H8246" t="n">
        <v>0</v>
      </c>
      <c r="I8246" t="n">
        <v>0</v>
      </c>
      <c r="J8246" t="n">
        <v>0</v>
      </c>
      <c r="K8246" t="n">
        <v>0</v>
      </c>
      <c r="L8246" t="n">
        <v>0</v>
      </c>
      <c r="M8246" t="n">
        <v>0</v>
      </c>
      <c r="N8246" t="n">
        <v>0</v>
      </c>
      <c r="O8246" t="n">
        <v>0</v>
      </c>
      <c r="P8246" t="n">
        <v>0</v>
      </c>
      <c r="Q8246" t="n">
        <v>0</v>
      </c>
      <c r="R8246" s="2" t="inlineStr"/>
    </row>
    <row r="8247" ht="15" customHeight="1">
      <c r="A8247" t="inlineStr">
        <is>
          <t>A 46957-2025</t>
        </is>
      </c>
      <c r="B8247" s="1" t="n">
        <v>45929</v>
      </c>
      <c r="C8247" s="1" t="n">
        <v>45952</v>
      </c>
      <c r="D8247" t="inlineStr">
        <is>
          <t>VÄSTRA GÖTALANDS LÄN</t>
        </is>
      </c>
      <c r="E8247" t="inlineStr">
        <is>
          <t>LERUM</t>
        </is>
      </c>
      <c r="G8247" t="n">
        <v>8.699999999999999</v>
      </c>
      <c r="H8247" t="n">
        <v>0</v>
      </c>
      <c r="I8247" t="n">
        <v>0</v>
      </c>
      <c r="J8247" t="n">
        <v>0</v>
      </c>
      <c r="K8247" t="n">
        <v>0</v>
      </c>
      <c r="L8247" t="n">
        <v>0</v>
      </c>
      <c r="M8247" t="n">
        <v>0</v>
      </c>
      <c r="N8247" t="n">
        <v>0</v>
      </c>
      <c r="O8247" t="n">
        <v>0</v>
      </c>
      <c r="P8247" t="n">
        <v>0</v>
      </c>
      <c r="Q8247" t="n">
        <v>0</v>
      </c>
      <c r="R8247" s="2" t="inlineStr"/>
    </row>
    <row r="8248" ht="15" customHeight="1">
      <c r="A8248" t="inlineStr">
        <is>
          <t>A 39031-2025</t>
        </is>
      </c>
      <c r="B8248" s="1" t="n">
        <v>45888.40994212963</v>
      </c>
      <c r="C8248" s="1" t="n">
        <v>45952</v>
      </c>
      <c r="D8248" t="inlineStr">
        <is>
          <t>VÄSTRA GÖTALANDS LÄN</t>
        </is>
      </c>
      <c r="E8248" t="inlineStr">
        <is>
          <t>BORÅS</t>
        </is>
      </c>
      <c r="G8248" t="n">
        <v>6.2</v>
      </c>
      <c r="H8248" t="n">
        <v>0</v>
      </c>
      <c r="I8248" t="n">
        <v>0</v>
      </c>
      <c r="J8248" t="n">
        <v>0</v>
      </c>
      <c r="K8248" t="n">
        <v>0</v>
      </c>
      <c r="L8248" t="n">
        <v>0</v>
      </c>
      <c r="M8248" t="n">
        <v>0</v>
      </c>
      <c r="N8248" t="n">
        <v>0</v>
      </c>
      <c r="O8248" t="n">
        <v>0</v>
      </c>
      <c r="P8248" t="n">
        <v>0</v>
      </c>
      <c r="Q8248" t="n">
        <v>0</v>
      </c>
      <c r="R8248" s="2" t="inlineStr"/>
    </row>
    <row r="8249" ht="15" customHeight="1">
      <c r="A8249" t="inlineStr">
        <is>
          <t>A 45167-2025</t>
        </is>
      </c>
      <c r="B8249" s="1" t="n">
        <v>45919.49364583333</v>
      </c>
      <c r="C8249" s="1" t="n">
        <v>45952</v>
      </c>
      <c r="D8249" t="inlineStr">
        <is>
          <t>VÄSTRA GÖTALANDS LÄN</t>
        </is>
      </c>
      <c r="E8249" t="inlineStr">
        <is>
          <t>TJÖRN</t>
        </is>
      </c>
      <c r="G8249" t="n">
        <v>0.6</v>
      </c>
      <c r="H8249" t="n">
        <v>0</v>
      </c>
      <c r="I8249" t="n">
        <v>0</v>
      </c>
      <c r="J8249" t="n">
        <v>0</v>
      </c>
      <c r="K8249" t="n">
        <v>0</v>
      </c>
      <c r="L8249" t="n">
        <v>0</v>
      </c>
      <c r="M8249" t="n">
        <v>0</v>
      </c>
      <c r="N8249" t="n">
        <v>0</v>
      </c>
      <c r="O8249" t="n">
        <v>0</v>
      </c>
      <c r="P8249" t="n">
        <v>0</v>
      </c>
      <c r="Q8249" t="n">
        <v>0</v>
      </c>
      <c r="R8249" s="2" t="inlineStr"/>
    </row>
    <row r="8250" ht="15" customHeight="1">
      <c r="A8250" t="inlineStr">
        <is>
          <t>A 47214-2025</t>
        </is>
      </c>
      <c r="B8250" s="1" t="n">
        <v>45930.38498842593</v>
      </c>
      <c r="C8250" s="1" t="n">
        <v>45952</v>
      </c>
      <c r="D8250" t="inlineStr">
        <is>
          <t>VÄSTRA GÖTALANDS LÄN</t>
        </is>
      </c>
      <c r="E8250" t="inlineStr">
        <is>
          <t>BORÅS</t>
        </is>
      </c>
      <c r="G8250" t="n">
        <v>2.2</v>
      </c>
      <c r="H8250" t="n">
        <v>0</v>
      </c>
      <c r="I8250" t="n">
        <v>0</v>
      </c>
      <c r="J8250" t="n">
        <v>0</v>
      </c>
      <c r="K8250" t="n">
        <v>0</v>
      </c>
      <c r="L8250" t="n">
        <v>0</v>
      </c>
      <c r="M8250" t="n">
        <v>0</v>
      </c>
      <c r="N8250" t="n">
        <v>0</v>
      </c>
      <c r="O8250" t="n">
        <v>0</v>
      </c>
      <c r="P8250" t="n">
        <v>0</v>
      </c>
      <c r="Q8250" t="n">
        <v>0</v>
      </c>
      <c r="R8250" s="2" t="inlineStr"/>
    </row>
    <row r="8251" ht="15" customHeight="1">
      <c r="A8251" t="inlineStr">
        <is>
          <t>A 18665-2023</t>
        </is>
      </c>
      <c r="B8251" s="1" t="n">
        <v>45043.56636574074</v>
      </c>
      <c r="C8251" s="1" t="n">
        <v>45952</v>
      </c>
      <c r="D8251" t="inlineStr">
        <is>
          <t>VÄSTRA GÖTALANDS LÄN</t>
        </is>
      </c>
      <c r="E8251" t="inlineStr">
        <is>
          <t>BENGTSFORS</t>
        </is>
      </c>
      <c r="G8251" t="n">
        <v>21.7</v>
      </c>
      <c r="H8251" t="n">
        <v>0</v>
      </c>
      <c r="I8251" t="n">
        <v>0</v>
      </c>
      <c r="J8251" t="n">
        <v>0</v>
      </c>
      <c r="K8251" t="n">
        <v>0</v>
      </c>
      <c r="L8251" t="n">
        <v>0</v>
      </c>
      <c r="M8251" t="n">
        <v>0</v>
      </c>
      <c r="N8251" t="n">
        <v>0</v>
      </c>
      <c r="O8251" t="n">
        <v>0</v>
      </c>
      <c r="P8251" t="n">
        <v>0</v>
      </c>
      <c r="Q8251" t="n">
        <v>0</v>
      </c>
      <c r="R8251" s="2" t="inlineStr"/>
    </row>
    <row r="8252" ht="15" customHeight="1">
      <c r="A8252" t="inlineStr">
        <is>
          <t>A 22233-2025</t>
        </is>
      </c>
      <c r="B8252" s="1" t="n">
        <v>45785.66967592593</v>
      </c>
      <c r="C8252" s="1" t="n">
        <v>45952</v>
      </c>
      <c r="D8252" t="inlineStr">
        <is>
          <t>VÄSTRA GÖTALANDS LÄN</t>
        </is>
      </c>
      <c r="E8252" t="inlineStr">
        <is>
          <t>SVENLJUNGA</t>
        </is>
      </c>
      <c r="G8252" t="n">
        <v>1.3</v>
      </c>
      <c r="H8252" t="n">
        <v>0</v>
      </c>
      <c r="I8252" t="n">
        <v>0</v>
      </c>
      <c r="J8252" t="n">
        <v>0</v>
      </c>
      <c r="K8252" t="n">
        <v>0</v>
      </c>
      <c r="L8252" t="n">
        <v>0</v>
      </c>
      <c r="M8252" t="n">
        <v>0</v>
      </c>
      <c r="N8252" t="n">
        <v>0</v>
      </c>
      <c r="O8252" t="n">
        <v>0</v>
      </c>
      <c r="P8252" t="n">
        <v>0</v>
      </c>
      <c r="Q8252" t="n">
        <v>0</v>
      </c>
      <c r="R8252" s="2" t="inlineStr"/>
    </row>
    <row r="8253" ht="15" customHeight="1">
      <c r="A8253" t="inlineStr">
        <is>
          <t>A 58683-2024</t>
        </is>
      </c>
      <c r="B8253" s="1" t="n">
        <v>45635.61765046296</v>
      </c>
      <c r="C8253" s="1" t="n">
        <v>45952</v>
      </c>
      <c r="D8253" t="inlineStr">
        <is>
          <t>VÄSTRA GÖTALANDS LÄN</t>
        </is>
      </c>
      <c r="E8253" t="inlineStr">
        <is>
          <t>SKARA</t>
        </is>
      </c>
      <c r="G8253" t="n">
        <v>9.199999999999999</v>
      </c>
      <c r="H8253" t="n">
        <v>0</v>
      </c>
      <c r="I8253" t="n">
        <v>0</v>
      </c>
      <c r="J8253" t="n">
        <v>0</v>
      </c>
      <c r="K8253" t="n">
        <v>0</v>
      </c>
      <c r="L8253" t="n">
        <v>0</v>
      </c>
      <c r="M8253" t="n">
        <v>0</v>
      </c>
      <c r="N8253" t="n">
        <v>0</v>
      </c>
      <c r="O8253" t="n">
        <v>0</v>
      </c>
      <c r="P8253" t="n">
        <v>0</v>
      </c>
      <c r="Q8253" t="n">
        <v>0</v>
      </c>
      <c r="R8253" s="2" t="inlineStr"/>
    </row>
    <row r="8254" ht="15" customHeight="1">
      <c r="A8254" t="inlineStr">
        <is>
          <t>A 11730-2025</t>
        </is>
      </c>
      <c r="B8254" s="1" t="n">
        <v>45727</v>
      </c>
      <c r="C8254" s="1" t="n">
        <v>45952</v>
      </c>
      <c r="D8254" t="inlineStr">
        <is>
          <t>VÄSTRA GÖTALANDS LÄN</t>
        </is>
      </c>
      <c r="E8254" t="inlineStr">
        <is>
          <t>TÖREBODA</t>
        </is>
      </c>
      <c r="G8254" t="n">
        <v>11.2</v>
      </c>
      <c r="H8254" t="n">
        <v>0</v>
      </c>
      <c r="I8254" t="n">
        <v>0</v>
      </c>
      <c r="J8254" t="n">
        <v>0</v>
      </c>
      <c r="K8254" t="n">
        <v>0</v>
      </c>
      <c r="L8254" t="n">
        <v>0</v>
      </c>
      <c r="M8254" t="n">
        <v>0</v>
      </c>
      <c r="N8254" t="n">
        <v>0</v>
      </c>
      <c r="O8254" t="n">
        <v>0</v>
      </c>
      <c r="P8254" t="n">
        <v>0</v>
      </c>
      <c r="Q8254" t="n">
        <v>0</v>
      </c>
      <c r="R8254" s="2" t="inlineStr"/>
    </row>
    <row r="8255" ht="15" customHeight="1">
      <c r="A8255" t="inlineStr">
        <is>
          <t>A 12548-2023</t>
        </is>
      </c>
      <c r="B8255" s="1" t="n">
        <v>45000.33078703703</v>
      </c>
      <c r="C8255" s="1" t="n">
        <v>45952</v>
      </c>
      <c r="D8255" t="inlineStr">
        <is>
          <t>VÄSTRA GÖTALANDS LÄN</t>
        </is>
      </c>
      <c r="E8255" t="inlineStr">
        <is>
          <t>DALS-ED</t>
        </is>
      </c>
      <c r="G8255" t="n">
        <v>2.7</v>
      </c>
      <c r="H8255" t="n">
        <v>0</v>
      </c>
      <c r="I8255" t="n">
        <v>0</v>
      </c>
      <c r="J8255" t="n">
        <v>0</v>
      </c>
      <c r="K8255" t="n">
        <v>0</v>
      </c>
      <c r="L8255" t="n">
        <v>0</v>
      </c>
      <c r="M8255" t="n">
        <v>0</v>
      </c>
      <c r="N8255" t="n">
        <v>0</v>
      </c>
      <c r="O8255" t="n">
        <v>0</v>
      </c>
      <c r="P8255" t="n">
        <v>0</v>
      </c>
      <c r="Q8255" t="n">
        <v>0</v>
      </c>
      <c r="R8255" s="2" t="inlineStr"/>
    </row>
    <row r="8256" ht="15" customHeight="1">
      <c r="A8256" t="inlineStr">
        <is>
          <t>A 23609-2023</t>
        </is>
      </c>
      <c r="B8256" s="1" t="n">
        <v>45072</v>
      </c>
      <c r="C8256" s="1" t="n">
        <v>45952</v>
      </c>
      <c r="D8256" t="inlineStr">
        <is>
          <t>VÄSTRA GÖTALANDS LÄN</t>
        </is>
      </c>
      <c r="E8256" t="inlineStr">
        <is>
          <t>TANUM</t>
        </is>
      </c>
      <c r="G8256" t="n">
        <v>1.9</v>
      </c>
      <c r="H8256" t="n">
        <v>0</v>
      </c>
      <c r="I8256" t="n">
        <v>0</v>
      </c>
      <c r="J8256" t="n">
        <v>0</v>
      </c>
      <c r="K8256" t="n">
        <v>0</v>
      </c>
      <c r="L8256" t="n">
        <v>0</v>
      </c>
      <c r="M8256" t="n">
        <v>0</v>
      </c>
      <c r="N8256" t="n">
        <v>0</v>
      </c>
      <c r="O8256" t="n">
        <v>0</v>
      </c>
      <c r="P8256" t="n">
        <v>0</v>
      </c>
      <c r="Q8256" t="n">
        <v>0</v>
      </c>
      <c r="R8256" s="2" t="inlineStr"/>
    </row>
    <row r="8257" ht="15" customHeight="1">
      <c r="A8257" t="inlineStr">
        <is>
          <t>A 16828-2023</t>
        </is>
      </c>
      <c r="B8257" s="1" t="n">
        <v>45033</v>
      </c>
      <c r="C8257" s="1" t="n">
        <v>45952</v>
      </c>
      <c r="D8257" t="inlineStr">
        <is>
          <t>VÄSTRA GÖTALANDS LÄN</t>
        </is>
      </c>
      <c r="E8257" t="inlineStr">
        <is>
          <t>FÄRGELANDA</t>
        </is>
      </c>
      <c r="G8257" t="n">
        <v>1.6</v>
      </c>
      <c r="H8257" t="n">
        <v>0</v>
      </c>
      <c r="I8257" t="n">
        <v>0</v>
      </c>
      <c r="J8257" t="n">
        <v>0</v>
      </c>
      <c r="K8257" t="n">
        <v>0</v>
      </c>
      <c r="L8257" t="n">
        <v>0</v>
      </c>
      <c r="M8257" t="n">
        <v>0</v>
      </c>
      <c r="N8257" t="n">
        <v>0</v>
      </c>
      <c r="O8257" t="n">
        <v>0</v>
      </c>
      <c r="P8257" t="n">
        <v>0</v>
      </c>
      <c r="Q8257" t="n">
        <v>0</v>
      </c>
      <c r="R8257" s="2" t="inlineStr"/>
    </row>
    <row r="8258" ht="15" customHeight="1">
      <c r="A8258" t="inlineStr">
        <is>
          <t>A 61817-2024</t>
        </is>
      </c>
      <c r="B8258" s="1" t="n">
        <v>45649.60460648148</v>
      </c>
      <c r="C8258" s="1" t="n">
        <v>45952</v>
      </c>
      <c r="D8258" t="inlineStr">
        <is>
          <t>VÄSTRA GÖTALANDS LÄN</t>
        </is>
      </c>
      <c r="E8258" t="inlineStr">
        <is>
          <t>LIDKÖPING</t>
        </is>
      </c>
      <c r="G8258" t="n">
        <v>4.6</v>
      </c>
      <c r="H8258" t="n">
        <v>0</v>
      </c>
      <c r="I8258" t="n">
        <v>0</v>
      </c>
      <c r="J8258" t="n">
        <v>0</v>
      </c>
      <c r="K8258" t="n">
        <v>0</v>
      </c>
      <c r="L8258" t="n">
        <v>0</v>
      </c>
      <c r="M8258" t="n">
        <v>0</v>
      </c>
      <c r="N8258" t="n">
        <v>0</v>
      </c>
      <c r="O8258" t="n">
        <v>0</v>
      </c>
      <c r="P8258" t="n">
        <v>0</v>
      </c>
      <c r="Q8258" t="n">
        <v>0</v>
      </c>
      <c r="R8258" s="2" t="inlineStr"/>
    </row>
    <row r="8259" ht="15" customHeight="1">
      <c r="A8259" t="inlineStr">
        <is>
          <t>A 16993-2024</t>
        </is>
      </c>
      <c r="B8259" s="1" t="n">
        <v>45412.33524305555</v>
      </c>
      <c r="C8259" s="1" t="n">
        <v>45952</v>
      </c>
      <c r="D8259" t="inlineStr">
        <is>
          <t>VÄSTRA GÖTALANDS LÄN</t>
        </is>
      </c>
      <c r="E8259" t="inlineStr">
        <is>
          <t>ULRICEHAMN</t>
        </is>
      </c>
      <c r="G8259" t="n">
        <v>0.9</v>
      </c>
      <c r="H8259" t="n">
        <v>0</v>
      </c>
      <c r="I8259" t="n">
        <v>0</v>
      </c>
      <c r="J8259" t="n">
        <v>0</v>
      </c>
      <c r="K8259" t="n">
        <v>0</v>
      </c>
      <c r="L8259" t="n">
        <v>0</v>
      </c>
      <c r="M8259" t="n">
        <v>0</v>
      </c>
      <c r="N8259" t="n">
        <v>0</v>
      </c>
      <c r="O8259" t="n">
        <v>0</v>
      </c>
      <c r="P8259" t="n">
        <v>0</v>
      </c>
      <c r="Q8259" t="n">
        <v>0</v>
      </c>
      <c r="R8259" s="2" t="inlineStr"/>
    </row>
    <row r="8260" ht="15" customHeight="1">
      <c r="A8260" t="inlineStr">
        <is>
          <t>A 23907-2024</t>
        </is>
      </c>
      <c r="B8260" s="1" t="n">
        <v>45455.80972222222</v>
      </c>
      <c r="C8260" s="1" t="n">
        <v>45952</v>
      </c>
      <c r="D8260" t="inlineStr">
        <is>
          <t>VÄSTRA GÖTALANDS LÄN</t>
        </is>
      </c>
      <c r="E8260" t="inlineStr">
        <is>
          <t>BOLLEBYGD</t>
        </is>
      </c>
      <c r="G8260" t="n">
        <v>2.6</v>
      </c>
      <c r="H8260" t="n">
        <v>0</v>
      </c>
      <c r="I8260" t="n">
        <v>0</v>
      </c>
      <c r="J8260" t="n">
        <v>0</v>
      </c>
      <c r="K8260" t="n">
        <v>0</v>
      </c>
      <c r="L8260" t="n">
        <v>0</v>
      </c>
      <c r="M8260" t="n">
        <v>0</v>
      </c>
      <c r="N8260" t="n">
        <v>0</v>
      </c>
      <c r="O8260" t="n">
        <v>0</v>
      </c>
      <c r="P8260" t="n">
        <v>0</v>
      </c>
      <c r="Q8260" t="n">
        <v>0</v>
      </c>
      <c r="R8260" s="2" t="inlineStr"/>
    </row>
    <row r="8261" ht="15" customHeight="1">
      <c r="A8261" t="inlineStr">
        <is>
          <t>A 21878-2025</t>
        </is>
      </c>
      <c r="B8261" s="1" t="n">
        <v>45784.40392361111</v>
      </c>
      <c r="C8261" s="1" t="n">
        <v>45952</v>
      </c>
      <c r="D8261" t="inlineStr">
        <is>
          <t>VÄSTRA GÖTALANDS LÄN</t>
        </is>
      </c>
      <c r="E8261" t="inlineStr">
        <is>
          <t>BOLLEBYGD</t>
        </is>
      </c>
      <c r="G8261" t="n">
        <v>0.5</v>
      </c>
      <c r="H8261" t="n">
        <v>0</v>
      </c>
      <c r="I8261" t="n">
        <v>0</v>
      </c>
      <c r="J8261" t="n">
        <v>0</v>
      </c>
      <c r="K8261" t="n">
        <v>0</v>
      </c>
      <c r="L8261" t="n">
        <v>0</v>
      </c>
      <c r="M8261" t="n">
        <v>0</v>
      </c>
      <c r="N8261" t="n">
        <v>0</v>
      </c>
      <c r="O8261" t="n">
        <v>0</v>
      </c>
      <c r="P8261" t="n">
        <v>0</v>
      </c>
      <c r="Q8261" t="n">
        <v>0</v>
      </c>
      <c r="R8261" s="2" t="inlineStr"/>
    </row>
    <row r="8262" ht="15" customHeight="1">
      <c r="A8262" t="inlineStr">
        <is>
          <t>A 21903-2025</t>
        </is>
      </c>
      <c r="B8262" s="1" t="n">
        <v>45784</v>
      </c>
      <c r="C8262" s="1" t="n">
        <v>45952</v>
      </c>
      <c r="D8262" t="inlineStr">
        <is>
          <t>VÄSTRA GÖTALANDS LÄN</t>
        </is>
      </c>
      <c r="E8262" t="inlineStr">
        <is>
          <t>BORÅS</t>
        </is>
      </c>
      <c r="G8262" t="n">
        <v>1</v>
      </c>
      <c r="H8262" t="n">
        <v>0</v>
      </c>
      <c r="I8262" t="n">
        <v>0</v>
      </c>
      <c r="J8262" t="n">
        <v>0</v>
      </c>
      <c r="K8262" t="n">
        <v>0</v>
      </c>
      <c r="L8262" t="n">
        <v>0</v>
      </c>
      <c r="M8262" t="n">
        <v>0</v>
      </c>
      <c r="N8262" t="n">
        <v>0</v>
      </c>
      <c r="O8262" t="n">
        <v>0</v>
      </c>
      <c r="P8262" t="n">
        <v>0</v>
      </c>
      <c r="Q8262" t="n">
        <v>0</v>
      </c>
      <c r="R8262" s="2" t="inlineStr"/>
    </row>
    <row r="8263" ht="15" customHeight="1">
      <c r="A8263" t="inlineStr">
        <is>
          <t>A 21943-2025</t>
        </is>
      </c>
      <c r="B8263" s="1" t="n">
        <v>45784.58930555556</v>
      </c>
      <c r="C8263" s="1" t="n">
        <v>45952</v>
      </c>
      <c r="D8263" t="inlineStr">
        <is>
          <t>VÄSTRA GÖTALANDS LÄN</t>
        </is>
      </c>
      <c r="E8263" t="inlineStr">
        <is>
          <t>SVENLJUNGA</t>
        </is>
      </c>
      <c r="G8263" t="n">
        <v>1.2</v>
      </c>
      <c r="H8263" t="n">
        <v>0</v>
      </c>
      <c r="I8263" t="n">
        <v>0</v>
      </c>
      <c r="J8263" t="n">
        <v>0</v>
      </c>
      <c r="K8263" t="n">
        <v>0</v>
      </c>
      <c r="L8263" t="n">
        <v>0</v>
      </c>
      <c r="M8263" t="n">
        <v>0</v>
      </c>
      <c r="N8263" t="n">
        <v>0</v>
      </c>
      <c r="O8263" t="n">
        <v>0</v>
      </c>
      <c r="P8263" t="n">
        <v>0</v>
      </c>
      <c r="Q8263" t="n">
        <v>0</v>
      </c>
      <c r="R8263" s="2" t="inlineStr"/>
    </row>
    <row r="8264" ht="15" customHeight="1">
      <c r="A8264" t="inlineStr">
        <is>
          <t>A 45459-2023</t>
        </is>
      </c>
      <c r="B8264" s="1" t="n">
        <v>45194</v>
      </c>
      <c r="C8264" s="1" t="n">
        <v>45952</v>
      </c>
      <c r="D8264" t="inlineStr">
        <is>
          <t>VÄSTRA GÖTALANDS LÄN</t>
        </is>
      </c>
      <c r="E8264" t="inlineStr">
        <is>
          <t>BORÅS</t>
        </is>
      </c>
      <c r="G8264" t="n">
        <v>5.2</v>
      </c>
      <c r="H8264" t="n">
        <v>0</v>
      </c>
      <c r="I8264" t="n">
        <v>0</v>
      </c>
      <c r="J8264" t="n">
        <v>0</v>
      </c>
      <c r="K8264" t="n">
        <v>0</v>
      </c>
      <c r="L8264" t="n">
        <v>0</v>
      </c>
      <c r="M8264" t="n">
        <v>0</v>
      </c>
      <c r="N8264" t="n">
        <v>0</v>
      </c>
      <c r="O8264" t="n">
        <v>0</v>
      </c>
      <c r="P8264" t="n">
        <v>0</v>
      </c>
      <c r="Q8264" t="n">
        <v>0</v>
      </c>
      <c r="R8264" s="2" t="inlineStr"/>
    </row>
    <row r="8265" ht="15" customHeight="1">
      <c r="A8265" t="inlineStr">
        <is>
          <t>A 22086-2024</t>
        </is>
      </c>
      <c r="B8265" s="1" t="n">
        <v>45443.69244212963</v>
      </c>
      <c r="C8265" s="1" t="n">
        <v>45952</v>
      </c>
      <c r="D8265" t="inlineStr">
        <is>
          <t>VÄSTRA GÖTALANDS LÄN</t>
        </is>
      </c>
      <c r="E8265" t="inlineStr">
        <is>
          <t>TIDAHOLM</t>
        </is>
      </c>
      <c r="G8265" t="n">
        <v>0.4</v>
      </c>
      <c r="H8265" t="n">
        <v>0</v>
      </c>
      <c r="I8265" t="n">
        <v>0</v>
      </c>
      <c r="J8265" t="n">
        <v>0</v>
      </c>
      <c r="K8265" t="n">
        <v>0</v>
      </c>
      <c r="L8265" t="n">
        <v>0</v>
      </c>
      <c r="M8265" t="n">
        <v>0</v>
      </c>
      <c r="N8265" t="n">
        <v>0</v>
      </c>
      <c r="O8265" t="n">
        <v>0</v>
      </c>
      <c r="P8265" t="n">
        <v>0</v>
      </c>
      <c r="Q8265" t="n">
        <v>0</v>
      </c>
      <c r="R8265" s="2" t="inlineStr"/>
    </row>
    <row r="8266" ht="15" customHeight="1">
      <c r="A8266" t="inlineStr">
        <is>
          <t>A 3355-2023</t>
        </is>
      </c>
      <c r="B8266" s="1" t="n">
        <v>44949.47299768519</v>
      </c>
      <c r="C8266" s="1" t="n">
        <v>45952</v>
      </c>
      <c r="D8266" t="inlineStr">
        <is>
          <t>VÄSTRA GÖTALANDS LÄN</t>
        </is>
      </c>
      <c r="E8266" t="inlineStr">
        <is>
          <t>ALINGSÅS</t>
        </is>
      </c>
      <c r="G8266" t="n">
        <v>6.8</v>
      </c>
      <c r="H8266" t="n">
        <v>0</v>
      </c>
      <c r="I8266" t="n">
        <v>0</v>
      </c>
      <c r="J8266" t="n">
        <v>0</v>
      </c>
      <c r="K8266" t="n">
        <v>0</v>
      </c>
      <c r="L8266" t="n">
        <v>0</v>
      </c>
      <c r="M8266" t="n">
        <v>0</v>
      </c>
      <c r="N8266" t="n">
        <v>0</v>
      </c>
      <c r="O8266" t="n">
        <v>0</v>
      </c>
      <c r="P8266" t="n">
        <v>0</v>
      </c>
      <c r="Q8266" t="n">
        <v>0</v>
      </c>
      <c r="R8266" s="2" t="inlineStr"/>
    </row>
    <row r="8267" ht="15" customHeight="1">
      <c r="A8267" t="inlineStr">
        <is>
          <t>A 3398-2023</t>
        </is>
      </c>
      <c r="B8267" s="1" t="n">
        <v>44949</v>
      </c>
      <c r="C8267" s="1" t="n">
        <v>45952</v>
      </c>
      <c r="D8267" t="inlineStr">
        <is>
          <t>VÄSTRA GÖTALANDS LÄN</t>
        </is>
      </c>
      <c r="E8267" t="inlineStr">
        <is>
          <t>DALS-ED</t>
        </is>
      </c>
      <c r="G8267" t="n">
        <v>2.7</v>
      </c>
      <c r="H8267" t="n">
        <v>0</v>
      </c>
      <c r="I8267" t="n">
        <v>0</v>
      </c>
      <c r="J8267" t="n">
        <v>0</v>
      </c>
      <c r="K8267" t="n">
        <v>0</v>
      </c>
      <c r="L8267" t="n">
        <v>0</v>
      </c>
      <c r="M8267" t="n">
        <v>0</v>
      </c>
      <c r="N8267" t="n">
        <v>0</v>
      </c>
      <c r="O8267" t="n">
        <v>0</v>
      </c>
      <c r="P8267" t="n">
        <v>0</v>
      </c>
      <c r="Q8267" t="n">
        <v>0</v>
      </c>
      <c r="R8267" s="2" t="inlineStr"/>
    </row>
    <row r="8268" ht="15" customHeight="1">
      <c r="A8268" t="inlineStr">
        <is>
          <t>A 61167-2024</t>
        </is>
      </c>
      <c r="B8268" s="1" t="n">
        <v>45645</v>
      </c>
      <c r="C8268" s="1" t="n">
        <v>45952</v>
      </c>
      <c r="D8268" t="inlineStr">
        <is>
          <t>VÄSTRA GÖTALANDS LÄN</t>
        </is>
      </c>
      <c r="E8268" t="inlineStr">
        <is>
          <t>MÖLNDAL</t>
        </is>
      </c>
      <c r="G8268" t="n">
        <v>3</v>
      </c>
      <c r="H8268" t="n">
        <v>0</v>
      </c>
      <c r="I8268" t="n">
        <v>0</v>
      </c>
      <c r="J8268" t="n">
        <v>0</v>
      </c>
      <c r="K8268" t="n">
        <v>0</v>
      </c>
      <c r="L8268" t="n">
        <v>0</v>
      </c>
      <c r="M8268" t="n">
        <v>0</v>
      </c>
      <c r="N8268" t="n">
        <v>0</v>
      </c>
      <c r="O8268" t="n">
        <v>0</v>
      </c>
      <c r="P8268" t="n">
        <v>0</v>
      </c>
      <c r="Q8268" t="n">
        <v>0</v>
      </c>
      <c r="R8268" s="2" t="inlineStr"/>
    </row>
    <row r="8269" ht="15" customHeight="1">
      <c r="A8269" t="inlineStr">
        <is>
          <t>A 39347-2025</t>
        </is>
      </c>
      <c r="B8269" s="1" t="n">
        <v>45889.5378587963</v>
      </c>
      <c r="C8269" s="1" t="n">
        <v>45952</v>
      </c>
      <c r="D8269" t="inlineStr">
        <is>
          <t>VÄSTRA GÖTALANDS LÄN</t>
        </is>
      </c>
      <c r="E8269" t="inlineStr">
        <is>
          <t>TANUM</t>
        </is>
      </c>
      <c r="G8269" t="n">
        <v>5.3</v>
      </c>
      <c r="H8269" t="n">
        <v>0</v>
      </c>
      <c r="I8269" t="n">
        <v>0</v>
      </c>
      <c r="J8269" t="n">
        <v>0</v>
      </c>
      <c r="K8269" t="n">
        <v>0</v>
      </c>
      <c r="L8269" t="n">
        <v>0</v>
      </c>
      <c r="M8269" t="n">
        <v>0</v>
      </c>
      <c r="N8269" t="n">
        <v>0</v>
      </c>
      <c r="O8269" t="n">
        <v>0</v>
      </c>
      <c r="P8269" t="n">
        <v>0</v>
      </c>
      <c r="Q8269" t="n">
        <v>0</v>
      </c>
      <c r="R8269" s="2" t="inlineStr"/>
    </row>
    <row r="8270" ht="15" customHeight="1">
      <c r="A8270" t="inlineStr">
        <is>
          <t>A 39371-2025</t>
        </is>
      </c>
      <c r="B8270" s="1" t="n">
        <v>45889.58263888889</v>
      </c>
      <c r="C8270" s="1" t="n">
        <v>45952</v>
      </c>
      <c r="D8270" t="inlineStr">
        <is>
          <t>VÄSTRA GÖTALANDS LÄN</t>
        </is>
      </c>
      <c r="E8270" t="inlineStr">
        <is>
          <t>VARA</t>
        </is>
      </c>
      <c r="F8270" t="inlineStr">
        <is>
          <t>Sveaskog</t>
        </is>
      </c>
      <c r="G8270" t="n">
        <v>1.8</v>
      </c>
      <c r="H8270" t="n">
        <v>0</v>
      </c>
      <c r="I8270" t="n">
        <v>0</v>
      </c>
      <c r="J8270" t="n">
        <v>0</v>
      </c>
      <c r="K8270" t="n">
        <v>0</v>
      </c>
      <c r="L8270" t="n">
        <v>0</v>
      </c>
      <c r="M8270" t="n">
        <v>0</v>
      </c>
      <c r="N8270" t="n">
        <v>0</v>
      </c>
      <c r="O8270" t="n">
        <v>0</v>
      </c>
      <c r="P8270" t="n">
        <v>0</v>
      </c>
      <c r="Q8270" t="n">
        <v>0</v>
      </c>
      <c r="R8270" s="2" t="inlineStr"/>
    </row>
    <row r="8271" ht="15" customHeight="1">
      <c r="A8271" t="inlineStr">
        <is>
          <t>A 39404-2025</t>
        </is>
      </c>
      <c r="B8271" s="1" t="n">
        <v>45889.63811342593</v>
      </c>
      <c r="C8271" s="1" t="n">
        <v>45952</v>
      </c>
      <c r="D8271" t="inlineStr">
        <is>
          <t>VÄSTRA GÖTALANDS LÄN</t>
        </is>
      </c>
      <c r="E8271" t="inlineStr">
        <is>
          <t>ULRICEHAMN</t>
        </is>
      </c>
      <c r="G8271" t="n">
        <v>2.1</v>
      </c>
      <c r="H8271" t="n">
        <v>0</v>
      </c>
      <c r="I8271" t="n">
        <v>0</v>
      </c>
      <c r="J8271" t="n">
        <v>0</v>
      </c>
      <c r="K8271" t="n">
        <v>0</v>
      </c>
      <c r="L8271" t="n">
        <v>0</v>
      </c>
      <c r="M8271" t="n">
        <v>0</v>
      </c>
      <c r="N8271" t="n">
        <v>0</v>
      </c>
      <c r="O8271" t="n">
        <v>0</v>
      </c>
      <c r="P8271" t="n">
        <v>0</v>
      </c>
      <c r="Q8271" t="n">
        <v>0</v>
      </c>
      <c r="R8271" s="2" t="inlineStr"/>
    </row>
    <row r="8272" ht="15" customHeight="1">
      <c r="A8272" t="inlineStr">
        <is>
          <t>A 22017-2025</t>
        </is>
      </c>
      <c r="B8272" s="1" t="n">
        <v>45784.78842592592</v>
      </c>
      <c r="C8272" s="1" t="n">
        <v>45952</v>
      </c>
      <c r="D8272" t="inlineStr">
        <is>
          <t>VÄSTRA GÖTALANDS LÄN</t>
        </is>
      </c>
      <c r="E8272" t="inlineStr">
        <is>
          <t>FÄRGELANDA</t>
        </is>
      </c>
      <c r="G8272" t="n">
        <v>5.8</v>
      </c>
      <c r="H8272" t="n">
        <v>0</v>
      </c>
      <c r="I8272" t="n">
        <v>0</v>
      </c>
      <c r="J8272" t="n">
        <v>0</v>
      </c>
      <c r="K8272" t="n">
        <v>0</v>
      </c>
      <c r="L8272" t="n">
        <v>0</v>
      </c>
      <c r="M8272" t="n">
        <v>0</v>
      </c>
      <c r="N8272" t="n">
        <v>0</v>
      </c>
      <c r="O8272" t="n">
        <v>0</v>
      </c>
      <c r="P8272" t="n">
        <v>0</v>
      </c>
      <c r="Q8272" t="n">
        <v>0</v>
      </c>
      <c r="R8272" s="2" t="inlineStr"/>
    </row>
    <row r="8273" ht="15" customHeight="1">
      <c r="A8273" t="inlineStr">
        <is>
          <t>A 19882-2025</t>
        </is>
      </c>
      <c r="B8273" s="1" t="n">
        <v>45771</v>
      </c>
      <c r="C8273" s="1" t="n">
        <v>45952</v>
      </c>
      <c r="D8273" t="inlineStr">
        <is>
          <t>VÄSTRA GÖTALANDS LÄN</t>
        </is>
      </c>
      <c r="E8273" t="inlineStr">
        <is>
          <t>HERRLJUNGA</t>
        </is>
      </c>
      <c r="G8273" t="n">
        <v>4.8</v>
      </c>
      <c r="H8273" t="n">
        <v>0</v>
      </c>
      <c r="I8273" t="n">
        <v>0</v>
      </c>
      <c r="J8273" t="n">
        <v>0</v>
      </c>
      <c r="K8273" t="n">
        <v>0</v>
      </c>
      <c r="L8273" t="n">
        <v>0</v>
      </c>
      <c r="M8273" t="n">
        <v>0</v>
      </c>
      <c r="N8273" t="n">
        <v>0</v>
      </c>
      <c r="O8273" t="n">
        <v>0</v>
      </c>
      <c r="P8273" t="n">
        <v>0</v>
      </c>
      <c r="Q8273" t="n">
        <v>0</v>
      </c>
      <c r="R8273" s="2" t="inlineStr"/>
    </row>
    <row r="8274" ht="15" customHeight="1">
      <c r="A8274" t="inlineStr">
        <is>
          <t>A 20600-2025</t>
        </is>
      </c>
      <c r="B8274" s="1" t="n">
        <v>45775.79165509259</v>
      </c>
      <c r="C8274" s="1" t="n">
        <v>45952</v>
      </c>
      <c r="D8274" t="inlineStr">
        <is>
          <t>VÄSTRA GÖTALANDS LÄN</t>
        </is>
      </c>
      <c r="E8274" t="inlineStr">
        <is>
          <t>SKÖVDE</t>
        </is>
      </c>
      <c r="G8274" t="n">
        <v>1.4</v>
      </c>
      <c r="H8274" t="n">
        <v>0</v>
      </c>
      <c r="I8274" t="n">
        <v>0</v>
      </c>
      <c r="J8274" t="n">
        <v>0</v>
      </c>
      <c r="K8274" t="n">
        <v>0</v>
      </c>
      <c r="L8274" t="n">
        <v>0</v>
      </c>
      <c r="M8274" t="n">
        <v>0</v>
      </c>
      <c r="N8274" t="n">
        <v>0</v>
      </c>
      <c r="O8274" t="n">
        <v>0</v>
      </c>
      <c r="P8274" t="n">
        <v>0</v>
      </c>
      <c r="Q8274" t="n">
        <v>0</v>
      </c>
      <c r="R8274" s="2" t="inlineStr"/>
    </row>
    <row r="8275" ht="15" customHeight="1">
      <c r="A8275" t="inlineStr">
        <is>
          <t>A 58335-2023</t>
        </is>
      </c>
      <c r="B8275" s="1" t="n">
        <v>45245</v>
      </c>
      <c r="C8275" s="1" t="n">
        <v>45952</v>
      </c>
      <c r="D8275" t="inlineStr">
        <is>
          <t>VÄSTRA GÖTALANDS LÄN</t>
        </is>
      </c>
      <c r="E8275" t="inlineStr">
        <is>
          <t>MARIESTAD</t>
        </is>
      </c>
      <c r="G8275" t="n">
        <v>3.6</v>
      </c>
      <c r="H8275" t="n">
        <v>0</v>
      </c>
      <c r="I8275" t="n">
        <v>0</v>
      </c>
      <c r="J8275" t="n">
        <v>0</v>
      </c>
      <c r="K8275" t="n">
        <v>0</v>
      </c>
      <c r="L8275" t="n">
        <v>0</v>
      </c>
      <c r="M8275" t="n">
        <v>0</v>
      </c>
      <c r="N8275" t="n">
        <v>0</v>
      </c>
      <c r="O8275" t="n">
        <v>0</v>
      </c>
      <c r="P8275" t="n">
        <v>0</v>
      </c>
      <c r="Q8275" t="n">
        <v>0</v>
      </c>
      <c r="R8275" s="2" t="inlineStr"/>
    </row>
    <row r="8276" ht="15" customHeight="1">
      <c r="A8276" t="inlineStr">
        <is>
          <t>A 19810-2025</t>
        </is>
      </c>
      <c r="B8276" s="1" t="n">
        <v>45771</v>
      </c>
      <c r="C8276" s="1" t="n">
        <v>45952</v>
      </c>
      <c r="D8276" t="inlineStr">
        <is>
          <t>VÄSTRA GÖTALANDS LÄN</t>
        </is>
      </c>
      <c r="E8276" t="inlineStr">
        <is>
          <t>HJO</t>
        </is>
      </c>
      <c r="G8276" t="n">
        <v>0.4</v>
      </c>
      <c r="H8276" t="n">
        <v>0</v>
      </c>
      <c r="I8276" t="n">
        <v>0</v>
      </c>
      <c r="J8276" t="n">
        <v>0</v>
      </c>
      <c r="K8276" t="n">
        <v>0</v>
      </c>
      <c r="L8276" t="n">
        <v>0</v>
      </c>
      <c r="M8276" t="n">
        <v>0</v>
      </c>
      <c r="N8276" t="n">
        <v>0</v>
      </c>
      <c r="O8276" t="n">
        <v>0</v>
      </c>
      <c r="P8276" t="n">
        <v>0</v>
      </c>
      <c r="Q8276" t="n">
        <v>0</v>
      </c>
      <c r="R8276" s="2" t="inlineStr"/>
    </row>
    <row r="8277" ht="15" customHeight="1">
      <c r="A8277" t="inlineStr">
        <is>
          <t>A 59906-2024</t>
        </is>
      </c>
      <c r="B8277" s="1" t="n">
        <v>45641.60702546296</v>
      </c>
      <c r="C8277" s="1" t="n">
        <v>45952</v>
      </c>
      <c r="D8277" t="inlineStr">
        <is>
          <t>VÄSTRA GÖTALANDS LÄN</t>
        </is>
      </c>
      <c r="E8277" t="inlineStr">
        <is>
          <t>TRANEMO</t>
        </is>
      </c>
      <c r="G8277" t="n">
        <v>1.8</v>
      </c>
      <c r="H8277" t="n">
        <v>0</v>
      </c>
      <c r="I8277" t="n">
        <v>0</v>
      </c>
      <c r="J8277" t="n">
        <v>0</v>
      </c>
      <c r="K8277" t="n">
        <v>0</v>
      </c>
      <c r="L8277" t="n">
        <v>0</v>
      </c>
      <c r="M8277" t="n">
        <v>0</v>
      </c>
      <c r="N8277" t="n">
        <v>0</v>
      </c>
      <c r="O8277" t="n">
        <v>0</v>
      </c>
      <c r="P8277" t="n">
        <v>0</v>
      </c>
      <c r="Q8277" t="n">
        <v>0</v>
      </c>
      <c r="R8277" s="2" t="inlineStr"/>
    </row>
    <row r="8278" ht="15" customHeight="1">
      <c r="A8278" t="inlineStr">
        <is>
          <t>A 22237-2025</t>
        </is>
      </c>
      <c r="B8278" s="1" t="n">
        <v>45785.67664351852</v>
      </c>
      <c r="C8278" s="1" t="n">
        <v>45952</v>
      </c>
      <c r="D8278" t="inlineStr">
        <is>
          <t>VÄSTRA GÖTALANDS LÄN</t>
        </is>
      </c>
      <c r="E8278" t="inlineStr">
        <is>
          <t>BORÅS</t>
        </is>
      </c>
      <c r="G8278" t="n">
        <v>2.8</v>
      </c>
      <c r="H8278" t="n">
        <v>0</v>
      </c>
      <c r="I8278" t="n">
        <v>0</v>
      </c>
      <c r="J8278" t="n">
        <v>0</v>
      </c>
      <c r="K8278" t="n">
        <v>0</v>
      </c>
      <c r="L8278" t="n">
        <v>0</v>
      </c>
      <c r="M8278" t="n">
        <v>0</v>
      </c>
      <c r="N8278" t="n">
        <v>0</v>
      </c>
      <c r="O8278" t="n">
        <v>0</v>
      </c>
      <c r="P8278" t="n">
        <v>0</v>
      </c>
      <c r="Q8278" t="n">
        <v>0</v>
      </c>
      <c r="R8278" s="2" t="inlineStr"/>
    </row>
    <row r="8279" ht="15" customHeight="1">
      <c r="A8279" t="inlineStr">
        <is>
          <t>A 33924-2021</t>
        </is>
      </c>
      <c r="B8279" s="1" t="n">
        <v>44378.73106481481</v>
      </c>
      <c r="C8279" s="1" t="n">
        <v>45952</v>
      </c>
      <c r="D8279" t="inlineStr">
        <is>
          <t>VÄSTRA GÖTALANDS LÄN</t>
        </is>
      </c>
      <c r="E8279" t="inlineStr">
        <is>
          <t>FALKÖPING</t>
        </is>
      </c>
      <c r="G8279" t="n">
        <v>0.7</v>
      </c>
      <c r="H8279" t="n">
        <v>0</v>
      </c>
      <c r="I8279" t="n">
        <v>0</v>
      </c>
      <c r="J8279" t="n">
        <v>0</v>
      </c>
      <c r="K8279" t="n">
        <v>0</v>
      </c>
      <c r="L8279" t="n">
        <v>0</v>
      </c>
      <c r="M8279" t="n">
        <v>0</v>
      </c>
      <c r="N8279" t="n">
        <v>0</v>
      </c>
      <c r="O8279" t="n">
        <v>0</v>
      </c>
      <c r="P8279" t="n">
        <v>0</v>
      </c>
      <c r="Q8279" t="n">
        <v>0</v>
      </c>
      <c r="R8279" s="2" t="inlineStr"/>
    </row>
    <row r="8280" ht="15" customHeight="1">
      <c r="A8280" t="inlineStr">
        <is>
          <t>A 8877-2025</t>
        </is>
      </c>
      <c r="B8280" s="1" t="n">
        <v>45713.37665509259</v>
      </c>
      <c r="C8280" s="1" t="n">
        <v>45952</v>
      </c>
      <c r="D8280" t="inlineStr">
        <is>
          <t>VÄSTRA GÖTALANDS LÄN</t>
        </is>
      </c>
      <c r="E8280" t="inlineStr">
        <is>
          <t>TIBRO</t>
        </is>
      </c>
      <c r="G8280" t="n">
        <v>7.3</v>
      </c>
      <c r="H8280" t="n">
        <v>0</v>
      </c>
      <c r="I8280" t="n">
        <v>0</v>
      </c>
      <c r="J8280" t="n">
        <v>0</v>
      </c>
      <c r="K8280" t="n">
        <v>0</v>
      </c>
      <c r="L8280" t="n">
        <v>0</v>
      </c>
      <c r="M8280" t="n">
        <v>0</v>
      </c>
      <c r="N8280" t="n">
        <v>0</v>
      </c>
      <c r="O8280" t="n">
        <v>0</v>
      </c>
      <c r="P8280" t="n">
        <v>0</v>
      </c>
      <c r="Q8280" t="n">
        <v>0</v>
      </c>
      <c r="R8280" s="2" t="inlineStr"/>
    </row>
    <row r="8281" ht="15" customHeight="1">
      <c r="A8281" t="inlineStr">
        <is>
          <t>A 6957-2024</t>
        </is>
      </c>
      <c r="B8281" s="1" t="n">
        <v>45343.45112268518</v>
      </c>
      <c r="C8281" s="1" t="n">
        <v>45952</v>
      </c>
      <c r="D8281" t="inlineStr">
        <is>
          <t>VÄSTRA GÖTALANDS LÄN</t>
        </is>
      </c>
      <c r="E8281" t="inlineStr">
        <is>
          <t>ORUST</t>
        </is>
      </c>
      <c r="G8281" t="n">
        <v>3.4</v>
      </c>
      <c r="H8281" t="n">
        <v>0</v>
      </c>
      <c r="I8281" t="n">
        <v>0</v>
      </c>
      <c r="J8281" t="n">
        <v>0</v>
      </c>
      <c r="K8281" t="n">
        <v>0</v>
      </c>
      <c r="L8281" t="n">
        <v>0</v>
      </c>
      <c r="M8281" t="n">
        <v>0</v>
      </c>
      <c r="N8281" t="n">
        <v>0</v>
      </c>
      <c r="O8281" t="n">
        <v>0</v>
      </c>
      <c r="P8281" t="n">
        <v>0</v>
      </c>
      <c r="Q8281" t="n">
        <v>0</v>
      </c>
      <c r="R8281" s="2" t="inlineStr"/>
    </row>
    <row r="8282" ht="15" customHeight="1">
      <c r="A8282" t="inlineStr">
        <is>
          <t>A 20137-2025</t>
        </is>
      </c>
      <c r="B8282" s="1" t="n">
        <v>45772.51366898148</v>
      </c>
      <c r="C8282" s="1" t="n">
        <v>45952</v>
      </c>
      <c r="D8282" t="inlineStr">
        <is>
          <t>VÄSTRA GÖTALANDS LÄN</t>
        </is>
      </c>
      <c r="E8282" t="inlineStr">
        <is>
          <t>UDDEVALLA</t>
        </is>
      </c>
      <c r="G8282" t="n">
        <v>1.8</v>
      </c>
      <c r="H8282" t="n">
        <v>0</v>
      </c>
      <c r="I8282" t="n">
        <v>0</v>
      </c>
      <c r="J8282" t="n">
        <v>0</v>
      </c>
      <c r="K8282" t="n">
        <v>0</v>
      </c>
      <c r="L8282" t="n">
        <v>0</v>
      </c>
      <c r="M8282" t="n">
        <v>0</v>
      </c>
      <c r="N8282" t="n">
        <v>0</v>
      </c>
      <c r="O8282" t="n">
        <v>0</v>
      </c>
      <c r="P8282" t="n">
        <v>0</v>
      </c>
      <c r="Q8282" t="n">
        <v>0</v>
      </c>
      <c r="R8282" s="2" t="inlineStr"/>
    </row>
    <row r="8283" ht="15" customHeight="1">
      <c r="A8283" t="inlineStr">
        <is>
          <t>A 8828-2024</t>
        </is>
      </c>
      <c r="B8283" s="1" t="n">
        <v>45356.67628472222</v>
      </c>
      <c r="C8283" s="1" t="n">
        <v>45952</v>
      </c>
      <c r="D8283" t="inlineStr">
        <is>
          <t>VÄSTRA GÖTALANDS LÄN</t>
        </is>
      </c>
      <c r="E8283" t="inlineStr">
        <is>
          <t>ALINGSÅS</t>
        </is>
      </c>
      <c r="G8283" t="n">
        <v>1.2</v>
      </c>
      <c r="H8283" t="n">
        <v>0</v>
      </c>
      <c r="I8283" t="n">
        <v>0</v>
      </c>
      <c r="J8283" t="n">
        <v>0</v>
      </c>
      <c r="K8283" t="n">
        <v>0</v>
      </c>
      <c r="L8283" t="n">
        <v>0</v>
      </c>
      <c r="M8283" t="n">
        <v>0</v>
      </c>
      <c r="N8283" t="n">
        <v>0</v>
      </c>
      <c r="O8283" t="n">
        <v>0</v>
      </c>
      <c r="P8283" t="n">
        <v>0</v>
      </c>
      <c r="Q8283" t="n">
        <v>0</v>
      </c>
      <c r="R8283" s="2" t="inlineStr"/>
    </row>
    <row r="8284" ht="15" customHeight="1">
      <c r="A8284" t="inlineStr">
        <is>
          <t>A 7248-2025</t>
        </is>
      </c>
      <c r="B8284" s="1" t="n">
        <v>45702.55677083333</v>
      </c>
      <c r="C8284" s="1" t="n">
        <v>45952</v>
      </c>
      <c r="D8284" t="inlineStr">
        <is>
          <t>VÄSTRA GÖTALANDS LÄN</t>
        </is>
      </c>
      <c r="E8284" t="inlineStr">
        <is>
          <t>LIDKÖPING</t>
        </is>
      </c>
      <c r="G8284" t="n">
        <v>1.4</v>
      </c>
      <c r="H8284" t="n">
        <v>0</v>
      </c>
      <c r="I8284" t="n">
        <v>0</v>
      </c>
      <c r="J8284" t="n">
        <v>0</v>
      </c>
      <c r="K8284" t="n">
        <v>0</v>
      </c>
      <c r="L8284" t="n">
        <v>0</v>
      </c>
      <c r="M8284" t="n">
        <v>0</v>
      </c>
      <c r="N8284" t="n">
        <v>0</v>
      </c>
      <c r="O8284" t="n">
        <v>0</v>
      </c>
      <c r="P8284" t="n">
        <v>0</v>
      </c>
      <c r="Q8284" t="n">
        <v>0</v>
      </c>
      <c r="R8284" s="2" t="inlineStr"/>
    </row>
    <row r="8285" ht="15" customHeight="1">
      <c r="A8285" t="inlineStr">
        <is>
          <t>A 48864-2024</t>
        </is>
      </c>
      <c r="B8285" s="1" t="n">
        <v>45594.24348379629</v>
      </c>
      <c r="C8285" s="1" t="n">
        <v>45952</v>
      </c>
      <c r="D8285" t="inlineStr">
        <is>
          <t>VÄSTRA GÖTALANDS LÄN</t>
        </is>
      </c>
      <c r="E8285" t="inlineStr">
        <is>
          <t>GRÄSTORP</t>
        </is>
      </c>
      <c r="G8285" t="n">
        <v>2</v>
      </c>
      <c r="H8285" t="n">
        <v>0</v>
      </c>
      <c r="I8285" t="n">
        <v>0</v>
      </c>
      <c r="J8285" t="n">
        <v>0</v>
      </c>
      <c r="K8285" t="n">
        <v>0</v>
      </c>
      <c r="L8285" t="n">
        <v>0</v>
      </c>
      <c r="M8285" t="n">
        <v>0</v>
      </c>
      <c r="N8285" t="n">
        <v>0</v>
      </c>
      <c r="O8285" t="n">
        <v>0</v>
      </c>
      <c r="P8285" t="n">
        <v>0</v>
      </c>
      <c r="Q8285" t="n">
        <v>0</v>
      </c>
      <c r="R8285" s="2" t="inlineStr"/>
    </row>
    <row r="8286" ht="15" customHeight="1">
      <c r="A8286" t="inlineStr">
        <is>
          <t>A 31453-2023</t>
        </is>
      </c>
      <c r="B8286" s="1" t="n">
        <v>45114</v>
      </c>
      <c r="C8286" s="1" t="n">
        <v>45952</v>
      </c>
      <c r="D8286" t="inlineStr">
        <is>
          <t>VÄSTRA GÖTALANDS LÄN</t>
        </is>
      </c>
      <c r="E8286" t="inlineStr">
        <is>
          <t>SVENLJUNGA</t>
        </is>
      </c>
      <c r="G8286" t="n">
        <v>1.6</v>
      </c>
      <c r="H8286" t="n">
        <v>0</v>
      </c>
      <c r="I8286" t="n">
        <v>0</v>
      </c>
      <c r="J8286" t="n">
        <v>0</v>
      </c>
      <c r="K8286" t="n">
        <v>0</v>
      </c>
      <c r="L8286" t="n">
        <v>0</v>
      </c>
      <c r="M8286" t="n">
        <v>0</v>
      </c>
      <c r="N8286" t="n">
        <v>0</v>
      </c>
      <c r="O8286" t="n">
        <v>0</v>
      </c>
      <c r="P8286" t="n">
        <v>0</v>
      </c>
      <c r="Q8286" t="n">
        <v>0</v>
      </c>
      <c r="R8286" s="2" t="inlineStr"/>
    </row>
    <row r="8287" ht="15" customHeight="1">
      <c r="A8287" t="inlineStr">
        <is>
          <t>A 11604-2024</t>
        </is>
      </c>
      <c r="B8287" s="1" t="n">
        <v>45373.39337962963</v>
      </c>
      <c r="C8287" s="1" t="n">
        <v>45952</v>
      </c>
      <c r="D8287" t="inlineStr">
        <is>
          <t>VÄSTRA GÖTALANDS LÄN</t>
        </is>
      </c>
      <c r="E8287" t="inlineStr">
        <is>
          <t>LILLA EDET</t>
        </is>
      </c>
      <c r="G8287" t="n">
        <v>2</v>
      </c>
      <c r="H8287" t="n">
        <v>0</v>
      </c>
      <c r="I8287" t="n">
        <v>0</v>
      </c>
      <c r="J8287" t="n">
        <v>0</v>
      </c>
      <c r="K8287" t="n">
        <v>0</v>
      </c>
      <c r="L8287" t="n">
        <v>0</v>
      </c>
      <c r="M8287" t="n">
        <v>0</v>
      </c>
      <c r="N8287" t="n">
        <v>0</v>
      </c>
      <c r="O8287" t="n">
        <v>0</v>
      </c>
      <c r="P8287" t="n">
        <v>0</v>
      </c>
      <c r="Q8287" t="n">
        <v>0</v>
      </c>
      <c r="R8287" s="2" t="inlineStr"/>
    </row>
    <row r="8288" ht="15" customHeight="1">
      <c r="A8288" t="inlineStr">
        <is>
          <t>A 11605-2024</t>
        </is>
      </c>
      <c r="B8288" s="1" t="n">
        <v>45373.39921296296</v>
      </c>
      <c r="C8288" s="1" t="n">
        <v>45952</v>
      </c>
      <c r="D8288" t="inlineStr">
        <is>
          <t>VÄSTRA GÖTALANDS LÄN</t>
        </is>
      </c>
      <c r="E8288" t="inlineStr">
        <is>
          <t>BOLLEBYGD</t>
        </is>
      </c>
      <c r="G8288" t="n">
        <v>1.1</v>
      </c>
      <c r="H8288" t="n">
        <v>0</v>
      </c>
      <c r="I8288" t="n">
        <v>0</v>
      </c>
      <c r="J8288" t="n">
        <v>0</v>
      </c>
      <c r="K8288" t="n">
        <v>0</v>
      </c>
      <c r="L8288" t="n">
        <v>0</v>
      </c>
      <c r="M8288" t="n">
        <v>0</v>
      </c>
      <c r="N8288" t="n">
        <v>0</v>
      </c>
      <c r="O8288" t="n">
        <v>0</v>
      </c>
      <c r="P8288" t="n">
        <v>0</v>
      </c>
      <c r="Q8288" t="n">
        <v>0</v>
      </c>
      <c r="R8288" s="2" t="inlineStr"/>
    </row>
    <row r="8289" ht="15" customHeight="1">
      <c r="A8289" t="inlineStr">
        <is>
          <t>A 39339-2025</t>
        </is>
      </c>
      <c r="B8289" s="1" t="n">
        <v>45889.49938657408</v>
      </c>
      <c r="C8289" s="1" t="n">
        <v>45952</v>
      </c>
      <c r="D8289" t="inlineStr">
        <is>
          <t>VÄSTRA GÖTALANDS LÄN</t>
        </is>
      </c>
      <c r="E8289" t="inlineStr">
        <is>
          <t>BENGTSFORS</t>
        </is>
      </c>
      <c r="G8289" t="n">
        <v>8.800000000000001</v>
      </c>
      <c r="H8289" t="n">
        <v>0</v>
      </c>
      <c r="I8289" t="n">
        <v>0</v>
      </c>
      <c r="J8289" t="n">
        <v>0</v>
      </c>
      <c r="K8289" t="n">
        <v>0</v>
      </c>
      <c r="L8289" t="n">
        <v>0</v>
      </c>
      <c r="M8289" t="n">
        <v>0</v>
      </c>
      <c r="N8289" t="n">
        <v>0</v>
      </c>
      <c r="O8289" t="n">
        <v>0</v>
      </c>
      <c r="P8289" t="n">
        <v>0</v>
      </c>
      <c r="Q8289" t="n">
        <v>0</v>
      </c>
      <c r="R8289" s="2" t="inlineStr"/>
    </row>
    <row r="8290" ht="15" customHeight="1">
      <c r="A8290" t="inlineStr">
        <is>
          <t>A 39374-2025</t>
        </is>
      </c>
      <c r="B8290" s="1" t="n">
        <v>45889.58648148148</v>
      </c>
      <c r="C8290" s="1" t="n">
        <v>45952</v>
      </c>
      <c r="D8290" t="inlineStr">
        <is>
          <t>VÄSTRA GÖTALANDS LÄN</t>
        </is>
      </c>
      <c r="E8290" t="inlineStr">
        <is>
          <t>VARA</t>
        </is>
      </c>
      <c r="F8290" t="inlineStr">
        <is>
          <t>Sveaskog</t>
        </is>
      </c>
      <c r="G8290" t="n">
        <v>2.1</v>
      </c>
      <c r="H8290" t="n">
        <v>0</v>
      </c>
      <c r="I8290" t="n">
        <v>0</v>
      </c>
      <c r="J8290" t="n">
        <v>0</v>
      </c>
      <c r="K8290" t="n">
        <v>0</v>
      </c>
      <c r="L8290" t="n">
        <v>0</v>
      </c>
      <c r="M8290" t="n">
        <v>0</v>
      </c>
      <c r="N8290" t="n">
        <v>0</v>
      </c>
      <c r="O8290" t="n">
        <v>0</v>
      </c>
      <c r="P8290" t="n">
        <v>0</v>
      </c>
      <c r="Q8290" t="n">
        <v>0</v>
      </c>
      <c r="R8290" s="2" t="inlineStr"/>
    </row>
    <row r="8291" ht="15" customHeight="1">
      <c r="A8291" t="inlineStr">
        <is>
          <t>A 6495-2025</t>
        </is>
      </c>
      <c r="B8291" s="1" t="n">
        <v>45699.63547453703</v>
      </c>
      <c r="C8291" s="1" t="n">
        <v>45952</v>
      </c>
      <c r="D8291" t="inlineStr">
        <is>
          <t>VÄSTRA GÖTALANDS LÄN</t>
        </is>
      </c>
      <c r="E8291" t="inlineStr">
        <is>
          <t>FALKÖPING</t>
        </is>
      </c>
      <c r="G8291" t="n">
        <v>1.2</v>
      </c>
      <c r="H8291" t="n">
        <v>0</v>
      </c>
      <c r="I8291" t="n">
        <v>0</v>
      </c>
      <c r="J8291" t="n">
        <v>0</v>
      </c>
      <c r="K8291" t="n">
        <v>0</v>
      </c>
      <c r="L8291" t="n">
        <v>0</v>
      </c>
      <c r="M8291" t="n">
        <v>0</v>
      </c>
      <c r="N8291" t="n">
        <v>0</v>
      </c>
      <c r="O8291" t="n">
        <v>0</v>
      </c>
      <c r="P8291" t="n">
        <v>0</v>
      </c>
      <c r="Q8291" t="n">
        <v>0</v>
      </c>
      <c r="R8291" s="2" t="inlineStr"/>
    </row>
    <row r="8292" ht="15" customHeight="1">
      <c r="A8292" t="inlineStr">
        <is>
          <t>A 11683-2024</t>
        </is>
      </c>
      <c r="B8292" s="1" t="n">
        <v>45373</v>
      </c>
      <c r="C8292" s="1" t="n">
        <v>45952</v>
      </c>
      <c r="D8292" t="inlineStr">
        <is>
          <t>VÄSTRA GÖTALANDS LÄN</t>
        </is>
      </c>
      <c r="E8292" t="inlineStr">
        <is>
          <t>TÖREBODA</t>
        </is>
      </c>
      <c r="G8292" t="n">
        <v>23.8</v>
      </c>
      <c r="H8292" t="n">
        <v>0</v>
      </c>
      <c r="I8292" t="n">
        <v>0</v>
      </c>
      <c r="J8292" t="n">
        <v>0</v>
      </c>
      <c r="K8292" t="n">
        <v>0</v>
      </c>
      <c r="L8292" t="n">
        <v>0</v>
      </c>
      <c r="M8292" t="n">
        <v>0</v>
      </c>
      <c r="N8292" t="n">
        <v>0</v>
      </c>
      <c r="O8292" t="n">
        <v>0</v>
      </c>
      <c r="P8292" t="n">
        <v>0</v>
      </c>
      <c r="Q8292" t="n">
        <v>0</v>
      </c>
      <c r="R8292" s="2" t="inlineStr"/>
    </row>
    <row r="8293" ht="15" customHeight="1">
      <c r="A8293" t="inlineStr">
        <is>
          <t>A 60744-2022</t>
        </is>
      </c>
      <c r="B8293" s="1" t="n">
        <v>44914.29723379629</v>
      </c>
      <c r="C8293" s="1" t="n">
        <v>45952</v>
      </c>
      <c r="D8293" t="inlineStr">
        <is>
          <t>VÄSTRA GÖTALANDS LÄN</t>
        </is>
      </c>
      <c r="E8293" t="inlineStr">
        <is>
          <t>ULRICEHAMN</t>
        </is>
      </c>
      <c r="G8293" t="n">
        <v>1</v>
      </c>
      <c r="H8293" t="n">
        <v>0</v>
      </c>
      <c r="I8293" t="n">
        <v>0</v>
      </c>
      <c r="J8293" t="n">
        <v>0</v>
      </c>
      <c r="K8293" t="n">
        <v>0</v>
      </c>
      <c r="L8293" t="n">
        <v>0</v>
      </c>
      <c r="M8293" t="n">
        <v>0</v>
      </c>
      <c r="N8293" t="n">
        <v>0</v>
      </c>
      <c r="O8293" t="n">
        <v>0</v>
      </c>
      <c r="P8293" t="n">
        <v>0</v>
      </c>
      <c r="Q8293" t="n">
        <v>0</v>
      </c>
      <c r="R8293" s="2" t="inlineStr"/>
    </row>
    <row r="8294" ht="15" customHeight="1">
      <c r="A8294" t="inlineStr">
        <is>
          <t>A 40126-2023</t>
        </is>
      </c>
      <c r="B8294" s="1" t="n">
        <v>45169</v>
      </c>
      <c r="C8294" s="1" t="n">
        <v>45952</v>
      </c>
      <c r="D8294" t="inlineStr">
        <is>
          <t>VÄSTRA GÖTALANDS LÄN</t>
        </is>
      </c>
      <c r="E8294" t="inlineStr">
        <is>
          <t>GRÄSTORP</t>
        </is>
      </c>
      <c r="G8294" t="n">
        <v>2.5</v>
      </c>
      <c r="H8294" t="n">
        <v>0</v>
      </c>
      <c r="I8294" t="n">
        <v>0</v>
      </c>
      <c r="J8294" t="n">
        <v>0</v>
      </c>
      <c r="K8294" t="n">
        <v>0</v>
      </c>
      <c r="L8294" t="n">
        <v>0</v>
      </c>
      <c r="M8294" t="n">
        <v>0</v>
      </c>
      <c r="N8294" t="n">
        <v>0</v>
      </c>
      <c r="O8294" t="n">
        <v>0</v>
      </c>
      <c r="P8294" t="n">
        <v>0</v>
      </c>
      <c r="Q8294" t="n">
        <v>0</v>
      </c>
      <c r="R8294" s="2" t="inlineStr"/>
    </row>
    <row r="8295" ht="15" customHeight="1">
      <c r="A8295" t="inlineStr">
        <is>
          <t>A 40129-2023</t>
        </is>
      </c>
      <c r="B8295" s="1" t="n">
        <v>45169</v>
      </c>
      <c r="C8295" s="1" t="n">
        <v>45952</v>
      </c>
      <c r="D8295" t="inlineStr">
        <is>
          <t>VÄSTRA GÖTALANDS LÄN</t>
        </is>
      </c>
      <c r="E8295" t="inlineStr">
        <is>
          <t>KARLSBORG</t>
        </is>
      </c>
      <c r="F8295" t="inlineStr">
        <is>
          <t>Övriga Aktiebolag</t>
        </is>
      </c>
      <c r="G8295" t="n">
        <v>0.9</v>
      </c>
      <c r="H8295" t="n">
        <v>0</v>
      </c>
      <c r="I8295" t="n">
        <v>0</v>
      </c>
      <c r="J8295" t="n">
        <v>0</v>
      </c>
      <c r="K8295" t="n">
        <v>0</v>
      </c>
      <c r="L8295" t="n">
        <v>0</v>
      </c>
      <c r="M8295" t="n">
        <v>0</v>
      </c>
      <c r="N8295" t="n">
        <v>0</v>
      </c>
      <c r="O8295" t="n">
        <v>0</v>
      </c>
      <c r="P8295" t="n">
        <v>0</v>
      </c>
      <c r="Q8295" t="n">
        <v>0</v>
      </c>
      <c r="R8295" s="2" t="inlineStr"/>
    </row>
    <row r="8296" ht="15" customHeight="1">
      <c r="A8296" t="inlineStr">
        <is>
          <t>A 12554-2023</t>
        </is>
      </c>
      <c r="B8296" s="1" t="n">
        <v>45000.35256944445</v>
      </c>
      <c r="C8296" s="1" t="n">
        <v>45952</v>
      </c>
      <c r="D8296" t="inlineStr">
        <is>
          <t>VÄSTRA GÖTALANDS LÄN</t>
        </is>
      </c>
      <c r="E8296" t="inlineStr">
        <is>
          <t>HJO</t>
        </is>
      </c>
      <c r="G8296" t="n">
        <v>2</v>
      </c>
      <c r="H8296" t="n">
        <v>0</v>
      </c>
      <c r="I8296" t="n">
        <v>0</v>
      </c>
      <c r="J8296" t="n">
        <v>0</v>
      </c>
      <c r="K8296" t="n">
        <v>0</v>
      </c>
      <c r="L8296" t="n">
        <v>0</v>
      </c>
      <c r="M8296" t="n">
        <v>0</v>
      </c>
      <c r="N8296" t="n">
        <v>0</v>
      </c>
      <c r="O8296" t="n">
        <v>0</v>
      </c>
      <c r="P8296" t="n">
        <v>0</v>
      </c>
      <c r="Q8296" t="n">
        <v>0</v>
      </c>
      <c r="R8296" s="2" t="inlineStr"/>
    </row>
    <row r="8297" ht="15" customHeight="1">
      <c r="A8297" t="inlineStr">
        <is>
          <t>A 20651-2021</t>
        </is>
      </c>
      <c r="B8297" s="1" t="n">
        <v>44316.41503472222</v>
      </c>
      <c r="C8297" s="1" t="n">
        <v>45952</v>
      </c>
      <c r="D8297" t="inlineStr">
        <is>
          <t>VÄSTRA GÖTALANDS LÄN</t>
        </is>
      </c>
      <c r="E8297" t="inlineStr">
        <is>
          <t>HJO</t>
        </is>
      </c>
      <c r="F8297" t="inlineStr">
        <is>
          <t>Övriga Aktiebolag</t>
        </is>
      </c>
      <c r="G8297" t="n">
        <v>5.1</v>
      </c>
      <c r="H8297" t="n">
        <v>0</v>
      </c>
      <c r="I8297" t="n">
        <v>0</v>
      </c>
      <c r="J8297" t="n">
        <v>0</v>
      </c>
      <c r="K8297" t="n">
        <v>0</v>
      </c>
      <c r="L8297" t="n">
        <v>0</v>
      </c>
      <c r="M8297" t="n">
        <v>0</v>
      </c>
      <c r="N8297" t="n">
        <v>0</v>
      </c>
      <c r="O8297" t="n">
        <v>0</v>
      </c>
      <c r="P8297" t="n">
        <v>0</v>
      </c>
      <c r="Q8297" t="n">
        <v>0</v>
      </c>
      <c r="R8297" s="2" t="inlineStr"/>
    </row>
    <row r="8298" ht="15" customHeight="1">
      <c r="A8298" t="inlineStr">
        <is>
          <t>A 27186-2023</t>
        </is>
      </c>
      <c r="B8298" s="1" t="n">
        <v>45096.54045138889</v>
      </c>
      <c r="C8298" s="1" t="n">
        <v>45952</v>
      </c>
      <c r="D8298" t="inlineStr">
        <is>
          <t>VÄSTRA GÖTALANDS LÄN</t>
        </is>
      </c>
      <c r="E8298" t="inlineStr">
        <is>
          <t>TRANEMO</t>
        </is>
      </c>
      <c r="G8298" t="n">
        <v>0.8</v>
      </c>
      <c r="H8298" t="n">
        <v>0</v>
      </c>
      <c r="I8298" t="n">
        <v>0</v>
      </c>
      <c r="J8298" t="n">
        <v>0</v>
      </c>
      <c r="K8298" t="n">
        <v>0</v>
      </c>
      <c r="L8298" t="n">
        <v>0</v>
      </c>
      <c r="M8298" t="n">
        <v>0</v>
      </c>
      <c r="N8298" t="n">
        <v>0</v>
      </c>
      <c r="O8298" t="n">
        <v>0</v>
      </c>
      <c r="P8298" t="n">
        <v>0</v>
      </c>
      <c r="Q8298" t="n">
        <v>0</v>
      </c>
      <c r="R8298" s="2" t="inlineStr"/>
    </row>
    <row r="8299" ht="15" customHeight="1">
      <c r="A8299" t="inlineStr">
        <is>
          <t>A 6322-2024</t>
        </is>
      </c>
      <c r="B8299" s="1" t="n">
        <v>45338.41071759259</v>
      </c>
      <c r="C8299" s="1" t="n">
        <v>45952</v>
      </c>
      <c r="D8299" t="inlineStr">
        <is>
          <t>VÄSTRA GÖTALANDS LÄN</t>
        </is>
      </c>
      <c r="E8299" t="inlineStr">
        <is>
          <t>FÄRGELANDA</t>
        </is>
      </c>
      <c r="G8299" t="n">
        <v>1.5</v>
      </c>
      <c r="H8299" t="n">
        <v>0</v>
      </c>
      <c r="I8299" t="n">
        <v>0</v>
      </c>
      <c r="J8299" t="n">
        <v>0</v>
      </c>
      <c r="K8299" t="n">
        <v>0</v>
      </c>
      <c r="L8299" t="n">
        <v>0</v>
      </c>
      <c r="M8299" t="n">
        <v>0</v>
      </c>
      <c r="N8299" t="n">
        <v>0</v>
      </c>
      <c r="O8299" t="n">
        <v>0</v>
      </c>
      <c r="P8299" t="n">
        <v>0</v>
      </c>
      <c r="Q8299" t="n">
        <v>0</v>
      </c>
      <c r="R8299" s="2" t="inlineStr"/>
    </row>
    <row r="8300" ht="15" customHeight="1">
      <c r="A8300" t="inlineStr">
        <is>
          <t>A 10800-2024</t>
        </is>
      </c>
      <c r="B8300" s="1" t="n">
        <v>45369.62201388889</v>
      </c>
      <c r="C8300" s="1" t="n">
        <v>45952</v>
      </c>
      <c r="D8300" t="inlineStr">
        <is>
          <t>VÄSTRA GÖTALANDS LÄN</t>
        </is>
      </c>
      <c r="E8300" t="inlineStr">
        <is>
          <t>ÅMÅL</t>
        </is>
      </c>
      <c r="G8300" t="n">
        <v>5.2</v>
      </c>
      <c r="H8300" t="n">
        <v>0</v>
      </c>
      <c r="I8300" t="n">
        <v>0</v>
      </c>
      <c r="J8300" t="n">
        <v>0</v>
      </c>
      <c r="K8300" t="n">
        <v>0</v>
      </c>
      <c r="L8300" t="n">
        <v>0</v>
      </c>
      <c r="M8300" t="n">
        <v>0</v>
      </c>
      <c r="N8300" t="n">
        <v>0</v>
      </c>
      <c r="O8300" t="n">
        <v>0</v>
      </c>
      <c r="P8300" t="n">
        <v>0</v>
      </c>
      <c r="Q8300" t="n">
        <v>0</v>
      </c>
      <c r="R8300" s="2" t="inlineStr"/>
    </row>
    <row r="8301" ht="15" customHeight="1">
      <c r="A8301" t="inlineStr">
        <is>
          <t>A 3867-2025</t>
        </is>
      </c>
      <c r="B8301" s="1" t="n">
        <v>45684</v>
      </c>
      <c r="C8301" s="1" t="n">
        <v>45952</v>
      </c>
      <c r="D8301" t="inlineStr">
        <is>
          <t>VÄSTRA GÖTALANDS LÄN</t>
        </is>
      </c>
      <c r="E8301" t="inlineStr">
        <is>
          <t>LILLA EDET</t>
        </is>
      </c>
      <c r="G8301" t="n">
        <v>1.5</v>
      </c>
      <c r="H8301" t="n">
        <v>0</v>
      </c>
      <c r="I8301" t="n">
        <v>0</v>
      </c>
      <c r="J8301" t="n">
        <v>0</v>
      </c>
      <c r="K8301" t="n">
        <v>0</v>
      </c>
      <c r="L8301" t="n">
        <v>0</v>
      </c>
      <c r="M8301" t="n">
        <v>0</v>
      </c>
      <c r="N8301" t="n">
        <v>0</v>
      </c>
      <c r="O8301" t="n">
        <v>0</v>
      </c>
      <c r="P8301" t="n">
        <v>0</v>
      </c>
      <c r="Q8301" t="n">
        <v>0</v>
      </c>
      <c r="R8301" s="2" t="inlineStr"/>
    </row>
    <row r="8302" ht="15" customHeight="1">
      <c r="A8302" t="inlineStr">
        <is>
          <t>A 22201-2025</t>
        </is>
      </c>
      <c r="B8302" s="1" t="n">
        <v>45785.65288194444</v>
      </c>
      <c r="C8302" s="1" t="n">
        <v>45952</v>
      </c>
      <c r="D8302" t="inlineStr">
        <is>
          <t>VÄSTRA GÖTALANDS LÄN</t>
        </is>
      </c>
      <c r="E8302" t="inlineStr">
        <is>
          <t>SVENLJUNGA</t>
        </is>
      </c>
      <c r="G8302" t="n">
        <v>2.5</v>
      </c>
      <c r="H8302" t="n">
        <v>0</v>
      </c>
      <c r="I8302" t="n">
        <v>0</v>
      </c>
      <c r="J8302" t="n">
        <v>0</v>
      </c>
      <c r="K8302" t="n">
        <v>0</v>
      </c>
      <c r="L8302" t="n">
        <v>0</v>
      </c>
      <c r="M8302" t="n">
        <v>0</v>
      </c>
      <c r="N8302" t="n">
        <v>0</v>
      </c>
      <c r="O8302" t="n">
        <v>0</v>
      </c>
      <c r="P8302" t="n">
        <v>0</v>
      </c>
      <c r="Q8302" t="n">
        <v>0</v>
      </c>
      <c r="R8302" s="2" t="inlineStr"/>
    </row>
    <row r="8303" ht="15" customHeight="1">
      <c r="A8303" t="inlineStr">
        <is>
          <t>A 22157-2021</t>
        </is>
      </c>
      <c r="B8303" s="1" t="n">
        <v>44325</v>
      </c>
      <c r="C8303" s="1" t="n">
        <v>45952</v>
      </c>
      <c r="D8303" t="inlineStr">
        <is>
          <t>VÄSTRA GÖTALANDS LÄN</t>
        </is>
      </c>
      <c r="E8303" t="inlineStr">
        <is>
          <t>ÅMÅL</t>
        </is>
      </c>
      <c r="G8303" t="n">
        <v>4.2</v>
      </c>
      <c r="H8303" t="n">
        <v>0</v>
      </c>
      <c r="I8303" t="n">
        <v>0</v>
      </c>
      <c r="J8303" t="n">
        <v>0</v>
      </c>
      <c r="K8303" t="n">
        <v>0</v>
      </c>
      <c r="L8303" t="n">
        <v>0</v>
      </c>
      <c r="M8303" t="n">
        <v>0</v>
      </c>
      <c r="N8303" t="n">
        <v>0</v>
      </c>
      <c r="O8303" t="n">
        <v>0</v>
      </c>
      <c r="P8303" t="n">
        <v>0</v>
      </c>
      <c r="Q8303" t="n">
        <v>0</v>
      </c>
      <c r="R8303" s="2" t="inlineStr"/>
    </row>
    <row r="8304" ht="15" customHeight="1">
      <c r="A8304" t="inlineStr">
        <is>
          <t>A 3572-2025</t>
        </is>
      </c>
      <c r="B8304" s="1" t="n">
        <v>45680.71428240741</v>
      </c>
      <c r="C8304" s="1" t="n">
        <v>45952</v>
      </c>
      <c r="D8304" t="inlineStr">
        <is>
          <t>VÄSTRA GÖTALANDS LÄN</t>
        </is>
      </c>
      <c r="E8304" t="inlineStr">
        <is>
          <t>TIBRO</t>
        </is>
      </c>
      <c r="G8304" t="n">
        <v>1.5</v>
      </c>
      <c r="H8304" t="n">
        <v>0</v>
      </c>
      <c r="I8304" t="n">
        <v>0</v>
      </c>
      <c r="J8304" t="n">
        <v>0</v>
      </c>
      <c r="K8304" t="n">
        <v>0</v>
      </c>
      <c r="L8304" t="n">
        <v>0</v>
      </c>
      <c r="M8304" t="n">
        <v>0</v>
      </c>
      <c r="N8304" t="n">
        <v>0</v>
      </c>
      <c r="O8304" t="n">
        <v>0</v>
      </c>
      <c r="P8304" t="n">
        <v>0</v>
      </c>
      <c r="Q8304" t="n">
        <v>0</v>
      </c>
      <c r="R8304" s="2" t="inlineStr"/>
    </row>
    <row r="8305" ht="15" customHeight="1">
      <c r="A8305" t="inlineStr">
        <is>
          <t>A 22069-2025</t>
        </is>
      </c>
      <c r="B8305" s="1" t="n">
        <v>45785.40502314815</v>
      </c>
      <c r="C8305" s="1" t="n">
        <v>45952</v>
      </c>
      <c r="D8305" t="inlineStr">
        <is>
          <t>VÄSTRA GÖTALANDS LÄN</t>
        </is>
      </c>
      <c r="E8305" t="inlineStr">
        <is>
          <t>DALS-ED</t>
        </is>
      </c>
      <c r="F8305" t="inlineStr">
        <is>
          <t>Övriga Aktiebolag</t>
        </is>
      </c>
      <c r="G8305" t="n">
        <v>1.8</v>
      </c>
      <c r="H8305" t="n">
        <v>0</v>
      </c>
      <c r="I8305" t="n">
        <v>0</v>
      </c>
      <c r="J8305" t="n">
        <v>0</v>
      </c>
      <c r="K8305" t="n">
        <v>0</v>
      </c>
      <c r="L8305" t="n">
        <v>0</v>
      </c>
      <c r="M8305" t="n">
        <v>0</v>
      </c>
      <c r="N8305" t="n">
        <v>0</v>
      </c>
      <c r="O8305" t="n">
        <v>0</v>
      </c>
      <c r="P8305" t="n">
        <v>0</v>
      </c>
      <c r="Q8305" t="n">
        <v>0</v>
      </c>
      <c r="R8305" s="2" t="inlineStr"/>
    </row>
    <row r="8306" ht="15" customHeight="1">
      <c r="A8306" t="inlineStr">
        <is>
          <t>A 22075-2025</t>
        </is>
      </c>
      <c r="B8306" s="1" t="n">
        <v>45785.40935185185</v>
      </c>
      <c r="C8306" s="1" t="n">
        <v>45952</v>
      </c>
      <c r="D8306" t="inlineStr">
        <is>
          <t>VÄSTRA GÖTALANDS LÄN</t>
        </is>
      </c>
      <c r="E8306" t="inlineStr">
        <is>
          <t>DALS-ED</t>
        </is>
      </c>
      <c r="F8306" t="inlineStr">
        <is>
          <t>Övriga Aktiebolag</t>
        </is>
      </c>
      <c r="G8306" t="n">
        <v>1.2</v>
      </c>
      <c r="H8306" t="n">
        <v>0</v>
      </c>
      <c r="I8306" t="n">
        <v>0</v>
      </c>
      <c r="J8306" t="n">
        <v>0</v>
      </c>
      <c r="K8306" t="n">
        <v>0</v>
      </c>
      <c r="L8306" t="n">
        <v>0</v>
      </c>
      <c r="M8306" t="n">
        <v>0</v>
      </c>
      <c r="N8306" t="n">
        <v>0</v>
      </c>
      <c r="O8306" t="n">
        <v>0</v>
      </c>
      <c r="P8306" t="n">
        <v>0</v>
      </c>
      <c r="Q8306" t="n">
        <v>0</v>
      </c>
      <c r="R8306" s="2" t="inlineStr"/>
    </row>
    <row r="8307" ht="15" customHeight="1">
      <c r="A8307" t="inlineStr">
        <is>
          <t>A 70979-2021</t>
        </is>
      </c>
      <c r="B8307" s="1" t="n">
        <v>44538.58373842593</v>
      </c>
      <c r="C8307" s="1" t="n">
        <v>45952</v>
      </c>
      <c r="D8307" t="inlineStr">
        <is>
          <t>VÄSTRA GÖTALANDS LÄN</t>
        </is>
      </c>
      <c r="E8307" t="inlineStr">
        <is>
          <t>TANUM</t>
        </is>
      </c>
      <c r="G8307" t="n">
        <v>19</v>
      </c>
      <c r="H8307" t="n">
        <v>0</v>
      </c>
      <c r="I8307" t="n">
        <v>0</v>
      </c>
      <c r="J8307" t="n">
        <v>0</v>
      </c>
      <c r="K8307" t="n">
        <v>0</v>
      </c>
      <c r="L8307" t="n">
        <v>0</v>
      </c>
      <c r="M8307" t="n">
        <v>0</v>
      </c>
      <c r="N8307" t="n">
        <v>0</v>
      </c>
      <c r="O8307" t="n">
        <v>0</v>
      </c>
      <c r="P8307" t="n">
        <v>0</v>
      </c>
      <c r="Q8307" t="n">
        <v>0</v>
      </c>
      <c r="R8307" s="2" t="inlineStr"/>
    </row>
    <row r="8308" ht="15" customHeight="1">
      <c r="A8308" t="inlineStr">
        <is>
          <t>A 43841-2023</t>
        </is>
      </c>
      <c r="B8308" s="1" t="n">
        <v>45187.58931712963</v>
      </c>
      <c r="C8308" s="1" t="n">
        <v>45952</v>
      </c>
      <c r="D8308" t="inlineStr">
        <is>
          <t>VÄSTRA GÖTALANDS LÄN</t>
        </is>
      </c>
      <c r="E8308" t="inlineStr">
        <is>
          <t>TRANEMO</t>
        </is>
      </c>
      <c r="G8308" t="n">
        <v>5.3</v>
      </c>
      <c r="H8308" t="n">
        <v>0</v>
      </c>
      <c r="I8308" t="n">
        <v>0</v>
      </c>
      <c r="J8308" t="n">
        <v>0</v>
      </c>
      <c r="K8308" t="n">
        <v>0</v>
      </c>
      <c r="L8308" t="n">
        <v>0</v>
      </c>
      <c r="M8308" t="n">
        <v>0</v>
      </c>
      <c r="N8308" t="n">
        <v>0</v>
      </c>
      <c r="O8308" t="n">
        <v>0</v>
      </c>
      <c r="P8308" t="n">
        <v>0</v>
      </c>
      <c r="Q8308" t="n">
        <v>0</v>
      </c>
      <c r="R8308" s="2" t="inlineStr"/>
    </row>
    <row r="8309" ht="15" customHeight="1">
      <c r="A8309" t="inlineStr">
        <is>
          <t>A 67551-2021</t>
        </is>
      </c>
      <c r="B8309" s="1" t="n">
        <v>44524.56353009259</v>
      </c>
      <c r="C8309" s="1" t="n">
        <v>45952</v>
      </c>
      <c r="D8309" t="inlineStr">
        <is>
          <t>VÄSTRA GÖTALANDS LÄN</t>
        </is>
      </c>
      <c r="E8309" t="inlineStr">
        <is>
          <t>HERRLJUNGA</t>
        </is>
      </c>
      <c r="G8309" t="n">
        <v>0.9</v>
      </c>
      <c r="H8309" t="n">
        <v>0</v>
      </c>
      <c r="I8309" t="n">
        <v>0</v>
      </c>
      <c r="J8309" t="n">
        <v>0</v>
      </c>
      <c r="K8309" t="n">
        <v>0</v>
      </c>
      <c r="L8309" t="n">
        <v>0</v>
      </c>
      <c r="M8309" t="n">
        <v>0</v>
      </c>
      <c r="N8309" t="n">
        <v>0</v>
      </c>
      <c r="O8309" t="n">
        <v>0</v>
      </c>
      <c r="P8309" t="n">
        <v>0</v>
      </c>
      <c r="Q8309" t="n">
        <v>0</v>
      </c>
      <c r="R8309" s="2" t="inlineStr"/>
    </row>
    <row r="8310" ht="15" customHeight="1">
      <c r="A8310" t="inlineStr">
        <is>
          <t>A 57963-2022</t>
        </is>
      </c>
      <c r="B8310" s="1" t="n">
        <v>44900.43481481481</v>
      </c>
      <c r="C8310" s="1" t="n">
        <v>45952</v>
      </c>
      <c r="D8310" t="inlineStr">
        <is>
          <t>VÄSTRA GÖTALANDS LÄN</t>
        </is>
      </c>
      <c r="E8310" t="inlineStr">
        <is>
          <t>HERRLJUNGA</t>
        </is>
      </c>
      <c r="G8310" t="n">
        <v>1.5</v>
      </c>
      <c r="H8310" t="n">
        <v>0</v>
      </c>
      <c r="I8310" t="n">
        <v>0</v>
      </c>
      <c r="J8310" t="n">
        <v>0</v>
      </c>
      <c r="K8310" t="n">
        <v>0</v>
      </c>
      <c r="L8310" t="n">
        <v>0</v>
      </c>
      <c r="M8310" t="n">
        <v>0</v>
      </c>
      <c r="N8310" t="n">
        <v>0</v>
      </c>
      <c r="O8310" t="n">
        <v>0</v>
      </c>
      <c r="P8310" t="n">
        <v>0</v>
      </c>
      <c r="Q8310" t="n">
        <v>0</v>
      </c>
      <c r="R8310" s="2" t="inlineStr"/>
    </row>
    <row r="8311" ht="15" customHeight="1">
      <c r="A8311" t="inlineStr">
        <is>
          <t>A 57984-2022</t>
        </is>
      </c>
      <c r="B8311" s="1" t="n">
        <v>44900</v>
      </c>
      <c r="C8311" s="1" t="n">
        <v>45952</v>
      </c>
      <c r="D8311" t="inlineStr">
        <is>
          <t>VÄSTRA GÖTALANDS LÄN</t>
        </is>
      </c>
      <c r="E8311" t="inlineStr">
        <is>
          <t>TÖREBODA</t>
        </is>
      </c>
      <c r="G8311" t="n">
        <v>5.9</v>
      </c>
      <c r="H8311" t="n">
        <v>0</v>
      </c>
      <c r="I8311" t="n">
        <v>0</v>
      </c>
      <c r="J8311" t="n">
        <v>0</v>
      </c>
      <c r="K8311" t="n">
        <v>0</v>
      </c>
      <c r="L8311" t="n">
        <v>0</v>
      </c>
      <c r="M8311" t="n">
        <v>0</v>
      </c>
      <c r="N8311" t="n">
        <v>0</v>
      </c>
      <c r="O8311" t="n">
        <v>0</v>
      </c>
      <c r="P8311" t="n">
        <v>0</v>
      </c>
      <c r="Q8311" t="n">
        <v>0</v>
      </c>
      <c r="R8311" s="2" t="inlineStr"/>
    </row>
    <row r="8312" ht="15" customHeight="1">
      <c r="A8312" t="inlineStr">
        <is>
          <t>A 25168-2023</t>
        </is>
      </c>
      <c r="B8312" s="1" t="n">
        <v>45086.51451388889</v>
      </c>
      <c r="C8312" s="1" t="n">
        <v>45952</v>
      </c>
      <c r="D8312" t="inlineStr">
        <is>
          <t>VÄSTRA GÖTALANDS LÄN</t>
        </is>
      </c>
      <c r="E8312" t="inlineStr">
        <is>
          <t>SKÖVDE</t>
        </is>
      </c>
      <c r="G8312" t="n">
        <v>1.4</v>
      </c>
      <c r="H8312" t="n">
        <v>0</v>
      </c>
      <c r="I8312" t="n">
        <v>0</v>
      </c>
      <c r="J8312" t="n">
        <v>0</v>
      </c>
      <c r="K8312" t="n">
        <v>0</v>
      </c>
      <c r="L8312" t="n">
        <v>0</v>
      </c>
      <c r="M8312" t="n">
        <v>0</v>
      </c>
      <c r="N8312" t="n">
        <v>0</v>
      </c>
      <c r="O8312" t="n">
        <v>0</v>
      </c>
      <c r="P8312" t="n">
        <v>0</v>
      </c>
      <c r="Q8312" t="n">
        <v>0</v>
      </c>
      <c r="R8312" s="2" t="inlineStr"/>
    </row>
    <row r="8313" ht="15" customHeight="1">
      <c r="A8313" t="inlineStr">
        <is>
          <t>A 72625-2021</t>
        </is>
      </c>
      <c r="B8313" s="1" t="n">
        <v>44546.55005787037</v>
      </c>
      <c r="C8313" s="1" t="n">
        <v>45952</v>
      </c>
      <c r="D8313" t="inlineStr">
        <is>
          <t>VÄSTRA GÖTALANDS LÄN</t>
        </is>
      </c>
      <c r="E8313" t="inlineStr">
        <is>
          <t>STRÖMSTAD</t>
        </is>
      </c>
      <c r="G8313" t="n">
        <v>1.2</v>
      </c>
      <c r="H8313" t="n">
        <v>0</v>
      </c>
      <c r="I8313" t="n">
        <v>0</v>
      </c>
      <c r="J8313" t="n">
        <v>0</v>
      </c>
      <c r="K8313" t="n">
        <v>0</v>
      </c>
      <c r="L8313" t="n">
        <v>0</v>
      </c>
      <c r="M8313" t="n">
        <v>0</v>
      </c>
      <c r="N8313" t="n">
        <v>0</v>
      </c>
      <c r="O8313" t="n">
        <v>0</v>
      </c>
      <c r="P8313" t="n">
        <v>0</v>
      </c>
      <c r="Q8313" t="n">
        <v>0</v>
      </c>
      <c r="R8313" s="2" t="inlineStr"/>
    </row>
    <row r="8314" ht="15" customHeight="1">
      <c r="A8314" t="inlineStr">
        <is>
          <t>A 39085-2023</t>
        </is>
      </c>
      <c r="B8314" s="1" t="n">
        <v>45164.34875</v>
      </c>
      <c r="C8314" s="1" t="n">
        <v>45952</v>
      </c>
      <c r="D8314" t="inlineStr">
        <is>
          <t>VÄSTRA GÖTALANDS LÄN</t>
        </is>
      </c>
      <c r="E8314" t="inlineStr">
        <is>
          <t>LYSEKIL</t>
        </is>
      </c>
      <c r="G8314" t="n">
        <v>0.6</v>
      </c>
      <c r="H8314" t="n">
        <v>0</v>
      </c>
      <c r="I8314" t="n">
        <v>0</v>
      </c>
      <c r="J8314" t="n">
        <v>0</v>
      </c>
      <c r="K8314" t="n">
        <v>0</v>
      </c>
      <c r="L8314" t="n">
        <v>0</v>
      </c>
      <c r="M8314" t="n">
        <v>0</v>
      </c>
      <c r="N8314" t="n">
        <v>0</v>
      </c>
      <c r="O8314" t="n">
        <v>0</v>
      </c>
      <c r="P8314" t="n">
        <v>0</v>
      </c>
      <c r="Q8314" t="n">
        <v>0</v>
      </c>
      <c r="R8314" s="2" t="inlineStr"/>
    </row>
    <row r="8315" ht="15" customHeight="1">
      <c r="A8315" t="inlineStr">
        <is>
          <t>A 39057-2025</t>
        </is>
      </c>
      <c r="B8315" s="1" t="n">
        <v>45888</v>
      </c>
      <c r="C8315" s="1" t="n">
        <v>45952</v>
      </c>
      <c r="D8315" t="inlineStr">
        <is>
          <t>VÄSTRA GÖTALANDS LÄN</t>
        </is>
      </c>
      <c r="E8315" t="inlineStr">
        <is>
          <t>HERRLJUNGA</t>
        </is>
      </c>
      <c r="G8315" t="n">
        <v>2.3</v>
      </c>
      <c r="H8315" t="n">
        <v>0</v>
      </c>
      <c r="I8315" t="n">
        <v>0</v>
      </c>
      <c r="J8315" t="n">
        <v>0</v>
      </c>
      <c r="K8315" t="n">
        <v>0</v>
      </c>
      <c r="L8315" t="n">
        <v>0</v>
      </c>
      <c r="M8315" t="n">
        <v>0</v>
      </c>
      <c r="N8315" t="n">
        <v>0</v>
      </c>
      <c r="O8315" t="n">
        <v>0</v>
      </c>
      <c r="P8315" t="n">
        <v>0</v>
      </c>
      <c r="Q8315" t="n">
        <v>0</v>
      </c>
      <c r="R8315" s="2" t="inlineStr"/>
    </row>
    <row r="8316" ht="15" customHeight="1">
      <c r="A8316" t="inlineStr">
        <is>
          <t>A 39060-2025</t>
        </is>
      </c>
      <c r="B8316" s="1" t="n">
        <v>45888.45876157407</v>
      </c>
      <c r="C8316" s="1" t="n">
        <v>45952</v>
      </c>
      <c r="D8316" t="inlineStr">
        <is>
          <t>VÄSTRA GÖTALANDS LÄN</t>
        </is>
      </c>
      <c r="E8316" t="inlineStr">
        <is>
          <t>BORÅS</t>
        </is>
      </c>
      <c r="G8316" t="n">
        <v>1</v>
      </c>
      <c r="H8316" t="n">
        <v>0</v>
      </c>
      <c r="I8316" t="n">
        <v>0</v>
      </c>
      <c r="J8316" t="n">
        <v>0</v>
      </c>
      <c r="K8316" t="n">
        <v>0</v>
      </c>
      <c r="L8316" t="n">
        <v>0</v>
      </c>
      <c r="M8316" t="n">
        <v>0</v>
      </c>
      <c r="N8316" t="n">
        <v>0</v>
      </c>
      <c r="O8316" t="n">
        <v>0</v>
      </c>
      <c r="P8316" t="n">
        <v>0</v>
      </c>
      <c r="Q8316" t="n">
        <v>0</v>
      </c>
      <c r="R8316" s="2" t="inlineStr"/>
    </row>
    <row r="8317" ht="15" customHeight="1">
      <c r="A8317" t="inlineStr">
        <is>
          <t>A 39082-2025</t>
        </is>
      </c>
      <c r="B8317" s="1" t="n">
        <v>45888.4877662037</v>
      </c>
      <c r="C8317" s="1" t="n">
        <v>45952</v>
      </c>
      <c r="D8317" t="inlineStr">
        <is>
          <t>VÄSTRA GÖTALANDS LÄN</t>
        </is>
      </c>
      <c r="E8317" t="inlineStr">
        <is>
          <t>BORÅS</t>
        </is>
      </c>
      <c r="G8317" t="n">
        <v>1.5</v>
      </c>
      <c r="H8317" t="n">
        <v>0</v>
      </c>
      <c r="I8317" t="n">
        <v>0</v>
      </c>
      <c r="J8317" t="n">
        <v>0</v>
      </c>
      <c r="K8317" t="n">
        <v>0</v>
      </c>
      <c r="L8317" t="n">
        <v>0</v>
      </c>
      <c r="M8317" t="n">
        <v>0</v>
      </c>
      <c r="N8317" t="n">
        <v>0</v>
      </c>
      <c r="O8317" t="n">
        <v>0</v>
      </c>
      <c r="P8317" t="n">
        <v>0</v>
      </c>
      <c r="Q8317" t="n">
        <v>0</v>
      </c>
      <c r="R8317" s="2" t="inlineStr"/>
    </row>
    <row r="8318" ht="15" customHeight="1">
      <c r="A8318" t="inlineStr">
        <is>
          <t>A 46512-2025</t>
        </is>
      </c>
      <c r="B8318" s="1" t="n">
        <v>45925</v>
      </c>
      <c r="C8318" s="1" t="n">
        <v>45952</v>
      </c>
      <c r="D8318" t="inlineStr">
        <is>
          <t>VÄSTRA GÖTALANDS LÄN</t>
        </is>
      </c>
      <c r="E8318" t="inlineStr">
        <is>
          <t>MARK</t>
        </is>
      </c>
      <c r="G8318" t="n">
        <v>0.5</v>
      </c>
      <c r="H8318" t="n">
        <v>0</v>
      </c>
      <c r="I8318" t="n">
        <v>0</v>
      </c>
      <c r="J8318" t="n">
        <v>0</v>
      </c>
      <c r="K8318" t="n">
        <v>0</v>
      </c>
      <c r="L8318" t="n">
        <v>0</v>
      </c>
      <c r="M8318" t="n">
        <v>0</v>
      </c>
      <c r="N8318" t="n">
        <v>0</v>
      </c>
      <c r="O8318" t="n">
        <v>0</v>
      </c>
      <c r="P8318" t="n">
        <v>0</v>
      </c>
      <c r="Q8318" t="n">
        <v>0</v>
      </c>
      <c r="R8318" s="2" t="inlineStr"/>
    </row>
    <row r="8319" ht="15" customHeight="1">
      <c r="A8319" t="inlineStr">
        <is>
          <t>A 46511-2025</t>
        </is>
      </c>
      <c r="B8319" s="1" t="n">
        <v>45925</v>
      </c>
      <c r="C8319" s="1" t="n">
        <v>45952</v>
      </c>
      <c r="D8319" t="inlineStr">
        <is>
          <t>VÄSTRA GÖTALANDS LÄN</t>
        </is>
      </c>
      <c r="E8319" t="inlineStr">
        <is>
          <t>MARK</t>
        </is>
      </c>
      <c r="G8319" t="n">
        <v>0.4</v>
      </c>
      <c r="H8319" t="n">
        <v>0</v>
      </c>
      <c r="I8319" t="n">
        <v>0</v>
      </c>
      <c r="J8319" t="n">
        <v>0</v>
      </c>
      <c r="K8319" t="n">
        <v>0</v>
      </c>
      <c r="L8319" t="n">
        <v>0</v>
      </c>
      <c r="M8319" t="n">
        <v>0</v>
      </c>
      <c r="N8319" t="n">
        <v>0</v>
      </c>
      <c r="O8319" t="n">
        <v>0</v>
      </c>
      <c r="P8319" t="n">
        <v>0</v>
      </c>
      <c r="Q8319" t="n">
        <v>0</v>
      </c>
      <c r="R8319" s="2" t="inlineStr"/>
    </row>
    <row r="8320" ht="15" customHeight="1">
      <c r="A8320" t="inlineStr">
        <is>
          <t>A 26568-2023</t>
        </is>
      </c>
      <c r="B8320" s="1" t="n">
        <v>45092</v>
      </c>
      <c r="C8320" s="1" t="n">
        <v>45952</v>
      </c>
      <c r="D8320" t="inlineStr">
        <is>
          <t>VÄSTRA GÖTALANDS LÄN</t>
        </is>
      </c>
      <c r="E8320" t="inlineStr">
        <is>
          <t>LERUM</t>
        </is>
      </c>
      <c r="G8320" t="n">
        <v>2.7</v>
      </c>
      <c r="H8320" t="n">
        <v>0</v>
      </c>
      <c r="I8320" t="n">
        <v>0</v>
      </c>
      <c r="J8320" t="n">
        <v>0</v>
      </c>
      <c r="K8320" t="n">
        <v>0</v>
      </c>
      <c r="L8320" t="n">
        <v>0</v>
      </c>
      <c r="M8320" t="n">
        <v>0</v>
      </c>
      <c r="N8320" t="n">
        <v>0</v>
      </c>
      <c r="O8320" t="n">
        <v>0</v>
      </c>
      <c r="P8320" t="n">
        <v>0</v>
      </c>
      <c r="Q8320" t="n">
        <v>0</v>
      </c>
      <c r="R8320" s="2" t="inlineStr"/>
    </row>
    <row r="8321" ht="15" customHeight="1">
      <c r="A8321" t="inlineStr">
        <is>
          <t>A 23610-2023</t>
        </is>
      </c>
      <c r="B8321" s="1" t="n">
        <v>45072</v>
      </c>
      <c r="C8321" s="1" t="n">
        <v>45952</v>
      </c>
      <c r="D8321" t="inlineStr">
        <is>
          <t>VÄSTRA GÖTALANDS LÄN</t>
        </is>
      </c>
      <c r="E8321" t="inlineStr">
        <is>
          <t>MUNKEDAL</t>
        </is>
      </c>
      <c r="F8321" t="inlineStr">
        <is>
          <t>Kommuner</t>
        </is>
      </c>
      <c r="G8321" t="n">
        <v>3.2</v>
      </c>
      <c r="H8321" t="n">
        <v>0</v>
      </c>
      <c r="I8321" t="n">
        <v>0</v>
      </c>
      <c r="J8321" t="n">
        <v>0</v>
      </c>
      <c r="K8321" t="n">
        <v>0</v>
      </c>
      <c r="L8321" t="n">
        <v>0</v>
      </c>
      <c r="M8321" t="n">
        <v>0</v>
      </c>
      <c r="N8321" t="n">
        <v>0</v>
      </c>
      <c r="O8321" t="n">
        <v>0</v>
      </c>
      <c r="P8321" t="n">
        <v>0</v>
      </c>
      <c r="Q8321" t="n">
        <v>0</v>
      </c>
      <c r="R8321" s="2" t="inlineStr"/>
    </row>
    <row r="8322" ht="15" customHeight="1">
      <c r="A8322" t="inlineStr">
        <is>
          <t>A 18529-2023</t>
        </is>
      </c>
      <c r="B8322" s="1" t="n">
        <v>45042.70158564814</v>
      </c>
      <c r="C8322" s="1" t="n">
        <v>45952</v>
      </c>
      <c r="D8322" t="inlineStr">
        <is>
          <t>VÄSTRA GÖTALANDS LÄN</t>
        </is>
      </c>
      <c r="E8322" t="inlineStr">
        <is>
          <t>ÅMÅL</t>
        </is>
      </c>
      <c r="G8322" t="n">
        <v>2</v>
      </c>
      <c r="H8322" t="n">
        <v>0</v>
      </c>
      <c r="I8322" t="n">
        <v>0</v>
      </c>
      <c r="J8322" t="n">
        <v>0</v>
      </c>
      <c r="K8322" t="n">
        <v>0</v>
      </c>
      <c r="L8322" t="n">
        <v>0</v>
      </c>
      <c r="M8322" t="n">
        <v>0</v>
      </c>
      <c r="N8322" t="n">
        <v>0</v>
      </c>
      <c r="O8322" t="n">
        <v>0</v>
      </c>
      <c r="P8322" t="n">
        <v>0</v>
      </c>
      <c r="Q8322" t="n">
        <v>0</v>
      </c>
      <c r="R8322" s="2" t="inlineStr"/>
    </row>
    <row r="8323" ht="15" customHeight="1">
      <c r="A8323" t="inlineStr">
        <is>
          <t>A 15727-2024</t>
        </is>
      </c>
      <c r="B8323" s="1" t="n">
        <v>45404.51903935185</v>
      </c>
      <c r="C8323" s="1" t="n">
        <v>45952</v>
      </c>
      <c r="D8323" t="inlineStr">
        <is>
          <t>VÄSTRA GÖTALANDS LÄN</t>
        </is>
      </c>
      <c r="E8323" t="inlineStr">
        <is>
          <t>BENGTSFORS</t>
        </is>
      </c>
      <c r="G8323" t="n">
        <v>1.8</v>
      </c>
      <c r="H8323" t="n">
        <v>0</v>
      </c>
      <c r="I8323" t="n">
        <v>0</v>
      </c>
      <c r="J8323" t="n">
        <v>0</v>
      </c>
      <c r="K8323" t="n">
        <v>0</v>
      </c>
      <c r="L8323" t="n">
        <v>0</v>
      </c>
      <c r="M8323" t="n">
        <v>0</v>
      </c>
      <c r="N8323" t="n">
        <v>0</v>
      </c>
      <c r="O8323" t="n">
        <v>0</v>
      </c>
      <c r="P8323" t="n">
        <v>0</v>
      </c>
      <c r="Q8323" t="n">
        <v>0</v>
      </c>
      <c r="R8323" s="2" t="inlineStr"/>
    </row>
    <row r="8324" ht="15" customHeight="1">
      <c r="A8324" t="inlineStr">
        <is>
          <t>A 27312-2023</t>
        </is>
      </c>
      <c r="B8324" s="1" t="n">
        <v>45096</v>
      </c>
      <c r="C8324" s="1" t="n">
        <v>45952</v>
      </c>
      <c r="D8324" t="inlineStr">
        <is>
          <t>VÄSTRA GÖTALANDS LÄN</t>
        </is>
      </c>
      <c r="E8324" t="inlineStr">
        <is>
          <t>TIDAHOLM</t>
        </is>
      </c>
      <c r="G8324" t="n">
        <v>3.3</v>
      </c>
      <c r="H8324" t="n">
        <v>0</v>
      </c>
      <c r="I8324" t="n">
        <v>0</v>
      </c>
      <c r="J8324" t="n">
        <v>0</v>
      </c>
      <c r="K8324" t="n">
        <v>0</v>
      </c>
      <c r="L8324" t="n">
        <v>0</v>
      </c>
      <c r="M8324" t="n">
        <v>0</v>
      </c>
      <c r="N8324" t="n">
        <v>0</v>
      </c>
      <c r="O8324" t="n">
        <v>0</v>
      </c>
      <c r="P8324" t="n">
        <v>0</v>
      </c>
      <c r="Q8324" t="n">
        <v>0</v>
      </c>
      <c r="R8324" s="2" t="inlineStr"/>
    </row>
    <row r="8325" ht="15" customHeight="1">
      <c r="A8325" t="inlineStr">
        <is>
          <t>A 64784-2023</t>
        </is>
      </c>
      <c r="B8325" s="1" t="n">
        <v>45282</v>
      </c>
      <c r="C8325" s="1" t="n">
        <v>45952</v>
      </c>
      <c r="D8325" t="inlineStr">
        <is>
          <t>VÄSTRA GÖTALANDS LÄN</t>
        </is>
      </c>
      <c r="E8325" t="inlineStr">
        <is>
          <t>TROLLHÄTTAN</t>
        </is>
      </c>
      <c r="G8325" t="n">
        <v>2.2</v>
      </c>
      <c r="H8325" t="n">
        <v>0</v>
      </c>
      <c r="I8325" t="n">
        <v>0</v>
      </c>
      <c r="J8325" t="n">
        <v>0</v>
      </c>
      <c r="K8325" t="n">
        <v>0</v>
      </c>
      <c r="L8325" t="n">
        <v>0</v>
      </c>
      <c r="M8325" t="n">
        <v>0</v>
      </c>
      <c r="N8325" t="n">
        <v>0</v>
      </c>
      <c r="O8325" t="n">
        <v>0</v>
      </c>
      <c r="P8325" t="n">
        <v>0</v>
      </c>
      <c r="Q8325" t="n">
        <v>0</v>
      </c>
      <c r="R8325" s="2" t="inlineStr"/>
    </row>
    <row r="8326" ht="15" customHeight="1">
      <c r="A8326" t="inlineStr">
        <is>
          <t>A 64846-2023</t>
        </is>
      </c>
      <c r="B8326" s="1" t="n">
        <v>45282</v>
      </c>
      <c r="C8326" s="1" t="n">
        <v>45952</v>
      </c>
      <c r="D8326" t="inlineStr">
        <is>
          <t>VÄSTRA GÖTALANDS LÄN</t>
        </is>
      </c>
      <c r="E8326" t="inlineStr">
        <is>
          <t>ESSUNGA</t>
        </is>
      </c>
      <c r="G8326" t="n">
        <v>1</v>
      </c>
      <c r="H8326" t="n">
        <v>0</v>
      </c>
      <c r="I8326" t="n">
        <v>0</v>
      </c>
      <c r="J8326" t="n">
        <v>0</v>
      </c>
      <c r="K8326" t="n">
        <v>0</v>
      </c>
      <c r="L8326" t="n">
        <v>0</v>
      </c>
      <c r="M8326" t="n">
        <v>0</v>
      </c>
      <c r="N8326" t="n">
        <v>0</v>
      </c>
      <c r="O8326" t="n">
        <v>0</v>
      </c>
      <c r="P8326" t="n">
        <v>0</v>
      </c>
      <c r="Q8326" t="n">
        <v>0</v>
      </c>
      <c r="R8326" s="2" t="inlineStr"/>
    </row>
    <row r="8327" ht="15" customHeight="1">
      <c r="A8327" t="inlineStr">
        <is>
          <t>A 20005-2021</t>
        </is>
      </c>
      <c r="B8327" s="1" t="n">
        <v>44313.89017361111</v>
      </c>
      <c r="C8327" s="1" t="n">
        <v>45952</v>
      </c>
      <c r="D8327" t="inlineStr">
        <is>
          <t>VÄSTRA GÖTALANDS LÄN</t>
        </is>
      </c>
      <c r="E8327" t="inlineStr">
        <is>
          <t>HERRLJUNGA</t>
        </is>
      </c>
      <c r="G8327" t="n">
        <v>0.3</v>
      </c>
      <c r="H8327" t="n">
        <v>0</v>
      </c>
      <c r="I8327" t="n">
        <v>0</v>
      </c>
      <c r="J8327" t="n">
        <v>0</v>
      </c>
      <c r="K8327" t="n">
        <v>0</v>
      </c>
      <c r="L8327" t="n">
        <v>0</v>
      </c>
      <c r="M8327" t="n">
        <v>0</v>
      </c>
      <c r="N8327" t="n">
        <v>0</v>
      </c>
      <c r="O8327" t="n">
        <v>0</v>
      </c>
      <c r="P8327" t="n">
        <v>0</v>
      </c>
      <c r="Q8327" t="n">
        <v>0</v>
      </c>
      <c r="R8327" s="2" t="inlineStr"/>
    </row>
    <row r="8328" ht="15" customHeight="1">
      <c r="A8328" t="inlineStr">
        <is>
          <t>A 49293-2024</t>
        </is>
      </c>
      <c r="B8328" s="1" t="n">
        <v>45595.53736111111</v>
      </c>
      <c r="C8328" s="1" t="n">
        <v>45952</v>
      </c>
      <c r="D8328" t="inlineStr">
        <is>
          <t>VÄSTRA GÖTALANDS LÄN</t>
        </is>
      </c>
      <c r="E8328" t="inlineStr">
        <is>
          <t>HERRLJUNGA</t>
        </is>
      </c>
      <c r="G8328" t="n">
        <v>1.6</v>
      </c>
      <c r="H8328" t="n">
        <v>0</v>
      </c>
      <c r="I8328" t="n">
        <v>0</v>
      </c>
      <c r="J8328" t="n">
        <v>0</v>
      </c>
      <c r="K8328" t="n">
        <v>0</v>
      </c>
      <c r="L8328" t="n">
        <v>0</v>
      </c>
      <c r="M8328" t="n">
        <v>0</v>
      </c>
      <c r="N8328" t="n">
        <v>0</v>
      </c>
      <c r="O8328" t="n">
        <v>0</v>
      </c>
      <c r="P8328" t="n">
        <v>0</v>
      </c>
      <c r="Q8328" t="n">
        <v>0</v>
      </c>
      <c r="R8328" s="2" t="inlineStr"/>
    </row>
    <row r="8329" ht="15" customHeight="1">
      <c r="A8329" t="inlineStr">
        <is>
          <t>A 4315-2024</t>
        </is>
      </c>
      <c r="B8329" s="1" t="n">
        <v>45324</v>
      </c>
      <c r="C8329" s="1" t="n">
        <v>45952</v>
      </c>
      <c r="D8329" t="inlineStr">
        <is>
          <t>VÄSTRA GÖTALANDS LÄN</t>
        </is>
      </c>
      <c r="E8329" t="inlineStr">
        <is>
          <t>HÄRRYDA</t>
        </is>
      </c>
      <c r="G8329" t="n">
        <v>0.9</v>
      </c>
      <c r="H8329" t="n">
        <v>0</v>
      </c>
      <c r="I8329" t="n">
        <v>0</v>
      </c>
      <c r="J8329" t="n">
        <v>0</v>
      </c>
      <c r="K8329" t="n">
        <v>0</v>
      </c>
      <c r="L8329" t="n">
        <v>0</v>
      </c>
      <c r="M8329" t="n">
        <v>0</v>
      </c>
      <c r="N8329" t="n">
        <v>0</v>
      </c>
      <c r="O8329" t="n">
        <v>0</v>
      </c>
      <c r="P8329" t="n">
        <v>0</v>
      </c>
      <c r="Q8329" t="n">
        <v>0</v>
      </c>
      <c r="R8329" s="2" t="inlineStr"/>
    </row>
    <row r="8330" ht="15" customHeight="1">
      <c r="A8330" t="inlineStr">
        <is>
          <t>A 22016-2025</t>
        </is>
      </c>
      <c r="B8330" s="1" t="n">
        <v>45784.78254629629</v>
      </c>
      <c r="C8330" s="1" t="n">
        <v>45952</v>
      </c>
      <c r="D8330" t="inlineStr">
        <is>
          <t>VÄSTRA GÖTALANDS LÄN</t>
        </is>
      </c>
      <c r="E8330" t="inlineStr">
        <is>
          <t>TROLLHÄTTAN</t>
        </is>
      </c>
      <c r="G8330" t="n">
        <v>2.1</v>
      </c>
      <c r="H8330" t="n">
        <v>0</v>
      </c>
      <c r="I8330" t="n">
        <v>0</v>
      </c>
      <c r="J8330" t="n">
        <v>0</v>
      </c>
      <c r="K8330" t="n">
        <v>0</v>
      </c>
      <c r="L8330" t="n">
        <v>0</v>
      </c>
      <c r="M8330" t="n">
        <v>0</v>
      </c>
      <c r="N8330" t="n">
        <v>0</v>
      </c>
      <c r="O8330" t="n">
        <v>0</v>
      </c>
      <c r="P8330" t="n">
        <v>0</v>
      </c>
      <c r="Q8330" t="n">
        <v>0</v>
      </c>
      <c r="R8330" s="2" t="inlineStr"/>
    </row>
    <row r="8331" ht="15" customHeight="1">
      <c r="A8331" t="inlineStr">
        <is>
          <t>A 22021-2025</t>
        </is>
      </c>
      <c r="B8331" s="1" t="n">
        <v>45784</v>
      </c>
      <c r="C8331" s="1" t="n">
        <v>45952</v>
      </c>
      <c r="D8331" t="inlineStr">
        <is>
          <t>VÄSTRA GÖTALANDS LÄN</t>
        </is>
      </c>
      <c r="E8331" t="inlineStr">
        <is>
          <t>SKÖVDE</t>
        </is>
      </c>
      <c r="G8331" t="n">
        <v>3.3</v>
      </c>
      <c r="H8331" t="n">
        <v>0</v>
      </c>
      <c r="I8331" t="n">
        <v>0</v>
      </c>
      <c r="J8331" t="n">
        <v>0</v>
      </c>
      <c r="K8331" t="n">
        <v>0</v>
      </c>
      <c r="L8331" t="n">
        <v>0</v>
      </c>
      <c r="M8331" t="n">
        <v>0</v>
      </c>
      <c r="N8331" t="n">
        <v>0</v>
      </c>
      <c r="O8331" t="n">
        <v>0</v>
      </c>
      <c r="P8331" t="n">
        <v>0</v>
      </c>
      <c r="Q8331" t="n">
        <v>0</v>
      </c>
      <c r="R8331" s="2" t="inlineStr"/>
    </row>
    <row r="8332" ht="15" customHeight="1">
      <c r="A8332" t="inlineStr">
        <is>
          <t>A 38977-2025</t>
        </is>
      </c>
      <c r="B8332" s="1" t="n">
        <v>45887.78379629629</v>
      </c>
      <c r="C8332" s="1" t="n">
        <v>45952</v>
      </c>
      <c r="D8332" t="inlineStr">
        <is>
          <t>VÄSTRA GÖTALANDS LÄN</t>
        </is>
      </c>
      <c r="E8332" t="inlineStr">
        <is>
          <t>MUNKEDAL</t>
        </is>
      </c>
      <c r="G8332" t="n">
        <v>2.2</v>
      </c>
      <c r="H8332" t="n">
        <v>0</v>
      </c>
      <c r="I8332" t="n">
        <v>0</v>
      </c>
      <c r="J8332" t="n">
        <v>0</v>
      </c>
      <c r="K8332" t="n">
        <v>0</v>
      </c>
      <c r="L8332" t="n">
        <v>0</v>
      </c>
      <c r="M8332" t="n">
        <v>0</v>
      </c>
      <c r="N8332" t="n">
        <v>0</v>
      </c>
      <c r="O8332" t="n">
        <v>0</v>
      </c>
      <c r="P8332" t="n">
        <v>0</v>
      </c>
      <c r="Q8332" t="n">
        <v>0</v>
      </c>
      <c r="R8332" s="2" t="inlineStr"/>
    </row>
    <row r="8333" ht="15" customHeight="1">
      <c r="A8333" t="inlineStr">
        <is>
          <t>A 4316-2024</t>
        </is>
      </c>
      <c r="B8333" s="1" t="n">
        <v>45324.65905092593</v>
      </c>
      <c r="C8333" s="1" t="n">
        <v>45952</v>
      </c>
      <c r="D8333" t="inlineStr">
        <is>
          <t>VÄSTRA GÖTALANDS LÄN</t>
        </is>
      </c>
      <c r="E8333" t="inlineStr">
        <is>
          <t>TIBRO</t>
        </is>
      </c>
      <c r="G8333" t="n">
        <v>0.6</v>
      </c>
      <c r="H8333" t="n">
        <v>0</v>
      </c>
      <c r="I8333" t="n">
        <v>0</v>
      </c>
      <c r="J8333" t="n">
        <v>0</v>
      </c>
      <c r="K8333" t="n">
        <v>0</v>
      </c>
      <c r="L8333" t="n">
        <v>0</v>
      </c>
      <c r="M8333" t="n">
        <v>0</v>
      </c>
      <c r="N8333" t="n">
        <v>0</v>
      </c>
      <c r="O8333" t="n">
        <v>0</v>
      </c>
      <c r="P8333" t="n">
        <v>0</v>
      </c>
      <c r="Q8333" t="n">
        <v>0</v>
      </c>
      <c r="R8333" s="2" t="inlineStr"/>
    </row>
    <row r="8334" ht="15" customHeight="1">
      <c r="A8334" t="inlineStr">
        <is>
          <t>A 4363-2024</t>
        </is>
      </c>
      <c r="B8334" s="1" t="n">
        <v>45325</v>
      </c>
      <c r="C8334" s="1" t="n">
        <v>45952</v>
      </c>
      <c r="D8334" t="inlineStr">
        <is>
          <t>VÄSTRA GÖTALANDS LÄN</t>
        </is>
      </c>
      <c r="E8334" t="inlineStr">
        <is>
          <t>ALE</t>
        </is>
      </c>
      <c r="G8334" t="n">
        <v>0.6</v>
      </c>
      <c r="H8334" t="n">
        <v>0</v>
      </c>
      <c r="I8334" t="n">
        <v>0</v>
      </c>
      <c r="J8334" t="n">
        <v>0</v>
      </c>
      <c r="K8334" t="n">
        <v>0</v>
      </c>
      <c r="L8334" t="n">
        <v>0</v>
      </c>
      <c r="M8334" t="n">
        <v>0</v>
      </c>
      <c r="N8334" t="n">
        <v>0</v>
      </c>
      <c r="O8334" t="n">
        <v>0</v>
      </c>
      <c r="P8334" t="n">
        <v>0</v>
      </c>
      <c r="Q8334" t="n">
        <v>0</v>
      </c>
      <c r="R8334" s="2" t="inlineStr"/>
    </row>
    <row r="8335" ht="15" customHeight="1">
      <c r="A8335" t="inlineStr">
        <is>
          <t>A 4369-2024</t>
        </is>
      </c>
      <c r="B8335" s="1" t="n">
        <v>45326.67398148148</v>
      </c>
      <c r="C8335" s="1" t="n">
        <v>45952</v>
      </c>
      <c r="D8335" t="inlineStr">
        <is>
          <t>VÄSTRA GÖTALANDS LÄN</t>
        </is>
      </c>
      <c r="E8335" t="inlineStr">
        <is>
          <t>DALS-ED</t>
        </is>
      </c>
      <c r="G8335" t="n">
        <v>4.2</v>
      </c>
      <c r="H8335" t="n">
        <v>0</v>
      </c>
      <c r="I8335" t="n">
        <v>0</v>
      </c>
      <c r="J8335" t="n">
        <v>0</v>
      </c>
      <c r="K8335" t="n">
        <v>0</v>
      </c>
      <c r="L8335" t="n">
        <v>0</v>
      </c>
      <c r="M8335" t="n">
        <v>0</v>
      </c>
      <c r="N8335" t="n">
        <v>0</v>
      </c>
      <c r="O8335" t="n">
        <v>0</v>
      </c>
      <c r="P8335" t="n">
        <v>0</v>
      </c>
      <c r="Q8335" t="n">
        <v>0</v>
      </c>
      <c r="R8335" s="2" t="inlineStr"/>
    </row>
    <row r="8336" ht="15" customHeight="1">
      <c r="A8336" t="inlineStr">
        <is>
          <t>A 1956-2023</t>
        </is>
      </c>
      <c r="B8336" s="1" t="n">
        <v>44924</v>
      </c>
      <c r="C8336" s="1" t="n">
        <v>45952</v>
      </c>
      <c r="D8336" t="inlineStr">
        <is>
          <t>VÄSTRA GÖTALANDS LÄN</t>
        </is>
      </c>
      <c r="E8336" t="inlineStr">
        <is>
          <t>UDDEVALLA</t>
        </is>
      </c>
      <c r="G8336" t="n">
        <v>2.4</v>
      </c>
      <c r="H8336" t="n">
        <v>0</v>
      </c>
      <c r="I8336" t="n">
        <v>0</v>
      </c>
      <c r="J8336" t="n">
        <v>0</v>
      </c>
      <c r="K8336" t="n">
        <v>0</v>
      </c>
      <c r="L8336" t="n">
        <v>0</v>
      </c>
      <c r="M8336" t="n">
        <v>0</v>
      </c>
      <c r="N8336" t="n">
        <v>0</v>
      </c>
      <c r="O8336" t="n">
        <v>0</v>
      </c>
      <c r="P8336" t="n">
        <v>0</v>
      </c>
      <c r="Q8336" t="n">
        <v>0</v>
      </c>
      <c r="R8336" s="2" t="inlineStr"/>
    </row>
    <row r="8337" ht="15" customHeight="1">
      <c r="A8337" t="inlineStr">
        <is>
          <t>A 54181-2024</t>
        </is>
      </c>
      <c r="B8337" s="1" t="n">
        <v>45616.63821759259</v>
      </c>
      <c r="C8337" s="1" t="n">
        <v>45952</v>
      </c>
      <c r="D8337" t="inlineStr">
        <is>
          <t>VÄSTRA GÖTALANDS LÄN</t>
        </is>
      </c>
      <c r="E8337" t="inlineStr">
        <is>
          <t>ÅMÅL</t>
        </is>
      </c>
      <c r="G8337" t="n">
        <v>1.7</v>
      </c>
      <c r="H8337" t="n">
        <v>0</v>
      </c>
      <c r="I8337" t="n">
        <v>0</v>
      </c>
      <c r="J8337" t="n">
        <v>0</v>
      </c>
      <c r="K8337" t="n">
        <v>0</v>
      </c>
      <c r="L8337" t="n">
        <v>0</v>
      </c>
      <c r="M8337" t="n">
        <v>0</v>
      </c>
      <c r="N8337" t="n">
        <v>0</v>
      </c>
      <c r="O8337" t="n">
        <v>0</v>
      </c>
      <c r="P8337" t="n">
        <v>0</v>
      </c>
      <c r="Q8337" t="n">
        <v>0</v>
      </c>
      <c r="R8337" s="2" t="inlineStr"/>
    </row>
    <row r="8338" ht="15" customHeight="1">
      <c r="A8338" t="inlineStr">
        <is>
          <t>A 52897-2023</t>
        </is>
      </c>
      <c r="B8338" s="1" t="n">
        <v>45226</v>
      </c>
      <c r="C8338" s="1" t="n">
        <v>45952</v>
      </c>
      <c r="D8338" t="inlineStr">
        <is>
          <t>VÄSTRA GÖTALANDS LÄN</t>
        </is>
      </c>
      <c r="E8338" t="inlineStr">
        <is>
          <t>FALKÖPING</t>
        </is>
      </c>
      <c r="G8338" t="n">
        <v>1</v>
      </c>
      <c r="H8338" t="n">
        <v>0</v>
      </c>
      <c r="I8338" t="n">
        <v>0</v>
      </c>
      <c r="J8338" t="n">
        <v>0</v>
      </c>
      <c r="K8338" t="n">
        <v>0</v>
      </c>
      <c r="L8338" t="n">
        <v>0</v>
      </c>
      <c r="M8338" t="n">
        <v>0</v>
      </c>
      <c r="N8338" t="n">
        <v>0</v>
      </c>
      <c r="O8338" t="n">
        <v>0</v>
      </c>
      <c r="P8338" t="n">
        <v>0</v>
      </c>
      <c r="Q8338" t="n">
        <v>0</v>
      </c>
      <c r="R8338" s="2" t="inlineStr"/>
    </row>
    <row r="8339" ht="15" customHeight="1">
      <c r="A8339" t="inlineStr">
        <is>
          <t>A 62535-2023</t>
        </is>
      </c>
      <c r="B8339" s="1" t="n">
        <v>45268</v>
      </c>
      <c r="C8339" s="1" t="n">
        <v>45952</v>
      </c>
      <c r="D8339" t="inlineStr">
        <is>
          <t>VÄSTRA GÖTALANDS LÄN</t>
        </is>
      </c>
      <c r="E8339" t="inlineStr">
        <is>
          <t>VÅRGÅRDA</t>
        </is>
      </c>
      <c r="G8339" t="n">
        <v>1</v>
      </c>
      <c r="H8339" t="n">
        <v>0</v>
      </c>
      <c r="I8339" t="n">
        <v>0</v>
      </c>
      <c r="J8339" t="n">
        <v>0</v>
      </c>
      <c r="K8339" t="n">
        <v>0</v>
      </c>
      <c r="L8339" t="n">
        <v>0</v>
      </c>
      <c r="M8339" t="n">
        <v>0</v>
      </c>
      <c r="N8339" t="n">
        <v>0</v>
      </c>
      <c r="O8339" t="n">
        <v>0</v>
      </c>
      <c r="P8339" t="n">
        <v>0</v>
      </c>
      <c r="Q8339" t="n">
        <v>0</v>
      </c>
      <c r="R8339" s="2" t="inlineStr"/>
    </row>
    <row r="8340" ht="15" customHeight="1">
      <c r="A8340" t="inlineStr">
        <is>
          <t>A 56967-2024</t>
        </is>
      </c>
      <c r="B8340" s="1" t="n">
        <v>45628.6622337963</v>
      </c>
      <c r="C8340" s="1" t="n">
        <v>45952</v>
      </c>
      <c r="D8340" t="inlineStr">
        <is>
          <t>VÄSTRA GÖTALANDS LÄN</t>
        </is>
      </c>
      <c r="E8340" t="inlineStr">
        <is>
          <t>BENGTSFORS</t>
        </is>
      </c>
      <c r="G8340" t="n">
        <v>2.8</v>
      </c>
      <c r="H8340" t="n">
        <v>0</v>
      </c>
      <c r="I8340" t="n">
        <v>0</v>
      </c>
      <c r="J8340" t="n">
        <v>0</v>
      </c>
      <c r="K8340" t="n">
        <v>0</v>
      </c>
      <c r="L8340" t="n">
        <v>0</v>
      </c>
      <c r="M8340" t="n">
        <v>0</v>
      </c>
      <c r="N8340" t="n">
        <v>0</v>
      </c>
      <c r="O8340" t="n">
        <v>0</v>
      </c>
      <c r="P8340" t="n">
        <v>0</v>
      </c>
      <c r="Q8340" t="n">
        <v>0</v>
      </c>
      <c r="R8340" s="2" t="inlineStr"/>
    </row>
    <row r="8341" ht="15" customHeight="1">
      <c r="A8341" t="inlineStr">
        <is>
          <t>A 8452-2023</t>
        </is>
      </c>
      <c r="B8341" s="1" t="n">
        <v>44977.48174768518</v>
      </c>
      <c r="C8341" s="1" t="n">
        <v>45952</v>
      </c>
      <c r="D8341" t="inlineStr">
        <is>
          <t>VÄSTRA GÖTALANDS LÄN</t>
        </is>
      </c>
      <c r="E8341" t="inlineStr">
        <is>
          <t>FÄRGELANDA</t>
        </is>
      </c>
      <c r="G8341" t="n">
        <v>3.1</v>
      </c>
      <c r="H8341" t="n">
        <v>0</v>
      </c>
      <c r="I8341" t="n">
        <v>0</v>
      </c>
      <c r="J8341" t="n">
        <v>0</v>
      </c>
      <c r="K8341" t="n">
        <v>0</v>
      </c>
      <c r="L8341" t="n">
        <v>0</v>
      </c>
      <c r="M8341" t="n">
        <v>0</v>
      </c>
      <c r="N8341" t="n">
        <v>0</v>
      </c>
      <c r="O8341" t="n">
        <v>0</v>
      </c>
      <c r="P8341" t="n">
        <v>0</v>
      </c>
      <c r="Q8341" t="n">
        <v>0</v>
      </c>
      <c r="R8341" s="2" t="inlineStr"/>
    </row>
    <row r="8342" ht="15" customHeight="1">
      <c r="A8342" t="inlineStr">
        <is>
          <t>A 60590-2024</t>
        </is>
      </c>
      <c r="B8342" s="1" t="n">
        <v>45644.35127314815</v>
      </c>
      <c r="C8342" s="1" t="n">
        <v>45952</v>
      </c>
      <c r="D8342" t="inlineStr">
        <is>
          <t>VÄSTRA GÖTALANDS LÄN</t>
        </is>
      </c>
      <c r="E8342" t="inlineStr">
        <is>
          <t>DALS-ED</t>
        </is>
      </c>
      <c r="G8342" t="n">
        <v>2.2</v>
      </c>
      <c r="H8342" t="n">
        <v>0</v>
      </c>
      <c r="I8342" t="n">
        <v>0</v>
      </c>
      <c r="J8342" t="n">
        <v>0</v>
      </c>
      <c r="K8342" t="n">
        <v>0</v>
      </c>
      <c r="L8342" t="n">
        <v>0</v>
      </c>
      <c r="M8342" t="n">
        <v>0</v>
      </c>
      <c r="N8342" t="n">
        <v>0</v>
      </c>
      <c r="O8342" t="n">
        <v>0</v>
      </c>
      <c r="P8342" t="n">
        <v>0</v>
      </c>
      <c r="Q8342" t="n">
        <v>0</v>
      </c>
      <c r="R8342" s="2" t="inlineStr"/>
    </row>
    <row r="8343" ht="15" customHeight="1">
      <c r="A8343" t="inlineStr">
        <is>
          <t>A 5164-2024</t>
        </is>
      </c>
      <c r="B8343" s="1" t="n">
        <v>45330.53326388889</v>
      </c>
      <c r="C8343" s="1" t="n">
        <v>45952</v>
      </c>
      <c r="D8343" t="inlineStr">
        <is>
          <t>VÄSTRA GÖTALANDS LÄN</t>
        </is>
      </c>
      <c r="E8343" t="inlineStr">
        <is>
          <t>MARIESTAD</t>
        </is>
      </c>
      <c r="G8343" t="n">
        <v>0.6</v>
      </c>
      <c r="H8343" t="n">
        <v>0</v>
      </c>
      <c r="I8343" t="n">
        <v>0</v>
      </c>
      <c r="J8343" t="n">
        <v>0</v>
      </c>
      <c r="K8343" t="n">
        <v>0</v>
      </c>
      <c r="L8343" t="n">
        <v>0</v>
      </c>
      <c r="M8343" t="n">
        <v>0</v>
      </c>
      <c r="N8343" t="n">
        <v>0</v>
      </c>
      <c r="O8343" t="n">
        <v>0</v>
      </c>
      <c r="P8343" t="n">
        <v>0</v>
      </c>
      <c r="Q8343" t="n">
        <v>0</v>
      </c>
      <c r="R8343" s="2" t="inlineStr"/>
    </row>
    <row r="8344" ht="15" customHeight="1">
      <c r="A8344" t="inlineStr">
        <is>
          <t>A 22157-2025</t>
        </is>
      </c>
      <c r="B8344" s="1" t="n">
        <v>45785.57702546296</v>
      </c>
      <c r="C8344" s="1" t="n">
        <v>45952</v>
      </c>
      <c r="D8344" t="inlineStr">
        <is>
          <t>VÄSTRA GÖTALANDS LÄN</t>
        </is>
      </c>
      <c r="E8344" t="inlineStr">
        <is>
          <t>MARK</t>
        </is>
      </c>
      <c r="G8344" t="n">
        <v>1.8</v>
      </c>
      <c r="H8344" t="n">
        <v>0</v>
      </c>
      <c r="I8344" t="n">
        <v>0</v>
      </c>
      <c r="J8344" t="n">
        <v>0</v>
      </c>
      <c r="K8344" t="n">
        <v>0</v>
      </c>
      <c r="L8344" t="n">
        <v>0</v>
      </c>
      <c r="M8344" t="n">
        <v>0</v>
      </c>
      <c r="N8344" t="n">
        <v>0</v>
      </c>
      <c r="O8344" t="n">
        <v>0</v>
      </c>
      <c r="P8344" t="n">
        <v>0</v>
      </c>
      <c r="Q8344" t="n">
        <v>0</v>
      </c>
      <c r="R8344" s="2" t="inlineStr"/>
    </row>
    <row r="8345" ht="15" customHeight="1">
      <c r="A8345" t="inlineStr">
        <is>
          <t>A 25135-2023</t>
        </is>
      </c>
      <c r="B8345" s="1" t="n">
        <v>45086.45140046296</v>
      </c>
      <c r="C8345" s="1" t="n">
        <v>45952</v>
      </c>
      <c r="D8345" t="inlineStr">
        <is>
          <t>VÄSTRA GÖTALANDS LÄN</t>
        </is>
      </c>
      <c r="E8345" t="inlineStr">
        <is>
          <t>SVENLJUNGA</t>
        </is>
      </c>
      <c r="G8345" t="n">
        <v>2</v>
      </c>
      <c r="H8345" t="n">
        <v>0</v>
      </c>
      <c r="I8345" t="n">
        <v>0</v>
      </c>
      <c r="J8345" t="n">
        <v>0</v>
      </c>
      <c r="K8345" t="n">
        <v>0</v>
      </c>
      <c r="L8345" t="n">
        <v>0</v>
      </c>
      <c r="M8345" t="n">
        <v>0</v>
      </c>
      <c r="N8345" t="n">
        <v>0</v>
      </c>
      <c r="O8345" t="n">
        <v>0</v>
      </c>
      <c r="P8345" t="n">
        <v>0</v>
      </c>
      <c r="Q8345" t="n">
        <v>0</v>
      </c>
      <c r="R8345" s="2" t="inlineStr"/>
    </row>
    <row r="8346" ht="15" customHeight="1">
      <c r="A8346" t="inlineStr">
        <is>
          <t>A 51053-2022</t>
        </is>
      </c>
      <c r="B8346" s="1" t="n">
        <v>44868</v>
      </c>
      <c r="C8346" s="1" t="n">
        <v>45952</v>
      </c>
      <c r="D8346" t="inlineStr">
        <is>
          <t>VÄSTRA GÖTALANDS LÄN</t>
        </is>
      </c>
      <c r="E8346" t="inlineStr">
        <is>
          <t>BENGTSFORS</t>
        </is>
      </c>
      <c r="G8346" t="n">
        <v>4.1</v>
      </c>
      <c r="H8346" t="n">
        <v>0</v>
      </c>
      <c r="I8346" t="n">
        <v>0</v>
      </c>
      <c r="J8346" t="n">
        <v>0</v>
      </c>
      <c r="K8346" t="n">
        <v>0</v>
      </c>
      <c r="L8346" t="n">
        <v>0</v>
      </c>
      <c r="M8346" t="n">
        <v>0</v>
      </c>
      <c r="N8346" t="n">
        <v>0</v>
      </c>
      <c r="O8346" t="n">
        <v>0</v>
      </c>
      <c r="P8346" t="n">
        <v>0</v>
      </c>
      <c r="Q8346" t="n">
        <v>0</v>
      </c>
      <c r="R8346" s="2" t="inlineStr"/>
    </row>
    <row r="8347" ht="15" customHeight="1">
      <c r="A8347" t="inlineStr">
        <is>
          <t>A 2366-2025</t>
        </is>
      </c>
      <c r="B8347" s="1" t="n">
        <v>45673.72951388889</v>
      </c>
      <c r="C8347" s="1" t="n">
        <v>45952</v>
      </c>
      <c r="D8347" t="inlineStr">
        <is>
          <t>VÄSTRA GÖTALANDS LÄN</t>
        </is>
      </c>
      <c r="E8347" t="inlineStr">
        <is>
          <t>MARK</t>
        </is>
      </c>
      <c r="G8347" t="n">
        <v>2.8</v>
      </c>
      <c r="H8347" t="n">
        <v>0</v>
      </c>
      <c r="I8347" t="n">
        <v>0</v>
      </c>
      <c r="J8347" t="n">
        <v>0</v>
      </c>
      <c r="K8347" t="n">
        <v>0</v>
      </c>
      <c r="L8347" t="n">
        <v>0</v>
      </c>
      <c r="M8347" t="n">
        <v>0</v>
      </c>
      <c r="N8347" t="n">
        <v>0</v>
      </c>
      <c r="O8347" t="n">
        <v>0</v>
      </c>
      <c r="P8347" t="n">
        <v>0</v>
      </c>
      <c r="Q8347" t="n">
        <v>0</v>
      </c>
      <c r="R8347" s="2" t="inlineStr"/>
    </row>
    <row r="8348" ht="15" customHeight="1">
      <c r="A8348" t="inlineStr">
        <is>
          <t>A 13247-2021</t>
        </is>
      </c>
      <c r="B8348" s="1" t="n">
        <v>44272.62681712963</v>
      </c>
      <c r="C8348" s="1" t="n">
        <v>45952</v>
      </c>
      <c r="D8348" t="inlineStr">
        <is>
          <t>VÄSTRA GÖTALANDS LÄN</t>
        </is>
      </c>
      <c r="E8348" t="inlineStr">
        <is>
          <t>GÖTENE</t>
        </is>
      </c>
      <c r="G8348" t="n">
        <v>3.8</v>
      </c>
      <c r="H8348" t="n">
        <v>0</v>
      </c>
      <c r="I8348" t="n">
        <v>0</v>
      </c>
      <c r="J8348" t="n">
        <v>0</v>
      </c>
      <c r="K8348" t="n">
        <v>0</v>
      </c>
      <c r="L8348" t="n">
        <v>0</v>
      </c>
      <c r="M8348" t="n">
        <v>0</v>
      </c>
      <c r="N8348" t="n">
        <v>0</v>
      </c>
      <c r="O8348" t="n">
        <v>0</v>
      </c>
      <c r="P8348" t="n">
        <v>0</v>
      </c>
      <c r="Q8348" t="n">
        <v>0</v>
      </c>
      <c r="R8348" s="2" t="inlineStr"/>
    </row>
    <row r="8349" ht="15" customHeight="1">
      <c r="A8349" t="inlineStr">
        <is>
          <t>A 36232-2023</t>
        </is>
      </c>
      <c r="B8349" s="1" t="n">
        <v>45150.39412037037</v>
      </c>
      <c r="C8349" s="1" t="n">
        <v>45952</v>
      </c>
      <c r="D8349" t="inlineStr">
        <is>
          <t>VÄSTRA GÖTALANDS LÄN</t>
        </is>
      </c>
      <c r="E8349" t="inlineStr">
        <is>
          <t>DALS-ED</t>
        </is>
      </c>
      <c r="G8349" t="n">
        <v>1.4</v>
      </c>
      <c r="H8349" t="n">
        <v>0</v>
      </c>
      <c r="I8349" t="n">
        <v>0</v>
      </c>
      <c r="J8349" t="n">
        <v>0</v>
      </c>
      <c r="K8349" t="n">
        <v>0</v>
      </c>
      <c r="L8349" t="n">
        <v>0</v>
      </c>
      <c r="M8349" t="n">
        <v>0</v>
      </c>
      <c r="N8349" t="n">
        <v>0</v>
      </c>
      <c r="O8349" t="n">
        <v>0</v>
      </c>
      <c r="P8349" t="n">
        <v>0</v>
      </c>
      <c r="Q8349" t="n">
        <v>0</v>
      </c>
      <c r="R8349" s="2" t="inlineStr"/>
    </row>
    <row r="8350" ht="15" customHeight="1">
      <c r="A8350" t="inlineStr">
        <is>
          <t>A 62045-2024</t>
        </is>
      </c>
      <c r="B8350" s="1" t="n">
        <v>45656.36090277778</v>
      </c>
      <c r="C8350" s="1" t="n">
        <v>45952</v>
      </c>
      <c r="D8350" t="inlineStr">
        <is>
          <t>VÄSTRA GÖTALANDS LÄN</t>
        </is>
      </c>
      <c r="E8350" t="inlineStr">
        <is>
          <t>UDDEVALLA</t>
        </is>
      </c>
      <c r="F8350" t="inlineStr">
        <is>
          <t>Kommuner</t>
        </is>
      </c>
      <c r="G8350" t="n">
        <v>2</v>
      </c>
      <c r="H8350" t="n">
        <v>0</v>
      </c>
      <c r="I8350" t="n">
        <v>0</v>
      </c>
      <c r="J8350" t="n">
        <v>0</v>
      </c>
      <c r="K8350" t="n">
        <v>0</v>
      </c>
      <c r="L8350" t="n">
        <v>0</v>
      </c>
      <c r="M8350" t="n">
        <v>0</v>
      </c>
      <c r="N8350" t="n">
        <v>0</v>
      </c>
      <c r="O8350" t="n">
        <v>0</v>
      </c>
      <c r="P8350" t="n">
        <v>0</v>
      </c>
      <c r="Q8350" t="n">
        <v>0</v>
      </c>
      <c r="R8350" s="2" t="inlineStr"/>
    </row>
    <row r="8351" ht="15" customHeight="1">
      <c r="A8351" t="inlineStr">
        <is>
          <t>A 62073-2024</t>
        </is>
      </c>
      <c r="B8351" s="1" t="n">
        <v>45656.41005787037</v>
      </c>
      <c r="C8351" s="1" t="n">
        <v>45952</v>
      </c>
      <c r="D8351" t="inlineStr">
        <is>
          <t>VÄSTRA GÖTALANDS LÄN</t>
        </is>
      </c>
      <c r="E8351" t="inlineStr">
        <is>
          <t>UDDEVALLA</t>
        </is>
      </c>
      <c r="F8351" t="inlineStr">
        <is>
          <t>Kommuner</t>
        </is>
      </c>
      <c r="G8351" t="n">
        <v>0.9</v>
      </c>
      <c r="H8351" t="n">
        <v>0</v>
      </c>
      <c r="I8351" t="n">
        <v>0</v>
      </c>
      <c r="J8351" t="n">
        <v>0</v>
      </c>
      <c r="K8351" t="n">
        <v>0</v>
      </c>
      <c r="L8351" t="n">
        <v>0</v>
      </c>
      <c r="M8351" t="n">
        <v>0</v>
      </c>
      <c r="N8351" t="n">
        <v>0</v>
      </c>
      <c r="O8351" t="n">
        <v>0</v>
      </c>
      <c r="P8351" t="n">
        <v>0</v>
      </c>
      <c r="Q8351" t="n">
        <v>0</v>
      </c>
      <c r="R8351" s="2" t="inlineStr"/>
    </row>
    <row r="8352" ht="15" customHeight="1">
      <c r="A8352" t="inlineStr">
        <is>
          <t>A 62075-2024</t>
        </is>
      </c>
      <c r="B8352" s="1" t="n">
        <v>45656.41354166667</v>
      </c>
      <c r="C8352" s="1" t="n">
        <v>45952</v>
      </c>
      <c r="D8352" t="inlineStr">
        <is>
          <t>VÄSTRA GÖTALANDS LÄN</t>
        </is>
      </c>
      <c r="E8352" t="inlineStr">
        <is>
          <t>UDDEVALLA</t>
        </is>
      </c>
      <c r="F8352" t="inlineStr">
        <is>
          <t>Kommuner</t>
        </is>
      </c>
      <c r="G8352" t="n">
        <v>1.5</v>
      </c>
      <c r="H8352" t="n">
        <v>0</v>
      </c>
      <c r="I8352" t="n">
        <v>0</v>
      </c>
      <c r="J8352" t="n">
        <v>0</v>
      </c>
      <c r="K8352" t="n">
        <v>0</v>
      </c>
      <c r="L8352" t="n">
        <v>0</v>
      </c>
      <c r="M8352" t="n">
        <v>0</v>
      </c>
      <c r="N8352" t="n">
        <v>0</v>
      </c>
      <c r="O8352" t="n">
        <v>0</v>
      </c>
      <c r="P8352" t="n">
        <v>0</v>
      </c>
      <c r="Q8352" t="n">
        <v>0</v>
      </c>
      <c r="R8352" s="2" t="inlineStr"/>
    </row>
    <row r="8353" ht="15" customHeight="1">
      <c r="A8353" t="inlineStr">
        <is>
          <t>A 53087-2023</t>
        </is>
      </c>
      <c r="B8353" s="1" t="n">
        <v>45227</v>
      </c>
      <c r="C8353" s="1" t="n">
        <v>45952</v>
      </c>
      <c r="D8353" t="inlineStr">
        <is>
          <t>VÄSTRA GÖTALANDS LÄN</t>
        </is>
      </c>
      <c r="E8353" t="inlineStr">
        <is>
          <t>ULRICEHAMN</t>
        </is>
      </c>
      <c r="G8353" t="n">
        <v>1</v>
      </c>
      <c r="H8353" t="n">
        <v>0</v>
      </c>
      <c r="I8353" t="n">
        <v>0</v>
      </c>
      <c r="J8353" t="n">
        <v>0</v>
      </c>
      <c r="K8353" t="n">
        <v>0</v>
      </c>
      <c r="L8353" t="n">
        <v>0</v>
      </c>
      <c r="M8353" t="n">
        <v>0</v>
      </c>
      <c r="N8353" t="n">
        <v>0</v>
      </c>
      <c r="O8353" t="n">
        <v>0</v>
      </c>
      <c r="P8353" t="n">
        <v>0</v>
      </c>
      <c r="Q8353" t="n">
        <v>0</v>
      </c>
      <c r="R8353" s="2" t="inlineStr"/>
    </row>
    <row r="8354" ht="15" customHeight="1">
      <c r="A8354" t="inlineStr">
        <is>
          <t>A 53089-2023</t>
        </is>
      </c>
      <c r="B8354" s="1" t="n">
        <v>45227.70106481481</v>
      </c>
      <c r="C8354" s="1" t="n">
        <v>45952</v>
      </c>
      <c r="D8354" t="inlineStr">
        <is>
          <t>VÄSTRA GÖTALANDS LÄN</t>
        </is>
      </c>
      <c r="E8354" t="inlineStr">
        <is>
          <t>ULRICEHAMN</t>
        </is>
      </c>
      <c r="G8354" t="n">
        <v>0.9</v>
      </c>
      <c r="H8354" t="n">
        <v>0</v>
      </c>
      <c r="I8354" t="n">
        <v>0</v>
      </c>
      <c r="J8354" t="n">
        <v>0</v>
      </c>
      <c r="K8354" t="n">
        <v>0</v>
      </c>
      <c r="L8354" t="n">
        <v>0</v>
      </c>
      <c r="M8354" t="n">
        <v>0</v>
      </c>
      <c r="N8354" t="n">
        <v>0</v>
      </c>
      <c r="O8354" t="n">
        <v>0</v>
      </c>
      <c r="P8354" t="n">
        <v>0</v>
      </c>
      <c r="Q8354" t="n">
        <v>0</v>
      </c>
      <c r="R8354" s="2" t="inlineStr"/>
    </row>
    <row r="8355" ht="15" customHeight="1">
      <c r="A8355" t="inlineStr">
        <is>
          <t>A 54412-2024</t>
        </is>
      </c>
      <c r="B8355" s="1" t="n">
        <v>45617</v>
      </c>
      <c r="C8355" s="1" t="n">
        <v>45952</v>
      </c>
      <c r="D8355" t="inlineStr">
        <is>
          <t>VÄSTRA GÖTALANDS LÄN</t>
        </is>
      </c>
      <c r="E8355" t="inlineStr">
        <is>
          <t>TIBRO</t>
        </is>
      </c>
      <c r="G8355" t="n">
        <v>1.9</v>
      </c>
      <c r="H8355" t="n">
        <v>0</v>
      </c>
      <c r="I8355" t="n">
        <v>0</v>
      </c>
      <c r="J8355" t="n">
        <v>0</v>
      </c>
      <c r="K8355" t="n">
        <v>0</v>
      </c>
      <c r="L8355" t="n">
        <v>0</v>
      </c>
      <c r="M8355" t="n">
        <v>0</v>
      </c>
      <c r="N8355" t="n">
        <v>0</v>
      </c>
      <c r="O8355" t="n">
        <v>0</v>
      </c>
      <c r="P8355" t="n">
        <v>0</v>
      </c>
      <c r="Q8355" t="n">
        <v>0</v>
      </c>
      <c r="R8355" s="2" t="inlineStr"/>
    </row>
    <row r="8356" ht="15" customHeight="1">
      <c r="A8356" t="inlineStr">
        <is>
          <t>A 26792-2024</t>
        </is>
      </c>
      <c r="B8356" s="1" t="n">
        <v>45470</v>
      </c>
      <c r="C8356" s="1" t="n">
        <v>45952</v>
      </c>
      <c r="D8356" t="inlineStr">
        <is>
          <t>VÄSTRA GÖTALANDS LÄN</t>
        </is>
      </c>
      <c r="E8356" t="inlineStr">
        <is>
          <t>HJO</t>
        </is>
      </c>
      <c r="F8356" t="inlineStr">
        <is>
          <t>Kyrkan</t>
        </is>
      </c>
      <c r="G8356" t="n">
        <v>7.1</v>
      </c>
      <c r="H8356" t="n">
        <v>0</v>
      </c>
      <c r="I8356" t="n">
        <v>0</v>
      </c>
      <c r="J8356" t="n">
        <v>0</v>
      </c>
      <c r="K8356" t="n">
        <v>0</v>
      </c>
      <c r="L8356" t="n">
        <v>0</v>
      </c>
      <c r="M8356" t="n">
        <v>0</v>
      </c>
      <c r="N8356" t="n">
        <v>0</v>
      </c>
      <c r="O8356" t="n">
        <v>0</v>
      </c>
      <c r="P8356" t="n">
        <v>0</v>
      </c>
      <c r="Q8356" t="n">
        <v>0</v>
      </c>
      <c r="R8356" s="2" t="inlineStr"/>
    </row>
    <row r="8357" ht="15" customHeight="1">
      <c r="A8357" t="inlineStr">
        <is>
          <t>A 32347-2023</t>
        </is>
      </c>
      <c r="B8357" s="1" t="n">
        <v>45120</v>
      </c>
      <c r="C8357" s="1" t="n">
        <v>45952</v>
      </c>
      <c r="D8357" t="inlineStr">
        <is>
          <t>VÄSTRA GÖTALANDS LÄN</t>
        </is>
      </c>
      <c r="E8357" t="inlineStr">
        <is>
          <t>SVENLJUNGA</t>
        </is>
      </c>
      <c r="G8357" t="n">
        <v>4</v>
      </c>
      <c r="H8357" t="n">
        <v>0</v>
      </c>
      <c r="I8357" t="n">
        <v>0</v>
      </c>
      <c r="J8357" t="n">
        <v>0</v>
      </c>
      <c r="K8357" t="n">
        <v>0</v>
      </c>
      <c r="L8357" t="n">
        <v>0</v>
      </c>
      <c r="M8357" t="n">
        <v>0</v>
      </c>
      <c r="N8357" t="n">
        <v>0</v>
      </c>
      <c r="O8357" t="n">
        <v>0</v>
      </c>
      <c r="P8357" t="n">
        <v>0</v>
      </c>
      <c r="Q8357" t="n">
        <v>0</v>
      </c>
      <c r="R8357" s="2" t="inlineStr"/>
    </row>
    <row r="8358" ht="15" customHeight="1">
      <c r="A8358" t="inlineStr">
        <is>
          <t>A 59707-2024</t>
        </is>
      </c>
      <c r="B8358" s="1" t="n">
        <v>45639.44412037037</v>
      </c>
      <c r="C8358" s="1" t="n">
        <v>45952</v>
      </c>
      <c r="D8358" t="inlineStr">
        <is>
          <t>VÄSTRA GÖTALANDS LÄN</t>
        </is>
      </c>
      <c r="E8358" t="inlineStr">
        <is>
          <t>FALKÖPING</t>
        </is>
      </c>
      <c r="G8358" t="n">
        <v>2.2</v>
      </c>
      <c r="H8358" t="n">
        <v>0</v>
      </c>
      <c r="I8358" t="n">
        <v>0</v>
      </c>
      <c r="J8358" t="n">
        <v>0</v>
      </c>
      <c r="K8358" t="n">
        <v>0</v>
      </c>
      <c r="L8358" t="n">
        <v>0</v>
      </c>
      <c r="M8358" t="n">
        <v>0</v>
      </c>
      <c r="N8358" t="n">
        <v>0</v>
      </c>
      <c r="O8358" t="n">
        <v>0</v>
      </c>
      <c r="P8358" t="n">
        <v>0</v>
      </c>
      <c r="Q8358" t="n">
        <v>0</v>
      </c>
      <c r="R8358" s="2" t="inlineStr"/>
    </row>
    <row r="8359" ht="15" customHeight="1">
      <c r="A8359" t="inlineStr">
        <is>
          <t>A 13243-2023</t>
        </is>
      </c>
      <c r="B8359" s="1" t="n">
        <v>45002</v>
      </c>
      <c r="C8359" s="1" t="n">
        <v>45952</v>
      </c>
      <c r="D8359" t="inlineStr">
        <is>
          <t>VÄSTRA GÖTALANDS LÄN</t>
        </is>
      </c>
      <c r="E8359" t="inlineStr">
        <is>
          <t>ORUST</t>
        </is>
      </c>
      <c r="G8359" t="n">
        <v>4.8</v>
      </c>
      <c r="H8359" t="n">
        <v>0</v>
      </c>
      <c r="I8359" t="n">
        <v>0</v>
      </c>
      <c r="J8359" t="n">
        <v>0</v>
      </c>
      <c r="K8359" t="n">
        <v>0</v>
      </c>
      <c r="L8359" t="n">
        <v>0</v>
      </c>
      <c r="M8359" t="n">
        <v>0</v>
      </c>
      <c r="N8359" t="n">
        <v>0</v>
      </c>
      <c r="O8359" t="n">
        <v>0</v>
      </c>
      <c r="P8359" t="n">
        <v>0</v>
      </c>
      <c r="Q8359" t="n">
        <v>0</v>
      </c>
      <c r="R8359" s="2" t="inlineStr"/>
    </row>
    <row r="8360" ht="15" customHeight="1">
      <c r="A8360" t="inlineStr">
        <is>
          <t>A 21831-2025</t>
        </is>
      </c>
      <c r="B8360" s="1" t="n">
        <v>45784.26943287037</v>
      </c>
      <c r="C8360" s="1" t="n">
        <v>45952</v>
      </c>
      <c r="D8360" t="inlineStr">
        <is>
          <t>VÄSTRA GÖTALANDS LÄN</t>
        </is>
      </c>
      <c r="E8360" t="inlineStr">
        <is>
          <t>ULRICEHAMN</t>
        </is>
      </c>
      <c r="G8360" t="n">
        <v>1.4</v>
      </c>
      <c r="H8360" t="n">
        <v>0</v>
      </c>
      <c r="I8360" t="n">
        <v>0</v>
      </c>
      <c r="J8360" t="n">
        <v>0</v>
      </c>
      <c r="K8360" t="n">
        <v>0</v>
      </c>
      <c r="L8360" t="n">
        <v>0</v>
      </c>
      <c r="M8360" t="n">
        <v>0</v>
      </c>
      <c r="N8360" t="n">
        <v>0</v>
      </c>
      <c r="O8360" t="n">
        <v>0</v>
      </c>
      <c r="P8360" t="n">
        <v>0</v>
      </c>
      <c r="Q8360" t="n">
        <v>0</v>
      </c>
      <c r="R8360" s="2" t="inlineStr"/>
    </row>
    <row r="8361" ht="15" customHeight="1">
      <c r="A8361" t="inlineStr">
        <is>
          <t>A 21854-2025</t>
        </is>
      </c>
      <c r="B8361" s="1" t="n">
        <v>45784.34763888889</v>
      </c>
      <c r="C8361" s="1" t="n">
        <v>45952</v>
      </c>
      <c r="D8361" t="inlineStr">
        <is>
          <t>VÄSTRA GÖTALANDS LÄN</t>
        </is>
      </c>
      <c r="E8361" t="inlineStr">
        <is>
          <t>MARK</t>
        </is>
      </c>
      <c r="G8361" t="n">
        <v>2.2</v>
      </c>
      <c r="H8361" t="n">
        <v>0</v>
      </c>
      <c r="I8361" t="n">
        <v>0</v>
      </c>
      <c r="J8361" t="n">
        <v>0</v>
      </c>
      <c r="K8361" t="n">
        <v>0</v>
      </c>
      <c r="L8361" t="n">
        <v>0</v>
      </c>
      <c r="M8361" t="n">
        <v>0</v>
      </c>
      <c r="N8361" t="n">
        <v>0</v>
      </c>
      <c r="O8361" t="n">
        <v>0</v>
      </c>
      <c r="P8361" t="n">
        <v>0</v>
      </c>
      <c r="Q8361" t="n">
        <v>0</v>
      </c>
      <c r="R8361" s="2" t="inlineStr"/>
    </row>
    <row r="8362" ht="15" customHeight="1">
      <c r="A8362" t="inlineStr">
        <is>
          <t>A 22022-2025</t>
        </is>
      </c>
      <c r="B8362" s="1" t="n">
        <v>45784</v>
      </c>
      <c r="C8362" s="1" t="n">
        <v>45952</v>
      </c>
      <c r="D8362" t="inlineStr">
        <is>
          <t>VÄSTRA GÖTALANDS LÄN</t>
        </is>
      </c>
      <c r="E8362" t="inlineStr">
        <is>
          <t>SKÖVDE</t>
        </is>
      </c>
      <c r="G8362" t="n">
        <v>12</v>
      </c>
      <c r="H8362" t="n">
        <v>0</v>
      </c>
      <c r="I8362" t="n">
        <v>0</v>
      </c>
      <c r="J8362" t="n">
        <v>0</v>
      </c>
      <c r="K8362" t="n">
        <v>0</v>
      </c>
      <c r="L8362" t="n">
        <v>0</v>
      </c>
      <c r="M8362" t="n">
        <v>0</v>
      </c>
      <c r="N8362" t="n">
        <v>0</v>
      </c>
      <c r="O8362" t="n">
        <v>0</v>
      </c>
      <c r="P8362" t="n">
        <v>0</v>
      </c>
      <c r="Q8362" t="n">
        <v>0</v>
      </c>
      <c r="R8362" s="2" t="inlineStr"/>
    </row>
    <row r="8363" ht="15" customHeight="1">
      <c r="A8363" t="inlineStr">
        <is>
          <t>A 38996-2025</t>
        </is>
      </c>
      <c r="B8363" s="1" t="n">
        <v>45888.33400462963</v>
      </c>
      <c r="C8363" s="1" t="n">
        <v>45952</v>
      </c>
      <c r="D8363" t="inlineStr">
        <is>
          <t>VÄSTRA GÖTALANDS LÄN</t>
        </is>
      </c>
      <c r="E8363" t="inlineStr">
        <is>
          <t>STENUNGSUND</t>
        </is>
      </c>
      <c r="G8363" t="n">
        <v>2.3</v>
      </c>
      <c r="H8363" t="n">
        <v>0</v>
      </c>
      <c r="I8363" t="n">
        <v>0</v>
      </c>
      <c r="J8363" t="n">
        <v>0</v>
      </c>
      <c r="K8363" t="n">
        <v>0</v>
      </c>
      <c r="L8363" t="n">
        <v>0</v>
      </c>
      <c r="M8363" t="n">
        <v>0</v>
      </c>
      <c r="N8363" t="n">
        <v>0</v>
      </c>
      <c r="O8363" t="n">
        <v>0</v>
      </c>
      <c r="P8363" t="n">
        <v>0</v>
      </c>
      <c r="Q8363" t="n">
        <v>0</v>
      </c>
      <c r="R8363" s="2" t="inlineStr"/>
    </row>
    <row r="8364" ht="15" customHeight="1">
      <c r="A8364" t="inlineStr">
        <is>
          <t>A 39010-2025</t>
        </is>
      </c>
      <c r="B8364" s="1" t="n">
        <v>45888.3525</v>
      </c>
      <c r="C8364" s="1" t="n">
        <v>45952</v>
      </c>
      <c r="D8364" t="inlineStr">
        <is>
          <t>VÄSTRA GÖTALANDS LÄN</t>
        </is>
      </c>
      <c r="E8364" t="inlineStr">
        <is>
          <t>TRANEMO</t>
        </is>
      </c>
      <c r="G8364" t="n">
        <v>5.4</v>
      </c>
      <c r="H8364" t="n">
        <v>0</v>
      </c>
      <c r="I8364" t="n">
        <v>0</v>
      </c>
      <c r="J8364" t="n">
        <v>0</v>
      </c>
      <c r="K8364" t="n">
        <v>0</v>
      </c>
      <c r="L8364" t="n">
        <v>0</v>
      </c>
      <c r="M8364" t="n">
        <v>0</v>
      </c>
      <c r="N8364" t="n">
        <v>0</v>
      </c>
      <c r="O8364" t="n">
        <v>0</v>
      </c>
      <c r="P8364" t="n">
        <v>0</v>
      </c>
      <c r="Q8364" t="n">
        <v>0</v>
      </c>
      <c r="R8364" s="2" t="inlineStr"/>
    </row>
    <row r="8365" ht="15" customHeight="1">
      <c r="A8365" t="inlineStr">
        <is>
          <t>A 21984-2025</t>
        </is>
      </c>
      <c r="B8365" s="1" t="n">
        <v>45784.65680555555</v>
      </c>
      <c r="C8365" s="1" t="n">
        <v>45952</v>
      </c>
      <c r="D8365" t="inlineStr">
        <is>
          <t>VÄSTRA GÖTALANDS LÄN</t>
        </is>
      </c>
      <c r="E8365" t="inlineStr">
        <is>
          <t>MUNKEDAL</t>
        </is>
      </c>
      <c r="G8365" t="n">
        <v>1.4</v>
      </c>
      <c r="H8365" t="n">
        <v>0</v>
      </c>
      <c r="I8365" t="n">
        <v>0</v>
      </c>
      <c r="J8365" t="n">
        <v>0</v>
      </c>
      <c r="K8365" t="n">
        <v>0</v>
      </c>
      <c r="L8365" t="n">
        <v>0</v>
      </c>
      <c r="M8365" t="n">
        <v>0</v>
      </c>
      <c r="N8365" t="n">
        <v>0</v>
      </c>
      <c r="O8365" t="n">
        <v>0</v>
      </c>
      <c r="P8365" t="n">
        <v>0</v>
      </c>
      <c r="Q8365" t="n">
        <v>0</v>
      </c>
      <c r="R8365" s="2" t="inlineStr"/>
    </row>
    <row r="8366" ht="15" customHeight="1">
      <c r="A8366" t="inlineStr">
        <is>
          <t>A 19086-2025</t>
        </is>
      </c>
      <c r="B8366" s="1" t="n">
        <v>45766.86765046296</v>
      </c>
      <c r="C8366" s="1" t="n">
        <v>45952</v>
      </c>
      <c r="D8366" t="inlineStr">
        <is>
          <t>VÄSTRA GÖTALANDS LÄN</t>
        </is>
      </c>
      <c r="E8366" t="inlineStr">
        <is>
          <t>BENGTSFORS</t>
        </is>
      </c>
      <c r="G8366" t="n">
        <v>1.6</v>
      </c>
      <c r="H8366" t="n">
        <v>0</v>
      </c>
      <c r="I8366" t="n">
        <v>0</v>
      </c>
      <c r="J8366" t="n">
        <v>0</v>
      </c>
      <c r="K8366" t="n">
        <v>0</v>
      </c>
      <c r="L8366" t="n">
        <v>0</v>
      </c>
      <c r="M8366" t="n">
        <v>0</v>
      </c>
      <c r="N8366" t="n">
        <v>0</v>
      </c>
      <c r="O8366" t="n">
        <v>0</v>
      </c>
      <c r="P8366" t="n">
        <v>0</v>
      </c>
      <c r="Q8366" t="n">
        <v>0</v>
      </c>
      <c r="R8366" s="2" t="inlineStr"/>
    </row>
    <row r="8367" ht="15" customHeight="1">
      <c r="A8367" t="inlineStr">
        <is>
          <t>A 39032-2025</t>
        </is>
      </c>
      <c r="B8367" s="1" t="n">
        <v>45888.41420138889</v>
      </c>
      <c r="C8367" s="1" t="n">
        <v>45952</v>
      </c>
      <c r="D8367" t="inlineStr">
        <is>
          <t>VÄSTRA GÖTALANDS LÄN</t>
        </is>
      </c>
      <c r="E8367" t="inlineStr">
        <is>
          <t>BORÅS</t>
        </is>
      </c>
      <c r="G8367" t="n">
        <v>1.5</v>
      </c>
      <c r="H8367" t="n">
        <v>0</v>
      </c>
      <c r="I8367" t="n">
        <v>0</v>
      </c>
      <c r="J8367" t="n">
        <v>0</v>
      </c>
      <c r="K8367" t="n">
        <v>0</v>
      </c>
      <c r="L8367" t="n">
        <v>0</v>
      </c>
      <c r="M8367" t="n">
        <v>0</v>
      </c>
      <c r="N8367" t="n">
        <v>0</v>
      </c>
      <c r="O8367" t="n">
        <v>0</v>
      </c>
      <c r="P8367" t="n">
        <v>0</v>
      </c>
      <c r="Q8367" t="n">
        <v>0</v>
      </c>
      <c r="R8367" s="2" t="inlineStr"/>
    </row>
    <row r="8368" ht="15" customHeight="1">
      <c r="A8368" t="inlineStr">
        <is>
          <t>A 57906-2022</t>
        </is>
      </c>
      <c r="B8368" s="1" t="n">
        <v>44900</v>
      </c>
      <c r="C8368" s="1" t="n">
        <v>45952</v>
      </c>
      <c r="D8368" t="inlineStr">
        <is>
          <t>VÄSTRA GÖTALANDS LÄN</t>
        </is>
      </c>
      <c r="E8368" t="inlineStr">
        <is>
          <t>BORÅS</t>
        </is>
      </c>
      <c r="G8368" t="n">
        <v>5.2</v>
      </c>
      <c r="H8368" t="n">
        <v>0</v>
      </c>
      <c r="I8368" t="n">
        <v>0</v>
      </c>
      <c r="J8368" t="n">
        <v>0</v>
      </c>
      <c r="K8368" t="n">
        <v>0</v>
      </c>
      <c r="L8368" t="n">
        <v>0</v>
      </c>
      <c r="M8368" t="n">
        <v>0</v>
      </c>
      <c r="N8368" t="n">
        <v>0</v>
      </c>
      <c r="O8368" t="n">
        <v>0</v>
      </c>
      <c r="P8368" t="n">
        <v>0</v>
      </c>
      <c r="Q8368" t="n">
        <v>0</v>
      </c>
      <c r="R8368" s="2" t="inlineStr"/>
    </row>
    <row r="8369" ht="15" customHeight="1">
      <c r="A8369" t="inlineStr">
        <is>
          <t>A 4559-2021</t>
        </is>
      </c>
      <c r="B8369" s="1" t="n">
        <v>44224</v>
      </c>
      <c r="C8369" s="1" t="n">
        <v>45952</v>
      </c>
      <c r="D8369" t="inlineStr">
        <is>
          <t>VÄSTRA GÖTALANDS LÄN</t>
        </is>
      </c>
      <c r="E8369" t="inlineStr">
        <is>
          <t>FÄRGELANDA</t>
        </is>
      </c>
      <c r="G8369" t="n">
        <v>3.9</v>
      </c>
      <c r="H8369" t="n">
        <v>0</v>
      </c>
      <c r="I8369" t="n">
        <v>0</v>
      </c>
      <c r="J8369" t="n">
        <v>0</v>
      </c>
      <c r="K8369" t="n">
        <v>0</v>
      </c>
      <c r="L8369" t="n">
        <v>0</v>
      </c>
      <c r="M8369" t="n">
        <v>0</v>
      </c>
      <c r="N8369" t="n">
        <v>0</v>
      </c>
      <c r="O8369" t="n">
        <v>0</v>
      </c>
      <c r="P8369" t="n">
        <v>0</v>
      </c>
      <c r="Q8369" t="n">
        <v>0</v>
      </c>
      <c r="R8369" s="2" t="inlineStr"/>
    </row>
    <row r="8370" ht="15" customHeight="1">
      <c r="A8370" t="inlineStr">
        <is>
          <t>A 21934-2025</t>
        </is>
      </c>
      <c r="B8370" s="1" t="n">
        <v>45784.56585648148</v>
      </c>
      <c r="C8370" s="1" t="n">
        <v>45952</v>
      </c>
      <c r="D8370" t="inlineStr">
        <is>
          <t>VÄSTRA GÖTALANDS LÄN</t>
        </is>
      </c>
      <c r="E8370" t="inlineStr">
        <is>
          <t>ULRICEHAMN</t>
        </is>
      </c>
      <c r="G8370" t="n">
        <v>1</v>
      </c>
      <c r="H8370" t="n">
        <v>0</v>
      </c>
      <c r="I8370" t="n">
        <v>0</v>
      </c>
      <c r="J8370" t="n">
        <v>0</v>
      </c>
      <c r="K8370" t="n">
        <v>0</v>
      </c>
      <c r="L8370" t="n">
        <v>0</v>
      </c>
      <c r="M8370" t="n">
        <v>0</v>
      </c>
      <c r="N8370" t="n">
        <v>0</v>
      </c>
      <c r="O8370" t="n">
        <v>0</v>
      </c>
      <c r="P8370" t="n">
        <v>0</v>
      </c>
      <c r="Q8370" t="n">
        <v>0</v>
      </c>
      <c r="R8370" s="2" t="inlineStr"/>
    </row>
    <row r="8371" ht="15" customHeight="1">
      <c r="A8371" t="inlineStr">
        <is>
          <t>A 21935-2025</t>
        </is>
      </c>
      <c r="B8371" s="1" t="n">
        <v>45784.56877314814</v>
      </c>
      <c r="C8371" s="1" t="n">
        <v>45952</v>
      </c>
      <c r="D8371" t="inlineStr">
        <is>
          <t>VÄSTRA GÖTALANDS LÄN</t>
        </is>
      </c>
      <c r="E8371" t="inlineStr">
        <is>
          <t>BENGTSFORS</t>
        </is>
      </c>
      <c r="G8371" t="n">
        <v>1.1</v>
      </c>
      <c r="H8371" t="n">
        <v>0</v>
      </c>
      <c r="I8371" t="n">
        <v>0</v>
      </c>
      <c r="J8371" t="n">
        <v>0</v>
      </c>
      <c r="K8371" t="n">
        <v>0</v>
      </c>
      <c r="L8371" t="n">
        <v>0</v>
      </c>
      <c r="M8371" t="n">
        <v>0</v>
      </c>
      <c r="N8371" t="n">
        <v>0</v>
      </c>
      <c r="O8371" t="n">
        <v>0</v>
      </c>
      <c r="P8371" t="n">
        <v>0</v>
      </c>
      <c r="Q8371" t="n">
        <v>0</v>
      </c>
      <c r="R8371" s="2" t="inlineStr"/>
    </row>
    <row r="8372" ht="15" customHeight="1">
      <c r="A8372" t="inlineStr">
        <is>
          <t>A 21900-2025</t>
        </is>
      </c>
      <c r="B8372" s="1" t="n">
        <v>45784.45744212963</v>
      </c>
      <c r="C8372" s="1" t="n">
        <v>45952</v>
      </c>
      <c r="D8372" t="inlineStr">
        <is>
          <t>VÄSTRA GÖTALANDS LÄN</t>
        </is>
      </c>
      <c r="E8372" t="inlineStr">
        <is>
          <t>TIDAHOLM</t>
        </is>
      </c>
      <c r="G8372" t="n">
        <v>0.9</v>
      </c>
      <c r="H8372" t="n">
        <v>0</v>
      </c>
      <c r="I8372" t="n">
        <v>0</v>
      </c>
      <c r="J8372" t="n">
        <v>0</v>
      </c>
      <c r="K8372" t="n">
        <v>0</v>
      </c>
      <c r="L8372" t="n">
        <v>0</v>
      </c>
      <c r="M8372" t="n">
        <v>0</v>
      </c>
      <c r="N8372" t="n">
        <v>0</v>
      </c>
      <c r="O8372" t="n">
        <v>0</v>
      </c>
      <c r="P8372" t="n">
        <v>0</v>
      </c>
      <c r="Q8372" t="n">
        <v>0</v>
      </c>
      <c r="R8372" s="2" t="inlineStr"/>
    </row>
    <row r="8373" ht="15" customHeight="1">
      <c r="A8373" t="inlineStr">
        <is>
          <t>A 21945-2025</t>
        </is>
      </c>
      <c r="B8373" s="1" t="n">
        <v>45784.59038194444</v>
      </c>
      <c r="C8373" s="1" t="n">
        <v>45952</v>
      </c>
      <c r="D8373" t="inlineStr">
        <is>
          <t>VÄSTRA GÖTALANDS LÄN</t>
        </is>
      </c>
      <c r="E8373" t="inlineStr">
        <is>
          <t>SVENLJUNGA</t>
        </is>
      </c>
      <c r="G8373" t="n">
        <v>0.7</v>
      </c>
      <c r="H8373" t="n">
        <v>0</v>
      </c>
      <c r="I8373" t="n">
        <v>0</v>
      </c>
      <c r="J8373" t="n">
        <v>0</v>
      </c>
      <c r="K8373" t="n">
        <v>0</v>
      </c>
      <c r="L8373" t="n">
        <v>0</v>
      </c>
      <c r="M8373" t="n">
        <v>0</v>
      </c>
      <c r="N8373" t="n">
        <v>0</v>
      </c>
      <c r="O8373" t="n">
        <v>0</v>
      </c>
      <c r="P8373" t="n">
        <v>0</v>
      </c>
      <c r="Q8373" t="n">
        <v>0</v>
      </c>
      <c r="R8373" s="2" t="inlineStr"/>
    </row>
    <row r="8374" ht="15" customHeight="1">
      <c r="A8374" t="inlineStr">
        <is>
          <t>A 21981-2025</t>
        </is>
      </c>
      <c r="B8374" s="1" t="n">
        <v>45784.65585648148</v>
      </c>
      <c r="C8374" s="1" t="n">
        <v>45952</v>
      </c>
      <c r="D8374" t="inlineStr">
        <is>
          <t>VÄSTRA GÖTALANDS LÄN</t>
        </is>
      </c>
      <c r="E8374" t="inlineStr">
        <is>
          <t>MUNKEDAL</t>
        </is>
      </c>
      <c r="G8374" t="n">
        <v>2.5</v>
      </c>
      <c r="H8374" t="n">
        <v>0</v>
      </c>
      <c r="I8374" t="n">
        <v>0</v>
      </c>
      <c r="J8374" t="n">
        <v>0</v>
      </c>
      <c r="K8374" t="n">
        <v>0</v>
      </c>
      <c r="L8374" t="n">
        <v>0</v>
      </c>
      <c r="M8374" t="n">
        <v>0</v>
      </c>
      <c r="N8374" t="n">
        <v>0</v>
      </c>
      <c r="O8374" t="n">
        <v>0</v>
      </c>
      <c r="P8374" t="n">
        <v>0</v>
      </c>
      <c r="Q8374" t="n">
        <v>0</v>
      </c>
      <c r="R8374" s="2" t="inlineStr"/>
    </row>
    <row r="8375" ht="15" customHeight="1">
      <c r="A8375" t="inlineStr">
        <is>
          <t>A 53160-2023</t>
        </is>
      </c>
      <c r="B8375" s="1" t="n">
        <v>45229.37484953704</v>
      </c>
      <c r="C8375" s="1" t="n">
        <v>45952</v>
      </c>
      <c r="D8375" t="inlineStr">
        <is>
          <t>VÄSTRA GÖTALANDS LÄN</t>
        </is>
      </c>
      <c r="E8375" t="inlineStr">
        <is>
          <t>TIBRO</t>
        </is>
      </c>
      <c r="G8375" t="n">
        <v>1.6</v>
      </c>
      <c r="H8375" t="n">
        <v>0</v>
      </c>
      <c r="I8375" t="n">
        <v>0</v>
      </c>
      <c r="J8375" t="n">
        <v>0</v>
      </c>
      <c r="K8375" t="n">
        <v>0</v>
      </c>
      <c r="L8375" t="n">
        <v>0</v>
      </c>
      <c r="M8375" t="n">
        <v>0</v>
      </c>
      <c r="N8375" t="n">
        <v>0</v>
      </c>
      <c r="O8375" t="n">
        <v>0</v>
      </c>
      <c r="P8375" t="n">
        <v>0</v>
      </c>
      <c r="Q8375" t="n">
        <v>0</v>
      </c>
      <c r="R8375" s="2" t="inlineStr"/>
    </row>
    <row r="8376" ht="15" customHeight="1">
      <c r="A8376" t="inlineStr">
        <is>
          <t>A 15802-2024</t>
        </is>
      </c>
      <c r="B8376" s="1" t="n">
        <v>45404</v>
      </c>
      <c r="C8376" s="1" t="n">
        <v>45952</v>
      </c>
      <c r="D8376" t="inlineStr">
        <is>
          <t>VÄSTRA GÖTALANDS LÄN</t>
        </is>
      </c>
      <c r="E8376" t="inlineStr">
        <is>
          <t>LIDKÖPING</t>
        </is>
      </c>
      <c r="G8376" t="n">
        <v>0.9</v>
      </c>
      <c r="H8376" t="n">
        <v>0</v>
      </c>
      <c r="I8376" t="n">
        <v>0</v>
      </c>
      <c r="J8376" t="n">
        <v>0</v>
      </c>
      <c r="K8376" t="n">
        <v>0</v>
      </c>
      <c r="L8376" t="n">
        <v>0</v>
      </c>
      <c r="M8376" t="n">
        <v>0</v>
      </c>
      <c r="N8376" t="n">
        <v>0</v>
      </c>
      <c r="O8376" t="n">
        <v>0</v>
      </c>
      <c r="P8376" t="n">
        <v>0</v>
      </c>
      <c r="Q8376" t="n">
        <v>0</v>
      </c>
      <c r="R8376" s="2" t="inlineStr"/>
    </row>
    <row r="8377" ht="15" customHeight="1">
      <c r="A8377" t="inlineStr">
        <is>
          <t>A 50702-2022</t>
        </is>
      </c>
      <c r="B8377" s="1" t="n">
        <v>44867.32679398148</v>
      </c>
      <c r="C8377" s="1" t="n">
        <v>45952</v>
      </c>
      <c r="D8377" t="inlineStr">
        <is>
          <t>VÄSTRA GÖTALANDS LÄN</t>
        </is>
      </c>
      <c r="E8377" t="inlineStr">
        <is>
          <t>VARA</t>
        </is>
      </c>
      <c r="G8377" t="n">
        <v>4.4</v>
      </c>
      <c r="H8377" t="n">
        <v>0</v>
      </c>
      <c r="I8377" t="n">
        <v>0</v>
      </c>
      <c r="J8377" t="n">
        <v>0</v>
      </c>
      <c r="K8377" t="n">
        <v>0</v>
      </c>
      <c r="L8377" t="n">
        <v>0</v>
      </c>
      <c r="M8377" t="n">
        <v>0</v>
      </c>
      <c r="N8377" t="n">
        <v>0</v>
      </c>
      <c r="O8377" t="n">
        <v>0</v>
      </c>
      <c r="P8377" t="n">
        <v>0</v>
      </c>
      <c r="Q8377" t="n">
        <v>0</v>
      </c>
      <c r="R8377" s="2" t="inlineStr"/>
    </row>
    <row r="8378" ht="15" customHeight="1">
      <c r="A8378" t="inlineStr">
        <is>
          <t>A 27342-2024</t>
        </is>
      </c>
      <c r="B8378" s="1" t="n">
        <v>45473.34694444444</v>
      </c>
      <c r="C8378" s="1" t="n">
        <v>45952</v>
      </c>
      <c r="D8378" t="inlineStr">
        <is>
          <t>VÄSTRA GÖTALANDS LÄN</t>
        </is>
      </c>
      <c r="E8378" t="inlineStr">
        <is>
          <t>MELLERUD</t>
        </is>
      </c>
      <c r="G8378" t="n">
        <v>2.4</v>
      </c>
      <c r="H8378" t="n">
        <v>0</v>
      </c>
      <c r="I8378" t="n">
        <v>0</v>
      </c>
      <c r="J8378" t="n">
        <v>0</v>
      </c>
      <c r="K8378" t="n">
        <v>0</v>
      </c>
      <c r="L8378" t="n">
        <v>0</v>
      </c>
      <c r="M8378" t="n">
        <v>0</v>
      </c>
      <c r="N8378" t="n">
        <v>0</v>
      </c>
      <c r="O8378" t="n">
        <v>0</v>
      </c>
      <c r="P8378" t="n">
        <v>0</v>
      </c>
      <c r="Q8378" t="n">
        <v>0</v>
      </c>
      <c r="R8378" s="2" t="inlineStr"/>
    </row>
    <row r="8379" ht="15" customHeight="1">
      <c r="A8379" t="inlineStr">
        <is>
          <t>A 6402-2021</t>
        </is>
      </c>
      <c r="B8379" s="1" t="n">
        <v>44235</v>
      </c>
      <c r="C8379" s="1" t="n">
        <v>45952</v>
      </c>
      <c r="D8379" t="inlineStr">
        <is>
          <t>VÄSTRA GÖTALANDS LÄN</t>
        </is>
      </c>
      <c r="E8379" t="inlineStr">
        <is>
          <t>TROLLHÄTTAN</t>
        </is>
      </c>
      <c r="G8379" t="n">
        <v>1.7</v>
      </c>
      <c r="H8379" t="n">
        <v>0</v>
      </c>
      <c r="I8379" t="n">
        <v>0</v>
      </c>
      <c r="J8379" t="n">
        <v>0</v>
      </c>
      <c r="K8379" t="n">
        <v>0</v>
      </c>
      <c r="L8379" t="n">
        <v>0</v>
      </c>
      <c r="M8379" t="n">
        <v>0</v>
      </c>
      <c r="N8379" t="n">
        <v>0</v>
      </c>
      <c r="O8379" t="n">
        <v>0</v>
      </c>
      <c r="P8379" t="n">
        <v>0</v>
      </c>
      <c r="Q8379" t="n">
        <v>0</v>
      </c>
      <c r="R8379" s="2" t="inlineStr"/>
    </row>
    <row r="8380" ht="15" customHeight="1">
      <c r="A8380" t="inlineStr">
        <is>
          <t>A 142-2025</t>
        </is>
      </c>
      <c r="B8380" s="1" t="n">
        <v>45659.58482638889</v>
      </c>
      <c r="C8380" s="1" t="n">
        <v>45952</v>
      </c>
      <c r="D8380" t="inlineStr">
        <is>
          <t>VÄSTRA GÖTALANDS LÄN</t>
        </is>
      </c>
      <c r="E8380" t="inlineStr">
        <is>
          <t>BENGTSFORS</t>
        </is>
      </c>
      <c r="G8380" t="n">
        <v>3.8</v>
      </c>
      <c r="H8380" t="n">
        <v>0</v>
      </c>
      <c r="I8380" t="n">
        <v>0</v>
      </c>
      <c r="J8380" t="n">
        <v>0</v>
      </c>
      <c r="K8380" t="n">
        <v>0</v>
      </c>
      <c r="L8380" t="n">
        <v>0</v>
      </c>
      <c r="M8380" t="n">
        <v>0</v>
      </c>
      <c r="N8380" t="n">
        <v>0</v>
      </c>
      <c r="O8380" t="n">
        <v>0</v>
      </c>
      <c r="P8380" t="n">
        <v>0</v>
      </c>
      <c r="Q8380" t="n">
        <v>0</v>
      </c>
      <c r="R8380" s="2" t="inlineStr"/>
    </row>
    <row r="8381" ht="15" customHeight="1">
      <c r="A8381" t="inlineStr">
        <is>
          <t>A 33491-2024</t>
        </is>
      </c>
      <c r="B8381" s="1" t="n">
        <v>45519.61547453704</v>
      </c>
      <c r="C8381" s="1" t="n">
        <v>45952</v>
      </c>
      <c r="D8381" t="inlineStr">
        <is>
          <t>VÄSTRA GÖTALANDS LÄN</t>
        </is>
      </c>
      <c r="E8381" t="inlineStr">
        <is>
          <t>ALINGSÅS</t>
        </is>
      </c>
      <c r="G8381" t="n">
        <v>1.1</v>
      </c>
      <c r="H8381" t="n">
        <v>0</v>
      </c>
      <c r="I8381" t="n">
        <v>0</v>
      </c>
      <c r="J8381" t="n">
        <v>0</v>
      </c>
      <c r="K8381" t="n">
        <v>0</v>
      </c>
      <c r="L8381" t="n">
        <v>0</v>
      </c>
      <c r="M8381" t="n">
        <v>0</v>
      </c>
      <c r="N8381" t="n">
        <v>0</v>
      </c>
      <c r="O8381" t="n">
        <v>0</v>
      </c>
      <c r="P8381" t="n">
        <v>0</v>
      </c>
      <c r="Q8381" t="n">
        <v>0</v>
      </c>
      <c r="R8381" s="2" t="inlineStr"/>
    </row>
    <row r="8382" ht="15" customHeight="1">
      <c r="A8382" t="inlineStr">
        <is>
          <t>A 21617-2024</t>
        </is>
      </c>
      <c r="B8382" s="1" t="n">
        <v>45441.97630787037</v>
      </c>
      <c r="C8382" s="1" t="n">
        <v>45952</v>
      </c>
      <c r="D8382" t="inlineStr">
        <is>
          <t>VÄSTRA GÖTALANDS LÄN</t>
        </is>
      </c>
      <c r="E8382" t="inlineStr">
        <is>
          <t>LILLA EDET</t>
        </is>
      </c>
      <c r="G8382" t="n">
        <v>9.699999999999999</v>
      </c>
      <c r="H8382" t="n">
        <v>0</v>
      </c>
      <c r="I8382" t="n">
        <v>0</v>
      </c>
      <c r="J8382" t="n">
        <v>0</v>
      </c>
      <c r="K8382" t="n">
        <v>0</v>
      </c>
      <c r="L8382" t="n">
        <v>0</v>
      </c>
      <c r="M8382" t="n">
        <v>0</v>
      </c>
      <c r="N8382" t="n">
        <v>0</v>
      </c>
      <c r="O8382" t="n">
        <v>0</v>
      </c>
      <c r="P8382" t="n">
        <v>0</v>
      </c>
      <c r="Q8382" t="n">
        <v>0</v>
      </c>
      <c r="R8382" s="2" t="inlineStr"/>
    </row>
    <row r="8383" ht="15" customHeight="1">
      <c r="A8383" t="inlineStr">
        <is>
          <t>A 45224-2021</t>
        </is>
      </c>
      <c r="B8383" s="1" t="n">
        <v>44439.5778587963</v>
      </c>
      <c r="C8383" s="1" t="n">
        <v>45952</v>
      </c>
      <c r="D8383" t="inlineStr">
        <is>
          <t>VÄSTRA GÖTALANDS LÄN</t>
        </is>
      </c>
      <c r="E8383" t="inlineStr">
        <is>
          <t>KARLSBORG</t>
        </is>
      </c>
      <c r="G8383" t="n">
        <v>2.2</v>
      </c>
      <c r="H8383" t="n">
        <v>0</v>
      </c>
      <c r="I8383" t="n">
        <v>0</v>
      </c>
      <c r="J8383" t="n">
        <v>0</v>
      </c>
      <c r="K8383" t="n">
        <v>0</v>
      </c>
      <c r="L8383" t="n">
        <v>0</v>
      </c>
      <c r="M8383" t="n">
        <v>0</v>
      </c>
      <c r="N8383" t="n">
        <v>0</v>
      </c>
      <c r="O8383" t="n">
        <v>0</v>
      </c>
      <c r="P8383" t="n">
        <v>0</v>
      </c>
      <c r="Q8383" t="n">
        <v>0</v>
      </c>
      <c r="R8383" s="2" t="inlineStr"/>
    </row>
    <row r="8384" ht="15" customHeight="1">
      <c r="A8384" t="inlineStr">
        <is>
          <t>A 49435-2024</t>
        </is>
      </c>
      <c r="B8384" s="1" t="n">
        <v>45595.85221064815</v>
      </c>
      <c r="C8384" s="1" t="n">
        <v>45952</v>
      </c>
      <c r="D8384" t="inlineStr">
        <is>
          <t>VÄSTRA GÖTALANDS LÄN</t>
        </is>
      </c>
      <c r="E8384" t="inlineStr">
        <is>
          <t>SKARA</t>
        </is>
      </c>
      <c r="G8384" t="n">
        <v>3.5</v>
      </c>
      <c r="H8384" t="n">
        <v>0</v>
      </c>
      <c r="I8384" t="n">
        <v>0</v>
      </c>
      <c r="J8384" t="n">
        <v>0</v>
      </c>
      <c r="K8384" t="n">
        <v>0</v>
      </c>
      <c r="L8384" t="n">
        <v>0</v>
      </c>
      <c r="M8384" t="n">
        <v>0</v>
      </c>
      <c r="N8384" t="n">
        <v>0</v>
      </c>
      <c r="O8384" t="n">
        <v>0</v>
      </c>
      <c r="P8384" t="n">
        <v>0</v>
      </c>
      <c r="Q8384" t="n">
        <v>0</v>
      </c>
      <c r="R8384" s="2" t="inlineStr"/>
    </row>
    <row r="8385" ht="15" customHeight="1">
      <c r="A8385" t="inlineStr">
        <is>
          <t>A 17861-2024</t>
        </is>
      </c>
      <c r="B8385" s="1" t="n">
        <v>45419.43511574074</v>
      </c>
      <c r="C8385" s="1" t="n">
        <v>45952</v>
      </c>
      <c r="D8385" t="inlineStr">
        <is>
          <t>VÄSTRA GÖTALANDS LÄN</t>
        </is>
      </c>
      <c r="E8385" t="inlineStr">
        <is>
          <t>VÄNERSBORG</t>
        </is>
      </c>
      <c r="G8385" t="n">
        <v>2.4</v>
      </c>
      <c r="H8385" t="n">
        <v>0</v>
      </c>
      <c r="I8385" t="n">
        <v>0</v>
      </c>
      <c r="J8385" t="n">
        <v>0</v>
      </c>
      <c r="K8385" t="n">
        <v>0</v>
      </c>
      <c r="L8385" t="n">
        <v>0</v>
      </c>
      <c r="M8385" t="n">
        <v>0</v>
      </c>
      <c r="N8385" t="n">
        <v>0</v>
      </c>
      <c r="O8385" t="n">
        <v>0</v>
      </c>
      <c r="P8385" t="n">
        <v>0</v>
      </c>
      <c r="Q8385" t="n">
        <v>0</v>
      </c>
      <c r="R8385" s="2" t="inlineStr"/>
    </row>
    <row r="8386" ht="15" customHeight="1">
      <c r="A8386" t="inlineStr">
        <is>
          <t>A 180-2025</t>
        </is>
      </c>
      <c r="B8386" s="1" t="n">
        <v>45659.6991087963</v>
      </c>
      <c r="C8386" s="1" t="n">
        <v>45952</v>
      </c>
      <c r="D8386" t="inlineStr">
        <is>
          <t>VÄSTRA GÖTALANDS LÄN</t>
        </is>
      </c>
      <c r="E8386" t="inlineStr">
        <is>
          <t>TANUM</t>
        </is>
      </c>
      <c r="G8386" t="n">
        <v>2.8</v>
      </c>
      <c r="H8386" t="n">
        <v>0</v>
      </c>
      <c r="I8386" t="n">
        <v>0</v>
      </c>
      <c r="J8386" t="n">
        <v>0</v>
      </c>
      <c r="K8386" t="n">
        <v>0</v>
      </c>
      <c r="L8386" t="n">
        <v>0</v>
      </c>
      <c r="M8386" t="n">
        <v>0</v>
      </c>
      <c r="N8386" t="n">
        <v>0</v>
      </c>
      <c r="O8386" t="n">
        <v>0</v>
      </c>
      <c r="P8386" t="n">
        <v>0</v>
      </c>
      <c r="Q8386" t="n">
        <v>0</v>
      </c>
      <c r="R8386" s="2" t="inlineStr"/>
    </row>
    <row r="8387" ht="15" customHeight="1">
      <c r="A8387" t="inlineStr">
        <is>
          <t>A 49584-2024</t>
        </is>
      </c>
      <c r="B8387" s="1" t="n">
        <v>45596.54247685185</v>
      </c>
      <c r="C8387" s="1" t="n">
        <v>45952</v>
      </c>
      <c r="D8387" t="inlineStr">
        <is>
          <t>VÄSTRA GÖTALANDS LÄN</t>
        </is>
      </c>
      <c r="E8387" t="inlineStr">
        <is>
          <t>BORÅS</t>
        </is>
      </c>
      <c r="G8387" t="n">
        <v>1.6</v>
      </c>
      <c r="H8387" t="n">
        <v>0</v>
      </c>
      <c r="I8387" t="n">
        <v>0</v>
      </c>
      <c r="J8387" t="n">
        <v>0</v>
      </c>
      <c r="K8387" t="n">
        <v>0</v>
      </c>
      <c r="L8387" t="n">
        <v>0</v>
      </c>
      <c r="M8387" t="n">
        <v>0</v>
      </c>
      <c r="N8387" t="n">
        <v>0</v>
      </c>
      <c r="O8387" t="n">
        <v>0</v>
      </c>
      <c r="P8387" t="n">
        <v>0</v>
      </c>
      <c r="Q8387" t="n">
        <v>0</v>
      </c>
      <c r="R8387" s="2" t="inlineStr"/>
    </row>
    <row r="8388" ht="15" customHeight="1">
      <c r="A8388" t="inlineStr">
        <is>
          <t>A 23177-2023</t>
        </is>
      </c>
      <c r="B8388" s="1" t="n">
        <v>45075</v>
      </c>
      <c r="C8388" s="1" t="n">
        <v>45952</v>
      </c>
      <c r="D8388" t="inlineStr">
        <is>
          <t>VÄSTRA GÖTALANDS LÄN</t>
        </is>
      </c>
      <c r="E8388" t="inlineStr">
        <is>
          <t>TRANEMO</t>
        </is>
      </c>
      <c r="G8388" t="n">
        <v>3.5</v>
      </c>
      <c r="H8388" t="n">
        <v>0</v>
      </c>
      <c r="I8388" t="n">
        <v>0</v>
      </c>
      <c r="J8388" t="n">
        <v>0</v>
      </c>
      <c r="K8388" t="n">
        <v>0</v>
      </c>
      <c r="L8388" t="n">
        <v>0</v>
      </c>
      <c r="M8388" t="n">
        <v>0</v>
      </c>
      <c r="N8388" t="n">
        <v>0</v>
      </c>
      <c r="O8388" t="n">
        <v>0</v>
      </c>
      <c r="P8388" t="n">
        <v>0</v>
      </c>
      <c r="Q8388" t="n">
        <v>0</v>
      </c>
      <c r="R8388" s="2" t="inlineStr"/>
    </row>
    <row r="8389" ht="15" customHeight="1">
      <c r="A8389" t="inlineStr">
        <is>
          <t>A 50334-2024</t>
        </is>
      </c>
      <c r="B8389" s="1" t="n">
        <v>45600.7067824074</v>
      </c>
      <c r="C8389" s="1" t="n">
        <v>45952</v>
      </c>
      <c r="D8389" t="inlineStr">
        <is>
          <t>VÄSTRA GÖTALANDS LÄN</t>
        </is>
      </c>
      <c r="E8389" t="inlineStr">
        <is>
          <t>MELLERUD</t>
        </is>
      </c>
      <c r="G8389" t="n">
        <v>5.5</v>
      </c>
      <c r="H8389" t="n">
        <v>0</v>
      </c>
      <c r="I8389" t="n">
        <v>0</v>
      </c>
      <c r="J8389" t="n">
        <v>0</v>
      </c>
      <c r="K8389" t="n">
        <v>0</v>
      </c>
      <c r="L8389" t="n">
        <v>0</v>
      </c>
      <c r="M8389" t="n">
        <v>0</v>
      </c>
      <c r="N8389" t="n">
        <v>0</v>
      </c>
      <c r="O8389" t="n">
        <v>0</v>
      </c>
      <c r="P8389" t="n">
        <v>0</v>
      </c>
      <c r="Q8389" t="n">
        <v>0</v>
      </c>
      <c r="R8389" s="2" t="inlineStr"/>
    </row>
    <row r="8390" ht="15" customHeight="1">
      <c r="A8390" t="inlineStr">
        <is>
          <t>A 42402-2023</t>
        </is>
      </c>
      <c r="B8390" s="1" t="n">
        <v>45180</v>
      </c>
      <c r="C8390" s="1" t="n">
        <v>45952</v>
      </c>
      <c r="D8390" t="inlineStr">
        <is>
          <t>VÄSTRA GÖTALANDS LÄN</t>
        </is>
      </c>
      <c r="E8390" t="inlineStr">
        <is>
          <t>FÄRGELANDA</t>
        </is>
      </c>
      <c r="G8390" t="n">
        <v>1.6</v>
      </c>
      <c r="H8390" t="n">
        <v>0</v>
      </c>
      <c r="I8390" t="n">
        <v>0</v>
      </c>
      <c r="J8390" t="n">
        <v>0</v>
      </c>
      <c r="K8390" t="n">
        <v>0</v>
      </c>
      <c r="L8390" t="n">
        <v>0</v>
      </c>
      <c r="M8390" t="n">
        <v>0</v>
      </c>
      <c r="N8390" t="n">
        <v>0</v>
      </c>
      <c r="O8390" t="n">
        <v>0</v>
      </c>
      <c r="P8390" t="n">
        <v>0</v>
      </c>
      <c r="Q8390" t="n">
        <v>0</v>
      </c>
      <c r="R8390" s="2" t="inlineStr"/>
    </row>
    <row r="8391" ht="15" customHeight="1">
      <c r="A8391" t="inlineStr">
        <is>
          <t>A 892-2023</t>
        </is>
      </c>
      <c r="B8391" s="1" t="n">
        <v>44931.81667824074</v>
      </c>
      <c r="C8391" s="1" t="n">
        <v>45952</v>
      </c>
      <c r="D8391" t="inlineStr">
        <is>
          <t>VÄSTRA GÖTALANDS LÄN</t>
        </is>
      </c>
      <c r="E8391" t="inlineStr">
        <is>
          <t>ESSUNGA</t>
        </is>
      </c>
      <c r="G8391" t="n">
        <v>0.3</v>
      </c>
      <c r="H8391" t="n">
        <v>0</v>
      </c>
      <c r="I8391" t="n">
        <v>0</v>
      </c>
      <c r="J8391" t="n">
        <v>0</v>
      </c>
      <c r="K8391" t="n">
        <v>0</v>
      </c>
      <c r="L8391" t="n">
        <v>0</v>
      </c>
      <c r="M8391" t="n">
        <v>0</v>
      </c>
      <c r="N8391" t="n">
        <v>0</v>
      </c>
      <c r="O8391" t="n">
        <v>0</v>
      </c>
      <c r="P8391" t="n">
        <v>0</v>
      </c>
      <c r="Q8391" t="n">
        <v>0</v>
      </c>
      <c r="R8391" s="2" t="inlineStr"/>
    </row>
    <row r="8392" ht="15" customHeight="1">
      <c r="A8392" t="inlineStr">
        <is>
          <t>A 51993-2022</t>
        </is>
      </c>
      <c r="B8392" s="1" t="n">
        <v>44872</v>
      </c>
      <c r="C8392" s="1" t="n">
        <v>45952</v>
      </c>
      <c r="D8392" t="inlineStr">
        <is>
          <t>VÄSTRA GÖTALANDS LÄN</t>
        </is>
      </c>
      <c r="E8392" t="inlineStr">
        <is>
          <t>ORUST</t>
        </is>
      </c>
      <c r="G8392" t="n">
        <v>2.2</v>
      </c>
      <c r="H8392" t="n">
        <v>0</v>
      </c>
      <c r="I8392" t="n">
        <v>0</v>
      </c>
      <c r="J8392" t="n">
        <v>0</v>
      </c>
      <c r="K8392" t="n">
        <v>0</v>
      </c>
      <c r="L8392" t="n">
        <v>0</v>
      </c>
      <c r="M8392" t="n">
        <v>0</v>
      </c>
      <c r="N8392" t="n">
        <v>0</v>
      </c>
      <c r="O8392" t="n">
        <v>0</v>
      </c>
      <c r="P8392" t="n">
        <v>0</v>
      </c>
      <c r="Q8392" t="n">
        <v>0</v>
      </c>
      <c r="R8392" s="2" t="inlineStr"/>
    </row>
    <row r="8393" ht="15" customHeight="1">
      <c r="A8393" t="inlineStr">
        <is>
          <t>A 16154-2025</t>
        </is>
      </c>
      <c r="B8393" s="1" t="n">
        <v>45750.48502314815</v>
      </c>
      <c r="C8393" s="1" t="n">
        <v>45952</v>
      </c>
      <c r="D8393" t="inlineStr">
        <is>
          <t>VÄSTRA GÖTALANDS LÄN</t>
        </is>
      </c>
      <c r="E8393" t="inlineStr">
        <is>
          <t>MARK</t>
        </is>
      </c>
      <c r="G8393" t="n">
        <v>1.2</v>
      </c>
      <c r="H8393" t="n">
        <v>0</v>
      </c>
      <c r="I8393" t="n">
        <v>0</v>
      </c>
      <c r="J8393" t="n">
        <v>0</v>
      </c>
      <c r="K8393" t="n">
        <v>0</v>
      </c>
      <c r="L8393" t="n">
        <v>0</v>
      </c>
      <c r="M8393" t="n">
        <v>0</v>
      </c>
      <c r="N8393" t="n">
        <v>0</v>
      </c>
      <c r="O8393" t="n">
        <v>0</v>
      </c>
      <c r="P8393" t="n">
        <v>0</v>
      </c>
      <c r="Q8393" t="n">
        <v>0</v>
      </c>
      <c r="R8393" s="2" t="inlineStr"/>
    </row>
    <row r="8394" ht="15" customHeight="1">
      <c r="A8394" t="inlineStr">
        <is>
          <t>A 8948-2022</t>
        </is>
      </c>
      <c r="B8394" s="1" t="n">
        <v>44614</v>
      </c>
      <c r="C8394" s="1" t="n">
        <v>45952</v>
      </c>
      <c r="D8394" t="inlineStr">
        <is>
          <t>VÄSTRA GÖTALANDS LÄN</t>
        </is>
      </c>
      <c r="E8394" t="inlineStr">
        <is>
          <t>STENUNGSUND</t>
        </is>
      </c>
      <c r="G8394" t="n">
        <v>0.6</v>
      </c>
      <c r="H8394" t="n">
        <v>0</v>
      </c>
      <c r="I8394" t="n">
        <v>0</v>
      </c>
      <c r="J8394" t="n">
        <v>0</v>
      </c>
      <c r="K8394" t="n">
        <v>0</v>
      </c>
      <c r="L8394" t="n">
        <v>0</v>
      </c>
      <c r="M8394" t="n">
        <v>0</v>
      </c>
      <c r="N8394" t="n">
        <v>0</v>
      </c>
      <c r="O8394" t="n">
        <v>0</v>
      </c>
      <c r="P8394" t="n">
        <v>0</v>
      </c>
      <c r="Q8394" t="n">
        <v>0</v>
      </c>
      <c r="R8394" s="2" t="inlineStr"/>
    </row>
    <row r="8395" ht="15" customHeight="1">
      <c r="A8395" t="inlineStr">
        <is>
          <t>A 48865-2024</t>
        </is>
      </c>
      <c r="B8395" s="1" t="n">
        <v>45594.2466087963</v>
      </c>
      <c r="C8395" s="1" t="n">
        <v>45952</v>
      </c>
      <c r="D8395" t="inlineStr">
        <is>
          <t>VÄSTRA GÖTALANDS LÄN</t>
        </is>
      </c>
      <c r="E8395" t="inlineStr">
        <is>
          <t>GRÄSTORP</t>
        </is>
      </c>
      <c r="G8395" t="n">
        <v>2.4</v>
      </c>
      <c r="H8395" t="n">
        <v>0</v>
      </c>
      <c r="I8395" t="n">
        <v>0</v>
      </c>
      <c r="J8395" t="n">
        <v>0</v>
      </c>
      <c r="K8395" t="n">
        <v>0</v>
      </c>
      <c r="L8395" t="n">
        <v>0</v>
      </c>
      <c r="M8395" t="n">
        <v>0</v>
      </c>
      <c r="N8395" t="n">
        <v>0</v>
      </c>
      <c r="O8395" t="n">
        <v>0</v>
      </c>
      <c r="P8395" t="n">
        <v>0</v>
      </c>
      <c r="Q8395" t="n">
        <v>0</v>
      </c>
      <c r="R8395" s="2" t="inlineStr"/>
    </row>
    <row r="8396" ht="15" customHeight="1">
      <c r="A8396" t="inlineStr">
        <is>
          <t>A 46418-2024</t>
        </is>
      </c>
      <c r="B8396" s="1" t="n">
        <v>45582.45601851852</v>
      </c>
      <c r="C8396" s="1" t="n">
        <v>45952</v>
      </c>
      <c r="D8396" t="inlineStr">
        <is>
          <t>VÄSTRA GÖTALANDS LÄN</t>
        </is>
      </c>
      <c r="E8396" t="inlineStr">
        <is>
          <t>MUNKEDAL</t>
        </is>
      </c>
      <c r="G8396" t="n">
        <v>1.3</v>
      </c>
      <c r="H8396" t="n">
        <v>0</v>
      </c>
      <c r="I8396" t="n">
        <v>0</v>
      </c>
      <c r="J8396" t="n">
        <v>0</v>
      </c>
      <c r="K8396" t="n">
        <v>0</v>
      </c>
      <c r="L8396" t="n">
        <v>0</v>
      </c>
      <c r="M8396" t="n">
        <v>0</v>
      </c>
      <c r="N8396" t="n">
        <v>0</v>
      </c>
      <c r="O8396" t="n">
        <v>0</v>
      </c>
      <c r="P8396" t="n">
        <v>0</v>
      </c>
      <c r="Q8396" t="n">
        <v>0</v>
      </c>
      <c r="R8396" s="2" t="inlineStr"/>
    </row>
    <row r="8397" ht="15" customHeight="1">
      <c r="A8397" t="inlineStr">
        <is>
          <t>A 40270-2024</t>
        </is>
      </c>
      <c r="B8397" s="1" t="n">
        <v>45554.64315972223</v>
      </c>
      <c r="C8397" s="1" t="n">
        <v>45952</v>
      </c>
      <c r="D8397" t="inlineStr">
        <is>
          <t>VÄSTRA GÖTALANDS LÄN</t>
        </is>
      </c>
      <c r="E8397" t="inlineStr">
        <is>
          <t>ORUST</t>
        </is>
      </c>
      <c r="G8397" t="n">
        <v>3</v>
      </c>
      <c r="H8397" t="n">
        <v>0</v>
      </c>
      <c r="I8397" t="n">
        <v>0</v>
      </c>
      <c r="J8397" t="n">
        <v>0</v>
      </c>
      <c r="K8397" t="n">
        <v>0</v>
      </c>
      <c r="L8397" t="n">
        <v>0</v>
      </c>
      <c r="M8397" t="n">
        <v>0</v>
      </c>
      <c r="N8397" t="n">
        <v>0</v>
      </c>
      <c r="O8397" t="n">
        <v>0</v>
      </c>
      <c r="P8397" t="n">
        <v>0</v>
      </c>
      <c r="Q8397" t="n">
        <v>0</v>
      </c>
      <c r="R8397" s="2" t="inlineStr"/>
      <c r="U8397">
        <f>HYPERLINK("https://klasma.github.io/Logging_1421/knärot/A 40270-2024 karta knärot.png", "A 40270-2024")</f>
        <v/>
      </c>
      <c r="V8397">
        <f>HYPERLINK("https://klasma.github.io/Logging_1421/klagomål/A 40270-2024 FSC-klagomål.docx", "A 40270-2024")</f>
        <v/>
      </c>
      <c r="W8397">
        <f>HYPERLINK("https://klasma.github.io/Logging_1421/klagomålsmail/A 40270-2024 FSC-klagomål mail.docx", "A 40270-2024")</f>
        <v/>
      </c>
      <c r="X8397">
        <f>HYPERLINK("https://klasma.github.io/Logging_1421/tillsyn/A 40270-2024 tillsynsbegäran.docx", "A 40270-2024")</f>
        <v/>
      </c>
      <c r="Y8397">
        <f>HYPERLINK("https://klasma.github.io/Logging_1421/tillsynsmail/A 40270-2024 tillsynsbegäran mail.docx", "A 40270-2024")</f>
        <v/>
      </c>
    </row>
    <row r="8398" ht="15" customHeight="1">
      <c r="A8398" t="inlineStr">
        <is>
          <t>A 23937-2025</t>
        </is>
      </c>
      <c r="B8398" s="1" t="n">
        <v>45795.90994212963</v>
      </c>
      <c r="C8398" s="1" t="n">
        <v>45952</v>
      </c>
      <c r="D8398" t="inlineStr">
        <is>
          <t>VÄSTRA GÖTALANDS LÄN</t>
        </is>
      </c>
      <c r="E8398" t="inlineStr">
        <is>
          <t>ULRICEHAMN</t>
        </is>
      </c>
      <c r="G8398" t="n">
        <v>1.6</v>
      </c>
      <c r="H8398" t="n">
        <v>0</v>
      </c>
      <c r="I8398" t="n">
        <v>0</v>
      </c>
      <c r="J8398" t="n">
        <v>0</v>
      </c>
      <c r="K8398" t="n">
        <v>0</v>
      </c>
      <c r="L8398" t="n">
        <v>0</v>
      </c>
      <c r="M8398" t="n">
        <v>0</v>
      </c>
      <c r="N8398" t="n">
        <v>0</v>
      </c>
      <c r="O8398" t="n">
        <v>0</v>
      </c>
      <c r="P8398" t="n">
        <v>0</v>
      </c>
      <c r="Q8398" t="n">
        <v>0</v>
      </c>
      <c r="R8398" s="2" t="inlineStr"/>
    </row>
    <row r="8399" ht="15" customHeight="1">
      <c r="A8399" t="inlineStr">
        <is>
          <t>A 1847-2024</t>
        </is>
      </c>
      <c r="B8399" s="1" t="n">
        <v>45307.69517361111</v>
      </c>
      <c r="C8399" s="1" t="n">
        <v>45952</v>
      </c>
      <c r="D8399" t="inlineStr">
        <is>
          <t>VÄSTRA GÖTALANDS LÄN</t>
        </is>
      </c>
      <c r="E8399" t="inlineStr">
        <is>
          <t>MARIESTAD</t>
        </is>
      </c>
      <c r="G8399" t="n">
        <v>1.8</v>
      </c>
      <c r="H8399" t="n">
        <v>0</v>
      </c>
      <c r="I8399" t="n">
        <v>0</v>
      </c>
      <c r="J8399" t="n">
        <v>0</v>
      </c>
      <c r="K8399" t="n">
        <v>0</v>
      </c>
      <c r="L8399" t="n">
        <v>0</v>
      </c>
      <c r="M8399" t="n">
        <v>0</v>
      </c>
      <c r="N8399" t="n">
        <v>0</v>
      </c>
      <c r="O8399" t="n">
        <v>0</v>
      </c>
      <c r="P8399" t="n">
        <v>0</v>
      </c>
      <c r="Q8399" t="n">
        <v>0</v>
      </c>
      <c r="R8399" s="2" t="inlineStr"/>
    </row>
    <row r="8400" ht="15" customHeight="1">
      <c r="A8400" t="inlineStr">
        <is>
          <t>A 22642-2025</t>
        </is>
      </c>
      <c r="B8400" s="1" t="n">
        <v>45789.45525462963</v>
      </c>
      <c r="C8400" s="1" t="n">
        <v>45952</v>
      </c>
      <c r="D8400" t="inlineStr">
        <is>
          <t>VÄSTRA GÖTALANDS LÄN</t>
        </is>
      </c>
      <c r="E8400" t="inlineStr">
        <is>
          <t>MARK</t>
        </is>
      </c>
      <c r="G8400" t="n">
        <v>1.8</v>
      </c>
      <c r="H8400" t="n">
        <v>0</v>
      </c>
      <c r="I8400" t="n">
        <v>0</v>
      </c>
      <c r="J8400" t="n">
        <v>0</v>
      </c>
      <c r="K8400" t="n">
        <v>0</v>
      </c>
      <c r="L8400" t="n">
        <v>0</v>
      </c>
      <c r="M8400" t="n">
        <v>0</v>
      </c>
      <c r="N8400" t="n">
        <v>0</v>
      </c>
      <c r="O8400" t="n">
        <v>0</v>
      </c>
      <c r="P8400" t="n">
        <v>0</v>
      </c>
      <c r="Q8400" t="n">
        <v>0</v>
      </c>
      <c r="R8400" s="2" t="inlineStr"/>
    </row>
    <row r="8401" ht="15" customHeight="1">
      <c r="A8401" t="inlineStr">
        <is>
          <t>A 38987-2025</t>
        </is>
      </c>
      <c r="B8401" s="1" t="n">
        <v>45888.31350694445</v>
      </c>
      <c r="C8401" s="1" t="n">
        <v>45952</v>
      </c>
      <c r="D8401" t="inlineStr">
        <is>
          <t>VÄSTRA GÖTALANDS LÄN</t>
        </is>
      </c>
      <c r="E8401" t="inlineStr">
        <is>
          <t>TÖREBODA</t>
        </is>
      </c>
      <c r="G8401" t="n">
        <v>4.6</v>
      </c>
      <c r="H8401" t="n">
        <v>0</v>
      </c>
      <c r="I8401" t="n">
        <v>0</v>
      </c>
      <c r="J8401" t="n">
        <v>0</v>
      </c>
      <c r="K8401" t="n">
        <v>0</v>
      </c>
      <c r="L8401" t="n">
        <v>0</v>
      </c>
      <c r="M8401" t="n">
        <v>0</v>
      </c>
      <c r="N8401" t="n">
        <v>0</v>
      </c>
      <c r="O8401" t="n">
        <v>0</v>
      </c>
      <c r="P8401" t="n">
        <v>0</v>
      </c>
      <c r="Q8401" t="n">
        <v>0</v>
      </c>
      <c r="R8401" s="2" t="inlineStr"/>
    </row>
    <row r="8402" ht="15" customHeight="1">
      <c r="A8402" t="inlineStr">
        <is>
          <t>A 38994-2025</t>
        </is>
      </c>
      <c r="B8402" s="1" t="n">
        <v>45888.33225694444</v>
      </c>
      <c r="C8402" s="1" t="n">
        <v>45952</v>
      </c>
      <c r="D8402" t="inlineStr">
        <is>
          <t>VÄSTRA GÖTALANDS LÄN</t>
        </is>
      </c>
      <c r="E8402" t="inlineStr">
        <is>
          <t>STENUNGSUND</t>
        </is>
      </c>
      <c r="G8402" t="n">
        <v>0.4</v>
      </c>
      <c r="H8402" t="n">
        <v>0</v>
      </c>
      <c r="I8402" t="n">
        <v>0</v>
      </c>
      <c r="J8402" t="n">
        <v>0</v>
      </c>
      <c r="K8402" t="n">
        <v>0</v>
      </c>
      <c r="L8402" t="n">
        <v>0</v>
      </c>
      <c r="M8402" t="n">
        <v>0</v>
      </c>
      <c r="N8402" t="n">
        <v>0</v>
      </c>
      <c r="O8402" t="n">
        <v>0</v>
      </c>
      <c r="P8402" t="n">
        <v>0</v>
      </c>
      <c r="Q8402" t="n">
        <v>0</v>
      </c>
      <c r="R8402" s="2" t="inlineStr"/>
    </row>
    <row r="8403" ht="15" customHeight="1">
      <c r="A8403" t="inlineStr">
        <is>
          <t>A 39009-2025</t>
        </is>
      </c>
      <c r="B8403" s="1" t="n">
        <v>45888.34644675926</v>
      </c>
      <c r="C8403" s="1" t="n">
        <v>45952</v>
      </c>
      <c r="D8403" t="inlineStr">
        <is>
          <t>VÄSTRA GÖTALANDS LÄN</t>
        </is>
      </c>
      <c r="E8403" t="inlineStr">
        <is>
          <t>SVENLJUNGA</t>
        </is>
      </c>
      <c r="G8403" t="n">
        <v>0.8</v>
      </c>
      <c r="H8403" t="n">
        <v>0</v>
      </c>
      <c r="I8403" t="n">
        <v>0</v>
      </c>
      <c r="J8403" t="n">
        <v>0</v>
      </c>
      <c r="K8403" t="n">
        <v>0</v>
      </c>
      <c r="L8403" t="n">
        <v>0</v>
      </c>
      <c r="M8403" t="n">
        <v>0</v>
      </c>
      <c r="N8403" t="n">
        <v>0</v>
      </c>
      <c r="O8403" t="n">
        <v>0</v>
      </c>
      <c r="P8403" t="n">
        <v>0</v>
      </c>
      <c r="Q8403" t="n">
        <v>0</v>
      </c>
      <c r="R8403" s="2" t="inlineStr"/>
    </row>
    <row r="8404" ht="15" customHeight="1">
      <c r="A8404" t="inlineStr">
        <is>
          <t>A 59373-2023</t>
        </is>
      </c>
      <c r="B8404" s="1" t="n">
        <v>45253.74621527778</v>
      </c>
      <c r="C8404" s="1" t="n">
        <v>45952</v>
      </c>
      <c r="D8404" t="inlineStr">
        <is>
          <t>VÄSTRA GÖTALANDS LÄN</t>
        </is>
      </c>
      <c r="E8404" t="inlineStr">
        <is>
          <t>GULLSPÅNG</t>
        </is>
      </c>
      <c r="G8404" t="n">
        <v>1.8</v>
      </c>
      <c r="H8404" t="n">
        <v>0</v>
      </c>
      <c r="I8404" t="n">
        <v>0</v>
      </c>
      <c r="J8404" t="n">
        <v>0</v>
      </c>
      <c r="K8404" t="n">
        <v>0</v>
      </c>
      <c r="L8404" t="n">
        <v>0</v>
      </c>
      <c r="M8404" t="n">
        <v>0</v>
      </c>
      <c r="N8404" t="n">
        <v>0</v>
      </c>
      <c r="O8404" t="n">
        <v>0</v>
      </c>
      <c r="P8404" t="n">
        <v>0</v>
      </c>
      <c r="Q8404" t="n">
        <v>0</v>
      </c>
      <c r="R8404" s="2" t="inlineStr"/>
    </row>
    <row r="8405" ht="15" customHeight="1">
      <c r="A8405" t="inlineStr">
        <is>
          <t>A 50603-2024</t>
        </is>
      </c>
      <c r="B8405" s="1" t="n">
        <v>45600</v>
      </c>
      <c r="C8405" s="1" t="n">
        <v>45952</v>
      </c>
      <c r="D8405" t="inlineStr">
        <is>
          <t>VÄSTRA GÖTALANDS LÄN</t>
        </is>
      </c>
      <c r="E8405" t="inlineStr">
        <is>
          <t>STRÖMSTAD</t>
        </is>
      </c>
      <c r="G8405" t="n">
        <v>0.4</v>
      </c>
      <c r="H8405" t="n">
        <v>0</v>
      </c>
      <c r="I8405" t="n">
        <v>0</v>
      </c>
      <c r="J8405" t="n">
        <v>0</v>
      </c>
      <c r="K8405" t="n">
        <v>0</v>
      </c>
      <c r="L8405" t="n">
        <v>0</v>
      </c>
      <c r="M8405" t="n">
        <v>0</v>
      </c>
      <c r="N8405" t="n">
        <v>0</v>
      </c>
      <c r="O8405" t="n">
        <v>0</v>
      </c>
      <c r="P8405" t="n">
        <v>0</v>
      </c>
      <c r="Q8405" t="n">
        <v>0</v>
      </c>
      <c r="R8405" s="2" t="inlineStr"/>
    </row>
    <row r="8406" ht="15" customHeight="1">
      <c r="A8406" t="inlineStr">
        <is>
          <t>A 38842-2024</t>
        </is>
      </c>
      <c r="B8406" s="1" t="n">
        <v>45547.59736111111</v>
      </c>
      <c r="C8406" s="1" t="n">
        <v>45952</v>
      </c>
      <c r="D8406" t="inlineStr">
        <is>
          <t>VÄSTRA GÖTALANDS LÄN</t>
        </is>
      </c>
      <c r="E8406" t="inlineStr">
        <is>
          <t>MUNKEDAL</t>
        </is>
      </c>
      <c r="G8406" t="n">
        <v>2.2</v>
      </c>
      <c r="H8406" t="n">
        <v>0</v>
      </c>
      <c r="I8406" t="n">
        <v>0</v>
      </c>
      <c r="J8406" t="n">
        <v>0</v>
      </c>
      <c r="K8406" t="n">
        <v>0</v>
      </c>
      <c r="L8406" t="n">
        <v>0</v>
      </c>
      <c r="M8406" t="n">
        <v>0</v>
      </c>
      <c r="N8406" t="n">
        <v>0</v>
      </c>
      <c r="O8406" t="n">
        <v>0</v>
      </c>
      <c r="P8406" t="n">
        <v>0</v>
      </c>
      <c r="Q8406" t="n">
        <v>0</v>
      </c>
      <c r="R8406" s="2" t="inlineStr"/>
    </row>
    <row r="8407" ht="15" customHeight="1">
      <c r="A8407" t="inlineStr">
        <is>
          <t>A 5985-2024</t>
        </is>
      </c>
      <c r="B8407" s="1" t="n">
        <v>45336.56657407407</v>
      </c>
      <c r="C8407" s="1" t="n">
        <v>45952</v>
      </c>
      <c r="D8407" t="inlineStr">
        <is>
          <t>VÄSTRA GÖTALANDS LÄN</t>
        </is>
      </c>
      <c r="E8407" t="inlineStr">
        <is>
          <t>HÄRRYDA</t>
        </is>
      </c>
      <c r="G8407" t="n">
        <v>0.8</v>
      </c>
      <c r="H8407" t="n">
        <v>0</v>
      </c>
      <c r="I8407" t="n">
        <v>0</v>
      </c>
      <c r="J8407" t="n">
        <v>0</v>
      </c>
      <c r="K8407" t="n">
        <v>0</v>
      </c>
      <c r="L8407" t="n">
        <v>0</v>
      </c>
      <c r="M8407" t="n">
        <v>0</v>
      </c>
      <c r="N8407" t="n">
        <v>0</v>
      </c>
      <c r="O8407" t="n">
        <v>0</v>
      </c>
      <c r="P8407" t="n">
        <v>0</v>
      </c>
      <c r="Q8407" t="n">
        <v>0</v>
      </c>
      <c r="R8407" s="2" t="inlineStr"/>
    </row>
    <row r="8408" ht="15" customHeight="1">
      <c r="A8408" t="inlineStr">
        <is>
          <t>A 19944-2025</t>
        </is>
      </c>
      <c r="B8408" s="1" t="n">
        <v>45771.65230324074</v>
      </c>
      <c r="C8408" s="1" t="n">
        <v>45952</v>
      </c>
      <c r="D8408" t="inlineStr">
        <is>
          <t>VÄSTRA GÖTALANDS LÄN</t>
        </is>
      </c>
      <c r="E8408" t="inlineStr">
        <is>
          <t>BENGTSFORS</t>
        </is>
      </c>
      <c r="G8408" t="n">
        <v>3</v>
      </c>
      <c r="H8408" t="n">
        <v>0</v>
      </c>
      <c r="I8408" t="n">
        <v>0</v>
      </c>
      <c r="J8408" t="n">
        <v>0</v>
      </c>
      <c r="K8408" t="n">
        <v>0</v>
      </c>
      <c r="L8408" t="n">
        <v>0</v>
      </c>
      <c r="M8408" t="n">
        <v>0</v>
      </c>
      <c r="N8408" t="n">
        <v>0</v>
      </c>
      <c r="O8408" t="n">
        <v>0</v>
      </c>
      <c r="P8408" t="n">
        <v>0</v>
      </c>
      <c r="Q8408" t="n">
        <v>0</v>
      </c>
      <c r="R8408" s="2" t="inlineStr"/>
    </row>
    <row r="8409" ht="15" customHeight="1">
      <c r="A8409" t="inlineStr">
        <is>
          <t>A 6043-2024</t>
        </is>
      </c>
      <c r="B8409" s="1" t="n">
        <v>45336</v>
      </c>
      <c r="C8409" s="1" t="n">
        <v>45952</v>
      </c>
      <c r="D8409" t="inlineStr">
        <is>
          <t>VÄSTRA GÖTALANDS LÄN</t>
        </is>
      </c>
      <c r="E8409" t="inlineStr">
        <is>
          <t>STRÖMSTAD</t>
        </is>
      </c>
      <c r="G8409" t="n">
        <v>0.7</v>
      </c>
      <c r="H8409" t="n">
        <v>0</v>
      </c>
      <c r="I8409" t="n">
        <v>0</v>
      </c>
      <c r="J8409" t="n">
        <v>0</v>
      </c>
      <c r="K8409" t="n">
        <v>0</v>
      </c>
      <c r="L8409" t="n">
        <v>0</v>
      </c>
      <c r="M8409" t="n">
        <v>0</v>
      </c>
      <c r="N8409" t="n">
        <v>0</v>
      </c>
      <c r="O8409" t="n">
        <v>0</v>
      </c>
      <c r="P8409" t="n">
        <v>0</v>
      </c>
      <c r="Q8409" t="n">
        <v>0</v>
      </c>
      <c r="R8409" s="2" t="inlineStr"/>
    </row>
    <row r="8410" ht="15" customHeight="1">
      <c r="A8410" t="inlineStr">
        <is>
          <t>A 47690-2024</t>
        </is>
      </c>
      <c r="B8410" s="1" t="n">
        <v>45588.45356481482</v>
      </c>
      <c r="C8410" s="1" t="n">
        <v>45952</v>
      </c>
      <c r="D8410" t="inlineStr">
        <is>
          <t>VÄSTRA GÖTALANDS LÄN</t>
        </is>
      </c>
      <c r="E8410" t="inlineStr">
        <is>
          <t>ÅMÅL</t>
        </is>
      </c>
      <c r="G8410" t="n">
        <v>5.6</v>
      </c>
      <c r="H8410" t="n">
        <v>0</v>
      </c>
      <c r="I8410" t="n">
        <v>0</v>
      </c>
      <c r="J8410" t="n">
        <v>0</v>
      </c>
      <c r="K8410" t="n">
        <v>0</v>
      </c>
      <c r="L8410" t="n">
        <v>0</v>
      </c>
      <c r="M8410" t="n">
        <v>0</v>
      </c>
      <c r="N8410" t="n">
        <v>0</v>
      </c>
      <c r="O8410" t="n">
        <v>0</v>
      </c>
      <c r="P8410" t="n">
        <v>0</v>
      </c>
      <c r="Q8410" t="n">
        <v>0</v>
      </c>
      <c r="R8410" s="2" t="inlineStr"/>
    </row>
    <row r="8411" ht="15" customHeight="1">
      <c r="A8411" t="inlineStr">
        <is>
          <t>A 47716-2024</t>
        </is>
      </c>
      <c r="B8411" s="1" t="n">
        <v>45588.48296296296</v>
      </c>
      <c r="C8411" s="1" t="n">
        <v>45952</v>
      </c>
      <c r="D8411" t="inlineStr">
        <is>
          <t>VÄSTRA GÖTALANDS LÄN</t>
        </is>
      </c>
      <c r="E8411" t="inlineStr">
        <is>
          <t>BENGTSFORS</t>
        </is>
      </c>
      <c r="G8411" t="n">
        <v>2.1</v>
      </c>
      <c r="H8411" t="n">
        <v>0</v>
      </c>
      <c r="I8411" t="n">
        <v>0</v>
      </c>
      <c r="J8411" t="n">
        <v>0</v>
      </c>
      <c r="K8411" t="n">
        <v>0</v>
      </c>
      <c r="L8411" t="n">
        <v>0</v>
      </c>
      <c r="M8411" t="n">
        <v>0</v>
      </c>
      <c r="N8411" t="n">
        <v>0</v>
      </c>
      <c r="O8411" t="n">
        <v>0</v>
      </c>
      <c r="P8411" t="n">
        <v>0</v>
      </c>
      <c r="Q8411" t="n">
        <v>0</v>
      </c>
      <c r="R8411" s="2" t="inlineStr"/>
    </row>
    <row r="8412" ht="15" customHeight="1">
      <c r="A8412" t="inlineStr">
        <is>
          <t>A 4780-2022</t>
        </is>
      </c>
      <c r="B8412" s="1" t="n">
        <v>44592.62657407407</v>
      </c>
      <c r="C8412" s="1" t="n">
        <v>45952</v>
      </c>
      <c r="D8412" t="inlineStr">
        <is>
          <t>VÄSTRA GÖTALANDS LÄN</t>
        </is>
      </c>
      <c r="E8412" t="inlineStr">
        <is>
          <t>SOTENÄS</t>
        </is>
      </c>
      <c r="G8412" t="n">
        <v>0.9</v>
      </c>
      <c r="H8412" t="n">
        <v>0</v>
      </c>
      <c r="I8412" t="n">
        <v>0</v>
      </c>
      <c r="J8412" t="n">
        <v>0</v>
      </c>
      <c r="K8412" t="n">
        <v>0</v>
      </c>
      <c r="L8412" t="n">
        <v>0</v>
      </c>
      <c r="M8412" t="n">
        <v>0</v>
      </c>
      <c r="N8412" t="n">
        <v>0</v>
      </c>
      <c r="O8412" t="n">
        <v>0</v>
      </c>
      <c r="P8412" t="n">
        <v>0</v>
      </c>
      <c r="Q8412" t="n">
        <v>0</v>
      </c>
      <c r="R8412" s="2" t="inlineStr"/>
    </row>
    <row r="8413" ht="15" customHeight="1">
      <c r="A8413" t="inlineStr">
        <is>
          <t>A 40588-2022</t>
        </is>
      </c>
      <c r="B8413" s="1" t="n">
        <v>44823.76302083334</v>
      </c>
      <c r="C8413" s="1" t="n">
        <v>45952</v>
      </c>
      <c r="D8413" t="inlineStr">
        <is>
          <t>VÄSTRA GÖTALANDS LÄN</t>
        </is>
      </c>
      <c r="E8413" t="inlineStr">
        <is>
          <t>FALKÖPING</t>
        </is>
      </c>
      <c r="G8413" t="n">
        <v>1.8</v>
      </c>
      <c r="H8413" t="n">
        <v>0</v>
      </c>
      <c r="I8413" t="n">
        <v>0</v>
      </c>
      <c r="J8413" t="n">
        <v>0</v>
      </c>
      <c r="K8413" t="n">
        <v>0</v>
      </c>
      <c r="L8413" t="n">
        <v>0</v>
      </c>
      <c r="M8413" t="n">
        <v>0</v>
      </c>
      <c r="N8413" t="n">
        <v>0</v>
      </c>
      <c r="O8413" t="n">
        <v>0</v>
      </c>
      <c r="P8413" t="n">
        <v>0</v>
      </c>
      <c r="Q8413" t="n">
        <v>0</v>
      </c>
      <c r="R8413" s="2" t="inlineStr"/>
    </row>
    <row r="8414" ht="15" customHeight="1">
      <c r="A8414" t="inlineStr">
        <is>
          <t>A 40589-2022</t>
        </is>
      </c>
      <c r="B8414" s="1" t="n">
        <v>44823</v>
      </c>
      <c r="C8414" s="1" t="n">
        <v>45952</v>
      </c>
      <c r="D8414" t="inlineStr">
        <is>
          <t>VÄSTRA GÖTALANDS LÄN</t>
        </is>
      </c>
      <c r="E8414" t="inlineStr">
        <is>
          <t>FALKÖPING</t>
        </is>
      </c>
      <c r="G8414" t="n">
        <v>1.8</v>
      </c>
      <c r="H8414" t="n">
        <v>0</v>
      </c>
      <c r="I8414" t="n">
        <v>0</v>
      </c>
      <c r="J8414" t="n">
        <v>0</v>
      </c>
      <c r="K8414" t="n">
        <v>0</v>
      </c>
      <c r="L8414" t="n">
        <v>0</v>
      </c>
      <c r="M8414" t="n">
        <v>0</v>
      </c>
      <c r="N8414" t="n">
        <v>0</v>
      </c>
      <c r="O8414" t="n">
        <v>0</v>
      </c>
      <c r="P8414" t="n">
        <v>0</v>
      </c>
      <c r="Q8414" t="n">
        <v>0</v>
      </c>
      <c r="R8414" s="2" t="inlineStr"/>
    </row>
    <row r="8415" ht="15" customHeight="1">
      <c r="A8415" t="inlineStr">
        <is>
          <t>A 60840-2021</t>
        </is>
      </c>
      <c r="B8415" s="1" t="n">
        <v>44497</v>
      </c>
      <c r="C8415" s="1" t="n">
        <v>45952</v>
      </c>
      <c r="D8415" t="inlineStr">
        <is>
          <t>VÄSTRA GÖTALANDS LÄN</t>
        </is>
      </c>
      <c r="E8415" t="inlineStr">
        <is>
          <t>SKARA</t>
        </is>
      </c>
      <c r="G8415" t="n">
        <v>4.6</v>
      </c>
      <c r="H8415" t="n">
        <v>0</v>
      </c>
      <c r="I8415" t="n">
        <v>0</v>
      </c>
      <c r="J8415" t="n">
        <v>0</v>
      </c>
      <c r="K8415" t="n">
        <v>0</v>
      </c>
      <c r="L8415" t="n">
        <v>0</v>
      </c>
      <c r="M8415" t="n">
        <v>0</v>
      </c>
      <c r="N8415" t="n">
        <v>0</v>
      </c>
      <c r="O8415" t="n">
        <v>0</v>
      </c>
      <c r="P8415" t="n">
        <v>0</v>
      </c>
      <c r="Q8415" t="n">
        <v>0</v>
      </c>
      <c r="R8415" s="2" t="inlineStr"/>
    </row>
    <row r="8416" ht="15" customHeight="1">
      <c r="A8416" t="inlineStr">
        <is>
          <t>A 27203-2024</t>
        </is>
      </c>
      <c r="B8416" s="1" t="n">
        <v>45471.60870370371</v>
      </c>
      <c r="C8416" s="1" t="n">
        <v>45952</v>
      </c>
      <c r="D8416" t="inlineStr">
        <is>
          <t>VÄSTRA GÖTALANDS LÄN</t>
        </is>
      </c>
      <c r="E8416" t="inlineStr">
        <is>
          <t>MARK</t>
        </is>
      </c>
      <c r="G8416" t="n">
        <v>3</v>
      </c>
      <c r="H8416" t="n">
        <v>0</v>
      </c>
      <c r="I8416" t="n">
        <v>0</v>
      </c>
      <c r="J8416" t="n">
        <v>0</v>
      </c>
      <c r="K8416" t="n">
        <v>0</v>
      </c>
      <c r="L8416" t="n">
        <v>0</v>
      </c>
      <c r="M8416" t="n">
        <v>0</v>
      </c>
      <c r="N8416" t="n">
        <v>0</v>
      </c>
      <c r="O8416" t="n">
        <v>0</v>
      </c>
      <c r="P8416" t="n">
        <v>0</v>
      </c>
      <c r="Q8416" t="n">
        <v>0</v>
      </c>
      <c r="R8416" s="2" t="inlineStr"/>
    </row>
    <row r="8417" ht="15" customHeight="1">
      <c r="A8417" t="inlineStr">
        <is>
          <t>A 43021-2021</t>
        </is>
      </c>
      <c r="B8417" s="1" t="n">
        <v>44431.48305555555</v>
      </c>
      <c r="C8417" s="1" t="n">
        <v>45952</v>
      </c>
      <c r="D8417" t="inlineStr">
        <is>
          <t>VÄSTRA GÖTALANDS LÄN</t>
        </is>
      </c>
      <c r="E8417" t="inlineStr">
        <is>
          <t>KARLSBORG</t>
        </is>
      </c>
      <c r="G8417" t="n">
        <v>0.7</v>
      </c>
      <c r="H8417" t="n">
        <v>0</v>
      </c>
      <c r="I8417" t="n">
        <v>0</v>
      </c>
      <c r="J8417" t="n">
        <v>0</v>
      </c>
      <c r="K8417" t="n">
        <v>0</v>
      </c>
      <c r="L8417" t="n">
        <v>0</v>
      </c>
      <c r="M8417" t="n">
        <v>0</v>
      </c>
      <c r="N8417" t="n">
        <v>0</v>
      </c>
      <c r="O8417" t="n">
        <v>0</v>
      </c>
      <c r="P8417" t="n">
        <v>0</v>
      </c>
      <c r="Q8417" t="n">
        <v>0</v>
      </c>
      <c r="R8417" s="2" t="inlineStr"/>
    </row>
    <row r="8418" ht="15" customHeight="1">
      <c r="A8418" t="inlineStr">
        <is>
          <t>A 36287-2022</t>
        </is>
      </c>
      <c r="B8418" s="1" t="n">
        <v>44803</v>
      </c>
      <c r="C8418" s="1" t="n">
        <v>45952</v>
      </c>
      <c r="D8418" t="inlineStr">
        <is>
          <t>VÄSTRA GÖTALANDS LÄN</t>
        </is>
      </c>
      <c r="E8418" t="inlineStr">
        <is>
          <t>MARK</t>
        </is>
      </c>
      <c r="G8418" t="n">
        <v>1.7</v>
      </c>
      <c r="H8418" t="n">
        <v>0</v>
      </c>
      <c r="I8418" t="n">
        <v>0</v>
      </c>
      <c r="J8418" t="n">
        <v>0</v>
      </c>
      <c r="K8418" t="n">
        <v>0</v>
      </c>
      <c r="L8418" t="n">
        <v>0</v>
      </c>
      <c r="M8418" t="n">
        <v>0</v>
      </c>
      <c r="N8418" t="n">
        <v>0</v>
      </c>
      <c r="O8418" t="n">
        <v>0</v>
      </c>
      <c r="P8418" t="n">
        <v>0</v>
      </c>
      <c r="Q8418" t="n">
        <v>0</v>
      </c>
      <c r="R8418" s="2" t="inlineStr"/>
    </row>
    <row r="8419" ht="15" customHeight="1">
      <c r="A8419" t="inlineStr">
        <is>
          <t>A 47385-2025</t>
        </is>
      </c>
      <c r="B8419" s="1" t="n">
        <v>45930.59872685185</v>
      </c>
      <c r="C8419" s="1" t="n">
        <v>45952</v>
      </c>
      <c r="D8419" t="inlineStr">
        <is>
          <t>VÄSTRA GÖTALANDS LÄN</t>
        </is>
      </c>
      <c r="E8419" t="inlineStr">
        <is>
          <t>GÖTENE</t>
        </is>
      </c>
      <c r="G8419" t="n">
        <v>1.9</v>
      </c>
      <c r="H8419" t="n">
        <v>0</v>
      </c>
      <c r="I8419" t="n">
        <v>0</v>
      </c>
      <c r="J8419" t="n">
        <v>0</v>
      </c>
      <c r="K8419" t="n">
        <v>0</v>
      </c>
      <c r="L8419" t="n">
        <v>0</v>
      </c>
      <c r="M8419" t="n">
        <v>0</v>
      </c>
      <c r="N8419" t="n">
        <v>0</v>
      </c>
      <c r="O8419" t="n">
        <v>0</v>
      </c>
      <c r="P8419" t="n">
        <v>0</v>
      </c>
      <c r="Q8419" t="n">
        <v>0</v>
      </c>
      <c r="R8419" s="2" t="inlineStr"/>
    </row>
    <row r="8420" ht="15" customHeight="1">
      <c r="A8420" t="inlineStr">
        <is>
          <t>A 47388-2025</t>
        </is>
      </c>
      <c r="B8420" s="1" t="n">
        <v>45930.60120370371</v>
      </c>
      <c r="C8420" s="1" t="n">
        <v>45952</v>
      </c>
      <c r="D8420" t="inlineStr">
        <is>
          <t>VÄSTRA GÖTALANDS LÄN</t>
        </is>
      </c>
      <c r="E8420" t="inlineStr">
        <is>
          <t>GÖTENE</t>
        </is>
      </c>
      <c r="G8420" t="n">
        <v>2.3</v>
      </c>
      <c r="H8420" t="n">
        <v>0</v>
      </c>
      <c r="I8420" t="n">
        <v>0</v>
      </c>
      <c r="J8420" t="n">
        <v>0</v>
      </c>
      <c r="K8420" t="n">
        <v>0</v>
      </c>
      <c r="L8420" t="n">
        <v>0</v>
      </c>
      <c r="M8420" t="n">
        <v>0</v>
      </c>
      <c r="N8420" t="n">
        <v>0</v>
      </c>
      <c r="O8420" t="n">
        <v>0</v>
      </c>
      <c r="P8420" t="n">
        <v>0</v>
      </c>
      <c r="Q8420" t="n">
        <v>0</v>
      </c>
      <c r="R8420" s="2" t="inlineStr"/>
    </row>
    <row r="8421" ht="15" customHeight="1">
      <c r="A8421" t="inlineStr">
        <is>
          <t>A 19087-2025</t>
        </is>
      </c>
      <c r="B8421" s="1" t="n">
        <v>45767.38868055555</v>
      </c>
      <c r="C8421" s="1" t="n">
        <v>45952</v>
      </c>
      <c r="D8421" t="inlineStr">
        <is>
          <t>VÄSTRA GÖTALANDS LÄN</t>
        </is>
      </c>
      <c r="E8421" t="inlineStr">
        <is>
          <t>LIDKÖPING</t>
        </is>
      </c>
      <c r="G8421" t="n">
        <v>2.8</v>
      </c>
      <c r="H8421" t="n">
        <v>0</v>
      </c>
      <c r="I8421" t="n">
        <v>0</v>
      </c>
      <c r="J8421" t="n">
        <v>0</v>
      </c>
      <c r="K8421" t="n">
        <v>0</v>
      </c>
      <c r="L8421" t="n">
        <v>0</v>
      </c>
      <c r="M8421" t="n">
        <v>0</v>
      </c>
      <c r="N8421" t="n">
        <v>0</v>
      </c>
      <c r="O8421" t="n">
        <v>0</v>
      </c>
      <c r="P8421" t="n">
        <v>0</v>
      </c>
      <c r="Q8421" t="n">
        <v>0</v>
      </c>
      <c r="R8421" s="2" t="inlineStr"/>
    </row>
    <row r="8422" ht="15" customHeight="1">
      <c r="A8422" t="inlineStr">
        <is>
          <t>A 10732-2024</t>
        </is>
      </c>
      <c r="B8422" s="1" t="n">
        <v>45369</v>
      </c>
      <c r="C8422" s="1" t="n">
        <v>45952</v>
      </c>
      <c r="D8422" t="inlineStr">
        <is>
          <t>VÄSTRA GÖTALANDS LÄN</t>
        </is>
      </c>
      <c r="E8422" t="inlineStr">
        <is>
          <t>GULLSPÅNG</t>
        </is>
      </c>
      <c r="G8422" t="n">
        <v>2.7</v>
      </c>
      <c r="H8422" t="n">
        <v>0</v>
      </c>
      <c r="I8422" t="n">
        <v>0</v>
      </c>
      <c r="J8422" t="n">
        <v>0</v>
      </c>
      <c r="K8422" t="n">
        <v>0</v>
      </c>
      <c r="L8422" t="n">
        <v>0</v>
      </c>
      <c r="M8422" t="n">
        <v>0</v>
      </c>
      <c r="N8422" t="n">
        <v>0</v>
      </c>
      <c r="O8422" t="n">
        <v>0</v>
      </c>
      <c r="P8422" t="n">
        <v>0</v>
      </c>
      <c r="Q8422" t="n">
        <v>0</v>
      </c>
      <c r="R8422" s="2" t="inlineStr"/>
    </row>
    <row r="8423" ht="15" customHeight="1">
      <c r="A8423" t="inlineStr">
        <is>
          <t>A 10761-2024</t>
        </is>
      </c>
      <c r="B8423" s="1" t="n">
        <v>45369</v>
      </c>
      <c r="C8423" s="1" t="n">
        <v>45952</v>
      </c>
      <c r="D8423" t="inlineStr">
        <is>
          <t>VÄSTRA GÖTALANDS LÄN</t>
        </is>
      </c>
      <c r="E8423" t="inlineStr">
        <is>
          <t>BENGTSFORS</t>
        </is>
      </c>
      <c r="G8423" t="n">
        <v>2.6</v>
      </c>
      <c r="H8423" t="n">
        <v>0</v>
      </c>
      <c r="I8423" t="n">
        <v>0</v>
      </c>
      <c r="J8423" t="n">
        <v>0</v>
      </c>
      <c r="K8423" t="n">
        <v>0</v>
      </c>
      <c r="L8423" t="n">
        <v>0</v>
      </c>
      <c r="M8423" t="n">
        <v>0</v>
      </c>
      <c r="N8423" t="n">
        <v>0</v>
      </c>
      <c r="O8423" t="n">
        <v>0</v>
      </c>
      <c r="P8423" t="n">
        <v>0</v>
      </c>
      <c r="Q8423" t="n">
        <v>0</v>
      </c>
      <c r="R8423" s="2" t="inlineStr"/>
    </row>
    <row r="8424" ht="15" customHeight="1">
      <c r="A8424" t="inlineStr">
        <is>
          <t>A 19133-2025</t>
        </is>
      </c>
      <c r="B8424" s="1" t="n">
        <v>45764</v>
      </c>
      <c r="C8424" s="1" t="n">
        <v>45952</v>
      </c>
      <c r="D8424" t="inlineStr">
        <is>
          <t>VÄSTRA GÖTALANDS LÄN</t>
        </is>
      </c>
      <c r="E8424" t="inlineStr">
        <is>
          <t>VÄNERSBORG</t>
        </is>
      </c>
      <c r="G8424" t="n">
        <v>1.3</v>
      </c>
      <c r="H8424" t="n">
        <v>0</v>
      </c>
      <c r="I8424" t="n">
        <v>0</v>
      </c>
      <c r="J8424" t="n">
        <v>0</v>
      </c>
      <c r="K8424" t="n">
        <v>0</v>
      </c>
      <c r="L8424" t="n">
        <v>0</v>
      </c>
      <c r="M8424" t="n">
        <v>0</v>
      </c>
      <c r="N8424" t="n">
        <v>0</v>
      </c>
      <c r="O8424" t="n">
        <v>0</v>
      </c>
      <c r="P8424" t="n">
        <v>0</v>
      </c>
      <c r="Q8424" t="n">
        <v>0</v>
      </c>
      <c r="R8424" s="2" t="inlineStr"/>
    </row>
    <row r="8425" ht="15" customHeight="1">
      <c r="A8425" t="inlineStr">
        <is>
          <t>A 19134-2025</t>
        </is>
      </c>
      <c r="B8425" s="1" t="n">
        <v>45764</v>
      </c>
      <c r="C8425" s="1" t="n">
        <v>45952</v>
      </c>
      <c r="D8425" t="inlineStr">
        <is>
          <t>VÄSTRA GÖTALANDS LÄN</t>
        </is>
      </c>
      <c r="E8425" t="inlineStr">
        <is>
          <t>STRÖMSTAD</t>
        </is>
      </c>
      <c r="G8425" t="n">
        <v>1.5</v>
      </c>
      <c r="H8425" t="n">
        <v>0</v>
      </c>
      <c r="I8425" t="n">
        <v>0</v>
      </c>
      <c r="J8425" t="n">
        <v>0</v>
      </c>
      <c r="K8425" t="n">
        <v>0</v>
      </c>
      <c r="L8425" t="n">
        <v>0</v>
      </c>
      <c r="M8425" t="n">
        <v>0</v>
      </c>
      <c r="N8425" t="n">
        <v>0</v>
      </c>
      <c r="O8425" t="n">
        <v>0</v>
      </c>
      <c r="P8425" t="n">
        <v>0</v>
      </c>
      <c r="Q8425" t="n">
        <v>0</v>
      </c>
      <c r="R8425" s="2" t="inlineStr"/>
    </row>
    <row r="8426" ht="15" customHeight="1">
      <c r="A8426" t="inlineStr">
        <is>
          <t>A 13947-2024</t>
        </is>
      </c>
      <c r="B8426" s="1" t="n">
        <v>45392.31473379629</v>
      </c>
      <c r="C8426" s="1" t="n">
        <v>45952</v>
      </c>
      <c r="D8426" t="inlineStr">
        <is>
          <t>VÄSTRA GÖTALANDS LÄN</t>
        </is>
      </c>
      <c r="E8426" t="inlineStr">
        <is>
          <t>TRANEMO</t>
        </is>
      </c>
      <c r="G8426" t="n">
        <v>2.4</v>
      </c>
      <c r="H8426" t="n">
        <v>0</v>
      </c>
      <c r="I8426" t="n">
        <v>0</v>
      </c>
      <c r="J8426" t="n">
        <v>0</v>
      </c>
      <c r="K8426" t="n">
        <v>0</v>
      </c>
      <c r="L8426" t="n">
        <v>0</v>
      </c>
      <c r="M8426" t="n">
        <v>0</v>
      </c>
      <c r="N8426" t="n">
        <v>0</v>
      </c>
      <c r="O8426" t="n">
        <v>0</v>
      </c>
      <c r="P8426" t="n">
        <v>0</v>
      </c>
      <c r="Q8426" t="n">
        <v>0</v>
      </c>
      <c r="R8426" s="2" t="inlineStr"/>
    </row>
    <row r="8427" ht="15" customHeight="1">
      <c r="A8427" t="inlineStr">
        <is>
          <t>A 60717-2022</t>
        </is>
      </c>
      <c r="B8427" s="1" t="n">
        <v>44912.89078703704</v>
      </c>
      <c r="C8427" s="1" t="n">
        <v>45952</v>
      </c>
      <c r="D8427" t="inlineStr">
        <is>
          <t>VÄSTRA GÖTALANDS LÄN</t>
        </is>
      </c>
      <c r="E8427" t="inlineStr">
        <is>
          <t>TJÖRN</t>
        </is>
      </c>
      <c r="G8427" t="n">
        <v>0.7</v>
      </c>
      <c r="H8427" t="n">
        <v>0</v>
      </c>
      <c r="I8427" t="n">
        <v>0</v>
      </c>
      <c r="J8427" t="n">
        <v>0</v>
      </c>
      <c r="K8427" t="n">
        <v>0</v>
      </c>
      <c r="L8427" t="n">
        <v>0</v>
      </c>
      <c r="M8427" t="n">
        <v>0</v>
      </c>
      <c r="N8427" t="n">
        <v>0</v>
      </c>
      <c r="O8427" t="n">
        <v>0</v>
      </c>
      <c r="P8427" t="n">
        <v>0</v>
      </c>
      <c r="Q8427" t="n">
        <v>0</v>
      </c>
      <c r="R8427" s="2" t="inlineStr"/>
    </row>
    <row r="8428" ht="15" customHeight="1">
      <c r="A8428" t="inlineStr">
        <is>
          <t>A 20680-2022</t>
        </is>
      </c>
      <c r="B8428" s="1" t="n">
        <v>44700.6828125</v>
      </c>
      <c r="C8428" s="1" t="n">
        <v>45952</v>
      </c>
      <c r="D8428" t="inlineStr">
        <is>
          <t>VÄSTRA GÖTALANDS LÄN</t>
        </is>
      </c>
      <c r="E8428" t="inlineStr">
        <is>
          <t>LERUM</t>
        </is>
      </c>
      <c r="G8428" t="n">
        <v>1.7</v>
      </c>
      <c r="H8428" t="n">
        <v>0</v>
      </c>
      <c r="I8428" t="n">
        <v>0</v>
      </c>
      <c r="J8428" t="n">
        <v>0</v>
      </c>
      <c r="K8428" t="n">
        <v>0</v>
      </c>
      <c r="L8428" t="n">
        <v>0</v>
      </c>
      <c r="M8428" t="n">
        <v>0</v>
      </c>
      <c r="N8428" t="n">
        <v>0</v>
      </c>
      <c r="O8428" t="n">
        <v>0</v>
      </c>
      <c r="P8428" t="n">
        <v>0</v>
      </c>
      <c r="Q8428" t="n">
        <v>0</v>
      </c>
      <c r="R8428" s="2" t="inlineStr"/>
    </row>
    <row r="8429" ht="15" customHeight="1">
      <c r="A8429" t="inlineStr">
        <is>
          <t>A 48175-2024</t>
        </is>
      </c>
      <c r="B8429" s="1" t="n">
        <v>45589.8465162037</v>
      </c>
      <c r="C8429" s="1" t="n">
        <v>45952</v>
      </c>
      <c r="D8429" t="inlineStr">
        <is>
          <t>VÄSTRA GÖTALANDS LÄN</t>
        </is>
      </c>
      <c r="E8429" t="inlineStr">
        <is>
          <t>KARLSBORG</t>
        </is>
      </c>
      <c r="G8429" t="n">
        <v>0.5</v>
      </c>
      <c r="H8429" t="n">
        <v>0</v>
      </c>
      <c r="I8429" t="n">
        <v>0</v>
      </c>
      <c r="J8429" t="n">
        <v>0</v>
      </c>
      <c r="K8429" t="n">
        <v>0</v>
      </c>
      <c r="L8429" t="n">
        <v>0</v>
      </c>
      <c r="M8429" t="n">
        <v>0</v>
      </c>
      <c r="N8429" t="n">
        <v>0</v>
      </c>
      <c r="O8429" t="n">
        <v>0</v>
      </c>
      <c r="P8429" t="n">
        <v>0</v>
      </c>
      <c r="Q8429" t="n">
        <v>0</v>
      </c>
      <c r="R8429" s="2" t="inlineStr"/>
    </row>
    <row r="8430" ht="15" customHeight="1">
      <c r="A8430" t="inlineStr">
        <is>
          <t>A 54717-2022</t>
        </is>
      </c>
      <c r="B8430" s="1" t="n">
        <v>44883.53908564815</v>
      </c>
      <c r="C8430" s="1" t="n">
        <v>45952</v>
      </c>
      <c r="D8430" t="inlineStr">
        <is>
          <t>VÄSTRA GÖTALANDS LÄN</t>
        </is>
      </c>
      <c r="E8430" t="inlineStr">
        <is>
          <t>MARIESTAD</t>
        </is>
      </c>
      <c r="F8430" t="inlineStr">
        <is>
          <t>Sveaskog</t>
        </is>
      </c>
      <c r="G8430" t="n">
        <v>1.1</v>
      </c>
      <c r="H8430" t="n">
        <v>0</v>
      </c>
      <c r="I8430" t="n">
        <v>0</v>
      </c>
      <c r="J8430" t="n">
        <v>0</v>
      </c>
      <c r="K8430" t="n">
        <v>0</v>
      </c>
      <c r="L8430" t="n">
        <v>0</v>
      </c>
      <c r="M8430" t="n">
        <v>0</v>
      </c>
      <c r="N8430" t="n">
        <v>0</v>
      </c>
      <c r="O8430" t="n">
        <v>0</v>
      </c>
      <c r="P8430" t="n">
        <v>0</v>
      </c>
      <c r="Q8430" t="n">
        <v>0</v>
      </c>
      <c r="R8430" s="2" t="inlineStr"/>
    </row>
    <row r="8431" ht="15" customHeight="1">
      <c r="A8431" t="inlineStr">
        <is>
          <t>A 16991-2024</t>
        </is>
      </c>
      <c r="B8431" s="1" t="n">
        <v>45412.33222222222</v>
      </c>
      <c r="C8431" s="1" t="n">
        <v>45952</v>
      </c>
      <c r="D8431" t="inlineStr">
        <is>
          <t>VÄSTRA GÖTALANDS LÄN</t>
        </is>
      </c>
      <c r="E8431" t="inlineStr">
        <is>
          <t>ULRICEHAMN</t>
        </is>
      </c>
      <c r="G8431" t="n">
        <v>0.7</v>
      </c>
      <c r="H8431" t="n">
        <v>0</v>
      </c>
      <c r="I8431" t="n">
        <v>0</v>
      </c>
      <c r="J8431" t="n">
        <v>0</v>
      </c>
      <c r="K8431" t="n">
        <v>0</v>
      </c>
      <c r="L8431" t="n">
        <v>0</v>
      </c>
      <c r="M8431" t="n">
        <v>0</v>
      </c>
      <c r="N8431" t="n">
        <v>0</v>
      </c>
      <c r="O8431" t="n">
        <v>0</v>
      </c>
      <c r="P8431" t="n">
        <v>0</v>
      </c>
      <c r="Q8431" t="n">
        <v>0</v>
      </c>
      <c r="R8431" s="2" t="inlineStr"/>
    </row>
    <row r="8432" ht="15" customHeight="1">
      <c r="A8432" t="inlineStr">
        <is>
          <t>A 17032-2024</t>
        </is>
      </c>
      <c r="B8432" s="1" t="n">
        <v>45412.39409722222</v>
      </c>
      <c r="C8432" s="1" t="n">
        <v>45952</v>
      </c>
      <c r="D8432" t="inlineStr">
        <is>
          <t>VÄSTRA GÖTALANDS LÄN</t>
        </is>
      </c>
      <c r="E8432" t="inlineStr">
        <is>
          <t>BORÅS</t>
        </is>
      </c>
      <c r="G8432" t="n">
        <v>2.2</v>
      </c>
      <c r="H8432" t="n">
        <v>0</v>
      </c>
      <c r="I8432" t="n">
        <v>0</v>
      </c>
      <c r="J8432" t="n">
        <v>0</v>
      </c>
      <c r="K8432" t="n">
        <v>0</v>
      </c>
      <c r="L8432" t="n">
        <v>0</v>
      </c>
      <c r="M8432" t="n">
        <v>0</v>
      </c>
      <c r="N8432" t="n">
        <v>0</v>
      </c>
      <c r="O8432" t="n">
        <v>0</v>
      </c>
      <c r="P8432" t="n">
        <v>0</v>
      </c>
      <c r="Q8432" t="n">
        <v>0</v>
      </c>
      <c r="R8432" s="2" t="inlineStr"/>
    </row>
    <row r="8433" ht="15" customHeight="1">
      <c r="A8433" t="inlineStr">
        <is>
          <t>A 36574-2024</t>
        </is>
      </c>
      <c r="B8433" s="1" t="n">
        <v>45537.49616898148</v>
      </c>
      <c r="C8433" s="1" t="n">
        <v>45952</v>
      </c>
      <c r="D8433" t="inlineStr">
        <is>
          <t>VÄSTRA GÖTALANDS LÄN</t>
        </is>
      </c>
      <c r="E8433" t="inlineStr">
        <is>
          <t>BORÅS</t>
        </is>
      </c>
      <c r="G8433" t="n">
        <v>1</v>
      </c>
      <c r="H8433" t="n">
        <v>0</v>
      </c>
      <c r="I8433" t="n">
        <v>0</v>
      </c>
      <c r="J8433" t="n">
        <v>0</v>
      </c>
      <c r="K8433" t="n">
        <v>0</v>
      </c>
      <c r="L8433" t="n">
        <v>0</v>
      </c>
      <c r="M8433" t="n">
        <v>0</v>
      </c>
      <c r="N8433" t="n">
        <v>0</v>
      </c>
      <c r="O8433" t="n">
        <v>0</v>
      </c>
      <c r="P8433" t="n">
        <v>0</v>
      </c>
      <c r="Q8433" t="n">
        <v>0</v>
      </c>
      <c r="R8433" s="2" t="inlineStr"/>
    </row>
    <row r="8434" ht="15" customHeight="1">
      <c r="A8434" t="inlineStr">
        <is>
          <t>A 14525-2024</t>
        </is>
      </c>
      <c r="B8434" s="1" t="n">
        <v>45394</v>
      </c>
      <c r="C8434" s="1" t="n">
        <v>45952</v>
      </c>
      <c r="D8434" t="inlineStr">
        <is>
          <t>VÄSTRA GÖTALANDS LÄN</t>
        </is>
      </c>
      <c r="E8434" t="inlineStr">
        <is>
          <t>KARLSBORG</t>
        </is>
      </c>
      <c r="F8434" t="inlineStr">
        <is>
          <t>Sveaskog</t>
        </is>
      </c>
      <c r="G8434" t="n">
        <v>0.8</v>
      </c>
      <c r="H8434" t="n">
        <v>0</v>
      </c>
      <c r="I8434" t="n">
        <v>0</v>
      </c>
      <c r="J8434" t="n">
        <v>0</v>
      </c>
      <c r="K8434" t="n">
        <v>0</v>
      </c>
      <c r="L8434" t="n">
        <v>0</v>
      </c>
      <c r="M8434" t="n">
        <v>0</v>
      </c>
      <c r="N8434" t="n">
        <v>0</v>
      </c>
      <c r="O8434" t="n">
        <v>0</v>
      </c>
      <c r="P8434" t="n">
        <v>0</v>
      </c>
      <c r="Q8434" t="n">
        <v>0</v>
      </c>
      <c r="R8434" s="2" t="inlineStr"/>
    </row>
    <row r="8435" ht="15" customHeight="1">
      <c r="A8435" t="inlineStr">
        <is>
          <t>A 60441-2023</t>
        </is>
      </c>
      <c r="B8435" s="1" t="n">
        <v>45259</v>
      </c>
      <c r="C8435" s="1" t="n">
        <v>45952</v>
      </c>
      <c r="D8435" t="inlineStr">
        <is>
          <t>VÄSTRA GÖTALANDS LÄN</t>
        </is>
      </c>
      <c r="E8435" t="inlineStr">
        <is>
          <t>ULRICEHAMN</t>
        </is>
      </c>
      <c r="G8435" t="n">
        <v>6.5</v>
      </c>
      <c r="H8435" t="n">
        <v>0</v>
      </c>
      <c r="I8435" t="n">
        <v>0</v>
      </c>
      <c r="J8435" t="n">
        <v>0</v>
      </c>
      <c r="K8435" t="n">
        <v>0</v>
      </c>
      <c r="L8435" t="n">
        <v>0</v>
      </c>
      <c r="M8435" t="n">
        <v>0</v>
      </c>
      <c r="N8435" t="n">
        <v>0</v>
      </c>
      <c r="O8435" t="n">
        <v>0</v>
      </c>
      <c r="P8435" t="n">
        <v>0</v>
      </c>
      <c r="Q8435" t="n">
        <v>0</v>
      </c>
      <c r="R8435" s="2" t="inlineStr"/>
    </row>
    <row r="8436" ht="15" customHeight="1">
      <c r="A8436" t="inlineStr">
        <is>
          <t>A 8177-2024</t>
        </is>
      </c>
      <c r="B8436" s="1" t="n">
        <v>45351.62673611111</v>
      </c>
      <c r="C8436" s="1" t="n">
        <v>45952</v>
      </c>
      <c r="D8436" t="inlineStr">
        <is>
          <t>VÄSTRA GÖTALANDS LÄN</t>
        </is>
      </c>
      <c r="E8436" t="inlineStr">
        <is>
          <t>ESSUNGA</t>
        </is>
      </c>
      <c r="G8436" t="n">
        <v>1.2</v>
      </c>
      <c r="H8436" t="n">
        <v>0</v>
      </c>
      <c r="I8436" t="n">
        <v>0</v>
      </c>
      <c r="J8436" t="n">
        <v>0</v>
      </c>
      <c r="K8436" t="n">
        <v>0</v>
      </c>
      <c r="L8436" t="n">
        <v>0</v>
      </c>
      <c r="M8436" t="n">
        <v>0</v>
      </c>
      <c r="N8436" t="n">
        <v>0</v>
      </c>
      <c r="O8436" t="n">
        <v>0</v>
      </c>
      <c r="P8436" t="n">
        <v>0</v>
      </c>
      <c r="Q8436" t="n">
        <v>0</v>
      </c>
      <c r="R8436" s="2" t="inlineStr"/>
    </row>
    <row r="8437" ht="15" customHeight="1">
      <c r="A8437" t="inlineStr">
        <is>
          <t>A 3134-2025</t>
        </is>
      </c>
      <c r="B8437" s="1" t="n">
        <v>45678</v>
      </c>
      <c r="C8437" s="1" t="n">
        <v>45952</v>
      </c>
      <c r="D8437" t="inlineStr">
        <is>
          <t>VÄSTRA GÖTALANDS LÄN</t>
        </is>
      </c>
      <c r="E8437" t="inlineStr">
        <is>
          <t>MUNKEDAL</t>
        </is>
      </c>
      <c r="F8437" t="inlineStr">
        <is>
          <t>Övriga Aktiebolag</t>
        </is>
      </c>
      <c r="G8437" t="n">
        <v>2</v>
      </c>
      <c r="H8437" t="n">
        <v>0</v>
      </c>
      <c r="I8437" t="n">
        <v>0</v>
      </c>
      <c r="J8437" t="n">
        <v>0</v>
      </c>
      <c r="K8437" t="n">
        <v>0</v>
      </c>
      <c r="L8437" t="n">
        <v>0</v>
      </c>
      <c r="M8437" t="n">
        <v>0</v>
      </c>
      <c r="N8437" t="n">
        <v>0</v>
      </c>
      <c r="O8437" t="n">
        <v>0</v>
      </c>
      <c r="P8437" t="n">
        <v>0</v>
      </c>
      <c r="Q8437" t="n">
        <v>0</v>
      </c>
      <c r="R8437" s="2" t="inlineStr"/>
    </row>
    <row r="8438" ht="15" customHeight="1">
      <c r="A8438" t="inlineStr">
        <is>
          <t>A 4396-2023</t>
        </is>
      </c>
      <c r="B8438" s="1" t="n">
        <v>44956.29600694445</v>
      </c>
      <c r="C8438" s="1" t="n">
        <v>45952</v>
      </c>
      <c r="D8438" t="inlineStr">
        <is>
          <t>VÄSTRA GÖTALANDS LÄN</t>
        </is>
      </c>
      <c r="E8438" t="inlineStr">
        <is>
          <t>FALKÖPING</t>
        </is>
      </c>
      <c r="G8438" t="n">
        <v>3.2</v>
      </c>
      <c r="H8438" t="n">
        <v>0</v>
      </c>
      <c r="I8438" t="n">
        <v>0</v>
      </c>
      <c r="J8438" t="n">
        <v>0</v>
      </c>
      <c r="K8438" t="n">
        <v>0</v>
      </c>
      <c r="L8438" t="n">
        <v>0</v>
      </c>
      <c r="M8438" t="n">
        <v>0</v>
      </c>
      <c r="N8438" t="n">
        <v>0</v>
      </c>
      <c r="O8438" t="n">
        <v>0</v>
      </c>
      <c r="P8438" t="n">
        <v>0</v>
      </c>
      <c r="Q8438" t="n">
        <v>0</v>
      </c>
      <c r="R8438" s="2" t="inlineStr"/>
    </row>
    <row r="8439" ht="15" customHeight="1">
      <c r="A8439" t="inlineStr">
        <is>
          <t>A 3211-2025</t>
        </is>
      </c>
      <c r="B8439" s="1" t="n">
        <v>45679.4559375</v>
      </c>
      <c r="C8439" s="1" t="n">
        <v>45952</v>
      </c>
      <c r="D8439" t="inlineStr">
        <is>
          <t>VÄSTRA GÖTALANDS LÄN</t>
        </is>
      </c>
      <c r="E8439" t="inlineStr">
        <is>
          <t>TRANEMO</t>
        </is>
      </c>
      <c r="G8439" t="n">
        <v>4</v>
      </c>
      <c r="H8439" t="n">
        <v>0</v>
      </c>
      <c r="I8439" t="n">
        <v>0</v>
      </c>
      <c r="J8439" t="n">
        <v>0</v>
      </c>
      <c r="K8439" t="n">
        <v>0</v>
      </c>
      <c r="L8439" t="n">
        <v>0</v>
      </c>
      <c r="M8439" t="n">
        <v>0</v>
      </c>
      <c r="N8439" t="n">
        <v>0</v>
      </c>
      <c r="O8439" t="n">
        <v>0</v>
      </c>
      <c r="P8439" t="n">
        <v>0</v>
      </c>
      <c r="Q8439" t="n">
        <v>0</v>
      </c>
      <c r="R8439" s="2" t="inlineStr"/>
    </row>
    <row r="8440" ht="15" customHeight="1">
      <c r="A8440" t="inlineStr">
        <is>
          <t>A 15395-2022</t>
        </is>
      </c>
      <c r="B8440" s="1" t="n">
        <v>44659</v>
      </c>
      <c r="C8440" s="1" t="n">
        <v>45952</v>
      </c>
      <c r="D8440" t="inlineStr">
        <is>
          <t>VÄSTRA GÖTALANDS LÄN</t>
        </is>
      </c>
      <c r="E8440" t="inlineStr">
        <is>
          <t>HERRLJUNGA</t>
        </is>
      </c>
      <c r="G8440" t="n">
        <v>1.3</v>
      </c>
      <c r="H8440" t="n">
        <v>0</v>
      </c>
      <c r="I8440" t="n">
        <v>0</v>
      </c>
      <c r="J8440" t="n">
        <v>0</v>
      </c>
      <c r="K8440" t="n">
        <v>0</v>
      </c>
      <c r="L8440" t="n">
        <v>0</v>
      </c>
      <c r="M8440" t="n">
        <v>0</v>
      </c>
      <c r="N8440" t="n">
        <v>0</v>
      </c>
      <c r="O8440" t="n">
        <v>0</v>
      </c>
      <c r="P8440" t="n">
        <v>0</v>
      </c>
      <c r="Q8440" t="n">
        <v>0</v>
      </c>
      <c r="R8440" s="2" t="inlineStr"/>
    </row>
    <row r="8441" ht="15" customHeight="1">
      <c r="A8441" t="inlineStr">
        <is>
          <t>A 3212-2025</t>
        </is>
      </c>
      <c r="B8441" s="1" t="n">
        <v>45679.45844907407</v>
      </c>
      <c r="C8441" s="1" t="n">
        <v>45952</v>
      </c>
      <c r="D8441" t="inlineStr">
        <is>
          <t>VÄSTRA GÖTALANDS LÄN</t>
        </is>
      </c>
      <c r="E8441" t="inlineStr">
        <is>
          <t>TRANEMO</t>
        </is>
      </c>
      <c r="G8441" t="n">
        <v>2.3</v>
      </c>
      <c r="H8441" t="n">
        <v>0</v>
      </c>
      <c r="I8441" t="n">
        <v>0</v>
      </c>
      <c r="J8441" t="n">
        <v>0</v>
      </c>
      <c r="K8441" t="n">
        <v>0</v>
      </c>
      <c r="L8441" t="n">
        <v>0</v>
      </c>
      <c r="M8441" t="n">
        <v>0</v>
      </c>
      <c r="N8441" t="n">
        <v>0</v>
      </c>
      <c r="O8441" t="n">
        <v>0</v>
      </c>
      <c r="P8441" t="n">
        <v>0</v>
      </c>
      <c r="Q8441" t="n">
        <v>0</v>
      </c>
      <c r="R8441" s="2" t="inlineStr"/>
    </row>
    <row r="8442" ht="15" customHeight="1">
      <c r="A8442" t="inlineStr">
        <is>
          <t>A 10943-2025</t>
        </is>
      </c>
      <c r="B8442" s="1" t="n">
        <v>45723.31400462963</v>
      </c>
      <c r="C8442" s="1" t="n">
        <v>45952</v>
      </c>
      <c r="D8442" t="inlineStr">
        <is>
          <t>VÄSTRA GÖTALANDS LÄN</t>
        </is>
      </c>
      <c r="E8442" t="inlineStr">
        <is>
          <t>SVENLJUNGA</t>
        </is>
      </c>
      <c r="F8442" t="inlineStr">
        <is>
          <t>Sveaskog</t>
        </is>
      </c>
      <c r="G8442" t="n">
        <v>11.2</v>
      </c>
      <c r="H8442" t="n">
        <v>0</v>
      </c>
      <c r="I8442" t="n">
        <v>0</v>
      </c>
      <c r="J8442" t="n">
        <v>0</v>
      </c>
      <c r="K8442" t="n">
        <v>0</v>
      </c>
      <c r="L8442" t="n">
        <v>0</v>
      </c>
      <c r="M8442" t="n">
        <v>0</v>
      </c>
      <c r="N8442" t="n">
        <v>0</v>
      </c>
      <c r="O8442" t="n">
        <v>0</v>
      </c>
      <c r="P8442" t="n">
        <v>0</v>
      </c>
      <c r="Q8442" t="n">
        <v>0</v>
      </c>
      <c r="R8442" s="2" t="inlineStr"/>
    </row>
    <row r="8443" ht="15" customHeight="1">
      <c r="A8443" t="inlineStr">
        <is>
          <t>A 51040-2022</t>
        </is>
      </c>
      <c r="B8443" s="1" t="n">
        <v>44868.3232175926</v>
      </c>
      <c r="C8443" s="1" t="n">
        <v>45952</v>
      </c>
      <c r="D8443" t="inlineStr">
        <is>
          <t>VÄSTRA GÖTALANDS LÄN</t>
        </is>
      </c>
      <c r="E8443" t="inlineStr">
        <is>
          <t>TÖREBODA</t>
        </is>
      </c>
      <c r="G8443" t="n">
        <v>1.7</v>
      </c>
      <c r="H8443" t="n">
        <v>0</v>
      </c>
      <c r="I8443" t="n">
        <v>0</v>
      </c>
      <c r="J8443" t="n">
        <v>0</v>
      </c>
      <c r="K8443" t="n">
        <v>0</v>
      </c>
      <c r="L8443" t="n">
        <v>0</v>
      </c>
      <c r="M8443" t="n">
        <v>0</v>
      </c>
      <c r="N8443" t="n">
        <v>0</v>
      </c>
      <c r="O8443" t="n">
        <v>0</v>
      </c>
      <c r="P8443" t="n">
        <v>0</v>
      </c>
      <c r="Q8443" t="n">
        <v>0</v>
      </c>
      <c r="R8443" s="2" t="inlineStr"/>
    </row>
    <row r="8444" ht="15" customHeight="1">
      <c r="A8444" t="inlineStr">
        <is>
          <t>A 54416-2024</t>
        </is>
      </c>
      <c r="B8444" s="1" t="n">
        <v>45617</v>
      </c>
      <c r="C8444" s="1" t="n">
        <v>45952</v>
      </c>
      <c r="D8444" t="inlineStr">
        <is>
          <t>VÄSTRA GÖTALANDS LÄN</t>
        </is>
      </c>
      <c r="E8444" t="inlineStr">
        <is>
          <t>KARLSBORG</t>
        </is>
      </c>
      <c r="G8444" t="n">
        <v>3.5</v>
      </c>
      <c r="H8444" t="n">
        <v>0</v>
      </c>
      <c r="I8444" t="n">
        <v>0</v>
      </c>
      <c r="J8444" t="n">
        <v>0</v>
      </c>
      <c r="K8444" t="n">
        <v>0</v>
      </c>
      <c r="L8444" t="n">
        <v>0</v>
      </c>
      <c r="M8444" t="n">
        <v>0</v>
      </c>
      <c r="N8444" t="n">
        <v>0</v>
      </c>
      <c r="O8444" t="n">
        <v>0</v>
      </c>
      <c r="P8444" t="n">
        <v>0</v>
      </c>
      <c r="Q8444" t="n">
        <v>0</v>
      </c>
      <c r="R8444" s="2" t="inlineStr"/>
    </row>
    <row r="8445" ht="15" customHeight="1">
      <c r="A8445" t="inlineStr">
        <is>
          <t>A 18382-2024</t>
        </is>
      </c>
      <c r="B8445" s="1" t="n">
        <v>45424.66726851852</v>
      </c>
      <c r="C8445" s="1" t="n">
        <v>45952</v>
      </c>
      <c r="D8445" t="inlineStr">
        <is>
          <t>VÄSTRA GÖTALANDS LÄN</t>
        </is>
      </c>
      <c r="E8445" t="inlineStr">
        <is>
          <t>TRANEMO</t>
        </is>
      </c>
      <c r="G8445" t="n">
        <v>0.9</v>
      </c>
      <c r="H8445" t="n">
        <v>0</v>
      </c>
      <c r="I8445" t="n">
        <v>0</v>
      </c>
      <c r="J8445" t="n">
        <v>0</v>
      </c>
      <c r="K8445" t="n">
        <v>0</v>
      </c>
      <c r="L8445" t="n">
        <v>0</v>
      </c>
      <c r="M8445" t="n">
        <v>0</v>
      </c>
      <c r="N8445" t="n">
        <v>0</v>
      </c>
      <c r="O8445" t="n">
        <v>0</v>
      </c>
      <c r="P8445" t="n">
        <v>0</v>
      </c>
      <c r="Q8445" t="n">
        <v>0</v>
      </c>
      <c r="R8445" s="2" t="inlineStr"/>
    </row>
    <row r="8446" ht="15" customHeight="1">
      <c r="A8446" t="inlineStr">
        <is>
          <t>A 24936-2021</t>
        </is>
      </c>
      <c r="B8446" s="1" t="n">
        <v>44341.44221064815</v>
      </c>
      <c r="C8446" s="1" t="n">
        <v>45952</v>
      </c>
      <c r="D8446" t="inlineStr">
        <is>
          <t>VÄSTRA GÖTALANDS LÄN</t>
        </is>
      </c>
      <c r="E8446" t="inlineStr">
        <is>
          <t>FÄRGELANDA</t>
        </is>
      </c>
      <c r="G8446" t="n">
        <v>2.3</v>
      </c>
      <c r="H8446" t="n">
        <v>0</v>
      </c>
      <c r="I8446" t="n">
        <v>0</v>
      </c>
      <c r="J8446" t="n">
        <v>0</v>
      </c>
      <c r="K8446" t="n">
        <v>0</v>
      </c>
      <c r="L8446" t="n">
        <v>0</v>
      </c>
      <c r="M8446" t="n">
        <v>0</v>
      </c>
      <c r="N8446" t="n">
        <v>0</v>
      </c>
      <c r="O8446" t="n">
        <v>0</v>
      </c>
      <c r="P8446" t="n">
        <v>0</v>
      </c>
      <c r="Q8446" t="n">
        <v>0</v>
      </c>
      <c r="R8446" s="2" t="inlineStr"/>
    </row>
    <row r="8447" ht="15" customHeight="1">
      <c r="A8447" t="inlineStr">
        <is>
          <t>A 18383-2024</t>
        </is>
      </c>
      <c r="B8447" s="1" t="n">
        <v>45424.67069444444</v>
      </c>
      <c r="C8447" s="1" t="n">
        <v>45952</v>
      </c>
      <c r="D8447" t="inlineStr">
        <is>
          <t>VÄSTRA GÖTALANDS LÄN</t>
        </is>
      </c>
      <c r="E8447" t="inlineStr">
        <is>
          <t>TRANEMO</t>
        </is>
      </c>
      <c r="G8447" t="n">
        <v>1.2</v>
      </c>
      <c r="H8447" t="n">
        <v>0</v>
      </c>
      <c r="I8447" t="n">
        <v>0</v>
      </c>
      <c r="J8447" t="n">
        <v>0</v>
      </c>
      <c r="K8447" t="n">
        <v>0</v>
      </c>
      <c r="L8447" t="n">
        <v>0</v>
      </c>
      <c r="M8447" t="n">
        <v>0</v>
      </c>
      <c r="N8447" t="n">
        <v>0</v>
      </c>
      <c r="O8447" t="n">
        <v>0</v>
      </c>
      <c r="P8447" t="n">
        <v>0</v>
      </c>
      <c r="Q8447" t="n">
        <v>0</v>
      </c>
      <c r="R8447" s="2" t="inlineStr"/>
    </row>
    <row r="8448" ht="15" customHeight="1">
      <c r="A8448" t="inlineStr">
        <is>
          <t>A 9973-2024</t>
        </is>
      </c>
      <c r="B8448" s="1" t="n">
        <v>45363.68083333333</v>
      </c>
      <c r="C8448" s="1" t="n">
        <v>45952</v>
      </c>
      <c r="D8448" t="inlineStr">
        <is>
          <t>VÄSTRA GÖTALANDS LÄN</t>
        </is>
      </c>
      <c r="E8448" t="inlineStr">
        <is>
          <t>LIDKÖPING</t>
        </is>
      </c>
      <c r="G8448" t="n">
        <v>4.7</v>
      </c>
      <c r="H8448" t="n">
        <v>0</v>
      </c>
      <c r="I8448" t="n">
        <v>0</v>
      </c>
      <c r="J8448" t="n">
        <v>0</v>
      </c>
      <c r="K8448" t="n">
        <v>0</v>
      </c>
      <c r="L8448" t="n">
        <v>0</v>
      </c>
      <c r="M8448" t="n">
        <v>0</v>
      </c>
      <c r="N8448" t="n">
        <v>0</v>
      </c>
      <c r="O8448" t="n">
        <v>0</v>
      </c>
      <c r="P8448" t="n">
        <v>0</v>
      </c>
      <c r="Q8448" t="n">
        <v>0</v>
      </c>
      <c r="R8448" s="2" t="inlineStr"/>
    </row>
    <row r="8449" ht="15" customHeight="1">
      <c r="A8449" t="inlineStr">
        <is>
          <t>A 47499-2025</t>
        </is>
      </c>
      <c r="B8449" s="1" t="n">
        <v>45930.84449074074</v>
      </c>
      <c r="C8449" s="1" t="n">
        <v>45952</v>
      </c>
      <c r="D8449" t="inlineStr">
        <is>
          <t>VÄSTRA GÖTALANDS LÄN</t>
        </is>
      </c>
      <c r="E8449" t="inlineStr">
        <is>
          <t>BORÅS</t>
        </is>
      </c>
      <c r="G8449" t="n">
        <v>1.5</v>
      </c>
      <c r="H8449" t="n">
        <v>0</v>
      </c>
      <c r="I8449" t="n">
        <v>0</v>
      </c>
      <c r="J8449" t="n">
        <v>0</v>
      </c>
      <c r="K8449" t="n">
        <v>0</v>
      </c>
      <c r="L8449" t="n">
        <v>0</v>
      </c>
      <c r="M8449" t="n">
        <v>0</v>
      </c>
      <c r="N8449" t="n">
        <v>0</v>
      </c>
      <c r="O8449" t="n">
        <v>0</v>
      </c>
      <c r="P8449" t="n">
        <v>0</v>
      </c>
      <c r="Q8449" t="n">
        <v>0</v>
      </c>
      <c r="R8449" s="2" t="inlineStr"/>
    </row>
    <row r="8450" ht="15" customHeight="1">
      <c r="A8450" t="inlineStr">
        <is>
          <t>A 47516-2025</t>
        </is>
      </c>
      <c r="B8450" s="1" t="n">
        <v>45931.26936342593</v>
      </c>
      <c r="C8450" s="1" t="n">
        <v>45952</v>
      </c>
      <c r="D8450" t="inlineStr">
        <is>
          <t>VÄSTRA GÖTALANDS LÄN</t>
        </is>
      </c>
      <c r="E8450" t="inlineStr">
        <is>
          <t>GULLSPÅNG</t>
        </is>
      </c>
      <c r="F8450" t="inlineStr">
        <is>
          <t>Kyrkan</t>
        </is>
      </c>
      <c r="G8450" t="n">
        <v>4.1</v>
      </c>
      <c r="H8450" t="n">
        <v>0</v>
      </c>
      <c r="I8450" t="n">
        <v>0</v>
      </c>
      <c r="J8450" t="n">
        <v>0</v>
      </c>
      <c r="K8450" t="n">
        <v>0</v>
      </c>
      <c r="L8450" t="n">
        <v>0</v>
      </c>
      <c r="M8450" t="n">
        <v>0</v>
      </c>
      <c r="N8450" t="n">
        <v>0</v>
      </c>
      <c r="O8450" t="n">
        <v>0</v>
      </c>
      <c r="P8450" t="n">
        <v>0</v>
      </c>
      <c r="Q8450" t="n">
        <v>0</v>
      </c>
      <c r="R8450" s="2" t="inlineStr"/>
    </row>
    <row r="8451" ht="15" customHeight="1">
      <c r="A8451" t="inlineStr">
        <is>
          <t>A 47697-2024</t>
        </is>
      </c>
      <c r="B8451" s="1" t="n">
        <v>45588.45899305555</v>
      </c>
      <c r="C8451" s="1" t="n">
        <v>45952</v>
      </c>
      <c r="D8451" t="inlineStr">
        <is>
          <t>VÄSTRA GÖTALANDS LÄN</t>
        </is>
      </c>
      <c r="E8451" t="inlineStr">
        <is>
          <t>ÅMÅL</t>
        </is>
      </c>
      <c r="G8451" t="n">
        <v>1.4</v>
      </c>
      <c r="H8451" t="n">
        <v>0</v>
      </c>
      <c r="I8451" t="n">
        <v>0</v>
      </c>
      <c r="J8451" t="n">
        <v>0</v>
      </c>
      <c r="K8451" t="n">
        <v>0</v>
      </c>
      <c r="L8451" t="n">
        <v>0</v>
      </c>
      <c r="M8451" t="n">
        <v>0</v>
      </c>
      <c r="N8451" t="n">
        <v>0</v>
      </c>
      <c r="O8451" t="n">
        <v>0</v>
      </c>
      <c r="P8451" t="n">
        <v>0</v>
      </c>
      <c r="Q8451" t="n">
        <v>0</v>
      </c>
      <c r="R8451" s="2" t="inlineStr"/>
    </row>
    <row r="8452" ht="15" customHeight="1">
      <c r="A8452" t="inlineStr">
        <is>
          <t>A 14919-2024</t>
        </is>
      </c>
      <c r="B8452" s="1" t="n">
        <v>45398</v>
      </c>
      <c r="C8452" s="1" t="n">
        <v>45952</v>
      </c>
      <c r="D8452" t="inlineStr">
        <is>
          <t>VÄSTRA GÖTALANDS LÄN</t>
        </is>
      </c>
      <c r="E8452" t="inlineStr">
        <is>
          <t>ULRICEHAMN</t>
        </is>
      </c>
      <c r="G8452" t="n">
        <v>6.1</v>
      </c>
      <c r="H8452" t="n">
        <v>0</v>
      </c>
      <c r="I8452" t="n">
        <v>0</v>
      </c>
      <c r="J8452" t="n">
        <v>0</v>
      </c>
      <c r="K8452" t="n">
        <v>0</v>
      </c>
      <c r="L8452" t="n">
        <v>0</v>
      </c>
      <c r="M8452" t="n">
        <v>0</v>
      </c>
      <c r="N8452" t="n">
        <v>0</v>
      </c>
      <c r="O8452" t="n">
        <v>0</v>
      </c>
      <c r="P8452" t="n">
        <v>0</v>
      </c>
      <c r="Q8452" t="n">
        <v>0</v>
      </c>
      <c r="R8452" s="2" t="inlineStr"/>
    </row>
    <row r="8453" ht="15" customHeight="1">
      <c r="A8453" t="inlineStr">
        <is>
          <t>A 47588-2025</t>
        </is>
      </c>
      <c r="B8453" s="1" t="n">
        <v>45931</v>
      </c>
      <c r="C8453" s="1" t="n">
        <v>45952</v>
      </c>
      <c r="D8453" t="inlineStr">
        <is>
          <t>VÄSTRA GÖTALANDS LÄN</t>
        </is>
      </c>
      <c r="E8453" t="inlineStr">
        <is>
          <t>BORÅS</t>
        </is>
      </c>
      <c r="F8453" t="inlineStr">
        <is>
          <t>Kommuner</t>
        </is>
      </c>
      <c r="G8453" t="n">
        <v>3.4</v>
      </c>
      <c r="H8453" t="n">
        <v>0</v>
      </c>
      <c r="I8453" t="n">
        <v>0</v>
      </c>
      <c r="J8453" t="n">
        <v>0</v>
      </c>
      <c r="K8453" t="n">
        <v>0</v>
      </c>
      <c r="L8453" t="n">
        <v>0</v>
      </c>
      <c r="M8453" t="n">
        <v>0</v>
      </c>
      <c r="N8453" t="n">
        <v>0</v>
      </c>
      <c r="O8453" t="n">
        <v>0</v>
      </c>
      <c r="P8453" t="n">
        <v>0</v>
      </c>
      <c r="Q8453" t="n">
        <v>0</v>
      </c>
      <c r="R8453" s="2" t="inlineStr"/>
    </row>
    <row r="8454" ht="15" customHeight="1">
      <c r="A8454" t="inlineStr">
        <is>
          <t>A 47586-2025</t>
        </is>
      </c>
      <c r="B8454" s="1" t="n">
        <v>45931</v>
      </c>
      <c r="C8454" s="1" t="n">
        <v>45952</v>
      </c>
      <c r="D8454" t="inlineStr">
        <is>
          <t>VÄSTRA GÖTALANDS LÄN</t>
        </is>
      </c>
      <c r="E8454" t="inlineStr">
        <is>
          <t>BORÅS</t>
        </is>
      </c>
      <c r="F8454" t="inlineStr">
        <is>
          <t>Kommuner</t>
        </is>
      </c>
      <c r="G8454" t="n">
        <v>0.8</v>
      </c>
      <c r="H8454" t="n">
        <v>0</v>
      </c>
      <c r="I8454" t="n">
        <v>0</v>
      </c>
      <c r="J8454" t="n">
        <v>0</v>
      </c>
      <c r="K8454" t="n">
        <v>0</v>
      </c>
      <c r="L8454" t="n">
        <v>0</v>
      </c>
      <c r="M8454" t="n">
        <v>0</v>
      </c>
      <c r="N8454" t="n">
        <v>0</v>
      </c>
      <c r="O8454" t="n">
        <v>0</v>
      </c>
      <c r="P8454" t="n">
        <v>0</v>
      </c>
      <c r="Q8454" t="n">
        <v>0</v>
      </c>
      <c r="R8454" s="2" t="inlineStr"/>
    </row>
    <row r="8455" ht="15" customHeight="1">
      <c r="A8455" t="inlineStr">
        <is>
          <t>A 15006-2024</t>
        </is>
      </c>
      <c r="B8455" s="1" t="n">
        <v>45399.42413194444</v>
      </c>
      <c r="C8455" s="1" t="n">
        <v>45952</v>
      </c>
      <c r="D8455" t="inlineStr">
        <is>
          <t>VÄSTRA GÖTALANDS LÄN</t>
        </is>
      </c>
      <c r="E8455" t="inlineStr">
        <is>
          <t>ALINGSÅS</t>
        </is>
      </c>
      <c r="G8455" t="n">
        <v>3.4</v>
      </c>
      <c r="H8455" t="n">
        <v>0</v>
      </c>
      <c r="I8455" t="n">
        <v>0</v>
      </c>
      <c r="J8455" t="n">
        <v>0</v>
      </c>
      <c r="K8455" t="n">
        <v>0</v>
      </c>
      <c r="L8455" t="n">
        <v>0</v>
      </c>
      <c r="M8455" t="n">
        <v>0</v>
      </c>
      <c r="N8455" t="n">
        <v>0</v>
      </c>
      <c r="O8455" t="n">
        <v>0</v>
      </c>
      <c r="P8455" t="n">
        <v>0</v>
      </c>
      <c r="Q8455" t="n">
        <v>0</v>
      </c>
      <c r="R8455" s="2" t="inlineStr"/>
    </row>
    <row r="8456" ht="15" customHeight="1">
      <c r="A8456" t="inlineStr">
        <is>
          <t>A 50797-2024</t>
        </is>
      </c>
      <c r="B8456" s="1" t="n">
        <v>45602.49099537037</v>
      </c>
      <c r="C8456" s="1" t="n">
        <v>45952</v>
      </c>
      <c r="D8456" t="inlineStr">
        <is>
          <t>VÄSTRA GÖTALANDS LÄN</t>
        </is>
      </c>
      <c r="E8456" t="inlineStr">
        <is>
          <t>TRANEMO</t>
        </is>
      </c>
      <c r="G8456" t="n">
        <v>1</v>
      </c>
      <c r="H8456" t="n">
        <v>0</v>
      </c>
      <c r="I8456" t="n">
        <v>0</v>
      </c>
      <c r="J8456" t="n">
        <v>0</v>
      </c>
      <c r="K8456" t="n">
        <v>0</v>
      </c>
      <c r="L8456" t="n">
        <v>0</v>
      </c>
      <c r="M8456" t="n">
        <v>0</v>
      </c>
      <c r="N8456" t="n">
        <v>0</v>
      </c>
      <c r="O8456" t="n">
        <v>0</v>
      </c>
      <c r="P8456" t="n">
        <v>0</v>
      </c>
      <c r="Q8456" t="n">
        <v>0</v>
      </c>
      <c r="R8456" s="2" t="inlineStr"/>
    </row>
    <row r="8457" ht="15" customHeight="1">
      <c r="A8457" t="inlineStr">
        <is>
          <t>A 35042-2023</t>
        </is>
      </c>
      <c r="B8457" s="1" t="n">
        <v>45142</v>
      </c>
      <c r="C8457" s="1" t="n">
        <v>45952</v>
      </c>
      <c r="D8457" t="inlineStr">
        <is>
          <t>VÄSTRA GÖTALANDS LÄN</t>
        </is>
      </c>
      <c r="E8457" t="inlineStr">
        <is>
          <t>VARA</t>
        </is>
      </c>
      <c r="G8457" t="n">
        <v>2.1</v>
      </c>
      <c r="H8457" t="n">
        <v>0</v>
      </c>
      <c r="I8457" t="n">
        <v>0</v>
      </c>
      <c r="J8457" t="n">
        <v>0</v>
      </c>
      <c r="K8457" t="n">
        <v>0</v>
      </c>
      <c r="L8457" t="n">
        <v>0</v>
      </c>
      <c r="M8457" t="n">
        <v>0</v>
      </c>
      <c r="N8457" t="n">
        <v>0</v>
      </c>
      <c r="O8457" t="n">
        <v>0</v>
      </c>
      <c r="P8457" t="n">
        <v>0</v>
      </c>
      <c r="Q8457" t="n">
        <v>0</v>
      </c>
      <c r="R8457" s="2" t="inlineStr"/>
    </row>
    <row r="8458" ht="15" customHeight="1">
      <c r="A8458" t="inlineStr">
        <is>
          <t>A 35098-2023</t>
        </is>
      </c>
      <c r="B8458" s="1" t="n">
        <v>45145.45490740741</v>
      </c>
      <c r="C8458" s="1" t="n">
        <v>45952</v>
      </c>
      <c r="D8458" t="inlineStr">
        <is>
          <t>VÄSTRA GÖTALANDS LÄN</t>
        </is>
      </c>
      <c r="E8458" t="inlineStr">
        <is>
          <t>FÄRGELANDA</t>
        </is>
      </c>
      <c r="G8458" t="n">
        <v>0.6</v>
      </c>
      <c r="H8458" t="n">
        <v>0</v>
      </c>
      <c r="I8458" t="n">
        <v>0</v>
      </c>
      <c r="J8458" t="n">
        <v>0</v>
      </c>
      <c r="K8458" t="n">
        <v>0</v>
      </c>
      <c r="L8458" t="n">
        <v>0</v>
      </c>
      <c r="M8458" t="n">
        <v>0</v>
      </c>
      <c r="N8458" t="n">
        <v>0</v>
      </c>
      <c r="O8458" t="n">
        <v>0</v>
      </c>
      <c r="P8458" t="n">
        <v>0</v>
      </c>
      <c r="Q8458" t="n">
        <v>0</v>
      </c>
      <c r="R8458" s="2" t="inlineStr"/>
    </row>
    <row r="8459" ht="15" customHeight="1">
      <c r="A8459" t="inlineStr">
        <is>
          <t>A 5324-2025</t>
        </is>
      </c>
      <c r="B8459" s="1" t="n">
        <v>45692.5303125</v>
      </c>
      <c r="C8459" s="1" t="n">
        <v>45952</v>
      </c>
      <c r="D8459" t="inlineStr">
        <is>
          <t>VÄSTRA GÖTALANDS LÄN</t>
        </is>
      </c>
      <c r="E8459" t="inlineStr">
        <is>
          <t>LILLA EDET</t>
        </is>
      </c>
      <c r="G8459" t="n">
        <v>5.1</v>
      </c>
      <c r="H8459" t="n">
        <v>0</v>
      </c>
      <c r="I8459" t="n">
        <v>0</v>
      </c>
      <c r="J8459" t="n">
        <v>0</v>
      </c>
      <c r="K8459" t="n">
        <v>0</v>
      </c>
      <c r="L8459" t="n">
        <v>0</v>
      </c>
      <c r="M8459" t="n">
        <v>0</v>
      </c>
      <c r="N8459" t="n">
        <v>0</v>
      </c>
      <c r="O8459" t="n">
        <v>0</v>
      </c>
      <c r="P8459" t="n">
        <v>0</v>
      </c>
      <c r="Q8459" t="n">
        <v>0</v>
      </c>
      <c r="R8459" s="2" t="inlineStr"/>
    </row>
    <row r="8460" ht="15" customHeight="1">
      <c r="A8460" t="inlineStr">
        <is>
          <t>A 32608-2025</t>
        </is>
      </c>
      <c r="B8460" s="1" t="n">
        <v>45838</v>
      </c>
      <c r="C8460" s="1" t="n">
        <v>45952</v>
      </c>
      <c r="D8460" t="inlineStr">
        <is>
          <t>VÄSTRA GÖTALANDS LÄN</t>
        </is>
      </c>
      <c r="E8460" t="inlineStr">
        <is>
          <t>FÄRGELANDA</t>
        </is>
      </c>
      <c r="G8460" t="n">
        <v>6.1</v>
      </c>
      <c r="H8460" t="n">
        <v>0</v>
      </c>
      <c r="I8460" t="n">
        <v>0</v>
      </c>
      <c r="J8460" t="n">
        <v>0</v>
      </c>
      <c r="K8460" t="n">
        <v>0</v>
      </c>
      <c r="L8460" t="n">
        <v>0</v>
      </c>
      <c r="M8460" t="n">
        <v>0</v>
      </c>
      <c r="N8460" t="n">
        <v>0</v>
      </c>
      <c r="O8460" t="n">
        <v>0</v>
      </c>
      <c r="P8460" t="n">
        <v>0</v>
      </c>
      <c r="Q8460" t="n">
        <v>0</v>
      </c>
      <c r="R8460" s="2" t="inlineStr"/>
    </row>
    <row r="8461" ht="15" customHeight="1">
      <c r="A8461" t="inlineStr">
        <is>
          <t>A 20251-2022</t>
        </is>
      </c>
      <c r="B8461" s="1" t="n">
        <v>44698</v>
      </c>
      <c r="C8461" s="1" t="n">
        <v>45952</v>
      </c>
      <c r="D8461" t="inlineStr">
        <is>
          <t>VÄSTRA GÖTALANDS LÄN</t>
        </is>
      </c>
      <c r="E8461" t="inlineStr">
        <is>
          <t>MUNKEDAL</t>
        </is>
      </c>
      <c r="G8461" t="n">
        <v>0.7</v>
      </c>
      <c r="H8461" t="n">
        <v>0</v>
      </c>
      <c r="I8461" t="n">
        <v>0</v>
      </c>
      <c r="J8461" t="n">
        <v>0</v>
      </c>
      <c r="K8461" t="n">
        <v>0</v>
      </c>
      <c r="L8461" t="n">
        <v>0</v>
      </c>
      <c r="M8461" t="n">
        <v>0</v>
      </c>
      <c r="N8461" t="n">
        <v>0</v>
      </c>
      <c r="O8461" t="n">
        <v>0</v>
      </c>
      <c r="P8461" t="n">
        <v>0</v>
      </c>
      <c r="Q8461" t="n">
        <v>0</v>
      </c>
      <c r="R8461" s="2" t="inlineStr"/>
    </row>
    <row r="8462" ht="15" customHeight="1">
      <c r="A8462" t="inlineStr">
        <is>
          <t>A 39419-2025</t>
        </is>
      </c>
      <c r="B8462" s="1" t="n">
        <v>45889.66032407407</v>
      </c>
      <c r="C8462" s="1" t="n">
        <v>45952</v>
      </c>
      <c r="D8462" t="inlineStr">
        <is>
          <t>VÄSTRA GÖTALANDS LÄN</t>
        </is>
      </c>
      <c r="E8462" t="inlineStr">
        <is>
          <t>VÅRGÅRDA</t>
        </is>
      </c>
      <c r="G8462" t="n">
        <v>1.8</v>
      </c>
      <c r="H8462" t="n">
        <v>0</v>
      </c>
      <c r="I8462" t="n">
        <v>0</v>
      </c>
      <c r="J8462" t="n">
        <v>0</v>
      </c>
      <c r="K8462" t="n">
        <v>0</v>
      </c>
      <c r="L8462" t="n">
        <v>0</v>
      </c>
      <c r="M8462" t="n">
        <v>0</v>
      </c>
      <c r="N8462" t="n">
        <v>0</v>
      </c>
      <c r="O8462" t="n">
        <v>0</v>
      </c>
      <c r="P8462" t="n">
        <v>0</v>
      </c>
      <c r="Q8462" t="n">
        <v>0</v>
      </c>
      <c r="R8462" s="2" t="inlineStr"/>
    </row>
    <row r="8463" ht="15" customHeight="1">
      <c r="A8463" t="inlineStr">
        <is>
          <t>A 57141-2024</t>
        </is>
      </c>
      <c r="B8463" s="1" t="n">
        <v>45629.38807870371</v>
      </c>
      <c r="C8463" s="1" t="n">
        <v>45952</v>
      </c>
      <c r="D8463" t="inlineStr">
        <is>
          <t>VÄSTRA GÖTALANDS LÄN</t>
        </is>
      </c>
      <c r="E8463" t="inlineStr">
        <is>
          <t>SVENLJUNGA</t>
        </is>
      </c>
      <c r="G8463" t="n">
        <v>1</v>
      </c>
      <c r="H8463" t="n">
        <v>0</v>
      </c>
      <c r="I8463" t="n">
        <v>0</v>
      </c>
      <c r="J8463" t="n">
        <v>0</v>
      </c>
      <c r="K8463" t="n">
        <v>0</v>
      </c>
      <c r="L8463" t="n">
        <v>0</v>
      </c>
      <c r="M8463" t="n">
        <v>0</v>
      </c>
      <c r="N8463" t="n">
        <v>0</v>
      </c>
      <c r="O8463" t="n">
        <v>0</v>
      </c>
      <c r="P8463" t="n">
        <v>0</v>
      </c>
      <c r="Q8463" t="n">
        <v>0</v>
      </c>
      <c r="R8463" s="2" t="inlineStr"/>
    </row>
    <row r="8464" ht="15" customHeight="1">
      <c r="A8464" t="inlineStr">
        <is>
          <t>A 22663-2025</t>
        </is>
      </c>
      <c r="B8464" s="1" t="n">
        <v>45789.48394675926</v>
      </c>
      <c r="C8464" s="1" t="n">
        <v>45952</v>
      </c>
      <c r="D8464" t="inlineStr">
        <is>
          <t>VÄSTRA GÖTALANDS LÄN</t>
        </is>
      </c>
      <c r="E8464" t="inlineStr">
        <is>
          <t>TANUM</t>
        </is>
      </c>
      <c r="G8464" t="n">
        <v>3</v>
      </c>
      <c r="H8464" t="n">
        <v>0</v>
      </c>
      <c r="I8464" t="n">
        <v>0</v>
      </c>
      <c r="J8464" t="n">
        <v>0</v>
      </c>
      <c r="K8464" t="n">
        <v>0</v>
      </c>
      <c r="L8464" t="n">
        <v>0</v>
      </c>
      <c r="M8464" t="n">
        <v>0</v>
      </c>
      <c r="N8464" t="n">
        <v>0</v>
      </c>
      <c r="O8464" t="n">
        <v>0</v>
      </c>
      <c r="P8464" t="n">
        <v>0</v>
      </c>
      <c r="Q8464" t="n">
        <v>0</v>
      </c>
      <c r="R8464" s="2" t="inlineStr"/>
    </row>
    <row r="8465" ht="15" customHeight="1">
      <c r="A8465" t="inlineStr">
        <is>
          <t>A 22418-2025</t>
        </is>
      </c>
      <c r="B8465" s="1" t="n">
        <v>45786.56079861111</v>
      </c>
      <c r="C8465" s="1" t="n">
        <v>45952</v>
      </c>
      <c r="D8465" t="inlineStr">
        <is>
          <t>VÄSTRA GÖTALANDS LÄN</t>
        </is>
      </c>
      <c r="E8465" t="inlineStr">
        <is>
          <t>TIBRO</t>
        </is>
      </c>
      <c r="F8465" t="inlineStr">
        <is>
          <t>Kyrkan</t>
        </is>
      </c>
      <c r="G8465" t="n">
        <v>0.7</v>
      </c>
      <c r="H8465" t="n">
        <v>0</v>
      </c>
      <c r="I8465" t="n">
        <v>0</v>
      </c>
      <c r="J8465" t="n">
        <v>0</v>
      </c>
      <c r="K8465" t="n">
        <v>0</v>
      </c>
      <c r="L8465" t="n">
        <v>0</v>
      </c>
      <c r="M8465" t="n">
        <v>0</v>
      </c>
      <c r="N8465" t="n">
        <v>0</v>
      </c>
      <c r="O8465" t="n">
        <v>0</v>
      </c>
      <c r="P8465" t="n">
        <v>0</v>
      </c>
      <c r="Q8465" t="n">
        <v>0</v>
      </c>
      <c r="R8465" s="2" t="inlineStr"/>
    </row>
    <row r="8466" ht="15" customHeight="1">
      <c r="A8466" t="inlineStr">
        <is>
          <t>A 22435-2025</t>
        </is>
      </c>
      <c r="B8466" s="1" t="n">
        <v>45786.58416666667</v>
      </c>
      <c r="C8466" s="1" t="n">
        <v>45952</v>
      </c>
      <c r="D8466" t="inlineStr">
        <is>
          <t>VÄSTRA GÖTALANDS LÄN</t>
        </is>
      </c>
      <c r="E8466" t="inlineStr">
        <is>
          <t>KARLSBORG</t>
        </is>
      </c>
      <c r="F8466" t="inlineStr">
        <is>
          <t>Sveaskog</t>
        </is>
      </c>
      <c r="G8466" t="n">
        <v>1.7</v>
      </c>
      <c r="H8466" t="n">
        <v>0</v>
      </c>
      <c r="I8466" t="n">
        <v>0</v>
      </c>
      <c r="J8466" t="n">
        <v>0</v>
      </c>
      <c r="K8466" t="n">
        <v>0</v>
      </c>
      <c r="L8466" t="n">
        <v>0</v>
      </c>
      <c r="M8466" t="n">
        <v>0</v>
      </c>
      <c r="N8466" t="n">
        <v>0</v>
      </c>
      <c r="O8466" t="n">
        <v>0</v>
      </c>
      <c r="P8466" t="n">
        <v>0</v>
      </c>
      <c r="Q8466" t="n">
        <v>0</v>
      </c>
      <c r="R8466" s="2" t="inlineStr"/>
    </row>
    <row r="8467" ht="15" customHeight="1">
      <c r="A8467" t="inlineStr">
        <is>
          <t>A 52132-2024</t>
        </is>
      </c>
      <c r="B8467" s="1" t="n">
        <v>45608.4834837963</v>
      </c>
      <c r="C8467" s="1" t="n">
        <v>45952</v>
      </c>
      <c r="D8467" t="inlineStr">
        <is>
          <t>VÄSTRA GÖTALANDS LÄN</t>
        </is>
      </c>
      <c r="E8467" t="inlineStr">
        <is>
          <t>ULRICEHAMN</t>
        </is>
      </c>
      <c r="G8467" t="n">
        <v>1.9</v>
      </c>
      <c r="H8467" t="n">
        <v>0</v>
      </c>
      <c r="I8467" t="n">
        <v>0</v>
      </c>
      <c r="J8467" t="n">
        <v>0</v>
      </c>
      <c r="K8467" t="n">
        <v>0</v>
      </c>
      <c r="L8467" t="n">
        <v>0</v>
      </c>
      <c r="M8467" t="n">
        <v>0</v>
      </c>
      <c r="N8467" t="n">
        <v>0</v>
      </c>
      <c r="O8467" t="n">
        <v>0</v>
      </c>
      <c r="P8467" t="n">
        <v>0</v>
      </c>
      <c r="Q8467" t="n">
        <v>0</v>
      </c>
      <c r="R8467" s="2" t="inlineStr"/>
    </row>
    <row r="8468" ht="15" customHeight="1">
      <c r="A8468" t="inlineStr">
        <is>
          <t>A 35429-2023</t>
        </is>
      </c>
      <c r="B8468" s="1" t="n">
        <v>45146.62659722222</v>
      </c>
      <c r="C8468" s="1" t="n">
        <v>45952</v>
      </c>
      <c r="D8468" t="inlineStr">
        <is>
          <t>VÄSTRA GÖTALANDS LÄN</t>
        </is>
      </c>
      <c r="E8468" t="inlineStr">
        <is>
          <t>GULLSPÅNG</t>
        </is>
      </c>
      <c r="G8468" t="n">
        <v>0.5</v>
      </c>
      <c r="H8468" t="n">
        <v>0</v>
      </c>
      <c r="I8468" t="n">
        <v>0</v>
      </c>
      <c r="J8468" t="n">
        <v>0</v>
      </c>
      <c r="K8468" t="n">
        <v>0</v>
      </c>
      <c r="L8468" t="n">
        <v>0</v>
      </c>
      <c r="M8468" t="n">
        <v>0</v>
      </c>
      <c r="N8468" t="n">
        <v>0</v>
      </c>
      <c r="O8468" t="n">
        <v>0</v>
      </c>
      <c r="P8468" t="n">
        <v>0</v>
      </c>
      <c r="Q8468" t="n">
        <v>0</v>
      </c>
      <c r="R8468" s="2" t="inlineStr"/>
    </row>
    <row r="8469" ht="15" customHeight="1">
      <c r="A8469" t="inlineStr">
        <is>
          <t>A 16924-2025</t>
        </is>
      </c>
      <c r="B8469" s="1" t="n">
        <v>45755.3825462963</v>
      </c>
      <c r="C8469" s="1" t="n">
        <v>45952</v>
      </c>
      <c r="D8469" t="inlineStr">
        <is>
          <t>VÄSTRA GÖTALANDS LÄN</t>
        </is>
      </c>
      <c r="E8469" t="inlineStr">
        <is>
          <t>TIBRO</t>
        </is>
      </c>
      <c r="F8469" t="inlineStr">
        <is>
          <t>Sveaskog</t>
        </is>
      </c>
      <c r="G8469" t="n">
        <v>5.3</v>
      </c>
      <c r="H8469" t="n">
        <v>0</v>
      </c>
      <c r="I8469" t="n">
        <v>0</v>
      </c>
      <c r="J8469" t="n">
        <v>0</v>
      </c>
      <c r="K8469" t="n">
        <v>0</v>
      </c>
      <c r="L8469" t="n">
        <v>0</v>
      </c>
      <c r="M8469" t="n">
        <v>0</v>
      </c>
      <c r="N8469" t="n">
        <v>0</v>
      </c>
      <c r="O8469" t="n">
        <v>0</v>
      </c>
      <c r="P8469" t="n">
        <v>0</v>
      </c>
      <c r="Q8469" t="n">
        <v>0</v>
      </c>
      <c r="R8469" s="2" t="inlineStr"/>
    </row>
    <row r="8470" ht="15" customHeight="1">
      <c r="A8470" t="inlineStr">
        <is>
          <t>A 16952-2025</t>
        </is>
      </c>
      <c r="B8470" s="1" t="n">
        <v>45755.44237268518</v>
      </c>
      <c r="C8470" s="1" t="n">
        <v>45952</v>
      </c>
      <c r="D8470" t="inlineStr">
        <is>
          <t>VÄSTRA GÖTALANDS LÄN</t>
        </is>
      </c>
      <c r="E8470" t="inlineStr">
        <is>
          <t>DALS-ED</t>
        </is>
      </c>
      <c r="G8470" t="n">
        <v>1</v>
      </c>
      <c r="H8470" t="n">
        <v>0</v>
      </c>
      <c r="I8470" t="n">
        <v>0</v>
      </c>
      <c r="J8470" t="n">
        <v>0</v>
      </c>
      <c r="K8470" t="n">
        <v>0</v>
      </c>
      <c r="L8470" t="n">
        <v>0</v>
      </c>
      <c r="M8470" t="n">
        <v>0</v>
      </c>
      <c r="N8470" t="n">
        <v>0</v>
      </c>
      <c r="O8470" t="n">
        <v>0</v>
      </c>
      <c r="P8470" t="n">
        <v>0</v>
      </c>
      <c r="Q8470" t="n">
        <v>0</v>
      </c>
      <c r="R8470" s="2" t="inlineStr"/>
    </row>
    <row r="8471" ht="15" customHeight="1">
      <c r="A8471" t="inlineStr">
        <is>
          <t>A 16984-2025</t>
        </is>
      </c>
      <c r="B8471" s="1" t="n">
        <v>45755.4875925926</v>
      </c>
      <c r="C8471" s="1" t="n">
        <v>45952</v>
      </c>
      <c r="D8471" t="inlineStr">
        <is>
          <t>VÄSTRA GÖTALANDS LÄN</t>
        </is>
      </c>
      <c r="E8471" t="inlineStr">
        <is>
          <t>MARK</t>
        </is>
      </c>
      <c r="G8471" t="n">
        <v>2.3</v>
      </c>
      <c r="H8471" t="n">
        <v>0</v>
      </c>
      <c r="I8471" t="n">
        <v>0</v>
      </c>
      <c r="J8471" t="n">
        <v>0</v>
      </c>
      <c r="K8471" t="n">
        <v>0</v>
      </c>
      <c r="L8471" t="n">
        <v>0</v>
      </c>
      <c r="M8471" t="n">
        <v>0</v>
      </c>
      <c r="N8471" t="n">
        <v>0</v>
      </c>
      <c r="O8471" t="n">
        <v>0</v>
      </c>
      <c r="P8471" t="n">
        <v>0</v>
      </c>
      <c r="Q8471" t="n">
        <v>0</v>
      </c>
      <c r="R8471" s="2" t="inlineStr"/>
    </row>
    <row r="8472" ht="15" customHeight="1">
      <c r="A8472" t="inlineStr">
        <is>
          <t>A 59004-2021</t>
        </is>
      </c>
      <c r="B8472" s="1" t="n">
        <v>44489</v>
      </c>
      <c r="C8472" s="1" t="n">
        <v>45952</v>
      </c>
      <c r="D8472" t="inlineStr">
        <is>
          <t>VÄSTRA GÖTALANDS LÄN</t>
        </is>
      </c>
      <c r="E8472" t="inlineStr">
        <is>
          <t>MARK</t>
        </is>
      </c>
      <c r="G8472" t="n">
        <v>4.3</v>
      </c>
      <c r="H8472" t="n">
        <v>0</v>
      </c>
      <c r="I8472" t="n">
        <v>0</v>
      </c>
      <c r="J8472" t="n">
        <v>0</v>
      </c>
      <c r="K8472" t="n">
        <v>0</v>
      </c>
      <c r="L8472" t="n">
        <v>0</v>
      </c>
      <c r="M8472" t="n">
        <v>0</v>
      </c>
      <c r="N8472" t="n">
        <v>0</v>
      </c>
      <c r="O8472" t="n">
        <v>0</v>
      </c>
      <c r="P8472" t="n">
        <v>0</v>
      </c>
      <c r="Q8472" t="n">
        <v>0</v>
      </c>
      <c r="R8472" s="2" t="inlineStr"/>
    </row>
    <row r="8473" ht="15" customHeight="1">
      <c r="A8473" t="inlineStr">
        <is>
          <t>A 17014-2025</t>
        </is>
      </c>
      <c r="B8473" s="1" t="n">
        <v>45755.55113425926</v>
      </c>
      <c r="C8473" s="1" t="n">
        <v>45952</v>
      </c>
      <c r="D8473" t="inlineStr">
        <is>
          <t>VÄSTRA GÖTALANDS LÄN</t>
        </is>
      </c>
      <c r="E8473" t="inlineStr">
        <is>
          <t>MARK</t>
        </is>
      </c>
      <c r="G8473" t="n">
        <v>6.7</v>
      </c>
      <c r="H8473" t="n">
        <v>0</v>
      </c>
      <c r="I8473" t="n">
        <v>0</v>
      </c>
      <c r="J8473" t="n">
        <v>0</v>
      </c>
      <c r="K8473" t="n">
        <v>0</v>
      </c>
      <c r="L8473" t="n">
        <v>0</v>
      </c>
      <c r="M8473" t="n">
        <v>0</v>
      </c>
      <c r="N8473" t="n">
        <v>0</v>
      </c>
      <c r="O8473" t="n">
        <v>0</v>
      </c>
      <c r="P8473" t="n">
        <v>0</v>
      </c>
      <c r="Q8473" t="n">
        <v>0</v>
      </c>
      <c r="R8473" s="2" t="inlineStr"/>
    </row>
    <row r="8474" ht="15" customHeight="1">
      <c r="A8474" t="inlineStr">
        <is>
          <t>A 36979-2021</t>
        </is>
      </c>
      <c r="B8474" s="1" t="n">
        <v>44393.58640046296</v>
      </c>
      <c r="C8474" s="1" t="n">
        <v>45952</v>
      </c>
      <c r="D8474" t="inlineStr">
        <is>
          <t>VÄSTRA GÖTALANDS LÄN</t>
        </is>
      </c>
      <c r="E8474" t="inlineStr">
        <is>
          <t>MARK</t>
        </is>
      </c>
      <c r="G8474" t="n">
        <v>1</v>
      </c>
      <c r="H8474" t="n">
        <v>0</v>
      </c>
      <c r="I8474" t="n">
        <v>0</v>
      </c>
      <c r="J8474" t="n">
        <v>0</v>
      </c>
      <c r="K8474" t="n">
        <v>0</v>
      </c>
      <c r="L8474" t="n">
        <v>0</v>
      </c>
      <c r="M8474" t="n">
        <v>0</v>
      </c>
      <c r="N8474" t="n">
        <v>0</v>
      </c>
      <c r="O8474" t="n">
        <v>0</v>
      </c>
      <c r="P8474" t="n">
        <v>0</v>
      </c>
      <c r="Q8474" t="n">
        <v>0</v>
      </c>
      <c r="R8474" s="2" t="inlineStr"/>
    </row>
    <row r="8475" ht="15" customHeight="1">
      <c r="A8475" t="inlineStr">
        <is>
          <t>A 7343-2023</t>
        </is>
      </c>
      <c r="B8475" s="1" t="n">
        <v>44971</v>
      </c>
      <c r="C8475" s="1" t="n">
        <v>45952</v>
      </c>
      <c r="D8475" t="inlineStr">
        <is>
          <t>VÄSTRA GÖTALANDS LÄN</t>
        </is>
      </c>
      <c r="E8475" t="inlineStr">
        <is>
          <t>MARK</t>
        </is>
      </c>
      <c r="G8475" t="n">
        <v>1.8</v>
      </c>
      <c r="H8475" t="n">
        <v>0</v>
      </c>
      <c r="I8475" t="n">
        <v>0</v>
      </c>
      <c r="J8475" t="n">
        <v>0</v>
      </c>
      <c r="K8475" t="n">
        <v>0</v>
      </c>
      <c r="L8475" t="n">
        <v>0</v>
      </c>
      <c r="M8475" t="n">
        <v>0</v>
      </c>
      <c r="N8475" t="n">
        <v>0</v>
      </c>
      <c r="O8475" t="n">
        <v>0</v>
      </c>
      <c r="P8475" t="n">
        <v>0</v>
      </c>
      <c r="Q8475" t="n">
        <v>0</v>
      </c>
      <c r="R8475" s="2" t="inlineStr"/>
    </row>
    <row r="8476" ht="15" customHeight="1">
      <c r="A8476" t="inlineStr">
        <is>
          <t>A 7386-2023</t>
        </is>
      </c>
      <c r="B8476" s="1" t="n">
        <v>44971.45841435185</v>
      </c>
      <c r="C8476" s="1" t="n">
        <v>45952</v>
      </c>
      <c r="D8476" t="inlineStr">
        <is>
          <t>VÄSTRA GÖTALANDS LÄN</t>
        </is>
      </c>
      <c r="E8476" t="inlineStr">
        <is>
          <t>ULRICEHAMN</t>
        </is>
      </c>
      <c r="G8476" t="n">
        <v>0.5</v>
      </c>
      <c r="H8476" t="n">
        <v>0</v>
      </c>
      <c r="I8476" t="n">
        <v>0</v>
      </c>
      <c r="J8476" t="n">
        <v>0</v>
      </c>
      <c r="K8476" t="n">
        <v>0</v>
      </c>
      <c r="L8476" t="n">
        <v>0</v>
      </c>
      <c r="M8476" t="n">
        <v>0</v>
      </c>
      <c r="N8476" t="n">
        <v>0</v>
      </c>
      <c r="O8476" t="n">
        <v>0</v>
      </c>
      <c r="P8476" t="n">
        <v>0</v>
      </c>
      <c r="Q8476" t="n">
        <v>0</v>
      </c>
      <c r="R8476" s="2" t="inlineStr"/>
    </row>
    <row r="8477" ht="15" customHeight="1">
      <c r="A8477" t="inlineStr">
        <is>
          <t>A 39130-2025</t>
        </is>
      </c>
      <c r="B8477" s="1" t="n">
        <v>45888.58700231482</v>
      </c>
      <c r="C8477" s="1" t="n">
        <v>45952</v>
      </c>
      <c r="D8477" t="inlineStr">
        <is>
          <t>VÄSTRA GÖTALANDS LÄN</t>
        </is>
      </c>
      <c r="E8477" t="inlineStr">
        <is>
          <t>DALS-ED</t>
        </is>
      </c>
      <c r="G8477" t="n">
        <v>1</v>
      </c>
      <c r="H8477" t="n">
        <v>0</v>
      </c>
      <c r="I8477" t="n">
        <v>0</v>
      </c>
      <c r="J8477" t="n">
        <v>0</v>
      </c>
      <c r="K8477" t="n">
        <v>0</v>
      </c>
      <c r="L8477" t="n">
        <v>0</v>
      </c>
      <c r="M8477" t="n">
        <v>0</v>
      </c>
      <c r="N8477" t="n">
        <v>0</v>
      </c>
      <c r="O8477" t="n">
        <v>0</v>
      </c>
      <c r="P8477" t="n">
        <v>0</v>
      </c>
      <c r="Q8477" t="n">
        <v>0</v>
      </c>
      <c r="R8477" s="2" t="inlineStr"/>
    </row>
    <row r="8478" ht="15" customHeight="1">
      <c r="A8478" t="inlineStr">
        <is>
          <t>A 9337-2025</t>
        </is>
      </c>
      <c r="B8478" s="1" t="n">
        <v>45714</v>
      </c>
      <c r="C8478" s="1" t="n">
        <v>45952</v>
      </c>
      <c r="D8478" t="inlineStr">
        <is>
          <t>VÄSTRA GÖTALANDS LÄN</t>
        </is>
      </c>
      <c r="E8478" t="inlineStr">
        <is>
          <t>KARLSBORG</t>
        </is>
      </c>
      <c r="G8478" t="n">
        <v>1.6</v>
      </c>
      <c r="H8478" t="n">
        <v>0</v>
      </c>
      <c r="I8478" t="n">
        <v>0</v>
      </c>
      <c r="J8478" t="n">
        <v>0</v>
      </c>
      <c r="K8478" t="n">
        <v>0</v>
      </c>
      <c r="L8478" t="n">
        <v>0</v>
      </c>
      <c r="M8478" t="n">
        <v>0</v>
      </c>
      <c r="N8478" t="n">
        <v>0</v>
      </c>
      <c r="O8478" t="n">
        <v>0</v>
      </c>
      <c r="P8478" t="n">
        <v>0</v>
      </c>
      <c r="Q8478" t="n">
        <v>0</v>
      </c>
      <c r="R8478" s="2" t="inlineStr"/>
    </row>
    <row r="8479" ht="15" customHeight="1">
      <c r="A8479" t="inlineStr">
        <is>
          <t>A 35139-2023</t>
        </is>
      </c>
      <c r="B8479" s="1" t="n">
        <v>45145.53503472222</v>
      </c>
      <c r="C8479" s="1" t="n">
        <v>45952</v>
      </c>
      <c r="D8479" t="inlineStr">
        <is>
          <t>VÄSTRA GÖTALANDS LÄN</t>
        </is>
      </c>
      <c r="E8479" t="inlineStr">
        <is>
          <t>MUNKEDAL</t>
        </is>
      </c>
      <c r="G8479" t="n">
        <v>1.2</v>
      </c>
      <c r="H8479" t="n">
        <v>0</v>
      </c>
      <c r="I8479" t="n">
        <v>0</v>
      </c>
      <c r="J8479" t="n">
        <v>0</v>
      </c>
      <c r="K8479" t="n">
        <v>0</v>
      </c>
      <c r="L8479" t="n">
        <v>0</v>
      </c>
      <c r="M8479" t="n">
        <v>0</v>
      </c>
      <c r="N8479" t="n">
        <v>0</v>
      </c>
      <c r="O8479" t="n">
        <v>0</v>
      </c>
      <c r="P8479" t="n">
        <v>0</v>
      </c>
      <c r="Q8479" t="n">
        <v>0</v>
      </c>
      <c r="R8479" s="2" t="inlineStr"/>
    </row>
    <row r="8480" ht="15" customHeight="1">
      <c r="A8480" t="inlineStr">
        <is>
          <t>A 47405-2025</t>
        </is>
      </c>
      <c r="B8480" s="1" t="n">
        <v>45930.61258101852</v>
      </c>
      <c r="C8480" s="1" t="n">
        <v>45952</v>
      </c>
      <c r="D8480" t="inlineStr">
        <is>
          <t>VÄSTRA GÖTALANDS LÄN</t>
        </is>
      </c>
      <c r="E8480" t="inlineStr">
        <is>
          <t>ORUST</t>
        </is>
      </c>
      <c r="G8480" t="n">
        <v>1.1</v>
      </c>
      <c r="H8480" t="n">
        <v>0</v>
      </c>
      <c r="I8480" t="n">
        <v>0</v>
      </c>
      <c r="J8480" t="n">
        <v>0</v>
      </c>
      <c r="K8480" t="n">
        <v>0</v>
      </c>
      <c r="L8480" t="n">
        <v>0</v>
      </c>
      <c r="M8480" t="n">
        <v>0</v>
      </c>
      <c r="N8480" t="n">
        <v>0</v>
      </c>
      <c r="O8480" t="n">
        <v>0</v>
      </c>
      <c r="P8480" t="n">
        <v>0</v>
      </c>
      <c r="Q8480" t="n">
        <v>0</v>
      </c>
      <c r="R8480" s="2" t="inlineStr"/>
    </row>
    <row r="8481" ht="15" customHeight="1">
      <c r="A8481" t="inlineStr">
        <is>
          <t>A 43520-2022</t>
        </is>
      </c>
      <c r="B8481" s="1" t="n">
        <v>44837.37417824074</v>
      </c>
      <c r="C8481" s="1" t="n">
        <v>45952</v>
      </c>
      <c r="D8481" t="inlineStr">
        <is>
          <t>VÄSTRA GÖTALANDS LÄN</t>
        </is>
      </c>
      <c r="E8481" t="inlineStr">
        <is>
          <t>KUNGÄLV</t>
        </is>
      </c>
      <c r="G8481" t="n">
        <v>1.5</v>
      </c>
      <c r="H8481" t="n">
        <v>0</v>
      </c>
      <c r="I8481" t="n">
        <v>0</v>
      </c>
      <c r="J8481" t="n">
        <v>0</v>
      </c>
      <c r="K8481" t="n">
        <v>0</v>
      </c>
      <c r="L8481" t="n">
        <v>0</v>
      </c>
      <c r="M8481" t="n">
        <v>0</v>
      </c>
      <c r="N8481" t="n">
        <v>0</v>
      </c>
      <c r="O8481" t="n">
        <v>0</v>
      </c>
      <c r="P8481" t="n">
        <v>0</v>
      </c>
      <c r="Q8481" t="n">
        <v>0</v>
      </c>
      <c r="R8481" s="2" t="inlineStr"/>
    </row>
    <row r="8482" ht="15" customHeight="1">
      <c r="A8482" t="inlineStr">
        <is>
          <t>A 24564-2025</t>
        </is>
      </c>
      <c r="B8482" s="1" t="n">
        <v>45798.46134259259</v>
      </c>
      <c r="C8482" s="1" t="n">
        <v>45952</v>
      </c>
      <c r="D8482" t="inlineStr">
        <is>
          <t>VÄSTRA GÖTALANDS LÄN</t>
        </is>
      </c>
      <c r="E8482" t="inlineStr">
        <is>
          <t>TROLLHÄTTAN</t>
        </is>
      </c>
      <c r="G8482" t="n">
        <v>2.7</v>
      </c>
      <c r="H8482" t="n">
        <v>0</v>
      </c>
      <c r="I8482" t="n">
        <v>0</v>
      </c>
      <c r="J8482" t="n">
        <v>0</v>
      </c>
      <c r="K8482" t="n">
        <v>0</v>
      </c>
      <c r="L8482" t="n">
        <v>0</v>
      </c>
      <c r="M8482" t="n">
        <v>0</v>
      </c>
      <c r="N8482" t="n">
        <v>0</v>
      </c>
      <c r="O8482" t="n">
        <v>0</v>
      </c>
      <c r="P8482" t="n">
        <v>0</v>
      </c>
      <c r="Q8482" t="n">
        <v>0</v>
      </c>
      <c r="R8482" s="2" t="inlineStr"/>
    </row>
    <row r="8483" ht="15" customHeight="1">
      <c r="A8483" t="inlineStr">
        <is>
          <t>A 65400-2021</t>
        </is>
      </c>
      <c r="B8483" s="1" t="n">
        <v>44515.82825231482</v>
      </c>
      <c r="C8483" s="1" t="n">
        <v>45952</v>
      </c>
      <c r="D8483" t="inlineStr">
        <is>
          <t>VÄSTRA GÖTALANDS LÄN</t>
        </is>
      </c>
      <c r="E8483" t="inlineStr">
        <is>
          <t>ULRICEHAMN</t>
        </is>
      </c>
      <c r="G8483" t="n">
        <v>0.7</v>
      </c>
      <c r="H8483" t="n">
        <v>0</v>
      </c>
      <c r="I8483" t="n">
        <v>0</v>
      </c>
      <c r="J8483" t="n">
        <v>0</v>
      </c>
      <c r="K8483" t="n">
        <v>0</v>
      </c>
      <c r="L8483" t="n">
        <v>0</v>
      </c>
      <c r="M8483" t="n">
        <v>0</v>
      </c>
      <c r="N8483" t="n">
        <v>0</v>
      </c>
      <c r="O8483" t="n">
        <v>0</v>
      </c>
      <c r="P8483" t="n">
        <v>0</v>
      </c>
      <c r="Q8483" t="n">
        <v>0</v>
      </c>
      <c r="R8483" s="2" t="inlineStr"/>
    </row>
    <row r="8484" ht="15" customHeight="1">
      <c r="A8484" t="inlineStr">
        <is>
          <t>A 22761-2025</t>
        </is>
      </c>
      <c r="B8484" s="1" t="n">
        <v>45789.6207175926</v>
      </c>
      <c r="C8484" s="1" t="n">
        <v>45952</v>
      </c>
      <c r="D8484" t="inlineStr">
        <is>
          <t>VÄSTRA GÖTALANDS LÄN</t>
        </is>
      </c>
      <c r="E8484" t="inlineStr">
        <is>
          <t>KARLSBORG</t>
        </is>
      </c>
      <c r="G8484" t="n">
        <v>1</v>
      </c>
      <c r="H8484" t="n">
        <v>0</v>
      </c>
      <c r="I8484" t="n">
        <v>0</v>
      </c>
      <c r="J8484" t="n">
        <v>0</v>
      </c>
      <c r="K8484" t="n">
        <v>0</v>
      </c>
      <c r="L8484" t="n">
        <v>0</v>
      </c>
      <c r="M8484" t="n">
        <v>0</v>
      </c>
      <c r="N8484" t="n">
        <v>0</v>
      </c>
      <c r="O8484" t="n">
        <v>0</v>
      </c>
      <c r="P8484" t="n">
        <v>0</v>
      </c>
      <c r="Q8484" t="n">
        <v>0</v>
      </c>
      <c r="R8484" s="2" t="inlineStr"/>
    </row>
    <row r="8485" ht="15" customHeight="1">
      <c r="A8485" t="inlineStr">
        <is>
          <t>A 22750-2025</t>
        </is>
      </c>
      <c r="B8485" s="1" t="n">
        <v>45789.61164351852</v>
      </c>
      <c r="C8485" s="1" t="n">
        <v>45952</v>
      </c>
      <c r="D8485" t="inlineStr">
        <is>
          <t>VÄSTRA GÖTALANDS LÄN</t>
        </is>
      </c>
      <c r="E8485" t="inlineStr">
        <is>
          <t>GULLSPÅNG</t>
        </is>
      </c>
      <c r="G8485" t="n">
        <v>4.1</v>
      </c>
      <c r="H8485" t="n">
        <v>0</v>
      </c>
      <c r="I8485" t="n">
        <v>0</v>
      </c>
      <c r="J8485" t="n">
        <v>0</v>
      </c>
      <c r="K8485" t="n">
        <v>0</v>
      </c>
      <c r="L8485" t="n">
        <v>0</v>
      </c>
      <c r="M8485" t="n">
        <v>0</v>
      </c>
      <c r="N8485" t="n">
        <v>0</v>
      </c>
      <c r="O8485" t="n">
        <v>0</v>
      </c>
      <c r="P8485" t="n">
        <v>0</v>
      </c>
      <c r="Q8485" t="n">
        <v>0</v>
      </c>
      <c r="R8485" s="2" t="inlineStr"/>
    </row>
    <row r="8486" ht="15" customHeight="1">
      <c r="A8486" t="inlineStr">
        <is>
          <t>A 21269-2024</t>
        </is>
      </c>
      <c r="B8486" s="1" t="n">
        <v>45440.64200231482</v>
      </c>
      <c r="C8486" s="1" t="n">
        <v>45952</v>
      </c>
      <c r="D8486" t="inlineStr">
        <is>
          <t>VÄSTRA GÖTALANDS LÄN</t>
        </is>
      </c>
      <c r="E8486" t="inlineStr">
        <is>
          <t>GÖTENE</t>
        </is>
      </c>
      <c r="G8486" t="n">
        <v>1.3</v>
      </c>
      <c r="H8486" t="n">
        <v>0</v>
      </c>
      <c r="I8486" t="n">
        <v>0</v>
      </c>
      <c r="J8486" t="n">
        <v>0</v>
      </c>
      <c r="K8486" t="n">
        <v>0</v>
      </c>
      <c r="L8486" t="n">
        <v>0</v>
      </c>
      <c r="M8486" t="n">
        <v>0</v>
      </c>
      <c r="N8486" t="n">
        <v>0</v>
      </c>
      <c r="O8486" t="n">
        <v>0</v>
      </c>
      <c r="P8486" t="n">
        <v>0</v>
      </c>
      <c r="Q8486" t="n">
        <v>0</v>
      </c>
      <c r="R8486" s="2" t="inlineStr"/>
    </row>
    <row r="8487" ht="15" customHeight="1">
      <c r="A8487" t="inlineStr">
        <is>
          <t>A 12664-2023</t>
        </is>
      </c>
      <c r="B8487" s="1" t="n">
        <v>45000</v>
      </c>
      <c r="C8487" s="1" t="n">
        <v>45952</v>
      </c>
      <c r="D8487" t="inlineStr">
        <is>
          <t>VÄSTRA GÖTALANDS LÄN</t>
        </is>
      </c>
      <c r="E8487" t="inlineStr">
        <is>
          <t>GÖTENE</t>
        </is>
      </c>
      <c r="G8487" t="n">
        <v>1.6</v>
      </c>
      <c r="H8487" t="n">
        <v>0</v>
      </c>
      <c r="I8487" t="n">
        <v>0</v>
      </c>
      <c r="J8487" t="n">
        <v>0</v>
      </c>
      <c r="K8487" t="n">
        <v>0</v>
      </c>
      <c r="L8487" t="n">
        <v>0</v>
      </c>
      <c r="M8487" t="n">
        <v>0</v>
      </c>
      <c r="N8487" t="n">
        <v>0</v>
      </c>
      <c r="O8487" t="n">
        <v>0</v>
      </c>
      <c r="P8487" t="n">
        <v>0</v>
      </c>
      <c r="Q8487" t="n">
        <v>0</v>
      </c>
      <c r="R8487" s="2" t="inlineStr"/>
    </row>
    <row r="8488" ht="15" customHeight="1">
      <c r="A8488" t="inlineStr">
        <is>
          <t>A 16145-2025</t>
        </is>
      </c>
      <c r="B8488" s="1" t="n">
        <v>45750.45947916667</v>
      </c>
      <c r="C8488" s="1" t="n">
        <v>45952</v>
      </c>
      <c r="D8488" t="inlineStr">
        <is>
          <t>VÄSTRA GÖTALANDS LÄN</t>
        </is>
      </c>
      <c r="E8488" t="inlineStr">
        <is>
          <t>ESSUNGA</t>
        </is>
      </c>
      <c r="G8488" t="n">
        <v>2.8</v>
      </c>
      <c r="H8488" t="n">
        <v>0</v>
      </c>
      <c r="I8488" t="n">
        <v>0</v>
      </c>
      <c r="J8488" t="n">
        <v>0</v>
      </c>
      <c r="K8488" t="n">
        <v>0</v>
      </c>
      <c r="L8488" t="n">
        <v>0</v>
      </c>
      <c r="M8488" t="n">
        <v>0</v>
      </c>
      <c r="N8488" t="n">
        <v>0</v>
      </c>
      <c r="O8488" t="n">
        <v>0</v>
      </c>
      <c r="P8488" t="n">
        <v>0</v>
      </c>
      <c r="Q8488" t="n">
        <v>0</v>
      </c>
      <c r="R8488" s="2" t="inlineStr"/>
    </row>
    <row r="8489" ht="15" customHeight="1">
      <c r="A8489" t="inlineStr">
        <is>
          <t>A 15480-2025</t>
        </is>
      </c>
      <c r="B8489" s="1" t="n">
        <v>45747.55828703703</v>
      </c>
      <c r="C8489" s="1" t="n">
        <v>45952</v>
      </c>
      <c r="D8489" t="inlineStr">
        <is>
          <t>VÄSTRA GÖTALANDS LÄN</t>
        </is>
      </c>
      <c r="E8489" t="inlineStr">
        <is>
          <t>HÄRRYDA</t>
        </is>
      </c>
      <c r="G8489" t="n">
        <v>5.6</v>
      </c>
      <c r="H8489" t="n">
        <v>0</v>
      </c>
      <c r="I8489" t="n">
        <v>0</v>
      </c>
      <c r="J8489" t="n">
        <v>0</v>
      </c>
      <c r="K8489" t="n">
        <v>0</v>
      </c>
      <c r="L8489" t="n">
        <v>0</v>
      </c>
      <c r="M8489" t="n">
        <v>0</v>
      </c>
      <c r="N8489" t="n">
        <v>0</v>
      </c>
      <c r="O8489" t="n">
        <v>0</v>
      </c>
      <c r="P8489" t="n">
        <v>0</v>
      </c>
      <c r="Q8489" t="n">
        <v>0</v>
      </c>
      <c r="R8489" s="2" t="inlineStr"/>
    </row>
    <row r="8490" ht="15" customHeight="1">
      <c r="A8490" t="inlineStr">
        <is>
          <t>A 53055-2024</t>
        </is>
      </c>
      <c r="B8490" s="1" t="n">
        <v>45611.46429398148</v>
      </c>
      <c r="C8490" s="1" t="n">
        <v>45952</v>
      </c>
      <c r="D8490" t="inlineStr">
        <is>
          <t>VÄSTRA GÖTALANDS LÄN</t>
        </is>
      </c>
      <c r="E8490" t="inlineStr">
        <is>
          <t>BOLLEBYGD</t>
        </is>
      </c>
      <c r="G8490" t="n">
        <v>1.9</v>
      </c>
      <c r="H8490" t="n">
        <v>0</v>
      </c>
      <c r="I8490" t="n">
        <v>0</v>
      </c>
      <c r="J8490" t="n">
        <v>0</v>
      </c>
      <c r="K8490" t="n">
        <v>0</v>
      </c>
      <c r="L8490" t="n">
        <v>0</v>
      </c>
      <c r="M8490" t="n">
        <v>0</v>
      </c>
      <c r="N8490" t="n">
        <v>0</v>
      </c>
      <c r="O8490" t="n">
        <v>0</v>
      </c>
      <c r="P8490" t="n">
        <v>0</v>
      </c>
      <c r="Q8490" t="n">
        <v>0</v>
      </c>
      <c r="R8490" s="2" t="inlineStr"/>
    </row>
    <row r="8491" ht="15" customHeight="1">
      <c r="A8491" t="inlineStr">
        <is>
          <t>A 13669-2023</t>
        </is>
      </c>
      <c r="B8491" s="1" t="n">
        <v>45006</v>
      </c>
      <c r="C8491" s="1" t="n">
        <v>45952</v>
      </c>
      <c r="D8491" t="inlineStr">
        <is>
          <t>VÄSTRA GÖTALANDS LÄN</t>
        </is>
      </c>
      <c r="E8491" t="inlineStr">
        <is>
          <t>SKÖVDE</t>
        </is>
      </c>
      <c r="G8491" t="n">
        <v>4</v>
      </c>
      <c r="H8491" t="n">
        <v>0</v>
      </c>
      <c r="I8491" t="n">
        <v>0</v>
      </c>
      <c r="J8491" t="n">
        <v>0</v>
      </c>
      <c r="K8491" t="n">
        <v>0</v>
      </c>
      <c r="L8491" t="n">
        <v>0</v>
      </c>
      <c r="M8491" t="n">
        <v>0</v>
      </c>
      <c r="N8491" t="n">
        <v>0</v>
      </c>
      <c r="O8491" t="n">
        <v>0</v>
      </c>
      <c r="P8491" t="n">
        <v>0</v>
      </c>
      <c r="Q8491" t="n">
        <v>0</v>
      </c>
      <c r="R8491" s="2" t="inlineStr"/>
    </row>
    <row r="8492" ht="15" customHeight="1">
      <c r="A8492" t="inlineStr">
        <is>
          <t>A 31947-2021</t>
        </is>
      </c>
      <c r="B8492" s="1" t="n">
        <v>44370</v>
      </c>
      <c r="C8492" s="1" t="n">
        <v>45952</v>
      </c>
      <c r="D8492" t="inlineStr">
        <is>
          <t>VÄSTRA GÖTALANDS LÄN</t>
        </is>
      </c>
      <c r="E8492" t="inlineStr">
        <is>
          <t>BENGTSFORS</t>
        </is>
      </c>
      <c r="G8492" t="n">
        <v>21.8</v>
      </c>
      <c r="H8492" t="n">
        <v>0</v>
      </c>
      <c r="I8492" t="n">
        <v>0</v>
      </c>
      <c r="J8492" t="n">
        <v>0</v>
      </c>
      <c r="K8492" t="n">
        <v>0</v>
      </c>
      <c r="L8492" t="n">
        <v>0</v>
      </c>
      <c r="M8492" t="n">
        <v>0</v>
      </c>
      <c r="N8492" t="n">
        <v>0</v>
      </c>
      <c r="O8492" t="n">
        <v>0</v>
      </c>
      <c r="P8492" t="n">
        <v>0</v>
      </c>
      <c r="Q8492" t="n">
        <v>0</v>
      </c>
      <c r="R8492" s="2" t="inlineStr"/>
    </row>
    <row r="8493" ht="15" customHeight="1">
      <c r="A8493" t="inlineStr">
        <is>
          <t>A 37774-2024</t>
        </is>
      </c>
      <c r="B8493" s="1" t="n">
        <v>45542.42212962963</v>
      </c>
      <c r="C8493" s="1" t="n">
        <v>45952</v>
      </c>
      <c r="D8493" t="inlineStr">
        <is>
          <t>VÄSTRA GÖTALANDS LÄN</t>
        </is>
      </c>
      <c r="E8493" t="inlineStr">
        <is>
          <t>ESSUNGA</t>
        </is>
      </c>
      <c r="G8493" t="n">
        <v>1.7</v>
      </c>
      <c r="H8493" t="n">
        <v>0</v>
      </c>
      <c r="I8493" t="n">
        <v>0</v>
      </c>
      <c r="J8493" t="n">
        <v>0</v>
      </c>
      <c r="K8493" t="n">
        <v>0</v>
      </c>
      <c r="L8493" t="n">
        <v>0</v>
      </c>
      <c r="M8493" t="n">
        <v>0</v>
      </c>
      <c r="N8493" t="n">
        <v>0</v>
      </c>
      <c r="O8493" t="n">
        <v>0</v>
      </c>
      <c r="P8493" t="n">
        <v>0</v>
      </c>
      <c r="Q8493" t="n">
        <v>0</v>
      </c>
      <c r="R8493" s="2" t="inlineStr"/>
    </row>
    <row r="8494" ht="15" customHeight="1">
      <c r="A8494" t="inlineStr">
        <is>
          <t>A 34671-2024</t>
        </is>
      </c>
      <c r="B8494" s="1" t="n">
        <v>45526.52795138889</v>
      </c>
      <c r="C8494" s="1" t="n">
        <v>45952</v>
      </c>
      <c r="D8494" t="inlineStr">
        <is>
          <t>VÄSTRA GÖTALANDS LÄN</t>
        </is>
      </c>
      <c r="E8494" t="inlineStr">
        <is>
          <t>HERRLJUNGA</t>
        </is>
      </c>
      <c r="G8494" t="n">
        <v>0.5</v>
      </c>
      <c r="H8494" t="n">
        <v>0</v>
      </c>
      <c r="I8494" t="n">
        <v>0</v>
      </c>
      <c r="J8494" t="n">
        <v>0</v>
      </c>
      <c r="K8494" t="n">
        <v>0</v>
      </c>
      <c r="L8494" t="n">
        <v>0</v>
      </c>
      <c r="M8494" t="n">
        <v>0</v>
      </c>
      <c r="N8494" t="n">
        <v>0</v>
      </c>
      <c r="O8494" t="n">
        <v>0</v>
      </c>
      <c r="P8494" t="n">
        <v>0</v>
      </c>
      <c r="Q8494" t="n">
        <v>0</v>
      </c>
      <c r="R8494" s="2" t="inlineStr"/>
    </row>
    <row r="8495" ht="15" customHeight="1">
      <c r="A8495" t="inlineStr">
        <is>
          <t>A 59988-2024</t>
        </is>
      </c>
      <c r="B8495" s="1" t="n">
        <v>45642.39239583333</v>
      </c>
      <c r="C8495" s="1" t="n">
        <v>45952</v>
      </c>
      <c r="D8495" t="inlineStr">
        <is>
          <t>VÄSTRA GÖTALANDS LÄN</t>
        </is>
      </c>
      <c r="E8495" t="inlineStr">
        <is>
          <t>HJO</t>
        </is>
      </c>
      <c r="G8495" t="n">
        <v>2.8</v>
      </c>
      <c r="H8495" t="n">
        <v>0</v>
      </c>
      <c r="I8495" t="n">
        <v>0</v>
      </c>
      <c r="J8495" t="n">
        <v>0</v>
      </c>
      <c r="K8495" t="n">
        <v>0</v>
      </c>
      <c r="L8495" t="n">
        <v>0</v>
      </c>
      <c r="M8495" t="n">
        <v>0</v>
      </c>
      <c r="N8495" t="n">
        <v>0</v>
      </c>
      <c r="O8495" t="n">
        <v>0</v>
      </c>
      <c r="P8495" t="n">
        <v>0</v>
      </c>
      <c r="Q8495" t="n">
        <v>0</v>
      </c>
      <c r="R8495" s="2" t="inlineStr"/>
    </row>
    <row r="8496" ht="15" customHeight="1">
      <c r="A8496" t="inlineStr">
        <is>
          <t>A 25109-2022</t>
        </is>
      </c>
      <c r="B8496" s="1" t="n">
        <v>44729.45575231482</v>
      </c>
      <c r="C8496" s="1" t="n">
        <v>45952</v>
      </c>
      <c r="D8496" t="inlineStr">
        <is>
          <t>VÄSTRA GÖTALANDS LÄN</t>
        </is>
      </c>
      <c r="E8496" t="inlineStr">
        <is>
          <t>MELLERUD</t>
        </is>
      </c>
      <c r="G8496" t="n">
        <v>0.8</v>
      </c>
      <c r="H8496" t="n">
        <v>0</v>
      </c>
      <c r="I8496" t="n">
        <v>0</v>
      </c>
      <c r="J8496" t="n">
        <v>0</v>
      </c>
      <c r="K8496" t="n">
        <v>0</v>
      </c>
      <c r="L8496" t="n">
        <v>0</v>
      </c>
      <c r="M8496" t="n">
        <v>0</v>
      </c>
      <c r="N8496" t="n">
        <v>0</v>
      </c>
      <c r="O8496" t="n">
        <v>0</v>
      </c>
      <c r="P8496" t="n">
        <v>0</v>
      </c>
      <c r="Q8496" t="n">
        <v>0</v>
      </c>
      <c r="R8496" s="2" t="inlineStr"/>
    </row>
    <row r="8497" ht="15" customHeight="1">
      <c r="A8497" t="inlineStr">
        <is>
          <t>A 22894-2021</t>
        </is>
      </c>
      <c r="B8497" s="1" t="n">
        <v>44328.47186342593</v>
      </c>
      <c r="C8497" s="1" t="n">
        <v>45952</v>
      </c>
      <c r="D8497" t="inlineStr">
        <is>
          <t>VÄSTRA GÖTALANDS LÄN</t>
        </is>
      </c>
      <c r="E8497" t="inlineStr">
        <is>
          <t>TÖREBODA</t>
        </is>
      </c>
      <c r="F8497" t="inlineStr">
        <is>
          <t>Sveaskog</t>
        </is>
      </c>
      <c r="G8497" t="n">
        <v>2.3</v>
      </c>
      <c r="H8497" t="n">
        <v>0</v>
      </c>
      <c r="I8497" t="n">
        <v>0</v>
      </c>
      <c r="J8497" t="n">
        <v>0</v>
      </c>
      <c r="K8497" t="n">
        <v>0</v>
      </c>
      <c r="L8497" t="n">
        <v>0</v>
      </c>
      <c r="M8497" t="n">
        <v>0</v>
      </c>
      <c r="N8497" t="n">
        <v>0</v>
      </c>
      <c r="O8497" t="n">
        <v>0</v>
      </c>
      <c r="P8497" t="n">
        <v>0</v>
      </c>
      <c r="Q8497" t="n">
        <v>0</v>
      </c>
      <c r="R8497" s="2" t="inlineStr"/>
    </row>
    <row r="8498" ht="15" customHeight="1">
      <c r="A8498" t="inlineStr">
        <is>
          <t>A 24429-2025</t>
        </is>
      </c>
      <c r="B8498" s="1" t="n">
        <v>45797</v>
      </c>
      <c r="C8498" s="1" t="n">
        <v>45952</v>
      </c>
      <c r="D8498" t="inlineStr">
        <is>
          <t>VÄSTRA GÖTALANDS LÄN</t>
        </is>
      </c>
      <c r="E8498" t="inlineStr">
        <is>
          <t>SKARA</t>
        </is>
      </c>
      <c r="F8498" t="inlineStr">
        <is>
          <t>Kyrkan</t>
        </is>
      </c>
      <c r="G8498" t="n">
        <v>0.9</v>
      </c>
      <c r="H8498" t="n">
        <v>0</v>
      </c>
      <c r="I8498" t="n">
        <v>0</v>
      </c>
      <c r="J8498" t="n">
        <v>0</v>
      </c>
      <c r="K8498" t="n">
        <v>0</v>
      </c>
      <c r="L8498" t="n">
        <v>0</v>
      </c>
      <c r="M8498" t="n">
        <v>0</v>
      </c>
      <c r="N8498" t="n">
        <v>0</v>
      </c>
      <c r="O8498" t="n">
        <v>0</v>
      </c>
      <c r="P8498" t="n">
        <v>0</v>
      </c>
      <c r="Q8498" t="n">
        <v>0</v>
      </c>
      <c r="R8498" s="2" t="inlineStr"/>
    </row>
    <row r="8499" ht="15" customHeight="1">
      <c r="A8499" t="inlineStr">
        <is>
          <t>A 38878-2025</t>
        </is>
      </c>
      <c r="B8499" s="1" t="n">
        <v>45884</v>
      </c>
      <c r="C8499" s="1" t="n">
        <v>45952</v>
      </c>
      <c r="D8499" t="inlineStr">
        <is>
          <t>VÄSTRA GÖTALANDS LÄN</t>
        </is>
      </c>
      <c r="E8499" t="inlineStr">
        <is>
          <t>ÅMÅL</t>
        </is>
      </c>
      <c r="F8499" t="inlineStr">
        <is>
          <t>Bergvik skog väst AB</t>
        </is>
      </c>
      <c r="G8499" t="n">
        <v>7.5</v>
      </c>
      <c r="H8499" t="n">
        <v>0</v>
      </c>
      <c r="I8499" t="n">
        <v>0</v>
      </c>
      <c r="J8499" t="n">
        <v>0</v>
      </c>
      <c r="K8499" t="n">
        <v>0</v>
      </c>
      <c r="L8499" t="n">
        <v>0</v>
      </c>
      <c r="M8499" t="n">
        <v>0</v>
      </c>
      <c r="N8499" t="n">
        <v>0</v>
      </c>
      <c r="O8499" t="n">
        <v>0</v>
      </c>
      <c r="P8499" t="n">
        <v>0</v>
      </c>
      <c r="Q8499" t="n">
        <v>0</v>
      </c>
      <c r="R8499" s="2" t="inlineStr"/>
    </row>
    <row r="8500" ht="15" customHeight="1">
      <c r="A8500" t="inlineStr">
        <is>
          <t>A 39351-2025</t>
        </is>
      </c>
      <c r="B8500" s="1" t="n">
        <v>45889.54530092593</v>
      </c>
      <c r="C8500" s="1" t="n">
        <v>45952</v>
      </c>
      <c r="D8500" t="inlineStr">
        <is>
          <t>VÄSTRA GÖTALANDS LÄN</t>
        </is>
      </c>
      <c r="E8500" t="inlineStr">
        <is>
          <t>TANUM</t>
        </is>
      </c>
      <c r="G8500" t="n">
        <v>1.4</v>
      </c>
      <c r="H8500" t="n">
        <v>0</v>
      </c>
      <c r="I8500" t="n">
        <v>0</v>
      </c>
      <c r="J8500" t="n">
        <v>0</v>
      </c>
      <c r="K8500" t="n">
        <v>0</v>
      </c>
      <c r="L8500" t="n">
        <v>0</v>
      </c>
      <c r="M8500" t="n">
        <v>0</v>
      </c>
      <c r="N8500" t="n">
        <v>0</v>
      </c>
      <c r="O8500" t="n">
        <v>0</v>
      </c>
      <c r="P8500" t="n">
        <v>0</v>
      </c>
      <c r="Q8500" t="n">
        <v>0</v>
      </c>
      <c r="R8500" s="2" t="inlineStr"/>
    </row>
    <row r="8501" ht="15" customHeight="1">
      <c r="A8501" t="inlineStr">
        <is>
          <t>A 39372-2025</t>
        </is>
      </c>
      <c r="B8501" s="1" t="n">
        <v>45889.58609953704</v>
      </c>
      <c r="C8501" s="1" t="n">
        <v>45952</v>
      </c>
      <c r="D8501" t="inlineStr">
        <is>
          <t>VÄSTRA GÖTALANDS LÄN</t>
        </is>
      </c>
      <c r="E8501" t="inlineStr">
        <is>
          <t>VÅRGÅRDA</t>
        </is>
      </c>
      <c r="G8501" t="n">
        <v>1.1</v>
      </c>
      <c r="H8501" t="n">
        <v>0</v>
      </c>
      <c r="I8501" t="n">
        <v>0</v>
      </c>
      <c r="J8501" t="n">
        <v>0</v>
      </c>
      <c r="K8501" t="n">
        <v>0</v>
      </c>
      <c r="L8501" t="n">
        <v>0</v>
      </c>
      <c r="M8501" t="n">
        <v>0</v>
      </c>
      <c r="N8501" t="n">
        <v>0</v>
      </c>
      <c r="O8501" t="n">
        <v>0</v>
      </c>
      <c r="P8501" t="n">
        <v>0</v>
      </c>
      <c r="Q8501" t="n">
        <v>0</v>
      </c>
      <c r="R8501" s="2" t="inlineStr"/>
    </row>
    <row r="8502" ht="15" customHeight="1">
      <c r="A8502" t="inlineStr">
        <is>
          <t>A 46837-2023</t>
        </is>
      </c>
      <c r="B8502" s="1" t="n">
        <v>45199.41509259259</v>
      </c>
      <c r="C8502" s="1" t="n">
        <v>45952</v>
      </c>
      <c r="D8502" t="inlineStr">
        <is>
          <t>VÄSTRA GÖTALANDS LÄN</t>
        </is>
      </c>
      <c r="E8502" t="inlineStr">
        <is>
          <t>ULRICEHAMN</t>
        </is>
      </c>
      <c r="G8502" t="n">
        <v>5.5</v>
      </c>
      <c r="H8502" t="n">
        <v>0</v>
      </c>
      <c r="I8502" t="n">
        <v>0</v>
      </c>
      <c r="J8502" t="n">
        <v>0</v>
      </c>
      <c r="K8502" t="n">
        <v>0</v>
      </c>
      <c r="L8502" t="n">
        <v>0</v>
      </c>
      <c r="M8502" t="n">
        <v>0</v>
      </c>
      <c r="N8502" t="n">
        <v>0</v>
      </c>
      <c r="O8502" t="n">
        <v>0</v>
      </c>
      <c r="P8502" t="n">
        <v>0</v>
      </c>
      <c r="Q8502" t="n">
        <v>0</v>
      </c>
      <c r="R8502" s="2" t="inlineStr"/>
    </row>
    <row r="8503" ht="15" customHeight="1">
      <c r="A8503" t="inlineStr">
        <is>
          <t>A 39388-2025</t>
        </is>
      </c>
      <c r="B8503" s="1" t="n">
        <v>45889.61847222222</v>
      </c>
      <c r="C8503" s="1" t="n">
        <v>45952</v>
      </c>
      <c r="D8503" t="inlineStr">
        <is>
          <t>VÄSTRA GÖTALANDS LÄN</t>
        </is>
      </c>
      <c r="E8503" t="inlineStr">
        <is>
          <t>HERRLJUNGA</t>
        </is>
      </c>
      <c r="G8503" t="n">
        <v>1.8</v>
      </c>
      <c r="H8503" t="n">
        <v>0</v>
      </c>
      <c r="I8503" t="n">
        <v>0</v>
      </c>
      <c r="J8503" t="n">
        <v>0</v>
      </c>
      <c r="K8503" t="n">
        <v>0</v>
      </c>
      <c r="L8503" t="n">
        <v>0</v>
      </c>
      <c r="M8503" t="n">
        <v>0</v>
      </c>
      <c r="N8503" t="n">
        <v>0</v>
      </c>
      <c r="O8503" t="n">
        <v>0</v>
      </c>
      <c r="P8503" t="n">
        <v>0</v>
      </c>
      <c r="Q8503" t="n">
        <v>0</v>
      </c>
      <c r="R8503" s="2" t="inlineStr"/>
    </row>
    <row r="8504" ht="15" customHeight="1">
      <c r="A8504" t="inlineStr">
        <is>
          <t>A 39395-2025</t>
        </is>
      </c>
      <c r="B8504" s="1" t="n">
        <v>45889.63163194444</v>
      </c>
      <c r="C8504" s="1" t="n">
        <v>45952</v>
      </c>
      <c r="D8504" t="inlineStr">
        <is>
          <t>VÄSTRA GÖTALANDS LÄN</t>
        </is>
      </c>
      <c r="E8504" t="inlineStr">
        <is>
          <t>UDDEVALLA</t>
        </is>
      </c>
      <c r="G8504" t="n">
        <v>1.1</v>
      </c>
      <c r="H8504" t="n">
        <v>0</v>
      </c>
      <c r="I8504" t="n">
        <v>0</v>
      </c>
      <c r="J8504" t="n">
        <v>0</v>
      </c>
      <c r="K8504" t="n">
        <v>0</v>
      </c>
      <c r="L8504" t="n">
        <v>0</v>
      </c>
      <c r="M8504" t="n">
        <v>0</v>
      </c>
      <c r="N8504" t="n">
        <v>0</v>
      </c>
      <c r="O8504" t="n">
        <v>0</v>
      </c>
      <c r="P8504" t="n">
        <v>0</v>
      </c>
      <c r="Q8504" t="n">
        <v>0</v>
      </c>
      <c r="R8504" s="2" t="inlineStr"/>
    </row>
    <row r="8505" ht="15" customHeight="1">
      <c r="A8505" t="inlineStr">
        <is>
          <t>A 39416-2025</t>
        </is>
      </c>
      <c r="B8505" s="1" t="n">
        <v>45889</v>
      </c>
      <c r="C8505" s="1" t="n">
        <v>45952</v>
      </c>
      <c r="D8505" t="inlineStr">
        <is>
          <t>VÄSTRA GÖTALANDS LÄN</t>
        </is>
      </c>
      <c r="E8505" t="inlineStr">
        <is>
          <t>VÅRGÅRDA</t>
        </is>
      </c>
      <c r="G8505" t="n">
        <v>3.8</v>
      </c>
      <c r="H8505" t="n">
        <v>0</v>
      </c>
      <c r="I8505" t="n">
        <v>0</v>
      </c>
      <c r="J8505" t="n">
        <v>0</v>
      </c>
      <c r="K8505" t="n">
        <v>0</v>
      </c>
      <c r="L8505" t="n">
        <v>0</v>
      </c>
      <c r="M8505" t="n">
        <v>0</v>
      </c>
      <c r="N8505" t="n">
        <v>0</v>
      </c>
      <c r="O8505" t="n">
        <v>0</v>
      </c>
      <c r="P8505" t="n">
        <v>0</v>
      </c>
      <c r="Q8505" t="n">
        <v>0</v>
      </c>
      <c r="R8505" s="2" t="inlineStr"/>
    </row>
    <row r="8506" ht="15" customHeight="1">
      <c r="A8506" t="inlineStr">
        <is>
          <t>A 9088-2025</t>
        </is>
      </c>
      <c r="B8506" s="1" t="n">
        <v>45713</v>
      </c>
      <c r="C8506" s="1" t="n">
        <v>45952</v>
      </c>
      <c r="D8506" t="inlineStr">
        <is>
          <t>VÄSTRA GÖTALANDS LÄN</t>
        </is>
      </c>
      <c r="E8506" t="inlineStr">
        <is>
          <t>BORÅS</t>
        </is>
      </c>
      <c r="F8506" t="inlineStr">
        <is>
          <t>Kommuner</t>
        </is>
      </c>
      <c r="G8506" t="n">
        <v>2.7</v>
      </c>
      <c r="H8506" t="n">
        <v>0</v>
      </c>
      <c r="I8506" t="n">
        <v>0</v>
      </c>
      <c r="J8506" t="n">
        <v>0</v>
      </c>
      <c r="K8506" t="n">
        <v>0</v>
      </c>
      <c r="L8506" t="n">
        <v>0</v>
      </c>
      <c r="M8506" t="n">
        <v>0</v>
      </c>
      <c r="N8506" t="n">
        <v>0</v>
      </c>
      <c r="O8506" t="n">
        <v>0</v>
      </c>
      <c r="P8506" t="n">
        <v>0</v>
      </c>
      <c r="Q8506" t="n">
        <v>0</v>
      </c>
      <c r="R8506" s="2" t="inlineStr"/>
    </row>
    <row r="8507" ht="15" customHeight="1">
      <c r="A8507" t="inlineStr">
        <is>
          <t>A 39122-2025</t>
        </is>
      </c>
      <c r="B8507" s="1" t="n">
        <v>45888.57143518519</v>
      </c>
      <c r="C8507" s="1" t="n">
        <v>45952</v>
      </c>
      <c r="D8507" t="inlineStr">
        <is>
          <t>VÄSTRA GÖTALANDS LÄN</t>
        </is>
      </c>
      <c r="E8507" t="inlineStr">
        <is>
          <t>MARK</t>
        </is>
      </c>
      <c r="G8507" t="n">
        <v>4</v>
      </c>
      <c r="H8507" t="n">
        <v>0</v>
      </c>
      <c r="I8507" t="n">
        <v>0</v>
      </c>
      <c r="J8507" t="n">
        <v>0</v>
      </c>
      <c r="K8507" t="n">
        <v>0</v>
      </c>
      <c r="L8507" t="n">
        <v>0</v>
      </c>
      <c r="M8507" t="n">
        <v>0</v>
      </c>
      <c r="N8507" t="n">
        <v>0</v>
      </c>
      <c r="O8507" t="n">
        <v>0</v>
      </c>
      <c r="P8507" t="n">
        <v>0</v>
      </c>
      <c r="Q8507" t="n">
        <v>0</v>
      </c>
      <c r="R8507" s="2" t="inlineStr"/>
    </row>
    <row r="8508" ht="15" customHeight="1">
      <c r="A8508" t="inlineStr">
        <is>
          <t>A 10728-2023</t>
        </is>
      </c>
      <c r="B8508" s="1" t="n">
        <v>44988.67260416667</v>
      </c>
      <c r="C8508" s="1" t="n">
        <v>45952</v>
      </c>
      <c r="D8508" t="inlineStr">
        <is>
          <t>VÄSTRA GÖTALANDS LÄN</t>
        </is>
      </c>
      <c r="E8508" t="inlineStr">
        <is>
          <t>VARA</t>
        </is>
      </c>
      <c r="G8508" t="n">
        <v>1</v>
      </c>
      <c r="H8508" t="n">
        <v>0</v>
      </c>
      <c r="I8508" t="n">
        <v>0</v>
      </c>
      <c r="J8508" t="n">
        <v>0</v>
      </c>
      <c r="K8508" t="n">
        <v>0</v>
      </c>
      <c r="L8508" t="n">
        <v>0</v>
      </c>
      <c r="M8508" t="n">
        <v>0</v>
      </c>
      <c r="N8508" t="n">
        <v>0</v>
      </c>
      <c r="O8508" t="n">
        <v>0</v>
      </c>
      <c r="P8508" t="n">
        <v>0</v>
      </c>
      <c r="Q8508" t="n">
        <v>0</v>
      </c>
      <c r="R8508" s="2" t="inlineStr"/>
    </row>
    <row r="8509" ht="15" customHeight="1">
      <c r="A8509" t="inlineStr">
        <is>
          <t>A 33118-2023</t>
        </is>
      </c>
      <c r="B8509" s="1" t="n">
        <v>45126.59351851852</v>
      </c>
      <c r="C8509" s="1" t="n">
        <v>45952</v>
      </c>
      <c r="D8509" t="inlineStr">
        <is>
          <t>VÄSTRA GÖTALANDS LÄN</t>
        </is>
      </c>
      <c r="E8509" t="inlineStr">
        <is>
          <t>STRÖMSTAD</t>
        </is>
      </c>
      <c r="G8509" t="n">
        <v>0.7</v>
      </c>
      <c r="H8509" t="n">
        <v>0</v>
      </c>
      <c r="I8509" t="n">
        <v>0</v>
      </c>
      <c r="J8509" t="n">
        <v>0</v>
      </c>
      <c r="K8509" t="n">
        <v>0</v>
      </c>
      <c r="L8509" t="n">
        <v>0</v>
      </c>
      <c r="M8509" t="n">
        <v>0</v>
      </c>
      <c r="N8509" t="n">
        <v>0</v>
      </c>
      <c r="O8509" t="n">
        <v>0</v>
      </c>
      <c r="P8509" t="n">
        <v>0</v>
      </c>
      <c r="Q8509" t="n">
        <v>0</v>
      </c>
      <c r="R8509" s="2" t="inlineStr"/>
    </row>
    <row r="8510" ht="15" customHeight="1">
      <c r="A8510" t="inlineStr">
        <is>
          <t>A 42777-2024</t>
        </is>
      </c>
      <c r="B8510" s="1" t="n">
        <v>45566.51762731482</v>
      </c>
      <c r="C8510" s="1" t="n">
        <v>45952</v>
      </c>
      <c r="D8510" t="inlineStr">
        <is>
          <t>VÄSTRA GÖTALANDS LÄN</t>
        </is>
      </c>
      <c r="E8510" t="inlineStr">
        <is>
          <t>DALS-ED</t>
        </is>
      </c>
      <c r="G8510" t="n">
        <v>9.4</v>
      </c>
      <c r="H8510" t="n">
        <v>0</v>
      </c>
      <c r="I8510" t="n">
        <v>0</v>
      </c>
      <c r="J8510" t="n">
        <v>0</v>
      </c>
      <c r="K8510" t="n">
        <v>0</v>
      </c>
      <c r="L8510" t="n">
        <v>0</v>
      </c>
      <c r="M8510" t="n">
        <v>0</v>
      </c>
      <c r="N8510" t="n">
        <v>0</v>
      </c>
      <c r="O8510" t="n">
        <v>0</v>
      </c>
      <c r="P8510" t="n">
        <v>0</v>
      </c>
      <c r="Q8510" t="n">
        <v>0</v>
      </c>
      <c r="R8510" s="2" t="inlineStr"/>
    </row>
    <row r="8511" ht="15" customHeight="1">
      <c r="A8511" t="inlineStr">
        <is>
          <t>A 42795-2024</t>
        </is>
      </c>
      <c r="B8511" s="1" t="n">
        <v>45566.5515625</v>
      </c>
      <c r="C8511" s="1" t="n">
        <v>45952</v>
      </c>
      <c r="D8511" t="inlineStr">
        <is>
          <t>VÄSTRA GÖTALANDS LÄN</t>
        </is>
      </c>
      <c r="E8511" t="inlineStr">
        <is>
          <t>TANUM</t>
        </is>
      </c>
      <c r="G8511" t="n">
        <v>3.9</v>
      </c>
      <c r="H8511" t="n">
        <v>0</v>
      </c>
      <c r="I8511" t="n">
        <v>0</v>
      </c>
      <c r="J8511" t="n">
        <v>0</v>
      </c>
      <c r="K8511" t="n">
        <v>0</v>
      </c>
      <c r="L8511" t="n">
        <v>0</v>
      </c>
      <c r="M8511" t="n">
        <v>0</v>
      </c>
      <c r="N8511" t="n">
        <v>0</v>
      </c>
      <c r="O8511" t="n">
        <v>0</v>
      </c>
      <c r="P8511" t="n">
        <v>0</v>
      </c>
      <c r="Q8511" t="n">
        <v>0</v>
      </c>
      <c r="R8511" s="2" t="inlineStr"/>
    </row>
    <row r="8512" ht="15" customHeight="1">
      <c r="A8512" t="inlineStr">
        <is>
          <t>A 57227-2022</t>
        </is>
      </c>
      <c r="B8512" s="1" t="n">
        <v>44895</v>
      </c>
      <c r="C8512" s="1" t="n">
        <v>45952</v>
      </c>
      <c r="D8512" t="inlineStr">
        <is>
          <t>VÄSTRA GÖTALANDS LÄN</t>
        </is>
      </c>
      <c r="E8512" t="inlineStr">
        <is>
          <t>SVENLJUNGA</t>
        </is>
      </c>
      <c r="G8512" t="n">
        <v>3.7</v>
      </c>
      <c r="H8512" t="n">
        <v>0</v>
      </c>
      <c r="I8512" t="n">
        <v>0</v>
      </c>
      <c r="J8512" t="n">
        <v>0</v>
      </c>
      <c r="K8512" t="n">
        <v>0</v>
      </c>
      <c r="L8512" t="n">
        <v>0</v>
      </c>
      <c r="M8512" t="n">
        <v>0</v>
      </c>
      <c r="N8512" t="n">
        <v>0</v>
      </c>
      <c r="O8512" t="n">
        <v>0</v>
      </c>
      <c r="P8512" t="n">
        <v>0</v>
      </c>
      <c r="Q8512" t="n">
        <v>0</v>
      </c>
      <c r="R8512" s="2" t="inlineStr"/>
    </row>
    <row r="8513" ht="15" customHeight="1">
      <c r="A8513" t="inlineStr">
        <is>
          <t>A 18581-2025</t>
        </is>
      </c>
      <c r="B8513" s="1" t="n">
        <v>45763.46733796296</v>
      </c>
      <c r="C8513" s="1" t="n">
        <v>45952</v>
      </c>
      <c r="D8513" t="inlineStr">
        <is>
          <t>VÄSTRA GÖTALANDS LÄN</t>
        </is>
      </c>
      <c r="E8513" t="inlineStr">
        <is>
          <t>MARK</t>
        </is>
      </c>
      <c r="G8513" t="n">
        <v>5.2</v>
      </c>
      <c r="H8513" t="n">
        <v>0</v>
      </c>
      <c r="I8513" t="n">
        <v>0</v>
      </c>
      <c r="J8513" t="n">
        <v>0</v>
      </c>
      <c r="K8513" t="n">
        <v>0</v>
      </c>
      <c r="L8513" t="n">
        <v>0</v>
      </c>
      <c r="M8513" t="n">
        <v>0</v>
      </c>
      <c r="N8513" t="n">
        <v>0</v>
      </c>
      <c r="O8513" t="n">
        <v>0</v>
      </c>
      <c r="P8513" t="n">
        <v>0</v>
      </c>
      <c r="Q8513" t="n">
        <v>0</v>
      </c>
      <c r="R8513" s="2" t="inlineStr"/>
    </row>
    <row r="8514" ht="15" customHeight="1">
      <c r="A8514" t="inlineStr">
        <is>
          <t>A 18597-2025</t>
        </is>
      </c>
      <c r="B8514" s="1" t="n">
        <v>45763.48828703703</v>
      </c>
      <c r="C8514" s="1" t="n">
        <v>45952</v>
      </c>
      <c r="D8514" t="inlineStr">
        <is>
          <t>VÄSTRA GÖTALANDS LÄN</t>
        </is>
      </c>
      <c r="E8514" t="inlineStr">
        <is>
          <t>TROLLHÄTTAN</t>
        </is>
      </c>
      <c r="G8514" t="n">
        <v>1.5</v>
      </c>
      <c r="H8514" t="n">
        <v>0</v>
      </c>
      <c r="I8514" t="n">
        <v>0</v>
      </c>
      <c r="J8514" t="n">
        <v>0</v>
      </c>
      <c r="K8514" t="n">
        <v>0</v>
      </c>
      <c r="L8514" t="n">
        <v>0</v>
      </c>
      <c r="M8514" t="n">
        <v>0</v>
      </c>
      <c r="N8514" t="n">
        <v>0</v>
      </c>
      <c r="O8514" t="n">
        <v>0</v>
      </c>
      <c r="P8514" t="n">
        <v>0</v>
      </c>
      <c r="Q8514" t="n">
        <v>0</v>
      </c>
      <c r="R8514" s="2" t="inlineStr"/>
    </row>
    <row r="8515" ht="15" customHeight="1">
      <c r="A8515" t="inlineStr">
        <is>
          <t>A 18606-2025</t>
        </is>
      </c>
      <c r="B8515" s="1" t="n">
        <v>45763.49371527778</v>
      </c>
      <c r="C8515" s="1" t="n">
        <v>45952</v>
      </c>
      <c r="D8515" t="inlineStr">
        <is>
          <t>VÄSTRA GÖTALANDS LÄN</t>
        </is>
      </c>
      <c r="E8515" t="inlineStr">
        <is>
          <t>SKARA</t>
        </is>
      </c>
      <c r="G8515" t="n">
        <v>2.9</v>
      </c>
      <c r="H8515" t="n">
        <v>0</v>
      </c>
      <c r="I8515" t="n">
        <v>0</v>
      </c>
      <c r="J8515" t="n">
        <v>0</v>
      </c>
      <c r="K8515" t="n">
        <v>0</v>
      </c>
      <c r="L8515" t="n">
        <v>0</v>
      </c>
      <c r="M8515" t="n">
        <v>0</v>
      </c>
      <c r="N8515" t="n">
        <v>0</v>
      </c>
      <c r="O8515" t="n">
        <v>0</v>
      </c>
      <c r="P8515" t="n">
        <v>0</v>
      </c>
      <c r="Q8515" t="n">
        <v>0</v>
      </c>
      <c r="R8515" s="2" t="inlineStr"/>
    </row>
    <row r="8516" ht="15" customHeight="1">
      <c r="A8516" t="inlineStr">
        <is>
          <t>A 61059-2023</t>
        </is>
      </c>
      <c r="B8516" s="1" t="n">
        <v>45260</v>
      </c>
      <c r="C8516" s="1" t="n">
        <v>45952</v>
      </c>
      <c r="D8516" t="inlineStr">
        <is>
          <t>VÄSTRA GÖTALANDS LÄN</t>
        </is>
      </c>
      <c r="E8516" t="inlineStr">
        <is>
          <t>MARK</t>
        </is>
      </c>
      <c r="G8516" t="n">
        <v>1.1</v>
      </c>
      <c r="H8516" t="n">
        <v>0</v>
      </c>
      <c r="I8516" t="n">
        <v>0</v>
      </c>
      <c r="J8516" t="n">
        <v>0</v>
      </c>
      <c r="K8516" t="n">
        <v>0</v>
      </c>
      <c r="L8516" t="n">
        <v>0</v>
      </c>
      <c r="M8516" t="n">
        <v>0</v>
      </c>
      <c r="N8516" t="n">
        <v>0</v>
      </c>
      <c r="O8516" t="n">
        <v>0</v>
      </c>
      <c r="P8516" t="n">
        <v>0</v>
      </c>
      <c r="Q8516" t="n">
        <v>0</v>
      </c>
      <c r="R8516" s="2" t="inlineStr"/>
    </row>
    <row r="8517" ht="15" customHeight="1">
      <c r="A8517" t="inlineStr">
        <is>
          <t>A 51763-2021</t>
        </is>
      </c>
      <c r="B8517" s="1" t="n">
        <v>44462</v>
      </c>
      <c r="C8517" s="1" t="n">
        <v>45952</v>
      </c>
      <c r="D8517" t="inlineStr">
        <is>
          <t>VÄSTRA GÖTALANDS LÄN</t>
        </is>
      </c>
      <c r="E8517" t="inlineStr">
        <is>
          <t>TRANEMO</t>
        </is>
      </c>
      <c r="G8517" t="n">
        <v>3.5</v>
      </c>
      <c r="H8517" t="n">
        <v>0</v>
      </c>
      <c r="I8517" t="n">
        <v>0</v>
      </c>
      <c r="J8517" t="n">
        <v>0</v>
      </c>
      <c r="K8517" t="n">
        <v>0</v>
      </c>
      <c r="L8517" t="n">
        <v>0</v>
      </c>
      <c r="M8517" t="n">
        <v>0</v>
      </c>
      <c r="N8517" t="n">
        <v>0</v>
      </c>
      <c r="O8517" t="n">
        <v>0</v>
      </c>
      <c r="P8517" t="n">
        <v>0</v>
      </c>
      <c r="Q8517" t="n">
        <v>0</v>
      </c>
      <c r="R8517" s="2" t="inlineStr"/>
    </row>
    <row r="8518" ht="15" customHeight="1">
      <c r="A8518" t="inlineStr">
        <is>
          <t>A 19256-2023</t>
        </is>
      </c>
      <c r="B8518" s="1" t="n">
        <v>45049</v>
      </c>
      <c r="C8518" s="1" t="n">
        <v>45952</v>
      </c>
      <c r="D8518" t="inlineStr">
        <is>
          <t>VÄSTRA GÖTALANDS LÄN</t>
        </is>
      </c>
      <c r="E8518" t="inlineStr">
        <is>
          <t>TÖREBODA</t>
        </is>
      </c>
      <c r="G8518" t="n">
        <v>1.4</v>
      </c>
      <c r="H8518" t="n">
        <v>0</v>
      </c>
      <c r="I8518" t="n">
        <v>0</v>
      </c>
      <c r="J8518" t="n">
        <v>0</v>
      </c>
      <c r="K8518" t="n">
        <v>0</v>
      </c>
      <c r="L8518" t="n">
        <v>0</v>
      </c>
      <c r="M8518" t="n">
        <v>0</v>
      </c>
      <c r="N8518" t="n">
        <v>0</v>
      </c>
      <c r="O8518" t="n">
        <v>0</v>
      </c>
      <c r="P8518" t="n">
        <v>0</v>
      </c>
      <c r="Q8518" t="n">
        <v>0</v>
      </c>
      <c r="R8518" s="2" t="inlineStr"/>
    </row>
    <row r="8519" ht="15" customHeight="1">
      <c r="A8519" t="inlineStr">
        <is>
          <t>A 16267-2025</t>
        </is>
      </c>
      <c r="B8519" s="1" t="n">
        <v>45750.82100694445</v>
      </c>
      <c r="C8519" s="1" t="n">
        <v>45952</v>
      </c>
      <c r="D8519" t="inlineStr">
        <is>
          <t>VÄSTRA GÖTALANDS LÄN</t>
        </is>
      </c>
      <c r="E8519" t="inlineStr">
        <is>
          <t>TÖREBODA</t>
        </is>
      </c>
      <c r="G8519" t="n">
        <v>0.5</v>
      </c>
      <c r="H8519" t="n">
        <v>0</v>
      </c>
      <c r="I8519" t="n">
        <v>0</v>
      </c>
      <c r="J8519" t="n">
        <v>0</v>
      </c>
      <c r="K8519" t="n">
        <v>0</v>
      </c>
      <c r="L8519" t="n">
        <v>0</v>
      </c>
      <c r="M8519" t="n">
        <v>0</v>
      </c>
      <c r="N8519" t="n">
        <v>0</v>
      </c>
      <c r="O8519" t="n">
        <v>0</v>
      </c>
      <c r="P8519" t="n">
        <v>0</v>
      </c>
      <c r="Q8519" t="n">
        <v>0</v>
      </c>
      <c r="R8519" s="2" t="inlineStr"/>
    </row>
    <row r="8520" ht="15" customHeight="1">
      <c r="A8520" t="inlineStr">
        <is>
          <t>A 16280-2025</t>
        </is>
      </c>
      <c r="B8520" s="1" t="n">
        <v>45751.28666666667</v>
      </c>
      <c r="C8520" s="1" t="n">
        <v>45952</v>
      </c>
      <c r="D8520" t="inlineStr">
        <is>
          <t>VÄSTRA GÖTALANDS LÄN</t>
        </is>
      </c>
      <c r="E8520" t="inlineStr">
        <is>
          <t>VÅRGÅRDA</t>
        </is>
      </c>
      <c r="F8520" t="inlineStr">
        <is>
          <t>Sveaskog</t>
        </is>
      </c>
      <c r="G8520" t="n">
        <v>3.3</v>
      </c>
      <c r="H8520" t="n">
        <v>0</v>
      </c>
      <c r="I8520" t="n">
        <v>0</v>
      </c>
      <c r="J8520" t="n">
        <v>0</v>
      </c>
      <c r="K8520" t="n">
        <v>0</v>
      </c>
      <c r="L8520" t="n">
        <v>0</v>
      </c>
      <c r="M8520" t="n">
        <v>0</v>
      </c>
      <c r="N8520" t="n">
        <v>0</v>
      </c>
      <c r="O8520" t="n">
        <v>0</v>
      </c>
      <c r="P8520" t="n">
        <v>0</v>
      </c>
      <c r="Q8520" t="n">
        <v>0</v>
      </c>
      <c r="R8520" s="2" t="inlineStr"/>
    </row>
    <row r="8521" ht="15" customHeight="1">
      <c r="A8521" t="inlineStr">
        <is>
          <t>A 7145-2022</t>
        </is>
      </c>
      <c r="B8521" s="1" t="n">
        <v>44603.9146412037</v>
      </c>
      <c r="C8521" s="1" t="n">
        <v>45952</v>
      </c>
      <c r="D8521" t="inlineStr">
        <is>
          <t>VÄSTRA GÖTALANDS LÄN</t>
        </is>
      </c>
      <c r="E8521" t="inlineStr">
        <is>
          <t>SVENLJUNGA</t>
        </is>
      </c>
      <c r="G8521" t="n">
        <v>4.2</v>
      </c>
      <c r="H8521" t="n">
        <v>0</v>
      </c>
      <c r="I8521" t="n">
        <v>0</v>
      </c>
      <c r="J8521" t="n">
        <v>0</v>
      </c>
      <c r="K8521" t="n">
        <v>0</v>
      </c>
      <c r="L8521" t="n">
        <v>0</v>
      </c>
      <c r="M8521" t="n">
        <v>0</v>
      </c>
      <c r="N8521" t="n">
        <v>0</v>
      </c>
      <c r="O8521" t="n">
        <v>0</v>
      </c>
      <c r="P8521" t="n">
        <v>0</v>
      </c>
      <c r="Q8521" t="n">
        <v>0</v>
      </c>
      <c r="R8521" s="2" t="inlineStr"/>
    </row>
    <row r="8522" ht="15" customHeight="1">
      <c r="A8522" t="inlineStr">
        <is>
          <t>A 17771-2024</t>
        </is>
      </c>
      <c r="B8522" s="1" t="n">
        <v>45418</v>
      </c>
      <c r="C8522" s="1" t="n">
        <v>45952</v>
      </c>
      <c r="D8522" t="inlineStr">
        <is>
          <t>VÄSTRA GÖTALANDS LÄN</t>
        </is>
      </c>
      <c r="E8522" t="inlineStr">
        <is>
          <t>MARK</t>
        </is>
      </c>
      <c r="G8522" t="n">
        <v>1.8</v>
      </c>
      <c r="H8522" t="n">
        <v>0</v>
      </c>
      <c r="I8522" t="n">
        <v>0</v>
      </c>
      <c r="J8522" t="n">
        <v>0</v>
      </c>
      <c r="K8522" t="n">
        <v>0</v>
      </c>
      <c r="L8522" t="n">
        <v>0</v>
      </c>
      <c r="M8522" t="n">
        <v>0</v>
      </c>
      <c r="N8522" t="n">
        <v>0</v>
      </c>
      <c r="O8522" t="n">
        <v>0</v>
      </c>
      <c r="P8522" t="n">
        <v>0</v>
      </c>
      <c r="Q8522" t="n">
        <v>0</v>
      </c>
      <c r="R8522" s="2" t="inlineStr"/>
    </row>
    <row r="8523" ht="15" customHeight="1">
      <c r="A8523" t="inlineStr">
        <is>
          <t>A 43938-2024</t>
        </is>
      </c>
      <c r="B8523" s="1" t="n">
        <v>45572.46334490741</v>
      </c>
      <c r="C8523" s="1" t="n">
        <v>45952</v>
      </c>
      <c r="D8523" t="inlineStr">
        <is>
          <t>VÄSTRA GÖTALANDS LÄN</t>
        </is>
      </c>
      <c r="E8523" t="inlineStr">
        <is>
          <t>BOLLEBYGD</t>
        </is>
      </c>
      <c r="G8523" t="n">
        <v>0.9</v>
      </c>
      <c r="H8523" t="n">
        <v>0</v>
      </c>
      <c r="I8523" t="n">
        <v>0</v>
      </c>
      <c r="J8523" t="n">
        <v>0</v>
      </c>
      <c r="K8523" t="n">
        <v>0</v>
      </c>
      <c r="L8523" t="n">
        <v>0</v>
      </c>
      <c r="M8523" t="n">
        <v>0</v>
      </c>
      <c r="N8523" t="n">
        <v>0</v>
      </c>
      <c r="O8523" t="n">
        <v>0</v>
      </c>
      <c r="P8523" t="n">
        <v>0</v>
      </c>
      <c r="Q8523" t="n">
        <v>0</v>
      </c>
      <c r="R8523" s="2" t="inlineStr"/>
    </row>
    <row r="8524" ht="15" customHeight="1">
      <c r="A8524" t="inlineStr">
        <is>
          <t>A 39437-2021</t>
        </is>
      </c>
      <c r="B8524" s="1" t="n">
        <v>44414.531875</v>
      </c>
      <c r="C8524" s="1" t="n">
        <v>45952</v>
      </c>
      <c r="D8524" t="inlineStr">
        <is>
          <t>VÄSTRA GÖTALANDS LÄN</t>
        </is>
      </c>
      <c r="E8524" t="inlineStr">
        <is>
          <t>MARIESTAD</t>
        </is>
      </c>
      <c r="F8524" t="inlineStr">
        <is>
          <t>Sveaskog</t>
        </is>
      </c>
      <c r="G8524" t="n">
        <v>3.2</v>
      </c>
      <c r="H8524" t="n">
        <v>0</v>
      </c>
      <c r="I8524" t="n">
        <v>0</v>
      </c>
      <c r="J8524" t="n">
        <v>0</v>
      </c>
      <c r="K8524" t="n">
        <v>0</v>
      </c>
      <c r="L8524" t="n">
        <v>0</v>
      </c>
      <c r="M8524" t="n">
        <v>0</v>
      </c>
      <c r="N8524" t="n">
        <v>0</v>
      </c>
      <c r="O8524" t="n">
        <v>0</v>
      </c>
      <c r="P8524" t="n">
        <v>0</v>
      </c>
      <c r="Q8524" t="n">
        <v>0</v>
      </c>
      <c r="R8524" s="2" t="inlineStr"/>
    </row>
    <row r="8525" ht="15" customHeight="1">
      <c r="A8525" t="inlineStr">
        <is>
          <t>A 15556-2024</t>
        </is>
      </c>
      <c r="B8525" s="1" t="n">
        <v>45401</v>
      </c>
      <c r="C8525" s="1" t="n">
        <v>45952</v>
      </c>
      <c r="D8525" t="inlineStr">
        <is>
          <t>VÄSTRA GÖTALANDS LÄN</t>
        </is>
      </c>
      <c r="E8525" t="inlineStr">
        <is>
          <t>BENGTSFORS</t>
        </is>
      </c>
      <c r="G8525" t="n">
        <v>2.7</v>
      </c>
      <c r="H8525" t="n">
        <v>0</v>
      </c>
      <c r="I8525" t="n">
        <v>0</v>
      </c>
      <c r="J8525" t="n">
        <v>0</v>
      </c>
      <c r="K8525" t="n">
        <v>0</v>
      </c>
      <c r="L8525" t="n">
        <v>0</v>
      </c>
      <c r="M8525" t="n">
        <v>0</v>
      </c>
      <c r="N8525" t="n">
        <v>0</v>
      </c>
      <c r="O8525" t="n">
        <v>0</v>
      </c>
      <c r="P8525" t="n">
        <v>0</v>
      </c>
      <c r="Q8525" t="n">
        <v>0</v>
      </c>
      <c r="R8525" s="2" t="inlineStr"/>
    </row>
    <row r="8526" ht="15" customHeight="1">
      <c r="A8526" t="inlineStr">
        <is>
          <t>A 15626-2024</t>
        </is>
      </c>
      <c r="B8526" s="1" t="n">
        <v>45402.46005787037</v>
      </c>
      <c r="C8526" s="1" t="n">
        <v>45952</v>
      </c>
      <c r="D8526" t="inlineStr">
        <is>
          <t>VÄSTRA GÖTALANDS LÄN</t>
        </is>
      </c>
      <c r="E8526" t="inlineStr">
        <is>
          <t>DALS-ED</t>
        </is>
      </c>
      <c r="G8526" t="n">
        <v>9.9</v>
      </c>
      <c r="H8526" t="n">
        <v>0</v>
      </c>
      <c r="I8526" t="n">
        <v>0</v>
      </c>
      <c r="J8526" t="n">
        <v>0</v>
      </c>
      <c r="K8526" t="n">
        <v>0</v>
      </c>
      <c r="L8526" t="n">
        <v>0</v>
      </c>
      <c r="M8526" t="n">
        <v>0</v>
      </c>
      <c r="N8526" t="n">
        <v>0</v>
      </c>
      <c r="O8526" t="n">
        <v>0</v>
      </c>
      <c r="P8526" t="n">
        <v>0</v>
      </c>
      <c r="Q8526" t="n">
        <v>0</v>
      </c>
      <c r="R8526" s="2" t="inlineStr"/>
    </row>
    <row r="8527" ht="15" customHeight="1">
      <c r="A8527" t="inlineStr">
        <is>
          <t>A 9280-2025</t>
        </is>
      </c>
      <c r="B8527" s="1" t="n">
        <v>45714.64130787037</v>
      </c>
      <c r="C8527" s="1" t="n">
        <v>45952</v>
      </c>
      <c r="D8527" t="inlineStr">
        <is>
          <t>VÄSTRA GÖTALANDS LÄN</t>
        </is>
      </c>
      <c r="E8527" t="inlineStr">
        <is>
          <t>FÄRGELANDA</t>
        </is>
      </c>
      <c r="G8527" t="n">
        <v>4.9</v>
      </c>
      <c r="H8527" t="n">
        <v>0</v>
      </c>
      <c r="I8527" t="n">
        <v>0</v>
      </c>
      <c r="J8527" t="n">
        <v>0</v>
      </c>
      <c r="K8527" t="n">
        <v>0</v>
      </c>
      <c r="L8527" t="n">
        <v>0</v>
      </c>
      <c r="M8527" t="n">
        <v>0</v>
      </c>
      <c r="N8527" t="n">
        <v>0</v>
      </c>
      <c r="O8527" t="n">
        <v>0</v>
      </c>
      <c r="P8527" t="n">
        <v>0</v>
      </c>
      <c r="Q8527" t="n">
        <v>0</v>
      </c>
      <c r="R8527" s="2" t="inlineStr"/>
    </row>
    <row r="8528" ht="15" customHeight="1">
      <c r="A8528" t="inlineStr">
        <is>
          <t>A 47492-2025</t>
        </is>
      </c>
      <c r="B8528" s="1" t="n">
        <v>45930.73918981481</v>
      </c>
      <c r="C8528" s="1" t="n">
        <v>45952</v>
      </c>
      <c r="D8528" t="inlineStr">
        <is>
          <t>VÄSTRA GÖTALANDS LÄN</t>
        </is>
      </c>
      <c r="E8528" t="inlineStr">
        <is>
          <t>ALINGSÅS</t>
        </is>
      </c>
      <c r="G8528" t="n">
        <v>1</v>
      </c>
      <c r="H8528" t="n">
        <v>0</v>
      </c>
      <c r="I8528" t="n">
        <v>0</v>
      </c>
      <c r="J8528" t="n">
        <v>0</v>
      </c>
      <c r="K8528" t="n">
        <v>0</v>
      </c>
      <c r="L8528" t="n">
        <v>0</v>
      </c>
      <c r="M8528" t="n">
        <v>0</v>
      </c>
      <c r="N8528" t="n">
        <v>0</v>
      </c>
      <c r="O8528" t="n">
        <v>0</v>
      </c>
      <c r="P8528" t="n">
        <v>0</v>
      </c>
      <c r="Q8528" t="n">
        <v>0</v>
      </c>
      <c r="R8528" s="2" t="inlineStr"/>
    </row>
    <row r="8529" ht="15" customHeight="1">
      <c r="A8529" t="inlineStr">
        <is>
          <t>A 47562-2025</t>
        </is>
      </c>
      <c r="B8529" s="1" t="n">
        <v>45931.38734953704</v>
      </c>
      <c r="C8529" s="1" t="n">
        <v>45952</v>
      </c>
      <c r="D8529" t="inlineStr">
        <is>
          <t>VÄSTRA GÖTALANDS LÄN</t>
        </is>
      </c>
      <c r="E8529" t="inlineStr">
        <is>
          <t>ALINGSÅS</t>
        </is>
      </c>
      <c r="G8529" t="n">
        <v>7.5</v>
      </c>
      <c r="H8529" t="n">
        <v>0</v>
      </c>
      <c r="I8529" t="n">
        <v>0</v>
      </c>
      <c r="J8529" t="n">
        <v>0</v>
      </c>
      <c r="K8529" t="n">
        <v>0</v>
      </c>
      <c r="L8529" t="n">
        <v>0</v>
      </c>
      <c r="M8529" t="n">
        <v>0</v>
      </c>
      <c r="N8529" t="n">
        <v>0</v>
      </c>
      <c r="O8529" t="n">
        <v>0</v>
      </c>
      <c r="P8529" t="n">
        <v>0</v>
      </c>
      <c r="Q8529" t="n">
        <v>0</v>
      </c>
      <c r="R8529" s="2" t="inlineStr"/>
    </row>
    <row r="8530" ht="15" customHeight="1">
      <c r="A8530" t="inlineStr">
        <is>
          <t>A 58456-2024</t>
        </is>
      </c>
      <c r="B8530" s="1" t="n">
        <v>45635.36013888889</v>
      </c>
      <c r="C8530" s="1" t="n">
        <v>45952</v>
      </c>
      <c r="D8530" t="inlineStr">
        <is>
          <t>VÄSTRA GÖTALANDS LÄN</t>
        </is>
      </c>
      <c r="E8530" t="inlineStr">
        <is>
          <t>SKÖVDE</t>
        </is>
      </c>
      <c r="G8530" t="n">
        <v>3.8</v>
      </c>
      <c r="H8530" t="n">
        <v>0</v>
      </c>
      <c r="I8530" t="n">
        <v>0</v>
      </c>
      <c r="J8530" t="n">
        <v>0</v>
      </c>
      <c r="K8530" t="n">
        <v>0</v>
      </c>
      <c r="L8530" t="n">
        <v>0</v>
      </c>
      <c r="M8530" t="n">
        <v>0</v>
      </c>
      <c r="N8530" t="n">
        <v>0</v>
      </c>
      <c r="O8530" t="n">
        <v>0</v>
      </c>
      <c r="P8530" t="n">
        <v>0</v>
      </c>
      <c r="Q8530" t="n">
        <v>0</v>
      </c>
      <c r="R8530" s="2" t="inlineStr"/>
    </row>
    <row r="8531" ht="15" customHeight="1">
      <c r="A8531" t="inlineStr">
        <is>
          <t>A 3908-2025</t>
        </is>
      </c>
      <c r="B8531" s="1" t="n">
        <v>45684.41334490741</v>
      </c>
      <c r="C8531" s="1" t="n">
        <v>45952</v>
      </c>
      <c r="D8531" t="inlineStr">
        <is>
          <t>VÄSTRA GÖTALANDS LÄN</t>
        </is>
      </c>
      <c r="E8531" t="inlineStr">
        <is>
          <t>HERRLJUNGA</t>
        </is>
      </c>
      <c r="G8531" t="n">
        <v>3.2</v>
      </c>
      <c r="H8531" t="n">
        <v>0</v>
      </c>
      <c r="I8531" t="n">
        <v>0</v>
      </c>
      <c r="J8531" t="n">
        <v>0</v>
      </c>
      <c r="K8531" t="n">
        <v>0</v>
      </c>
      <c r="L8531" t="n">
        <v>0</v>
      </c>
      <c r="M8531" t="n">
        <v>0</v>
      </c>
      <c r="N8531" t="n">
        <v>0</v>
      </c>
      <c r="O8531" t="n">
        <v>0</v>
      </c>
      <c r="P8531" t="n">
        <v>0</v>
      </c>
      <c r="Q8531" t="n">
        <v>0</v>
      </c>
      <c r="R8531" s="2" t="inlineStr"/>
    </row>
    <row r="8532" ht="15" customHeight="1">
      <c r="A8532" t="inlineStr">
        <is>
          <t>A 39349-2024</t>
        </is>
      </c>
      <c r="B8532" s="1" t="n">
        <v>45551.45349537037</v>
      </c>
      <c r="C8532" s="1" t="n">
        <v>45952</v>
      </c>
      <c r="D8532" t="inlineStr">
        <is>
          <t>VÄSTRA GÖTALANDS LÄN</t>
        </is>
      </c>
      <c r="E8532" t="inlineStr">
        <is>
          <t>FALKÖPING</t>
        </is>
      </c>
      <c r="G8532" t="n">
        <v>2.2</v>
      </c>
      <c r="H8532" t="n">
        <v>0</v>
      </c>
      <c r="I8532" t="n">
        <v>0</v>
      </c>
      <c r="J8532" t="n">
        <v>0</v>
      </c>
      <c r="K8532" t="n">
        <v>0</v>
      </c>
      <c r="L8532" t="n">
        <v>0</v>
      </c>
      <c r="M8532" t="n">
        <v>0</v>
      </c>
      <c r="N8532" t="n">
        <v>0</v>
      </c>
      <c r="O8532" t="n">
        <v>0</v>
      </c>
      <c r="P8532" t="n">
        <v>0</v>
      </c>
      <c r="Q8532" t="n">
        <v>0</v>
      </c>
      <c r="R8532" s="2" t="inlineStr"/>
    </row>
    <row r="8533" ht="15" customHeight="1">
      <c r="A8533" t="inlineStr">
        <is>
          <t>A 52377-2023</t>
        </is>
      </c>
      <c r="B8533" s="1" t="n">
        <v>45224</v>
      </c>
      <c r="C8533" s="1" t="n">
        <v>45952</v>
      </c>
      <c r="D8533" t="inlineStr">
        <is>
          <t>VÄSTRA GÖTALANDS LÄN</t>
        </is>
      </c>
      <c r="E8533" t="inlineStr">
        <is>
          <t>SKÖVDE</t>
        </is>
      </c>
      <c r="G8533" t="n">
        <v>0.7</v>
      </c>
      <c r="H8533" t="n">
        <v>0</v>
      </c>
      <c r="I8533" t="n">
        <v>0</v>
      </c>
      <c r="J8533" t="n">
        <v>0</v>
      </c>
      <c r="K8533" t="n">
        <v>0</v>
      </c>
      <c r="L8533" t="n">
        <v>0</v>
      </c>
      <c r="M8533" t="n">
        <v>0</v>
      </c>
      <c r="N8533" t="n">
        <v>0</v>
      </c>
      <c r="O8533" t="n">
        <v>0</v>
      </c>
      <c r="P8533" t="n">
        <v>0</v>
      </c>
      <c r="Q8533" t="n">
        <v>0</v>
      </c>
      <c r="R8533" s="2" t="inlineStr"/>
    </row>
    <row r="8534" ht="15" customHeight="1">
      <c r="A8534" t="inlineStr">
        <is>
          <t>A 52383-2023</t>
        </is>
      </c>
      <c r="B8534" s="1" t="n">
        <v>45224.81199074074</v>
      </c>
      <c r="C8534" s="1" t="n">
        <v>45952</v>
      </c>
      <c r="D8534" t="inlineStr">
        <is>
          <t>VÄSTRA GÖTALANDS LÄN</t>
        </is>
      </c>
      <c r="E8534" t="inlineStr">
        <is>
          <t>SKARA</t>
        </is>
      </c>
      <c r="G8534" t="n">
        <v>0.8</v>
      </c>
      <c r="H8534" t="n">
        <v>0</v>
      </c>
      <c r="I8534" t="n">
        <v>0</v>
      </c>
      <c r="J8534" t="n">
        <v>0</v>
      </c>
      <c r="K8534" t="n">
        <v>0</v>
      </c>
      <c r="L8534" t="n">
        <v>0</v>
      </c>
      <c r="M8534" t="n">
        <v>0</v>
      </c>
      <c r="N8534" t="n">
        <v>0</v>
      </c>
      <c r="O8534" t="n">
        <v>0</v>
      </c>
      <c r="P8534" t="n">
        <v>0</v>
      </c>
      <c r="Q8534" t="n">
        <v>0</v>
      </c>
      <c r="R8534" s="2" t="inlineStr"/>
    </row>
    <row r="8535" ht="15" customHeight="1">
      <c r="A8535" t="inlineStr">
        <is>
          <t>A 17471-2023</t>
        </is>
      </c>
      <c r="B8535" s="1" t="n">
        <v>45036.35840277778</v>
      </c>
      <c r="C8535" s="1" t="n">
        <v>45952</v>
      </c>
      <c r="D8535" t="inlineStr">
        <is>
          <t>VÄSTRA GÖTALANDS LÄN</t>
        </is>
      </c>
      <c r="E8535" t="inlineStr">
        <is>
          <t>TANUM</t>
        </is>
      </c>
      <c r="G8535" t="n">
        <v>0.6</v>
      </c>
      <c r="H8535" t="n">
        <v>0</v>
      </c>
      <c r="I8535" t="n">
        <v>0</v>
      </c>
      <c r="J8535" t="n">
        <v>0</v>
      </c>
      <c r="K8535" t="n">
        <v>0</v>
      </c>
      <c r="L8535" t="n">
        <v>0</v>
      </c>
      <c r="M8535" t="n">
        <v>0</v>
      </c>
      <c r="N8535" t="n">
        <v>0</v>
      </c>
      <c r="O8535" t="n">
        <v>0</v>
      </c>
      <c r="P8535" t="n">
        <v>0</v>
      </c>
      <c r="Q8535" t="n">
        <v>0</v>
      </c>
      <c r="R8535" s="2" t="inlineStr"/>
    </row>
    <row r="8536" ht="15" customHeight="1">
      <c r="A8536" t="inlineStr">
        <is>
          <t>A 22452-2023</t>
        </is>
      </c>
      <c r="B8536" s="1" t="n">
        <v>45070.83295138889</v>
      </c>
      <c r="C8536" s="1" t="n">
        <v>45952</v>
      </c>
      <c r="D8536" t="inlineStr">
        <is>
          <t>VÄSTRA GÖTALANDS LÄN</t>
        </is>
      </c>
      <c r="E8536" t="inlineStr">
        <is>
          <t>MUNKEDAL</t>
        </is>
      </c>
      <c r="G8536" t="n">
        <v>1.5</v>
      </c>
      <c r="H8536" t="n">
        <v>0</v>
      </c>
      <c r="I8536" t="n">
        <v>0</v>
      </c>
      <c r="J8536" t="n">
        <v>0</v>
      </c>
      <c r="K8536" t="n">
        <v>0</v>
      </c>
      <c r="L8536" t="n">
        <v>0</v>
      </c>
      <c r="M8536" t="n">
        <v>0</v>
      </c>
      <c r="N8536" t="n">
        <v>0</v>
      </c>
      <c r="O8536" t="n">
        <v>0</v>
      </c>
      <c r="P8536" t="n">
        <v>0</v>
      </c>
      <c r="Q8536" t="n">
        <v>0</v>
      </c>
      <c r="R8536" s="2" t="inlineStr"/>
    </row>
    <row r="8537" ht="15" customHeight="1">
      <c r="A8537" t="inlineStr">
        <is>
          <t>A 22480-2023</t>
        </is>
      </c>
      <c r="B8537" s="1" t="n">
        <v>45071</v>
      </c>
      <c r="C8537" s="1" t="n">
        <v>45952</v>
      </c>
      <c r="D8537" t="inlineStr">
        <is>
          <t>VÄSTRA GÖTALANDS LÄN</t>
        </is>
      </c>
      <c r="E8537" t="inlineStr">
        <is>
          <t>ULRICEHAMN</t>
        </is>
      </c>
      <c r="G8537" t="n">
        <v>4.2</v>
      </c>
      <c r="H8537" t="n">
        <v>0</v>
      </c>
      <c r="I8537" t="n">
        <v>0</v>
      </c>
      <c r="J8537" t="n">
        <v>0</v>
      </c>
      <c r="K8537" t="n">
        <v>0</v>
      </c>
      <c r="L8537" t="n">
        <v>0</v>
      </c>
      <c r="M8537" t="n">
        <v>0</v>
      </c>
      <c r="N8537" t="n">
        <v>0</v>
      </c>
      <c r="O8537" t="n">
        <v>0</v>
      </c>
      <c r="P8537" t="n">
        <v>0</v>
      </c>
      <c r="Q8537" t="n">
        <v>0</v>
      </c>
      <c r="R8537" s="2" t="inlineStr"/>
    </row>
    <row r="8538" ht="15" customHeight="1">
      <c r="A8538" t="inlineStr">
        <is>
          <t>A 39309-2025</t>
        </is>
      </c>
      <c r="B8538" s="1" t="n">
        <v>45889.46177083333</v>
      </c>
      <c r="C8538" s="1" t="n">
        <v>45952</v>
      </c>
      <c r="D8538" t="inlineStr">
        <is>
          <t>VÄSTRA GÖTALANDS LÄN</t>
        </is>
      </c>
      <c r="E8538" t="inlineStr">
        <is>
          <t>TANUM</t>
        </is>
      </c>
      <c r="G8538" t="n">
        <v>4.9</v>
      </c>
      <c r="H8538" t="n">
        <v>0</v>
      </c>
      <c r="I8538" t="n">
        <v>0</v>
      </c>
      <c r="J8538" t="n">
        <v>0</v>
      </c>
      <c r="K8538" t="n">
        <v>0</v>
      </c>
      <c r="L8538" t="n">
        <v>0</v>
      </c>
      <c r="M8538" t="n">
        <v>0</v>
      </c>
      <c r="N8538" t="n">
        <v>0</v>
      </c>
      <c r="O8538" t="n">
        <v>0</v>
      </c>
      <c r="P8538" t="n">
        <v>0</v>
      </c>
      <c r="Q8538" t="n">
        <v>0</v>
      </c>
      <c r="R8538" s="2" t="inlineStr"/>
    </row>
    <row r="8539" ht="15" customHeight="1">
      <c r="A8539" t="inlineStr">
        <is>
          <t>A 22351-2025</t>
        </is>
      </c>
      <c r="B8539" s="1" t="n">
        <v>45786.45296296296</v>
      </c>
      <c r="C8539" s="1" t="n">
        <v>45952</v>
      </c>
      <c r="D8539" t="inlineStr">
        <is>
          <t>VÄSTRA GÖTALANDS LÄN</t>
        </is>
      </c>
      <c r="E8539" t="inlineStr">
        <is>
          <t>ESSUNGA</t>
        </is>
      </c>
      <c r="G8539" t="n">
        <v>0.6</v>
      </c>
      <c r="H8539" t="n">
        <v>0</v>
      </c>
      <c r="I8539" t="n">
        <v>0</v>
      </c>
      <c r="J8539" t="n">
        <v>0</v>
      </c>
      <c r="K8539" t="n">
        <v>0</v>
      </c>
      <c r="L8539" t="n">
        <v>0</v>
      </c>
      <c r="M8539" t="n">
        <v>0</v>
      </c>
      <c r="N8539" t="n">
        <v>0</v>
      </c>
      <c r="O8539" t="n">
        <v>0</v>
      </c>
      <c r="P8539" t="n">
        <v>0</v>
      </c>
      <c r="Q8539" t="n">
        <v>0</v>
      </c>
      <c r="R8539" s="2" t="inlineStr"/>
    </row>
    <row r="8540" ht="15" customHeight="1">
      <c r="A8540" t="inlineStr">
        <is>
          <t>A 56373-2024</t>
        </is>
      </c>
      <c r="B8540" s="1" t="n">
        <v>45625.3313425926</v>
      </c>
      <c r="C8540" s="1" t="n">
        <v>45952</v>
      </c>
      <c r="D8540" t="inlineStr">
        <is>
          <t>VÄSTRA GÖTALANDS LÄN</t>
        </is>
      </c>
      <c r="E8540" t="inlineStr">
        <is>
          <t>LIDKÖPING</t>
        </is>
      </c>
      <c r="G8540" t="n">
        <v>1.3</v>
      </c>
      <c r="H8540" t="n">
        <v>0</v>
      </c>
      <c r="I8540" t="n">
        <v>0</v>
      </c>
      <c r="J8540" t="n">
        <v>0</v>
      </c>
      <c r="K8540" t="n">
        <v>0</v>
      </c>
      <c r="L8540" t="n">
        <v>0</v>
      </c>
      <c r="M8540" t="n">
        <v>0</v>
      </c>
      <c r="N8540" t="n">
        <v>0</v>
      </c>
      <c r="O8540" t="n">
        <v>0</v>
      </c>
      <c r="P8540" t="n">
        <v>0</v>
      </c>
      <c r="Q8540" t="n">
        <v>0</v>
      </c>
      <c r="R8540" s="2" t="inlineStr"/>
    </row>
    <row r="8541" ht="15" customHeight="1">
      <c r="A8541" t="inlineStr">
        <is>
          <t>A 23492-2022</t>
        </is>
      </c>
      <c r="B8541" s="1" t="n">
        <v>44721.36030092592</v>
      </c>
      <c r="C8541" s="1" t="n">
        <v>45952</v>
      </c>
      <c r="D8541" t="inlineStr">
        <is>
          <t>VÄSTRA GÖTALANDS LÄN</t>
        </is>
      </c>
      <c r="E8541" t="inlineStr">
        <is>
          <t>HÄRRYDA</t>
        </is>
      </c>
      <c r="G8541" t="n">
        <v>4.4</v>
      </c>
      <c r="H8541" t="n">
        <v>0</v>
      </c>
      <c r="I8541" t="n">
        <v>0</v>
      </c>
      <c r="J8541" t="n">
        <v>0</v>
      </c>
      <c r="K8541" t="n">
        <v>0</v>
      </c>
      <c r="L8541" t="n">
        <v>0</v>
      </c>
      <c r="M8541" t="n">
        <v>0</v>
      </c>
      <c r="N8541" t="n">
        <v>0</v>
      </c>
      <c r="O8541" t="n">
        <v>0</v>
      </c>
      <c r="P8541" t="n">
        <v>0</v>
      </c>
      <c r="Q8541" t="n">
        <v>0</v>
      </c>
      <c r="R8541" s="2" t="inlineStr"/>
    </row>
    <row r="8542" ht="15" customHeight="1">
      <c r="A8542" t="inlineStr">
        <is>
          <t>A 39333-2025</t>
        </is>
      </c>
      <c r="B8542" s="1" t="n">
        <v>45889.4900462963</v>
      </c>
      <c r="C8542" s="1" t="n">
        <v>45952</v>
      </c>
      <c r="D8542" t="inlineStr">
        <is>
          <t>VÄSTRA GÖTALANDS LÄN</t>
        </is>
      </c>
      <c r="E8542" t="inlineStr">
        <is>
          <t>BENGTSFORS</t>
        </is>
      </c>
      <c r="G8542" t="n">
        <v>1.4</v>
      </c>
      <c r="H8542" t="n">
        <v>0</v>
      </c>
      <c r="I8542" t="n">
        <v>0</v>
      </c>
      <c r="J8542" t="n">
        <v>0</v>
      </c>
      <c r="K8542" t="n">
        <v>0</v>
      </c>
      <c r="L8542" t="n">
        <v>0</v>
      </c>
      <c r="M8542" t="n">
        <v>0</v>
      </c>
      <c r="N8542" t="n">
        <v>0</v>
      </c>
      <c r="O8542" t="n">
        <v>0</v>
      </c>
      <c r="P8542" t="n">
        <v>0</v>
      </c>
      <c r="Q8542" t="n">
        <v>0</v>
      </c>
      <c r="R8542" s="2" t="inlineStr"/>
    </row>
    <row r="8543" ht="15" customHeight="1">
      <c r="A8543" t="inlineStr">
        <is>
          <t>A 1786-2025</t>
        </is>
      </c>
      <c r="B8543" s="1" t="n">
        <v>45670</v>
      </c>
      <c r="C8543" s="1" t="n">
        <v>45952</v>
      </c>
      <c r="D8543" t="inlineStr">
        <is>
          <t>VÄSTRA GÖTALANDS LÄN</t>
        </is>
      </c>
      <c r="E8543" t="inlineStr">
        <is>
          <t>BORÅS</t>
        </is>
      </c>
      <c r="F8543" t="inlineStr">
        <is>
          <t>Kommuner</t>
        </is>
      </c>
      <c r="G8543" t="n">
        <v>3</v>
      </c>
      <c r="H8543" t="n">
        <v>0</v>
      </c>
      <c r="I8543" t="n">
        <v>0</v>
      </c>
      <c r="J8543" t="n">
        <v>0</v>
      </c>
      <c r="K8543" t="n">
        <v>0</v>
      </c>
      <c r="L8543" t="n">
        <v>0</v>
      </c>
      <c r="M8543" t="n">
        <v>0</v>
      </c>
      <c r="N8543" t="n">
        <v>0</v>
      </c>
      <c r="O8543" t="n">
        <v>0</v>
      </c>
      <c r="P8543" t="n">
        <v>0</v>
      </c>
      <c r="Q8543" t="n">
        <v>0</v>
      </c>
      <c r="R8543" s="2" t="inlineStr"/>
    </row>
    <row r="8544" ht="15" customHeight="1">
      <c r="A8544" t="inlineStr">
        <is>
          <t>A 39274-2025</t>
        </is>
      </c>
      <c r="B8544" s="1" t="n">
        <v>45889.3877662037</v>
      </c>
      <c r="C8544" s="1" t="n">
        <v>45952</v>
      </c>
      <c r="D8544" t="inlineStr">
        <is>
          <t>VÄSTRA GÖTALANDS LÄN</t>
        </is>
      </c>
      <c r="E8544" t="inlineStr">
        <is>
          <t>MARK</t>
        </is>
      </c>
      <c r="G8544" t="n">
        <v>1.5</v>
      </c>
      <c r="H8544" t="n">
        <v>0</v>
      </c>
      <c r="I8544" t="n">
        <v>0</v>
      </c>
      <c r="J8544" t="n">
        <v>0</v>
      </c>
      <c r="K8544" t="n">
        <v>0</v>
      </c>
      <c r="L8544" t="n">
        <v>0</v>
      </c>
      <c r="M8544" t="n">
        <v>0</v>
      </c>
      <c r="N8544" t="n">
        <v>0</v>
      </c>
      <c r="O8544" t="n">
        <v>0</v>
      </c>
      <c r="P8544" t="n">
        <v>0</v>
      </c>
      <c r="Q8544" t="n">
        <v>0</v>
      </c>
      <c r="R8544" s="2" t="inlineStr"/>
    </row>
    <row r="8545" ht="15" customHeight="1">
      <c r="A8545" t="inlineStr">
        <is>
          <t>A 47262-2025</t>
        </is>
      </c>
      <c r="B8545" s="1" t="n">
        <v>45930.45395833333</v>
      </c>
      <c r="C8545" s="1" t="n">
        <v>45952</v>
      </c>
      <c r="D8545" t="inlineStr">
        <is>
          <t>VÄSTRA GÖTALANDS LÄN</t>
        </is>
      </c>
      <c r="E8545" t="inlineStr">
        <is>
          <t>KARLSBORG</t>
        </is>
      </c>
      <c r="G8545" t="n">
        <v>2.7</v>
      </c>
      <c r="H8545" t="n">
        <v>0</v>
      </c>
      <c r="I8545" t="n">
        <v>0</v>
      </c>
      <c r="J8545" t="n">
        <v>0</v>
      </c>
      <c r="K8545" t="n">
        <v>0</v>
      </c>
      <c r="L8545" t="n">
        <v>0</v>
      </c>
      <c r="M8545" t="n">
        <v>0</v>
      </c>
      <c r="N8545" t="n">
        <v>0</v>
      </c>
      <c r="O8545" t="n">
        <v>0</v>
      </c>
      <c r="P8545" t="n">
        <v>0</v>
      </c>
      <c r="Q8545" t="n">
        <v>0</v>
      </c>
      <c r="R8545" s="2" t="inlineStr"/>
    </row>
    <row r="8546" ht="15" customHeight="1">
      <c r="A8546" t="inlineStr">
        <is>
          <t>A 47279-2025</t>
        </is>
      </c>
      <c r="B8546" s="1" t="n">
        <v>45930.47650462963</v>
      </c>
      <c r="C8546" s="1" t="n">
        <v>45952</v>
      </c>
      <c r="D8546" t="inlineStr">
        <is>
          <t>VÄSTRA GÖTALANDS LÄN</t>
        </is>
      </c>
      <c r="E8546" t="inlineStr">
        <is>
          <t>BOLLEBYGD</t>
        </is>
      </c>
      <c r="G8546" t="n">
        <v>5.8</v>
      </c>
      <c r="H8546" t="n">
        <v>0</v>
      </c>
      <c r="I8546" t="n">
        <v>0</v>
      </c>
      <c r="J8546" t="n">
        <v>0</v>
      </c>
      <c r="K8546" t="n">
        <v>0</v>
      </c>
      <c r="L8546" t="n">
        <v>0</v>
      </c>
      <c r="M8546" t="n">
        <v>0</v>
      </c>
      <c r="N8546" t="n">
        <v>0</v>
      </c>
      <c r="O8546" t="n">
        <v>0</v>
      </c>
      <c r="P8546" t="n">
        <v>0</v>
      </c>
      <c r="Q8546" t="n">
        <v>0</v>
      </c>
      <c r="R8546" s="2" t="inlineStr"/>
    </row>
    <row r="8547" ht="15" customHeight="1">
      <c r="A8547" t="inlineStr">
        <is>
          <t>A 35217-2023</t>
        </is>
      </c>
      <c r="B8547" s="1" t="n">
        <v>45145.64420138889</v>
      </c>
      <c r="C8547" s="1" t="n">
        <v>45952</v>
      </c>
      <c r="D8547" t="inlineStr">
        <is>
          <t>VÄSTRA GÖTALANDS LÄN</t>
        </is>
      </c>
      <c r="E8547" t="inlineStr">
        <is>
          <t>SKARA</t>
        </is>
      </c>
      <c r="G8547" t="n">
        <v>0.7</v>
      </c>
      <c r="H8547" t="n">
        <v>0</v>
      </c>
      <c r="I8547" t="n">
        <v>0</v>
      </c>
      <c r="J8547" t="n">
        <v>0</v>
      </c>
      <c r="K8547" t="n">
        <v>0</v>
      </c>
      <c r="L8547" t="n">
        <v>0</v>
      </c>
      <c r="M8547" t="n">
        <v>0</v>
      </c>
      <c r="N8547" t="n">
        <v>0</v>
      </c>
      <c r="O8547" t="n">
        <v>0</v>
      </c>
      <c r="P8547" t="n">
        <v>0</v>
      </c>
      <c r="Q8547" t="n">
        <v>0</v>
      </c>
      <c r="R8547" s="2" t="inlineStr"/>
    </row>
    <row r="8548" ht="15" customHeight="1">
      <c r="A8548" t="inlineStr">
        <is>
          <t>A 22358-2025</t>
        </is>
      </c>
      <c r="B8548" s="1" t="n">
        <v>45786.46289351852</v>
      </c>
      <c r="C8548" s="1" t="n">
        <v>45952</v>
      </c>
      <c r="D8548" t="inlineStr">
        <is>
          <t>VÄSTRA GÖTALANDS LÄN</t>
        </is>
      </c>
      <c r="E8548" t="inlineStr">
        <is>
          <t>TIBRO</t>
        </is>
      </c>
      <c r="F8548" t="inlineStr">
        <is>
          <t>Kyrkan</t>
        </is>
      </c>
      <c r="G8548" t="n">
        <v>1.7</v>
      </c>
      <c r="H8548" t="n">
        <v>0</v>
      </c>
      <c r="I8548" t="n">
        <v>0</v>
      </c>
      <c r="J8548" t="n">
        <v>0</v>
      </c>
      <c r="K8548" t="n">
        <v>0</v>
      </c>
      <c r="L8548" t="n">
        <v>0</v>
      </c>
      <c r="M8548" t="n">
        <v>0</v>
      </c>
      <c r="N8548" t="n">
        <v>0</v>
      </c>
      <c r="O8548" t="n">
        <v>0</v>
      </c>
      <c r="P8548" t="n">
        <v>0</v>
      </c>
      <c r="Q8548" t="n">
        <v>0</v>
      </c>
      <c r="R8548" s="2" t="inlineStr"/>
    </row>
    <row r="8549" ht="15" customHeight="1">
      <c r="A8549" t="inlineStr">
        <is>
          <t>A 36738-2024</t>
        </is>
      </c>
      <c r="B8549" s="1" t="n">
        <v>45538.29486111111</v>
      </c>
      <c r="C8549" s="1" t="n">
        <v>45952</v>
      </c>
      <c r="D8549" t="inlineStr">
        <is>
          <t>VÄSTRA GÖTALANDS LÄN</t>
        </is>
      </c>
      <c r="E8549" t="inlineStr">
        <is>
          <t>HJO</t>
        </is>
      </c>
      <c r="G8549" t="n">
        <v>0.9</v>
      </c>
      <c r="H8549" t="n">
        <v>0</v>
      </c>
      <c r="I8549" t="n">
        <v>0</v>
      </c>
      <c r="J8549" t="n">
        <v>0</v>
      </c>
      <c r="K8549" t="n">
        <v>0</v>
      </c>
      <c r="L8549" t="n">
        <v>0</v>
      </c>
      <c r="M8549" t="n">
        <v>0</v>
      </c>
      <c r="N8549" t="n">
        <v>0</v>
      </c>
      <c r="O8549" t="n">
        <v>0</v>
      </c>
      <c r="P8549" t="n">
        <v>0</v>
      </c>
      <c r="Q8549" t="n">
        <v>0</v>
      </c>
      <c r="R8549" s="2" t="inlineStr"/>
    </row>
    <row r="8550" ht="15" customHeight="1">
      <c r="A8550" t="inlineStr">
        <is>
          <t>A 31901-2025</t>
        </is>
      </c>
      <c r="B8550" s="1" t="n">
        <v>45825</v>
      </c>
      <c r="C8550" s="1" t="n">
        <v>45952</v>
      </c>
      <c r="D8550" t="inlineStr">
        <is>
          <t>VÄSTRA GÖTALANDS LÄN</t>
        </is>
      </c>
      <c r="E8550" t="inlineStr">
        <is>
          <t>TRANEMO</t>
        </is>
      </c>
      <c r="G8550" t="n">
        <v>2.1</v>
      </c>
      <c r="H8550" t="n">
        <v>0</v>
      </c>
      <c r="I8550" t="n">
        <v>0</v>
      </c>
      <c r="J8550" t="n">
        <v>0</v>
      </c>
      <c r="K8550" t="n">
        <v>0</v>
      </c>
      <c r="L8550" t="n">
        <v>0</v>
      </c>
      <c r="M8550" t="n">
        <v>0</v>
      </c>
      <c r="N8550" t="n">
        <v>0</v>
      </c>
      <c r="O8550" t="n">
        <v>0</v>
      </c>
      <c r="P8550" t="n">
        <v>0</v>
      </c>
      <c r="Q8550" t="n">
        <v>0</v>
      </c>
      <c r="R8550" s="2" t="inlineStr"/>
    </row>
    <row r="8551" ht="15" customHeight="1">
      <c r="A8551" t="inlineStr">
        <is>
          <t>A 39401-2025</t>
        </is>
      </c>
      <c r="B8551" s="1" t="n">
        <v>45889.63513888889</v>
      </c>
      <c r="C8551" s="1" t="n">
        <v>45952</v>
      </c>
      <c r="D8551" t="inlineStr">
        <is>
          <t>VÄSTRA GÖTALANDS LÄN</t>
        </is>
      </c>
      <c r="E8551" t="inlineStr">
        <is>
          <t>ULRICEHAMN</t>
        </is>
      </c>
      <c r="G8551" t="n">
        <v>1.1</v>
      </c>
      <c r="H8551" t="n">
        <v>0</v>
      </c>
      <c r="I8551" t="n">
        <v>0</v>
      </c>
      <c r="J8551" t="n">
        <v>0</v>
      </c>
      <c r="K8551" t="n">
        <v>0</v>
      </c>
      <c r="L8551" t="n">
        <v>0</v>
      </c>
      <c r="M8551" t="n">
        <v>0</v>
      </c>
      <c r="N8551" t="n">
        <v>0</v>
      </c>
      <c r="O8551" t="n">
        <v>0</v>
      </c>
      <c r="P8551" t="n">
        <v>0</v>
      </c>
      <c r="Q8551" t="n">
        <v>0</v>
      </c>
      <c r="R8551" s="2" t="inlineStr"/>
    </row>
    <row r="8552" ht="15" customHeight="1">
      <c r="A8552" t="inlineStr">
        <is>
          <t>A 2867-2025</t>
        </is>
      </c>
      <c r="B8552" s="1" t="n">
        <v>45677.67715277777</v>
      </c>
      <c r="C8552" s="1" t="n">
        <v>45952</v>
      </c>
      <c r="D8552" t="inlineStr">
        <is>
          <t>VÄSTRA GÖTALANDS LÄN</t>
        </is>
      </c>
      <c r="E8552" t="inlineStr">
        <is>
          <t>LILLA EDET</t>
        </is>
      </c>
      <c r="G8552" t="n">
        <v>10.7</v>
      </c>
      <c r="H8552" t="n">
        <v>0</v>
      </c>
      <c r="I8552" t="n">
        <v>0</v>
      </c>
      <c r="J8552" t="n">
        <v>0</v>
      </c>
      <c r="K8552" t="n">
        <v>0</v>
      </c>
      <c r="L8552" t="n">
        <v>0</v>
      </c>
      <c r="M8552" t="n">
        <v>0</v>
      </c>
      <c r="N8552" t="n">
        <v>0</v>
      </c>
      <c r="O8552" t="n">
        <v>0</v>
      </c>
      <c r="P8552" t="n">
        <v>0</v>
      </c>
      <c r="Q8552" t="n">
        <v>0</v>
      </c>
      <c r="R8552" s="2" t="inlineStr"/>
    </row>
    <row r="8553" ht="15" customHeight="1">
      <c r="A8553" t="inlineStr">
        <is>
          <t>A 29226-2022</t>
        </is>
      </c>
      <c r="B8553" s="1" t="n">
        <v>44750</v>
      </c>
      <c r="C8553" s="1" t="n">
        <v>45952</v>
      </c>
      <c r="D8553" t="inlineStr">
        <is>
          <t>VÄSTRA GÖTALANDS LÄN</t>
        </is>
      </c>
      <c r="E8553" t="inlineStr">
        <is>
          <t>BENGTSFORS</t>
        </is>
      </c>
      <c r="G8553" t="n">
        <v>8.1</v>
      </c>
      <c r="H8553" t="n">
        <v>0</v>
      </c>
      <c r="I8553" t="n">
        <v>0</v>
      </c>
      <c r="J8553" t="n">
        <v>0</v>
      </c>
      <c r="K8553" t="n">
        <v>0</v>
      </c>
      <c r="L8553" t="n">
        <v>0</v>
      </c>
      <c r="M8553" t="n">
        <v>0</v>
      </c>
      <c r="N8553" t="n">
        <v>0</v>
      </c>
      <c r="O8553" t="n">
        <v>0</v>
      </c>
      <c r="P8553" t="n">
        <v>0</v>
      </c>
      <c r="Q8553" t="n">
        <v>0</v>
      </c>
      <c r="R8553" s="2" t="inlineStr"/>
    </row>
    <row r="8554" ht="15" customHeight="1">
      <c r="A8554" t="inlineStr">
        <is>
          <t>A 17536-2025</t>
        </is>
      </c>
      <c r="B8554" s="1" t="n">
        <v>45757</v>
      </c>
      <c r="C8554" s="1" t="n">
        <v>45952</v>
      </c>
      <c r="D8554" t="inlineStr">
        <is>
          <t>VÄSTRA GÖTALANDS LÄN</t>
        </is>
      </c>
      <c r="E8554" t="inlineStr">
        <is>
          <t>VARA</t>
        </is>
      </c>
      <c r="G8554" t="n">
        <v>2.4</v>
      </c>
      <c r="H8554" t="n">
        <v>0</v>
      </c>
      <c r="I8554" t="n">
        <v>0</v>
      </c>
      <c r="J8554" t="n">
        <v>0</v>
      </c>
      <c r="K8554" t="n">
        <v>0</v>
      </c>
      <c r="L8554" t="n">
        <v>0</v>
      </c>
      <c r="M8554" t="n">
        <v>0</v>
      </c>
      <c r="N8554" t="n">
        <v>0</v>
      </c>
      <c r="O8554" t="n">
        <v>0</v>
      </c>
      <c r="P8554" t="n">
        <v>0</v>
      </c>
      <c r="Q8554" t="n">
        <v>0</v>
      </c>
      <c r="R8554" s="2" t="inlineStr"/>
    </row>
    <row r="8555" ht="15" customHeight="1">
      <c r="A8555" t="inlineStr">
        <is>
          <t>A 17543-2025</t>
        </is>
      </c>
      <c r="B8555" s="1" t="n">
        <v>45757.60640046297</v>
      </c>
      <c r="C8555" s="1" t="n">
        <v>45952</v>
      </c>
      <c r="D8555" t="inlineStr">
        <is>
          <t>VÄSTRA GÖTALANDS LÄN</t>
        </is>
      </c>
      <c r="E8555" t="inlineStr">
        <is>
          <t>VARA</t>
        </is>
      </c>
      <c r="G8555" t="n">
        <v>1.4</v>
      </c>
      <c r="H8555" t="n">
        <v>0</v>
      </c>
      <c r="I8555" t="n">
        <v>0</v>
      </c>
      <c r="J8555" t="n">
        <v>0</v>
      </c>
      <c r="K8555" t="n">
        <v>0</v>
      </c>
      <c r="L8555" t="n">
        <v>0</v>
      </c>
      <c r="M8555" t="n">
        <v>0</v>
      </c>
      <c r="N8555" t="n">
        <v>0</v>
      </c>
      <c r="O8555" t="n">
        <v>0</v>
      </c>
      <c r="P8555" t="n">
        <v>0</v>
      </c>
      <c r="Q8555" t="n">
        <v>0</v>
      </c>
      <c r="R8555" s="2" t="inlineStr"/>
    </row>
    <row r="8556" ht="15" customHeight="1">
      <c r="A8556" t="inlineStr">
        <is>
          <t>A 34355-2024</t>
        </is>
      </c>
      <c r="B8556" s="1" t="n">
        <v>45525.36525462963</v>
      </c>
      <c r="C8556" s="1" t="n">
        <v>45952</v>
      </c>
      <c r="D8556" t="inlineStr">
        <is>
          <t>VÄSTRA GÖTALANDS LÄN</t>
        </is>
      </c>
      <c r="E8556" t="inlineStr">
        <is>
          <t>BORÅS</t>
        </is>
      </c>
      <c r="G8556" t="n">
        <v>2.2</v>
      </c>
      <c r="H8556" t="n">
        <v>0</v>
      </c>
      <c r="I8556" t="n">
        <v>0</v>
      </c>
      <c r="J8556" t="n">
        <v>0</v>
      </c>
      <c r="K8556" t="n">
        <v>0</v>
      </c>
      <c r="L8556" t="n">
        <v>0</v>
      </c>
      <c r="M8556" t="n">
        <v>0</v>
      </c>
      <c r="N8556" t="n">
        <v>0</v>
      </c>
      <c r="O8556" t="n">
        <v>0</v>
      </c>
      <c r="P8556" t="n">
        <v>0</v>
      </c>
      <c r="Q8556" t="n">
        <v>0</v>
      </c>
      <c r="R8556" s="2" t="inlineStr"/>
    </row>
    <row r="8557" ht="15" customHeight="1">
      <c r="A8557" t="inlineStr">
        <is>
          <t>A 15736-2022</t>
        </is>
      </c>
      <c r="B8557" s="1" t="n">
        <v>44663.5128125</v>
      </c>
      <c r="C8557" s="1" t="n">
        <v>45952</v>
      </c>
      <c r="D8557" t="inlineStr">
        <is>
          <t>VÄSTRA GÖTALANDS LÄN</t>
        </is>
      </c>
      <c r="E8557" t="inlineStr">
        <is>
          <t>ULRICEHAMN</t>
        </is>
      </c>
      <c r="G8557" t="n">
        <v>1.2</v>
      </c>
      <c r="H8557" t="n">
        <v>0</v>
      </c>
      <c r="I8557" t="n">
        <v>0</v>
      </c>
      <c r="J8557" t="n">
        <v>0</v>
      </c>
      <c r="K8557" t="n">
        <v>0</v>
      </c>
      <c r="L8557" t="n">
        <v>0</v>
      </c>
      <c r="M8557" t="n">
        <v>0</v>
      </c>
      <c r="N8557" t="n">
        <v>0</v>
      </c>
      <c r="O8557" t="n">
        <v>0</v>
      </c>
      <c r="P8557" t="n">
        <v>0</v>
      </c>
      <c r="Q8557" t="n">
        <v>0</v>
      </c>
      <c r="R8557" s="2" t="inlineStr"/>
    </row>
    <row r="8558" ht="15" customHeight="1">
      <c r="A8558" t="inlineStr">
        <is>
          <t>A 33685-2021</t>
        </is>
      </c>
      <c r="B8558" s="1" t="n">
        <v>44378</v>
      </c>
      <c r="C8558" s="1" t="n">
        <v>45952</v>
      </c>
      <c r="D8558" t="inlineStr">
        <is>
          <t>VÄSTRA GÖTALANDS LÄN</t>
        </is>
      </c>
      <c r="E8558" t="inlineStr">
        <is>
          <t>MARK</t>
        </is>
      </c>
      <c r="G8558" t="n">
        <v>1.4</v>
      </c>
      <c r="H8558" t="n">
        <v>0</v>
      </c>
      <c r="I8558" t="n">
        <v>0</v>
      </c>
      <c r="J8558" t="n">
        <v>0</v>
      </c>
      <c r="K8558" t="n">
        <v>0</v>
      </c>
      <c r="L8558" t="n">
        <v>0</v>
      </c>
      <c r="M8558" t="n">
        <v>0</v>
      </c>
      <c r="N8558" t="n">
        <v>0</v>
      </c>
      <c r="O8558" t="n">
        <v>0</v>
      </c>
      <c r="P8558" t="n">
        <v>0</v>
      </c>
      <c r="Q8558" t="n">
        <v>0</v>
      </c>
      <c r="R8558" s="2" t="inlineStr"/>
    </row>
    <row r="8559" ht="15" customHeight="1">
      <c r="A8559" t="inlineStr">
        <is>
          <t>A 13378-2023</t>
        </is>
      </c>
      <c r="B8559" s="1" t="n">
        <v>45005.50077546296</v>
      </c>
      <c r="C8559" s="1" t="n">
        <v>45952</v>
      </c>
      <c r="D8559" t="inlineStr">
        <is>
          <t>VÄSTRA GÖTALANDS LÄN</t>
        </is>
      </c>
      <c r="E8559" t="inlineStr">
        <is>
          <t>ORUST</t>
        </is>
      </c>
      <c r="G8559" t="n">
        <v>0.9</v>
      </c>
      <c r="H8559" t="n">
        <v>0</v>
      </c>
      <c r="I8559" t="n">
        <v>0</v>
      </c>
      <c r="J8559" t="n">
        <v>0</v>
      </c>
      <c r="K8559" t="n">
        <v>0</v>
      </c>
      <c r="L8559" t="n">
        <v>0</v>
      </c>
      <c r="M8559" t="n">
        <v>0</v>
      </c>
      <c r="N8559" t="n">
        <v>0</v>
      </c>
      <c r="O8559" t="n">
        <v>0</v>
      </c>
      <c r="P8559" t="n">
        <v>0</v>
      </c>
      <c r="Q8559" t="n">
        <v>0</v>
      </c>
      <c r="R8559" s="2" t="inlineStr"/>
    </row>
    <row r="8560" ht="15" customHeight="1">
      <c r="A8560" t="inlineStr">
        <is>
          <t>A 13379-2023</t>
        </is>
      </c>
      <c r="B8560" s="1" t="n">
        <v>45005.50252314815</v>
      </c>
      <c r="C8560" s="1" t="n">
        <v>45952</v>
      </c>
      <c r="D8560" t="inlineStr">
        <is>
          <t>VÄSTRA GÖTALANDS LÄN</t>
        </is>
      </c>
      <c r="E8560" t="inlineStr">
        <is>
          <t>UDDEVALLA</t>
        </is>
      </c>
      <c r="G8560" t="n">
        <v>4.9</v>
      </c>
      <c r="H8560" t="n">
        <v>0</v>
      </c>
      <c r="I8560" t="n">
        <v>0</v>
      </c>
      <c r="J8560" t="n">
        <v>0</v>
      </c>
      <c r="K8560" t="n">
        <v>0</v>
      </c>
      <c r="L8560" t="n">
        <v>0</v>
      </c>
      <c r="M8560" t="n">
        <v>0</v>
      </c>
      <c r="N8560" t="n">
        <v>0</v>
      </c>
      <c r="O8560" t="n">
        <v>0</v>
      </c>
      <c r="P8560" t="n">
        <v>0</v>
      </c>
      <c r="Q8560" t="n">
        <v>0</v>
      </c>
      <c r="R8560" s="2" t="inlineStr"/>
    </row>
    <row r="8561" ht="15" customHeight="1">
      <c r="A8561" t="inlineStr">
        <is>
          <t>A 55013-2023</t>
        </is>
      </c>
      <c r="B8561" s="1" t="n">
        <v>45237.31706018518</v>
      </c>
      <c r="C8561" s="1" t="n">
        <v>45952</v>
      </c>
      <c r="D8561" t="inlineStr">
        <is>
          <t>VÄSTRA GÖTALANDS LÄN</t>
        </is>
      </c>
      <c r="E8561" t="inlineStr">
        <is>
          <t>FALKÖPING</t>
        </is>
      </c>
      <c r="G8561" t="n">
        <v>3.4</v>
      </c>
      <c r="H8561" t="n">
        <v>0</v>
      </c>
      <c r="I8561" t="n">
        <v>0</v>
      </c>
      <c r="J8561" t="n">
        <v>0</v>
      </c>
      <c r="K8561" t="n">
        <v>0</v>
      </c>
      <c r="L8561" t="n">
        <v>0</v>
      </c>
      <c r="M8561" t="n">
        <v>0</v>
      </c>
      <c r="N8561" t="n">
        <v>0</v>
      </c>
      <c r="O8561" t="n">
        <v>0</v>
      </c>
      <c r="P8561" t="n">
        <v>0</v>
      </c>
      <c r="Q8561" t="n">
        <v>0</v>
      </c>
      <c r="R8561" s="2" t="inlineStr"/>
    </row>
    <row r="8562" ht="15" customHeight="1">
      <c r="A8562" t="inlineStr">
        <is>
          <t>A 55014-2023</t>
        </is>
      </c>
      <c r="B8562" s="1" t="n">
        <v>45237.31819444444</v>
      </c>
      <c r="C8562" s="1" t="n">
        <v>45952</v>
      </c>
      <c r="D8562" t="inlineStr">
        <is>
          <t>VÄSTRA GÖTALANDS LÄN</t>
        </is>
      </c>
      <c r="E8562" t="inlineStr">
        <is>
          <t>MARK</t>
        </is>
      </c>
      <c r="G8562" t="n">
        <v>2.7</v>
      </c>
      <c r="H8562" t="n">
        <v>0</v>
      </c>
      <c r="I8562" t="n">
        <v>0</v>
      </c>
      <c r="J8562" t="n">
        <v>0</v>
      </c>
      <c r="K8562" t="n">
        <v>0</v>
      </c>
      <c r="L8562" t="n">
        <v>0</v>
      </c>
      <c r="M8562" t="n">
        <v>0</v>
      </c>
      <c r="N8562" t="n">
        <v>0</v>
      </c>
      <c r="O8562" t="n">
        <v>0</v>
      </c>
      <c r="P8562" t="n">
        <v>0</v>
      </c>
      <c r="Q8562" t="n">
        <v>0</v>
      </c>
      <c r="R8562" s="2" t="inlineStr"/>
    </row>
    <row r="8563" ht="15" customHeight="1">
      <c r="A8563" t="inlineStr">
        <is>
          <t>A 23784-2025</t>
        </is>
      </c>
      <c r="B8563" s="1" t="n">
        <v>45793.51618055555</v>
      </c>
      <c r="C8563" s="1" t="n">
        <v>45952</v>
      </c>
      <c r="D8563" t="inlineStr">
        <is>
          <t>VÄSTRA GÖTALANDS LÄN</t>
        </is>
      </c>
      <c r="E8563" t="inlineStr">
        <is>
          <t>ÅMÅL</t>
        </is>
      </c>
      <c r="G8563" t="n">
        <v>1.9</v>
      </c>
      <c r="H8563" t="n">
        <v>0</v>
      </c>
      <c r="I8563" t="n">
        <v>0</v>
      </c>
      <c r="J8563" t="n">
        <v>0</v>
      </c>
      <c r="K8563" t="n">
        <v>0</v>
      </c>
      <c r="L8563" t="n">
        <v>0</v>
      </c>
      <c r="M8563" t="n">
        <v>0</v>
      </c>
      <c r="N8563" t="n">
        <v>0</v>
      </c>
      <c r="O8563" t="n">
        <v>0</v>
      </c>
      <c r="P8563" t="n">
        <v>0</v>
      </c>
      <c r="Q8563" t="n">
        <v>0</v>
      </c>
      <c r="R8563" s="2" t="inlineStr"/>
    </row>
    <row r="8564" ht="15" customHeight="1">
      <c r="A8564" t="inlineStr">
        <is>
          <t>A 50966-2024</t>
        </is>
      </c>
      <c r="B8564" s="1" t="n">
        <v>45603</v>
      </c>
      <c r="C8564" s="1" t="n">
        <v>45952</v>
      </c>
      <c r="D8564" t="inlineStr">
        <is>
          <t>VÄSTRA GÖTALANDS LÄN</t>
        </is>
      </c>
      <c r="E8564" t="inlineStr">
        <is>
          <t>ULRICEHAMN</t>
        </is>
      </c>
      <c r="G8564" t="n">
        <v>4.9</v>
      </c>
      <c r="H8564" t="n">
        <v>0</v>
      </c>
      <c r="I8564" t="n">
        <v>0</v>
      </c>
      <c r="J8564" t="n">
        <v>0</v>
      </c>
      <c r="K8564" t="n">
        <v>0</v>
      </c>
      <c r="L8564" t="n">
        <v>0</v>
      </c>
      <c r="M8564" t="n">
        <v>0</v>
      </c>
      <c r="N8564" t="n">
        <v>0</v>
      </c>
      <c r="O8564" t="n">
        <v>0</v>
      </c>
      <c r="P8564" t="n">
        <v>0</v>
      </c>
      <c r="Q8564" t="n">
        <v>0</v>
      </c>
      <c r="R8564" s="2" t="inlineStr"/>
    </row>
    <row r="8565" ht="15" customHeight="1">
      <c r="A8565" t="inlineStr">
        <is>
          <t>A 47406-2025</t>
        </is>
      </c>
      <c r="B8565" s="1" t="n">
        <v>45930.61263888889</v>
      </c>
      <c r="C8565" s="1" t="n">
        <v>45952</v>
      </c>
      <c r="D8565" t="inlineStr">
        <is>
          <t>VÄSTRA GÖTALANDS LÄN</t>
        </is>
      </c>
      <c r="E8565" t="inlineStr">
        <is>
          <t>TIDAHOLM</t>
        </is>
      </c>
      <c r="F8565" t="inlineStr">
        <is>
          <t>Sveaskog</t>
        </is>
      </c>
      <c r="G8565" t="n">
        <v>6.2</v>
      </c>
      <c r="H8565" t="n">
        <v>0</v>
      </c>
      <c r="I8565" t="n">
        <v>0</v>
      </c>
      <c r="J8565" t="n">
        <v>0</v>
      </c>
      <c r="K8565" t="n">
        <v>0</v>
      </c>
      <c r="L8565" t="n">
        <v>0</v>
      </c>
      <c r="M8565" t="n">
        <v>0</v>
      </c>
      <c r="N8565" t="n">
        <v>0</v>
      </c>
      <c r="O8565" t="n">
        <v>0</v>
      </c>
      <c r="P8565" t="n">
        <v>0</v>
      </c>
      <c r="Q8565" t="n">
        <v>0</v>
      </c>
      <c r="R8565" s="2" t="inlineStr"/>
    </row>
    <row r="8566" ht="15" customHeight="1">
      <c r="A8566" t="inlineStr">
        <is>
          <t>A 39448-2025</t>
        </is>
      </c>
      <c r="B8566" s="1" t="n">
        <v>45889</v>
      </c>
      <c r="C8566" s="1" t="n">
        <v>45952</v>
      </c>
      <c r="D8566" t="inlineStr">
        <is>
          <t>VÄSTRA GÖTALANDS LÄN</t>
        </is>
      </c>
      <c r="E8566" t="inlineStr">
        <is>
          <t>ÅMÅL</t>
        </is>
      </c>
      <c r="F8566" t="inlineStr">
        <is>
          <t>Bergvik skog väst AB</t>
        </is>
      </c>
      <c r="G8566" t="n">
        <v>4</v>
      </c>
      <c r="H8566" t="n">
        <v>0</v>
      </c>
      <c r="I8566" t="n">
        <v>0</v>
      </c>
      <c r="J8566" t="n">
        <v>0</v>
      </c>
      <c r="K8566" t="n">
        <v>0</v>
      </c>
      <c r="L8566" t="n">
        <v>0</v>
      </c>
      <c r="M8566" t="n">
        <v>0</v>
      </c>
      <c r="N8566" t="n">
        <v>0</v>
      </c>
      <c r="O8566" t="n">
        <v>0</v>
      </c>
      <c r="P8566" t="n">
        <v>0</v>
      </c>
      <c r="Q8566" t="n">
        <v>0</v>
      </c>
      <c r="R8566" s="2" t="inlineStr"/>
    </row>
    <row r="8567" ht="15" customHeight="1">
      <c r="A8567" t="inlineStr">
        <is>
          <t>A 47387-2025</t>
        </is>
      </c>
      <c r="B8567" s="1" t="n">
        <v>45930.60043981481</v>
      </c>
      <c r="C8567" s="1" t="n">
        <v>45952</v>
      </c>
      <c r="D8567" t="inlineStr">
        <is>
          <t>VÄSTRA GÖTALANDS LÄN</t>
        </is>
      </c>
      <c r="E8567" t="inlineStr">
        <is>
          <t>TIDAHOLM</t>
        </is>
      </c>
      <c r="F8567" t="inlineStr">
        <is>
          <t>Sveaskog</t>
        </is>
      </c>
      <c r="G8567" t="n">
        <v>0.9</v>
      </c>
      <c r="H8567" t="n">
        <v>0</v>
      </c>
      <c r="I8567" t="n">
        <v>0</v>
      </c>
      <c r="J8567" t="n">
        <v>0</v>
      </c>
      <c r="K8567" t="n">
        <v>0</v>
      </c>
      <c r="L8567" t="n">
        <v>0</v>
      </c>
      <c r="M8567" t="n">
        <v>0</v>
      </c>
      <c r="N8567" t="n">
        <v>0</v>
      </c>
      <c r="O8567" t="n">
        <v>0</v>
      </c>
      <c r="P8567" t="n">
        <v>0</v>
      </c>
      <c r="Q8567" t="n">
        <v>0</v>
      </c>
      <c r="R8567" s="2" t="inlineStr"/>
    </row>
    <row r="8568" ht="15" customHeight="1">
      <c r="A8568" t="inlineStr">
        <is>
          <t>A 60766-2023</t>
        </is>
      </c>
      <c r="B8568" s="1" t="n">
        <v>45260.61935185185</v>
      </c>
      <c r="C8568" s="1" t="n">
        <v>45952</v>
      </c>
      <c r="D8568" t="inlineStr">
        <is>
          <t>VÄSTRA GÖTALANDS LÄN</t>
        </is>
      </c>
      <c r="E8568" t="inlineStr">
        <is>
          <t>FÄRGELANDA</t>
        </is>
      </c>
      <c r="G8568" t="n">
        <v>2.7</v>
      </c>
      <c r="H8568" t="n">
        <v>0</v>
      </c>
      <c r="I8568" t="n">
        <v>0</v>
      </c>
      <c r="J8568" t="n">
        <v>0</v>
      </c>
      <c r="K8568" t="n">
        <v>0</v>
      </c>
      <c r="L8568" t="n">
        <v>0</v>
      </c>
      <c r="M8568" t="n">
        <v>0</v>
      </c>
      <c r="N8568" t="n">
        <v>0</v>
      </c>
      <c r="O8568" t="n">
        <v>0</v>
      </c>
      <c r="P8568" t="n">
        <v>0</v>
      </c>
      <c r="Q8568" t="n">
        <v>0</v>
      </c>
      <c r="R8568" s="2" t="inlineStr"/>
    </row>
    <row r="8569" ht="15" customHeight="1">
      <c r="A8569" t="inlineStr">
        <is>
          <t>A 39857-2025</t>
        </is>
      </c>
      <c r="B8569" s="1" t="n">
        <v>45891.59125</v>
      </c>
      <c r="C8569" s="1" t="n">
        <v>45952</v>
      </c>
      <c r="D8569" t="inlineStr">
        <is>
          <t>VÄSTRA GÖTALANDS LÄN</t>
        </is>
      </c>
      <c r="E8569" t="inlineStr">
        <is>
          <t>FALKÖPING</t>
        </is>
      </c>
      <c r="G8569" t="n">
        <v>0.9</v>
      </c>
      <c r="H8569" t="n">
        <v>0</v>
      </c>
      <c r="I8569" t="n">
        <v>0</v>
      </c>
      <c r="J8569" t="n">
        <v>0</v>
      </c>
      <c r="K8569" t="n">
        <v>0</v>
      </c>
      <c r="L8569" t="n">
        <v>0</v>
      </c>
      <c r="M8569" t="n">
        <v>0</v>
      </c>
      <c r="N8569" t="n">
        <v>0</v>
      </c>
      <c r="O8569" t="n">
        <v>0</v>
      </c>
      <c r="P8569" t="n">
        <v>0</v>
      </c>
      <c r="Q8569" t="n">
        <v>0</v>
      </c>
      <c r="R8569" s="2" t="inlineStr"/>
    </row>
    <row r="8570" ht="15" customHeight="1">
      <c r="A8570" t="inlineStr">
        <is>
          <t>A 22636-2025</t>
        </is>
      </c>
      <c r="B8570" s="1" t="n">
        <v>45789.4496412037</v>
      </c>
      <c r="C8570" s="1" t="n">
        <v>45952</v>
      </c>
      <c r="D8570" t="inlineStr">
        <is>
          <t>VÄSTRA GÖTALANDS LÄN</t>
        </is>
      </c>
      <c r="E8570" t="inlineStr">
        <is>
          <t>SVENLJUNGA</t>
        </is>
      </c>
      <c r="G8570" t="n">
        <v>1.9</v>
      </c>
      <c r="H8570" t="n">
        <v>0</v>
      </c>
      <c r="I8570" t="n">
        <v>0</v>
      </c>
      <c r="J8570" t="n">
        <v>0</v>
      </c>
      <c r="K8570" t="n">
        <v>0</v>
      </c>
      <c r="L8570" t="n">
        <v>0</v>
      </c>
      <c r="M8570" t="n">
        <v>0</v>
      </c>
      <c r="N8570" t="n">
        <v>0</v>
      </c>
      <c r="O8570" t="n">
        <v>0</v>
      </c>
      <c r="P8570" t="n">
        <v>0</v>
      </c>
      <c r="Q8570" t="n">
        <v>0</v>
      </c>
      <c r="R8570" s="2" t="inlineStr"/>
    </row>
    <row r="8571" ht="15" customHeight="1">
      <c r="A8571" t="inlineStr">
        <is>
          <t>A 35125-2024</t>
        </is>
      </c>
      <c r="B8571" s="1" t="n">
        <v>45530.33131944444</v>
      </c>
      <c r="C8571" s="1" t="n">
        <v>45952</v>
      </c>
      <c r="D8571" t="inlineStr">
        <is>
          <t>VÄSTRA GÖTALANDS LÄN</t>
        </is>
      </c>
      <c r="E8571" t="inlineStr">
        <is>
          <t>TIDAHOLM</t>
        </is>
      </c>
      <c r="G8571" t="n">
        <v>4.5</v>
      </c>
      <c r="H8571" t="n">
        <v>0</v>
      </c>
      <c r="I8571" t="n">
        <v>0</v>
      </c>
      <c r="J8571" t="n">
        <v>0</v>
      </c>
      <c r="K8571" t="n">
        <v>0</v>
      </c>
      <c r="L8571" t="n">
        <v>0</v>
      </c>
      <c r="M8571" t="n">
        <v>0</v>
      </c>
      <c r="N8571" t="n">
        <v>0</v>
      </c>
      <c r="O8571" t="n">
        <v>0</v>
      </c>
      <c r="P8571" t="n">
        <v>0</v>
      </c>
      <c r="Q8571" t="n">
        <v>0</v>
      </c>
      <c r="R8571" s="2" t="inlineStr"/>
    </row>
    <row r="8572" ht="15" customHeight="1">
      <c r="A8572" t="inlineStr">
        <is>
          <t>A 22293-2025</t>
        </is>
      </c>
      <c r="B8572" s="1" t="n">
        <v>45786.34755787037</v>
      </c>
      <c r="C8572" s="1" t="n">
        <v>45952</v>
      </c>
      <c r="D8572" t="inlineStr">
        <is>
          <t>VÄSTRA GÖTALANDS LÄN</t>
        </is>
      </c>
      <c r="E8572" t="inlineStr">
        <is>
          <t>DALS-ED</t>
        </is>
      </c>
      <c r="G8572" t="n">
        <v>8</v>
      </c>
      <c r="H8572" t="n">
        <v>0</v>
      </c>
      <c r="I8572" t="n">
        <v>0</v>
      </c>
      <c r="J8572" t="n">
        <v>0</v>
      </c>
      <c r="K8572" t="n">
        <v>0</v>
      </c>
      <c r="L8572" t="n">
        <v>0</v>
      </c>
      <c r="M8572" t="n">
        <v>0</v>
      </c>
      <c r="N8572" t="n">
        <v>0</v>
      </c>
      <c r="O8572" t="n">
        <v>0</v>
      </c>
      <c r="P8572" t="n">
        <v>0</v>
      </c>
      <c r="Q8572" t="n">
        <v>0</v>
      </c>
      <c r="R8572" s="2" t="inlineStr"/>
    </row>
    <row r="8573" ht="15" customHeight="1">
      <c r="A8573" t="inlineStr">
        <is>
          <t>A 22414-2025</t>
        </is>
      </c>
      <c r="B8573" s="1" t="n">
        <v>45786.55561342592</v>
      </c>
      <c r="C8573" s="1" t="n">
        <v>45952</v>
      </c>
      <c r="D8573" t="inlineStr">
        <is>
          <t>VÄSTRA GÖTALANDS LÄN</t>
        </is>
      </c>
      <c r="E8573" t="inlineStr">
        <is>
          <t>MARIESTAD</t>
        </is>
      </c>
      <c r="F8573" t="inlineStr">
        <is>
          <t>Sveaskog</t>
        </is>
      </c>
      <c r="G8573" t="n">
        <v>5.8</v>
      </c>
      <c r="H8573" t="n">
        <v>0</v>
      </c>
      <c r="I8573" t="n">
        <v>0</v>
      </c>
      <c r="J8573" t="n">
        <v>0</v>
      </c>
      <c r="K8573" t="n">
        <v>0</v>
      </c>
      <c r="L8573" t="n">
        <v>0</v>
      </c>
      <c r="M8573" t="n">
        <v>0</v>
      </c>
      <c r="N8573" t="n">
        <v>0</v>
      </c>
      <c r="O8573" t="n">
        <v>0</v>
      </c>
      <c r="P8573" t="n">
        <v>0</v>
      </c>
      <c r="Q8573" t="n">
        <v>0</v>
      </c>
      <c r="R8573" s="2" t="inlineStr"/>
    </row>
    <row r="8574" ht="15" customHeight="1">
      <c r="A8574" t="inlineStr">
        <is>
          <t>A 22561-2025</t>
        </is>
      </c>
      <c r="B8574" s="1" t="n">
        <v>45789.3449537037</v>
      </c>
      <c r="C8574" s="1" t="n">
        <v>45952</v>
      </c>
      <c r="D8574" t="inlineStr">
        <is>
          <t>VÄSTRA GÖTALANDS LÄN</t>
        </is>
      </c>
      <c r="E8574" t="inlineStr">
        <is>
          <t>LILLA EDET</t>
        </is>
      </c>
      <c r="G8574" t="n">
        <v>2.2</v>
      </c>
      <c r="H8574" t="n">
        <v>0</v>
      </c>
      <c r="I8574" t="n">
        <v>0</v>
      </c>
      <c r="J8574" t="n">
        <v>0</v>
      </c>
      <c r="K8574" t="n">
        <v>0</v>
      </c>
      <c r="L8574" t="n">
        <v>0</v>
      </c>
      <c r="M8574" t="n">
        <v>0</v>
      </c>
      <c r="N8574" t="n">
        <v>0</v>
      </c>
      <c r="O8574" t="n">
        <v>0</v>
      </c>
      <c r="P8574" t="n">
        <v>0</v>
      </c>
      <c r="Q8574" t="n">
        <v>0</v>
      </c>
      <c r="R8574" s="2" t="inlineStr"/>
    </row>
    <row r="8575" ht="15" customHeight="1">
      <c r="A8575" t="inlineStr">
        <is>
          <t>A 48385-2025</t>
        </is>
      </c>
      <c r="B8575" s="1" t="n">
        <v>45933.84990740741</v>
      </c>
      <c r="C8575" s="1" t="n">
        <v>45952</v>
      </c>
      <c r="D8575" t="inlineStr">
        <is>
          <t>VÄSTRA GÖTALANDS LÄN</t>
        </is>
      </c>
      <c r="E8575" t="inlineStr">
        <is>
          <t>KARLSBORG</t>
        </is>
      </c>
      <c r="F8575" t="inlineStr">
        <is>
          <t>Sveaskog</t>
        </is>
      </c>
      <c r="G8575" t="n">
        <v>9.4</v>
      </c>
      <c r="H8575" t="n">
        <v>0</v>
      </c>
      <c r="I8575" t="n">
        <v>0</v>
      </c>
      <c r="J8575" t="n">
        <v>0</v>
      </c>
      <c r="K8575" t="n">
        <v>0</v>
      </c>
      <c r="L8575" t="n">
        <v>0</v>
      </c>
      <c r="M8575" t="n">
        <v>0</v>
      </c>
      <c r="N8575" t="n">
        <v>0</v>
      </c>
      <c r="O8575" t="n">
        <v>0</v>
      </c>
      <c r="P8575" t="n">
        <v>0</v>
      </c>
      <c r="Q8575" t="n">
        <v>0</v>
      </c>
      <c r="R8575" s="2" t="inlineStr"/>
    </row>
    <row r="8576" ht="15" customHeight="1">
      <c r="A8576" t="inlineStr">
        <is>
          <t>A 45353-2025</t>
        </is>
      </c>
      <c r="B8576" s="1" t="n">
        <v>45922.3640625</v>
      </c>
      <c r="C8576" s="1" t="n">
        <v>45952</v>
      </c>
      <c r="D8576" t="inlineStr">
        <is>
          <t>VÄSTRA GÖTALANDS LÄN</t>
        </is>
      </c>
      <c r="E8576" t="inlineStr">
        <is>
          <t>MARK</t>
        </is>
      </c>
      <c r="G8576" t="n">
        <v>1.5</v>
      </c>
      <c r="H8576" t="n">
        <v>0</v>
      </c>
      <c r="I8576" t="n">
        <v>0</v>
      </c>
      <c r="J8576" t="n">
        <v>0</v>
      </c>
      <c r="K8576" t="n">
        <v>0</v>
      </c>
      <c r="L8576" t="n">
        <v>0</v>
      </c>
      <c r="M8576" t="n">
        <v>0</v>
      </c>
      <c r="N8576" t="n">
        <v>0</v>
      </c>
      <c r="O8576" t="n">
        <v>0</v>
      </c>
      <c r="P8576" t="n">
        <v>0</v>
      </c>
      <c r="Q8576" t="n">
        <v>0</v>
      </c>
      <c r="R8576" s="2" t="inlineStr"/>
    </row>
    <row r="8577" ht="15" customHeight="1">
      <c r="A8577" t="inlineStr">
        <is>
          <t>A 48386-2025</t>
        </is>
      </c>
      <c r="B8577" s="1" t="n">
        <v>45933.85197916667</v>
      </c>
      <c r="C8577" s="1" t="n">
        <v>45952</v>
      </c>
      <c r="D8577" t="inlineStr">
        <is>
          <t>VÄSTRA GÖTALANDS LÄN</t>
        </is>
      </c>
      <c r="E8577" t="inlineStr">
        <is>
          <t>KARLSBORG</t>
        </is>
      </c>
      <c r="F8577" t="inlineStr">
        <is>
          <t>Sveaskog</t>
        </is>
      </c>
      <c r="G8577" t="n">
        <v>9.4</v>
      </c>
      <c r="H8577" t="n">
        <v>0</v>
      </c>
      <c r="I8577" t="n">
        <v>0</v>
      </c>
      <c r="J8577" t="n">
        <v>0</v>
      </c>
      <c r="K8577" t="n">
        <v>0</v>
      </c>
      <c r="L8577" t="n">
        <v>0</v>
      </c>
      <c r="M8577" t="n">
        <v>0</v>
      </c>
      <c r="N8577" t="n">
        <v>0</v>
      </c>
      <c r="O8577" t="n">
        <v>0</v>
      </c>
      <c r="P8577" t="n">
        <v>0</v>
      </c>
      <c r="Q8577" t="n">
        <v>0</v>
      </c>
      <c r="R8577" s="2" t="inlineStr"/>
    </row>
    <row r="8578" ht="15" customHeight="1">
      <c r="A8578" t="inlineStr">
        <is>
          <t>A 6355-2024</t>
        </is>
      </c>
      <c r="B8578" s="1" t="n">
        <v>45338.47413194444</v>
      </c>
      <c r="C8578" s="1" t="n">
        <v>45952</v>
      </c>
      <c r="D8578" t="inlineStr">
        <is>
          <t>VÄSTRA GÖTALANDS LÄN</t>
        </is>
      </c>
      <c r="E8578" t="inlineStr">
        <is>
          <t>TIBRO</t>
        </is>
      </c>
      <c r="G8578" t="n">
        <v>1.9</v>
      </c>
      <c r="H8578" t="n">
        <v>0</v>
      </c>
      <c r="I8578" t="n">
        <v>0</v>
      </c>
      <c r="J8578" t="n">
        <v>0</v>
      </c>
      <c r="K8578" t="n">
        <v>0</v>
      </c>
      <c r="L8578" t="n">
        <v>0</v>
      </c>
      <c r="M8578" t="n">
        <v>0</v>
      </c>
      <c r="N8578" t="n">
        <v>0</v>
      </c>
      <c r="O8578" t="n">
        <v>0</v>
      </c>
      <c r="P8578" t="n">
        <v>0</v>
      </c>
      <c r="Q8578" t="n">
        <v>0</v>
      </c>
      <c r="R8578" s="2" t="inlineStr"/>
    </row>
    <row r="8579" ht="15" customHeight="1">
      <c r="A8579" t="inlineStr">
        <is>
          <t>A 47522-2024</t>
        </is>
      </c>
      <c r="B8579" s="1" t="n">
        <v>45587.63065972222</v>
      </c>
      <c r="C8579" s="1" t="n">
        <v>45952</v>
      </c>
      <c r="D8579" t="inlineStr">
        <is>
          <t>VÄSTRA GÖTALANDS LÄN</t>
        </is>
      </c>
      <c r="E8579" t="inlineStr">
        <is>
          <t>BOLLEBYGD</t>
        </is>
      </c>
      <c r="F8579" t="inlineStr">
        <is>
          <t>Sveaskog</t>
        </is>
      </c>
      <c r="G8579" t="n">
        <v>1.5</v>
      </c>
      <c r="H8579" t="n">
        <v>0</v>
      </c>
      <c r="I8579" t="n">
        <v>0</v>
      </c>
      <c r="J8579" t="n">
        <v>0</v>
      </c>
      <c r="K8579" t="n">
        <v>0</v>
      </c>
      <c r="L8579" t="n">
        <v>0</v>
      </c>
      <c r="M8579" t="n">
        <v>0</v>
      </c>
      <c r="N8579" t="n">
        <v>0</v>
      </c>
      <c r="O8579" t="n">
        <v>0</v>
      </c>
      <c r="P8579" t="n">
        <v>0</v>
      </c>
      <c r="Q8579" t="n">
        <v>0</v>
      </c>
      <c r="R8579" s="2" t="inlineStr"/>
    </row>
    <row r="8580" ht="15" customHeight="1">
      <c r="A8580" t="inlineStr">
        <is>
          <t>A 55972-2022</t>
        </is>
      </c>
      <c r="B8580" s="1" t="n">
        <v>44889</v>
      </c>
      <c r="C8580" s="1" t="n">
        <v>45952</v>
      </c>
      <c r="D8580" t="inlineStr">
        <is>
          <t>VÄSTRA GÖTALANDS LÄN</t>
        </is>
      </c>
      <c r="E8580" t="inlineStr">
        <is>
          <t>LILLA EDET</t>
        </is>
      </c>
      <c r="G8580" t="n">
        <v>4</v>
      </c>
      <c r="H8580" t="n">
        <v>0</v>
      </c>
      <c r="I8580" t="n">
        <v>0</v>
      </c>
      <c r="J8580" t="n">
        <v>0</v>
      </c>
      <c r="K8580" t="n">
        <v>0</v>
      </c>
      <c r="L8580" t="n">
        <v>0</v>
      </c>
      <c r="M8580" t="n">
        <v>0</v>
      </c>
      <c r="N8580" t="n">
        <v>0</v>
      </c>
      <c r="O8580" t="n">
        <v>0</v>
      </c>
      <c r="P8580" t="n">
        <v>0</v>
      </c>
      <c r="Q8580" t="n">
        <v>0</v>
      </c>
      <c r="R8580" s="2" t="inlineStr"/>
    </row>
    <row r="8581" ht="15" customHeight="1">
      <c r="A8581" t="inlineStr">
        <is>
          <t>A 44431-2023</t>
        </is>
      </c>
      <c r="B8581" s="1" t="n">
        <v>45189.35152777778</v>
      </c>
      <c r="C8581" s="1" t="n">
        <v>45952</v>
      </c>
      <c r="D8581" t="inlineStr">
        <is>
          <t>VÄSTRA GÖTALANDS LÄN</t>
        </is>
      </c>
      <c r="E8581" t="inlineStr">
        <is>
          <t>VÅRGÅRDA</t>
        </is>
      </c>
      <c r="G8581" t="n">
        <v>2.5</v>
      </c>
      <c r="H8581" t="n">
        <v>0</v>
      </c>
      <c r="I8581" t="n">
        <v>0</v>
      </c>
      <c r="J8581" t="n">
        <v>0</v>
      </c>
      <c r="K8581" t="n">
        <v>0</v>
      </c>
      <c r="L8581" t="n">
        <v>0</v>
      </c>
      <c r="M8581" t="n">
        <v>0</v>
      </c>
      <c r="N8581" t="n">
        <v>0</v>
      </c>
      <c r="O8581" t="n">
        <v>0</v>
      </c>
      <c r="P8581" t="n">
        <v>0</v>
      </c>
      <c r="Q8581" t="n">
        <v>0</v>
      </c>
      <c r="R8581" s="2" t="inlineStr"/>
    </row>
    <row r="8582" ht="15" customHeight="1">
      <c r="A8582" t="inlineStr">
        <is>
          <t>A 4947-2025</t>
        </is>
      </c>
      <c r="B8582" s="1" t="n">
        <v>45688.86247685185</v>
      </c>
      <c r="C8582" s="1" t="n">
        <v>45952</v>
      </c>
      <c r="D8582" t="inlineStr">
        <is>
          <t>VÄSTRA GÖTALANDS LÄN</t>
        </is>
      </c>
      <c r="E8582" t="inlineStr">
        <is>
          <t>MUNKEDAL</t>
        </is>
      </c>
      <c r="G8582" t="n">
        <v>1.4</v>
      </c>
      <c r="H8582" t="n">
        <v>0</v>
      </c>
      <c r="I8582" t="n">
        <v>0</v>
      </c>
      <c r="J8582" t="n">
        <v>0</v>
      </c>
      <c r="K8582" t="n">
        <v>0</v>
      </c>
      <c r="L8582" t="n">
        <v>0</v>
      </c>
      <c r="M8582" t="n">
        <v>0</v>
      </c>
      <c r="N8582" t="n">
        <v>0</v>
      </c>
      <c r="O8582" t="n">
        <v>0</v>
      </c>
      <c r="P8582" t="n">
        <v>0</v>
      </c>
      <c r="Q8582" t="n">
        <v>0</v>
      </c>
      <c r="R8582" s="2" t="inlineStr"/>
    </row>
    <row r="8583" ht="15" customHeight="1">
      <c r="A8583" t="inlineStr">
        <is>
          <t>A 24179-2025</t>
        </is>
      </c>
      <c r="B8583" s="1" t="n">
        <v>45796.72856481482</v>
      </c>
      <c r="C8583" s="1" t="n">
        <v>45952</v>
      </c>
      <c r="D8583" t="inlineStr">
        <is>
          <t>VÄSTRA GÖTALANDS LÄN</t>
        </is>
      </c>
      <c r="E8583" t="inlineStr">
        <is>
          <t>ORUST</t>
        </is>
      </c>
      <c r="G8583" t="n">
        <v>2</v>
      </c>
      <c r="H8583" t="n">
        <v>0</v>
      </c>
      <c r="I8583" t="n">
        <v>0</v>
      </c>
      <c r="J8583" t="n">
        <v>0</v>
      </c>
      <c r="K8583" t="n">
        <v>0</v>
      </c>
      <c r="L8583" t="n">
        <v>0</v>
      </c>
      <c r="M8583" t="n">
        <v>0</v>
      </c>
      <c r="N8583" t="n">
        <v>0</v>
      </c>
      <c r="O8583" t="n">
        <v>0</v>
      </c>
      <c r="P8583" t="n">
        <v>0</v>
      </c>
      <c r="Q8583" t="n">
        <v>0</v>
      </c>
      <c r="R8583" s="2" t="inlineStr"/>
    </row>
    <row r="8584" ht="15" customHeight="1">
      <c r="A8584" t="inlineStr">
        <is>
          <t>A 56001-2022</t>
        </is>
      </c>
      <c r="B8584" s="1" t="n">
        <v>44889.48150462963</v>
      </c>
      <c r="C8584" s="1" t="n">
        <v>45952</v>
      </c>
      <c r="D8584" t="inlineStr">
        <is>
          <t>VÄSTRA GÖTALANDS LÄN</t>
        </is>
      </c>
      <c r="E8584" t="inlineStr">
        <is>
          <t>BENGTSFORS</t>
        </is>
      </c>
      <c r="G8584" t="n">
        <v>1.5</v>
      </c>
      <c r="H8584" t="n">
        <v>0</v>
      </c>
      <c r="I8584" t="n">
        <v>0</v>
      </c>
      <c r="J8584" t="n">
        <v>0</v>
      </c>
      <c r="K8584" t="n">
        <v>0</v>
      </c>
      <c r="L8584" t="n">
        <v>0</v>
      </c>
      <c r="M8584" t="n">
        <v>0</v>
      </c>
      <c r="N8584" t="n">
        <v>0</v>
      </c>
      <c r="O8584" t="n">
        <v>0</v>
      </c>
      <c r="P8584" t="n">
        <v>0</v>
      </c>
      <c r="Q8584" t="n">
        <v>0</v>
      </c>
      <c r="R8584" s="2" t="inlineStr"/>
    </row>
    <row r="8585" ht="15" customHeight="1">
      <c r="A8585" t="inlineStr">
        <is>
          <t>A 725-2025</t>
        </is>
      </c>
      <c r="B8585" s="1" t="n">
        <v>45665.391875</v>
      </c>
      <c r="C8585" s="1" t="n">
        <v>45952</v>
      </c>
      <c r="D8585" t="inlineStr">
        <is>
          <t>VÄSTRA GÖTALANDS LÄN</t>
        </is>
      </c>
      <c r="E8585" t="inlineStr">
        <is>
          <t>VARA</t>
        </is>
      </c>
      <c r="G8585" t="n">
        <v>2.2</v>
      </c>
      <c r="H8585" t="n">
        <v>0</v>
      </c>
      <c r="I8585" t="n">
        <v>0</v>
      </c>
      <c r="J8585" t="n">
        <v>0</v>
      </c>
      <c r="K8585" t="n">
        <v>0</v>
      </c>
      <c r="L8585" t="n">
        <v>0</v>
      </c>
      <c r="M8585" t="n">
        <v>0</v>
      </c>
      <c r="N8585" t="n">
        <v>0</v>
      </c>
      <c r="O8585" t="n">
        <v>0</v>
      </c>
      <c r="P8585" t="n">
        <v>0</v>
      </c>
      <c r="Q8585" t="n">
        <v>0</v>
      </c>
      <c r="R8585" s="2" t="inlineStr"/>
    </row>
    <row r="8586" ht="15" customHeight="1">
      <c r="A8586" t="inlineStr">
        <is>
          <t>A 45978-2022</t>
        </is>
      </c>
      <c r="B8586" s="1" t="n">
        <v>44846.69284722222</v>
      </c>
      <c r="C8586" s="1" t="n">
        <v>45952</v>
      </c>
      <c r="D8586" t="inlineStr">
        <is>
          <t>VÄSTRA GÖTALANDS LÄN</t>
        </is>
      </c>
      <c r="E8586" t="inlineStr">
        <is>
          <t>VÅRGÅRDA</t>
        </is>
      </c>
      <c r="G8586" t="n">
        <v>2.1</v>
      </c>
      <c r="H8586" t="n">
        <v>0</v>
      </c>
      <c r="I8586" t="n">
        <v>0</v>
      </c>
      <c r="J8586" t="n">
        <v>0</v>
      </c>
      <c r="K8586" t="n">
        <v>0</v>
      </c>
      <c r="L8586" t="n">
        <v>0</v>
      </c>
      <c r="M8586" t="n">
        <v>0</v>
      </c>
      <c r="N8586" t="n">
        <v>0</v>
      </c>
      <c r="O8586" t="n">
        <v>0</v>
      </c>
      <c r="P8586" t="n">
        <v>0</v>
      </c>
      <c r="Q8586" t="n">
        <v>0</v>
      </c>
      <c r="R8586" s="2" t="inlineStr"/>
    </row>
    <row r="8587" ht="15" customHeight="1">
      <c r="A8587" t="inlineStr">
        <is>
          <t>A 20177-2024</t>
        </is>
      </c>
      <c r="B8587" s="1" t="n">
        <v>45434.61606481481</v>
      </c>
      <c r="C8587" s="1" t="n">
        <v>45952</v>
      </c>
      <c r="D8587" t="inlineStr">
        <is>
          <t>VÄSTRA GÖTALANDS LÄN</t>
        </is>
      </c>
      <c r="E8587" t="inlineStr">
        <is>
          <t>MARK</t>
        </is>
      </c>
      <c r="G8587" t="n">
        <v>2.8</v>
      </c>
      <c r="H8587" t="n">
        <v>0</v>
      </c>
      <c r="I8587" t="n">
        <v>0</v>
      </c>
      <c r="J8587" t="n">
        <v>0</v>
      </c>
      <c r="K8587" t="n">
        <v>0</v>
      </c>
      <c r="L8587" t="n">
        <v>0</v>
      </c>
      <c r="M8587" t="n">
        <v>0</v>
      </c>
      <c r="N8587" t="n">
        <v>0</v>
      </c>
      <c r="O8587" t="n">
        <v>0</v>
      </c>
      <c r="P8587" t="n">
        <v>0</v>
      </c>
      <c r="Q8587" t="n">
        <v>0</v>
      </c>
      <c r="R8587" s="2" t="inlineStr"/>
    </row>
    <row r="8588" ht="15" customHeight="1">
      <c r="A8588" t="inlineStr">
        <is>
          <t>A 9109-2025</t>
        </is>
      </c>
      <c r="B8588" s="1" t="n">
        <v>45713.77140046296</v>
      </c>
      <c r="C8588" s="1" t="n">
        <v>45952</v>
      </c>
      <c r="D8588" t="inlineStr">
        <is>
          <t>VÄSTRA GÖTALANDS LÄN</t>
        </is>
      </c>
      <c r="E8588" t="inlineStr">
        <is>
          <t>TÖREBODA</t>
        </is>
      </c>
      <c r="G8588" t="n">
        <v>1.7</v>
      </c>
      <c r="H8588" t="n">
        <v>0</v>
      </c>
      <c r="I8588" t="n">
        <v>0</v>
      </c>
      <c r="J8588" t="n">
        <v>0</v>
      </c>
      <c r="K8588" t="n">
        <v>0</v>
      </c>
      <c r="L8588" t="n">
        <v>0</v>
      </c>
      <c r="M8588" t="n">
        <v>0</v>
      </c>
      <c r="N8588" t="n">
        <v>0</v>
      </c>
      <c r="O8588" t="n">
        <v>0</v>
      </c>
      <c r="P8588" t="n">
        <v>0</v>
      </c>
      <c r="Q8588" t="n">
        <v>0</v>
      </c>
      <c r="R8588" s="2" t="inlineStr"/>
    </row>
    <row r="8589" ht="15" customHeight="1">
      <c r="A8589" t="inlineStr">
        <is>
          <t>A 20332-2023</t>
        </is>
      </c>
      <c r="B8589" s="1" t="n">
        <v>45056.47526620371</v>
      </c>
      <c r="C8589" s="1" t="n">
        <v>45952</v>
      </c>
      <c r="D8589" t="inlineStr">
        <is>
          <t>VÄSTRA GÖTALANDS LÄN</t>
        </is>
      </c>
      <c r="E8589" t="inlineStr">
        <is>
          <t>ESSUNGA</t>
        </is>
      </c>
      <c r="G8589" t="n">
        <v>1.1</v>
      </c>
      <c r="H8589" t="n">
        <v>0</v>
      </c>
      <c r="I8589" t="n">
        <v>0</v>
      </c>
      <c r="J8589" t="n">
        <v>0</v>
      </c>
      <c r="K8589" t="n">
        <v>0</v>
      </c>
      <c r="L8589" t="n">
        <v>0</v>
      </c>
      <c r="M8589" t="n">
        <v>0</v>
      </c>
      <c r="N8589" t="n">
        <v>0</v>
      </c>
      <c r="O8589" t="n">
        <v>0</v>
      </c>
      <c r="P8589" t="n">
        <v>0</v>
      </c>
      <c r="Q8589" t="n">
        <v>0</v>
      </c>
      <c r="R8589" s="2" t="inlineStr"/>
    </row>
    <row r="8590" ht="15" customHeight="1">
      <c r="A8590" t="inlineStr">
        <is>
          <t>A 45303-2024</t>
        </is>
      </c>
      <c r="B8590" s="1" t="n">
        <v>45576.4172337963</v>
      </c>
      <c r="C8590" s="1" t="n">
        <v>45952</v>
      </c>
      <c r="D8590" t="inlineStr">
        <is>
          <t>VÄSTRA GÖTALANDS LÄN</t>
        </is>
      </c>
      <c r="E8590" t="inlineStr">
        <is>
          <t>VARA</t>
        </is>
      </c>
      <c r="G8590" t="n">
        <v>8.300000000000001</v>
      </c>
      <c r="H8590" t="n">
        <v>0</v>
      </c>
      <c r="I8590" t="n">
        <v>0</v>
      </c>
      <c r="J8590" t="n">
        <v>0</v>
      </c>
      <c r="K8590" t="n">
        <v>0</v>
      </c>
      <c r="L8590" t="n">
        <v>0</v>
      </c>
      <c r="M8590" t="n">
        <v>0</v>
      </c>
      <c r="N8590" t="n">
        <v>0</v>
      </c>
      <c r="O8590" t="n">
        <v>0</v>
      </c>
      <c r="P8590" t="n">
        <v>0</v>
      </c>
      <c r="Q8590" t="n">
        <v>0</v>
      </c>
      <c r="R8590" s="2" t="inlineStr"/>
    </row>
    <row r="8591" ht="15" customHeight="1">
      <c r="A8591" t="inlineStr">
        <is>
          <t>A 59401-2022</t>
        </is>
      </c>
      <c r="B8591" s="1" t="n">
        <v>44906.90962962963</v>
      </c>
      <c r="C8591" s="1" t="n">
        <v>45952</v>
      </c>
      <c r="D8591" t="inlineStr">
        <is>
          <t>VÄSTRA GÖTALANDS LÄN</t>
        </is>
      </c>
      <c r="E8591" t="inlineStr">
        <is>
          <t>KARLSBORG</t>
        </is>
      </c>
      <c r="G8591" t="n">
        <v>1.2</v>
      </c>
      <c r="H8591" t="n">
        <v>0</v>
      </c>
      <c r="I8591" t="n">
        <v>0</v>
      </c>
      <c r="J8591" t="n">
        <v>0</v>
      </c>
      <c r="K8591" t="n">
        <v>0</v>
      </c>
      <c r="L8591" t="n">
        <v>0</v>
      </c>
      <c r="M8591" t="n">
        <v>0</v>
      </c>
      <c r="N8591" t="n">
        <v>0</v>
      </c>
      <c r="O8591" t="n">
        <v>0</v>
      </c>
      <c r="P8591" t="n">
        <v>0</v>
      </c>
      <c r="Q8591" t="n">
        <v>0</v>
      </c>
      <c r="R8591" s="2" t="inlineStr"/>
    </row>
    <row r="8592" ht="15" customHeight="1">
      <c r="A8592" t="inlineStr">
        <is>
          <t>A 2420-2022</t>
        </is>
      </c>
      <c r="B8592" s="1" t="n">
        <v>44579.50421296297</v>
      </c>
      <c r="C8592" s="1" t="n">
        <v>45952</v>
      </c>
      <c r="D8592" t="inlineStr">
        <is>
          <t>VÄSTRA GÖTALANDS LÄN</t>
        </is>
      </c>
      <c r="E8592" t="inlineStr">
        <is>
          <t>TANUM</t>
        </is>
      </c>
      <c r="G8592" t="n">
        <v>1.1</v>
      </c>
      <c r="H8592" t="n">
        <v>0</v>
      </c>
      <c r="I8592" t="n">
        <v>0</v>
      </c>
      <c r="J8592" t="n">
        <v>0</v>
      </c>
      <c r="K8592" t="n">
        <v>0</v>
      </c>
      <c r="L8592" t="n">
        <v>0</v>
      </c>
      <c r="M8592" t="n">
        <v>0</v>
      </c>
      <c r="N8592" t="n">
        <v>0</v>
      </c>
      <c r="O8592" t="n">
        <v>0</v>
      </c>
      <c r="P8592" t="n">
        <v>0</v>
      </c>
      <c r="Q8592" t="n">
        <v>0</v>
      </c>
      <c r="R8592" s="2" t="inlineStr"/>
    </row>
    <row r="8593" ht="15" customHeight="1">
      <c r="A8593" t="inlineStr">
        <is>
          <t>A 53829-2023</t>
        </is>
      </c>
      <c r="B8593" s="1" t="n">
        <v>45231</v>
      </c>
      <c r="C8593" s="1" t="n">
        <v>45952</v>
      </c>
      <c r="D8593" t="inlineStr">
        <is>
          <t>VÄSTRA GÖTALANDS LÄN</t>
        </is>
      </c>
      <c r="E8593" t="inlineStr">
        <is>
          <t>ULRICEHAMN</t>
        </is>
      </c>
      <c r="F8593" t="inlineStr">
        <is>
          <t>Kommuner</t>
        </is>
      </c>
      <c r="G8593" t="n">
        <v>4.4</v>
      </c>
      <c r="H8593" t="n">
        <v>0</v>
      </c>
      <c r="I8593" t="n">
        <v>0</v>
      </c>
      <c r="J8593" t="n">
        <v>0</v>
      </c>
      <c r="K8593" t="n">
        <v>0</v>
      </c>
      <c r="L8593" t="n">
        <v>0</v>
      </c>
      <c r="M8593" t="n">
        <v>0</v>
      </c>
      <c r="N8593" t="n">
        <v>0</v>
      </c>
      <c r="O8593" t="n">
        <v>0</v>
      </c>
      <c r="P8593" t="n">
        <v>0</v>
      </c>
      <c r="Q8593" t="n">
        <v>0</v>
      </c>
      <c r="R8593" s="2" t="inlineStr"/>
    </row>
    <row r="8594" ht="15" customHeight="1">
      <c r="A8594" t="inlineStr">
        <is>
          <t>A 21906-2024</t>
        </is>
      </c>
      <c r="B8594" s="1" t="n">
        <v>45443.35165509259</v>
      </c>
      <c r="C8594" s="1" t="n">
        <v>45952</v>
      </c>
      <c r="D8594" t="inlineStr">
        <is>
          <t>VÄSTRA GÖTALANDS LÄN</t>
        </is>
      </c>
      <c r="E8594" t="inlineStr">
        <is>
          <t>MARK</t>
        </is>
      </c>
      <c r="F8594" t="inlineStr">
        <is>
          <t>Kyrkan</t>
        </is>
      </c>
      <c r="G8594" t="n">
        <v>1.6</v>
      </c>
      <c r="H8594" t="n">
        <v>0</v>
      </c>
      <c r="I8594" t="n">
        <v>0</v>
      </c>
      <c r="J8594" t="n">
        <v>0</v>
      </c>
      <c r="K8594" t="n">
        <v>0</v>
      </c>
      <c r="L8594" t="n">
        <v>0</v>
      </c>
      <c r="M8594" t="n">
        <v>0</v>
      </c>
      <c r="N8594" t="n">
        <v>0</v>
      </c>
      <c r="O8594" t="n">
        <v>0</v>
      </c>
      <c r="P8594" t="n">
        <v>0</v>
      </c>
      <c r="Q8594" t="n">
        <v>0</v>
      </c>
      <c r="R8594" s="2" t="inlineStr"/>
    </row>
    <row r="8595" ht="15" customHeight="1">
      <c r="A8595" t="inlineStr">
        <is>
          <t>A 24482-2024</t>
        </is>
      </c>
      <c r="B8595" s="1" t="n">
        <v>45459.38876157408</v>
      </c>
      <c r="C8595" s="1" t="n">
        <v>45952</v>
      </c>
      <c r="D8595" t="inlineStr">
        <is>
          <t>VÄSTRA GÖTALANDS LÄN</t>
        </is>
      </c>
      <c r="E8595" t="inlineStr">
        <is>
          <t>DALS-ED</t>
        </is>
      </c>
      <c r="G8595" t="n">
        <v>0.9</v>
      </c>
      <c r="H8595" t="n">
        <v>0</v>
      </c>
      <c r="I8595" t="n">
        <v>0</v>
      </c>
      <c r="J8595" t="n">
        <v>0</v>
      </c>
      <c r="K8595" t="n">
        <v>0</v>
      </c>
      <c r="L8595" t="n">
        <v>0</v>
      </c>
      <c r="M8595" t="n">
        <v>0</v>
      </c>
      <c r="N8595" t="n">
        <v>0</v>
      </c>
      <c r="O8595" t="n">
        <v>0</v>
      </c>
      <c r="P8595" t="n">
        <v>0</v>
      </c>
      <c r="Q8595" t="n">
        <v>0</v>
      </c>
      <c r="R8595" s="2" t="inlineStr"/>
    </row>
    <row r="8596" ht="15" customHeight="1">
      <c r="A8596" t="inlineStr">
        <is>
          <t>A 22424-2025</t>
        </is>
      </c>
      <c r="B8596" s="1" t="n">
        <v>45786.56738425926</v>
      </c>
      <c r="C8596" s="1" t="n">
        <v>45952</v>
      </c>
      <c r="D8596" t="inlineStr">
        <is>
          <t>VÄSTRA GÖTALANDS LÄN</t>
        </is>
      </c>
      <c r="E8596" t="inlineStr">
        <is>
          <t>BOLLEBYGD</t>
        </is>
      </c>
      <c r="G8596" t="n">
        <v>1.9</v>
      </c>
      <c r="H8596" t="n">
        <v>0</v>
      </c>
      <c r="I8596" t="n">
        <v>0</v>
      </c>
      <c r="J8596" t="n">
        <v>0</v>
      </c>
      <c r="K8596" t="n">
        <v>0</v>
      </c>
      <c r="L8596" t="n">
        <v>0</v>
      </c>
      <c r="M8596" t="n">
        <v>0</v>
      </c>
      <c r="N8596" t="n">
        <v>0</v>
      </c>
      <c r="O8596" t="n">
        <v>0</v>
      </c>
      <c r="P8596" t="n">
        <v>0</v>
      </c>
      <c r="Q8596" t="n">
        <v>0</v>
      </c>
      <c r="R8596" s="2" t="inlineStr"/>
    </row>
    <row r="8597" ht="15" customHeight="1">
      <c r="A8597" t="inlineStr">
        <is>
          <t>A 22638-2025</t>
        </is>
      </c>
      <c r="B8597" s="1" t="n">
        <v>45789.4516087963</v>
      </c>
      <c r="C8597" s="1" t="n">
        <v>45952</v>
      </c>
      <c r="D8597" t="inlineStr">
        <is>
          <t>VÄSTRA GÖTALANDS LÄN</t>
        </is>
      </c>
      <c r="E8597" t="inlineStr">
        <is>
          <t>SVENLJUNGA</t>
        </is>
      </c>
      <c r="G8597" t="n">
        <v>4.6</v>
      </c>
      <c r="H8597" t="n">
        <v>0</v>
      </c>
      <c r="I8597" t="n">
        <v>0</v>
      </c>
      <c r="J8597" t="n">
        <v>0</v>
      </c>
      <c r="K8597" t="n">
        <v>0</v>
      </c>
      <c r="L8597" t="n">
        <v>0</v>
      </c>
      <c r="M8597" t="n">
        <v>0</v>
      </c>
      <c r="N8597" t="n">
        <v>0</v>
      </c>
      <c r="O8597" t="n">
        <v>0</v>
      </c>
      <c r="P8597" t="n">
        <v>0</v>
      </c>
      <c r="Q8597" t="n">
        <v>0</v>
      </c>
      <c r="R8597" s="2" t="inlineStr"/>
    </row>
    <row r="8598" ht="15" customHeight="1">
      <c r="A8598" t="inlineStr">
        <is>
          <t>A 22728-2025</t>
        </is>
      </c>
      <c r="B8598" s="1" t="n">
        <v>45789.57516203704</v>
      </c>
      <c r="C8598" s="1" t="n">
        <v>45952</v>
      </c>
      <c r="D8598" t="inlineStr">
        <is>
          <t>VÄSTRA GÖTALANDS LÄN</t>
        </is>
      </c>
      <c r="E8598" t="inlineStr">
        <is>
          <t>STENUNGSUND</t>
        </is>
      </c>
      <c r="G8598" t="n">
        <v>1.3</v>
      </c>
      <c r="H8598" t="n">
        <v>0</v>
      </c>
      <c r="I8598" t="n">
        <v>0</v>
      </c>
      <c r="J8598" t="n">
        <v>0</v>
      </c>
      <c r="K8598" t="n">
        <v>0</v>
      </c>
      <c r="L8598" t="n">
        <v>0</v>
      </c>
      <c r="M8598" t="n">
        <v>0</v>
      </c>
      <c r="N8598" t="n">
        <v>0</v>
      </c>
      <c r="O8598" t="n">
        <v>0</v>
      </c>
      <c r="P8598" t="n">
        <v>0</v>
      </c>
      <c r="Q8598" t="n">
        <v>0</v>
      </c>
      <c r="R8598" s="2" t="inlineStr"/>
    </row>
    <row r="8599" ht="15" customHeight="1">
      <c r="A8599" t="inlineStr">
        <is>
          <t>A 56345-2020</t>
        </is>
      </c>
      <c r="B8599" s="1" t="n">
        <v>44134</v>
      </c>
      <c r="C8599" s="1" t="n">
        <v>45952</v>
      </c>
      <c r="D8599" t="inlineStr">
        <is>
          <t>VÄSTRA GÖTALANDS LÄN</t>
        </is>
      </c>
      <c r="E8599" t="inlineStr">
        <is>
          <t>TIDAHOLM</t>
        </is>
      </c>
      <c r="G8599" t="n">
        <v>1.5</v>
      </c>
      <c r="H8599" t="n">
        <v>0</v>
      </c>
      <c r="I8599" t="n">
        <v>0</v>
      </c>
      <c r="J8599" t="n">
        <v>0</v>
      </c>
      <c r="K8599" t="n">
        <v>0</v>
      </c>
      <c r="L8599" t="n">
        <v>0</v>
      </c>
      <c r="M8599" t="n">
        <v>0</v>
      </c>
      <c r="N8599" t="n">
        <v>0</v>
      </c>
      <c r="O8599" t="n">
        <v>0</v>
      </c>
      <c r="P8599" t="n">
        <v>0</v>
      </c>
      <c r="Q8599" t="n">
        <v>0</v>
      </c>
      <c r="R8599" s="2" t="inlineStr"/>
    </row>
    <row r="8600" ht="15" customHeight="1">
      <c r="A8600" t="inlineStr">
        <is>
          <t>A 18919-2024</t>
        </is>
      </c>
      <c r="B8600" s="1" t="n">
        <v>45427.40872685185</v>
      </c>
      <c r="C8600" s="1" t="n">
        <v>45952</v>
      </c>
      <c r="D8600" t="inlineStr">
        <is>
          <t>VÄSTRA GÖTALANDS LÄN</t>
        </is>
      </c>
      <c r="E8600" t="inlineStr">
        <is>
          <t>ULRICEHAMN</t>
        </is>
      </c>
      <c r="G8600" t="n">
        <v>0.7</v>
      </c>
      <c r="H8600" t="n">
        <v>0</v>
      </c>
      <c r="I8600" t="n">
        <v>0</v>
      </c>
      <c r="J8600" t="n">
        <v>0</v>
      </c>
      <c r="K8600" t="n">
        <v>0</v>
      </c>
      <c r="L8600" t="n">
        <v>0</v>
      </c>
      <c r="M8600" t="n">
        <v>0</v>
      </c>
      <c r="N8600" t="n">
        <v>0</v>
      </c>
      <c r="O8600" t="n">
        <v>0</v>
      </c>
      <c r="P8600" t="n">
        <v>0</v>
      </c>
      <c r="Q8600" t="n">
        <v>0</v>
      </c>
      <c r="R8600" s="2" t="inlineStr"/>
    </row>
    <row r="8601" ht="15" customHeight="1">
      <c r="A8601" t="inlineStr">
        <is>
          <t>A 18937-2024</t>
        </is>
      </c>
      <c r="B8601" s="1" t="n">
        <v>45427</v>
      </c>
      <c r="C8601" s="1" t="n">
        <v>45952</v>
      </c>
      <c r="D8601" t="inlineStr">
        <is>
          <t>VÄSTRA GÖTALANDS LÄN</t>
        </is>
      </c>
      <c r="E8601" t="inlineStr">
        <is>
          <t>VÄNERSBORG</t>
        </is>
      </c>
      <c r="G8601" t="n">
        <v>2.5</v>
      </c>
      <c r="H8601" t="n">
        <v>0</v>
      </c>
      <c r="I8601" t="n">
        <v>0</v>
      </c>
      <c r="J8601" t="n">
        <v>0</v>
      </c>
      <c r="K8601" t="n">
        <v>0</v>
      </c>
      <c r="L8601" t="n">
        <v>0</v>
      </c>
      <c r="M8601" t="n">
        <v>0</v>
      </c>
      <c r="N8601" t="n">
        <v>0</v>
      </c>
      <c r="O8601" t="n">
        <v>0</v>
      </c>
      <c r="P8601" t="n">
        <v>0</v>
      </c>
      <c r="Q8601" t="n">
        <v>0</v>
      </c>
      <c r="R8601" s="2" t="inlineStr"/>
    </row>
    <row r="8602" ht="15" customHeight="1">
      <c r="A8602" t="inlineStr">
        <is>
          <t>A 37905-2023</t>
        </is>
      </c>
      <c r="B8602" s="1" t="n">
        <v>45160.47452546296</v>
      </c>
      <c r="C8602" s="1" t="n">
        <v>45952</v>
      </c>
      <c r="D8602" t="inlineStr">
        <is>
          <t>VÄSTRA GÖTALANDS LÄN</t>
        </is>
      </c>
      <c r="E8602" t="inlineStr">
        <is>
          <t>SVENLJUNGA</t>
        </is>
      </c>
      <c r="G8602" t="n">
        <v>1.2</v>
      </c>
      <c r="H8602" t="n">
        <v>0</v>
      </c>
      <c r="I8602" t="n">
        <v>0</v>
      </c>
      <c r="J8602" t="n">
        <v>0</v>
      </c>
      <c r="K8602" t="n">
        <v>0</v>
      </c>
      <c r="L8602" t="n">
        <v>0</v>
      </c>
      <c r="M8602" t="n">
        <v>0</v>
      </c>
      <c r="N8602" t="n">
        <v>0</v>
      </c>
      <c r="O8602" t="n">
        <v>0</v>
      </c>
      <c r="P8602" t="n">
        <v>0</v>
      </c>
      <c r="Q8602" t="n">
        <v>0</v>
      </c>
      <c r="R8602" s="2" t="inlineStr"/>
    </row>
    <row r="8603" ht="15" customHeight="1">
      <c r="A8603" t="inlineStr">
        <is>
          <t>A 64529-2023</t>
        </is>
      </c>
      <c r="B8603" s="1" t="n">
        <v>45281</v>
      </c>
      <c r="C8603" s="1" t="n">
        <v>45952</v>
      </c>
      <c r="D8603" t="inlineStr">
        <is>
          <t>VÄSTRA GÖTALANDS LÄN</t>
        </is>
      </c>
      <c r="E8603" t="inlineStr">
        <is>
          <t>TANUM</t>
        </is>
      </c>
      <c r="G8603" t="n">
        <v>2.1</v>
      </c>
      <c r="H8603" t="n">
        <v>0</v>
      </c>
      <c r="I8603" t="n">
        <v>0</v>
      </c>
      <c r="J8603" t="n">
        <v>0</v>
      </c>
      <c r="K8603" t="n">
        <v>0</v>
      </c>
      <c r="L8603" t="n">
        <v>0</v>
      </c>
      <c r="M8603" t="n">
        <v>0</v>
      </c>
      <c r="N8603" t="n">
        <v>0</v>
      </c>
      <c r="O8603" t="n">
        <v>0</v>
      </c>
      <c r="P8603" t="n">
        <v>0</v>
      </c>
      <c r="Q8603" t="n">
        <v>0</v>
      </c>
      <c r="R8603" s="2" t="inlineStr"/>
    </row>
    <row r="8604" ht="15" customHeight="1">
      <c r="A8604" t="inlineStr">
        <is>
          <t>A 64560-2023</t>
        </is>
      </c>
      <c r="B8604" s="1" t="n">
        <v>45281.4116087963</v>
      </c>
      <c r="C8604" s="1" t="n">
        <v>45952</v>
      </c>
      <c r="D8604" t="inlineStr">
        <is>
          <t>VÄSTRA GÖTALANDS LÄN</t>
        </is>
      </c>
      <c r="E8604" t="inlineStr">
        <is>
          <t>HÄRRYDA</t>
        </is>
      </c>
      <c r="G8604" t="n">
        <v>7.1</v>
      </c>
      <c r="H8604" t="n">
        <v>0</v>
      </c>
      <c r="I8604" t="n">
        <v>0</v>
      </c>
      <c r="J8604" t="n">
        <v>0</v>
      </c>
      <c r="K8604" t="n">
        <v>0</v>
      </c>
      <c r="L8604" t="n">
        <v>0</v>
      </c>
      <c r="M8604" t="n">
        <v>0</v>
      </c>
      <c r="N8604" t="n">
        <v>0</v>
      </c>
      <c r="O8604" t="n">
        <v>0</v>
      </c>
      <c r="P8604" t="n">
        <v>0</v>
      </c>
      <c r="Q8604" t="n">
        <v>0</v>
      </c>
      <c r="R8604" s="2" t="inlineStr"/>
    </row>
    <row r="8605" ht="15" customHeight="1">
      <c r="A8605" t="inlineStr">
        <is>
          <t>A 3044-2022</t>
        </is>
      </c>
      <c r="B8605" s="1" t="n">
        <v>44582.3544675926</v>
      </c>
      <c r="C8605" s="1" t="n">
        <v>45952</v>
      </c>
      <c r="D8605" t="inlineStr">
        <is>
          <t>VÄSTRA GÖTALANDS LÄN</t>
        </is>
      </c>
      <c r="E8605" t="inlineStr">
        <is>
          <t>TROLLHÄTTAN</t>
        </is>
      </c>
      <c r="G8605" t="n">
        <v>1.3</v>
      </c>
      <c r="H8605" t="n">
        <v>0</v>
      </c>
      <c r="I8605" t="n">
        <v>0</v>
      </c>
      <c r="J8605" t="n">
        <v>0</v>
      </c>
      <c r="K8605" t="n">
        <v>0</v>
      </c>
      <c r="L8605" t="n">
        <v>0</v>
      </c>
      <c r="M8605" t="n">
        <v>0</v>
      </c>
      <c r="N8605" t="n">
        <v>0</v>
      </c>
      <c r="O8605" t="n">
        <v>0</v>
      </c>
      <c r="P8605" t="n">
        <v>0</v>
      </c>
      <c r="Q8605" t="n">
        <v>0</v>
      </c>
      <c r="R8605" s="2" t="inlineStr"/>
    </row>
    <row r="8606" ht="15" customHeight="1">
      <c r="A8606" t="inlineStr">
        <is>
          <t>A 27714-2023</t>
        </is>
      </c>
      <c r="B8606" s="1" t="n">
        <v>45098</v>
      </c>
      <c r="C8606" s="1" t="n">
        <v>45952</v>
      </c>
      <c r="D8606" t="inlineStr">
        <is>
          <t>VÄSTRA GÖTALANDS LÄN</t>
        </is>
      </c>
      <c r="E8606" t="inlineStr">
        <is>
          <t>MARK</t>
        </is>
      </c>
      <c r="G8606" t="n">
        <v>0.9</v>
      </c>
      <c r="H8606" t="n">
        <v>0</v>
      </c>
      <c r="I8606" t="n">
        <v>0</v>
      </c>
      <c r="J8606" t="n">
        <v>0</v>
      </c>
      <c r="K8606" t="n">
        <v>0</v>
      </c>
      <c r="L8606" t="n">
        <v>0</v>
      </c>
      <c r="M8606" t="n">
        <v>0</v>
      </c>
      <c r="N8606" t="n">
        <v>0</v>
      </c>
      <c r="O8606" t="n">
        <v>0</v>
      </c>
      <c r="P8606" t="n">
        <v>0</v>
      </c>
      <c r="Q8606" t="n">
        <v>0</v>
      </c>
      <c r="R8606" s="2" t="inlineStr"/>
    </row>
    <row r="8607" ht="15" customHeight="1">
      <c r="A8607" t="inlineStr">
        <is>
          <t>A 27725-2023</t>
        </is>
      </c>
      <c r="B8607" s="1" t="n">
        <v>45098.36331018519</v>
      </c>
      <c r="C8607" s="1" t="n">
        <v>45952</v>
      </c>
      <c r="D8607" t="inlineStr">
        <is>
          <t>VÄSTRA GÖTALANDS LÄN</t>
        </is>
      </c>
      <c r="E8607" t="inlineStr">
        <is>
          <t>MARK</t>
        </is>
      </c>
      <c r="G8607" t="n">
        <v>0.2</v>
      </c>
      <c r="H8607" t="n">
        <v>0</v>
      </c>
      <c r="I8607" t="n">
        <v>0</v>
      </c>
      <c r="J8607" t="n">
        <v>0</v>
      </c>
      <c r="K8607" t="n">
        <v>0</v>
      </c>
      <c r="L8607" t="n">
        <v>0</v>
      </c>
      <c r="M8607" t="n">
        <v>0</v>
      </c>
      <c r="N8607" t="n">
        <v>0</v>
      </c>
      <c r="O8607" t="n">
        <v>0</v>
      </c>
      <c r="P8607" t="n">
        <v>0</v>
      </c>
      <c r="Q8607" t="n">
        <v>0</v>
      </c>
      <c r="R8607" s="2" t="inlineStr"/>
    </row>
    <row r="8608" ht="15" customHeight="1">
      <c r="A8608" t="inlineStr">
        <is>
          <t>A 27739-2023</t>
        </is>
      </c>
      <c r="B8608" s="1" t="n">
        <v>45098.37615740741</v>
      </c>
      <c r="C8608" s="1" t="n">
        <v>45952</v>
      </c>
      <c r="D8608" t="inlineStr">
        <is>
          <t>VÄSTRA GÖTALANDS LÄN</t>
        </is>
      </c>
      <c r="E8608" t="inlineStr">
        <is>
          <t>BENGTSFORS</t>
        </is>
      </c>
      <c r="G8608" t="n">
        <v>4.6</v>
      </c>
      <c r="H8608" t="n">
        <v>0</v>
      </c>
      <c r="I8608" t="n">
        <v>0</v>
      </c>
      <c r="J8608" t="n">
        <v>0</v>
      </c>
      <c r="K8608" t="n">
        <v>0</v>
      </c>
      <c r="L8608" t="n">
        <v>0</v>
      </c>
      <c r="M8608" t="n">
        <v>0</v>
      </c>
      <c r="N8608" t="n">
        <v>0</v>
      </c>
      <c r="O8608" t="n">
        <v>0</v>
      </c>
      <c r="P8608" t="n">
        <v>0</v>
      </c>
      <c r="Q8608" t="n">
        <v>0</v>
      </c>
      <c r="R8608" s="2" t="inlineStr"/>
    </row>
    <row r="8609" ht="15" customHeight="1">
      <c r="A8609" t="inlineStr">
        <is>
          <t>A 31596-2024</t>
        </is>
      </c>
      <c r="B8609" s="1" t="n">
        <v>45506.38613425926</v>
      </c>
      <c r="C8609" s="1" t="n">
        <v>45952</v>
      </c>
      <c r="D8609" t="inlineStr">
        <is>
          <t>VÄSTRA GÖTALANDS LÄN</t>
        </is>
      </c>
      <c r="E8609" t="inlineStr">
        <is>
          <t>LIDKÖPING</t>
        </is>
      </c>
      <c r="F8609" t="inlineStr">
        <is>
          <t>Kommuner</t>
        </is>
      </c>
      <c r="G8609" t="n">
        <v>4.3</v>
      </c>
      <c r="H8609" t="n">
        <v>0</v>
      </c>
      <c r="I8609" t="n">
        <v>0</v>
      </c>
      <c r="J8609" t="n">
        <v>0</v>
      </c>
      <c r="K8609" t="n">
        <v>0</v>
      </c>
      <c r="L8609" t="n">
        <v>0</v>
      </c>
      <c r="M8609" t="n">
        <v>0</v>
      </c>
      <c r="N8609" t="n">
        <v>0</v>
      </c>
      <c r="O8609" t="n">
        <v>0</v>
      </c>
      <c r="P8609" t="n">
        <v>0</v>
      </c>
      <c r="Q8609" t="n">
        <v>0</v>
      </c>
      <c r="R8609" s="2" t="inlineStr"/>
    </row>
    <row r="8610" ht="15" customHeight="1">
      <c r="A8610" t="inlineStr">
        <is>
          <t>A 10428-2022</t>
        </is>
      </c>
      <c r="B8610" s="1" t="n">
        <v>44623</v>
      </c>
      <c r="C8610" s="1" t="n">
        <v>45952</v>
      </c>
      <c r="D8610" t="inlineStr">
        <is>
          <t>VÄSTRA GÖTALANDS LÄN</t>
        </is>
      </c>
      <c r="E8610" t="inlineStr">
        <is>
          <t>MELLERUD</t>
        </is>
      </c>
      <c r="G8610" t="n">
        <v>1.9</v>
      </c>
      <c r="H8610" t="n">
        <v>0</v>
      </c>
      <c r="I8610" t="n">
        <v>0</v>
      </c>
      <c r="J8610" t="n">
        <v>0</v>
      </c>
      <c r="K8610" t="n">
        <v>0</v>
      </c>
      <c r="L8610" t="n">
        <v>0</v>
      </c>
      <c r="M8610" t="n">
        <v>0</v>
      </c>
      <c r="N8610" t="n">
        <v>0</v>
      </c>
      <c r="O8610" t="n">
        <v>0</v>
      </c>
      <c r="P8610" t="n">
        <v>0</v>
      </c>
      <c r="Q8610" t="n">
        <v>0</v>
      </c>
      <c r="R8610" s="2" t="inlineStr"/>
    </row>
    <row r="8611" ht="15" customHeight="1">
      <c r="A8611" t="inlineStr">
        <is>
          <t>A 48029-2025</t>
        </is>
      </c>
      <c r="B8611" s="1" t="n">
        <v>45932</v>
      </c>
      <c r="C8611" s="1" t="n">
        <v>45952</v>
      </c>
      <c r="D8611" t="inlineStr">
        <is>
          <t>VÄSTRA GÖTALANDS LÄN</t>
        </is>
      </c>
      <c r="E8611" t="inlineStr">
        <is>
          <t>UDDEVALLA</t>
        </is>
      </c>
      <c r="G8611" t="n">
        <v>1.5</v>
      </c>
      <c r="H8611" t="n">
        <v>0</v>
      </c>
      <c r="I8611" t="n">
        <v>0</v>
      </c>
      <c r="J8611" t="n">
        <v>0</v>
      </c>
      <c r="K8611" t="n">
        <v>0</v>
      </c>
      <c r="L8611" t="n">
        <v>0</v>
      </c>
      <c r="M8611" t="n">
        <v>0</v>
      </c>
      <c r="N8611" t="n">
        <v>0</v>
      </c>
      <c r="O8611" t="n">
        <v>0</v>
      </c>
      <c r="P8611" t="n">
        <v>0</v>
      </c>
      <c r="Q8611" t="n">
        <v>0</v>
      </c>
      <c r="R8611" s="2" t="inlineStr"/>
    </row>
    <row r="8612" ht="15" customHeight="1">
      <c r="A8612" t="inlineStr">
        <is>
          <t>A 20428-2025</t>
        </is>
      </c>
      <c r="B8612" s="1" t="n">
        <v>45775.47633101852</v>
      </c>
      <c r="C8612" s="1" t="n">
        <v>45952</v>
      </c>
      <c r="D8612" t="inlineStr">
        <is>
          <t>VÄSTRA GÖTALANDS LÄN</t>
        </is>
      </c>
      <c r="E8612" t="inlineStr">
        <is>
          <t>BENGTSFORS</t>
        </is>
      </c>
      <c r="G8612" t="n">
        <v>1.2</v>
      </c>
      <c r="H8612" t="n">
        <v>0</v>
      </c>
      <c r="I8612" t="n">
        <v>0</v>
      </c>
      <c r="J8612" t="n">
        <v>0</v>
      </c>
      <c r="K8612" t="n">
        <v>0</v>
      </c>
      <c r="L8612" t="n">
        <v>0</v>
      </c>
      <c r="M8612" t="n">
        <v>0</v>
      </c>
      <c r="N8612" t="n">
        <v>0</v>
      </c>
      <c r="O8612" t="n">
        <v>0</v>
      </c>
      <c r="P8612" t="n">
        <v>0</v>
      </c>
      <c r="Q8612" t="n">
        <v>0</v>
      </c>
      <c r="R8612" s="2" t="inlineStr"/>
    </row>
    <row r="8613" ht="15" customHeight="1">
      <c r="A8613" t="inlineStr">
        <is>
          <t>A 4452-2025</t>
        </is>
      </c>
      <c r="B8613" s="1" t="n">
        <v>45686.57615740741</v>
      </c>
      <c r="C8613" s="1" t="n">
        <v>45952</v>
      </c>
      <c r="D8613" t="inlineStr">
        <is>
          <t>VÄSTRA GÖTALANDS LÄN</t>
        </is>
      </c>
      <c r="E8613" t="inlineStr">
        <is>
          <t>TRANEMO</t>
        </is>
      </c>
      <c r="G8613" t="n">
        <v>2.1</v>
      </c>
      <c r="H8613" t="n">
        <v>0</v>
      </c>
      <c r="I8613" t="n">
        <v>0</v>
      </c>
      <c r="J8613" t="n">
        <v>0</v>
      </c>
      <c r="K8613" t="n">
        <v>0</v>
      </c>
      <c r="L8613" t="n">
        <v>0</v>
      </c>
      <c r="M8613" t="n">
        <v>0</v>
      </c>
      <c r="N8613" t="n">
        <v>0</v>
      </c>
      <c r="O8613" t="n">
        <v>0</v>
      </c>
      <c r="P8613" t="n">
        <v>0</v>
      </c>
      <c r="Q8613" t="n">
        <v>0</v>
      </c>
      <c r="R8613" s="2" t="inlineStr"/>
    </row>
    <row r="8614" ht="15" customHeight="1">
      <c r="A8614" t="inlineStr">
        <is>
          <t>A 14354-2025</t>
        </is>
      </c>
      <c r="B8614" s="1" t="n">
        <v>45741.36516203704</v>
      </c>
      <c r="C8614" s="1" t="n">
        <v>45952</v>
      </c>
      <c r="D8614" t="inlineStr">
        <is>
          <t>VÄSTRA GÖTALANDS LÄN</t>
        </is>
      </c>
      <c r="E8614" t="inlineStr">
        <is>
          <t>GULLSPÅNG</t>
        </is>
      </c>
      <c r="F8614" t="inlineStr">
        <is>
          <t>Kyrkan</t>
        </is>
      </c>
      <c r="G8614" t="n">
        <v>1.6</v>
      </c>
      <c r="H8614" t="n">
        <v>0</v>
      </c>
      <c r="I8614" t="n">
        <v>0</v>
      </c>
      <c r="J8614" t="n">
        <v>0</v>
      </c>
      <c r="K8614" t="n">
        <v>0</v>
      </c>
      <c r="L8614" t="n">
        <v>0</v>
      </c>
      <c r="M8614" t="n">
        <v>0</v>
      </c>
      <c r="N8614" t="n">
        <v>0</v>
      </c>
      <c r="O8614" t="n">
        <v>0</v>
      </c>
      <c r="P8614" t="n">
        <v>0</v>
      </c>
      <c r="Q8614" t="n">
        <v>0</v>
      </c>
      <c r="R8614" s="2" t="inlineStr"/>
    </row>
    <row r="8615" ht="15" customHeight="1">
      <c r="A8615" t="inlineStr">
        <is>
          <t>A 38988-2024</t>
        </is>
      </c>
      <c r="B8615" s="1" t="n">
        <v>45548.40613425926</v>
      </c>
      <c r="C8615" s="1" t="n">
        <v>45952</v>
      </c>
      <c r="D8615" t="inlineStr">
        <is>
          <t>VÄSTRA GÖTALANDS LÄN</t>
        </is>
      </c>
      <c r="E8615" t="inlineStr">
        <is>
          <t>STRÖMSTAD</t>
        </is>
      </c>
      <c r="G8615" t="n">
        <v>4.2</v>
      </c>
      <c r="H8615" t="n">
        <v>0</v>
      </c>
      <c r="I8615" t="n">
        <v>0</v>
      </c>
      <c r="J8615" t="n">
        <v>0</v>
      </c>
      <c r="K8615" t="n">
        <v>0</v>
      </c>
      <c r="L8615" t="n">
        <v>0</v>
      </c>
      <c r="M8615" t="n">
        <v>0</v>
      </c>
      <c r="N8615" t="n">
        <v>0</v>
      </c>
      <c r="O8615" t="n">
        <v>0</v>
      </c>
      <c r="P8615" t="n">
        <v>0</v>
      </c>
      <c r="Q8615" t="n">
        <v>0</v>
      </c>
      <c r="R8615" s="2" t="inlineStr"/>
    </row>
    <row r="8616" ht="15" customHeight="1">
      <c r="A8616" t="inlineStr">
        <is>
          <t>A 45988-2021</t>
        </is>
      </c>
      <c r="B8616" s="1" t="n">
        <v>44441</v>
      </c>
      <c r="C8616" s="1" t="n">
        <v>45952</v>
      </c>
      <c r="D8616" t="inlineStr">
        <is>
          <t>VÄSTRA GÖTALANDS LÄN</t>
        </is>
      </c>
      <c r="E8616" t="inlineStr">
        <is>
          <t>ALE</t>
        </is>
      </c>
      <c r="G8616" t="n">
        <v>1.2</v>
      </c>
      <c r="H8616" t="n">
        <v>0</v>
      </c>
      <c r="I8616" t="n">
        <v>0</v>
      </c>
      <c r="J8616" t="n">
        <v>0</v>
      </c>
      <c r="K8616" t="n">
        <v>0</v>
      </c>
      <c r="L8616" t="n">
        <v>0</v>
      </c>
      <c r="M8616" t="n">
        <v>0</v>
      </c>
      <c r="N8616" t="n">
        <v>0</v>
      </c>
      <c r="O8616" t="n">
        <v>0</v>
      </c>
      <c r="P8616" t="n">
        <v>0</v>
      </c>
      <c r="Q8616" t="n">
        <v>0</v>
      </c>
      <c r="R8616" s="2" t="inlineStr"/>
    </row>
    <row r="8617" ht="15" customHeight="1">
      <c r="A8617" t="inlineStr">
        <is>
          <t>A 39553-2025</t>
        </is>
      </c>
      <c r="B8617" s="1" t="n">
        <v>45890.46686342593</v>
      </c>
      <c r="C8617" s="1" t="n">
        <v>45952</v>
      </c>
      <c r="D8617" t="inlineStr">
        <is>
          <t>VÄSTRA GÖTALANDS LÄN</t>
        </is>
      </c>
      <c r="E8617" t="inlineStr">
        <is>
          <t>HERRLJUNGA</t>
        </is>
      </c>
      <c r="F8617" t="inlineStr">
        <is>
          <t>Sveaskog</t>
        </is>
      </c>
      <c r="G8617" t="n">
        <v>7.3</v>
      </c>
      <c r="H8617" t="n">
        <v>0</v>
      </c>
      <c r="I8617" t="n">
        <v>0</v>
      </c>
      <c r="J8617" t="n">
        <v>0</v>
      </c>
      <c r="K8617" t="n">
        <v>0</v>
      </c>
      <c r="L8617" t="n">
        <v>0</v>
      </c>
      <c r="M8617" t="n">
        <v>0</v>
      </c>
      <c r="N8617" t="n">
        <v>0</v>
      </c>
      <c r="O8617" t="n">
        <v>0</v>
      </c>
      <c r="P8617" t="n">
        <v>0</v>
      </c>
      <c r="Q8617" t="n">
        <v>0</v>
      </c>
      <c r="R8617" s="2" t="inlineStr"/>
    </row>
    <row r="8618" ht="15" customHeight="1">
      <c r="A8618" t="inlineStr">
        <is>
          <t>A 47882-2025</t>
        </is>
      </c>
      <c r="B8618" s="1" t="n">
        <v>45932.46203703704</v>
      </c>
      <c r="C8618" s="1" t="n">
        <v>45952</v>
      </c>
      <c r="D8618" t="inlineStr">
        <is>
          <t>VÄSTRA GÖTALANDS LÄN</t>
        </is>
      </c>
      <c r="E8618" t="inlineStr">
        <is>
          <t>STRÖMSTAD</t>
        </is>
      </c>
      <c r="G8618" t="n">
        <v>1.5</v>
      </c>
      <c r="H8618" t="n">
        <v>0</v>
      </c>
      <c r="I8618" t="n">
        <v>0</v>
      </c>
      <c r="J8618" t="n">
        <v>0</v>
      </c>
      <c r="K8618" t="n">
        <v>0</v>
      </c>
      <c r="L8618" t="n">
        <v>0</v>
      </c>
      <c r="M8618" t="n">
        <v>0</v>
      </c>
      <c r="N8618" t="n">
        <v>0</v>
      </c>
      <c r="O8618" t="n">
        <v>0</v>
      </c>
      <c r="P8618" t="n">
        <v>0</v>
      </c>
      <c r="Q8618" t="n">
        <v>0</v>
      </c>
      <c r="R8618" s="2" t="inlineStr"/>
    </row>
    <row r="8619" ht="15" customHeight="1">
      <c r="A8619" t="inlineStr">
        <is>
          <t>A 12313-2024</t>
        </is>
      </c>
      <c r="B8619" s="1" t="n">
        <v>45378.64171296296</v>
      </c>
      <c r="C8619" s="1" t="n">
        <v>45952</v>
      </c>
      <c r="D8619" t="inlineStr">
        <is>
          <t>VÄSTRA GÖTALANDS LÄN</t>
        </is>
      </c>
      <c r="E8619" t="inlineStr">
        <is>
          <t>MARK</t>
        </is>
      </c>
      <c r="G8619" t="n">
        <v>3.6</v>
      </c>
      <c r="H8619" t="n">
        <v>0</v>
      </c>
      <c r="I8619" t="n">
        <v>0</v>
      </c>
      <c r="J8619" t="n">
        <v>0</v>
      </c>
      <c r="K8619" t="n">
        <v>0</v>
      </c>
      <c r="L8619" t="n">
        <v>0</v>
      </c>
      <c r="M8619" t="n">
        <v>0</v>
      </c>
      <c r="N8619" t="n">
        <v>0</v>
      </c>
      <c r="O8619" t="n">
        <v>0</v>
      </c>
      <c r="P8619" t="n">
        <v>0</v>
      </c>
      <c r="Q8619" t="n">
        <v>0</v>
      </c>
      <c r="R8619" s="2" t="inlineStr"/>
    </row>
    <row r="8620" ht="15" customHeight="1">
      <c r="A8620" t="inlineStr">
        <is>
          <t>A 50524-2022</t>
        </is>
      </c>
      <c r="B8620" s="1" t="n">
        <v>44866</v>
      </c>
      <c r="C8620" s="1" t="n">
        <v>45952</v>
      </c>
      <c r="D8620" t="inlineStr">
        <is>
          <t>VÄSTRA GÖTALANDS LÄN</t>
        </is>
      </c>
      <c r="E8620" t="inlineStr">
        <is>
          <t>TRANEMO</t>
        </is>
      </c>
      <c r="F8620" t="inlineStr">
        <is>
          <t>Sveaskog</t>
        </is>
      </c>
      <c r="G8620" t="n">
        <v>0.9</v>
      </c>
      <c r="H8620" t="n">
        <v>0</v>
      </c>
      <c r="I8620" t="n">
        <v>0</v>
      </c>
      <c r="J8620" t="n">
        <v>0</v>
      </c>
      <c r="K8620" t="n">
        <v>0</v>
      </c>
      <c r="L8620" t="n">
        <v>0</v>
      </c>
      <c r="M8620" t="n">
        <v>0</v>
      </c>
      <c r="N8620" t="n">
        <v>0</v>
      </c>
      <c r="O8620" t="n">
        <v>0</v>
      </c>
      <c r="P8620" t="n">
        <v>0</v>
      </c>
      <c r="Q8620" t="n">
        <v>0</v>
      </c>
      <c r="R8620" s="2" t="inlineStr"/>
    </row>
    <row r="8621" ht="15" customHeight="1">
      <c r="A8621" t="inlineStr">
        <is>
          <t>A 98-2021</t>
        </is>
      </c>
      <c r="B8621" s="1" t="n">
        <v>44200</v>
      </c>
      <c r="C8621" s="1" t="n">
        <v>45952</v>
      </c>
      <c r="D8621" t="inlineStr">
        <is>
          <t>VÄSTRA GÖTALANDS LÄN</t>
        </is>
      </c>
      <c r="E8621" t="inlineStr">
        <is>
          <t>SVENLJUNGA</t>
        </is>
      </c>
      <c r="G8621" t="n">
        <v>0.6</v>
      </c>
      <c r="H8621" t="n">
        <v>0</v>
      </c>
      <c r="I8621" t="n">
        <v>0</v>
      </c>
      <c r="J8621" t="n">
        <v>0</v>
      </c>
      <c r="K8621" t="n">
        <v>0</v>
      </c>
      <c r="L8621" t="n">
        <v>0</v>
      </c>
      <c r="M8621" t="n">
        <v>0</v>
      </c>
      <c r="N8621" t="n">
        <v>0</v>
      </c>
      <c r="O8621" t="n">
        <v>0</v>
      </c>
      <c r="P8621" t="n">
        <v>0</v>
      </c>
      <c r="Q8621" t="n">
        <v>0</v>
      </c>
      <c r="R8621" s="2" t="inlineStr"/>
    </row>
    <row r="8622" ht="15" customHeight="1">
      <c r="A8622" t="inlineStr">
        <is>
          <t>A 33824-2024</t>
        </is>
      </c>
      <c r="B8622" s="1" t="n">
        <v>45520.61393518518</v>
      </c>
      <c r="C8622" s="1" t="n">
        <v>45952</v>
      </c>
      <c r="D8622" t="inlineStr">
        <is>
          <t>VÄSTRA GÖTALANDS LÄN</t>
        </is>
      </c>
      <c r="E8622" t="inlineStr">
        <is>
          <t>BENGTSFORS</t>
        </is>
      </c>
      <c r="G8622" t="n">
        <v>5.3</v>
      </c>
      <c r="H8622" t="n">
        <v>0</v>
      </c>
      <c r="I8622" t="n">
        <v>0</v>
      </c>
      <c r="J8622" t="n">
        <v>0</v>
      </c>
      <c r="K8622" t="n">
        <v>0</v>
      </c>
      <c r="L8622" t="n">
        <v>0</v>
      </c>
      <c r="M8622" t="n">
        <v>0</v>
      </c>
      <c r="N8622" t="n">
        <v>0</v>
      </c>
      <c r="O8622" t="n">
        <v>0</v>
      </c>
      <c r="P8622" t="n">
        <v>0</v>
      </c>
      <c r="Q8622" t="n">
        <v>0</v>
      </c>
      <c r="R8622" s="2" t="inlineStr"/>
    </row>
    <row r="8623" ht="15" customHeight="1">
      <c r="A8623" t="inlineStr">
        <is>
          <t>A 14977-2023</t>
        </is>
      </c>
      <c r="B8623" s="1" t="n">
        <v>45015.53054398148</v>
      </c>
      <c r="C8623" s="1" t="n">
        <v>45952</v>
      </c>
      <c r="D8623" t="inlineStr">
        <is>
          <t>VÄSTRA GÖTALANDS LÄN</t>
        </is>
      </c>
      <c r="E8623" t="inlineStr">
        <is>
          <t>MARIESTAD</t>
        </is>
      </c>
      <c r="G8623" t="n">
        <v>1</v>
      </c>
      <c r="H8623" t="n">
        <v>0</v>
      </c>
      <c r="I8623" t="n">
        <v>0</v>
      </c>
      <c r="J8623" t="n">
        <v>0</v>
      </c>
      <c r="K8623" t="n">
        <v>0</v>
      </c>
      <c r="L8623" t="n">
        <v>0</v>
      </c>
      <c r="M8623" t="n">
        <v>0</v>
      </c>
      <c r="N8623" t="n">
        <v>0</v>
      </c>
      <c r="O8623" t="n">
        <v>0</v>
      </c>
      <c r="P8623" t="n">
        <v>0</v>
      </c>
      <c r="Q8623" t="n">
        <v>0</v>
      </c>
      <c r="R8623" s="2" t="inlineStr"/>
    </row>
    <row r="8624" ht="15" customHeight="1">
      <c r="A8624" t="inlineStr">
        <is>
          <t>A 15000-2023</t>
        </is>
      </c>
      <c r="B8624" s="1" t="n">
        <v>45015.57863425926</v>
      </c>
      <c r="C8624" s="1" t="n">
        <v>45952</v>
      </c>
      <c r="D8624" t="inlineStr">
        <is>
          <t>VÄSTRA GÖTALANDS LÄN</t>
        </is>
      </c>
      <c r="E8624" t="inlineStr">
        <is>
          <t>TROLLHÄTTAN</t>
        </is>
      </c>
      <c r="G8624" t="n">
        <v>2.4</v>
      </c>
      <c r="H8624" t="n">
        <v>0</v>
      </c>
      <c r="I8624" t="n">
        <v>0</v>
      </c>
      <c r="J8624" t="n">
        <v>0</v>
      </c>
      <c r="K8624" t="n">
        <v>0</v>
      </c>
      <c r="L8624" t="n">
        <v>0</v>
      </c>
      <c r="M8624" t="n">
        <v>0</v>
      </c>
      <c r="N8624" t="n">
        <v>0</v>
      </c>
      <c r="O8624" t="n">
        <v>0</v>
      </c>
      <c r="P8624" t="n">
        <v>0</v>
      </c>
      <c r="Q8624" t="n">
        <v>0</v>
      </c>
      <c r="R8624" s="2" t="inlineStr"/>
    </row>
    <row r="8625" ht="15" customHeight="1">
      <c r="A8625" t="inlineStr">
        <is>
          <t>A 22271-2025</t>
        </is>
      </c>
      <c r="B8625" s="1" t="n">
        <v>45785.89675925926</v>
      </c>
      <c r="C8625" s="1" t="n">
        <v>45952</v>
      </c>
      <c r="D8625" t="inlineStr">
        <is>
          <t>VÄSTRA GÖTALANDS LÄN</t>
        </is>
      </c>
      <c r="E8625" t="inlineStr">
        <is>
          <t>HÄRRYDA</t>
        </is>
      </c>
      <c r="G8625" t="n">
        <v>0.7</v>
      </c>
      <c r="H8625" t="n">
        <v>0</v>
      </c>
      <c r="I8625" t="n">
        <v>0</v>
      </c>
      <c r="J8625" t="n">
        <v>0</v>
      </c>
      <c r="K8625" t="n">
        <v>0</v>
      </c>
      <c r="L8625" t="n">
        <v>0</v>
      </c>
      <c r="M8625" t="n">
        <v>0</v>
      </c>
      <c r="N8625" t="n">
        <v>0</v>
      </c>
      <c r="O8625" t="n">
        <v>0</v>
      </c>
      <c r="P8625" t="n">
        <v>0</v>
      </c>
      <c r="Q8625" t="n">
        <v>0</v>
      </c>
      <c r="R8625" s="2" t="inlineStr"/>
    </row>
    <row r="8626" ht="15" customHeight="1">
      <c r="A8626" t="inlineStr">
        <is>
          <t>A 60220-2022</t>
        </is>
      </c>
      <c r="B8626" s="1" t="n">
        <v>44903</v>
      </c>
      <c r="C8626" s="1" t="n">
        <v>45952</v>
      </c>
      <c r="D8626" t="inlineStr">
        <is>
          <t>VÄSTRA GÖTALANDS LÄN</t>
        </is>
      </c>
      <c r="E8626" t="inlineStr">
        <is>
          <t>STRÖMSTAD</t>
        </is>
      </c>
      <c r="G8626" t="n">
        <v>8.300000000000001</v>
      </c>
      <c r="H8626" t="n">
        <v>0</v>
      </c>
      <c r="I8626" t="n">
        <v>0</v>
      </c>
      <c r="J8626" t="n">
        <v>0</v>
      </c>
      <c r="K8626" t="n">
        <v>0</v>
      </c>
      <c r="L8626" t="n">
        <v>0</v>
      </c>
      <c r="M8626" t="n">
        <v>0</v>
      </c>
      <c r="N8626" t="n">
        <v>0</v>
      </c>
      <c r="O8626" t="n">
        <v>0</v>
      </c>
      <c r="P8626" t="n">
        <v>0</v>
      </c>
      <c r="Q8626" t="n">
        <v>0</v>
      </c>
      <c r="R8626" s="2" t="inlineStr"/>
    </row>
    <row r="8627" ht="15" customHeight="1">
      <c r="A8627" t="inlineStr">
        <is>
          <t>A 39454-2023</t>
        </is>
      </c>
      <c r="B8627" s="1" t="n">
        <v>45166.75233796296</v>
      </c>
      <c r="C8627" s="1" t="n">
        <v>45952</v>
      </c>
      <c r="D8627" t="inlineStr">
        <is>
          <t>VÄSTRA GÖTALANDS LÄN</t>
        </is>
      </c>
      <c r="E8627" t="inlineStr">
        <is>
          <t>ULRICEHAMN</t>
        </is>
      </c>
      <c r="G8627" t="n">
        <v>2.2</v>
      </c>
      <c r="H8627" t="n">
        <v>0</v>
      </c>
      <c r="I8627" t="n">
        <v>0</v>
      </c>
      <c r="J8627" t="n">
        <v>0</v>
      </c>
      <c r="K8627" t="n">
        <v>0</v>
      </c>
      <c r="L8627" t="n">
        <v>0</v>
      </c>
      <c r="M8627" t="n">
        <v>0</v>
      </c>
      <c r="N8627" t="n">
        <v>0</v>
      </c>
      <c r="O8627" t="n">
        <v>0</v>
      </c>
      <c r="P8627" t="n">
        <v>0</v>
      </c>
      <c r="Q8627" t="n">
        <v>0</v>
      </c>
      <c r="R8627" s="2" t="inlineStr"/>
    </row>
    <row r="8628" ht="15" customHeight="1">
      <c r="A8628" t="inlineStr">
        <is>
          <t>A 16754-2024</t>
        </is>
      </c>
      <c r="B8628" s="1" t="n">
        <v>45411.33927083333</v>
      </c>
      <c r="C8628" s="1" t="n">
        <v>45952</v>
      </c>
      <c r="D8628" t="inlineStr">
        <is>
          <t>VÄSTRA GÖTALANDS LÄN</t>
        </is>
      </c>
      <c r="E8628" t="inlineStr">
        <is>
          <t>SVENLJUNGA</t>
        </is>
      </c>
      <c r="G8628" t="n">
        <v>1.4</v>
      </c>
      <c r="H8628" t="n">
        <v>0</v>
      </c>
      <c r="I8628" t="n">
        <v>0</v>
      </c>
      <c r="J8628" t="n">
        <v>0</v>
      </c>
      <c r="K8628" t="n">
        <v>0</v>
      </c>
      <c r="L8628" t="n">
        <v>0</v>
      </c>
      <c r="M8628" t="n">
        <v>0</v>
      </c>
      <c r="N8628" t="n">
        <v>0</v>
      </c>
      <c r="O8628" t="n">
        <v>0</v>
      </c>
      <c r="P8628" t="n">
        <v>0</v>
      </c>
      <c r="Q8628" t="n">
        <v>0</v>
      </c>
      <c r="R8628" s="2" t="inlineStr"/>
    </row>
    <row r="8629" ht="15" customHeight="1">
      <c r="A8629" t="inlineStr">
        <is>
          <t>A 390-2025</t>
        </is>
      </c>
      <c r="B8629" s="1" t="n">
        <v>45662.793125</v>
      </c>
      <c r="C8629" s="1" t="n">
        <v>45952</v>
      </c>
      <c r="D8629" t="inlineStr">
        <is>
          <t>VÄSTRA GÖTALANDS LÄN</t>
        </is>
      </c>
      <c r="E8629" t="inlineStr">
        <is>
          <t>TRANEMO</t>
        </is>
      </c>
      <c r="G8629" t="n">
        <v>0.7</v>
      </c>
      <c r="H8629" t="n">
        <v>0</v>
      </c>
      <c r="I8629" t="n">
        <v>0</v>
      </c>
      <c r="J8629" t="n">
        <v>0</v>
      </c>
      <c r="K8629" t="n">
        <v>0</v>
      </c>
      <c r="L8629" t="n">
        <v>0</v>
      </c>
      <c r="M8629" t="n">
        <v>0</v>
      </c>
      <c r="N8629" t="n">
        <v>0</v>
      </c>
      <c r="O8629" t="n">
        <v>0</v>
      </c>
      <c r="P8629" t="n">
        <v>0</v>
      </c>
      <c r="Q8629" t="n">
        <v>0</v>
      </c>
      <c r="R8629" s="2" t="inlineStr"/>
    </row>
    <row r="8630" ht="15" customHeight="1">
      <c r="A8630" t="inlineStr">
        <is>
          <t>A 399-2025</t>
        </is>
      </c>
      <c r="B8630" s="1" t="n">
        <v>45663</v>
      </c>
      <c r="C8630" s="1" t="n">
        <v>45952</v>
      </c>
      <c r="D8630" t="inlineStr">
        <is>
          <t>VÄSTRA GÖTALANDS LÄN</t>
        </is>
      </c>
      <c r="E8630" t="inlineStr">
        <is>
          <t>ULRICEHAMN</t>
        </is>
      </c>
      <c r="G8630" t="n">
        <v>1</v>
      </c>
      <c r="H8630" t="n">
        <v>0</v>
      </c>
      <c r="I8630" t="n">
        <v>0</v>
      </c>
      <c r="J8630" t="n">
        <v>0</v>
      </c>
      <c r="K8630" t="n">
        <v>0</v>
      </c>
      <c r="L8630" t="n">
        <v>0</v>
      </c>
      <c r="M8630" t="n">
        <v>0</v>
      </c>
      <c r="N8630" t="n">
        <v>0</v>
      </c>
      <c r="O8630" t="n">
        <v>0</v>
      </c>
      <c r="P8630" t="n">
        <v>0</v>
      </c>
      <c r="Q8630" t="n">
        <v>0</v>
      </c>
      <c r="R8630" s="2" t="inlineStr"/>
    </row>
    <row r="8631" ht="15" customHeight="1">
      <c r="A8631" t="inlineStr">
        <is>
          <t>A 17666-2022</t>
        </is>
      </c>
      <c r="B8631" s="1" t="n">
        <v>44680.52545138889</v>
      </c>
      <c r="C8631" s="1" t="n">
        <v>45952</v>
      </c>
      <c r="D8631" t="inlineStr">
        <is>
          <t>VÄSTRA GÖTALANDS LÄN</t>
        </is>
      </c>
      <c r="E8631" t="inlineStr">
        <is>
          <t>GRÄSTORP</t>
        </is>
      </c>
      <c r="G8631" t="n">
        <v>1.6</v>
      </c>
      <c r="H8631" t="n">
        <v>0</v>
      </c>
      <c r="I8631" t="n">
        <v>0</v>
      </c>
      <c r="J8631" t="n">
        <v>0</v>
      </c>
      <c r="K8631" t="n">
        <v>0</v>
      </c>
      <c r="L8631" t="n">
        <v>0</v>
      </c>
      <c r="M8631" t="n">
        <v>0</v>
      </c>
      <c r="N8631" t="n">
        <v>0</v>
      </c>
      <c r="O8631" t="n">
        <v>0</v>
      </c>
      <c r="P8631" t="n">
        <v>0</v>
      </c>
      <c r="Q8631" t="n">
        <v>0</v>
      </c>
      <c r="R8631" s="2" t="inlineStr"/>
    </row>
    <row r="8632" ht="15" customHeight="1">
      <c r="A8632" t="inlineStr">
        <is>
          <t>A 47892-2025</t>
        </is>
      </c>
      <c r="B8632" s="1" t="n">
        <v>45932.47384259259</v>
      </c>
      <c r="C8632" s="1" t="n">
        <v>45952</v>
      </c>
      <c r="D8632" t="inlineStr">
        <is>
          <t>VÄSTRA GÖTALANDS LÄN</t>
        </is>
      </c>
      <c r="E8632" t="inlineStr">
        <is>
          <t>SKÖVDE</t>
        </is>
      </c>
      <c r="G8632" t="n">
        <v>0.6</v>
      </c>
      <c r="H8632" t="n">
        <v>0</v>
      </c>
      <c r="I8632" t="n">
        <v>0</v>
      </c>
      <c r="J8632" t="n">
        <v>0</v>
      </c>
      <c r="K8632" t="n">
        <v>0</v>
      </c>
      <c r="L8632" t="n">
        <v>0</v>
      </c>
      <c r="M8632" t="n">
        <v>0</v>
      </c>
      <c r="N8632" t="n">
        <v>0</v>
      </c>
      <c r="O8632" t="n">
        <v>0</v>
      </c>
      <c r="P8632" t="n">
        <v>0</v>
      </c>
      <c r="Q8632" t="n">
        <v>0</v>
      </c>
      <c r="R8632" s="2" t="inlineStr"/>
    </row>
    <row r="8633" ht="15" customHeight="1">
      <c r="A8633" t="inlineStr">
        <is>
          <t>A 48032-2025</t>
        </is>
      </c>
      <c r="B8633" s="1" t="n">
        <v>45932</v>
      </c>
      <c r="C8633" s="1" t="n">
        <v>45952</v>
      </c>
      <c r="D8633" t="inlineStr">
        <is>
          <t>VÄSTRA GÖTALANDS LÄN</t>
        </is>
      </c>
      <c r="E8633" t="inlineStr">
        <is>
          <t>DALS-ED</t>
        </is>
      </c>
      <c r="G8633" t="n">
        <v>2.2</v>
      </c>
      <c r="H8633" t="n">
        <v>0</v>
      </c>
      <c r="I8633" t="n">
        <v>0</v>
      </c>
      <c r="J8633" t="n">
        <v>0</v>
      </c>
      <c r="K8633" t="n">
        <v>0</v>
      </c>
      <c r="L8633" t="n">
        <v>0</v>
      </c>
      <c r="M8633" t="n">
        <v>0</v>
      </c>
      <c r="N8633" t="n">
        <v>0</v>
      </c>
      <c r="O8633" t="n">
        <v>0</v>
      </c>
      <c r="P8633" t="n">
        <v>0</v>
      </c>
      <c r="Q8633" t="n">
        <v>0</v>
      </c>
      <c r="R8633" s="2" t="inlineStr"/>
    </row>
    <row r="8634" ht="15" customHeight="1">
      <c r="A8634" t="inlineStr">
        <is>
          <t>A 48041-2025</t>
        </is>
      </c>
      <c r="B8634" s="1" t="n">
        <v>45932</v>
      </c>
      <c r="C8634" s="1" t="n">
        <v>45952</v>
      </c>
      <c r="D8634" t="inlineStr">
        <is>
          <t>VÄSTRA GÖTALANDS LÄN</t>
        </is>
      </c>
      <c r="E8634" t="inlineStr">
        <is>
          <t>ÅMÅL</t>
        </is>
      </c>
      <c r="G8634" t="n">
        <v>1.8</v>
      </c>
      <c r="H8634" t="n">
        <v>0</v>
      </c>
      <c r="I8634" t="n">
        <v>0</v>
      </c>
      <c r="J8634" t="n">
        <v>0</v>
      </c>
      <c r="K8634" t="n">
        <v>0</v>
      </c>
      <c r="L8634" t="n">
        <v>0</v>
      </c>
      <c r="M8634" t="n">
        <v>0</v>
      </c>
      <c r="N8634" t="n">
        <v>0</v>
      </c>
      <c r="O8634" t="n">
        <v>0</v>
      </c>
      <c r="P8634" t="n">
        <v>0</v>
      </c>
      <c r="Q8634" t="n">
        <v>0</v>
      </c>
      <c r="R8634" s="2" t="inlineStr"/>
    </row>
    <row r="8635" ht="15" customHeight="1">
      <c r="A8635" t="inlineStr">
        <is>
          <t>A 15373-2025</t>
        </is>
      </c>
      <c r="B8635" s="1" t="n">
        <v>45747.40596064815</v>
      </c>
      <c r="C8635" s="1" t="n">
        <v>45952</v>
      </c>
      <c r="D8635" t="inlineStr">
        <is>
          <t>VÄSTRA GÖTALANDS LÄN</t>
        </is>
      </c>
      <c r="E8635" t="inlineStr">
        <is>
          <t>SVENLJUNGA</t>
        </is>
      </c>
      <c r="G8635" t="n">
        <v>4.1</v>
      </c>
      <c r="H8635" t="n">
        <v>0</v>
      </c>
      <c r="I8635" t="n">
        <v>0</v>
      </c>
      <c r="J8635" t="n">
        <v>0</v>
      </c>
      <c r="K8635" t="n">
        <v>0</v>
      </c>
      <c r="L8635" t="n">
        <v>0</v>
      </c>
      <c r="M8635" t="n">
        <v>0</v>
      </c>
      <c r="N8635" t="n">
        <v>0</v>
      </c>
      <c r="O8635" t="n">
        <v>0</v>
      </c>
      <c r="P8635" t="n">
        <v>0</v>
      </c>
      <c r="Q8635" t="n">
        <v>0</v>
      </c>
      <c r="R8635" s="2" t="inlineStr"/>
    </row>
    <row r="8636" ht="15" customHeight="1">
      <c r="A8636" t="inlineStr">
        <is>
          <t>A 39492-2025</t>
        </is>
      </c>
      <c r="B8636" s="1" t="n">
        <v>45890</v>
      </c>
      <c r="C8636" s="1" t="n">
        <v>45952</v>
      </c>
      <c r="D8636" t="inlineStr">
        <is>
          <t>VÄSTRA GÖTALANDS LÄN</t>
        </is>
      </c>
      <c r="E8636" t="inlineStr">
        <is>
          <t>SKARA</t>
        </is>
      </c>
      <c r="F8636" t="inlineStr">
        <is>
          <t>Sveaskog</t>
        </is>
      </c>
      <c r="G8636" t="n">
        <v>2.4</v>
      </c>
      <c r="H8636" t="n">
        <v>0</v>
      </c>
      <c r="I8636" t="n">
        <v>0</v>
      </c>
      <c r="J8636" t="n">
        <v>0</v>
      </c>
      <c r="K8636" t="n">
        <v>0</v>
      </c>
      <c r="L8636" t="n">
        <v>0</v>
      </c>
      <c r="M8636" t="n">
        <v>0</v>
      </c>
      <c r="N8636" t="n">
        <v>0</v>
      </c>
      <c r="O8636" t="n">
        <v>0</v>
      </c>
      <c r="P8636" t="n">
        <v>0</v>
      </c>
      <c r="Q8636" t="n">
        <v>0</v>
      </c>
      <c r="R8636" s="2" t="inlineStr"/>
    </row>
    <row r="8637" ht="15" customHeight="1">
      <c r="A8637" t="inlineStr">
        <is>
          <t>A 39493-2025</t>
        </is>
      </c>
      <c r="B8637" s="1" t="n">
        <v>45890.37572916667</v>
      </c>
      <c r="C8637" s="1" t="n">
        <v>45952</v>
      </c>
      <c r="D8637" t="inlineStr">
        <is>
          <t>VÄSTRA GÖTALANDS LÄN</t>
        </is>
      </c>
      <c r="E8637" t="inlineStr">
        <is>
          <t>ULRICEHAMN</t>
        </is>
      </c>
      <c r="G8637" t="n">
        <v>3.5</v>
      </c>
      <c r="H8637" t="n">
        <v>0</v>
      </c>
      <c r="I8637" t="n">
        <v>0</v>
      </c>
      <c r="J8637" t="n">
        <v>0</v>
      </c>
      <c r="K8637" t="n">
        <v>0</v>
      </c>
      <c r="L8637" t="n">
        <v>0</v>
      </c>
      <c r="M8637" t="n">
        <v>0</v>
      </c>
      <c r="N8637" t="n">
        <v>0</v>
      </c>
      <c r="O8637" t="n">
        <v>0</v>
      </c>
      <c r="P8637" t="n">
        <v>0</v>
      </c>
      <c r="Q8637" t="n">
        <v>0</v>
      </c>
      <c r="R8637" s="2" t="inlineStr"/>
    </row>
    <row r="8638" ht="15" customHeight="1">
      <c r="A8638" t="inlineStr">
        <is>
          <t>A 62499-2022</t>
        </is>
      </c>
      <c r="B8638" s="1" t="n">
        <v>44924.59118055556</v>
      </c>
      <c r="C8638" s="1" t="n">
        <v>45952</v>
      </c>
      <c r="D8638" t="inlineStr">
        <is>
          <t>VÄSTRA GÖTALANDS LÄN</t>
        </is>
      </c>
      <c r="E8638" t="inlineStr">
        <is>
          <t>GÖTENE</t>
        </is>
      </c>
      <c r="F8638" t="inlineStr">
        <is>
          <t>Övriga Aktiebolag</t>
        </is>
      </c>
      <c r="G8638" t="n">
        <v>1.6</v>
      </c>
      <c r="H8638" t="n">
        <v>0</v>
      </c>
      <c r="I8638" t="n">
        <v>0</v>
      </c>
      <c r="J8638" t="n">
        <v>0</v>
      </c>
      <c r="K8638" t="n">
        <v>0</v>
      </c>
      <c r="L8638" t="n">
        <v>0</v>
      </c>
      <c r="M8638" t="n">
        <v>0</v>
      </c>
      <c r="N8638" t="n">
        <v>0</v>
      </c>
      <c r="O8638" t="n">
        <v>0</v>
      </c>
      <c r="P8638" t="n">
        <v>0</v>
      </c>
      <c r="Q8638" t="n">
        <v>0</v>
      </c>
      <c r="R8638" s="2" t="inlineStr"/>
    </row>
    <row r="8639" ht="15" customHeight="1">
      <c r="A8639" t="inlineStr">
        <is>
          <t>A 1326-2024</t>
        </is>
      </c>
      <c r="B8639" s="1" t="n">
        <v>45303</v>
      </c>
      <c r="C8639" s="1" t="n">
        <v>45952</v>
      </c>
      <c r="D8639" t="inlineStr">
        <is>
          <t>VÄSTRA GÖTALANDS LÄN</t>
        </is>
      </c>
      <c r="E8639" t="inlineStr">
        <is>
          <t>TANUM</t>
        </is>
      </c>
      <c r="G8639" t="n">
        <v>1.1</v>
      </c>
      <c r="H8639" t="n">
        <v>0</v>
      </c>
      <c r="I8639" t="n">
        <v>0</v>
      </c>
      <c r="J8639" t="n">
        <v>0</v>
      </c>
      <c r="K8639" t="n">
        <v>0</v>
      </c>
      <c r="L8639" t="n">
        <v>0</v>
      </c>
      <c r="M8639" t="n">
        <v>0</v>
      </c>
      <c r="N8639" t="n">
        <v>0</v>
      </c>
      <c r="O8639" t="n">
        <v>0</v>
      </c>
      <c r="P8639" t="n">
        <v>0</v>
      </c>
      <c r="Q8639" t="n">
        <v>0</v>
      </c>
      <c r="R8639" s="2" t="inlineStr"/>
    </row>
    <row r="8640" ht="15" customHeight="1">
      <c r="A8640" t="inlineStr">
        <is>
          <t>A 1384-2024</t>
        </is>
      </c>
      <c r="B8640" s="1" t="n">
        <v>45303</v>
      </c>
      <c r="C8640" s="1" t="n">
        <v>45952</v>
      </c>
      <c r="D8640" t="inlineStr">
        <is>
          <t>VÄSTRA GÖTALANDS LÄN</t>
        </is>
      </c>
      <c r="E8640" t="inlineStr">
        <is>
          <t>TRANEMO</t>
        </is>
      </c>
      <c r="G8640" t="n">
        <v>10.6</v>
      </c>
      <c r="H8640" t="n">
        <v>0</v>
      </c>
      <c r="I8640" t="n">
        <v>0</v>
      </c>
      <c r="J8640" t="n">
        <v>0</v>
      </c>
      <c r="K8640" t="n">
        <v>0</v>
      </c>
      <c r="L8640" t="n">
        <v>0</v>
      </c>
      <c r="M8640" t="n">
        <v>0</v>
      </c>
      <c r="N8640" t="n">
        <v>0</v>
      </c>
      <c r="O8640" t="n">
        <v>0</v>
      </c>
      <c r="P8640" t="n">
        <v>0</v>
      </c>
      <c r="Q8640" t="n">
        <v>0</v>
      </c>
      <c r="R8640" s="2" t="inlineStr"/>
    </row>
    <row r="8641" ht="15" customHeight="1">
      <c r="A8641" t="inlineStr">
        <is>
          <t>A 1390-2024</t>
        </is>
      </c>
      <c r="B8641" s="1" t="n">
        <v>45303.57658564814</v>
      </c>
      <c r="C8641" s="1" t="n">
        <v>45952</v>
      </c>
      <c r="D8641" t="inlineStr">
        <is>
          <t>VÄSTRA GÖTALANDS LÄN</t>
        </is>
      </c>
      <c r="E8641" t="inlineStr">
        <is>
          <t>HERRLJUNGA</t>
        </is>
      </c>
      <c r="G8641" t="n">
        <v>1.1</v>
      </c>
      <c r="H8641" t="n">
        <v>0</v>
      </c>
      <c r="I8641" t="n">
        <v>0</v>
      </c>
      <c r="J8641" t="n">
        <v>0</v>
      </c>
      <c r="K8641" t="n">
        <v>0</v>
      </c>
      <c r="L8641" t="n">
        <v>0</v>
      </c>
      <c r="M8641" t="n">
        <v>0</v>
      </c>
      <c r="N8641" t="n">
        <v>0</v>
      </c>
      <c r="O8641" t="n">
        <v>0</v>
      </c>
      <c r="P8641" t="n">
        <v>0</v>
      </c>
      <c r="Q8641" t="n">
        <v>0</v>
      </c>
      <c r="R8641" s="2" t="inlineStr"/>
    </row>
    <row r="8642" ht="15" customHeight="1">
      <c r="A8642" t="inlineStr">
        <is>
          <t>A 1412-2024</t>
        </is>
      </c>
      <c r="B8642" s="1" t="n">
        <v>45303.60302083333</v>
      </c>
      <c r="C8642" s="1" t="n">
        <v>45952</v>
      </c>
      <c r="D8642" t="inlineStr">
        <is>
          <t>VÄSTRA GÖTALANDS LÄN</t>
        </is>
      </c>
      <c r="E8642" t="inlineStr">
        <is>
          <t>TANUM</t>
        </is>
      </c>
      <c r="G8642" t="n">
        <v>2.5</v>
      </c>
      <c r="H8642" t="n">
        <v>0</v>
      </c>
      <c r="I8642" t="n">
        <v>0</v>
      </c>
      <c r="J8642" t="n">
        <v>0</v>
      </c>
      <c r="K8642" t="n">
        <v>0</v>
      </c>
      <c r="L8642" t="n">
        <v>0</v>
      </c>
      <c r="M8642" t="n">
        <v>0</v>
      </c>
      <c r="N8642" t="n">
        <v>0</v>
      </c>
      <c r="O8642" t="n">
        <v>0</v>
      </c>
      <c r="P8642" t="n">
        <v>0</v>
      </c>
      <c r="Q8642" t="n">
        <v>0</v>
      </c>
      <c r="R8642" s="2" t="inlineStr"/>
    </row>
    <row r="8643" ht="15" customHeight="1">
      <c r="A8643" t="inlineStr">
        <is>
          <t>A 17339-2024</t>
        </is>
      </c>
      <c r="B8643" s="1" t="n">
        <v>45414.57461805556</v>
      </c>
      <c r="C8643" s="1" t="n">
        <v>45952</v>
      </c>
      <c r="D8643" t="inlineStr">
        <is>
          <t>VÄSTRA GÖTALANDS LÄN</t>
        </is>
      </c>
      <c r="E8643" t="inlineStr">
        <is>
          <t>TIDAHOLM</t>
        </is>
      </c>
      <c r="G8643" t="n">
        <v>1.6</v>
      </c>
      <c r="H8643" t="n">
        <v>0</v>
      </c>
      <c r="I8643" t="n">
        <v>0</v>
      </c>
      <c r="J8643" t="n">
        <v>0</v>
      </c>
      <c r="K8643" t="n">
        <v>0</v>
      </c>
      <c r="L8643" t="n">
        <v>0</v>
      </c>
      <c r="M8643" t="n">
        <v>0</v>
      </c>
      <c r="N8643" t="n">
        <v>0</v>
      </c>
      <c r="O8643" t="n">
        <v>0</v>
      </c>
      <c r="P8643" t="n">
        <v>0</v>
      </c>
      <c r="Q8643" t="n">
        <v>0</v>
      </c>
      <c r="R8643" s="2" t="inlineStr"/>
    </row>
    <row r="8644" ht="15" customHeight="1">
      <c r="A8644" t="inlineStr">
        <is>
          <t>A 51207-2023</t>
        </is>
      </c>
      <c r="B8644" s="1" t="n">
        <v>45219.43929398148</v>
      </c>
      <c r="C8644" s="1" t="n">
        <v>45952</v>
      </c>
      <c r="D8644" t="inlineStr">
        <is>
          <t>VÄSTRA GÖTALANDS LÄN</t>
        </is>
      </c>
      <c r="E8644" t="inlineStr">
        <is>
          <t>FALKÖPING</t>
        </is>
      </c>
      <c r="G8644" t="n">
        <v>11.3</v>
      </c>
      <c r="H8644" t="n">
        <v>0</v>
      </c>
      <c r="I8644" t="n">
        <v>0</v>
      </c>
      <c r="J8644" t="n">
        <v>0</v>
      </c>
      <c r="K8644" t="n">
        <v>0</v>
      </c>
      <c r="L8644" t="n">
        <v>0</v>
      </c>
      <c r="M8644" t="n">
        <v>0</v>
      </c>
      <c r="N8644" t="n">
        <v>0</v>
      </c>
      <c r="O8644" t="n">
        <v>0</v>
      </c>
      <c r="P8644" t="n">
        <v>0</v>
      </c>
      <c r="Q8644" t="n">
        <v>0</v>
      </c>
      <c r="R8644" s="2" t="inlineStr"/>
    </row>
    <row r="8645" ht="15" customHeight="1">
      <c r="A8645" t="inlineStr">
        <is>
          <t>A 42205-2022</t>
        </is>
      </c>
      <c r="B8645" s="1" t="n">
        <v>44830.65798611111</v>
      </c>
      <c r="C8645" s="1" t="n">
        <v>45952</v>
      </c>
      <c r="D8645" t="inlineStr">
        <is>
          <t>VÄSTRA GÖTALANDS LÄN</t>
        </is>
      </c>
      <c r="E8645" t="inlineStr">
        <is>
          <t>ULRICEHAMN</t>
        </is>
      </c>
      <c r="G8645" t="n">
        <v>3.3</v>
      </c>
      <c r="H8645" t="n">
        <v>0</v>
      </c>
      <c r="I8645" t="n">
        <v>0</v>
      </c>
      <c r="J8645" t="n">
        <v>0</v>
      </c>
      <c r="K8645" t="n">
        <v>0</v>
      </c>
      <c r="L8645" t="n">
        <v>0</v>
      </c>
      <c r="M8645" t="n">
        <v>0</v>
      </c>
      <c r="N8645" t="n">
        <v>0</v>
      </c>
      <c r="O8645" t="n">
        <v>0</v>
      </c>
      <c r="P8645" t="n">
        <v>0</v>
      </c>
      <c r="Q8645" t="n">
        <v>0</v>
      </c>
      <c r="R8645" s="2" t="inlineStr"/>
    </row>
    <row r="8646" ht="15" customHeight="1">
      <c r="A8646" t="inlineStr">
        <is>
          <t>A 13513-2024</t>
        </is>
      </c>
      <c r="B8646" s="1" t="n">
        <v>45387</v>
      </c>
      <c r="C8646" s="1" t="n">
        <v>45952</v>
      </c>
      <c r="D8646" t="inlineStr">
        <is>
          <t>VÄSTRA GÖTALANDS LÄN</t>
        </is>
      </c>
      <c r="E8646" t="inlineStr">
        <is>
          <t>VARA</t>
        </is>
      </c>
      <c r="G8646" t="n">
        <v>1.2</v>
      </c>
      <c r="H8646" t="n">
        <v>0</v>
      </c>
      <c r="I8646" t="n">
        <v>0</v>
      </c>
      <c r="J8646" t="n">
        <v>0</v>
      </c>
      <c r="K8646" t="n">
        <v>0</v>
      </c>
      <c r="L8646" t="n">
        <v>0</v>
      </c>
      <c r="M8646" t="n">
        <v>0</v>
      </c>
      <c r="N8646" t="n">
        <v>0</v>
      </c>
      <c r="O8646" t="n">
        <v>0</v>
      </c>
      <c r="P8646" t="n">
        <v>0</v>
      </c>
      <c r="Q8646" t="n">
        <v>0</v>
      </c>
      <c r="R8646" s="2" t="inlineStr"/>
    </row>
    <row r="8647" ht="15" customHeight="1">
      <c r="A8647" t="inlineStr">
        <is>
          <t>A 49050-2021</t>
        </is>
      </c>
      <c r="B8647" s="1" t="n">
        <v>44453.59045138889</v>
      </c>
      <c r="C8647" s="1" t="n">
        <v>45952</v>
      </c>
      <c r="D8647" t="inlineStr">
        <is>
          <t>VÄSTRA GÖTALANDS LÄN</t>
        </is>
      </c>
      <c r="E8647" t="inlineStr">
        <is>
          <t>TIDAHOLM</t>
        </is>
      </c>
      <c r="G8647" t="n">
        <v>2.5</v>
      </c>
      <c r="H8647" t="n">
        <v>0</v>
      </c>
      <c r="I8647" t="n">
        <v>0</v>
      </c>
      <c r="J8647" t="n">
        <v>0</v>
      </c>
      <c r="K8647" t="n">
        <v>0</v>
      </c>
      <c r="L8647" t="n">
        <v>0</v>
      </c>
      <c r="M8647" t="n">
        <v>0</v>
      </c>
      <c r="N8647" t="n">
        <v>0</v>
      </c>
      <c r="O8647" t="n">
        <v>0</v>
      </c>
      <c r="P8647" t="n">
        <v>0</v>
      </c>
      <c r="Q8647" t="n">
        <v>0</v>
      </c>
      <c r="R8647" s="2" t="inlineStr"/>
    </row>
    <row r="8648" ht="15" customHeight="1">
      <c r="A8648" t="inlineStr">
        <is>
          <t>A 64390-2023</t>
        </is>
      </c>
      <c r="B8648" s="1" t="n">
        <v>45280.59041666667</v>
      </c>
      <c r="C8648" s="1" t="n">
        <v>45952</v>
      </c>
      <c r="D8648" t="inlineStr">
        <is>
          <t>VÄSTRA GÖTALANDS LÄN</t>
        </is>
      </c>
      <c r="E8648" t="inlineStr">
        <is>
          <t>FÄRGELANDA</t>
        </is>
      </c>
      <c r="G8648" t="n">
        <v>7.4</v>
      </c>
      <c r="H8648" t="n">
        <v>0</v>
      </c>
      <c r="I8648" t="n">
        <v>0</v>
      </c>
      <c r="J8648" t="n">
        <v>0</v>
      </c>
      <c r="K8648" t="n">
        <v>0</v>
      </c>
      <c r="L8648" t="n">
        <v>0</v>
      </c>
      <c r="M8648" t="n">
        <v>0</v>
      </c>
      <c r="N8648" t="n">
        <v>0</v>
      </c>
      <c r="O8648" t="n">
        <v>0</v>
      </c>
      <c r="P8648" t="n">
        <v>0</v>
      </c>
      <c r="Q8648" t="n">
        <v>0</v>
      </c>
      <c r="R8648" s="2" t="inlineStr"/>
    </row>
    <row r="8649" ht="15" customHeight="1">
      <c r="A8649" t="inlineStr">
        <is>
          <t>A 9113-2025</t>
        </is>
      </c>
      <c r="B8649" s="1" t="n">
        <v>45713.78631944444</v>
      </c>
      <c r="C8649" s="1" t="n">
        <v>45952</v>
      </c>
      <c r="D8649" t="inlineStr">
        <is>
          <t>VÄSTRA GÖTALANDS LÄN</t>
        </is>
      </c>
      <c r="E8649" t="inlineStr">
        <is>
          <t>MARK</t>
        </is>
      </c>
      <c r="G8649" t="n">
        <v>2.8</v>
      </c>
      <c r="H8649" t="n">
        <v>0</v>
      </c>
      <c r="I8649" t="n">
        <v>0</v>
      </c>
      <c r="J8649" t="n">
        <v>0</v>
      </c>
      <c r="K8649" t="n">
        <v>0</v>
      </c>
      <c r="L8649" t="n">
        <v>0</v>
      </c>
      <c r="M8649" t="n">
        <v>0</v>
      </c>
      <c r="N8649" t="n">
        <v>0</v>
      </c>
      <c r="O8649" t="n">
        <v>0</v>
      </c>
      <c r="P8649" t="n">
        <v>0</v>
      </c>
      <c r="Q8649" t="n">
        <v>0</v>
      </c>
      <c r="R8649" s="2" t="inlineStr"/>
    </row>
    <row r="8650" ht="15" customHeight="1">
      <c r="A8650" t="inlineStr">
        <is>
          <t>A 39512-2025</t>
        </is>
      </c>
      <c r="B8650" s="1" t="n">
        <v>45890</v>
      </c>
      <c r="C8650" s="1" t="n">
        <v>45952</v>
      </c>
      <c r="D8650" t="inlineStr">
        <is>
          <t>VÄSTRA GÖTALANDS LÄN</t>
        </is>
      </c>
      <c r="E8650" t="inlineStr">
        <is>
          <t>TANUM</t>
        </is>
      </c>
      <c r="G8650" t="n">
        <v>1.6</v>
      </c>
      <c r="H8650" t="n">
        <v>0</v>
      </c>
      <c r="I8650" t="n">
        <v>0</v>
      </c>
      <c r="J8650" t="n">
        <v>0</v>
      </c>
      <c r="K8650" t="n">
        <v>0</v>
      </c>
      <c r="L8650" t="n">
        <v>0</v>
      </c>
      <c r="M8650" t="n">
        <v>0</v>
      </c>
      <c r="N8650" t="n">
        <v>0</v>
      </c>
      <c r="O8650" t="n">
        <v>0</v>
      </c>
      <c r="P8650" t="n">
        <v>0</v>
      </c>
      <c r="Q8650" t="n">
        <v>0</v>
      </c>
      <c r="R8650" s="2" t="inlineStr"/>
    </row>
    <row r="8651" ht="15" customHeight="1">
      <c r="A8651" t="inlineStr">
        <is>
          <t>A 39563-2025</t>
        </is>
      </c>
      <c r="B8651" s="1" t="n">
        <v>45890.48255787037</v>
      </c>
      <c r="C8651" s="1" t="n">
        <v>45952</v>
      </c>
      <c r="D8651" t="inlineStr">
        <is>
          <t>VÄSTRA GÖTALANDS LÄN</t>
        </is>
      </c>
      <c r="E8651" t="inlineStr">
        <is>
          <t>FALKÖPING</t>
        </is>
      </c>
      <c r="G8651" t="n">
        <v>1.5</v>
      </c>
      <c r="H8651" t="n">
        <v>0</v>
      </c>
      <c r="I8651" t="n">
        <v>0</v>
      </c>
      <c r="J8651" t="n">
        <v>0</v>
      </c>
      <c r="K8651" t="n">
        <v>0</v>
      </c>
      <c r="L8651" t="n">
        <v>0</v>
      </c>
      <c r="M8651" t="n">
        <v>0</v>
      </c>
      <c r="N8651" t="n">
        <v>0</v>
      </c>
      <c r="O8651" t="n">
        <v>0</v>
      </c>
      <c r="P8651" t="n">
        <v>0</v>
      </c>
      <c r="Q8651" t="n">
        <v>0</v>
      </c>
      <c r="R8651" s="2" t="inlineStr"/>
    </row>
    <row r="8652" ht="15" customHeight="1">
      <c r="A8652" t="inlineStr">
        <is>
          <t>A 11891-2025</t>
        </is>
      </c>
      <c r="B8652" s="1" t="n">
        <v>45728.46309027778</v>
      </c>
      <c r="C8652" s="1" t="n">
        <v>45952</v>
      </c>
      <c r="D8652" t="inlineStr">
        <is>
          <t>VÄSTRA GÖTALANDS LÄN</t>
        </is>
      </c>
      <c r="E8652" t="inlineStr">
        <is>
          <t>STRÖMSTAD</t>
        </is>
      </c>
      <c r="G8652" t="n">
        <v>1.5</v>
      </c>
      <c r="H8652" t="n">
        <v>0</v>
      </c>
      <c r="I8652" t="n">
        <v>0</v>
      </c>
      <c r="J8652" t="n">
        <v>0</v>
      </c>
      <c r="K8652" t="n">
        <v>0</v>
      </c>
      <c r="L8652" t="n">
        <v>0</v>
      </c>
      <c r="M8652" t="n">
        <v>0</v>
      </c>
      <c r="N8652" t="n">
        <v>0</v>
      </c>
      <c r="O8652" t="n">
        <v>0</v>
      </c>
      <c r="P8652" t="n">
        <v>0</v>
      </c>
      <c r="Q8652" t="n">
        <v>0</v>
      </c>
      <c r="R8652" s="2" t="inlineStr"/>
    </row>
    <row r="8653" ht="15" customHeight="1">
      <c r="A8653" t="inlineStr">
        <is>
          <t>A 5158-2025</t>
        </is>
      </c>
      <c r="B8653" s="1" t="n">
        <v>45691.60722222222</v>
      </c>
      <c r="C8653" s="1" t="n">
        <v>45952</v>
      </c>
      <c r="D8653" t="inlineStr">
        <is>
          <t>VÄSTRA GÖTALANDS LÄN</t>
        </is>
      </c>
      <c r="E8653" t="inlineStr">
        <is>
          <t>ULRICEHAMN</t>
        </is>
      </c>
      <c r="G8653" t="n">
        <v>0.4</v>
      </c>
      <c r="H8653" t="n">
        <v>0</v>
      </c>
      <c r="I8653" t="n">
        <v>0</v>
      </c>
      <c r="J8653" t="n">
        <v>0</v>
      </c>
      <c r="K8653" t="n">
        <v>0</v>
      </c>
      <c r="L8653" t="n">
        <v>0</v>
      </c>
      <c r="M8653" t="n">
        <v>0</v>
      </c>
      <c r="N8653" t="n">
        <v>0</v>
      </c>
      <c r="O8653" t="n">
        <v>0</v>
      </c>
      <c r="P8653" t="n">
        <v>0</v>
      </c>
      <c r="Q8653" t="n">
        <v>0</v>
      </c>
      <c r="R8653" s="2" t="inlineStr"/>
    </row>
    <row r="8654" ht="15" customHeight="1">
      <c r="A8654" t="inlineStr">
        <is>
          <t>A 40003-2025</t>
        </is>
      </c>
      <c r="B8654" s="1" t="n">
        <v>45891</v>
      </c>
      <c r="C8654" s="1" t="n">
        <v>45952</v>
      </c>
      <c r="D8654" t="inlineStr">
        <is>
          <t>VÄSTRA GÖTALANDS LÄN</t>
        </is>
      </c>
      <c r="E8654" t="inlineStr">
        <is>
          <t>MUNKEDAL</t>
        </is>
      </c>
      <c r="G8654" t="n">
        <v>1.2</v>
      </c>
      <c r="H8654" t="n">
        <v>0</v>
      </c>
      <c r="I8654" t="n">
        <v>0</v>
      </c>
      <c r="J8654" t="n">
        <v>0</v>
      </c>
      <c r="K8654" t="n">
        <v>0</v>
      </c>
      <c r="L8654" t="n">
        <v>0</v>
      </c>
      <c r="M8654" t="n">
        <v>0</v>
      </c>
      <c r="N8654" t="n">
        <v>0</v>
      </c>
      <c r="O8654" t="n">
        <v>0</v>
      </c>
      <c r="P8654" t="n">
        <v>0</v>
      </c>
      <c r="Q8654" t="n">
        <v>0</v>
      </c>
      <c r="R8654" s="2" t="inlineStr"/>
    </row>
    <row r="8655" ht="15" customHeight="1">
      <c r="A8655" t="inlineStr">
        <is>
          <t>A 40004-2025</t>
        </is>
      </c>
      <c r="B8655" s="1" t="n">
        <v>45891</v>
      </c>
      <c r="C8655" s="1" t="n">
        <v>45952</v>
      </c>
      <c r="D8655" t="inlineStr">
        <is>
          <t>VÄSTRA GÖTALANDS LÄN</t>
        </is>
      </c>
      <c r="E8655" t="inlineStr">
        <is>
          <t>MUNKEDAL</t>
        </is>
      </c>
      <c r="G8655" t="n">
        <v>1.6</v>
      </c>
      <c r="H8655" t="n">
        <v>0</v>
      </c>
      <c r="I8655" t="n">
        <v>0</v>
      </c>
      <c r="J8655" t="n">
        <v>0</v>
      </c>
      <c r="K8655" t="n">
        <v>0</v>
      </c>
      <c r="L8655" t="n">
        <v>0</v>
      </c>
      <c r="M8655" t="n">
        <v>0</v>
      </c>
      <c r="N8655" t="n">
        <v>0</v>
      </c>
      <c r="O8655" t="n">
        <v>0</v>
      </c>
      <c r="P8655" t="n">
        <v>0</v>
      </c>
      <c r="Q8655" t="n">
        <v>0</v>
      </c>
      <c r="R8655" s="2" t="inlineStr"/>
    </row>
    <row r="8656" ht="15" customHeight="1">
      <c r="A8656" t="inlineStr">
        <is>
          <t>A 45350-2025</t>
        </is>
      </c>
      <c r="B8656" s="1" t="n">
        <v>45922</v>
      </c>
      <c r="C8656" s="1" t="n">
        <v>45952</v>
      </c>
      <c r="D8656" t="inlineStr">
        <is>
          <t>VÄSTRA GÖTALANDS LÄN</t>
        </is>
      </c>
      <c r="E8656" t="inlineStr">
        <is>
          <t>TANUM</t>
        </is>
      </c>
      <c r="G8656" t="n">
        <v>0.8</v>
      </c>
      <c r="H8656" t="n">
        <v>0</v>
      </c>
      <c r="I8656" t="n">
        <v>0</v>
      </c>
      <c r="J8656" t="n">
        <v>0</v>
      </c>
      <c r="K8656" t="n">
        <v>0</v>
      </c>
      <c r="L8656" t="n">
        <v>0</v>
      </c>
      <c r="M8656" t="n">
        <v>0</v>
      </c>
      <c r="N8656" t="n">
        <v>0</v>
      </c>
      <c r="O8656" t="n">
        <v>0</v>
      </c>
      <c r="P8656" t="n">
        <v>0</v>
      </c>
      <c r="Q8656" t="n">
        <v>0</v>
      </c>
      <c r="R8656" s="2" t="inlineStr"/>
    </row>
    <row r="8657" ht="15" customHeight="1">
      <c r="A8657" t="inlineStr">
        <is>
          <t>A 8368-2025</t>
        </is>
      </c>
      <c r="B8657" s="1" t="n">
        <v>45709.27710648148</v>
      </c>
      <c r="C8657" s="1" t="n">
        <v>45952</v>
      </c>
      <c r="D8657" t="inlineStr">
        <is>
          <t>VÄSTRA GÖTALANDS LÄN</t>
        </is>
      </c>
      <c r="E8657" t="inlineStr">
        <is>
          <t>ULRICEHAMN</t>
        </is>
      </c>
      <c r="G8657" t="n">
        <v>1.6</v>
      </c>
      <c r="H8657" t="n">
        <v>0</v>
      </c>
      <c r="I8657" t="n">
        <v>0</v>
      </c>
      <c r="J8657" t="n">
        <v>0</v>
      </c>
      <c r="K8657" t="n">
        <v>0</v>
      </c>
      <c r="L8657" t="n">
        <v>0</v>
      </c>
      <c r="M8657" t="n">
        <v>0</v>
      </c>
      <c r="N8657" t="n">
        <v>0</v>
      </c>
      <c r="O8657" t="n">
        <v>0</v>
      </c>
      <c r="P8657" t="n">
        <v>0</v>
      </c>
      <c r="Q8657" t="n">
        <v>0</v>
      </c>
      <c r="R8657" s="2" t="inlineStr"/>
    </row>
    <row r="8658" ht="15" customHeight="1">
      <c r="A8658" t="inlineStr">
        <is>
          <t>A 29176-2025</t>
        </is>
      </c>
      <c r="B8658" s="1" t="n">
        <v>45821</v>
      </c>
      <c r="C8658" s="1" t="n">
        <v>45952</v>
      </c>
      <c r="D8658" t="inlineStr">
        <is>
          <t>VÄSTRA GÖTALANDS LÄN</t>
        </is>
      </c>
      <c r="E8658" t="inlineStr">
        <is>
          <t>GULLSPÅNG</t>
        </is>
      </c>
      <c r="G8658" t="n">
        <v>2</v>
      </c>
      <c r="H8658" t="n">
        <v>0</v>
      </c>
      <c r="I8658" t="n">
        <v>0</v>
      </c>
      <c r="J8658" t="n">
        <v>0</v>
      </c>
      <c r="K8658" t="n">
        <v>0</v>
      </c>
      <c r="L8658" t="n">
        <v>0</v>
      </c>
      <c r="M8658" t="n">
        <v>0</v>
      </c>
      <c r="N8658" t="n">
        <v>0</v>
      </c>
      <c r="O8658" t="n">
        <v>0</v>
      </c>
      <c r="P8658" t="n">
        <v>0</v>
      </c>
      <c r="Q8658" t="n">
        <v>0</v>
      </c>
      <c r="R8658" s="2" t="inlineStr"/>
    </row>
    <row r="8659" ht="15" customHeight="1">
      <c r="A8659" t="inlineStr">
        <is>
          <t>A 39498-2025</t>
        </is>
      </c>
      <c r="B8659" s="1" t="n">
        <v>45890.37979166667</v>
      </c>
      <c r="C8659" s="1" t="n">
        <v>45952</v>
      </c>
      <c r="D8659" t="inlineStr">
        <is>
          <t>VÄSTRA GÖTALANDS LÄN</t>
        </is>
      </c>
      <c r="E8659" t="inlineStr">
        <is>
          <t>ESSUNGA</t>
        </is>
      </c>
      <c r="G8659" t="n">
        <v>0.9</v>
      </c>
      <c r="H8659" t="n">
        <v>0</v>
      </c>
      <c r="I8659" t="n">
        <v>0</v>
      </c>
      <c r="J8659" t="n">
        <v>0</v>
      </c>
      <c r="K8659" t="n">
        <v>0</v>
      </c>
      <c r="L8659" t="n">
        <v>0</v>
      </c>
      <c r="M8659" t="n">
        <v>0</v>
      </c>
      <c r="N8659" t="n">
        <v>0</v>
      </c>
      <c r="O8659" t="n">
        <v>0</v>
      </c>
      <c r="P8659" t="n">
        <v>0</v>
      </c>
      <c r="Q8659" t="n">
        <v>0</v>
      </c>
      <c r="R8659" s="2" t="inlineStr"/>
    </row>
    <row r="8660" ht="15" customHeight="1">
      <c r="A8660" t="inlineStr">
        <is>
          <t>A 47869-2025</t>
        </is>
      </c>
      <c r="B8660" s="1" t="n">
        <v>45932.44273148148</v>
      </c>
      <c r="C8660" s="1" t="n">
        <v>45952</v>
      </c>
      <c r="D8660" t="inlineStr">
        <is>
          <t>VÄSTRA GÖTALANDS LÄN</t>
        </is>
      </c>
      <c r="E8660" t="inlineStr">
        <is>
          <t>SKÖVDE</t>
        </is>
      </c>
      <c r="G8660" t="n">
        <v>1.6</v>
      </c>
      <c r="H8660" t="n">
        <v>0</v>
      </c>
      <c r="I8660" t="n">
        <v>0</v>
      </c>
      <c r="J8660" t="n">
        <v>0</v>
      </c>
      <c r="K8660" t="n">
        <v>0</v>
      </c>
      <c r="L8660" t="n">
        <v>0</v>
      </c>
      <c r="M8660" t="n">
        <v>0</v>
      </c>
      <c r="N8660" t="n">
        <v>0</v>
      </c>
      <c r="O8660" t="n">
        <v>0</v>
      </c>
      <c r="P8660" t="n">
        <v>0</v>
      </c>
      <c r="Q8660" t="n">
        <v>0</v>
      </c>
      <c r="R8660" s="2" t="inlineStr"/>
    </row>
    <row r="8661" ht="15" customHeight="1">
      <c r="A8661" t="inlineStr">
        <is>
          <t>A 47884-2025</t>
        </is>
      </c>
      <c r="B8661" s="1" t="n">
        <v>45932.46387731482</v>
      </c>
      <c r="C8661" s="1" t="n">
        <v>45952</v>
      </c>
      <c r="D8661" t="inlineStr">
        <is>
          <t>VÄSTRA GÖTALANDS LÄN</t>
        </is>
      </c>
      <c r="E8661" t="inlineStr">
        <is>
          <t>BENGTSFORS</t>
        </is>
      </c>
      <c r="G8661" t="n">
        <v>1.6</v>
      </c>
      <c r="H8661" t="n">
        <v>0</v>
      </c>
      <c r="I8661" t="n">
        <v>0</v>
      </c>
      <c r="J8661" t="n">
        <v>0</v>
      </c>
      <c r="K8661" t="n">
        <v>0</v>
      </c>
      <c r="L8661" t="n">
        <v>0</v>
      </c>
      <c r="M8661" t="n">
        <v>0</v>
      </c>
      <c r="N8661" t="n">
        <v>0</v>
      </c>
      <c r="O8661" t="n">
        <v>0</v>
      </c>
      <c r="P8661" t="n">
        <v>0</v>
      </c>
      <c r="Q8661" t="n">
        <v>0</v>
      </c>
      <c r="R8661" s="2" t="inlineStr"/>
    </row>
    <row r="8662" ht="15" customHeight="1">
      <c r="A8662" t="inlineStr">
        <is>
          <t>A 496-2025</t>
        </is>
      </c>
      <c r="B8662" s="1" t="n">
        <v>45664.46601851852</v>
      </c>
      <c r="C8662" s="1" t="n">
        <v>45952</v>
      </c>
      <c r="D8662" t="inlineStr">
        <is>
          <t>VÄSTRA GÖTALANDS LÄN</t>
        </is>
      </c>
      <c r="E8662" t="inlineStr">
        <is>
          <t>MELLERUD</t>
        </is>
      </c>
      <c r="G8662" t="n">
        <v>1.3</v>
      </c>
      <c r="H8662" t="n">
        <v>0</v>
      </c>
      <c r="I8662" t="n">
        <v>0</v>
      </c>
      <c r="J8662" t="n">
        <v>0</v>
      </c>
      <c r="K8662" t="n">
        <v>0</v>
      </c>
      <c r="L8662" t="n">
        <v>0</v>
      </c>
      <c r="M8662" t="n">
        <v>0</v>
      </c>
      <c r="N8662" t="n">
        <v>0</v>
      </c>
      <c r="O8662" t="n">
        <v>0</v>
      </c>
      <c r="P8662" t="n">
        <v>0</v>
      </c>
      <c r="Q8662" t="n">
        <v>0</v>
      </c>
      <c r="R8662" s="2" t="inlineStr"/>
    </row>
    <row r="8663" ht="15" customHeight="1">
      <c r="A8663" t="inlineStr">
        <is>
          <t>A 50183-2024</t>
        </is>
      </c>
      <c r="B8663" s="1" t="n">
        <v>45599</v>
      </c>
      <c r="C8663" s="1" t="n">
        <v>45952</v>
      </c>
      <c r="D8663" t="inlineStr">
        <is>
          <t>VÄSTRA GÖTALANDS LÄN</t>
        </is>
      </c>
      <c r="E8663" t="inlineStr">
        <is>
          <t>TANUM</t>
        </is>
      </c>
      <c r="G8663" t="n">
        <v>0.5</v>
      </c>
      <c r="H8663" t="n">
        <v>0</v>
      </c>
      <c r="I8663" t="n">
        <v>0</v>
      </c>
      <c r="J8663" t="n">
        <v>0</v>
      </c>
      <c r="K8663" t="n">
        <v>0</v>
      </c>
      <c r="L8663" t="n">
        <v>0</v>
      </c>
      <c r="M8663" t="n">
        <v>0</v>
      </c>
      <c r="N8663" t="n">
        <v>0</v>
      </c>
      <c r="O8663" t="n">
        <v>0</v>
      </c>
      <c r="P8663" t="n">
        <v>0</v>
      </c>
      <c r="Q8663" t="n">
        <v>0</v>
      </c>
      <c r="R8663" s="2" t="inlineStr"/>
    </row>
    <row r="8664" ht="15" customHeight="1">
      <c r="A8664" t="inlineStr">
        <is>
          <t>A 22658-2025</t>
        </is>
      </c>
      <c r="B8664" s="1" t="n">
        <v>45789.47318287037</v>
      </c>
      <c r="C8664" s="1" t="n">
        <v>45952</v>
      </c>
      <c r="D8664" t="inlineStr">
        <is>
          <t>VÄSTRA GÖTALANDS LÄN</t>
        </is>
      </c>
      <c r="E8664" t="inlineStr">
        <is>
          <t>LYSEKIL</t>
        </is>
      </c>
      <c r="G8664" t="n">
        <v>4.5</v>
      </c>
      <c r="H8664" t="n">
        <v>0</v>
      </c>
      <c r="I8664" t="n">
        <v>0</v>
      </c>
      <c r="J8664" t="n">
        <v>0</v>
      </c>
      <c r="K8664" t="n">
        <v>0</v>
      </c>
      <c r="L8664" t="n">
        <v>0</v>
      </c>
      <c r="M8664" t="n">
        <v>0</v>
      </c>
      <c r="N8664" t="n">
        <v>0</v>
      </c>
      <c r="O8664" t="n">
        <v>0</v>
      </c>
      <c r="P8664" t="n">
        <v>0</v>
      </c>
      <c r="Q8664" t="n">
        <v>0</v>
      </c>
      <c r="R8664" s="2" t="inlineStr"/>
    </row>
    <row r="8665" ht="15" customHeight="1">
      <c r="A8665" t="inlineStr">
        <is>
          <t>A 2128-2025</t>
        </is>
      </c>
      <c r="B8665" s="1" t="n">
        <v>45672.65099537037</v>
      </c>
      <c r="C8665" s="1" t="n">
        <v>45952</v>
      </c>
      <c r="D8665" t="inlineStr">
        <is>
          <t>VÄSTRA GÖTALANDS LÄN</t>
        </is>
      </c>
      <c r="E8665" t="inlineStr">
        <is>
          <t>MARK</t>
        </is>
      </c>
      <c r="G8665" t="n">
        <v>1.1</v>
      </c>
      <c r="H8665" t="n">
        <v>0</v>
      </c>
      <c r="I8665" t="n">
        <v>0</v>
      </c>
      <c r="J8665" t="n">
        <v>0</v>
      </c>
      <c r="K8665" t="n">
        <v>0</v>
      </c>
      <c r="L8665" t="n">
        <v>0</v>
      </c>
      <c r="M8665" t="n">
        <v>0</v>
      </c>
      <c r="N8665" t="n">
        <v>0</v>
      </c>
      <c r="O8665" t="n">
        <v>0</v>
      </c>
      <c r="P8665" t="n">
        <v>0</v>
      </c>
      <c r="Q8665" t="n">
        <v>0</v>
      </c>
      <c r="R8665" s="2" t="inlineStr"/>
    </row>
    <row r="8666" ht="15" customHeight="1">
      <c r="A8666" t="inlineStr">
        <is>
          <t>A 39724-2025</t>
        </is>
      </c>
      <c r="B8666" s="1" t="n">
        <v>45891.33506944445</v>
      </c>
      <c r="C8666" s="1" t="n">
        <v>45952</v>
      </c>
      <c r="D8666" t="inlineStr">
        <is>
          <t>VÄSTRA GÖTALANDS LÄN</t>
        </is>
      </c>
      <c r="E8666" t="inlineStr">
        <is>
          <t>HERRLJUNGA</t>
        </is>
      </c>
      <c r="F8666" t="inlineStr">
        <is>
          <t>Sveaskog</t>
        </is>
      </c>
      <c r="G8666" t="n">
        <v>10.3</v>
      </c>
      <c r="H8666" t="n">
        <v>0</v>
      </c>
      <c r="I8666" t="n">
        <v>0</v>
      </c>
      <c r="J8666" t="n">
        <v>0</v>
      </c>
      <c r="K8666" t="n">
        <v>0</v>
      </c>
      <c r="L8666" t="n">
        <v>0</v>
      </c>
      <c r="M8666" t="n">
        <v>0</v>
      </c>
      <c r="N8666" t="n">
        <v>0</v>
      </c>
      <c r="O8666" t="n">
        <v>0</v>
      </c>
      <c r="P8666" t="n">
        <v>0</v>
      </c>
      <c r="Q8666" t="n">
        <v>0</v>
      </c>
      <c r="R8666" s="2" t="inlineStr"/>
    </row>
    <row r="8667" ht="15" customHeight="1">
      <c r="A8667" t="inlineStr">
        <is>
          <t>A 48153-2025</t>
        </is>
      </c>
      <c r="B8667" s="1" t="n">
        <v>45933.41109953704</v>
      </c>
      <c r="C8667" s="1" t="n">
        <v>45952</v>
      </c>
      <c r="D8667" t="inlineStr">
        <is>
          <t>VÄSTRA GÖTALANDS LÄN</t>
        </is>
      </c>
      <c r="E8667" t="inlineStr">
        <is>
          <t>LYSEKIL</t>
        </is>
      </c>
      <c r="G8667" t="n">
        <v>1</v>
      </c>
      <c r="H8667" t="n">
        <v>0</v>
      </c>
      <c r="I8667" t="n">
        <v>0</v>
      </c>
      <c r="J8667" t="n">
        <v>0</v>
      </c>
      <c r="K8667" t="n">
        <v>0</v>
      </c>
      <c r="L8667" t="n">
        <v>0</v>
      </c>
      <c r="M8667" t="n">
        <v>0</v>
      </c>
      <c r="N8667" t="n">
        <v>0</v>
      </c>
      <c r="O8667" t="n">
        <v>0</v>
      </c>
      <c r="P8667" t="n">
        <v>0</v>
      </c>
      <c r="Q8667" t="n">
        <v>0</v>
      </c>
      <c r="R8667" s="2" t="inlineStr"/>
    </row>
    <row r="8668" ht="15" customHeight="1">
      <c r="A8668" t="inlineStr">
        <is>
          <t>A 52-2024</t>
        </is>
      </c>
      <c r="B8668" s="1" t="n">
        <v>45293</v>
      </c>
      <c r="C8668" s="1" t="n">
        <v>45952</v>
      </c>
      <c r="D8668" t="inlineStr">
        <is>
          <t>VÄSTRA GÖTALANDS LÄN</t>
        </is>
      </c>
      <c r="E8668" t="inlineStr">
        <is>
          <t>LYSEKIL</t>
        </is>
      </c>
      <c r="G8668" t="n">
        <v>2.7</v>
      </c>
      <c r="H8668" t="n">
        <v>0</v>
      </c>
      <c r="I8668" t="n">
        <v>0</v>
      </c>
      <c r="J8668" t="n">
        <v>0</v>
      </c>
      <c r="K8668" t="n">
        <v>0</v>
      </c>
      <c r="L8668" t="n">
        <v>0</v>
      </c>
      <c r="M8668" t="n">
        <v>0</v>
      </c>
      <c r="N8668" t="n">
        <v>0</v>
      </c>
      <c r="O8668" t="n">
        <v>0</v>
      </c>
      <c r="P8668" t="n">
        <v>0</v>
      </c>
      <c r="Q8668" t="n">
        <v>0</v>
      </c>
      <c r="R8668" s="2" t="inlineStr"/>
    </row>
    <row r="8669" ht="15" customHeight="1">
      <c r="A8669" t="inlineStr">
        <is>
          <t>A 2117-2022</t>
        </is>
      </c>
      <c r="B8669" s="1" t="n">
        <v>44578.30037037037</v>
      </c>
      <c r="C8669" s="1" t="n">
        <v>45952</v>
      </c>
      <c r="D8669" t="inlineStr">
        <is>
          <t>VÄSTRA GÖTALANDS LÄN</t>
        </is>
      </c>
      <c r="E8669" t="inlineStr">
        <is>
          <t>FÄRGELANDA</t>
        </is>
      </c>
      <c r="G8669" t="n">
        <v>4.8</v>
      </c>
      <c r="H8669" t="n">
        <v>0</v>
      </c>
      <c r="I8669" t="n">
        <v>0</v>
      </c>
      <c r="J8669" t="n">
        <v>0</v>
      </c>
      <c r="K8669" t="n">
        <v>0</v>
      </c>
      <c r="L8669" t="n">
        <v>0</v>
      </c>
      <c r="M8669" t="n">
        <v>0</v>
      </c>
      <c r="N8669" t="n">
        <v>0</v>
      </c>
      <c r="O8669" t="n">
        <v>0</v>
      </c>
      <c r="P8669" t="n">
        <v>0</v>
      </c>
      <c r="Q8669" t="n">
        <v>0</v>
      </c>
      <c r="R8669" s="2" t="inlineStr"/>
    </row>
    <row r="8670" ht="15" customHeight="1">
      <c r="A8670" t="inlineStr">
        <is>
          <t>A 15206-2025</t>
        </is>
      </c>
      <c r="B8670" s="1" t="n">
        <v>45744.57194444445</v>
      </c>
      <c r="C8670" s="1" t="n">
        <v>45952</v>
      </c>
      <c r="D8670" t="inlineStr">
        <is>
          <t>VÄSTRA GÖTALANDS LÄN</t>
        </is>
      </c>
      <c r="E8670" t="inlineStr">
        <is>
          <t>MARIESTAD</t>
        </is>
      </c>
      <c r="G8670" t="n">
        <v>4.7</v>
      </c>
      <c r="H8670" t="n">
        <v>0</v>
      </c>
      <c r="I8670" t="n">
        <v>0</v>
      </c>
      <c r="J8670" t="n">
        <v>0</v>
      </c>
      <c r="K8670" t="n">
        <v>0</v>
      </c>
      <c r="L8670" t="n">
        <v>0</v>
      </c>
      <c r="M8670" t="n">
        <v>0</v>
      </c>
      <c r="N8670" t="n">
        <v>0</v>
      </c>
      <c r="O8670" t="n">
        <v>0</v>
      </c>
      <c r="P8670" t="n">
        <v>0</v>
      </c>
      <c r="Q8670" t="n">
        <v>0</v>
      </c>
      <c r="R8670" s="2" t="inlineStr"/>
    </row>
    <row r="8671" ht="15" customHeight="1">
      <c r="A8671" t="inlineStr">
        <is>
          <t>A 10670-2024</t>
        </is>
      </c>
      <c r="B8671" s="1" t="n">
        <v>45369.34828703704</v>
      </c>
      <c r="C8671" s="1" t="n">
        <v>45952</v>
      </c>
      <c r="D8671" t="inlineStr">
        <is>
          <t>VÄSTRA GÖTALANDS LÄN</t>
        </is>
      </c>
      <c r="E8671" t="inlineStr">
        <is>
          <t>HJO</t>
        </is>
      </c>
      <c r="G8671" t="n">
        <v>1.1</v>
      </c>
      <c r="H8671" t="n">
        <v>0</v>
      </c>
      <c r="I8671" t="n">
        <v>0</v>
      </c>
      <c r="J8671" t="n">
        <v>0</v>
      </c>
      <c r="K8671" t="n">
        <v>0</v>
      </c>
      <c r="L8671" t="n">
        <v>0</v>
      </c>
      <c r="M8671" t="n">
        <v>0</v>
      </c>
      <c r="N8671" t="n">
        <v>0</v>
      </c>
      <c r="O8671" t="n">
        <v>0</v>
      </c>
      <c r="P8671" t="n">
        <v>0</v>
      </c>
      <c r="Q8671" t="n">
        <v>0</v>
      </c>
      <c r="R8671" s="2" t="inlineStr"/>
    </row>
    <row r="8672" ht="15" customHeight="1">
      <c r="A8672" t="inlineStr">
        <is>
          <t>A 50577-2024</t>
        </is>
      </c>
      <c r="B8672" s="1" t="n">
        <v>45601.60918981482</v>
      </c>
      <c r="C8672" s="1" t="n">
        <v>45952</v>
      </c>
      <c r="D8672" t="inlineStr">
        <is>
          <t>VÄSTRA GÖTALANDS LÄN</t>
        </is>
      </c>
      <c r="E8672" t="inlineStr">
        <is>
          <t>LIDKÖPING</t>
        </is>
      </c>
      <c r="G8672" t="n">
        <v>1.1</v>
      </c>
      <c r="H8672" t="n">
        <v>0</v>
      </c>
      <c r="I8672" t="n">
        <v>0</v>
      </c>
      <c r="J8672" t="n">
        <v>0</v>
      </c>
      <c r="K8672" t="n">
        <v>0</v>
      </c>
      <c r="L8672" t="n">
        <v>0</v>
      </c>
      <c r="M8672" t="n">
        <v>0</v>
      </c>
      <c r="N8672" t="n">
        <v>0</v>
      </c>
      <c r="O8672" t="n">
        <v>0</v>
      </c>
      <c r="P8672" t="n">
        <v>0</v>
      </c>
      <c r="Q8672" t="n">
        <v>0</v>
      </c>
      <c r="R8672" s="2" t="inlineStr"/>
    </row>
    <row r="8673" ht="15" customHeight="1">
      <c r="A8673" t="inlineStr">
        <is>
          <t>A 52902-2022</t>
        </is>
      </c>
      <c r="B8673" s="1" t="n">
        <v>44875</v>
      </c>
      <c r="C8673" s="1" t="n">
        <v>45952</v>
      </c>
      <c r="D8673" t="inlineStr">
        <is>
          <t>VÄSTRA GÖTALANDS LÄN</t>
        </is>
      </c>
      <c r="E8673" t="inlineStr">
        <is>
          <t>BENGTSFORS</t>
        </is>
      </c>
      <c r="G8673" t="n">
        <v>3.3</v>
      </c>
      <c r="H8673" t="n">
        <v>0</v>
      </c>
      <c r="I8673" t="n">
        <v>0</v>
      </c>
      <c r="J8673" t="n">
        <v>0</v>
      </c>
      <c r="K8673" t="n">
        <v>0</v>
      </c>
      <c r="L8673" t="n">
        <v>0</v>
      </c>
      <c r="M8673" t="n">
        <v>0</v>
      </c>
      <c r="N8673" t="n">
        <v>0</v>
      </c>
      <c r="O8673" t="n">
        <v>0</v>
      </c>
      <c r="P8673" t="n">
        <v>0</v>
      </c>
      <c r="Q8673" t="n">
        <v>0</v>
      </c>
      <c r="R8673" s="2" t="inlineStr"/>
    </row>
    <row r="8674" ht="15" customHeight="1">
      <c r="A8674" t="inlineStr">
        <is>
          <t>A 22356-2025</t>
        </is>
      </c>
      <c r="B8674" s="1" t="n">
        <v>45786.46065972222</v>
      </c>
      <c r="C8674" s="1" t="n">
        <v>45952</v>
      </c>
      <c r="D8674" t="inlineStr">
        <is>
          <t>VÄSTRA GÖTALANDS LÄN</t>
        </is>
      </c>
      <c r="E8674" t="inlineStr">
        <is>
          <t>ESSUNGA</t>
        </is>
      </c>
      <c r="G8674" t="n">
        <v>5.5</v>
      </c>
      <c r="H8674" t="n">
        <v>0</v>
      </c>
      <c r="I8674" t="n">
        <v>0</v>
      </c>
      <c r="J8674" t="n">
        <v>0</v>
      </c>
      <c r="K8674" t="n">
        <v>0</v>
      </c>
      <c r="L8674" t="n">
        <v>0</v>
      </c>
      <c r="M8674" t="n">
        <v>0</v>
      </c>
      <c r="N8674" t="n">
        <v>0</v>
      </c>
      <c r="O8674" t="n">
        <v>0</v>
      </c>
      <c r="P8674" t="n">
        <v>0</v>
      </c>
      <c r="Q8674" t="n">
        <v>0</v>
      </c>
      <c r="R8674" s="2" t="inlineStr"/>
    </row>
    <row r="8675" ht="15" customHeight="1">
      <c r="A8675" t="inlineStr">
        <is>
          <t>A 3141-2022</t>
        </is>
      </c>
      <c r="B8675" s="1" t="n">
        <v>44582.53597222222</v>
      </c>
      <c r="C8675" s="1" t="n">
        <v>45952</v>
      </c>
      <c r="D8675" t="inlineStr">
        <is>
          <t>VÄSTRA GÖTALANDS LÄN</t>
        </is>
      </c>
      <c r="E8675" t="inlineStr">
        <is>
          <t>ÅMÅL</t>
        </is>
      </c>
      <c r="G8675" t="n">
        <v>2</v>
      </c>
      <c r="H8675" t="n">
        <v>0</v>
      </c>
      <c r="I8675" t="n">
        <v>0</v>
      </c>
      <c r="J8675" t="n">
        <v>0</v>
      </c>
      <c r="K8675" t="n">
        <v>0</v>
      </c>
      <c r="L8675" t="n">
        <v>0</v>
      </c>
      <c r="M8675" t="n">
        <v>0</v>
      </c>
      <c r="N8675" t="n">
        <v>0</v>
      </c>
      <c r="O8675" t="n">
        <v>0</v>
      </c>
      <c r="P8675" t="n">
        <v>0</v>
      </c>
      <c r="Q8675" t="n">
        <v>0</v>
      </c>
      <c r="R8675" s="2" t="inlineStr"/>
    </row>
    <row r="8676" ht="15" customHeight="1">
      <c r="A8676" t="inlineStr">
        <is>
          <t>A 9527-2023</t>
        </is>
      </c>
      <c r="B8676" s="1" t="n">
        <v>44981</v>
      </c>
      <c r="C8676" s="1" t="n">
        <v>45952</v>
      </c>
      <c r="D8676" t="inlineStr">
        <is>
          <t>VÄSTRA GÖTALANDS LÄN</t>
        </is>
      </c>
      <c r="E8676" t="inlineStr">
        <is>
          <t>BOLLEBYGD</t>
        </is>
      </c>
      <c r="G8676" t="n">
        <v>0.9</v>
      </c>
      <c r="H8676" t="n">
        <v>0</v>
      </c>
      <c r="I8676" t="n">
        <v>0</v>
      </c>
      <c r="J8676" t="n">
        <v>0</v>
      </c>
      <c r="K8676" t="n">
        <v>0</v>
      </c>
      <c r="L8676" t="n">
        <v>0</v>
      </c>
      <c r="M8676" t="n">
        <v>0</v>
      </c>
      <c r="N8676" t="n">
        <v>0</v>
      </c>
      <c r="O8676" t="n">
        <v>0</v>
      </c>
      <c r="P8676" t="n">
        <v>0</v>
      </c>
      <c r="Q8676" t="n">
        <v>0</v>
      </c>
      <c r="R8676" s="2" t="inlineStr"/>
    </row>
    <row r="8677" ht="15" customHeight="1">
      <c r="A8677" t="inlineStr">
        <is>
          <t>A 16359-2025</t>
        </is>
      </c>
      <c r="B8677" s="1" t="n">
        <v>45751.38976851852</v>
      </c>
      <c r="C8677" s="1" t="n">
        <v>45952</v>
      </c>
      <c r="D8677" t="inlineStr">
        <is>
          <t>VÄSTRA GÖTALANDS LÄN</t>
        </is>
      </c>
      <c r="E8677" t="inlineStr">
        <is>
          <t>ÅMÅL</t>
        </is>
      </c>
      <c r="G8677" t="n">
        <v>2.3</v>
      </c>
      <c r="H8677" t="n">
        <v>0</v>
      </c>
      <c r="I8677" t="n">
        <v>0</v>
      </c>
      <c r="J8677" t="n">
        <v>0</v>
      </c>
      <c r="K8677" t="n">
        <v>0</v>
      </c>
      <c r="L8677" t="n">
        <v>0</v>
      </c>
      <c r="M8677" t="n">
        <v>0</v>
      </c>
      <c r="N8677" t="n">
        <v>0</v>
      </c>
      <c r="O8677" t="n">
        <v>0</v>
      </c>
      <c r="P8677" t="n">
        <v>0</v>
      </c>
      <c r="Q8677" t="n">
        <v>0</v>
      </c>
      <c r="R8677" s="2" t="inlineStr"/>
    </row>
    <row r="8678" ht="15" customHeight="1">
      <c r="A8678" t="inlineStr">
        <is>
          <t>A 12075-2023</t>
        </is>
      </c>
      <c r="B8678" s="1" t="n">
        <v>44997.43748842592</v>
      </c>
      <c r="C8678" s="1" t="n">
        <v>45952</v>
      </c>
      <c r="D8678" t="inlineStr">
        <is>
          <t>VÄSTRA GÖTALANDS LÄN</t>
        </is>
      </c>
      <c r="E8678" t="inlineStr">
        <is>
          <t>BENGTSFORS</t>
        </is>
      </c>
      <c r="G8678" t="n">
        <v>1.3</v>
      </c>
      <c r="H8678" t="n">
        <v>0</v>
      </c>
      <c r="I8678" t="n">
        <v>0</v>
      </c>
      <c r="J8678" t="n">
        <v>0</v>
      </c>
      <c r="K8678" t="n">
        <v>0</v>
      </c>
      <c r="L8678" t="n">
        <v>0</v>
      </c>
      <c r="M8678" t="n">
        <v>0</v>
      </c>
      <c r="N8678" t="n">
        <v>0</v>
      </c>
      <c r="O8678" t="n">
        <v>0</v>
      </c>
      <c r="P8678" t="n">
        <v>0</v>
      </c>
      <c r="Q8678" t="n">
        <v>0</v>
      </c>
      <c r="R8678" s="2" t="inlineStr"/>
    </row>
    <row r="8679" ht="15" customHeight="1">
      <c r="A8679" t="inlineStr">
        <is>
          <t>A 52999-2023</t>
        </is>
      </c>
      <c r="B8679" s="1" t="n">
        <v>45226</v>
      </c>
      <c r="C8679" s="1" t="n">
        <v>45952</v>
      </c>
      <c r="D8679" t="inlineStr">
        <is>
          <t>VÄSTRA GÖTALANDS LÄN</t>
        </is>
      </c>
      <c r="E8679" t="inlineStr">
        <is>
          <t>LIDKÖPING</t>
        </is>
      </c>
      <c r="G8679" t="n">
        <v>0.9</v>
      </c>
      <c r="H8679" t="n">
        <v>0</v>
      </c>
      <c r="I8679" t="n">
        <v>0</v>
      </c>
      <c r="J8679" t="n">
        <v>0</v>
      </c>
      <c r="K8679" t="n">
        <v>0</v>
      </c>
      <c r="L8679" t="n">
        <v>0</v>
      </c>
      <c r="M8679" t="n">
        <v>0</v>
      </c>
      <c r="N8679" t="n">
        <v>0</v>
      </c>
      <c r="O8679" t="n">
        <v>0</v>
      </c>
      <c r="P8679" t="n">
        <v>0</v>
      </c>
      <c r="Q8679" t="n">
        <v>0</v>
      </c>
      <c r="R8679" s="2" t="inlineStr"/>
    </row>
    <row r="8680" ht="15" customHeight="1">
      <c r="A8680" t="inlineStr">
        <is>
          <t>A 20164-2025</t>
        </is>
      </c>
      <c r="B8680" s="1" t="n">
        <v>45772.57297453703</v>
      </c>
      <c r="C8680" s="1" t="n">
        <v>45952</v>
      </c>
      <c r="D8680" t="inlineStr">
        <is>
          <t>VÄSTRA GÖTALANDS LÄN</t>
        </is>
      </c>
      <c r="E8680" t="inlineStr">
        <is>
          <t>BENGTSFORS</t>
        </is>
      </c>
      <c r="G8680" t="n">
        <v>2.4</v>
      </c>
      <c r="H8680" t="n">
        <v>0</v>
      </c>
      <c r="I8680" t="n">
        <v>0</v>
      </c>
      <c r="J8680" t="n">
        <v>0</v>
      </c>
      <c r="K8680" t="n">
        <v>0</v>
      </c>
      <c r="L8680" t="n">
        <v>0</v>
      </c>
      <c r="M8680" t="n">
        <v>0</v>
      </c>
      <c r="N8680" t="n">
        <v>0</v>
      </c>
      <c r="O8680" t="n">
        <v>0</v>
      </c>
      <c r="P8680" t="n">
        <v>0</v>
      </c>
      <c r="Q8680" t="n">
        <v>0</v>
      </c>
      <c r="R8680" s="2" t="inlineStr"/>
    </row>
    <row r="8681" ht="15" customHeight="1">
      <c r="A8681" t="inlineStr">
        <is>
          <t>A 11373-2022</t>
        </is>
      </c>
      <c r="B8681" s="1" t="n">
        <v>44630</v>
      </c>
      <c r="C8681" s="1" t="n">
        <v>45952</v>
      </c>
      <c r="D8681" t="inlineStr">
        <is>
          <t>VÄSTRA GÖTALANDS LÄN</t>
        </is>
      </c>
      <c r="E8681" t="inlineStr">
        <is>
          <t>BORÅS</t>
        </is>
      </c>
      <c r="G8681" t="n">
        <v>7.8</v>
      </c>
      <c r="H8681" t="n">
        <v>0</v>
      </c>
      <c r="I8681" t="n">
        <v>0</v>
      </c>
      <c r="J8681" t="n">
        <v>0</v>
      </c>
      <c r="K8681" t="n">
        <v>0</v>
      </c>
      <c r="L8681" t="n">
        <v>0</v>
      </c>
      <c r="M8681" t="n">
        <v>0</v>
      </c>
      <c r="N8681" t="n">
        <v>0</v>
      </c>
      <c r="O8681" t="n">
        <v>0</v>
      </c>
      <c r="P8681" t="n">
        <v>0</v>
      </c>
      <c r="Q8681" t="n">
        <v>0</v>
      </c>
      <c r="R8681" s="2" t="inlineStr"/>
    </row>
    <row r="8682" ht="15" customHeight="1">
      <c r="A8682" t="inlineStr">
        <is>
          <t>A 57891-2024</t>
        </is>
      </c>
      <c r="B8682" s="1" t="n">
        <v>45631.46885416667</v>
      </c>
      <c r="C8682" s="1" t="n">
        <v>45952</v>
      </c>
      <c r="D8682" t="inlineStr">
        <is>
          <t>VÄSTRA GÖTALANDS LÄN</t>
        </is>
      </c>
      <c r="E8682" t="inlineStr">
        <is>
          <t>MARK</t>
        </is>
      </c>
      <c r="G8682" t="n">
        <v>1</v>
      </c>
      <c r="H8682" t="n">
        <v>0</v>
      </c>
      <c r="I8682" t="n">
        <v>0</v>
      </c>
      <c r="J8682" t="n">
        <v>0</v>
      </c>
      <c r="K8682" t="n">
        <v>0</v>
      </c>
      <c r="L8682" t="n">
        <v>0</v>
      </c>
      <c r="M8682" t="n">
        <v>0</v>
      </c>
      <c r="N8682" t="n">
        <v>0</v>
      </c>
      <c r="O8682" t="n">
        <v>0</v>
      </c>
      <c r="P8682" t="n">
        <v>0</v>
      </c>
      <c r="Q8682" t="n">
        <v>0</v>
      </c>
      <c r="R8682" s="2" t="inlineStr"/>
    </row>
    <row r="8683" ht="15" customHeight="1">
      <c r="A8683" t="inlineStr">
        <is>
          <t>A 5139-2022</t>
        </is>
      </c>
      <c r="B8683" s="1" t="n">
        <v>44593</v>
      </c>
      <c r="C8683" s="1" t="n">
        <v>45952</v>
      </c>
      <c r="D8683" t="inlineStr">
        <is>
          <t>VÄSTRA GÖTALANDS LÄN</t>
        </is>
      </c>
      <c r="E8683" t="inlineStr">
        <is>
          <t>MUNKEDAL</t>
        </is>
      </c>
      <c r="F8683" t="inlineStr">
        <is>
          <t>Övriga Aktiebolag</t>
        </is>
      </c>
      <c r="G8683" t="n">
        <v>1.6</v>
      </c>
      <c r="H8683" t="n">
        <v>0</v>
      </c>
      <c r="I8683" t="n">
        <v>0</v>
      </c>
      <c r="J8683" t="n">
        <v>0</v>
      </c>
      <c r="K8683" t="n">
        <v>0</v>
      </c>
      <c r="L8683" t="n">
        <v>0</v>
      </c>
      <c r="M8683" t="n">
        <v>0</v>
      </c>
      <c r="N8683" t="n">
        <v>0</v>
      </c>
      <c r="O8683" t="n">
        <v>0</v>
      </c>
      <c r="P8683" t="n">
        <v>0</v>
      </c>
      <c r="Q8683" t="n">
        <v>0</v>
      </c>
      <c r="R8683" s="2" t="inlineStr"/>
    </row>
    <row r="8684" ht="15" customHeight="1">
      <c r="A8684" t="inlineStr">
        <is>
          <t>A 63426-2023</t>
        </is>
      </c>
      <c r="B8684" s="1" t="n">
        <v>45274</v>
      </c>
      <c r="C8684" s="1" t="n">
        <v>45952</v>
      </c>
      <c r="D8684" t="inlineStr">
        <is>
          <t>VÄSTRA GÖTALANDS LÄN</t>
        </is>
      </c>
      <c r="E8684" t="inlineStr">
        <is>
          <t>VARA</t>
        </is>
      </c>
      <c r="G8684" t="n">
        <v>1.2</v>
      </c>
      <c r="H8684" t="n">
        <v>0</v>
      </c>
      <c r="I8684" t="n">
        <v>0</v>
      </c>
      <c r="J8684" t="n">
        <v>0</v>
      </c>
      <c r="K8684" t="n">
        <v>0</v>
      </c>
      <c r="L8684" t="n">
        <v>0</v>
      </c>
      <c r="M8684" t="n">
        <v>0</v>
      </c>
      <c r="N8684" t="n">
        <v>0</v>
      </c>
      <c r="O8684" t="n">
        <v>0</v>
      </c>
      <c r="P8684" t="n">
        <v>0</v>
      </c>
      <c r="Q8684" t="n">
        <v>0</v>
      </c>
      <c r="R8684" s="2" t="inlineStr"/>
    </row>
    <row r="8685" ht="15" customHeight="1">
      <c r="A8685" t="inlineStr">
        <is>
          <t>A 37441-2022</t>
        </is>
      </c>
      <c r="B8685" s="1" t="n">
        <v>44809.47324074074</v>
      </c>
      <c r="C8685" s="1" t="n">
        <v>45952</v>
      </c>
      <c r="D8685" t="inlineStr">
        <is>
          <t>VÄSTRA GÖTALANDS LÄN</t>
        </is>
      </c>
      <c r="E8685" t="inlineStr">
        <is>
          <t>LERUM</t>
        </is>
      </c>
      <c r="G8685" t="n">
        <v>2.3</v>
      </c>
      <c r="H8685" t="n">
        <v>0</v>
      </c>
      <c r="I8685" t="n">
        <v>0</v>
      </c>
      <c r="J8685" t="n">
        <v>0</v>
      </c>
      <c r="K8685" t="n">
        <v>0</v>
      </c>
      <c r="L8685" t="n">
        <v>0</v>
      </c>
      <c r="M8685" t="n">
        <v>0</v>
      </c>
      <c r="N8685" t="n">
        <v>0</v>
      </c>
      <c r="O8685" t="n">
        <v>0</v>
      </c>
      <c r="P8685" t="n">
        <v>0</v>
      </c>
      <c r="Q8685" t="n">
        <v>0</v>
      </c>
      <c r="R8685" s="2" t="inlineStr"/>
    </row>
    <row r="8686" ht="15" customHeight="1">
      <c r="A8686" t="inlineStr">
        <is>
          <t>A 17130-2023</t>
        </is>
      </c>
      <c r="B8686" s="1" t="n">
        <v>45034.60506944444</v>
      </c>
      <c r="C8686" s="1" t="n">
        <v>45952</v>
      </c>
      <c r="D8686" t="inlineStr">
        <is>
          <t>VÄSTRA GÖTALANDS LÄN</t>
        </is>
      </c>
      <c r="E8686" t="inlineStr">
        <is>
          <t>SVENLJUNGA</t>
        </is>
      </c>
      <c r="G8686" t="n">
        <v>3.1</v>
      </c>
      <c r="H8686" t="n">
        <v>0</v>
      </c>
      <c r="I8686" t="n">
        <v>0</v>
      </c>
      <c r="J8686" t="n">
        <v>0</v>
      </c>
      <c r="K8686" t="n">
        <v>0</v>
      </c>
      <c r="L8686" t="n">
        <v>0</v>
      </c>
      <c r="M8686" t="n">
        <v>0</v>
      </c>
      <c r="N8686" t="n">
        <v>0</v>
      </c>
      <c r="O8686" t="n">
        <v>0</v>
      </c>
      <c r="P8686" t="n">
        <v>0</v>
      </c>
      <c r="Q8686" t="n">
        <v>0</v>
      </c>
      <c r="R8686" s="2" t="inlineStr"/>
    </row>
    <row r="8687" ht="15" customHeight="1">
      <c r="A8687" t="inlineStr">
        <is>
          <t>A 62303-2021</t>
        </is>
      </c>
      <c r="B8687" s="1" t="n">
        <v>44503</v>
      </c>
      <c r="C8687" s="1" t="n">
        <v>45952</v>
      </c>
      <c r="D8687" t="inlineStr">
        <is>
          <t>VÄSTRA GÖTALANDS LÄN</t>
        </is>
      </c>
      <c r="E8687" t="inlineStr">
        <is>
          <t>DALS-ED</t>
        </is>
      </c>
      <c r="F8687" t="inlineStr">
        <is>
          <t>Kyrkan</t>
        </is>
      </c>
      <c r="G8687" t="n">
        <v>0.5</v>
      </c>
      <c r="H8687" t="n">
        <v>0</v>
      </c>
      <c r="I8687" t="n">
        <v>0</v>
      </c>
      <c r="J8687" t="n">
        <v>0</v>
      </c>
      <c r="K8687" t="n">
        <v>0</v>
      </c>
      <c r="L8687" t="n">
        <v>0</v>
      </c>
      <c r="M8687" t="n">
        <v>0</v>
      </c>
      <c r="N8687" t="n">
        <v>0</v>
      </c>
      <c r="O8687" t="n">
        <v>0</v>
      </c>
      <c r="P8687" t="n">
        <v>0</v>
      </c>
      <c r="Q8687" t="n">
        <v>0</v>
      </c>
      <c r="R8687" s="2" t="inlineStr"/>
    </row>
    <row r="8688" ht="15" customHeight="1">
      <c r="A8688" t="inlineStr">
        <is>
          <t>A 54937-2022</t>
        </is>
      </c>
      <c r="B8688" s="1" t="n">
        <v>44881</v>
      </c>
      <c r="C8688" s="1" t="n">
        <v>45952</v>
      </c>
      <c r="D8688" t="inlineStr">
        <is>
          <t>VÄSTRA GÖTALANDS LÄN</t>
        </is>
      </c>
      <c r="E8688" t="inlineStr">
        <is>
          <t>VÅRGÅRDA</t>
        </is>
      </c>
      <c r="G8688" t="n">
        <v>2.6</v>
      </c>
      <c r="H8688" t="n">
        <v>0</v>
      </c>
      <c r="I8688" t="n">
        <v>0</v>
      </c>
      <c r="J8688" t="n">
        <v>0</v>
      </c>
      <c r="K8688" t="n">
        <v>0</v>
      </c>
      <c r="L8688" t="n">
        <v>0</v>
      </c>
      <c r="M8688" t="n">
        <v>0</v>
      </c>
      <c r="N8688" t="n">
        <v>0</v>
      </c>
      <c r="O8688" t="n">
        <v>0</v>
      </c>
      <c r="P8688" t="n">
        <v>0</v>
      </c>
      <c r="Q8688" t="n">
        <v>0</v>
      </c>
      <c r="R8688" s="2" t="inlineStr"/>
    </row>
    <row r="8689" ht="15" customHeight="1">
      <c r="A8689" t="inlineStr">
        <is>
          <t>A 39604-2025</t>
        </is>
      </c>
      <c r="B8689" s="1" t="n">
        <v>45890.55415509259</v>
      </c>
      <c r="C8689" s="1" t="n">
        <v>45952</v>
      </c>
      <c r="D8689" t="inlineStr">
        <is>
          <t>VÄSTRA GÖTALANDS LÄN</t>
        </is>
      </c>
      <c r="E8689" t="inlineStr">
        <is>
          <t>HERRLJUNGA</t>
        </is>
      </c>
      <c r="G8689" t="n">
        <v>1.8</v>
      </c>
      <c r="H8689" t="n">
        <v>0</v>
      </c>
      <c r="I8689" t="n">
        <v>0</v>
      </c>
      <c r="J8689" t="n">
        <v>0</v>
      </c>
      <c r="K8689" t="n">
        <v>0</v>
      </c>
      <c r="L8689" t="n">
        <v>0</v>
      </c>
      <c r="M8689" t="n">
        <v>0</v>
      </c>
      <c r="N8689" t="n">
        <v>0</v>
      </c>
      <c r="O8689" t="n">
        <v>0</v>
      </c>
      <c r="P8689" t="n">
        <v>0</v>
      </c>
      <c r="Q8689" t="n">
        <v>0</v>
      </c>
      <c r="R8689" s="2" t="inlineStr"/>
    </row>
    <row r="8690" ht="15" customHeight="1">
      <c r="A8690" t="inlineStr">
        <is>
          <t>A 9170-2024</t>
        </is>
      </c>
      <c r="B8690" s="1" t="n">
        <v>45358.42530092593</v>
      </c>
      <c r="C8690" s="1" t="n">
        <v>45952</v>
      </c>
      <c r="D8690" t="inlineStr">
        <is>
          <t>VÄSTRA GÖTALANDS LÄN</t>
        </is>
      </c>
      <c r="E8690" t="inlineStr">
        <is>
          <t>TRANEMO</t>
        </is>
      </c>
      <c r="G8690" t="n">
        <v>1</v>
      </c>
      <c r="H8690" t="n">
        <v>0</v>
      </c>
      <c r="I8690" t="n">
        <v>0</v>
      </c>
      <c r="J8690" t="n">
        <v>0</v>
      </c>
      <c r="K8690" t="n">
        <v>0</v>
      </c>
      <c r="L8690" t="n">
        <v>0</v>
      </c>
      <c r="M8690" t="n">
        <v>0</v>
      </c>
      <c r="N8690" t="n">
        <v>0</v>
      </c>
      <c r="O8690" t="n">
        <v>0</v>
      </c>
      <c r="P8690" t="n">
        <v>0</v>
      </c>
      <c r="Q8690" t="n">
        <v>0</v>
      </c>
      <c r="R8690" s="2" t="inlineStr"/>
    </row>
    <row r="8691" ht="15" customHeight="1">
      <c r="A8691" t="inlineStr">
        <is>
          <t>A 47819-2025</t>
        </is>
      </c>
      <c r="B8691" s="1" t="n">
        <v>45932.33591435185</v>
      </c>
      <c r="C8691" s="1" t="n">
        <v>45952</v>
      </c>
      <c r="D8691" t="inlineStr">
        <is>
          <t>VÄSTRA GÖTALANDS LÄN</t>
        </is>
      </c>
      <c r="E8691" t="inlineStr">
        <is>
          <t>VARA</t>
        </is>
      </c>
      <c r="G8691" t="n">
        <v>1.8</v>
      </c>
      <c r="H8691" t="n">
        <v>0</v>
      </c>
      <c r="I8691" t="n">
        <v>0</v>
      </c>
      <c r="J8691" t="n">
        <v>0</v>
      </c>
      <c r="K8691" t="n">
        <v>0</v>
      </c>
      <c r="L8691" t="n">
        <v>0</v>
      </c>
      <c r="M8691" t="n">
        <v>0</v>
      </c>
      <c r="N8691" t="n">
        <v>0</v>
      </c>
      <c r="O8691" t="n">
        <v>0</v>
      </c>
      <c r="P8691" t="n">
        <v>0</v>
      </c>
      <c r="Q8691" t="n">
        <v>0</v>
      </c>
      <c r="R8691" s="2" t="inlineStr"/>
    </row>
    <row r="8692" ht="15" customHeight="1">
      <c r="A8692" t="inlineStr">
        <is>
          <t>A 47984-2025</t>
        </is>
      </c>
      <c r="B8692" s="1" t="n">
        <v>45932.61694444445</v>
      </c>
      <c r="C8692" s="1" t="n">
        <v>45952</v>
      </c>
      <c r="D8692" t="inlineStr">
        <is>
          <t>VÄSTRA GÖTALANDS LÄN</t>
        </is>
      </c>
      <c r="E8692" t="inlineStr">
        <is>
          <t>TANUM</t>
        </is>
      </c>
      <c r="G8692" t="n">
        <v>1.1</v>
      </c>
      <c r="H8692" t="n">
        <v>0</v>
      </c>
      <c r="I8692" t="n">
        <v>0</v>
      </c>
      <c r="J8692" t="n">
        <v>0</v>
      </c>
      <c r="K8692" t="n">
        <v>0</v>
      </c>
      <c r="L8692" t="n">
        <v>0</v>
      </c>
      <c r="M8692" t="n">
        <v>0</v>
      </c>
      <c r="N8692" t="n">
        <v>0</v>
      </c>
      <c r="O8692" t="n">
        <v>0</v>
      </c>
      <c r="P8692" t="n">
        <v>0</v>
      </c>
      <c r="Q8692" t="n">
        <v>0</v>
      </c>
      <c r="R8692" s="2" t="inlineStr"/>
    </row>
    <row r="8693" ht="15" customHeight="1">
      <c r="A8693" t="inlineStr">
        <is>
          <t>A 43293-2023</t>
        </is>
      </c>
      <c r="B8693" s="1" t="n">
        <v>45183</v>
      </c>
      <c r="C8693" s="1" t="n">
        <v>45952</v>
      </c>
      <c r="D8693" t="inlineStr">
        <is>
          <t>VÄSTRA GÖTALANDS LÄN</t>
        </is>
      </c>
      <c r="E8693" t="inlineStr">
        <is>
          <t>MARK</t>
        </is>
      </c>
      <c r="G8693" t="n">
        <v>3.3</v>
      </c>
      <c r="H8693" t="n">
        <v>0</v>
      </c>
      <c r="I8693" t="n">
        <v>0</v>
      </c>
      <c r="J8693" t="n">
        <v>0</v>
      </c>
      <c r="K8693" t="n">
        <v>0</v>
      </c>
      <c r="L8693" t="n">
        <v>0</v>
      </c>
      <c r="M8693" t="n">
        <v>0</v>
      </c>
      <c r="N8693" t="n">
        <v>0</v>
      </c>
      <c r="O8693" t="n">
        <v>0</v>
      </c>
      <c r="P8693" t="n">
        <v>0</v>
      </c>
      <c r="Q8693" t="n">
        <v>0</v>
      </c>
      <c r="R8693" s="2" t="inlineStr"/>
    </row>
    <row r="8694" ht="15" customHeight="1">
      <c r="A8694" t="inlineStr">
        <is>
          <t>A 39466-2025</t>
        </is>
      </c>
      <c r="B8694" s="1" t="n">
        <v>45890.29003472222</v>
      </c>
      <c r="C8694" s="1" t="n">
        <v>45952</v>
      </c>
      <c r="D8694" t="inlineStr">
        <is>
          <t>VÄSTRA GÖTALANDS LÄN</t>
        </is>
      </c>
      <c r="E8694" t="inlineStr">
        <is>
          <t>SVENLJUNGA</t>
        </is>
      </c>
      <c r="G8694" t="n">
        <v>1.9</v>
      </c>
      <c r="H8694" t="n">
        <v>0</v>
      </c>
      <c r="I8694" t="n">
        <v>0</v>
      </c>
      <c r="J8694" t="n">
        <v>0</v>
      </c>
      <c r="K8694" t="n">
        <v>0</v>
      </c>
      <c r="L8694" t="n">
        <v>0</v>
      </c>
      <c r="M8694" t="n">
        <v>0</v>
      </c>
      <c r="N8694" t="n">
        <v>0</v>
      </c>
      <c r="O8694" t="n">
        <v>0</v>
      </c>
      <c r="P8694" t="n">
        <v>0</v>
      </c>
      <c r="Q8694" t="n">
        <v>0</v>
      </c>
      <c r="R8694" s="2" t="inlineStr"/>
    </row>
    <row r="8695" ht="15" customHeight="1">
      <c r="A8695" t="inlineStr">
        <is>
          <t>A 63397-2021</t>
        </is>
      </c>
      <c r="B8695" s="1" t="n">
        <v>44508.54208333333</v>
      </c>
      <c r="C8695" s="1" t="n">
        <v>45952</v>
      </c>
      <c r="D8695" t="inlineStr">
        <is>
          <t>VÄSTRA GÖTALANDS LÄN</t>
        </is>
      </c>
      <c r="E8695" t="inlineStr">
        <is>
          <t>UDDEVALLA</t>
        </is>
      </c>
      <c r="G8695" t="n">
        <v>1.3</v>
      </c>
      <c r="H8695" t="n">
        <v>0</v>
      </c>
      <c r="I8695" t="n">
        <v>0</v>
      </c>
      <c r="J8695" t="n">
        <v>0</v>
      </c>
      <c r="K8695" t="n">
        <v>0</v>
      </c>
      <c r="L8695" t="n">
        <v>0</v>
      </c>
      <c r="M8695" t="n">
        <v>0</v>
      </c>
      <c r="N8695" t="n">
        <v>0</v>
      </c>
      <c r="O8695" t="n">
        <v>0</v>
      </c>
      <c r="P8695" t="n">
        <v>0</v>
      </c>
      <c r="Q8695" t="n">
        <v>0</v>
      </c>
      <c r="R8695" s="2" t="inlineStr"/>
    </row>
    <row r="8696" ht="15" customHeight="1">
      <c r="A8696" t="inlineStr">
        <is>
          <t>A 10958-2022</t>
        </is>
      </c>
      <c r="B8696" s="1" t="n">
        <v>44628</v>
      </c>
      <c r="C8696" s="1" t="n">
        <v>45952</v>
      </c>
      <c r="D8696" t="inlineStr">
        <is>
          <t>VÄSTRA GÖTALANDS LÄN</t>
        </is>
      </c>
      <c r="E8696" t="inlineStr">
        <is>
          <t>GÖTENE</t>
        </is>
      </c>
      <c r="G8696" t="n">
        <v>1.2</v>
      </c>
      <c r="H8696" t="n">
        <v>0</v>
      </c>
      <c r="I8696" t="n">
        <v>0</v>
      </c>
      <c r="J8696" t="n">
        <v>0</v>
      </c>
      <c r="K8696" t="n">
        <v>0</v>
      </c>
      <c r="L8696" t="n">
        <v>0</v>
      </c>
      <c r="M8696" t="n">
        <v>0</v>
      </c>
      <c r="N8696" t="n">
        <v>0</v>
      </c>
      <c r="O8696" t="n">
        <v>0</v>
      </c>
      <c r="P8696" t="n">
        <v>0</v>
      </c>
      <c r="Q8696" t="n">
        <v>0</v>
      </c>
      <c r="R8696" s="2" t="inlineStr"/>
    </row>
    <row r="8697" ht="15" customHeight="1">
      <c r="A8697" t="inlineStr">
        <is>
          <t>A 35764-2022</t>
        </is>
      </c>
      <c r="B8697" s="1" t="n">
        <v>44800.34206018518</v>
      </c>
      <c r="C8697" s="1" t="n">
        <v>45952</v>
      </c>
      <c r="D8697" t="inlineStr">
        <is>
          <t>VÄSTRA GÖTALANDS LÄN</t>
        </is>
      </c>
      <c r="E8697" t="inlineStr">
        <is>
          <t>ULRICEHAMN</t>
        </is>
      </c>
      <c r="G8697" t="n">
        <v>4.9</v>
      </c>
      <c r="H8697" t="n">
        <v>0</v>
      </c>
      <c r="I8697" t="n">
        <v>0</v>
      </c>
      <c r="J8697" t="n">
        <v>0</v>
      </c>
      <c r="K8697" t="n">
        <v>0</v>
      </c>
      <c r="L8697" t="n">
        <v>0</v>
      </c>
      <c r="M8697" t="n">
        <v>0</v>
      </c>
      <c r="N8697" t="n">
        <v>0</v>
      </c>
      <c r="O8697" t="n">
        <v>0</v>
      </c>
      <c r="P8697" t="n">
        <v>0</v>
      </c>
      <c r="Q8697" t="n">
        <v>0</v>
      </c>
      <c r="R8697" s="2" t="inlineStr"/>
    </row>
    <row r="8698" ht="15" customHeight="1">
      <c r="A8698" t="inlineStr">
        <is>
          <t>A 13985-2025</t>
        </is>
      </c>
      <c r="B8698" s="1" t="n">
        <v>45739.37190972222</v>
      </c>
      <c r="C8698" s="1" t="n">
        <v>45952</v>
      </c>
      <c r="D8698" t="inlineStr">
        <is>
          <t>VÄSTRA GÖTALANDS LÄN</t>
        </is>
      </c>
      <c r="E8698" t="inlineStr">
        <is>
          <t>SVENLJUNGA</t>
        </is>
      </c>
      <c r="G8698" t="n">
        <v>1.6</v>
      </c>
      <c r="H8698" t="n">
        <v>0</v>
      </c>
      <c r="I8698" t="n">
        <v>0</v>
      </c>
      <c r="J8698" t="n">
        <v>0</v>
      </c>
      <c r="K8698" t="n">
        <v>0</v>
      </c>
      <c r="L8698" t="n">
        <v>0</v>
      </c>
      <c r="M8698" t="n">
        <v>0</v>
      </c>
      <c r="N8698" t="n">
        <v>0</v>
      </c>
      <c r="O8698" t="n">
        <v>0</v>
      </c>
      <c r="P8698" t="n">
        <v>0</v>
      </c>
      <c r="Q8698" t="n">
        <v>0</v>
      </c>
      <c r="R8698" s="2" t="inlineStr"/>
    </row>
    <row r="8699" ht="15" customHeight="1">
      <c r="A8699" t="inlineStr">
        <is>
          <t>A 13989-2025</t>
        </is>
      </c>
      <c r="B8699" s="1" t="n">
        <v>45739.40741898148</v>
      </c>
      <c r="C8699" s="1" t="n">
        <v>45952</v>
      </c>
      <c r="D8699" t="inlineStr">
        <is>
          <t>VÄSTRA GÖTALANDS LÄN</t>
        </is>
      </c>
      <c r="E8699" t="inlineStr">
        <is>
          <t>SVENLJUNGA</t>
        </is>
      </c>
      <c r="G8699" t="n">
        <v>0.9</v>
      </c>
      <c r="H8699" t="n">
        <v>0</v>
      </c>
      <c r="I8699" t="n">
        <v>0</v>
      </c>
      <c r="J8699" t="n">
        <v>0</v>
      </c>
      <c r="K8699" t="n">
        <v>0</v>
      </c>
      <c r="L8699" t="n">
        <v>0</v>
      </c>
      <c r="M8699" t="n">
        <v>0</v>
      </c>
      <c r="N8699" t="n">
        <v>0</v>
      </c>
      <c r="O8699" t="n">
        <v>0</v>
      </c>
      <c r="P8699" t="n">
        <v>0</v>
      </c>
      <c r="Q8699" t="n">
        <v>0</v>
      </c>
      <c r="R8699" s="2" t="inlineStr"/>
    </row>
    <row r="8700" ht="15" customHeight="1">
      <c r="A8700" t="inlineStr">
        <is>
          <t>A 35055-2024</t>
        </is>
      </c>
      <c r="B8700" s="1" t="n">
        <v>45527</v>
      </c>
      <c r="C8700" s="1" t="n">
        <v>45952</v>
      </c>
      <c r="D8700" t="inlineStr">
        <is>
          <t>VÄSTRA GÖTALANDS LÄN</t>
        </is>
      </c>
      <c r="E8700" t="inlineStr">
        <is>
          <t>TIBRO</t>
        </is>
      </c>
      <c r="G8700" t="n">
        <v>0.7</v>
      </c>
      <c r="H8700" t="n">
        <v>0</v>
      </c>
      <c r="I8700" t="n">
        <v>0</v>
      </c>
      <c r="J8700" t="n">
        <v>0</v>
      </c>
      <c r="K8700" t="n">
        <v>0</v>
      </c>
      <c r="L8700" t="n">
        <v>0</v>
      </c>
      <c r="M8700" t="n">
        <v>0</v>
      </c>
      <c r="N8700" t="n">
        <v>0</v>
      </c>
      <c r="O8700" t="n">
        <v>0</v>
      </c>
      <c r="P8700" t="n">
        <v>0</v>
      </c>
      <c r="Q8700" t="n">
        <v>0</v>
      </c>
      <c r="R8700" s="2" t="inlineStr"/>
    </row>
    <row r="8701" ht="15" customHeight="1">
      <c r="A8701" t="inlineStr">
        <is>
          <t>A 41210-2024</t>
        </is>
      </c>
      <c r="B8701" s="1" t="n">
        <v>45559</v>
      </c>
      <c r="C8701" s="1" t="n">
        <v>45952</v>
      </c>
      <c r="D8701" t="inlineStr">
        <is>
          <t>VÄSTRA GÖTALANDS LÄN</t>
        </is>
      </c>
      <c r="E8701" t="inlineStr">
        <is>
          <t>BENGTSFORS</t>
        </is>
      </c>
      <c r="G8701" t="n">
        <v>1</v>
      </c>
      <c r="H8701" t="n">
        <v>0</v>
      </c>
      <c r="I8701" t="n">
        <v>0</v>
      </c>
      <c r="J8701" t="n">
        <v>0</v>
      </c>
      <c r="K8701" t="n">
        <v>0</v>
      </c>
      <c r="L8701" t="n">
        <v>0</v>
      </c>
      <c r="M8701" t="n">
        <v>0</v>
      </c>
      <c r="N8701" t="n">
        <v>0</v>
      </c>
      <c r="O8701" t="n">
        <v>0</v>
      </c>
      <c r="P8701" t="n">
        <v>0</v>
      </c>
      <c r="Q8701" t="n">
        <v>0</v>
      </c>
      <c r="R8701" s="2" t="inlineStr"/>
    </row>
    <row r="8702" ht="15" customHeight="1">
      <c r="A8702" t="inlineStr">
        <is>
          <t>A 41804-2024</t>
        </is>
      </c>
      <c r="B8702" s="1" t="n">
        <v>45561.36818287037</v>
      </c>
      <c r="C8702" s="1" t="n">
        <v>45952</v>
      </c>
      <c r="D8702" t="inlineStr">
        <is>
          <t>VÄSTRA GÖTALANDS LÄN</t>
        </is>
      </c>
      <c r="E8702" t="inlineStr">
        <is>
          <t>DALS-ED</t>
        </is>
      </c>
      <c r="G8702" t="n">
        <v>1.4</v>
      </c>
      <c r="H8702" t="n">
        <v>0</v>
      </c>
      <c r="I8702" t="n">
        <v>0</v>
      </c>
      <c r="J8702" t="n">
        <v>0</v>
      </c>
      <c r="K8702" t="n">
        <v>0</v>
      </c>
      <c r="L8702" t="n">
        <v>0</v>
      </c>
      <c r="M8702" t="n">
        <v>0</v>
      </c>
      <c r="N8702" t="n">
        <v>0</v>
      </c>
      <c r="O8702" t="n">
        <v>0</v>
      </c>
      <c r="P8702" t="n">
        <v>0</v>
      </c>
      <c r="Q8702" t="n">
        <v>0</v>
      </c>
      <c r="R8702" s="2" t="inlineStr"/>
    </row>
    <row r="8703" ht="15" customHeight="1">
      <c r="A8703" t="inlineStr">
        <is>
          <t>A 56684-2022</t>
        </is>
      </c>
      <c r="B8703" s="1" t="n">
        <v>44888</v>
      </c>
      <c r="C8703" s="1" t="n">
        <v>45952</v>
      </c>
      <c r="D8703" t="inlineStr">
        <is>
          <t>VÄSTRA GÖTALANDS LÄN</t>
        </is>
      </c>
      <c r="E8703" t="inlineStr">
        <is>
          <t>BORÅS</t>
        </is>
      </c>
      <c r="F8703" t="inlineStr">
        <is>
          <t>Kyrkan</t>
        </is>
      </c>
      <c r="G8703" t="n">
        <v>2.4</v>
      </c>
      <c r="H8703" t="n">
        <v>0</v>
      </c>
      <c r="I8703" t="n">
        <v>0</v>
      </c>
      <c r="J8703" t="n">
        <v>0</v>
      </c>
      <c r="K8703" t="n">
        <v>0</v>
      </c>
      <c r="L8703" t="n">
        <v>0</v>
      </c>
      <c r="M8703" t="n">
        <v>0</v>
      </c>
      <c r="N8703" t="n">
        <v>0</v>
      </c>
      <c r="O8703" t="n">
        <v>0</v>
      </c>
      <c r="P8703" t="n">
        <v>0</v>
      </c>
      <c r="Q8703" t="n">
        <v>0</v>
      </c>
      <c r="R8703" s="2" t="inlineStr"/>
    </row>
    <row r="8704" ht="15" customHeight="1">
      <c r="A8704" t="inlineStr">
        <is>
          <t>A 39494-2025</t>
        </is>
      </c>
      <c r="B8704" s="1" t="n">
        <v>45890.37663194445</v>
      </c>
      <c r="C8704" s="1" t="n">
        <v>45952</v>
      </c>
      <c r="D8704" t="inlineStr">
        <is>
          <t>VÄSTRA GÖTALANDS LÄN</t>
        </is>
      </c>
      <c r="E8704" t="inlineStr">
        <is>
          <t>SKARA</t>
        </is>
      </c>
      <c r="F8704" t="inlineStr">
        <is>
          <t>Sveaskog</t>
        </is>
      </c>
      <c r="G8704" t="n">
        <v>3.7</v>
      </c>
      <c r="H8704" t="n">
        <v>0</v>
      </c>
      <c r="I8704" t="n">
        <v>0</v>
      </c>
      <c r="J8704" t="n">
        <v>0</v>
      </c>
      <c r="K8704" t="n">
        <v>0</v>
      </c>
      <c r="L8704" t="n">
        <v>0</v>
      </c>
      <c r="M8704" t="n">
        <v>0</v>
      </c>
      <c r="N8704" t="n">
        <v>0</v>
      </c>
      <c r="O8704" t="n">
        <v>0</v>
      </c>
      <c r="P8704" t="n">
        <v>0</v>
      </c>
      <c r="Q8704" t="n">
        <v>0</v>
      </c>
      <c r="R8704" s="2" t="inlineStr"/>
    </row>
    <row r="8705" ht="15" customHeight="1">
      <c r="A8705" t="inlineStr">
        <is>
          <t>A 48346-2025</t>
        </is>
      </c>
      <c r="B8705" s="1" t="n">
        <v>45933.64770833333</v>
      </c>
      <c r="C8705" s="1" t="n">
        <v>45952</v>
      </c>
      <c r="D8705" t="inlineStr">
        <is>
          <t>VÄSTRA GÖTALANDS LÄN</t>
        </is>
      </c>
      <c r="E8705" t="inlineStr">
        <is>
          <t>ULRICEHAMN</t>
        </is>
      </c>
      <c r="G8705" t="n">
        <v>2.7</v>
      </c>
      <c r="H8705" t="n">
        <v>0</v>
      </c>
      <c r="I8705" t="n">
        <v>0</v>
      </c>
      <c r="J8705" t="n">
        <v>0</v>
      </c>
      <c r="K8705" t="n">
        <v>0</v>
      </c>
      <c r="L8705" t="n">
        <v>0</v>
      </c>
      <c r="M8705" t="n">
        <v>0</v>
      </c>
      <c r="N8705" t="n">
        <v>0</v>
      </c>
      <c r="O8705" t="n">
        <v>0</v>
      </c>
      <c r="P8705" t="n">
        <v>0</v>
      </c>
      <c r="Q8705" t="n">
        <v>0</v>
      </c>
      <c r="R8705" s="2" t="inlineStr"/>
    </row>
    <row r="8706" ht="15" customHeight="1">
      <c r="A8706" t="inlineStr">
        <is>
          <t>A 48357-2025</t>
        </is>
      </c>
      <c r="B8706" s="1" t="n">
        <v>45933.66127314815</v>
      </c>
      <c r="C8706" s="1" t="n">
        <v>45952</v>
      </c>
      <c r="D8706" t="inlineStr">
        <is>
          <t>VÄSTRA GÖTALANDS LÄN</t>
        </is>
      </c>
      <c r="E8706" t="inlineStr">
        <is>
          <t>HERRLJUNGA</t>
        </is>
      </c>
      <c r="G8706" t="n">
        <v>0.9</v>
      </c>
      <c r="H8706" t="n">
        <v>0</v>
      </c>
      <c r="I8706" t="n">
        <v>0</v>
      </c>
      <c r="J8706" t="n">
        <v>0</v>
      </c>
      <c r="K8706" t="n">
        <v>0</v>
      </c>
      <c r="L8706" t="n">
        <v>0</v>
      </c>
      <c r="M8706" t="n">
        <v>0</v>
      </c>
      <c r="N8706" t="n">
        <v>0</v>
      </c>
      <c r="O8706" t="n">
        <v>0</v>
      </c>
      <c r="P8706" t="n">
        <v>0</v>
      </c>
      <c r="Q8706" t="n">
        <v>0</v>
      </c>
      <c r="R8706" s="2" t="inlineStr"/>
    </row>
    <row r="8707" ht="15" customHeight="1">
      <c r="A8707" t="inlineStr">
        <is>
          <t>A 59139-2024</t>
        </is>
      </c>
      <c r="B8707" s="1" t="n">
        <v>45637.43695601852</v>
      </c>
      <c r="C8707" s="1" t="n">
        <v>45952</v>
      </c>
      <c r="D8707" t="inlineStr">
        <is>
          <t>VÄSTRA GÖTALANDS LÄN</t>
        </is>
      </c>
      <c r="E8707" t="inlineStr">
        <is>
          <t>TIDAHOLM</t>
        </is>
      </c>
      <c r="G8707" t="n">
        <v>1.8</v>
      </c>
      <c r="H8707" t="n">
        <v>0</v>
      </c>
      <c r="I8707" t="n">
        <v>0</v>
      </c>
      <c r="J8707" t="n">
        <v>0</v>
      </c>
      <c r="K8707" t="n">
        <v>0</v>
      </c>
      <c r="L8707" t="n">
        <v>0</v>
      </c>
      <c r="M8707" t="n">
        <v>0</v>
      </c>
      <c r="N8707" t="n">
        <v>0</v>
      </c>
      <c r="O8707" t="n">
        <v>0</v>
      </c>
      <c r="P8707" t="n">
        <v>0</v>
      </c>
      <c r="Q8707" t="n">
        <v>0</v>
      </c>
      <c r="R8707" s="2" t="inlineStr"/>
    </row>
    <row r="8708" ht="15" customHeight="1">
      <c r="A8708" t="inlineStr">
        <is>
          <t>A 34792-2023</t>
        </is>
      </c>
      <c r="B8708" s="1" t="n">
        <v>45141</v>
      </c>
      <c r="C8708" s="1" t="n">
        <v>45952</v>
      </c>
      <c r="D8708" t="inlineStr">
        <is>
          <t>VÄSTRA GÖTALANDS LÄN</t>
        </is>
      </c>
      <c r="E8708" t="inlineStr">
        <is>
          <t>UDDEVALLA</t>
        </is>
      </c>
      <c r="G8708" t="n">
        <v>1.5</v>
      </c>
      <c r="H8708" t="n">
        <v>0</v>
      </c>
      <c r="I8708" t="n">
        <v>0</v>
      </c>
      <c r="J8708" t="n">
        <v>0</v>
      </c>
      <c r="K8708" t="n">
        <v>0</v>
      </c>
      <c r="L8708" t="n">
        <v>0</v>
      </c>
      <c r="M8708" t="n">
        <v>0</v>
      </c>
      <c r="N8708" t="n">
        <v>0</v>
      </c>
      <c r="O8708" t="n">
        <v>0</v>
      </c>
      <c r="P8708" t="n">
        <v>0</v>
      </c>
      <c r="Q8708" t="n">
        <v>0</v>
      </c>
      <c r="R8708" s="2" t="inlineStr"/>
    </row>
    <row r="8709" ht="15" customHeight="1">
      <c r="A8709" t="inlineStr">
        <is>
          <t>A 10303-2024</t>
        </is>
      </c>
      <c r="B8709" s="1" t="n">
        <v>45365</v>
      </c>
      <c r="C8709" s="1" t="n">
        <v>45952</v>
      </c>
      <c r="D8709" t="inlineStr">
        <is>
          <t>VÄSTRA GÖTALANDS LÄN</t>
        </is>
      </c>
      <c r="E8709" t="inlineStr">
        <is>
          <t>VARA</t>
        </is>
      </c>
      <c r="G8709" t="n">
        <v>1.9</v>
      </c>
      <c r="H8709" t="n">
        <v>0</v>
      </c>
      <c r="I8709" t="n">
        <v>0</v>
      </c>
      <c r="J8709" t="n">
        <v>0</v>
      </c>
      <c r="K8709" t="n">
        <v>0</v>
      </c>
      <c r="L8709" t="n">
        <v>0</v>
      </c>
      <c r="M8709" t="n">
        <v>0</v>
      </c>
      <c r="N8709" t="n">
        <v>0</v>
      </c>
      <c r="O8709" t="n">
        <v>0</v>
      </c>
      <c r="P8709" t="n">
        <v>0</v>
      </c>
      <c r="Q8709" t="n">
        <v>0</v>
      </c>
      <c r="R8709" s="2" t="inlineStr"/>
    </row>
    <row r="8710" ht="15" customHeight="1">
      <c r="A8710" t="inlineStr">
        <is>
          <t>A 1941-2025</t>
        </is>
      </c>
      <c r="B8710" s="1" t="n">
        <v>45672</v>
      </c>
      <c r="C8710" s="1" t="n">
        <v>45952</v>
      </c>
      <c r="D8710" t="inlineStr">
        <is>
          <t>VÄSTRA GÖTALANDS LÄN</t>
        </is>
      </c>
      <c r="E8710" t="inlineStr">
        <is>
          <t>TIDAHOLM</t>
        </is>
      </c>
      <c r="G8710" t="n">
        <v>1.2</v>
      </c>
      <c r="H8710" t="n">
        <v>0</v>
      </c>
      <c r="I8710" t="n">
        <v>0</v>
      </c>
      <c r="J8710" t="n">
        <v>0</v>
      </c>
      <c r="K8710" t="n">
        <v>0</v>
      </c>
      <c r="L8710" t="n">
        <v>0</v>
      </c>
      <c r="M8710" t="n">
        <v>0</v>
      </c>
      <c r="N8710" t="n">
        <v>0</v>
      </c>
      <c r="O8710" t="n">
        <v>0</v>
      </c>
      <c r="P8710" t="n">
        <v>0</v>
      </c>
      <c r="Q8710" t="n">
        <v>0</v>
      </c>
      <c r="R8710" s="2" t="inlineStr"/>
    </row>
    <row r="8711" ht="15" customHeight="1">
      <c r="A8711" t="inlineStr">
        <is>
          <t>A 48359-2025</t>
        </is>
      </c>
      <c r="B8711" s="1" t="n">
        <v>45933.66196759259</v>
      </c>
      <c r="C8711" s="1" t="n">
        <v>45952</v>
      </c>
      <c r="D8711" t="inlineStr">
        <is>
          <t>VÄSTRA GÖTALANDS LÄN</t>
        </is>
      </c>
      <c r="E8711" t="inlineStr">
        <is>
          <t>HJO</t>
        </is>
      </c>
      <c r="G8711" t="n">
        <v>3.5</v>
      </c>
      <c r="H8711" t="n">
        <v>0</v>
      </c>
      <c r="I8711" t="n">
        <v>0</v>
      </c>
      <c r="J8711" t="n">
        <v>0</v>
      </c>
      <c r="K8711" t="n">
        <v>0</v>
      </c>
      <c r="L8711" t="n">
        <v>0</v>
      </c>
      <c r="M8711" t="n">
        <v>0</v>
      </c>
      <c r="N8711" t="n">
        <v>0</v>
      </c>
      <c r="O8711" t="n">
        <v>0</v>
      </c>
      <c r="P8711" t="n">
        <v>0</v>
      </c>
      <c r="Q8711" t="n">
        <v>0</v>
      </c>
      <c r="R8711" s="2" t="inlineStr"/>
    </row>
    <row r="8712" ht="15" customHeight="1">
      <c r="A8712" t="inlineStr">
        <is>
          <t>A 22326-2025</t>
        </is>
      </c>
      <c r="B8712" s="1" t="n">
        <v>45786.41207175926</v>
      </c>
      <c r="C8712" s="1" t="n">
        <v>45952</v>
      </c>
      <c r="D8712" t="inlineStr">
        <is>
          <t>VÄSTRA GÖTALANDS LÄN</t>
        </is>
      </c>
      <c r="E8712" t="inlineStr">
        <is>
          <t>VÄNERSBORG</t>
        </is>
      </c>
      <c r="G8712" t="n">
        <v>3.7</v>
      </c>
      <c r="H8712" t="n">
        <v>0</v>
      </c>
      <c r="I8712" t="n">
        <v>0</v>
      </c>
      <c r="J8712" t="n">
        <v>0</v>
      </c>
      <c r="K8712" t="n">
        <v>0</v>
      </c>
      <c r="L8712" t="n">
        <v>0</v>
      </c>
      <c r="M8712" t="n">
        <v>0</v>
      </c>
      <c r="N8712" t="n">
        <v>0</v>
      </c>
      <c r="O8712" t="n">
        <v>0</v>
      </c>
      <c r="P8712" t="n">
        <v>0</v>
      </c>
      <c r="Q8712" t="n">
        <v>0</v>
      </c>
      <c r="R8712" s="2" t="inlineStr"/>
    </row>
    <row r="8713" ht="15" customHeight="1">
      <c r="A8713" t="inlineStr">
        <is>
          <t>A 11625-2024</t>
        </is>
      </c>
      <c r="B8713" s="1" t="n">
        <v>45373</v>
      </c>
      <c r="C8713" s="1" t="n">
        <v>45952</v>
      </c>
      <c r="D8713" t="inlineStr">
        <is>
          <t>VÄSTRA GÖTALANDS LÄN</t>
        </is>
      </c>
      <c r="E8713" t="inlineStr">
        <is>
          <t>HERRLJUNGA</t>
        </is>
      </c>
      <c r="G8713" t="n">
        <v>8.5</v>
      </c>
      <c r="H8713" t="n">
        <v>0</v>
      </c>
      <c r="I8713" t="n">
        <v>0</v>
      </c>
      <c r="J8713" t="n">
        <v>0</v>
      </c>
      <c r="K8713" t="n">
        <v>0</v>
      </c>
      <c r="L8713" t="n">
        <v>0</v>
      </c>
      <c r="M8713" t="n">
        <v>0</v>
      </c>
      <c r="N8713" t="n">
        <v>0</v>
      </c>
      <c r="O8713" t="n">
        <v>0</v>
      </c>
      <c r="P8713" t="n">
        <v>0</v>
      </c>
      <c r="Q8713" t="n">
        <v>0</v>
      </c>
      <c r="R8713" s="2" t="inlineStr"/>
    </row>
    <row r="8714" ht="15" customHeight="1">
      <c r="A8714" t="inlineStr">
        <is>
          <t>A 32796-2024</t>
        </is>
      </c>
      <c r="B8714" s="1" t="n">
        <v>45516.56032407407</v>
      </c>
      <c r="C8714" s="1" t="n">
        <v>45952</v>
      </c>
      <c r="D8714" t="inlineStr">
        <is>
          <t>VÄSTRA GÖTALANDS LÄN</t>
        </is>
      </c>
      <c r="E8714" t="inlineStr">
        <is>
          <t>MARIESTAD</t>
        </is>
      </c>
      <c r="G8714" t="n">
        <v>3.3</v>
      </c>
      <c r="H8714" t="n">
        <v>0</v>
      </c>
      <c r="I8714" t="n">
        <v>0</v>
      </c>
      <c r="J8714" t="n">
        <v>0</v>
      </c>
      <c r="K8714" t="n">
        <v>0</v>
      </c>
      <c r="L8714" t="n">
        <v>0</v>
      </c>
      <c r="M8714" t="n">
        <v>0</v>
      </c>
      <c r="N8714" t="n">
        <v>0</v>
      </c>
      <c r="O8714" t="n">
        <v>0</v>
      </c>
      <c r="P8714" t="n">
        <v>0</v>
      </c>
      <c r="Q8714" t="n">
        <v>0</v>
      </c>
      <c r="R8714" s="2" t="inlineStr"/>
    </row>
    <row r="8715" ht="15" customHeight="1">
      <c r="A8715" t="inlineStr">
        <is>
          <t>A 48012-2025</t>
        </is>
      </c>
      <c r="B8715" s="1" t="n">
        <v>45932.64380787037</v>
      </c>
      <c r="C8715" s="1" t="n">
        <v>45952</v>
      </c>
      <c r="D8715" t="inlineStr">
        <is>
          <t>VÄSTRA GÖTALANDS LÄN</t>
        </is>
      </c>
      <c r="E8715" t="inlineStr">
        <is>
          <t>GÖTENE</t>
        </is>
      </c>
      <c r="G8715" t="n">
        <v>3.2</v>
      </c>
      <c r="H8715" t="n">
        <v>0</v>
      </c>
      <c r="I8715" t="n">
        <v>0</v>
      </c>
      <c r="J8715" t="n">
        <v>0</v>
      </c>
      <c r="K8715" t="n">
        <v>0</v>
      </c>
      <c r="L8715" t="n">
        <v>0</v>
      </c>
      <c r="M8715" t="n">
        <v>0</v>
      </c>
      <c r="N8715" t="n">
        <v>0</v>
      </c>
      <c r="O8715" t="n">
        <v>0</v>
      </c>
      <c r="P8715" t="n">
        <v>0</v>
      </c>
      <c r="Q8715" t="n">
        <v>0</v>
      </c>
      <c r="R8715" s="2" t="inlineStr"/>
    </row>
    <row r="8716" ht="15" customHeight="1">
      <c r="A8716" t="inlineStr">
        <is>
          <t>A 13308-2023</t>
        </is>
      </c>
      <c r="B8716" s="1" t="n">
        <v>45005.37168981481</v>
      </c>
      <c r="C8716" s="1" t="n">
        <v>45952</v>
      </c>
      <c r="D8716" t="inlineStr">
        <is>
          <t>VÄSTRA GÖTALANDS LÄN</t>
        </is>
      </c>
      <c r="E8716" t="inlineStr">
        <is>
          <t>HERRLJUNGA</t>
        </is>
      </c>
      <c r="G8716" t="n">
        <v>1.5</v>
      </c>
      <c r="H8716" t="n">
        <v>0</v>
      </c>
      <c r="I8716" t="n">
        <v>0</v>
      </c>
      <c r="J8716" t="n">
        <v>0</v>
      </c>
      <c r="K8716" t="n">
        <v>0</v>
      </c>
      <c r="L8716" t="n">
        <v>0</v>
      </c>
      <c r="M8716" t="n">
        <v>0</v>
      </c>
      <c r="N8716" t="n">
        <v>0</v>
      </c>
      <c r="O8716" t="n">
        <v>0</v>
      </c>
      <c r="P8716" t="n">
        <v>0</v>
      </c>
      <c r="Q8716" t="n">
        <v>0</v>
      </c>
      <c r="R8716" s="2" t="inlineStr"/>
    </row>
    <row r="8717" ht="15" customHeight="1">
      <c r="A8717" t="inlineStr">
        <is>
          <t>A 39858-2025</t>
        </is>
      </c>
      <c r="B8717" s="1" t="n">
        <v>45891.59162037037</v>
      </c>
      <c r="C8717" s="1" t="n">
        <v>45952</v>
      </c>
      <c r="D8717" t="inlineStr">
        <is>
          <t>VÄSTRA GÖTALANDS LÄN</t>
        </is>
      </c>
      <c r="E8717" t="inlineStr">
        <is>
          <t>MARK</t>
        </is>
      </c>
      <c r="G8717" t="n">
        <v>0.6</v>
      </c>
      <c r="H8717" t="n">
        <v>0</v>
      </c>
      <c r="I8717" t="n">
        <v>0</v>
      </c>
      <c r="J8717" t="n">
        <v>0</v>
      </c>
      <c r="K8717" t="n">
        <v>0</v>
      </c>
      <c r="L8717" t="n">
        <v>0</v>
      </c>
      <c r="M8717" t="n">
        <v>0</v>
      </c>
      <c r="N8717" t="n">
        <v>0</v>
      </c>
      <c r="O8717" t="n">
        <v>0</v>
      </c>
      <c r="P8717" t="n">
        <v>0</v>
      </c>
      <c r="Q8717" t="n">
        <v>0</v>
      </c>
      <c r="R8717" s="2" t="inlineStr"/>
    </row>
    <row r="8718" ht="15" customHeight="1">
      <c r="A8718" t="inlineStr">
        <is>
          <t>A 39617-2025</t>
        </is>
      </c>
      <c r="B8718" s="1" t="n">
        <v>45890.56799768518</v>
      </c>
      <c r="C8718" s="1" t="n">
        <v>45952</v>
      </c>
      <c r="D8718" t="inlineStr">
        <is>
          <t>VÄSTRA GÖTALANDS LÄN</t>
        </is>
      </c>
      <c r="E8718" t="inlineStr">
        <is>
          <t>MUNKEDAL</t>
        </is>
      </c>
      <c r="G8718" t="n">
        <v>0.8</v>
      </c>
      <c r="H8718" t="n">
        <v>0</v>
      </c>
      <c r="I8718" t="n">
        <v>0</v>
      </c>
      <c r="J8718" t="n">
        <v>0</v>
      </c>
      <c r="K8718" t="n">
        <v>0</v>
      </c>
      <c r="L8718" t="n">
        <v>0</v>
      </c>
      <c r="M8718" t="n">
        <v>0</v>
      </c>
      <c r="N8718" t="n">
        <v>0</v>
      </c>
      <c r="O8718" t="n">
        <v>0</v>
      </c>
      <c r="P8718" t="n">
        <v>0</v>
      </c>
      <c r="Q8718" t="n">
        <v>0</v>
      </c>
      <c r="R8718" s="2" t="inlineStr"/>
    </row>
    <row r="8719" ht="15" customHeight="1">
      <c r="A8719" t="inlineStr">
        <is>
          <t>A 22765-2025</t>
        </is>
      </c>
      <c r="B8719" s="1" t="n">
        <v>45789.6285300926</v>
      </c>
      <c r="C8719" s="1" t="n">
        <v>45952</v>
      </c>
      <c r="D8719" t="inlineStr">
        <is>
          <t>VÄSTRA GÖTALANDS LÄN</t>
        </is>
      </c>
      <c r="E8719" t="inlineStr">
        <is>
          <t>MARIESTAD</t>
        </is>
      </c>
      <c r="G8719" t="n">
        <v>1</v>
      </c>
      <c r="H8719" t="n">
        <v>0</v>
      </c>
      <c r="I8719" t="n">
        <v>0</v>
      </c>
      <c r="J8719" t="n">
        <v>0</v>
      </c>
      <c r="K8719" t="n">
        <v>0</v>
      </c>
      <c r="L8719" t="n">
        <v>0</v>
      </c>
      <c r="M8719" t="n">
        <v>0</v>
      </c>
      <c r="N8719" t="n">
        <v>0</v>
      </c>
      <c r="O8719" t="n">
        <v>0</v>
      </c>
      <c r="P8719" t="n">
        <v>0</v>
      </c>
      <c r="Q8719" t="n">
        <v>0</v>
      </c>
      <c r="R8719" s="2" t="inlineStr"/>
    </row>
    <row r="8720" ht="15" customHeight="1">
      <c r="A8720" t="inlineStr">
        <is>
          <t>A 47817-2025</t>
        </is>
      </c>
      <c r="B8720" s="1" t="n">
        <v>45932.33381944444</v>
      </c>
      <c r="C8720" s="1" t="n">
        <v>45952</v>
      </c>
      <c r="D8720" t="inlineStr">
        <is>
          <t>VÄSTRA GÖTALANDS LÄN</t>
        </is>
      </c>
      <c r="E8720" t="inlineStr">
        <is>
          <t>GRÄSTORP</t>
        </is>
      </c>
      <c r="G8720" t="n">
        <v>0.8</v>
      </c>
      <c r="H8720" t="n">
        <v>0</v>
      </c>
      <c r="I8720" t="n">
        <v>0</v>
      </c>
      <c r="J8720" t="n">
        <v>0</v>
      </c>
      <c r="K8720" t="n">
        <v>0</v>
      </c>
      <c r="L8720" t="n">
        <v>0</v>
      </c>
      <c r="M8720" t="n">
        <v>0</v>
      </c>
      <c r="N8720" t="n">
        <v>0</v>
      </c>
      <c r="O8720" t="n">
        <v>0</v>
      </c>
      <c r="P8720" t="n">
        <v>0</v>
      </c>
      <c r="Q8720" t="n">
        <v>0</v>
      </c>
      <c r="R8720" s="2" t="inlineStr"/>
    </row>
    <row r="8721" ht="15" customHeight="1">
      <c r="A8721" t="inlineStr">
        <is>
          <t>A 47820-2025</t>
        </is>
      </c>
      <c r="B8721" s="1" t="n">
        <v>45932.34094907407</v>
      </c>
      <c r="C8721" s="1" t="n">
        <v>45952</v>
      </c>
      <c r="D8721" t="inlineStr">
        <is>
          <t>VÄSTRA GÖTALANDS LÄN</t>
        </is>
      </c>
      <c r="E8721" t="inlineStr">
        <is>
          <t>GRÄSTORP</t>
        </is>
      </c>
      <c r="G8721" t="n">
        <v>1.2</v>
      </c>
      <c r="H8721" t="n">
        <v>0</v>
      </c>
      <c r="I8721" t="n">
        <v>0</v>
      </c>
      <c r="J8721" t="n">
        <v>0</v>
      </c>
      <c r="K8721" t="n">
        <v>0</v>
      </c>
      <c r="L8721" t="n">
        <v>0</v>
      </c>
      <c r="M8721" t="n">
        <v>0</v>
      </c>
      <c r="N8721" t="n">
        <v>0</v>
      </c>
      <c r="O8721" t="n">
        <v>0</v>
      </c>
      <c r="P8721" t="n">
        <v>0</v>
      </c>
      <c r="Q8721" t="n">
        <v>0</v>
      </c>
      <c r="R8721" s="2" t="inlineStr"/>
    </row>
    <row r="8722" ht="15" customHeight="1">
      <c r="A8722" t="inlineStr">
        <is>
          <t>A 47853-2025</t>
        </is>
      </c>
      <c r="B8722" s="1" t="n">
        <v>45932.39295138889</v>
      </c>
      <c r="C8722" s="1" t="n">
        <v>45952</v>
      </c>
      <c r="D8722" t="inlineStr">
        <is>
          <t>VÄSTRA GÖTALANDS LÄN</t>
        </is>
      </c>
      <c r="E8722" t="inlineStr">
        <is>
          <t>BENGTSFORS</t>
        </is>
      </c>
      <c r="G8722" t="n">
        <v>3.8</v>
      </c>
      <c r="H8722" t="n">
        <v>0</v>
      </c>
      <c r="I8722" t="n">
        <v>0</v>
      </c>
      <c r="J8722" t="n">
        <v>0</v>
      </c>
      <c r="K8722" t="n">
        <v>0</v>
      </c>
      <c r="L8722" t="n">
        <v>0</v>
      </c>
      <c r="M8722" t="n">
        <v>0</v>
      </c>
      <c r="N8722" t="n">
        <v>0</v>
      </c>
      <c r="O8722" t="n">
        <v>0</v>
      </c>
      <c r="P8722" t="n">
        <v>0</v>
      </c>
      <c r="Q8722" t="n">
        <v>0</v>
      </c>
      <c r="R8722" s="2" t="inlineStr"/>
    </row>
    <row r="8723" ht="15" customHeight="1">
      <c r="A8723" t="inlineStr">
        <is>
          <t>A 48083-2025</t>
        </is>
      </c>
      <c r="B8723" s="1" t="n">
        <v>45932</v>
      </c>
      <c r="C8723" s="1" t="n">
        <v>45952</v>
      </c>
      <c r="D8723" t="inlineStr">
        <is>
          <t>VÄSTRA GÖTALANDS LÄN</t>
        </is>
      </c>
      <c r="E8723" t="inlineStr">
        <is>
          <t>BENGTSFORS</t>
        </is>
      </c>
      <c r="G8723" t="n">
        <v>2.4</v>
      </c>
      <c r="H8723" t="n">
        <v>0</v>
      </c>
      <c r="I8723" t="n">
        <v>0</v>
      </c>
      <c r="J8723" t="n">
        <v>0</v>
      </c>
      <c r="K8723" t="n">
        <v>0</v>
      </c>
      <c r="L8723" t="n">
        <v>0</v>
      </c>
      <c r="M8723" t="n">
        <v>0</v>
      </c>
      <c r="N8723" t="n">
        <v>0</v>
      </c>
      <c r="O8723" t="n">
        <v>0</v>
      </c>
      <c r="P8723" t="n">
        <v>0</v>
      </c>
      <c r="Q8723" t="n">
        <v>0</v>
      </c>
      <c r="R8723" s="2" t="inlineStr"/>
    </row>
    <row r="8724" ht="15" customHeight="1">
      <c r="A8724" t="inlineStr">
        <is>
          <t>A 48084-2025</t>
        </is>
      </c>
      <c r="B8724" s="1" t="n">
        <v>45932</v>
      </c>
      <c r="C8724" s="1" t="n">
        <v>45952</v>
      </c>
      <c r="D8724" t="inlineStr">
        <is>
          <t>VÄSTRA GÖTALANDS LÄN</t>
        </is>
      </c>
      <c r="E8724" t="inlineStr">
        <is>
          <t>ÅMÅL</t>
        </is>
      </c>
      <c r="G8724" t="n">
        <v>1.8</v>
      </c>
      <c r="H8724" t="n">
        <v>0</v>
      </c>
      <c r="I8724" t="n">
        <v>0</v>
      </c>
      <c r="J8724" t="n">
        <v>0</v>
      </c>
      <c r="K8724" t="n">
        <v>0</v>
      </c>
      <c r="L8724" t="n">
        <v>0</v>
      </c>
      <c r="M8724" t="n">
        <v>0</v>
      </c>
      <c r="N8724" t="n">
        <v>0</v>
      </c>
      <c r="O8724" t="n">
        <v>0</v>
      </c>
      <c r="P8724" t="n">
        <v>0</v>
      </c>
      <c r="Q8724" t="n">
        <v>0</v>
      </c>
      <c r="R8724" s="2" t="inlineStr"/>
    </row>
    <row r="8725" ht="15" customHeight="1">
      <c r="A8725" t="inlineStr">
        <is>
          <t>A 60382-2023</t>
        </is>
      </c>
      <c r="B8725" s="1" t="n">
        <v>45259</v>
      </c>
      <c r="C8725" s="1" t="n">
        <v>45952</v>
      </c>
      <c r="D8725" t="inlineStr">
        <is>
          <t>VÄSTRA GÖTALANDS LÄN</t>
        </is>
      </c>
      <c r="E8725" t="inlineStr">
        <is>
          <t>FÄRGELANDA</t>
        </is>
      </c>
      <c r="G8725" t="n">
        <v>4.8</v>
      </c>
      <c r="H8725" t="n">
        <v>0</v>
      </c>
      <c r="I8725" t="n">
        <v>0</v>
      </c>
      <c r="J8725" t="n">
        <v>0</v>
      </c>
      <c r="K8725" t="n">
        <v>0</v>
      </c>
      <c r="L8725" t="n">
        <v>0</v>
      </c>
      <c r="M8725" t="n">
        <v>0</v>
      </c>
      <c r="N8725" t="n">
        <v>0</v>
      </c>
      <c r="O8725" t="n">
        <v>0</v>
      </c>
      <c r="P8725" t="n">
        <v>0</v>
      </c>
      <c r="Q8725" t="n">
        <v>0</v>
      </c>
      <c r="R8725" s="2" t="inlineStr"/>
    </row>
    <row r="8726" ht="15" customHeight="1">
      <c r="A8726" t="inlineStr">
        <is>
          <t>A 48094-2025</t>
        </is>
      </c>
      <c r="B8726" s="1" t="n">
        <v>45933.33019675926</v>
      </c>
      <c r="C8726" s="1" t="n">
        <v>45952</v>
      </c>
      <c r="D8726" t="inlineStr">
        <is>
          <t>VÄSTRA GÖTALANDS LÄN</t>
        </is>
      </c>
      <c r="E8726" t="inlineStr">
        <is>
          <t>VÅRGÅRDA</t>
        </is>
      </c>
      <c r="G8726" t="n">
        <v>1.5</v>
      </c>
      <c r="H8726" t="n">
        <v>0</v>
      </c>
      <c r="I8726" t="n">
        <v>0</v>
      </c>
      <c r="J8726" t="n">
        <v>0</v>
      </c>
      <c r="K8726" t="n">
        <v>0</v>
      </c>
      <c r="L8726" t="n">
        <v>0</v>
      </c>
      <c r="M8726" t="n">
        <v>0</v>
      </c>
      <c r="N8726" t="n">
        <v>0</v>
      </c>
      <c r="O8726" t="n">
        <v>0</v>
      </c>
      <c r="P8726" t="n">
        <v>0</v>
      </c>
      <c r="Q8726" t="n">
        <v>0</v>
      </c>
      <c r="R8726" s="2" t="inlineStr"/>
    </row>
    <row r="8727" ht="15" customHeight="1">
      <c r="A8727" t="inlineStr">
        <is>
          <t>A 48106-2025</t>
        </is>
      </c>
      <c r="B8727" s="1" t="n">
        <v>45933</v>
      </c>
      <c r="C8727" s="1" t="n">
        <v>45952</v>
      </c>
      <c r="D8727" t="inlineStr">
        <is>
          <t>VÄSTRA GÖTALANDS LÄN</t>
        </is>
      </c>
      <c r="E8727" t="inlineStr">
        <is>
          <t>SKARA</t>
        </is>
      </c>
      <c r="G8727" t="n">
        <v>3</v>
      </c>
      <c r="H8727" t="n">
        <v>0</v>
      </c>
      <c r="I8727" t="n">
        <v>0</v>
      </c>
      <c r="J8727" t="n">
        <v>0</v>
      </c>
      <c r="K8727" t="n">
        <v>0</v>
      </c>
      <c r="L8727" t="n">
        <v>0</v>
      </c>
      <c r="M8727" t="n">
        <v>0</v>
      </c>
      <c r="N8727" t="n">
        <v>0</v>
      </c>
      <c r="O8727" t="n">
        <v>0</v>
      </c>
      <c r="P8727" t="n">
        <v>0</v>
      </c>
      <c r="Q8727" t="n">
        <v>0</v>
      </c>
      <c r="R8727" s="2" t="inlineStr"/>
    </row>
    <row r="8728" ht="15" customHeight="1">
      <c r="A8728" t="inlineStr">
        <is>
          <t>A 48074-2025</t>
        </is>
      </c>
      <c r="B8728" s="1" t="n">
        <v>45932</v>
      </c>
      <c r="C8728" s="1" t="n">
        <v>45952</v>
      </c>
      <c r="D8728" t="inlineStr">
        <is>
          <t>VÄSTRA GÖTALANDS LÄN</t>
        </is>
      </c>
      <c r="E8728" t="inlineStr">
        <is>
          <t>VARA</t>
        </is>
      </c>
      <c r="G8728" t="n">
        <v>0.6</v>
      </c>
      <c r="H8728" t="n">
        <v>0</v>
      </c>
      <c r="I8728" t="n">
        <v>0</v>
      </c>
      <c r="J8728" t="n">
        <v>0</v>
      </c>
      <c r="K8728" t="n">
        <v>0</v>
      </c>
      <c r="L8728" t="n">
        <v>0</v>
      </c>
      <c r="M8728" t="n">
        <v>0</v>
      </c>
      <c r="N8728" t="n">
        <v>0</v>
      </c>
      <c r="O8728" t="n">
        <v>0</v>
      </c>
      <c r="P8728" t="n">
        <v>0</v>
      </c>
      <c r="Q8728" t="n">
        <v>0</v>
      </c>
      <c r="R8728" s="2" t="inlineStr"/>
    </row>
    <row r="8729" ht="15" customHeight="1">
      <c r="A8729" t="inlineStr">
        <is>
          <t>A 48080-2025</t>
        </is>
      </c>
      <c r="B8729" s="1" t="n">
        <v>45932.7685300926</v>
      </c>
      <c r="C8729" s="1" t="n">
        <v>45952</v>
      </c>
      <c r="D8729" t="inlineStr">
        <is>
          <t>VÄSTRA GÖTALANDS LÄN</t>
        </is>
      </c>
      <c r="E8729" t="inlineStr">
        <is>
          <t>VÅRGÅRDA</t>
        </is>
      </c>
      <c r="G8729" t="n">
        <v>1.4</v>
      </c>
      <c r="H8729" t="n">
        <v>0</v>
      </c>
      <c r="I8729" t="n">
        <v>0</v>
      </c>
      <c r="J8729" t="n">
        <v>0</v>
      </c>
      <c r="K8729" t="n">
        <v>0</v>
      </c>
      <c r="L8729" t="n">
        <v>0</v>
      </c>
      <c r="M8729" t="n">
        <v>0</v>
      </c>
      <c r="N8729" t="n">
        <v>0</v>
      </c>
      <c r="O8729" t="n">
        <v>0</v>
      </c>
      <c r="P8729" t="n">
        <v>0</v>
      </c>
      <c r="Q8729" t="n">
        <v>0</v>
      </c>
      <c r="R8729" s="2" t="inlineStr"/>
    </row>
    <row r="8730" ht="15" customHeight="1">
      <c r="A8730" t="inlineStr">
        <is>
          <t>A 22666-2025</t>
        </is>
      </c>
      <c r="B8730" s="1" t="n">
        <v>45789.4871412037</v>
      </c>
      <c r="C8730" s="1" t="n">
        <v>45952</v>
      </c>
      <c r="D8730" t="inlineStr">
        <is>
          <t>VÄSTRA GÖTALANDS LÄN</t>
        </is>
      </c>
      <c r="E8730" t="inlineStr">
        <is>
          <t>TANUM</t>
        </is>
      </c>
      <c r="G8730" t="n">
        <v>1.1</v>
      </c>
      <c r="H8730" t="n">
        <v>0</v>
      </c>
      <c r="I8730" t="n">
        <v>0</v>
      </c>
      <c r="J8730" t="n">
        <v>0</v>
      </c>
      <c r="K8730" t="n">
        <v>0</v>
      </c>
      <c r="L8730" t="n">
        <v>0</v>
      </c>
      <c r="M8730" t="n">
        <v>0</v>
      </c>
      <c r="N8730" t="n">
        <v>0</v>
      </c>
      <c r="O8730" t="n">
        <v>0</v>
      </c>
      <c r="P8730" t="n">
        <v>0</v>
      </c>
      <c r="Q8730" t="n">
        <v>0</v>
      </c>
      <c r="R8730" s="2" t="inlineStr"/>
    </row>
    <row r="8731" ht="15" customHeight="1">
      <c r="A8731" t="inlineStr">
        <is>
          <t>A 5759-2025</t>
        </is>
      </c>
      <c r="B8731" s="1" t="n">
        <v>45694.56876157408</v>
      </c>
      <c r="C8731" s="1" t="n">
        <v>45952</v>
      </c>
      <c r="D8731" t="inlineStr">
        <is>
          <t>VÄSTRA GÖTALANDS LÄN</t>
        </is>
      </c>
      <c r="E8731" t="inlineStr">
        <is>
          <t>BENGTSFORS</t>
        </is>
      </c>
      <c r="G8731" t="n">
        <v>2</v>
      </c>
      <c r="H8731" t="n">
        <v>0</v>
      </c>
      <c r="I8731" t="n">
        <v>0</v>
      </c>
      <c r="J8731" t="n">
        <v>0</v>
      </c>
      <c r="K8731" t="n">
        <v>0</v>
      </c>
      <c r="L8731" t="n">
        <v>0</v>
      </c>
      <c r="M8731" t="n">
        <v>0</v>
      </c>
      <c r="N8731" t="n">
        <v>0</v>
      </c>
      <c r="O8731" t="n">
        <v>0</v>
      </c>
      <c r="P8731" t="n">
        <v>0</v>
      </c>
      <c r="Q8731" t="n">
        <v>0</v>
      </c>
      <c r="R8731" s="2" t="inlineStr"/>
    </row>
    <row r="8732" ht="15" customHeight="1">
      <c r="A8732" t="inlineStr">
        <is>
          <t>A 48087-2025</t>
        </is>
      </c>
      <c r="B8732" s="1" t="n">
        <v>45932.83972222222</v>
      </c>
      <c r="C8732" s="1" t="n">
        <v>45952</v>
      </c>
      <c r="D8732" t="inlineStr">
        <is>
          <t>VÄSTRA GÖTALANDS LÄN</t>
        </is>
      </c>
      <c r="E8732" t="inlineStr">
        <is>
          <t>FÄRGELANDA</t>
        </is>
      </c>
      <c r="G8732" t="n">
        <v>4</v>
      </c>
      <c r="H8732" t="n">
        <v>0</v>
      </c>
      <c r="I8732" t="n">
        <v>0</v>
      </c>
      <c r="J8732" t="n">
        <v>0</v>
      </c>
      <c r="K8732" t="n">
        <v>0</v>
      </c>
      <c r="L8732" t="n">
        <v>0</v>
      </c>
      <c r="M8732" t="n">
        <v>0</v>
      </c>
      <c r="N8732" t="n">
        <v>0</v>
      </c>
      <c r="O8732" t="n">
        <v>0</v>
      </c>
      <c r="P8732" t="n">
        <v>0</v>
      </c>
      <c r="Q8732" t="n">
        <v>0</v>
      </c>
      <c r="R8732" s="2" t="inlineStr"/>
    </row>
    <row r="8733" ht="15" customHeight="1">
      <c r="A8733" t="inlineStr">
        <is>
          <t>A 48097-2025</t>
        </is>
      </c>
      <c r="B8733" s="1" t="n">
        <v>45933.30924768518</v>
      </c>
      <c r="C8733" s="1" t="n">
        <v>45952</v>
      </c>
      <c r="D8733" t="inlineStr">
        <is>
          <t>VÄSTRA GÖTALANDS LÄN</t>
        </is>
      </c>
      <c r="E8733" t="inlineStr">
        <is>
          <t>SKARA</t>
        </is>
      </c>
      <c r="G8733" t="n">
        <v>1</v>
      </c>
      <c r="H8733" t="n">
        <v>0</v>
      </c>
      <c r="I8733" t="n">
        <v>0</v>
      </c>
      <c r="J8733" t="n">
        <v>0</v>
      </c>
      <c r="K8733" t="n">
        <v>0</v>
      </c>
      <c r="L8733" t="n">
        <v>0</v>
      </c>
      <c r="M8733" t="n">
        <v>0</v>
      </c>
      <c r="N8733" t="n">
        <v>0</v>
      </c>
      <c r="O8733" t="n">
        <v>0</v>
      </c>
      <c r="P8733" t="n">
        <v>0</v>
      </c>
      <c r="Q8733" t="n">
        <v>0</v>
      </c>
      <c r="R8733" s="2" t="inlineStr"/>
    </row>
    <row r="8734" ht="15" customHeight="1">
      <c r="A8734" t="inlineStr">
        <is>
          <t>A 48100-2025</t>
        </is>
      </c>
      <c r="B8734" s="1" t="n">
        <v>45933.33457175926</v>
      </c>
      <c r="C8734" s="1" t="n">
        <v>45952</v>
      </c>
      <c r="D8734" t="inlineStr">
        <is>
          <t>VÄSTRA GÖTALANDS LÄN</t>
        </is>
      </c>
      <c r="E8734" t="inlineStr">
        <is>
          <t>VÅRGÅRDA</t>
        </is>
      </c>
      <c r="G8734" t="n">
        <v>1.8</v>
      </c>
      <c r="H8734" t="n">
        <v>0</v>
      </c>
      <c r="I8734" t="n">
        <v>0</v>
      </c>
      <c r="J8734" t="n">
        <v>0</v>
      </c>
      <c r="K8734" t="n">
        <v>0</v>
      </c>
      <c r="L8734" t="n">
        <v>0</v>
      </c>
      <c r="M8734" t="n">
        <v>0</v>
      </c>
      <c r="N8734" t="n">
        <v>0</v>
      </c>
      <c r="O8734" t="n">
        <v>0</v>
      </c>
      <c r="P8734" t="n">
        <v>0</v>
      </c>
      <c r="Q8734" t="n">
        <v>0</v>
      </c>
      <c r="R8734" s="2" t="inlineStr"/>
    </row>
    <row r="8735" ht="15" customHeight="1">
      <c r="A8735" t="inlineStr">
        <is>
          <t>A 22734-2025</t>
        </is>
      </c>
      <c r="B8735" s="1" t="n">
        <v>45789.58822916666</v>
      </c>
      <c r="C8735" s="1" t="n">
        <v>45952</v>
      </c>
      <c r="D8735" t="inlineStr">
        <is>
          <t>VÄSTRA GÖTALANDS LÄN</t>
        </is>
      </c>
      <c r="E8735" t="inlineStr">
        <is>
          <t>BORÅS</t>
        </is>
      </c>
      <c r="G8735" t="n">
        <v>0.8</v>
      </c>
      <c r="H8735" t="n">
        <v>0</v>
      </c>
      <c r="I8735" t="n">
        <v>0</v>
      </c>
      <c r="J8735" t="n">
        <v>0</v>
      </c>
      <c r="K8735" t="n">
        <v>0</v>
      </c>
      <c r="L8735" t="n">
        <v>0</v>
      </c>
      <c r="M8735" t="n">
        <v>0</v>
      </c>
      <c r="N8735" t="n">
        <v>0</v>
      </c>
      <c r="O8735" t="n">
        <v>0</v>
      </c>
      <c r="P8735" t="n">
        <v>0</v>
      </c>
      <c r="Q8735" t="n">
        <v>0</v>
      </c>
      <c r="R8735" s="2" t="inlineStr"/>
    </row>
    <row r="8736" ht="15" customHeight="1">
      <c r="A8736" t="inlineStr">
        <is>
          <t>A 22736-2025</t>
        </is>
      </c>
      <c r="B8736" s="1" t="n">
        <v>45789.59091435185</v>
      </c>
      <c r="C8736" s="1" t="n">
        <v>45952</v>
      </c>
      <c r="D8736" t="inlineStr">
        <is>
          <t>VÄSTRA GÖTALANDS LÄN</t>
        </is>
      </c>
      <c r="E8736" t="inlineStr">
        <is>
          <t>BORÅS</t>
        </is>
      </c>
      <c r="G8736" t="n">
        <v>2.1</v>
      </c>
      <c r="H8736" t="n">
        <v>0</v>
      </c>
      <c r="I8736" t="n">
        <v>0</v>
      </c>
      <c r="J8736" t="n">
        <v>0</v>
      </c>
      <c r="K8736" t="n">
        <v>0</v>
      </c>
      <c r="L8736" t="n">
        <v>0</v>
      </c>
      <c r="M8736" t="n">
        <v>0</v>
      </c>
      <c r="N8736" t="n">
        <v>0</v>
      </c>
      <c r="O8736" t="n">
        <v>0</v>
      </c>
      <c r="P8736" t="n">
        <v>0</v>
      </c>
      <c r="Q8736" t="n">
        <v>0</v>
      </c>
      <c r="R8736" s="2" t="inlineStr"/>
    </row>
    <row r="8737" ht="15" customHeight="1">
      <c r="A8737" t="inlineStr">
        <is>
          <t>A 22413-2025</t>
        </is>
      </c>
      <c r="B8737" s="1" t="n">
        <v>45786.55434027778</v>
      </c>
      <c r="C8737" s="1" t="n">
        <v>45952</v>
      </c>
      <c r="D8737" t="inlineStr">
        <is>
          <t>VÄSTRA GÖTALANDS LÄN</t>
        </is>
      </c>
      <c r="E8737" t="inlineStr">
        <is>
          <t>MARIESTAD</t>
        </is>
      </c>
      <c r="F8737" t="inlineStr">
        <is>
          <t>Sveaskog</t>
        </is>
      </c>
      <c r="G8737" t="n">
        <v>5.7</v>
      </c>
      <c r="H8737" t="n">
        <v>0</v>
      </c>
      <c r="I8737" t="n">
        <v>0</v>
      </c>
      <c r="J8737" t="n">
        <v>0</v>
      </c>
      <c r="K8737" t="n">
        <v>0</v>
      </c>
      <c r="L8737" t="n">
        <v>0</v>
      </c>
      <c r="M8737" t="n">
        <v>0</v>
      </c>
      <c r="N8737" t="n">
        <v>0</v>
      </c>
      <c r="O8737" t="n">
        <v>0</v>
      </c>
      <c r="P8737" t="n">
        <v>0</v>
      </c>
      <c r="Q8737" t="n">
        <v>0</v>
      </c>
      <c r="R8737" s="2" t="inlineStr"/>
    </row>
    <row r="8738" ht="15" customHeight="1">
      <c r="A8738" t="inlineStr">
        <is>
          <t>A 16198-2021</t>
        </is>
      </c>
      <c r="B8738" s="1" t="n">
        <v>44292</v>
      </c>
      <c r="C8738" s="1" t="n">
        <v>45952</v>
      </c>
      <c r="D8738" t="inlineStr">
        <is>
          <t>VÄSTRA GÖTALANDS LÄN</t>
        </is>
      </c>
      <c r="E8738" t="inlineStr">
        <is>
          <t>TANUM</t>
        </is>
      </c>
      <c r="G8738" t="n">
        <v>15.8</v>
      </c>
      <c r="H8738" t="n">
        <v>0</v>
      </c>
      <c r="I8738" t="n">
        <v>0</v>
      </c>
      <c r="J8738" t="n">
        <v>0</v>
      </c>
      <c r="K8738" t="n">
        <v>0</v>
      </c>
      <c r="L8738" t="n">
        <v>0</v>
      </c>
      <c r="M8738" t="n">
        <v>0</v>
      </c>
      <c r="N8738" t="n">
        <v>0</v>
      </c>
      <c r="O8738" t="n">
        <v>0</v>
      </c>
      <c r="P8738" t="n">
        <v>0</v>
      </c>
      <c r="Q8738" t="n">
        <v>0</v>
      </c>
      <c r="R8738" s="2" t="inlineStr"/>
    </row>
    <row r="8739" ht="15" customHeight="1">
      <c r="A8739" t="inlineStr">
        <is>
          <t>A 57412-2024</t>
        </is>
      </c>
      <c r="B8739" s="1" t="n">
        <v>45629.76458333333</v>
      </c>
      <c r="C8739" s="1" t="n">
        <v>45952</v>
      </c>
      <c r="D8739" t="inlineStr">
        <is>
          <t>VÄSTRA GÖTALANDS LÄN</t>
        </is>
      </c>
      <c r="E8739" t="inlineStr">
        <is>
          <t>FALKÖPING</t>
        </is>
      </c>
      <c r="G8739" t="n">
        <v>3.5</v>
      </c>
      <c r="H8739" t="n">
        <v>0</v>
      </c>
      <c r="I8739" t="n">
        <v>0</v>
      </c>
      <c r="J8739" t="n">
        <v>0</v>
      </c>
      <c r="K8739" t="n">
        <v>0</v>
      </c>
      <c r="L8739" t="n">
        <v>0</v>
      </c>
      <c r="M8739" t="n">
        <v>0</v>
      </c>
      <c r="N8739" t="n">
        <v>0</v>
      </c>
      <c r="O8739" t="n">
        <v>0</v>
      </c>
      <c r="P8739" t="n">
        <v>0</v>
      </c>
      <c r="Q8739" t="n">
        <v>0</v>
      </c>
      <c r="R8739" s="2" t="inlineStr"/>
    </row>
    <row r="8740" ht="15" customHeight="1">
      <c r="A8740" t="inlineStr">
        <is>
          <t>A 57420-2024</t>
        </is>
      </c>
      <c r="B8740" s="1" t="n">
        <v>45629</v>
      </c>
      <c r="C8740" s="1" t="n">
        <v>45952</v>
      </c>
      <c r="D8740" t="inlineStr">
        <is>
          <t>VÄSTRA GÖTALANDS LÄN</t>
        </is>
      </c>
      <c r="E8740" t="inlineStr">
        <is>
          <t>VARA</t>
        </is>
      </c>
      <c r="G8740" t="n">
        <v>6.6</v>
      </c>
      <c r="H8740" t="n">
        <v>0</v>
      </c>
      <c r="I8740" t="n">
        <v>0</v>
      </c>
      <c r="J8740" t="n">
        <v>0</v>
      </c>
      <c r="K8740" t="n">
        <v>0</v>
      </c>
      <c r="L8740" t="n">
        <v>0</v>
      </c>
      <c r="M8740" t="n">
        <v>0</v>
      </c>
      <c r="N8740" t="n">
        <v>0</v>
      </c>
      <c r="O8740" t="n">
        <v>0</v>
      </c>
      <c r="P8740" t="n">
        <v>0</v>
      </c>
      <c r="Q8740" t="n">
        <v>0</v>
      </c>
      <c r="R8740" s="2" t="inlineStr"/>
    </row>
    <row r="8741" ht="15" customHeight="1">
      <c r="A8741" t="inlineStr">
        <is>
          <t>A 57422-2024</t>
        </is>
      </c>
      <c r="B8741" s="1" t="n">
        <v>45629.81206018518</v>
      </c>
      <c r="C8741" s="1" t="n">
        <v>45952</v>
      </c>
      <c r="D8741" t="inlineStr">
        <is>
          <t>VÄSTRA GÖTALANDS LÄN</t>
        </is>
      </c>
      <c r="E8741" t="inlineStr">
        <is>
          <t>BORÅS</t>
        </is>
      </c>
      <c r="G8741" t="n">
        <v>0.6</v>
      </c>
      <c r="H8741" t="n">
        <v>0</v>
      </c>
      <c r="I8741" t="n">
        <v>0</v>
      </c>
      <c r="J8741" t="n">
        <v>0</v>
      </c>
      <c r="K8741" t="n">
        <v>0</v>
      </c>
      <c r="L8741" t="n">
        <v>0</v>
      </c>
      <c r="M8741" t="n">
        <v>0</v>
      </c>
      <c r="N8741" t="n">
        <v>0</v>
      </c>
      <c r="O8741" t="n">
        <v>0</v>
      </c>
      <c r="P8741" t="n">
        <v>0</v>
      </c>
      <c r="Q8741" t="n">
        <v>0</v>
      </c>
      <c r="R8741" s="2" t="inlineStr"/>
    </row>
    <row r="8742" ht="15" customHeight="1">
      <c r="A8742" t="inlineStr">
        <is>
          <t>A 12823-2022</t>
        </is>
      </c>
      <c r="B8742" s="1" t="n">
        <v>44642.42333333333</v>
      </c>
      <c r="C8742" s="1" t="n">
        <v>45952</v>
      </c>
      <c r="D8742" t="inlineStr">
        <is>
          <t>VÄSTRA GÖTALANDS LÄN</t>
        </is>
      </c>
      <c r="E8742" t="inlineStr">
        <is>
          <t>VÄNERSBORG</t>
        </is>
      </c>
      <c r="G8742" t="n">
        <v>1.9</v>
      </c>
      <c r="H8742" t="n">
        <v>0</v>
      </c>
      <c r="I8742" t="n">
        <v>0</v>
      </c>
      <c r="J8742" t="n">
        <v>0</v>
      </c>
      <c r="K8742" t="n">
        <v>0</v>
      </c>
      <c r="L8742" t="n">
        <v>0</v>
      </c>
      <c r="M8742" t="n">
        <v>0</v>
      </c>
      <c r="N8742" t="n">
        <v>0</v>
      </c>
      <c r="O8742" t="n">
        <v>0</v>
      </c>
      <c r="P8742" t="n">
        <v>0</v>
      </c>
      <c r="Q8742" t="n">
        <v>0</v>
      </c>
      <c r="R8742" s="2" t="inlineStr"/>
    </row>
    <row r="8743" ht="15" customHeight="1">
      <c r="A8743" t="inlineStr">
        <is>
          <t>A 58533-2023</t>
        </is>
      </c>
      <c r="B8743" s="1" t="n">
        <v>45251</v>
      </c>
      <c r="C8743" s="1" t="n">
        <v>45952</v>
      </c>
      <c r="D8743" t="inlineStr">
        <is>
          <t>VÄSTRA GÖTALANDS LÄN</t>
        </is>
      </c>
      <c r="E8743" t="inlineStr">
        <is>
          <t>KARLSBORG</t>
        </is>
      </c>
      <c r="G8743" t="n">
        <v>2.3</v>
      </c>
      <c r="H8743" t="n">
        <v>0</v>
      </c>
      <c r="I8743" t="n">
        <v>0</v>
      </c>
      <c r="J8743" t="n">
        <v>0</v>
      </c>
      <c r="K8743" t="n">
        <v>0</v>
      </c>
      <c r="L8743" t="n">
        <v>0</v>
      </c>
      <c r="M8743" t="n">
        <v>0</v>
      </c>
      <c r="N8743" t="n">
        <v>0</v>
      </c>
      <c r="O8743" t="n">
        <v>0</v>
      </c>
      <c r="P8743" t="n">
        <v>0</v>
      </c>
      <c r="Q8743" t="n">
        <v>0</v>
      </c>
      <c r="R8743" s="2" t="inlineStr"/>
    </row>
    <row r="8744" ht="15" customHeight="1">
      <c r="A8744" t="inlineStr">
        <is>
          <t>A 8819-2025</t>
        </is>
      </c>
      <c r="B8744" s="1" t="n">
        <v>45712.75179398148</v>
      </c>
      <c r="C8744" s="1" t="n">
        <v>45952</v>
      </c>
      <c r="D8744" t="inlineStr">
        <is>
          <t>VÄSTRA GÖTALANDS LÄN</t>
        </is>
      </c>
      <c r="E8744" t="inlineStr">
        <is>
          <t>FÄRGELANDA</t>
        </is>
      </c>
      <c r="G8744" t="n">
        <v>8.1</v>
      </c>
      <c r="H8744" t="n">
        <v>0</v>
      </c>
      <c r="I8744" t="n">
        <v>0</v>
      </c>
      <c r="J8744" t="n">
        <v>0</v>
      </c>
      <c r="K8744" t="n">
        <v>0</v>
      </c>
      <c r="L8744" t="n">
        <v>0</v>
      </c>
      <c r="M8744" t="n">
        <v>0</v>
      </c>
      <c r="N8744" t="n">
        <v>0</v>
      </c>
      <c r="O8744" t="n">
        <v>0</v>
      </c>
      <c r="P8744" t="n">
        <v>0</v>
      </c>
      <c r="Q8744" t="n">
        <v>0</v>
      </c>
      <c r="R8744" s="2" t="inlineStr"/>
    </row>
    <row r="8745" ht="15" customHeight="1">
      <c r="A8745" t="inlineStr">
        <is>
          <t>A 7315-2025</t>
        </is>
      </c>
      <c r="B8745" s="1" t="n">
        <v>45702.75126157407</v>
      </c>
      <c r="C8745" s="1" t="n">
        <v>45952</v>
      </c>
      <c r="D8745" t="inlineStr">
        <is>
          <t>VÄSTRA GÖTALANDS LÄN</t>
        </is>
      </c>
      <c r="E8745" t="inlineStr">
        <is>
          <t>ULRICEHAMN</t>
        </is>
      </c>
      <c r="G8745" t="n">
        <v>0.6</v>
      </c>
      <c r="H8745" t="n">
        <v>0</v>
      </c>
      <c r="I8745" t="n">
        <v>0</v>
      </c>
      <c r="J8745" t="n">
        <v>0</v>
      </c>
      <c r="K8745" t="n">
        <v>0</v>
      </c>
      <c r="L8745" t="n">
        <v>0</v>
      </c>
      <c r="M8745" t="n">
        <v>0</v>
      </c>
      <c r="N8745" t="n">
        <v>0</v>
      </c>
      <c r="O8745" t="n">
        <v>0</v>
      </c>
      <c r="P8745" t="n">
        <v>0</v>
      </c>
      <c r="Q8745" t="n">
        <v>0</v>
      </c>
      <c r="R8745" s="2" t="inlineStr"/>
    </row>
    <row r="8746" ht="15" customHeight="1">
      <c r="A8746" t="inlineStr">
        <is>
          <t>A 7329-2025</t>
        </is>
      </c>
      <c r="B8746" s="1" t="n">
        <v>45703.32144675926</v>
      </c>
      <c r="C8746" s="1" t="n">
        <v>45952</v>
      </c>
      <c r="D8746" t="inlineStr">
        <is>
          <t>VÄSTRA GÖTALANDS LÄN</t>
        </is>
      </c>
      <c r="E8746" t="inlineStr">
        <is>
          <t>VÅRGÅRDA</t>
        </is>
      </c>
      <c r="G8746" t="n">
        <v>1.3</v>
      </c>
      <c r="H8746" t="n">
        <v>0</v>
      </c>
      <c r="I8746" t="n">
        <v>0</v>
      </c>
      <c r="J8746" t="n">
        <v>0</v>
      </c>
      <c r="K8746" t="n">
        <v>0</v>
      </c>
      <c r="L8746" t="n">
        <v>0</v>
      </c>
      <c r="M8746" t="n">
        <v>0</v>
      </c>
      <c r="N8746" t="n">
        <v>0</v>
      </c>
      <c r="O8746" t="n">
        <v>0</v>
      </c>
      <c r="P8746" t="n">
        <v>0</v>
      </c>
      <c r="Q8746" t="n">
        <v>0</v>
      </c>
      <c r="R8746" s="2" t="inlineStr"/>
    </row>
    <row r="8747" ht="15" customHeight="1">
      <c r="A8747" t="inlineStr">
        <is>
          <t>A 7387-2025</t>
        </is>
      </c>
      <c r="B8747" s="1" t="n">
        <v>45705.33028935185</v>
      </c>
      <c r="C8747" s="1" t="n">
        <v>45952</v>
      </c>
      <c r="D8747" t="inlineStr">
        <is>
          <t>VÄSTRA GÖTALANDS LÄN</t>
        </is>
      </c>
      <c r="E8747" t="inlineStr">
        <is>
          <t>FÄRGELANDA</t>
        </is>
      </c>
      <c r="G8747" t="n">
        <v>1.5</v>
      </c>
      <c r="H8747" t="n">
        <v>0</v>
      </c>
      <c r="I8747" t="n">
        <v>0</v>
      </c>
      <c r="J8747" t="n">
        <v>0</v>
      </c>
      <c r="K8747" t="n">
        <v>0</v>
      </c>
      <c r="L8747" t="n">
        <v>0</v>
      </c>
      <c r="M8747" t="n">
        <v>0</v>
      </c>
      <c r="N8747" t="n">
        <v>0</v>
      </c>
      <c r="O8747" t="n">
        <v>0</v>
      </c>
      <c r="P8747" t="n">
        <v>0</v>
      </c>
      <c r="Q8747" t="n">
        <v>0</v>
      </c>
      <c r="R8747" s="2" t="inlineStr"/>
    </row>
    <row r="8748" ht="15" customHeight="1">
      <c r="A8748" t="inlineStr">
        <is>
          <t>A 33921-2022</t>
        </is>
      </c>
      <c r="B8748" s="1" t="n">
        <v>44790</v>
      </c>
      <c r="C8748" s="1" t="n">
        <v>45952</v>
      </c>
      <c r="D8748" t="inlineStr">
        <is>
          <t>VÄSTRA GÖTALANDS LÄN</t>
        </is>
      </c>
      <c r="E8748" t="inlineStr">
        <is>
          <t>HERRLJUNGA</t>
        </is>
      </c>
      <c r="G8748" t="n">
        <v>1.7</v>
      </c>
      <c r="H8748" t="n">
        <v>0</v>
      </c>
      <c r="I8748" t="n">
        <v>0</v>
      </c>
      <c r="J8748" t="n">
        <v>0</v>
      </c>
      <c r="K8748" t="n">
        <v>0</v>
      </c>
      <c r="L8748" t="n">
        <v>0</v>
      </c>
      <c r="M8748" t="n">
        <v>0</v>
      </c>
      <c r="N8748" t="n">
        <v>0</v>
      </c>
      <c r="O8748" t="n">
        <v>0</v>
      </c>
      <c r="P8748" t="n">
        <v>0</v>
      </c>
      <c r="Q8748" t="n">
        <v>0</v>
      </c>
      <c r="R8748" s="2" t="inlineStr"/>
    </row>
    <row r="8749" ht="15" customHeight="1">
      <c r="A8749" t="inlineStr">
        <is>
          <t>A 55607-2024</t>
        </is>
      </c>
      <c r="B8749" s="1" t="n">
        <v>45622.57908564815</v>
      </c>
      <c r="C8749" s="1" t="n">
        <v>45952</v>
      </c>
      <c r="D8749" t="inlineStr">
        <is>
          <t>VÄSTRA GÖTALANDS LÄN</t>
        </is>
      </c>
      <c r="E8749" t="inlineStr">
        <is>
          <t>HERRLJUNGA</t>
        </is>
      </c>
      <c r="G8749" t="n">
        <v>1.1</v>
      </c>
      <c r="H8749" t="n">
        <v>0</v>
      </c>
      <c r="I8749" t="n">
        <v>0</v>
      </c>
      <c r="J8749" t="n">
        <v>0</v>
      </c>
      <c r="K8749" t="n">
        <v>0</v>
      </c>
      <c r="L8749" t="n">
        <v>0</v>
      </c>
      <c r="M8749" t="n">
        <v>0</v>
      </c>
      <c r="N8749" t="n">
        <v>0</v>
      </c>
      <c r="O8749" t="n">
        <v>0</v>
      </c>
      <c r="P8749" t="n">
        <v>0</v>
      </c>
      <c r="Q8749" t="n">
        <v>0</v>
      </c>
      <c r="R8749" s="2" t="inlineStr"/>
    </row>
    <row r="8750" ht="15" customHeight="1">
      <c r="A8750" t="inlineStr">
        <is>
          <t>A 44508-2024</t>
        </is>
      </c>
      <c r="B8750" s="1" t="n">
        <v>45574.41392361111</v>
      </c>
      <c r="C8750" s="1" t="n">
        <v>45952</v>
      </c>
      <c r="D8750" t="inlineStr">
        <is>
          <t>VÄSTRA GÖTALANDS LÄN</t>
        </is>
      </c>
      <c r="E8750" t="inlineStr">
        <is>
          <t>MARK</t>
        </is>
      </c>
      <c r="G8750" t="n">
        <v>2.5</v>
      </c>
      <c r="H8750" t="n">
        <v>0</v>
      </c>
      <c r="I8750" t="n">
        <v>0</v>
      </c>
      <c r="J8750" t="n">
        <v>0</v>
      </c>
      <c r="K8750" t="n">
        <v>0</v>
      </c>
      <c r="L8750" t="n">
        <v>0</v>
      </c>
      <c r="M8750" t="n">
        <v>0</v>
      </c>
      <c r="N8750" t="n">
        <v>0</v>
      </c>
      <c r="O8750" t="n">
        <v>0</v>
      </c>
      <c r="P8750" t="n">
        <v>0</v>
      </c>
      <c r="Q8750" t="n">
        <v>0</v>
      </c>
      <c r="R8750" s="2" t="inlineStr"/>
    </row>
    <row r="8751" ht="15" customHeight="1">
      <c r="A8751" t="inlineStr">
        <is>
          <t>A 25762-2023</t>
        </is>
      </c>
      <c r="B8751" s="1" t="n">
        <v>45090.4546412037</v>
      </c>
      <c r="C8751" s="1" t="n">
        <v>45952</v>
      </c>
      <c r="D8751" t="inlineStr">
        <is>
          <t>VÄSTRA GÖTALANDS LÄN</t>
        </is>
      </c>
      <c r="E8751" t="inlineStr">
        <is>
          <t>LIDKÖPING</t>
        </is>
      </c>
      <c r="G8751" t="n">
        <v>0.9</v>
      </c>
      <c r="H8751" t="n">
        <v>0</v>
      </c>
      <c r="I8751" t="n">
        <v>0</v>
      </c>
      <c r="J8751" t="n">
        <v>0</v>
      </c>
      <c r="K8751" t="n">
        <v>0</v>
      </c>
      <c r="L8751" t="n">
        <v>0</v>
      </c>
      <c r="M8751" t="n">
        <v>0</v>
      </c>
      <c r="N8751" t="n">
        <v>0</v>
      </c>
      <c r="O8751" t="n">
        <v>0</v>
      </c>
      <c r="P8751" t="n">
        <v>0</v>
      </c>
      <c r="Q8751" t="n">
        <v>0</v>
      </c>
      <c r="R8751" s="2" t="inlineStr"/>
    </row>
    <row r="8752" ht="15" customHeight="1">
      <c r="A8752" t="inlineStr">
        <is>
          <t>A 25764-2023</t>
        </is>
      </c>
      <c r="B8752" s="1" t="n">
        <v>45090.45520833333</v>
      </c>
      <c r="C8752" s="1" t="n">
        <v>45952</v>
      </c>
      <c r="D8752" t="inlineStr">
        <is>
          <t>VÄSTRA GÖTALANDS LÄN</t>
        </is>
      </c>
      <c r="E8752" t="inlineStr">
        <is>
          <t>VARA</t>
        </is>
      </c>
      <c r="G8752" t="n">
        <v>0.7</v>
      </c>
      <c r="H8752" t="n">
        <v>0</v>
      </c>
      <c r="I8752" t="n">
        <v>0</v>
      </c>
      <c r="J8752" t="n">
        <v>0</v>
      </c>
      <c r="K8752" t="n">
        <v>0</v>
      </c>
      <c r="L8752" t="n">
        <v>0</v>
      </c>
      <c r="M8752" t="n">
        <v>0</v>
      </c>
      <c r="N8752" t="n">
        <v>0</v>
      </c>
      <c r="O8752" t="n">
        <v>0</v>
      </c>
      <c r="P8752" t="n">
        <v>0</v>
      </c>
      <c r="Q8752" t="n">
        <v>0</v>
      </c>
      <c r="R8752" s="2" t="inlineStr"/>
    </row>
    <row r="8753" ht="15" customHeight="1">
      <c r="A8753" t="inlineStr">
        <is>
          <t>A 56316-2024</t>
        </is>
      </c>
      <c r="B8753" s="1" t="n">
        <v>45624.7383912037</v>
      </c>
      <c r="C8753" s="1" t="n">
        <v>45952</v>
      </c>
      <c r="D8753" t="inlineStr">
        <is>
          <t>VÄSTRA GÖTALANDS LÄN</t>
        </is>
      </c>
      <c r="E8753" t="inlineStr">
        <is>
          <t>HERRLJUNGA</t>
        </is>
      </c>
      <c r="G8753" t="n">
        <v>2.5</v>
      </c>
      <c r="H8753" t="n">
        <v>0</v>
      </c>
      <c r="I8753" t="n">
        <v>0</v>
      </c>
      <c r="J8753" t="n">
        <v>0</v>
      </c>
      <c r="K8753" t="n">
        <v>0</v>
      </c>
      <c r="L8753" t="n">
        <v>0</v>
      </c>
      <c r="M8753" t="n">
        <v>0</v>
      </c>
      <c r="N8753" t="n">
        <v>0</v>
      </c>
      <c r="O8753" t="n">
        <v>0</v>
      </c>
      <c r="P8753" t="n">
        <v>0</v>
      </c>
      <c r="Q8753" t="n">
        <v>0</v>
      </c>
      <c r="R8753" s="2" t="inlineStr"/>
    </row>
    <row r="8754" ht="15" customHeight="1">
      <c r="A8754" t="inlineStr">
        <is>
          <t>A 56344-2024</t>
        </is>
      </c>
      <c r="B8754" s="1" t="n">
        <v>45624.84674768519</v>
      </c>
      <c r="C8754" s="1" t="n">
        <v>45952</v>
      </c>
      <c r="D8754" t="inlineStr">
        <is>
          <t>VÄSTRA GÖTALANDS LÄN</t>
        </is>
      </c>
      <c r="E8754" t="inlineStr">
        <is>
          <t>DALS-ED</t>
        </is>
      </c>
      <c r="G8754" t="n">
        <v>1.7</v>
      </c>
      <c r="H8754" t="n">
        <v>0</v>
      </c>
      <c r="I8754" t="n">
        <v>0</v>
      </c>
      <c r="J8754" t="n">
        <v>0</v>
      </c>
      <c r="K8754" t="n">
        <v>0</v>
      </c>
      <c r="L8754" t="n">
        <v>0</v>
      </c>
      <c r="M8754" t="n">
        <v>0</v>
      </c>
      <c r="N8754" t="n">
        <v>0</v>
      </c>
      <c r="O8754" t="n">
        <v>0</v>
      </c>
      <c r="P8754" t="n">
        <v>0</v>
      </c>
      <c r="Q8754" t="n">
        <v>0</v>
      </c>
      <c r="R8754" s="2" t="inlineStr"/>
    </row>
    <row r="8755" ht="15" customHeight="1">
      <c r="A8755" t="inlineStr">
        <is>
          <t>A 42118-2023</t>
        </is>
      </c>
      <c r="B8755" s="1" t="n">
        <v>45174</v>
      </c>
      <c r="C8755" s="1" t="n">
        <v>45952</v>
      </c>
      <c r="D8755" t="inlineStr">
        <is>
          <t>VÄSTRA GÖTALANDS LÄN</t>
        </is>
      </c>
      <c r="E8755" t="inlineStr">
        <is>
          <t>TRANEMO</t>
        </is>
      </c>
      <c r="G8755" t="n">
        <v>1.3</v>
      </c>
      <c r="H8755" t="n">
        <v>0</v>
      </c>
      <c r="I8755" t="n">
        <v>0</v>
      </c>
      <c r="J8755" t="n">
        <v>0</v>
      </c>
      <c r="K8755" t="n">
        <v>0</v>
      </c>
      <c r="L8755" t="n">
        <v>0</v>
      </c>
      <c r="M8755" t="n">
        <v>0</v>
      </c>
      <c r="N8755" t="n">
        <v>0</v>
      </c>
      <c r="O8755" t="n">
        <v>0</v>
      </c>
      <c r="P8755" t="n">
        <v>0</v>
      </c>
      <c r="Q8755" t="n">
        <v>0</v>
      </c>
      <c r="R8755" s="2" t="inlineStr"/>
    </row>
    <row r="8756" ht="15" customHeight="1">
      <c r="A8756" t="inlineStr">
        <is>
          <t>A 58649-2024</t>
        </is>
      </c>
      <c r="B8756" s="1" t="n">
        <v>45635.59540509259</v>
      </c>
      <c r="C8756" s="1" t="n">
        <v>45952</v>
      </c>
      <c r="D8756" t="inlineStr">
        <is>
          <t>VÄSTRA GÖTALANDS LÄN</t>
        </is>
      </c>
      <c r="E8756" t="inlineStr">
        <is>
          <t>TANUM</t>
        </is>
      </c>
      <c r="G8756" t="n">
        <v>3.2</v>
      </c>
      <c r="H8756" t="n">
        <v>0</v>
      </c>
      <c r="I8756" t="n">
        <v>0</v>
      </c>
      <c r="J8756" t="n">
        <v>0</v>
      </c>
      <c r="K8756" t="n">
        <v>0</v>
      </c>
      <c r="L8756" t="n">
        <v>0</v>
      </c>
      <c r="M8756" t="n">
        <v>0</v>
      </c>
      <c r="N8756" t="n">
        <v>0</v>
      </c>
      <c r="O8756" t="n">
        <v>0</v>
      </c>
      <c r="P8756" t="n">
        <v>0</v>
      </c>
      <c r="Q8756" t="n">
        <v>0</v>
      </c>
      <c r="R8756" s="2" t="inlineStr"/>
    </row>
    <row r="8757" ht="15" customHeight="1">
      <c r="A8757" t="inlineStr">
        <is>
          <t>A 45351-2025</t>
        </is>
      </c>
      <c r="B8757" s="1" t="n">
        <v>45922.36165509259</v>
      </c>
      <c r="C8757" s="1" t="n">
        <v>45952</v>
      </c>
      <c r="D8757" t="inlineStr">
        <is>
          <t>VÄSTRA GÖTALANDS LÄN</t>
        </is>
      </c>
      <c r="E8757" t="inlineStr">
        <is>
          <t>MARK</t>
        </is>
      </c>
      <c r="G8757" t="n">
        <v>1.5</v>
      </c>
      <c r="H8757" t="n">
        <v>0</v>
      </c>
      <c r="I8757" t="n">
        <v>0</v>
      </c>
      <c r="J8757" t="n">
        <v>0</v>
      </c>
      <c r="K8757" t="n">
        <v>0</v>
      </c>
      <c r="L8757" t="n">
        <v>0</v>
      </c>
      <c r="M8757" t="n">
        <v>0</v>
      </c>
      <c r="N8757" t="n">
        <v>0</v>
      </c>
      <c r="O8757" t="n">
        <v>0</v>
      </c>
      <c r="P8757" t="n">
        <v>0</v>
      </c>
      <c r="Q8757" t="n">
        <v>0</v>
      </c>
      <c r="R8757" s="2" t="inlineStr"/>
    </row>
    <row r="8758" ht="15" customHeight="1">
      <c r="A8758" t="inlineStr">
        <is>
          <t>A 41411-2022</t>
        </is>
      </c>
      <c r="B8758" s="1" t="n">
        <v>44826.63782407407</v>
      </c>
      <c r="C8758" s="1" t="n">
        <v>45952</v>
      </c>
      <c r="D8758" t="inlineStr">
        <is>
          <t>VÄSTRA GÖTALANDS LÄN</t>
        </is>
      </c>
      <c r="E8758" t="inlineStr">
        <is>
          <t>LILLA EDET</t>
        </is>
      </c>
      <c r="G8758" t="n">
        <v>3.4</v>
      </c>
      <c r="H8758" t="n">
        <v>0</v>
      </c>
      <c r="I8758" t="n">
        <v>0</v>
      </c>
      <c r="J8758" t="n">
        <v>0</v>
      </c>
      <c r="K8758" t="n">
        <v>0</v>
      </c>
      <c r="L8758" t="n">
        <v>0</v>
      </c>
      <c r="M8758" t="n">
        <v>0</v>
      </c>
      <c r="N8758" t="n">
        <v>0</v>
      </c>
      <c r="O8758" t="n">
        <v>0</v>
      </c>
      <c r="P8758" t="n">
        <v>0</v>
      </c>
      <c r="Q8758" t="n">
        <v>0</v>
      </c>
      <c r="R8758" s="2" t="inlineStr"/>
    </row>
    <row r="8759" ht="15" customHeight="1">
      <c r="A8759" t="inlineStr">
        <is>
          <t>A 39607-2025</t>
        </is>
      </c>
      <c r="B8759" s="1" t="n">
        <v>45890.55559027778</v>
      </c>
      <c r="C8759" s="1" t="n">
        <v>45952</v>
      </c>
      <c r="D8759" t="inlineStr">
        <is>
          <t>VÄSTRA GÖTALANDS LÄN</t>
        </is>
      </c>
      <c r="E8759" t="inlineStr">
        <is>
          <t>BENGTSFORS</t>
        </is>
      </c>
      <c r="G8759" t="n">
        <v>0.7</v>
      </c>
      <c r="H8759" t="n">
        <v>0</v>
      </c>
      <c r="I8759" t="n">
        <v>0</v>
      </c>
      <c r="J8759" t="n">
        <v>0</v>
      </c>
      <c r="K8759" t="n">
        <v>0</v>
      </c>
      <c r="L8759" t="n">
        <v>0</v>
      </c>
      <c r="M8759" t="n">
        <v>0</v>
      </c>
      <c r="N8759" t="n">
        <v>0</v>
      </c>
      <c r="O8759" t="n">
        <v>0</v>
      </c>
      <c r="P8759" t="n">
        <v>0</v>
      </c>
      <c r="Q8759" t="n">
        <v>0</v>
      </c>
      <c r="R8759" s="2" t="inlineStr"/>
    </row>
    <row r="8760" ht="15" customHeight="1">
      <c r="A8760" t="inlineStr">
        <is>
          <t>A 39618-2025</t>
        </is>
      </c>
      <c r="B8760" s="1" t="n">
        <v>45890.57114583333</v>
      </c>
      <c r="C8760" s="1" t="n">
        <v>45952</v>
      </c>
      <c r="D8760" t="inlineStr">
        <is>
          <t>VÄSTRA GÖTALANDS LÄN</t>
        </is>
      </c>
      <c r="E8760" t="inlineStr">
        <is>
          <t>MUNKEDAL</t>
        </is>
      </c>
      <c r="G8760" t="n">
        <v>2.4</v>
      </c>
      <c r="H8760" t="n">
        <v>0</v>
      </c>
      <c r="I8760" t="n">
        <v>0</v>
      </c>
      <c r="J8760" t="n">
        <v>0</v>
      </c>
      <c r="K8760" t="n">
        <v>0</v>
      </c>
      <c r="L8760" t="n">
        <v>0</v>
      </c>
      <c r="M8760" t="n">
        <v>0</v>
      </c>
      <c r="N8760" t="n">
        <v>0</v>
      </c>
      <c r="O8760" t="n">
        <v>0</v>
      </c>
      <c r="P8760" t="n">
        <v>0</v>
      </c>
      <c r="Q8760" t="n">
        <v>0</v>
      </c>
      <c r="R8760" s="2" t="inlineStr"/>
    </row>
    <row r="8761" ht="15" customHeight="1">
      <c r="A8761" t="inlineStr">
        <is>
          <t>A 48324-2024</t>
        </is>
      </c>
      <c r="B8761" s="1" t="n">
        <v>45590.50378472222</v>
      </c>
      <c r="C8761" s="1" t="n">
        <v>45952</v>
      </c>
      <c r="D8761" t="inlineStr">
        <is>
          <t>VÄSTRA GÖTALANDS LÄN</t>
        </is>
      </c>
      <c r="E8761" t="inlineStr">
        <is>
          <t>MARIESTAD</t>
        </is>
      </c>
      <c r="G8761" t="n">
        <v>1.8</v>
      </c>
      <c r="H8761" t="n">
        <v>0</v>
      </c>
      <c r="I8761" t="n">
        <v>0</v>
      </c>
      <c r="J8761" t="n">
        <v>0</v>
      </c>
      <c r="K8761" t="n">
        <v>0</v>
      </c>
      <c r="L8761" t="n">
        <v>0</v>
      </c>
      <c r="M8761" t="n">
        <v>0</v>
      </c>
      <c r="N8761" t="n">
        <v>0</v>
      </c>
      <c r="O8761" t="n">
        <v>0</v>
      </c>
      <c r="P8761" t="n">
        <v>0</v>
      </c>
      <c r="Q8761" t="n">
        <v>0</v>
      </c>
      <c r="R8761" s="2" t="inlineStr"/>
    </row>
    <row r="8762" ht="15" customHeight="1">
      <c r="A8762" t="inlineStr">
        <is>
          <t>A 39630-2025</t>
        </is>
      </c>
      <c r="B8762" s="1" t="n">
        <v>45890.58836805556</v>
      </c>
      <c r="C8762" s="1" t="n">
        <v>45952</v>
      </c>
      <c r="D8762" t="inlineStr">
        <is>
          <t>VÄSTRA GÖTALANDS LÄN</t>
        </is>
      </c>
      <c r="E8762" t="inlineStr">
        <is>
          <t>FÄRGELANDA</t>
        </is>
      </c>
      <c r="G8762" t="n">
        <v>4.1</v>
      </c>
      <c r="H8762" t="n">
        <v>0</v>
      </c>
      <c r="I8762" t="n">
        <v>0</v>
      </c>
      <c r="J8762" t="n">
        <v>0</v>
      </c>
      <c r="K8762" t="n">
        <v>0</v>
      </c>
      <c r="L8762" t="n">
        <v>0</v>
      </c>
      <c r="M8762" t="n">
        <v>0</v>
      </c>
      <c r="N8762" t="n">
        <v>0</v>
      </c>
      <c r="O8762" t="n">
        <v>0</v>
      </c>
      <c r="P8762" t="n">
        <v>0</v>
      </c>
      <c r="Q8762" t="n">
        <v>0</v>
      </c>
      <c r="R8762" s="2" t="inlineStr"/>
    </row>
    <row r="8763" ht="15" customHeight="1">
      <c r="A8763" t="inlineStr">
        <is>
          <t>A 18868-2025</t>
        </is>
      </c>
      <c r="B8763" s="1" t="n">
        <v>45764.43010416667</v>
      </c>
      <c r="C8763" s="1" t="n">
        <v>45952</v>
      </c>
      <c r="D8763" t="inlineStr">
        <is>
          <t>VÄSTRA GÖTALANDS LÄN</t>
        </is>
      </c>
      <c r="E8763" t="inlineStr">
        <is>
          <t>KARLSBORG</t>
        </is>
      </c>
      <c r="G8763" t="n">
        <v>2</v>
      </c>
      <c r="H8763" t="n">
        <v>0</v>
      </c>
      <c r="I8763" t="n">
        <v>0</v>
      </c>
      <c r="J8763" t="n">
        <v>0</v>
      </c>
      <c r="K8763" t="n">
        <v>0</v>
      </c>
      <c r="L8763" t="n">
        <v>0</v>
      </c>
      <c r="M8763" t="n">
        <v>0</v>
      </c>
      <c r="N8763" t="n">
        <v>0</v>
      </c>
      <c r="O8763" t="n">
        <v>0</v>
      </c>
      <c r="P8763" t="n">
        <v>0</v>
      </c>
      <c r="Q8763" t="n">
        <v>0</v>
      </c>
      <c r="R8763" s="2" t="inlineStr"/>
    </row>
    <row r="8764" ht="15" customHeight="1">
      <c r="A8764" t="inlineStr">
        <is>
          <t>A 39561-2025</t>
        </is>
      </c>
      <c r="B8764" s="1" t="n">
        <v>45890.47210648148</v>
      </c>
      <c r="C8764" s="1" t="n">
        <v>45952</v>
      </c>
      <c r="D8764" t="inlineStr">
        <is>
          <t>VÄSTRA GÖTALANDS LÄN</t>
        </is>
      </c>
      <c r="E8764" t="inlineStr">
        <is>
          <t>HERRLJUNGA</t>
        </is>
      </c>
      <c r="F8764" t="inlineStr">
        <is>
          <t>Sveaskog</t>
        </is>
      </c>
      <c r="G8764" t="n">
        <v>4.3</v>
      </c>
      <c r="H8764" t="n">
        <v>0</v>
      </c>
      <c r="I8764" t="n">
        <v>0</v>
      </c>
      <c r="J8764" t="n">
        <v>0</v>
      </c>
      <c r="K8764" t="n">
        <v>0</v>
      </c>
      <c r="L8764" t="n">
        <v>0</v>
      </c>
      <c r="M8764" t="n">
        <v>0</v>
      </c>
      <c r="N8764" t="n">
        <v>0</v>
      </c>
      <c r="O8764" t="n">
        <v>0</v>
      </c>
      <c r="P8764" t="n">
        <v>0</v>
      </c>
      <c r="Q8764" t="n">
        <v>0</v>
      </c>
      <c r="R8764" s="2" t="inlineStr"/>
    </row>
    <row r="8765" ht="15" customHeight="1">
      <c r="A8765" t="inlineStr">
        <is>
          <t>A 3251-2022</t>
        </is>
      </c>
      <c r="B8765" s="1" t="n">
        <v>44583.48233796296</v>
      </c>
      <c r="C8765" s="1" t="n">
        <v>45952</v>
      </c>
      <c r="D8765" t="inlineStr">
        <is>
          <t>VÄSTRA GÖTALANDS LÄN</t>
        </is>
      </c>
      <c r="E8765" t="inlineStr">
        <is>
          <t>TRANEMO</t>
        </is>
      </c>
      <c r="G8765" t="n">
        <v>0.9</v>
      </c>
      <c r="H8765" t="n">
        <v>0</v>
      </c>
      <c r="I8765" t="n">
        <v>0</v>
      </c>
      <c r="J8765" t="n">
        <v>0</v>
      </c>
      <c r="K8765" t="n">
        <v>0</v>
      </c>
      <c r="L8765" t="n">
        <v>0</v>
      </c>
      <c r="M8765" t="n">
        <v>0</v>
      </c>
      <c r="N8765" t="n">
        <v>0</v>
      </c>
      <c r="O8765" t="n">
        <v>0</v>
      </c>
      <c r="P8765" t="n">
        <v>0</v>
      </c>
      <c r="Q8765" t="n">
        <v>0</v>
      </c>
      <c r="R8765" s="2" t="inlineStr"/>
    </row>
    <row r="8766" ht="15" customHeight="1">
      <c r="A8766" t="inlineStr">
        <is>
          <t>A 39753-2025</t>
        </is>
      </c>
      <c r="B8766" s="1" t="n">
        <v>45891.41855324074</v>
      </c>
      <c r="C8766" s="1" t="n">
        <v>45952</v>
      </c>
      <c r="D8766" t="inlineStr">
        <is>
          <t>VÄSTRA GÖTALANDS LÄN</t>
        </is>
      </c>
      <c r="E8766" t="inlineStr">
        <is>
          <t>GULLSPÅNG</t>
        </is>
      </c>
      <c r="G8766" t="n">
        <v>0.9</v>
      </c>
      <c r="H8766" t="n">
        <v>0</v>
      </c>
      <c r="I8766" t="n">
        <v>0</v>
      </c>
      <c r="J8766" t="n">
        <v>0</v>
      </c>
      <c r="K8766" t="n">
        <v>0</v>
      </c>
      <c r="L8766" t="n">
        <v>0</v>
      </c>
      <c r="M8766" t="n">
        <v>0</v>
      </c>
      <c r="N8766" t="n">
        <v>0</v>
      </c>
      <c r="O8766" t="n">
        <v>0</v>
      </c>
      <c r="P8766" t="n">
        <v>0</v>
      </c>
      <c r="Q8766" t="n">
        <v>0</v>
      </c>
      <c r="R8766" s="2" t="inlineStr"/>
    </row>
    <row r="8767" ht="15" customHeight="1">
      <c r="A8767" t="inlineStr">
        <is>
          <t>A 12785-2024</t>
        </is>
      </c>
      <c r="B8767" s="1" t="n">
        <v>45384</v>
      </c>
      <c r="C8767" s="1" t="n">
        <v>45952</v>
      </c>
      <c r="D8767" t="inlineStr">
        <is>
          <t>VÄSTRA GÖTALANDS LÄN</t>
        </is>
      </c>
      <c r="E8767" t="inlineStr">
        <is>
          <t>SVENLJUNGA</t>
        </is>
      </c>
      <c r="G8767" t="n">
        <v>6.5</v>
      </c>
      <c r="H8767" t="n">
        <v>0</v>
      </c>
      <c r="I8767" t="n">
        <v>0</v>
      </c>
      <c r="J8767" t="n">
        <v>0</v>
      </c>
      <c r="K8767" t="n">
        <v>0</v>
      </c>
      <c r="L8767" t="n">
        <v>0</v>
      </c>
      <c r="M8767" t="n">
        <v>0</v>
      </c>
      <c r="N8767" t="n">
        <v>0</v>
      </c>
      <c r="O8767" t="n">
        <v>0</v>
      </c>
      <c r="P8767" t="n">
        <v>0</v>
      </c>
      <c r="Q8767" t="n">
        <v>0</v>
      </c>
      <c r="R8767" s="2" t="inlineStr"/>
    </row>
    <row r="8768" ht="15" customHeight="1">
      <c r="A8768" t="inlineStr">
        <is>
          <t>A 88-2025</t>
        </is>
      </c>
      <c r="B8768" s="1" t="n">
        <v>45659.46386574074</v>
      </c>
      <c r="C8768" s="1" t="n">
        <v>45952</v>
      </c>
      <c r="D8768" t="inlineStr">
        <is>
          <t>VÄSTRA GÖTALANDS LÄN</t>
        </is>
      </c>
      <c r="E8768" t="inlineStr">
        <is>
          <t>MÖLNDAL</t>
        </is>
      </c>
      <c r="G8768" t="n">
        <v>1.4</v>
      </c>
      <c r="H8768" t="n">
        <v>0</v>
      </c>
      <c r="I8768" t="n">
        <v>0</v>
      </c>
      <c r="J8768" t="n">
        <v>0</v>
      </c>
      <c r="K8768" t="n">
        <v>0</v>
      </c>
      <c r="L8768" t="n">
        <v>0</v>
      </c>
      <c r="M8768" t="n">
        <v>0</v>
      </c>
      <c r="N8768" t="n">
        <v>0</v>
      </c>
      <c r="O8768" t="n">
        <v>0</v>
      </c>
      <c r="P8768" t="n">
        <v>0</v>
      </c>
      <c r="Q8768" t="n">
        <v>0</v>
      </c>
      <c r="R8768" s="2" t="inlineStr"/>
    </row>
    <row r="8769" ht="15" customHeight="1">
      <c r="A8769" t="inlineStr">
        <is>
          <t>A 22340-2025</t>
        </is>
      </c>
      <c r="B8769" s="1" t="n">
        <v>45786.44733796296</v>
      </c>
      <c r="C8769" s="1" t="n">
        <v>45952</v>
      </c>
      <c r="D8769" t="inlineStr">
        <is>
          <t>VÄSTRA GÖTALANDS LÄN</t>
        </is>
      </c>
      <c r="E8769" t="inlineStr">
        <is>
          <t>ESSUNGA</t>
        </is>
      </c>
      <c r="G8769" t="n">
        <v>2.3</v>
      </c>
      <c r="H8769" t="n">
        <v>0</v>
      </c>
      <c r="I8769" t="n">
        <v>0</v>
      </c>
      <c r="J8769" t="n">
        <v>0</v>
      </c>
      <c r="K8769" t="n">
        <v>0</v>
      </c>
      <c r="L8769" t="n">
        <v>0</v>
      </c>
      <c r="M8769" t="n">
        <v>0</v>
      </c>
      <c r="N8769" t="n">
        <v>0</v>
      </c>
      <c r="O8769" t="n">
        <v>0</v>
      </c>
      <c r="P8769" t="n">
        <v>0</v>
      </c>
      <c r="Q8769" t="n">
        <v>0</v>
      </c>
      <c r="R8769" s="2" t="inlineStr"/>
    </row>
    <row r="8770" ht="15" customHeight="1">
      <c r="A8770" t="inlineStr">
        <is>
          <t>A 11869-2025</t>
        </is>
      </c>
      <c r="B8770" s="1" t="n">
        <v>45728.42609953704</v>
      </c>
      <c r="C8770" s="1" t="n">
        <v>45952</v>
      </c>
      <c r="D8770" t="inlineStr">
        <is>
          <t>VÄSTRA GÖTALANDS LÄN</t>
        </is>
      </c>
      <c r="E8770" t="inlineStr">
        <is>
          <t>FALKÖPING</t>
        </is>
      </c>
      <c r="G8770" t="n">
        <v>3.5</v>
      </c>
      <c r="H8770" t="n">
        <v>0</v>
      </c>
      <c r="I8770" t="n">
        <v>0</v>
      </c>
      <c r="J8770" t="n">
        <v>0</v>
      </c>
      <c r="K8770" t="n">
        <v>0</v>
      </c>
      <c r="L8770" t="n">
        <v>0</v>
      </c>
      <c r="M8770" t="n">
        <v>0</v>
      </c>
      <c r="N8770" t="n">
        <v>0</v>
      </c>
      <c r="O8770" t="n">
        <v>0</v>
      </c>
      <c r="P8770" t="n">
        <v>0</v>
      </c>
      <c r="Q8770" t="n">
        <v>0</v>
      </c>
      <c r="R8770" s="2" t="inlineStr"/>
    </row>
    <row r="8771" ht="15" customHeight="1">
      <c r="A8771" t="inlineStr">
        <is>
          <t>A 43879-2024</t>
        </is>
      </c>
      <c r="B8771" s="1" t="n">
        <v>45572.39009259259</v>
      </c>
      <c r="C8771" s="1" t="n">
        <v>45952</v>
      </c>
      <c r="D8771" t="inlineStr">
        <is>
          <t>VÄSTRA GÖTALANDS LÄN</t>
        </is>
      </c>
      <c r="E8771" t="inlineStr">
        <is>
          <t>SVENLJUNGA</t>
        </is>
      </c>
      <c r="G8771" t="n">
        <v>0.9</v>
      </c>
      <c r="H8771" t="n">
        <v>0</v>
      </c>
      <c r="I8771" t="n">
        <v>0</v>
      </c>
      <c r="J8771" t="n">
        <v>0</v>
      </c>
      <c r="K8771" t="n">
        <v>0</v>
      </c>
      <c r="L8771" t="n">
        <v>0</v>
      </c>
      <c r="M8771" t="n">
        <v>0</v>
      </c>
      <c r="N8771" t="n">
        <v>0</v>
      </c>
      <c r="O8771" t="n">
        <v>0</v>
      </c>
      <c r="P8771" t="n">
        <v>0</v>
      </c>
      <c r="Q8771" t="n">
        <v>0</v>
      </c>
      <c r="R8771" s="2" t="inlineStr"/>
    </row>
    <row r="8772" ht="15" customHeight="1">
      <c r="A8772" t="inlineStr">
        <is>
          <t>A 39929-2025</t>
        </is>
      </c>
      <c r="B8772" s="1" t="n">
        <v>45891.69728009259</v>
      </c>
      <c r="C8772" s="1" t="n">
        <v>45952</v>
      </c>
      <c r="D8772" t="inlineStr">
        <is>
          <t>VÄSTRA GÖTALANDS LÄN</t>
        </is>
      </c>
      <c r="E8772" t="inlineStr">
        <is>
          <t>VÅRGÅRDA</t>
        </is>
      </c>
      <c r="G8772" t="n">
        <v>3.1</v>
      </c>
      <c r="H8772" t="n">
        <v>0</v>
      </c>
      <c r="I8772" t="n">
        <v>0</v>
      </c>
      <c r="J8772" t="n">
        <v>0</v>
      </c>
      <c r="K8772" t="n">
        <v>0</v>
      </c>
      <c r="L8772" t="n">
        <v>0</v>
      </c>
      <c r="M8772" t="n">
        <v>0</v>
      </c>
      <c r="N8772" t="n">
        <v>0</v>
      </c>
      <c r="O8772" t="n">
        <v>0</v>
      </c>
      <c r="P8772" t="n">
        <v>0</v>
      </c>
      <c r="Q8772" t="n">
        <v>0</v>
      </c>
      <c r="R8772" s="2" t="inlineStr"/>
    </row>
    <row r="8773" ht="15" customHeight="1">
      <c r="A8773" t="inlineStr">
        <is>
          <t>A 65143-2023</t>
        </is>
      </c>
      <c r="B8773" s="1" t="n">
        <v>45288</v>
      </c>
      <c r="C8773" s="1" t="n">
        <v>45952</v>
      </c>
      <c r="D8773" t="inlineStr">
        <is>
          <t>VÄSTRA GÖTALANDS LÄN</t>
        </is>
      </c>
      <c r="E8773" t="inlineStr">
        <is>
          <t>BOLLEBYGD</t>
        </is>
      </c>
      <c r="G8773" t="n">
        <v>1.8</v>
      </c>
      <c r="H8773" t="n">
        <v>0</v>
      </c>
      <c r="I8773" t="n">
        <v>0</v>
      </c>
      <c r="J8773" t="n">
        <v>0</v>
      </c>
      <c r="K8773" t="n">
        <v>0</v>
      </c>
      <c r="L8773" t="n">
        <v>0</v>
      </c>
      <c r="M8773" t="n">
        <v>0</v>
      </c>
      <c r="N8773" t="n">
        <v>0</v>
      </c>
      <c r="O8773" t="n">
        <v>0</v>
      </c>
      <c r="P8773" t="n">
        <v>0</v>
      </c>
      <c r="Q8773" t="n">
        <v>0</v>
      </c>
      <c r="R8773" s="2" t="inlineStr"/>
    </row>
    <row r="8774" ht="15" customHeight="1">
      <c r="A8774" t="inlineStr">
        <is>
          <t>A 45539-2025</t>
        </is>
      </c>
      <c r="B8774" s="1" t="n">
        <v>45922.61231481482</v>
      </c>
      <c r="C8774" s="1" t="n">
        <v>45952</v>
      </c>
      <c r="D8774" t="inlineStr">
        <is>
          <t>VÄSTRA GÖTALANDS LÄN</t>
        </is>
      </c>
      <c r="E8774" t="inlineStr">
        <is>
          <t>TRANEMO</t>
        </is>
      </c>
      <c r="G8774" t="n">
        <v>1.7</v>
      </c>
      <c r="H8774" t="n">
        <v>0</v>
      </c>
      <c r="I8774" t="n">
        <v>0</v>
      </c>
      <c r="J8774" t="n">
        <v>0</v>
      </c>
      <c r="K8774" t="n">
        <v>0</v>
      </c>
      <c r="L8774" t="n">
        <v>0</v>
      </c>
      <c r="M8774" t="n">
        <v>0</v>
      </c>
      <c r="N8774" t="n">
        <v>0</v>
      </c>
      <c r="O8774" t="n">
        <v>0</v>
      </c>
      <c r="P8774" t="n">
        <v>0</v>
      </c>
      <c r="Q8774" t="n">
        <v>0</v>
      </c>
      <c r="R8774" s="2" t="inlineStr"/>
    </row>
    <row r="8775" ht="15" customHeight="1">
      <c r="A8775" t="inlineStr">
        <is>
          <t>A 48081-2025</t>
        </is>
      </c>
      <c r="B8775" s="1" t="n">
        <v>45932.77</v>
      </c>
      <c r="C8775" s="1" t="n">
        <v>45952</v>
      </c>
      <c r="D8775" t="inlineStr">
        <is>
          <t>VÄSTRA GÖTALANDS LÄN</t>
        </is>
      </c>
      <c r="E8775" t="inlineStr">
        <is>
          <t>VÅRGÅRDA</t>
        </is>
      </c>
      <c r="G8775" t="n">
        <v>1.7</v>
      </c>
      <c r="H8775" t="n">
        <v>0</v>
      </c>
      <c r="I8775" t="n">
        <v>0</v>
      </c>
      <c r="J8775" t="n">
        <v>0</v>
      </c>
      <c r="K8775" t="n">
        <v>0</v>
      </c>
      <c r="L8775" t="n">
        <v>0</v>
      </c>
      <c r="M8775" t="n">
        <v>0</v>
      </c>
      <c r="N8775" t="n">
        <v>0</v>
      </c>
      <c r="O8775" t="n">
        <v>0</v>
      </c>
      <c r="P8775" t="n">
        <v>0</v>
      </c>
      <c r="Q8775" t="n">
        <v>0</v>
      </c>
      <c r="R8775" s="2" t="inlineStr"/>
    </row>
    <row r="8776" ht="15" customHeight="1">
      <c r="A8776" t="inlineStr">
        <is>
          <t>A 48086-2025</t>
        </is>
      </c>
      <c r="B8776" s="1" t="n">
        <v>45932</v>
      </c>
      <c r="C8776" s="1" t="n">
        <v>45952</v>
      </c>
      <c r="D8776" t="inlineStr">
        <is>
          <t>VÄSTRA GÖTALANDS LÄN</t>
        </is>
      </c>
      <c r="E8776" t="inlineStr">
        <is>
          <t>ÅMÅL</t>
        </is>
      </c>
      <c r="G8776" t="n">
        <v>2.3</v>
      </c>
      <c r="H8776" t="n">
        <v>0</v>
      </c>
      <c r="I8776" t="n">
        <v>0</v>
      </c>
      <c r="J8776" t="n">
        <v>0</v>
      </c>
      <c r="K8776" t="n">
        <v>0</v>
      </c>
      <c r="L8776" t="n">
        <v>0</v>
      </c>
      <c r="M8776" t="n">
        <v>0</v>
      </c>
      <c r="N8776" t="n">
        <v>0</v>
      </c>
      <c r="O8776" t="n">
        <v>0</v>
      </c>
      <c r="P8776" t="n">
        <v>0</v>
      </c>
      <c r="Q8776" t="n">
        <v>0</v>
      </c>
      <c r="R8776" s="2" t="inlineStr"/>
    </row>
    <row r="8777" ht="15" customHeight="1">
      <c r="A8777" t="inlineStr">
        <is>
          <t>A 48088-2025</t>
        </is>
      </c>
      <c r="B8777" s="1" t="n">
        <v>45932.88050925926</v>
      </c>
      <c r="C8777" s="1" t="n">
        <v>45952</v>
      </c>
      <c r="D8777" t="inlineStr">
        <is>
          <t>VÄSTRA GÖTALANDS LÄN</t>
        </is>
      </c>
      <c r="E8777" t="inlineStr">
        <is>
          <t>SKARA</t>
        </is>
      </c>
      <c r="G8777" t="n">
        <v>0.7</v>
      </c>
      <c r="H8777" t="n">
        <v>0</v>
      </c>
      <c r="I8777" t="n">
        <v>0</v>
      </c>
      <c r="J8777" t="n">
        <v>0</v>
      </c>
      <c r="K8777" t="n">
        <v>0</v>
      </c>
      <c r="L8777" t="n">
        <v>0</v>
      </c>
      <c r="M8777" t="n">
        <v>0</v>
      </c>
      <c r="N8777" t="n">
        <v>0</v>
      </c>
      <c r="O8777" t="n">
        <v>0</v>
      </c>
      <c r="P8777" t="n">
        <v>0</v>
      </c>
      <c r="Q8777" t="n">
        <v>0</v>
      </c>
      <c r="R8777" s="2" t="inlineStr"/>
    </row>
    <row r="8778" ht="15" customHeight="1">
      <c r="A8778" t="inlineStr">
        <is>
          <t>A 40709-2023</t>
        </is>
      </c>
      <c r="B8778" s="1" t="n">
        <v>45170.62814814815</v>
      </c>
      <c r="C8778" s="1" t="n">
        <v>45952</v>
      </c>
      <c r="D8778" t="inlineStr">
        <is>
          <t>VÄSTRA GÖTALANDS LÄN</t>
        </is>
      </c>
      <c r="E8778" t="inlineStr">
        <is>
          <t>LERUM</t>
        </is>
      </c>
      <c r="G8778" t="n">
        <v>0.5</v>
      </c>
      <c r="H8778" t="n">
        <v>0</v>
      </c>
      <c r="I8778" t="n">
        <v>0</v>
      </c>
      <c r="J8778" t="n">
        <v>0</v>
      </c>
      <c r="K8778" t="n">
        <v>0</v>
      </c>
      <c r="L8778" t="n">
        <v>0</v>
      </c>
      <c r="M8778" t="n">
        <v>0</v>
      </c>
      <c r="N8778" t="n">
        <v>0</v>
      </c>
      <c r="O8778" t="n">
        <v>0</v>
      </c>
      <c r="P8778" t="n">
        <v>0</v>
      </c>
      <c r="Q8778" t="n">
        <v>0</v>
      </c>
      <c r="R8778" s="2" t="inlineStr"/>
    </row>
    <row r="8779" ht="15" customHeight="1">
      <c r="A8779" t="inlineStr">
        <is>
          <t>A 40712-2023</t>
        </is>
      </c>
      <c r="B8779" s="1" t="n">
        <v>45170</v>
      </c>
      <c r="C8779" s="1" t="n">
        <v>45952</v>
      </c>
      <c r="D8779" t="inlineStr">
        <is>
          <t>VÄSTRA GÖTALANDS LÄN</t>
        </is>
      </c>
      <c r="E8779" t="inlineStr">
        <is>
          <t>TRANEMO</t>
        </is>
      </c>
      <c r="G8779" t="n">
        <v>2.2</v>
      </c>
      <c r="H8779" t="n">
        <v>0</v>
      </c>
      <c r="I8779" t="n">
        <v>0</v>
      </c>
      <c r="J8779" t="n">
        <v>0</v>
      </c>
      <c r="K8779" t="n">
        <v>0</v>
      </c>
      <c r="L8779" t="n">
        <v>0</v>
      </c>
      <c r="M8779" t="n">
        <v>0</v>
      </c>
      <c r="N8779" t="n">
        <v>0</v>
      </c>
      <c r="O8779" t="n">
        <v>0</v>
      </c>
      <c r="P8779" t="n">
        <v>0</v>
      </c>
      <c r="Q8779" t="n">
        <v>0</v>
      </c>
      <c r="R8779" s="2" t="inlineStr"/>
    </row>
    <row r="8780" ht="15" customHeight="1">
      <c r="A8780" t="inlineStr">
        <is>
          <t>A 47934-2025</t>
        </is>
      </c>
      <c r="B8780" s="1" t="n">
        <v>45932.55678240741</v>
      </c>
      <c r="C8780" s="1" t="n">
        <v>45952</v>
      </c>
      <c r="D8780" t="inlineStr">
        <is>
          <t>VÄSTRA GÖTALANDS LÄN</t>
        </is>
      </c>
      <c r="E8780" t="inlineStr">
        <is>
          <t>BOLLEBYGD</t>
        </is>
      </c>
      <c r="G8780" t="n">
        <v>2.4</v>
      </c>
      <c r="H8780" t="n">
        <v>0</v>
      </c>
      <c r="I8780" t="n">
        <v>0</v>
      </c>
      <c r="J8780" t="n">
        <v>0</v>
      </c>
      <c r="K8780" t="n">
        <v>0</v>
      </c>
      <c r="L8780" t="n">
        <v>0</v>
      </c>
      <c r="M8780" t="n">
        <v>0</v>
      </c>
      <c r="N8780" t="n">
        <v>0</v>
      </c>
      <c r="O8780" t="n">
        <v>0</v>
      </c>
      <c r="P8780" t="n">
        <v>0</v>
      </c>
      <c r="Q8780" t="n">
        <v>0</v>
      </c>
      <c r="R8780" s="2" t="inlineStr"/>
    </row>
    <row r="8781" ht="15" customHeight="1">
      <c r="A8781" t="inlineStr">
        <is>
          <t>A 11130-2025</t>
        </is>
      </c>
      <c r="B8781" s="1" t="n">
        <v>45723.64722222222</v>
      </c>
      <c r="C8781" s="1" t="n">
        <v>45952</v>
      </c>
      <c r="D8781" t="inlineStr">
        <is>
          <t>VÄSTRA GÖTALANDS LÄN</t>
        </is>
      </c>
      <c r="E8781" t="inlineStr">
        <is>
          <t>HERRLJUNGA</t>
        </is>
      </c>
      <c r="G8781" t="n">
        <v>0.9</v>
      </c>
      <c r="H8781" t="n">
        <v>0</v>
      </c>
      <c r="I8781" t="n">
        <v>0</v>
      </c>
      <c r="J8781" t="n">
        <v>0</v>
      </c>
      <c r="K8781" t="n">
        <v>0</v>
      </c>
      <c r="L8781" t="n">
        <v>0</v>
      </c>
      <c r="M8781" t="n">
        <v>0</v>
      </c>
      <c r="N8781" t="n">
        <v>0</v>
      </c>
      <c r="O8781" t="n">
        <v>0</v>
      </c>
      <c r="P8781" t="n">
        <v>0</v>
      </c>
      <c r="Q8781" t="n">
        <v>0</v>
      </c>
      <c r="R8781" s="2" t="inlineStr"/>
    </row>
    <row r="8782" ht="15" customHeight="1">
      <c r="A8782" t="inlineStr">
        <is>
          <t>A 11215-2025</t>
        </is>
      </c>
      <c r="B8782" s="1" t="n">
        <v>45726.33481481481</v>
      </c>
      <c r="C8782" s="1" t="n">
        <v>45952</v>
      </c>
      <c r="D8782" t="inlineStr">
        <is>
          <t>VÄSTRA GÖTALANDS LÄN</t>
        </is>
      </c>
      <c r="E8782" t="inlineStr">
        <is>
          <t>SVENLJUNGA</t>
        </is>
      </c>
      <c r="G8782" t="n">
        <v>1.7</v>
      </c>
      <c r="H8782" t="n">
        <v>0</v>
      </c>
      <c r="I8782" t="n">
        <v>0</v>
      </c>
      <c r="J8782" t="n">
        <v>0</v>
      </c>
      <c r="K8782" t="n">
        <v>0</v>
      </c>
      <c r="L8782" t="n">
        <v>0</v>
      </c>
      <c r="M8782" t="n">
        <v>0</v>
      </c>
      <c r="N8782" t="n">
        <v>0</v>
      </c>
      <c r="O8782" t="n">
        <v>0</v>
      </c>
      <c r="P8782" t="n">
        <v>0</v>
      </c>
      <c r="Q8782" t="n">
        <v>0</v>
      </c>
      <c r="R8782" s="2" t="inlineStr"/>
    </row>
    <row r="8783" ht="15" customHeight="1">
      <c r="A8783" t="inlineStr">
        <is>
          <t>A 38376-2024</t>
        </is>
      </c>
      <c r="B8783" s="1" t="n">
        <v>45545</v>
      </c>
      <c r="C8783" s="1" t="n">
        <v>45952</v>
      </c>
      <c r="D8783" t="inlineStr">
        <is>
          <t>VÄSTRA GÖTALANDS LÄN</t>
        </is>
      </c>
      <c r="E8783" t="inlineStr">
        <is>
          <t>MARIESTAD</t>
        </is>
      </c>
      <c r="G8783" t="n">
        <v>2.5</v>
      </c>
      <c r="H8783" t="n">
        <v>0</v>
      </c>
      <c r="I8783" t="n">
        <v>0</v>
      </c>
      <c r="J8783" t="n">
        <v>0</v>
      </c>
      <c r="K8783" t="n">
        <v>0</v>
      </c>
      <c r="L8783" t="n">
        <v>0</v>
      </c>
      <c r="M8783" t="n">
        <v>0</v>
      </c>
      <c r="N8783" t="n">
        <v>0</v>
      </c>
      <c r="O8783" t="n">
        <v>0</v>
      </c>
      <c r="P8783" t="n">
        <v>0</v>
      </c>
      <c r="Q8783" t="n">
        <v>0</v>
      </c>
      <c r="R8783" s="2" t="inlineStr"/>
    </row>
    <row r="8784" ht="15" customHeight="1">
      <c r="A8784" t="inlineStr">
        <is>
          <t>A 12782-2025</t>
        </is>
      </c>
      <c r="B8784" s="1" t="n">
        <v>45733.59701388889</v>
      </c>
      <c r="C8784" s="1" t="n">
        <v>45952</v>
      </c>
      <c r="D8784" t="inlineStr">
        <is>
          <t>VÄSTRA GÖTALANDS LÄN</t>
        </is>
      </c>
      <c r="E8784" t="inlineStr">
        <is>
          <t>LILLA EDET</t>
        </is>
      </c>
      <c r="G8784" t="n">
        <v>0.9</v>
      </c>
      <c r="H8784" t="n">
        <v>0</v>
      </c>
      <c r="I8784" t="n">
        <v>0</v>
      </c>
      <c r="J8784" t="n">
        <v>0</v>
      </c>
      <c r="K8784" t="n">
        <v>0</v>
      </c>
      <c r="L8784" t="n">
        <v>0</v>
      </c>
      <c r="M8784" t="n">
        <v>0</v>
      </c>
      <c r="N8784" t="n">
        <v>0</v>
      </c>
      <c r="O8784" t="n">
        <v>0</v>
      </c>
      <c r="P8784" t="n">
        <v>0</v>
      </c>
      <c r="Q8784" t="n">
        <v>0</v>
      </c>
      <c r="R8784" s="2" t="inlineStr"/>
    </row>
    <row r="8785" ht="15" customHeight="1">
      <c r="A8785" t="inlineStr">
        <is>
          <t>A 8466-2025</t>
        </is>
      </c>
      <c r="B8785" s="1" t="n">
        <v>45709.46944444445</v>
      </c>
      <c r="C8785" s="1" t="n">
        <v>45952</v>
      </c>
      <c r="D8785" t="inlineStr">
        <is>
          <t>VÄSTRA GÖTALANDS LÄN</t>
        </is>
      </c>
      <c r="E8785" t="inlineStr">
        <is>
          <t>MARIESTAD</t>
        </is>
      </c>
      <c r="G8785" t="n">
        <v>2.9</v>
      </c>
      <c r="H8785" t="n">
        <v>0</v>
      </c>
      <c r="I8785" t="n">
        <v>0</v>
      </c>
      <c r="J8785" t="n">
        <v>0</v>
      </c>
      <c r="K8785" t="n">
        <v>0</v>
      </c>
      <c r="L8785" t="n">
        <v>0</v>
      </c>
      <c r="M8785" t="n">
        <v>0</v>
      </c>
      <c r="N8785" t="n">
        <v>0</v>
      </c>
      <c r="O8785" t="n">
        <v>0</v>
      </c>
      <c r="P8785" t="n">
        <v>0</v>
      </c>
      <c r="Q8785" t="n">
        <v>0</v>
      </c>
      <c r="R8785" s="2" t="inlineStr"/>
    </row>
    <row r="8786" ht="15" customHeight="1">
      <c r="A8786" t="inlineStr">
        <is>
          <t>A 9083-2025</t>
        </is>
      </c>
      <c r="B8786" s="1" t="n">
        <v>45713.66717592593</v>
      </c>
      <c r="C8786" s="1" t="n">
        <v>45952</v>
      </c>
      <c r="D8786" t="inlineStr">
        <is>
          <t>VÄSTRA GÖTALANDS LÄN</t>
        </is>
      </c>
      <c r="E8786" t="inlineStr">
        <is>
          <t>LIDKÖPING</t>
        </is>
      </c>
      <c r="G8786" t="n">
        <v>0.6</v>
      </c>
      <c r="H8786" t="n">
        <v>0</v>
      </c>
      <c r="I8786" t="n">
        <v>0</v>
      </c>
      <c r="J8786" t="n">
        <v>0</v>
      </c>
      <c r="K8786" t="n">
        <v>0</v>
      </c>
      <c r="L8786" t="n">
        <v>0</v>
      </c>
      <c r="M8786" t="n">
        <v>0</v>
      </c>
      <c r="N8786" t="n">
        <v>0</v>
      </c>
      <c r="O8786" t="n">
        <v>0</v>
      </c>
      <c r="P8786" t="n">
        <v>0</v>
      </c>
      <c r="Q8786" t="n">
        <v>0</v>
      </c>
      <c r="R8786" s="2" t="inlineStr"/>
    </row>
    <row r="8787" ht="15" customHeight="1">
      <c r="A8787" t="inlineStr">
        <is>
          <t>A 1997-2023</t>
        </is>
      </c>
      <c r="B8787" s="1" t="n">
        <v>44939</v>
      </c>
      <c r="C8787" s="1" t="n">
        <v>45952</v>
      </c>
      <c r="D8787" t="inlineStr">
        <is>
          <t>VÄSTRA GÖTALANDS LÄN</t>
        </is>
      </c>
      <c r="E8787" t="inlineStr">
        <is>
          <t>FÄRGELANDA</t>
        </is>
      </c>
      <c r="G8787" t="n">
        <v>0.7</v>
      </c>
      <c r="H8787" t="n">
        <v>0</v>
      </c>
      <c r="I8787" t="n">
        <v>0</v>
      </c>
      <c r="J8787" t="n">
        <v>0</v>
      </c>
      <c r="K8787" t="n">
        <v>0</v>
      </c>
      <c r="L8787" t="n">
        <v>0</v>
      </c>
      <c r="M8787" t="n">
        <v>0</v>
      </c>
      <c r="N8787" t="n">
        <v>0</v>
      </c>
      <c r="O8787" t="n">
        <v>0</v>
      </c>
      <c r="P8787" t="n">
        <v>0</v>
      </c>
      <c r="Q8787" t="n">
        <v>0</v>
      </c>
      <c r="R8787" s="2" t="inlineStr"/>
    </row>
    <row r="8788" ht="15" customHeight="1">
      <c r="A8788" t="inlineStr">
        <is>
          <t>A 11487-2025</t>
        </is>
      </c>
      <c r="B8788" s="1" t="n">
        <v>45726.70016203704</v>
      </c>
      <c r="C8788" s="1" t="n">
        <v>45952</v>
      </c>
      <c r="D8788" t="inlineStr">
        <is>
          <t>VÄSTRA GÖTALANDS LÄN</t>
        </is>
      </c>
      <c r="E8788" t="inlineStr">
        <is>
          <t>TANUM</t>
        </is>
      </c>
      <c r="G8788" t="n">
        <v>3</v>
      </c>
      <c r="H8788" t="n">
        <v>0</v>
      </c>
      <c r="I8788" t="n">
        <v>0</v>
      </c>
      <c r="J8788" t="n">
        <v>0</v>
      </c>
      <c r="K8788" t="n">
        <v>0</v>
      </c>
      <c r="L8788" t="n">
        <v>0</v>
      </c>
      <c r="M8788" t="n">
        <v>0</v>
      </c>
      <c r="N8788" t="n">
        <v>0</v>
      </c>
      <c r="O8788" t="n">
        <v>0</v>
      </c>
      <c r="P8788" t="n">
        <v>0</v>
      </c>
      <c r="Q8788" t="n">
        <v>0</v>
      </c>
      <c r="R8788" s="2" t="inlineStr"/>
    </row>
    <row r="8789" ht="15" customHeight="1">
      <c r="A8789" t="inlineStr">
        <is>
          <t>A 12011-2025</t>
        </is>
      </c>
      <c r="B8789" s="1" t="n">
        <v>45728.61773148148</v>
      </c>
      <c r="C8789" s="1" t="n">
        <v>45952</v>
      </c>
      <c r="D8789" t="inlineStr">
        <is>
          <t>VÄSTRA GÖTALANDS LÄN</t>
        </is>
      </c>
      <c r="E8789" t="inlineStr">
        <is>
          <t>MARIESTAD</t>
        </is>
      </c>
      <c r="F8789" t="inlineStr">
        <is>
          <t>Sveaskog</t>
        </is>
      </c>
      <c r="G8789" t="n">
        <v>0.9</v>
      </c>
      <c r="H8789" t="n">
        <v>0</v>
      </c>
      <c r="I8789" t="n">
        <v>0</v>
      </c>
      <c r="J8789" t="n">
        <v>0</v>
      </c>
      <c r="K8789" t="n">
        <v>0</v>
      </c>
      <c r="L8789" t="n">
        <v>0</v>
      </c>
      <c r="M8789" t="n">
        <v>0</v>
      </c>
      <c r="N8789" t="n">
        <v>0</v>
      </c>
      <c r="O8789" t="n">
        <v>0</v>
      </c>
      <c r="P8789" t="n">
        <v>0</v>
      </c>
      <c r="Q8789" t="n">
        <v>0</v>
      </c>
      <c r="R8789" s="2" t="inlineStr"/>
    </row>
    <row r="8790" ht="15" customHeight="1">
      <c r="A8790" t="inlineStr">
        <is>
          <t>A 12012-2025</t>
        </is>
      </c>
      <c r="B8790" s="1" t="n">
        <v>45728.61907407407</v>
      </c>
      <c r="C8790" s="1" t="n">
        <v>45952</v>
      </c>
      <c r="D8790" t="inlineStr">
        <is>
          <t>VÄSTRA GÖTALANDS LÄN</t>
        </is>
      </c>
      <c r="E8790" t="inlineStr">
        <is>
          <t>MARIESTAD</t>
        </is>
      </c>
      <c r="F8790" t="inlineStr">
        <is>
          <t>Sveaskog</t>
        </is>
      </c>
      <c r="G8790" t="n">
        <v>8.1</v>
      </c>
      <c r="H8790" t="n">
        <v>0</v>
      </c>
      <c r="I8790" t="n">
        <v>0</v>
      </c>
      <c r="J8790" t="n">
        <v>0</v>
      </c>
      <c r="K8790" t="n">
        <v>0</v>
      </c>
      <c r="L8790" t="n">
        <v>0</v>
      </c>
      <c r="M8790" t="n">
        <v>0</v>
      </c>
      <c r="N8790" t="n">
        <v>0</v>
      </c>
      <c r="O8790" t="n">
        <v>0</v>
      </c>
      <c r="P8790" t="n">
        <v>0</v>
      </c>
      <c r="Q8790" t="n">
        <v>0</v>
      </c>
      <c r="R8790" s="2" t="inlineStr"/>
    </row>
    <row r="8791" ht="15" customHeight="1">
      <c r="A8791" t="inlineStr">
        <is>
          <t>A 7023-2025</t>
        </is>
      </c>
      <c r="B8791" s="1" t="n">
        <v>45701</v>
      </c>
      <c r="C8791" s="1" t="n">
        <v>45952</v>
      </c>
      <c r="D8791" t="inlineStr">
        <is>
          <t>VÄSTRA GÖTALANDS LÄN</t>
        </is>
      </c>
      <c r="E8791" t="inlineStr">
        <is>
          <t>FALKÖPING</t>
        </is>
      </c>
      <c r="G8791" t="n">
        <v>3.1</v>
      </c>
      <c r="H8791" t="n">
        <v>0</v>
      </c>
      <c r="I8791" t="n">
        <v>0</v>
      </c>
      <c r="J8791" t="n">
        <v>0</v>
      </c>
      <c r="K8791" t="n">
        <v>0</v>
      </c>
      <c r="L8791" t="n">
        <v>0</v>
      </c>
      <c r="M8791" t="n">
        <v>0</v>
      </c>
      <c r="N8791" t="n">
        <v>0</v>
      </c>
      <c r="O8791" t="n">
        <v>0</v>
      </c>
      <c r="P8791" t="n">
        <v>0</v>
      </c>
      <c r="Q8791" t="n">
        <v>0</v>
      </c>
      <c r="R8791" s="2" t="inlineStr"/>
    </row>
    <row r="8792" ht="15" customHeight="1">
      <c r="A8792" t="inlineStr">
        <is>
          <t>A 8436-2025</t>
        </is>
      </c>
      <c r="B8792" s="1" t="n">
        <v>45709.43996527778</v>
      </c>
      <c r="C8792" s="1" t="n">
        <v>45952</v>
      </c>
      <c r="D8792" t="inlineStr">
        <is>
          <t>VÄSTRA GÖTALANDS LÄN</t>
        </is>
      </c>
      <c r="E8792" t="inlineStr">
        <is>
          <t>FALKÖPING</t>
        </is>
      </c>
      <c r="G8792" t="n">
        <v>1.1</v>
      </c>
      <c r="H8792" t="n">
        <v>0</v>
      </c>
      <c r="I8792" t="n">
        <v>0</v>
      </c>
      <c r="J8792" t="n">
        <v>0</v>
      </c>
      <c r="K8792" t="n">
        <v>0</v>
      </c>
      <c r="L8792" t="n">
        <v>0</v>
      </c>
      <c r="M8792" t="n">
        <v>0</v>
      </c>
      <c r="N8792" t="n">
        <v>0</v>
      </c>
      <c r="O8792" t="n">
        <v>0</v>
      </c>
      <c r="P8792" t="n">
        <v>0</v>
      </c>
      <c r="Q8792" t="n">
        <v>0</v>
      </c>
      <c r="R8792" s="2" t="inlineStr"/>
    </row>
    <row r="8793" ht="15" customHeight="1">
      <c r="A8793" t="inlineStr">
        <is>
          <t>A 12328-2025</t>
        </is>
      </c>
      <c r="B8793" s="1" t="n">
        <v>45730.31946759259</v>
      </c>
      <c r="C8793" s="1" t="n">
        <v>45952</v>
      </c>
      <c r="D8793" t="inlineStr">
        <is>
          <t>VÄSTRA GÖTALANDS LÄN</t>
        </is>
      </c>
      <c r="E8793" t="inlineStr">
        <is>
          <t>TÖREBODA</t>
        </is>
      </c>
      <c r="G8793" t="n">
        <v>2.9</v>
      </c>
      <c r="H8793" t="n">
        <v>0</v>
      </c>
      <c r="I8793" t="n">
        <v>0</v>
      </c>
      <c r="J8793" t="n">
        <v>0</v>
      </c>
      <c r="K8793" t="n">
        <v>0</v>
      </c>
      <c r="L8793" t="n">
        <v>0</v>
      </c>
      <c r="M8793" t="n">
        <v>0</v>
      </c>
      <c r="N8793" t="n">
        <v>0</v>
      </c>
      <c r="O8793" t="n">
        <v>0</v>
      </c>
      <c r="P8793" t="n">
        <v>0</v>
      </c>
      <c r="Q8793" t="n">
        <v>0</v>
      </c>
      <c r="R8793" s="2" t="inlineStr"/>
    </row>
    <row r="8794" ht="15" customHeight="1">
      <c r="A8794" t="inlineStr">
        <is>
          <t>A 12779-2025</t>
        </is>
      </c>
      <c r="B8794" s="1" t="n">
        <v>45733.59574074074</v>
      </c>
      <c r="C8794" s="1" t="n">
        <v>45952</v>
      </c>
      <c r="D8794" t="inlineStr">
        <is>
          <t>VÄSTRA GÖTALANDS LÄN</t>
        </is>
      </c>
      <c r="E8794" t="inlineStr">
        <is>
          <t>STRÖMSTAD</t>
        </is>
      </c>
      <c r="G8794" t="n">
        <v>10.1</v>
      </c>
      <c r="H8794" t="n">
        <v>0</v>
      </c>
      <c r="I8794" t="n">
        <v>0</v>
      </c>
      <c r="J8794" t="n">
        <v>0</v>
      </c>
      <c r="K8794" t="n">
        <v>0</v>
      </c>
      <c r="L8794" t="n">
        <v>0</v>
      </c>
      <c r="M8794" t="n">
        <v>0</v>
      </c>
      <c r="N8794" t="n">
        <v>0</v>
      </c>
      <c r="O8794" t="n">
        <v>0</v>
      </c>
      <c r="P8794" t="n">
        <v>0</v>
      </c>
      <c r="Q8794" t="n">
        <v>0</v>
      </c>
      <c r="R8794" s="2" t="inlineStr"/>
    </row>
    <row r="8795" ht="15" customHeight="1">
      <c r="A8795" t="inlineStr">
        <is>
          <t>A 12790-2025</t>
        </is>
      </c>
      <c r="B8795" s="1" t="n">
        <v>45733.60599537037</v>
      </c>
      <c r="C8795" s="1" t="n">
        <v>45952</v>
      </c>
      <c r="D8795" t="inlineStr">
        <is>
          <t>VÄSTRA GÖTALANDS LÄN</t>
        </is>
      </c>
      <c r="E8795" t="inlineStr">
        <is>
          <t>LILLA EDET</t>
        </is>
      </c>
      <c r="G8795" t="n">
        <v>2.9</v>
      </c>
      <c r="H8795" t="n">
        <v>0</v>
      </c>
      <c r="I8795" t="n">
        <v>0</v>
      </c>
      <c r="J8795" t="n">
        <v>0</v>
      </c>
      <c r="K8795" t="n">
        <v>0</v>
      </c>
      <c r="L8795" t="n">
        <v>0</v>
      </c>
      <c r="M8795" t="n">
        <v>0</v>
      </c>
      <c r="N8795" t="n">
        <v>0</v>
      </c>
      <c r="O8795" t="n">
        <v>0</v>
      </c>
      <c r="P8795" t="n">
        <v>0</v>
      </c>
      <c r="Q8795" t="n">
        <v>0</v>
      </c>
      <c r="R8795" s="2" t="inlineStr"/>
    </row>
    <row r="8796" ht="15" customHeight="1">
      <c r="A8796" t="inlineStr">
        <is>
          <t>A 10100-2025</t>
        </is>
      </c>
      <c r="B8796" s="1" t="n">
        <v>45719.57890046296</v>
      </c>
      <c r="C8796" s="1" t="n">
        <v>45952</v>
      </c>
      <c r="D8796" t="inlineStr">
        <is>
          <t>VÄSTRA GÖTALANDS LÄN</t>
        </is>
      </c>
      <c r="E8796" t="inlineStr">
        <is>
          <t>MELLERUD</t>
        </is>
      </c>
      <c r="G8796" t="n">
        <v>1.2</v>
      </c>
      <c r="H8796" t="n">
        <v>0</v>
      </c>
      <c r="I8796" t="n">
        <v>0</v>
      </c>
      <c r="J8796" t="n">
        <v>0</v>
      </c>
      <c r="K8796" t="n">
        <v>0</v>
      </c>
      <c r="L8796" t="n">
        <v>0</v>
      </c>
      <c r="M8796" t="n">
        <v>0</v>
      </c>
      <c r="N8796" t="n">
        <v>0</v>
      </c>
      <c r="O8796" t="n">
        <v>0</v>
      </c>
      <c r="P8796" t="n">
        <v>0</v>
      </c>
      <c r="Q8796" t="n">
        <v>0</v>
      </c>
      <c r="R8796" s="2" t="inlineStr"/>
    </row>
    <row r="8797" ht="15" customHeight="1">
      <c r="A8797" t="inlineStr">
        <is>
          <t>A 9080-2025</t>
        </is>
      </c>
      <c r="B8797" s="1" t="n">
        <v>45713.66313657408</v>
      </c>
      <c r="C8797" s="1" t="n">
        <v>45952</v>
      </c>
      <c r="D8797" t="inlineStr">
        <is>
          <t>VÄSTRA GÖTALANDS LÄN</t>
        </is>
      </c>
      <c r="E8797" t="inlineStr">
        <is>
          <t>STENUNGSUND</t>
        </is>
      </c>
      <c r="G8797" t="n">
        <v>1.8</v>
      </c>
      <c r="H8797" t="n">
        <v>0</v>
      </c>
      <c r="I8797" t="n">
        <v>0</v>
      </c>
      <c r="J8797" t="n">
        <v>0</v>
      </c>
      <c r="K8797" t="n">
        <v>0</v>
      </c>
      <c r="L8797" t="n">
        <v>0</v>
      </c>
      <c r="M8797" t="n">
        <v>0</v>
      </c>
      <c r="N8797" t="n">
        <v>0</v>
      </c>
      <c r="O8797" t="n">
        <v>0</v>
      </c>
      <c r="P8797" t="n">
        <v>0</v>
      </c>
      <c r="Q8797" t="n">
        <v>0</v>
      </c>
      <c r="R8797" s="2" t="inlineStr"/>
    </row>
    <row r="8798" ht="15" customHeight="1">
      <c r="A8798" t="inlineStr">
        <is>
          <t>A 9331-2025</t>
        </is>
      </c>
      <c r="B8798" s="1" t="n">
        <v>45714.78236111111</v>
      </c>
      <c r="C8798" s="1" t="n">
        <v>45952</v>
      </c>
      <c r="D8798" t="inlineStr">
        <is>
          <t>VÄSTRA GÖTALANDS LÄN</t>
        </is>
      </c>
      <c r="E8798" t="inlineStr">
        <is>
          <t>BENGTSFORS</t>
        </is>
      </c>
      <c r="G8798" t="n">
        <v>6.6</v>
      </c>
      <c r="H8798" t="n">
        <v>0</v>
      </c>
      <c r="I8798" t="n">
        <v>0</v>
      </c>
      <c r="J8798" t="n">
        <v>0</v>
      </c>
      <c r="K8798" t="n">
        <v>0</v>
      </c>
      <c r="L8798" t="n">
        <v>0</v>
      </c>
      <c r="M8798" t="n">
        <v>0</v>
      </c>
      <c r="N8798" t="n">
        <v>0</v>
      </c>
      <c r="O8798" t="n">
        <v>0</v>
      </c>
      <c r="P8798" t="n">
        <v>0</v>
      </c>
      <c r="Q8798" t="n">
        <v>0</v>
      </c>
      <c r="R8798" s="2" t="inlineStr"/>
    </row>
    <row r="8799" ht="15" customHeight="1">
      <c r="A8799" t="inlineStr">
        <is>
          <t>A 6251-2023</t>
        </is>
      </c>
      <c r="B8799" s="1" t="n">
        <v>44965.32954861111</v>
      </c>
      <c r="C8799" s="1" t="n">
        <v>45952</v>
      </c>
      <c r="D8799" t="inlineStr">
        <is>
          <t>VÄSTRA GÖTALANDS LÄN</t>
        </is>
      </c>
      <c r="E8799" t="inlineStr">
        <is>
          <t>TROLLHÄTTAN</t>
        </is>
      </c>
      <c r="G8799" t="n">
        <v>15.4</v>
      </c>
      <c r="H8799" t="n">
        <v>0</v>
      </c>
      <c r="I8799" t="n">
        <v>0</v>
      </c>
      <c r="J8799" t="n">
        <v>0</v>
      </c>
      <c r="K8799" t="n">
        <v>0</v>
      </c>
      <c r="L8799" t="n">
        <v>0</v>
      </c>
      <c r="M8799" t="n">
        <v>0</v>
      </c>
      <c r="N8799" t="n">
        <v>0</v>
      </c>
      <c r="O8799" t="n">
        <v>0</v>
      </c>
      <c r="P8799" t="n">
        <v>0</v>
      </c>
      <c r="Q8799" t="n">
        <v>0</v>
      </c>
      <c r="R8799" s="2" t="inlineStr"/>
    </row>
    <row r="8800" ht="15" customHeight="1">
      <c r="A8800" t="inlineStr">
        <is>
          <t>A 6252-2023</t>
        </is>
      </c>
      <c r="B8800" s="1" t="n">
        <v>44965.33583333333</v>
      </c>
      <c r="C8800" s="1" t="n">
        <v>45952</v>
      </c>
      <c r="D8800" t="inlineStr">
        <is>
          <t>VÄSTRA GÖTALANDS LÄN</t>
        </is>
      </c>
      <c r="E8800" t="inlineStr">
        <is>
          <t>ULRICEHAMN</t>
        </is>
      </c>
      <c r="G8800" t="n">
        <v>2.9</v>
      </c>
      <c r="H8800" t="n">
        <v>0</v>
      </c>
      <c r="I8800" t="n">
        <v>0</v>
      </c>
      <c r="J8800" t="n">
        <v>0</v>
      </c>
      <c r="K8800" t="n">
        <v>0</v>
      </c>
      <c r="L8800" t="n">
        <v>0</v>
      </c>
      <c r="M8800" t="n">
        <v>0</v>
      </c>
      <c r="N8800" t="n">
        <v>0</v>
      </c>
      <c r="O8800" t="n">
        <v>0</v>
      </c>
      <c r="P8800" t="n">
        <v>0</v>
      </c>
      <c r="Q8800" t="n">
        <v>0</v>
      </c>
      <c r="R8800" s="2" t="inlineStr"/>
    </row>
    <row r="8801" ht="15" customHeight="1">
      <c r="A8801" t="inlineStr">
        <is>
          <t>A 23295-2025</t>
        </is>
      </c>
      <c r="B8801" s="1" t="n">
        <v>45791.59071759259</v>
      </c>
      <c r="C8801" s="1" t="n">
        <v>45952</v>
      </c>
      <c r="D8801" t="inlineStr">
        <is>
          <t>VÄSTRA GÖTALANDS LÄN</t>
        </is>
      </c>
      <c r="E8801" t="inlineStr">
        <is>
          <t>TJÖRN</t>
        </is>
      </c>
      <c r="G8801" t="n">
        <v>2.2</v>
      </c>
      <c r="H8801" t="n">
        <v>0</v>
      </c>
      <c r="I8801" t="n">
        <v>0</v>
      </c>
      <c r="J8801" t="n">
        <v>0</v>
      </c>
      <c r="K8801" t="n">
        <v>0</v>
      </c>
      <c r="L8801" t="n">
        <v>0</v>
      </c>
      <c r="M8801" t="n">
        <v>0</v>
      </c>
      <c r="N8801" t="n">
        <v>0</v>
      </c>
      <c r="O8801" t="n">
        <v>0</v>
      </c>
      <c r="P8801" t="n">
        <v>0</v>
      </c>
      <c r="Q8801" t="n">
        <v>0</v>
      </c>
      <c r="R8801" s="2" t="inlineStr"/>
    </row>
    <row r="8802" ht="15" customHeight="1">
      <c r="A8802" t="inlineStr">
        <is>
          <t>A 23311-2025</t>
        </is>
      </c>
      <c r="B8802" s="1" t="n">
        <v>45791.60857638889</v>
      </c>
      <c r="C8802" s="1" t="n">
        <v>45952</v>
      </c>
      <c r="D8802" t="inlineStr">
        <is>
          <t>VÄSTRA GÖTALANDS LÄN</t>
        </is>
      </c>
      <c r="E8802" t="inlineStr">
        <is>
          <t>BOLLEBYGD</t>
        </is>
      </c>
      <c r="G8802" t="n">
        <v>1</v>
      </c>
      <c r="H8802" t="n">
        <v>0</v>
      </c>
      <c r="I8802" t="n">
        <v>0</v>
      </c>
      <c r="J8802" t="n">
        <v>0</v>
      </c>
      <c r="K8802" t="n">
        <v>0</v>
      </c>
      <c r="L8802" t="n">
        <v>0</v>
      </c>
      <c r="M8802" t="n">
        <v>0</v>
      </c>
      <c r="N8802" t="n">
        <v>0</v>
      </c>
      <c r="O8802" t="n">
        <v>0</v>
      </c>
      <c r="P8802" t="n">
        <v>0</v>
      </c>
      <c r="Q8802" t="n">
        <v>0</v>
      </c>
      <c r="R8802" s="2" t="inlineStr"/>
    </row>
    <row r="8803" ht="15" customHeight="1">
      <c r="A8803" t="inlineStr">
        <is>
          <t>A 6286-2023</t>
        </is>
      </c>
      <c r="B8803" s="1" t="n">
        <v>44965.42309027778</v>
      </c>
      <c r="C8803" s="1" t="n">
        <v>45952</v>
      </c>
      <c r="D8803" t="inlineStr">
        <is>
          <t>VÄSTRA GÖTALANDS LÄN</t>
        </is>
      </c>
      <c r="E8803" t="inlineStr">
        <is>
          <t>TRANEMO</t>
        </is>
      </c>
      <c r="G8803" t="n">
        <v>1.3</v>
      </c>
      <c r="H8803" t="n">
        <v>0</v>
      </c>
      <c r="I8803" t="n">
        <v>0</v>
      </c>
      <c r="J8803" t="n">
        <v>0</v>
      </c>
      <c r="K8803" t="n">
        <v>0</v>
      </c>
      <c r="L8803" t="n">
        <v>0</v>
      </c>
      <c r="M8803" t="n">
        <v>0</v>
      </c>
      <c r="N8803" t="n">
        <v>0</v>
      </c>
      <c r="O8803" t="n">
        <v>0</v>
      </c>
      <c r="P8803" t="n">
        <v>0</v>
      </c>
      <c r="Q8803" t="n">
        <v>0</v>
      </c>
      <c r="R8803" s="2" t="inlineStr"/>
    </row>
    <row r="8804" ht="15" customHeight="1">
      <c r="A8804" t="inlineStr">
        <is>
          <t>A 48262-2025</t>
        </is>
      </c>
      <c r="B8804" s="1" t="n">
        <v>45933.56418981482</v>
      </c>
      <c r="C8804" s="1" t="n">
        <v>45952</v>
      </c>
      <c r="D8804" t="inlineStr">
        <is>
          <t>VÄSTRA GÖTALANDS LÄN</t>
        </is>
      </c>
      <c r="E8804" t="inlineStr">
        <is>
          <t>TRANEMO</t>
        </is>
      </c>
      <c r="G8804" t="n">
        <v>1.8</v>
      </c>
      <c r="H8804" t="n">
        <v>0</v>
      </c>
      <c r="I8804" t="n">
        <v>0</v>
      </c>
      <c r="J8804" t="n">
        <v>0</v>
      </c>
      <c r="K8804" t="n">
        <v>0</v>
      </c>
      <c r="L8804" t="n">
        <v>0</v>
      </c>
      <c r="M8804" t="n">
        <v>0</v>
      </c>
      <c r="N8804" t="n">
        <v>0</v>
      </c>
      <c r="O8804" t="n">
        <v>0</v>
      </c>
      <c r="P8804" t="n">
        <v>0</v>
      </c>
      <c r="Q8804" t="n">
        <v>0</v>
      </c>
      <c r="R8804" s="2" t="inlineStr"/>
    </row>
    <row r="8805" ht="15" customHeight="1">
      <c r="A8805" t="inlineStr">
        <is>
          <t>A 22877-2025</t>
        </is>
      </c>
      <c r="B8805" s="1" t="n">
        <v>45790.37597222222</v>
      </c>
      <c r="C8805" s="1" t="n">
        <v>45952</v>
      </c>
      <c r="D8805" t="inlineStr">
        <is>
          <t>VÄSTRA GÖTALANDS LÄN</t>
        </is>
      </c>
      <c r="E8805" t="inlineStr">
        <is>
          <t>LIDKÖPING</t>
        </is>
      </c>
      <c r="G8805" t="n">
        <v>2.2</v>
      </c>
      <c r="H8805" t="n">
        <v>0</v>
      </c>
      <c r="I8805" t="n">
        <v>0</v>
      </c>
      <c r="J8805" t="n">
        <v>0</v>
      </c>
      <c r="K8805" t="n">
        <v>0</v>
      </c>
      <c r="L8805" t="n">
        <v>0</v>
      </c>
      <c r="M8805" t="n">
        <v>0</v>
      </c>
      <c r="N8805" t="n">
        <v>0</v>
      </c>
      <c r="O8805" t="n">
        <v>0</v>
      </c>
      <c r="P8805" t="n">
        <v>0</v>
      </c>
      <c r="Q8805" t="n">
        <v>0</v>
      </c>
      <c r="R8805" s="2" t="inlineStr"/>
    </row>
    <row r="8806" ht="15" customHeight="1">
      <c r="A8806" t="inlineStr">
        <is>
          <t>A 9756-2025</t>
        </is>
      </c>
      <c r="B8806" s="1" t="n">
        <v>45716.47010416666</v>
      </c>
      <c r="C8806" s="1" t="n">
        <v>45952</v>
      </c>
      <c r="D8806" t="inlineStr">
        <is>
          <t>VÄSTRA GÖTALANDS LÄN</t>
        </is>
      </c>
      <c r="E8806" t="inlineStr">
        <is>
          <t>SKARA</t>
        </is>
      </c>
      <c r="F8806" t="inlineStr">
        <is>
          <t>Sveaskog</t>
        </is>
      </c>
      <c r="G8806" t="n">
        <v>1.6</v>
      </c>
      <c r="H8806" t="n">
        <v>0</v>
      </c>
      <c r="I8806" t="n">
        <v>0</v>
      </c>
      <c r="J8806" t="n">
        <v>0</v>
      </c>
      <c r="K8806" t="n">
        <v>0</v>
      </c>
      <c r="L8806" t="n">
        <v>0</v>
      </c>
      <c r="M8806" t="n">
        <v>0</v>
      </c>
      <c r="N8806" t="n">
        <v>0</v>
      </c>
      <c r="O8806" t="n">
        <v>0</v>
      </c>
      <c r="P8806" t="n">
        <v>0</v>
      </c>
      <c r="Q8806" t="n">
        <v>0</v>
      </c>
      <c r="R8806" s="2" t="inlineStr"/>
    </row>
    <row r="8807" ht="15" customHeight="1">
      <c r="A8807" t="inlineStr">
        <is>
          <t>A 10228-2025</t>
        </is>
      </c>
      <c r="B8807" s="1" t="n">
        <v>45720.32241898148</v>
      </c>
      <c r="C8807" s="1" t="n">
        <v>45952</v>
      </c>
      <c r="D8807" t="inlineStr">
        <is>
          <t>VÄSTRA GÖTALANDS LÄN</t>
        </is>
      </c>
      <c r="E8807" t="inlineStr">
        <is>
          <t>MUNKEDAL</t>
        </is>
      </c>
      <c r="G8807" t="n">
        <v>1.2</v>
      </c>
      <c r="H8807" t="n">
        <v>0</v>
      </c>
      <c r="I8807" t="n">
        <v>0</v>
      </c>
      <c r="J8807" t="n">
        <v>0</v>
      </c>
      <c r="K8807" t="n">
        <v>0</v>
      </c>
      <c r="L8807" t="n">
        <v>0</v>
      </c>
      <c r="M8807" t="n">
        <v>0</v>
      </c>
      <c r="N8807" t="n">
        <v>0</v>
      </c>
      <c r="O8807" t="n">
        <v>0</v>
      </c>
      <c r="P8807" t="n">
        <v>0</v>
      </c>
      <c r="Q8807" t="n">
        <v>0</v>
      </c>
      <c r="R8807" s="2" t="inlineStr"/>
    </row>
    <row r="8808" ht="15" customHeight="1">
      <c r="A8808" t="inlineStr">
        <is>
          <t>A 10359-2025</t>
        </is>
      </c>
      <c r="B8808" s="1" t="n">
        <v>45720.53413194444</v>
      </c>
      <c r="C8808" s="1" t="n">
        <v>45952</v>
      </c>
      <c r="D8808" t="inlineStr">
        <is>
          <t>VÄSTRA GÖTALANDS LÄN</t>
        </is>
      </c>
      <c r="E8808" t="inlineStr">
        <is>
          <t>FALKÖPING</t>
        </is>
      </c>
      <c r="G8808" t="n">
        <v>0.7</v>
      </c>
      <c r="H8808" t="n">
        <v>0</v>
      </c>
      <c r="I8808" t="n">
        <v>0</v>
      </c>
      <c r="J8808" t="n">
        <v>0</v>
      </c>
      <c r="K8808" t="n">
        <v>0</v>
      </c>
      <c r="L8808" t="n">
        <v>0</v>
      </c>
      <c r="M8808" t="n">
        <v>0</v>
      </c>
      <c r="N8808" t="n">
        <v>0</v>
      </c>
      <c r="O8808" t="n">
        <v>0</v>
      </c>
      <c r="P8808" t="n">
        <v>0</v>
      </c>
      <c r="Q8808" t="n">
        <v>0</v>
      </c>
      <c r="R8808" s="2" t="inlineStr"/>
    </row>
    <row r="8809" ht="15" customHeight="1">
      <c r="A8809" t="inlineStr">
        <is>
          <t>A 10388-2025</t>
        </is>
      </c>
      <c r="B8809" s="1" t="n">
        <v>45720.59267361111</v>
      </c>
      <c r="C8809" s="1" t="n">
        <v>45952</v>
      </c>
      <c r="D8809" t="inlineStr">
        <is>
          <t>VÄSTRA GÖTALANDS LÄN</t>
        </is>
      </c>
      <c r="E8809" t="inlineStr">
        <is>
          <t>GULLSPÅNG</t>
        </is>
      </c>
      <c r="G8809" t="n">
        <v>1.8</v>
      </c>
      <c r="H8809" t="n">
        <v>0</v>
      </c>
      <c r="I8809" t="n">
        <v>0</v>
      </c>
      <c r="J8809" t="n">
        <v>0</v>
      </c>
      <c r="K8809" t="n">
        <v>0</v>
      </c>
      <c r="L8809" t="n">
        <v>0</v>
      </c>
      <c r="M8809" t="n">
        <v>0</v>
      </c>
      <c r="N8809" t="n">
        <v>0</v>
      </c>
      <c r="O8809" t="n">
        <v>0</v>
      </c>
      <c r="P8809" t="n">
        <v>0</v>
      </c>
      <c r="Q8809" t="n">
        <v>0</v>
      </c>
      <c r="R8809" s="2" t="inlineStr"/>
    </row>
    <row r="8810" ht="15" customHeight="1">
      <c r="A8810" t="inlineStr">
        <is>
          <t>A 10389-2025</t>
        </is>
      </c>
      <c r="B8810" s="1" t="n">
        <v>45720.59847222222</v>
      </c>
      <c r="C8810" s="1" t="n">
        <v>45952</v>
      </c>
      <c r="D8810" t="inlineStr">
        <is>
          <t>VÄSTRA GÖTALANDS LÄN</t>
        </is>
      </c>
      <c r="E8810" t="inlineStr">
        <is>
          <t>GULLSPÅNG</t>
        </is>
      </c>
      <c r="G8810" t="n">
        <v>0.3</v>
      </c>
      <c r="H8810" t="n">
        <v>0</v>
      </c>
      <c r="I8810" t="n">
        <v>0</v>
      </c>
      <c r="J8810" t="n">
        <v>0</v>
      </c>
      <c r="K8810" t="n">
        <v>0</v>
      </c>
      <c r="L8810" t="n">
        <v>0</v>
      </c>
      <c r="M8810" t="n">
        <v>0</v>
      </c>
      <c r="N8810" t="n">
        <v>0</v>
      </c>
      <c r="O8810" t="n">
        <v>0</v>
      </c>
      <c r="P8810" t="n">
        <v>0</v>
      </c>
      <c r="Q8810" t="n">
        <v>0</v>
      </c>
      <c r="R8810" s="2" t="inlineStr"/>
    </row>
    <row r="8811" ht="15" customHeight="1">
      <c r="A8811" t="inlineStr">
        <is>
          <t>A 10633-2025</t>
        </is>
      </c>
      <c r="B8811" s="1" t="n">
        <v>45721.63809027777</v>
      </c>
      <c r="C8811" s="1" t="n">
        <v>45952</v>
      </c>
      <c r="D8811" t="inlineStr">
        <is>
          <t>VÄSTRA GÖTALANDS LÄN</t>
        </is>
      </c>
      <c r="E8811" t="inlineStr">
        <is>
          <t>MUNKEDAL</t>
        </is>
      </c>
      <c r="G8811" t="n">
        <v>1.7</v>
      </c>
      <c r="H8811" t="n">
        <v>0</v>
      </c>
      <c r="I8811" t="n">
        <v>0</v>
      </c>
      <c r="J8811" t="n">
        <v>0</v>
      </c>
      <c r="K8811" t="n">
        <v>0</v>
      </c>
      <c r="L8811" t="n">
        <v>0</v>
      </c>
      <c r="M8811" t="n">
        <v>0</v>
      </c>
      <c r="N8811" t="n">
        <v>0</v>
      </c>
      <c r="O8811" t="n">
        <v>0</v>
      </c>
      <c r="P8811" t="n">
        <v>0</v>
      </c>
      <c r="Q8811" t="n">
        <v>0</v>
      </c>
      <c r="R8811" s="2" t="inlineStr"/>
    </row>
    <row r="8812" ht="15" customHeight="1">
      <c r="A8812" t="inlineStr">
        <is>
          <t>A 10638-2025</t>
        </is>
      </c>
      <c r="B8812" s="1" t="n">
        <v>45721</v>
      </c>
      <c r="C8812" s="1" t="n">
        <v>45952</v>
      </c>
      <c r="D8812" t="inlineStr">
        <is>
          <t>VÄSTRA GÖTALANDS LÄN</t>
        </is>
      </c>
      <c r="E8812" t="inlineStr">
        <is>
          <t>GULLSPÅNG</t>
        </is>
      </c>
      <c r="G8812" t="n">
        <v>11.8</v>
      </c>
      <c r="H8812" t="n">
        <v>0</v>
      </c>
      <c r="I8812" t="n">
        <v>0</v>
      </c>
      <c r="J8812" t="n">
        <v>0</v>
      </c>
      <c r="K8812" t="n">
        <v>0</v>
      </c>
      <c r="L8812" t="n">
        <v>0</v>
      </c>
      <c r="M8812" t="n">
        <v>0</v>
      </c>
      <c r="N8812" t="n">
        <v>0</v>
      </c>
      <c r="O8812" t="n">
        <v>0</v>
      </c>
      <c r="P8812" t="n">
        <v>0</v>
      </c>
      <c r="Q8812" t="n">
        <v>0</v>
      </c>
      <c r="R8812" s="2" t="inlineStr"/>
    </row>
    <row r="8813" ht="15" customHeight="1">
      <c r="A8813" t="inlineStr">
        <is>
          <t>A 17535-2025</t>
        </is>
      </c>
      <c r="B8813" s="1" t="n">
        <v>45757.59909722222</v>
      </c>
      <c r="C8813" s="1" t="n">
        <v>45952</v>
      </c>
      <c r="D8813" t="inlineStr">
        <is>
          <t>VÄSTRA GÖTALANDS LÄN</t>
        </is>
      </c>
      <c r="E8813" t="inlineStr">
        <is>
          <t>FALKÖPING</t>
        </is>
      </c>
      <c r="G8813" t="n">
        <v>1.7</v>
      </c>
      <c r="H8813" t="n">
        <v>0</v>
      </c>
      <c r="I8813" t="n">
        <v>0</v>
      </c>
      <c r="J8813" t="n">
        <v>0</v>
      </c>
      <c r="K8813" t="n">
        <v>0</v>
      </c>
      <c r="L8813" t="n">
        <v>0</v>
      </c>
      <c r="M8813" t="n">
        <v>0</v>
      </c>
      <c r="N8813" t="n">
        <v>0</v>
      </c>
      <c r="O8813" t="n">
        <v>0</v>
      </c>
      <c r="P8813" t="n">
        <v>0</v>
      </c>
      <c r="Q8813" t="n">
        <v>0</v>
      </c>
      <c r="R8813" s="2" t="inlineStr"/>
    </row>
    <row r="8814" ht="15" customHeight="1">
      <c r="A8814" t="inlineStr">
        <is>
          <t>A 35496-2024</t>
        </is>
      </c>
      <c r="B8814" s="1" t="n">
        <v>45531.51025462963</v>
      </c>
      <c r="C8814" s="1" t="n">
        <v>45952</v>
      </c>
      <c r="D8814" t="inlineStr">
        <is>
          <t>VÄSTRA GÖTALANDS LÄN</t>
        </is>
      </c>
      <c r="E8814" t="inlineStr">
        <is>
          <t>SVENLJUNGA</t>
        </is>
      </c>
      <c r="G8814" t="n">
        <v>0.9</v>
      </c>
      <c r="H8814" t="n">
        <v>0</v>
      </c>
      <c r="I8814" t="n">
        <v>0</v>
      </c>
      <c r="J8814" t="n">
        <v>0</v>
      </c>
      <c r="K8814" t="n">
        <v>0</v>
      </c>
      <c r="L8814" t="n">
        <v>0</v>
      </c>
      <c r="M8814" t="n">
        <v>0</v>
      </c>
      <c r="N8814" t="n">
        <v>0</v>
      </c>
      <c r="O8814" t="n">
        <v>0</v>
      </c>
      <c r="P8814" t="n">
        <v>0</v>
      </c>
      <c r="Q8814" t="n">
        <v>0</v>
      </c>
      <c r="R8814" s="2" t="inlineStr"/>
    </row>
    <row r="8815" ht="15" customHeight="1">
      <c r="A8815" t="inlineStr">
        <is>
          <t>A 2004-2023</t>
        </is>
      </c>
      <c r="B8815" s="1" t="n">
        <v>44939</v>
      </c>
      <c r="C8815" s="1" t="n">
        <v>45952</v>
      </c>
      <c r="D8815" t="inlineStr">
        <is>
          <t>VÄSTRA GÖTALANDS LÄN</t>
        </is>
      </c>
      <c r="E8815" t="inlineStr">
        <is>
          <t>TANUM</t>
        </is>
      </c>
      <c r="G8815" t="n">
        <v>9.9</v>
      </c>
      <c r="H8815" t="n">
        <v>0</v>
      </c>
      <c r="I8815" t="n">
        <v>0</v>
      </c>
      <c r="J8815" t="n">
        <v>0</v>
      </c>
      <c r="K8815" t="n">
        <v>0</v>
      </c>
      <c r="L8815" t="n">
        <v>0</v>
      </c>
      <c r="M8815" t="n">
        <v>0</v>
      </c>
      <c r="N8815" t="n">
        <v>0</v>
      </c>
      <c r="O8815" t="n">
        <v>0</v>
      </c>
      <c r="P8815" t="n">
        <v>0</v>
      </c>
      <c r="Q8815" t="n">
        <v>0</v>
      </c>
      <c r="R8815" s="2" t="inlineStr"/>
    </row>
    <row r="8816" ht="15" customHeight="1">
      <c r="A8816" t="inlineStr">
        <is>
          <t>A 17629-2023</t>
        </is>
      </c>
      <c r="B8816" s="1" t="n">
        <v>45036.66107638889</v>
      </c>
      <c r="C8816" s="1" t="n">
        <v>45952</v>
      </c>
      <c r="D8816" t="inlineStr">
        <is>
          <t>VÄSTRA GÖTALANDS LÄN</t>
        </is>
      </c>
      <c r="E8816" t="inlineStr">
        <is>
          <t>FALKÖPING</t>
        </is>
      </c>
      <c r="G8816" t="n">
        <v>0.9</v>
      </c>
      <c r="H8816" t="n">
        <v>0</v>
      </c>
      <c r="I8816" t="n">
        <v>0</v>
      </c>
      <c r="J8816" t="n">
        <v>0</v>
      </c>
      <c r="K8816" t="n">
        <v>0</v>
      </c>
      <c r="L8816" t="n">
        <v>0</v>
      </c>
      <c r="M8816" t="n">
        <v>0</v>
      </c>
      <c r="N8816" t="n">
        <v>0</v>
      </c>
      <c r="O8816" t="n">
        <v>0</v>
      </c>
      <c r="P8816" t="n">
        <v>0</v>
      </c>
      <c r="Q8816" t="n">
        <v>0</v>
      </c>
      <c r="R8816" s="2" t="inlineStr"/>
    </row>
    <row r="8817" ht="15" customHeight="1">
      <c r="A8817" t="inlineStr">
        <is>
          <t>A 18327-2023</t>
        </is>
      </c>
      <c r="B8817" s="1" t="n">
        <v>45041.628125</v>
      </c>
      <c r="C8817" s="1" t="n">
        <v>45952</v>
      </c>
      <c r="D8817" t="inlineStr">
        <is>
          <t>VÄSTRA GÖTALANDS LÄN</t>
        </is>
      </c>
      <c r="E8817" t="inlineStr">
        <is>
          <t>TANUM</t>
        </is>
      </c>
      <c r="G8817" t="n">
        <v>5.9</v>
      </c>
      <c r="H8817" t="n">
        <v>0</v>
      </c>
      <c r="I8817" t="n">
        <v>0</v>
      </c>
      <c r="J8817" t="n">
        <v>0</v>
      </c>
      <c r="K8817" t="n">
        <v>0</v>
      </c>
      <c r="L8817" t="n">
        <v>0</v>
      </c>
      <c r="M8817" t="n">
        <v>0</v>
      </c>
      <c r="N8817" t="n">
        <v>0</v>
      </c>
      <c r="O8817" t="n">
        <v>0</v>
      </c>
      <c r="P8817" t="n">
        <v>0</v>
      </c>
      <c r="Q8817" t="n">
        <v>0</v>
      </c>
      <c r="R8817" s="2" t="inlineStr"/>
    </row>
    <row r="8818" ht="15" customHeight="1">
      <c r="A8818" t="inlineStr">
        <is>
          <t>A 23349-2025</t>
        </is>
      </c>
      <c r="B8818" s="1" t="n">
        <v>45791.66050925926</v>
      </c>
      <c r="C8818" s="1" t="n">
        <v>45952</v>
      </c>
      <c r="D8818" t="inlineStr">
        <is>
          <t>VÄSTRA GÖTALANDS LÄN</t>
        </is>
      </c>
      <c r="E8818" t="inlineStr">
        <is>
          <t>SVENLJUNGA</t>
        </is>
      </c>
      <c r="G8818" t="n">
        <v>2.1</v>
      </c>
      <c r="H8818" t="n">
        <v>0</v>
      </c>
      <c r="I8818" t="n">
        <v>0</v>
      </c>
      <c r="J8818" t="n">
        <v>0</v>
      </c>
      <c r="K8818" t="n">
        <v>0</v>
      </c>
      <c r="L8818" t="n">
        <v>0</v>
      </c>
      <c r="M8818" t="n">
        <v>0</v>
      </c>
      <c r="N8818" t="n">
        <v>0</v>
      </c>
      <c r="O8818" t="n">
        <v>0</v>
      </c>
      <c r="P8818" t="n">
        <v>0</v>
      </c>
      <c r="Q8818" t="n">
        <v>0</v>
      </c>
      <c r="R8818" s="2" t="inlineStr"/>
    </row>
    <row r="8819" ht="15" customHeight="1">
      <c r="A8819" t="inlineStr">
        <is>
          <t>A 23195-2025</t>
        </is>
      </c>
      <c r="B8819" s="1" t="n">
        <v>45791.45641203703</v>
      </c>
      <c r="C8819" s="1" t="n">
        <v>45952</v>
      </c>
      <c r="D8819" t="inlineStr">
        <is>
          <t>VÄSTRA GÖTALANDS LÄN</t>
        </is>
      </c>
      <c r="E8819" t="inlineStr">
        <is>
          <t>BENGTSFORS</t>
        </is>
      </c>
      <c r="G8819" t="n">
        <v>0.7</v>
      </c>
      <c r="H8819" t="n">
        <v>0</v>
      </c>
      <c r="I8819" t="n">
        <v>0</v>
      </c>
      <c r="J8819" t="n">
        <v>0</v>
      </c>
      <c r="K8819" t="n">
        <v>0</v>
      </c>
      <c r="L8819" t="n">
        <v>0</v>
      </c>
      <c r="M8819" t="n">
        <v>0</v>
      </c>
      <c r="N8819" t="n">
        <v>0</v>
      </c>
      <c r="O8819" t="n">
        <v>0</v>
      </c>
      <c r="P8819" t="n">
        <v>0</v>
      </c>
      <c r="Q8819" t="n">
        <v>0</v>
      </c>
      <c r="R8819" s="2" t="inlineStr"/>
    </row>
    <row r="8820" ht="15" customHeight="1">
      <c r="A8820" t="inlineStr">
        <is>
          <t>A 28413-2023</t>
        </is>
      </c>
      <c r="B8820" s="1" t="n">
        <v>45101.80099537037</v>
      </c>
      <c r="C8820" s="1" t="n">
        <v>45952</v>
      </c>
      <c r="D8820" t="inlineStr">
        <is>
          <t>VÄSTRA GÖTALANDS LÄN</t>
        </is>
      </c>
      <c r="E8820" t="inlineStr">
        <is>
          <t>HERRLJUNGA</t>
        </is>
      </c>
      <c r="G8820" t="n">
        <v>5.9</v>
      </c>
      <c r="H8820" t="n">
        <v>0</v>
      </c>
      <c r="I8820" t="n">
        <v>0</v>
      </c>
      <c r="J8820" t="n">
        <v>0</v>
      </c>
      <c r="K8820" t="n">
        <v>0</v>
      </c>
      <c r="L8820" t="n">
        <v>0</v>
      </c>
      <c r="M8820" t="n">
        <v>0</v>
      </c>
      <c r="N8820" t="n">
        <v>0</v>
      </c>
      <c r="O8820" t="n">
        <v>0</v>
      </c>
      <c r="P8820" t="n">
        <v>0</v>
      </c>
      <c r="Q8820" t="n">
        <v>0</v>
      </c>
      <c r="R8820" s="2" t="inlineStr"/>
    </row>
    <row r="8821" ht="15" customHeight="1">
      <c r="A8821" t="inlineStr">
        <is>
          <t>A 28463-2023</t>
        </is>
      </c>
      <c r="B8821" s="1" t="n">
        <v>45103</v>
      </c>
      <c r="C8821" s="1" t="n">
        <v>45952</v>
      </c>
      <c r="D8821" t="inlineStr">
        <is>
          <t>VÄSTRA GÖTALANDS LÄN</t>
        </is>
      </c>
      <c r="E8821" t="inlineStr">
        <is>
          <t>FALKÖPING</t>
        </is>
      </c>
      <c r="G8821" t="n">
        <v>8.4</v>
      </c>
      <c r="H8821" t="n">
        <v>0</v>
      </c>
      <c r="I8821" t="n">
        <v>0</v>
      </c>
      <c r="J8821" t="n">
        <v>0</v>
      </c>
      <c r="K8821" t="n">
        <v>0</v>
      </c>
      <c r="L8821" t="n">
        <v>0</v>
      </c>
      <c r="M8821" t="n">
        <v>0</v>
      </c>
      <c r="N8821" t="n">
        <v>0</v>
      </c>
      <c r="O8821" t="n">
        <v>0</v>
      </c>
      <c r="P8821" t="n">
        <v>0</v>
      </c>
      <c r="Q8821" t="n">
        <v>0</v>
      </c>
      <c r="R8821" s="2" t="inlineStr"/>
    </row>
    <row r="8822" ht="15" customHeight="1">
      <c r="A8822" t="inlineStr">
        <is>
          <t>A 73811-2021</t>
        </is>
      </c>
      <c r="B8822" s="1" t="n">
        <v>44552.73288194444</v>
      </c>
      <c r="C8822" s="1" t="n">
        <v>45952</v>
      </c>
      <c r="D8822" t="inlineStr">
        <is>
          <t>VÄSTRA GÖTALANDS LÄN</t>
        </is>
      </c>
      <c r="E8822" t="inlineStr">
        <is>
          <t>TRANEMO</t>
        </is>
      </c>
      <c r="G8822" t="n">
        <v>1</v>
      </c>
      <c r="H8822" t="n">
        <v>0</v>
      </c>
      <c r="I8822" t="n">
        <v>0</v>
      </c>
      <c r="J8822" t="n">
        <v>0</v>
      </c>
      <c r="K8822" t="n">
        <v>0</v>
      </c>
      <c r="L8822" t="n">
        <v>0</v>
      </c>
      <c r="M8822" t="n">
        <v>0</v>
      </c>
      <c r="N8822" t="n">
        <v>0</v>
      </c>
      <c r="O8822" t="n">
        <v>0</v>
      </c>
      <c r="P8822" t="n">
        <v>0</v>
      </c>
      <c r="Q8822" t="n">
        <v>0</v>
      </c>
      <c r="R8822" s="2" t="inlineStr"/>
    </row>
    <row r="8823" ht="15" customHeight="1">
      <c r="A8823" t="inlineStr">
        <is>
          <t>A 23226-2025</t>
        </is>
      </c>
      <c r="B8823" s="1" t="n">
        <v>45791.48756944444</v>
      </c>
      <c r="C8823" s="1" t="n">
        <v>45952</v>
      </c>
      <c r="D8823" t="inlineStr">
        <is>
          <t>VÄSTRA GÖTALANDS LÄN</t>
        </is>
      </c>
      <c r="E8823" t="inlineStr">
        <is>
          <t>ÅMÅL</t>
        </is>
      </c>
      <c r="G8823" t="n">
        <v>1</v>
      </c>
      <c r="H8823" t="n">
        <v>0</v>
      </c>
      <c r="I8823" t="n">
        <v>0</v>
      </c>
      <c r="J8823" t="n">
        <v>0</v>
      </c>
      <c r="K8823" t="n">
        <v>0</v>
      </c>
      <c r="L8823" t="n">
        <v>0</v>
      </c>
      <c r="M8823" t="n">
        <v>0</v>
      </c>
      <c r="N8823" t="n">
        <v>0</v>
      </c>
      <c r="O8823" t="n">
        <v>0</v>
      </c>
      <c r="P8823" t="n">
        <v>0</v>
      </c>
      <c r="Q8823" t="n">
        <v>0</v>
      </c>
      <c r="R8823" s="2" t="inlineStr"/>
    </row>
    <row r="8824" ht="15" customHeight="1">
      <c r="A8824" t="inlineStr">
        <is>
          <t>A 53805-2024</t>
        </is>
      </c>
      <c r="B8824" s="1" t="n">
        <v>45615</v>
      </c>
      <c r="C8824" s="1" t="n">
        <v>45952</v>
      </c>
      <c r="D8824" t="inlineStr">
        <is>
          <t>VÄSTRA GÖTALANDS LÄN</t>
        </is>
      </c>
      <c r="E8824" t="inlineStr">
        <is>
          <t>LIDKÖPING</t>
        </is>
      </c>
      <c r="G8824" t="n">
        <v>1.1</v>
      </c>
      <c r="H8824" t="n">
        <v>0</v>
      </c>
      <c r="I8824" t="n">
        <v>0</v>
      </c>
      <c r="J8824" t="n">
        <v>0</v>
      </c>
      <c r="K8824" t="n">
        <v>0</v>
      </c>
      <c r="L8824" t="n">
        <v>0</v>
      </c>
      <c r="M8824" t="n">
        <v>0</v>
      </c>
      <c r="N8824" t="n">
        <v>0</v>
      </c>
      <c r="O8824" t="n">
        <v>0</v>
      </c>
      <c r="P8824" t="n">
        <v>0</v>
      </c>
      <c r="Q8824" t="n">
        <v>0</v>
      </c>
      <c r="R8824" s="2" t="inlineStr"/>
    </row>
    <row r="8825" ht="15" customHeight="1">
      <c r="A8825" t="inlineStr">
        <is>
          <t>A 48294-2025</t>
        </is>
      </c>
      <c r="B8825" s="1" t="n">
        <v>45933.6030787037</v>
      </c>
      <c r="C8825" s="1" t="n">
        <v>45952</v>
      </c>
      <c r="D8825" t="inlineStr">
        <is>
          <t>VÄSTRA GÖTALANDS LÄN</t>
        </is>
      </c>
      <c r="E8825" t="inlineStr">
        <is>
          <t>ULRICEHAMN</t>
        </is>
      </c>
      <c r="G8825" t="n">
        <v>1.8</v>
      </c>
      <c r="H8825" t="n">
        <v>0</v>
      </c>
      <c r="I8825" t="n">
        <v>0</v>
      </c>
      <c r="J8825" t="n">
        <v>0</v>
      </c>
      <c r="K8825" t="n">
        <v>0</v>
      </c>
      <c r="L8825" t="n">
        <v>0</v>
      </c>
      <c r="M8825" t="n">
        <v>0</v>
      </c>
      <c r="N8825" t="n">
        <v>0</v>
      </c>
      <c r="O8825" t="n">
        <v>0</v>
      </c>
      <c r="P8825" t="n">
        <v>0</v>
      </c>
      <c r="Q8825" t="n">
        <v>0</v>
      </c>
      <c r="R8825" s="2" t="inlineStr"/>
    </row>
    <row r="8826" ht="15" customHeight="1">
      <c r="A8826" t="inlineStr">
        <is>
          <t>A 15300-2024</t>
        </is>
      </c>
      <c r="B8826" s="1" t="n">
        <v>45400.63381944445</v>
      </c>
      <c r="C8826" s="1" t="n">
        <v>45952</v>
      </c>
      <c r="D8826" t="inlineStr">
        <is>
          <t>VÄSTRA GÖTALANDS LÄN</t>
        </is>
      </c>
      <c r="E8826" t="inlineStr">
        <is>
          <t>MUNKEDAL</t>
        </is>
      </c>
      <c r="G8826" t="n">
        <v>0.8</v>
      </c>
      <c r="H8826" t="n">
        <v>0</v>
      </c>
      <c r="I8826" t="n">
        <v>0</v>
      </c>
      <c r="J8826" t="n">
        <v>0</v>
      </c>
      <c r="K8826" t="n">
        <v>0</v>
      </c>
      <c r="L8826" t="n">
        <v>0</v>
      </c>
      <c r="M8826" t="n">
        <v>0</v>
      </c>
      <c r="N8826" t="n">
        <v>0</v>
      </c>
      <c r="O8826" t="n">
        <v>0</v>
      </c>
      <c r="P8826" t="n">
        <v>0</v>
      </c>
      <c r="Q8826" t="n">
        <v>0</v>
      </c>
      <c r="R8826" s="2" t="inlineStr"/>
    </row>
    <row r="8827" ht="15" customHeight="1">
      <c r="A8827" t="inlineStr">
        <is>
          <t>A 15306-2024</t>
        </is>
      </c>
      <c r="B8827" s="1" t="n">
        <v>45400.64541666667</v>
      </c>
      <c r="C8827" s="1" t="n">
        <v>45952</v>
      </c>
      <c r="D8827" t="inlineStr">
        <is>
          <t>VÄSTRA GÖTALANDS LÄN</t>
        </is>
      </c>
      <c r="E8827" t="inlineStr">
        <is>
          <t>ESSUNGA</t>
        </is>
      </c>
      <c r="G8827" t="n">
        <v>1.3</v>
      </c>
      <c r="H8827" t="n">
        <v>0</v>
      </c>
      <c r="I8827" t="n">
        <v>0</v>
      </c>
      <c r="J8827" t="n">
        <v>0</v>
      </c>
      <c r="K8827" t="n">
        <v>0</v>
      </c>
      <c r="L8827" t="n">
        <v>0</v>
      </c>
      <c r="M8827" t="n">
        <v>0</v>
      </c>
      <c r="N8827" t="n">
        <v>0</v>
      </c>
      <c r="O8827" t="n">
        <v>0</v>
      </c>
      <c r="P8827" t="n">
        <v>0</v>
      </c>
      <c r="Q8827" t="n">
        <v>0</v>
      </c>
      <c r="R8827" s="2" t="inlineStr"/>
    </row>
    <row r="8828" ht="15" customHeight="1">
      <c r="A8828" t="inlineStr">
        <is>
          <t>A 15310-2024</t>
        </is>
      </c>
      <c r="B8828" s="1" t="n">
        <v>45400.65037037037</v>
      </c>
      <c r="C8828" s="1" t="n">
        <v>45952</v>
      </c>
      <c r="D8828" t="inlineStr">
        <is>
          <t>VÄSTRA GÖTALANDS LÄN</t>
        </is>
      </c>
      <c r="E8828" t="inlineStr">
        <is>
          <t>TANUM</t>
        </is>
      </c>
      <c r="G8828" t="n">
        <v>2.3</v>
      </c>
      <c r="H8828" t="n">
        <v>0</v>
      </c>
      <c r="I8828" t="n">
        <v>0</v>
      </c>
      <c r="J8828" t="n">
        <v>0</v>
      </c>
      <c r="K8828" t="n">
        <v>0</v>
      </c>
      <c r="L8828" t="n">
        <v>0</v>
      </c>
      <c r="M8828" t="n">
        <v>0</v>
      </c>
      <c r="N8828" t="n">
        <v>0</v>
      </c>
      <c r="O8828" t="n">
        <v>0</v>
      </c>
      <c r="P8828" t="n">
        <v>0</v>
      </c>
      <c r="Q8828" t="n">
        <v>0</v>
      </c>
      <c r="R8828" s="2" t="inlineStr"/>
    </row>
    <row r="8829" ht="15" customHeight="1">
      <c r="A8829" t="inlineStr">
        <is>
          <t>A 12647-2023</t>
        </is>
      </c>
      <c r="B8829" s="1" t="n">
        <v>45000</v>
      </c>
      <c r="C8829" s="1" t="n">
        <v>45952</v>
      </c>
      <c r="D8829" t="inlineStr">
        <is>
          <t>VÄSTRA GÖTALANDS LÄN</t>
        </is>
      </c>
      <c r="E8829" t="inlineStr">
        <is>
          <t>LILLA EDET</t>
        </is>
      </c>
      <c r="G8829" t="n">
        <v>1</v>
      </c>
      <c r="H8829" t="n">
        <v>0</v>
      </c>
      <c r="I8829" t="n">
        <v>0</v>
      </c>
      <c r="J8829" t="n">
        <v>0</v>
      </c>
      <c r="K8829" t="n">
        <v>0</v>
      </c>
      <c r="L8829" t="n">
        <v>0</v>
      </c>
      <c r="M8829" t="n">
        <v>0</v>
      </c>
      <c r="N8829" t="n">
        <v>0</v>
      </c>
      <c r="O8829" t="n">
        <v>0</v>
      </c>
      <c r="P8829" t="n">
        <v>0</v>
      </c>
      <c r="Q8829" t="n">
        <v>0</v>
      </c>
      <c r="R8829" s="2" t="inlineStr"/>
    </row>
    <row r="8830" ht="15" customHeight="1">
      <c r="A8830" t="inlineStr">
        <is>
          <t>A 23240-2025</t>
        </is>
      </c>
      <c r="B8830" s="1" t="n">
        <v>45791.49888888889</v>
      </c>
      <c r="C8830" s="1" t="n">
        <v>45952</v>
      </c>
      <c r="D8830" t="inlineStr">
        <is>
          <t>VÄSTRA GÖTALANDS LÄN</t>
        </is>
      </c>
      <c r="E8830" t="inlineStr">
        <is>
          <t>ÅMÅL</t>
        </is>
      </c>
      <c r="G8830" t="n">
        <v>1.2</v>
      </c>
      <c r="H8830" t="n">
        <v>0</v>
      </c>
      <c r="I8830" t="n">
        <v>0</v>
      </c>
      <c r="J8830" t="n">
        <v>0</v>
      </c>
      <c r="K8830" t="n">
        <v>0</v>
      </c>
      <c r="L8830" t="n">
        <v>0</v>
      </c>
      <c r="M8830" t="n">
        <v>0</v>
      </c>
      <c r="N8830" t="n">
        <v>0</v>
      </c>
      <c r="O8830" t="n">
        <v>0</v>
      </c>
      <c r="P8830" t="n">
        <v>0</v>
      </c>
      <c r="Q8830" t="n">
        <v>0</v>
      </c>
      <c r="R8830" s="2" t="inlineStr"/>
    </row>
    <row r="8831" ht="15" customHeight="1">
      <c r="A8831" t="inlineStr">
        <is>
          <t>A 23264-2025</t>
        </is>
      </c>
      <c r="B8831" s="1" t="n">
        <v>45791.5541087963</v>
      </c>
      <c r="C8831" s="1" t="n">
        <v>45952</v>
      </c>
      <c r="D8831" t="inlineStr">
        <is>
          <t>VÄSTRA GÖTALANDS LÄN</t>
        </is>
      </c>
      <c r="E8831" t="inlineStr">
        <is>
          <t>ULRICEHAMN</t>
        </is>
      </c>
      <c r="G8831" t="n">
        <v>1.8</v>
      </c>
      <c r="H8831" t="n">
        <v>0</v>
      </c>
      <c r="I8831" t="n">
        <v>0</v>
      </c>
      <c r="J8831" t="n">
        <v>0</v>
      </c>
      <c r="K8831" t="n">
        <v>0</v>
      </c>
      <c r="L8831" t="n">
        <v>0</v>
      </c>
      <c r="M8831" t="n">
        <v>0</v>
      </c>
      <c r="N8831" t="n">
        <v>0</v>
      </c>
      <c r="O8831" t="n">
        <v>0</v>
      </c>
      <c r="P8831" t="n">
        <v>0</v>
      </c>
      <c r="Q8831" t="n">
        <v>0</v>
      </c>
      <c r="R8831" s="2" t="inlineStr"/>
    </row>
    <row r="8832" ht="15" customHeight="1">
      <c r="A8832" t="inlineStr">
        <is>
          <t>A 8544-2023</t>
        </is>
      </c>
      <c r="B8832" s="1" t="n">
        <v>44977</v>
      </c>
      <c r="C8832" s="1" t="n">
        <v>45952</v>
      </c>
      <c r="D8832" t="inlineStr">
        <is>
          <t>VÄSTRA GÖTALANDS LÄN</t>
        </is>
      </c>
      <c r="E8832" t="inlineStr">
        <is>
          <t>STENUNGSUND</t>
        </is>
      </c>
      <c r="G8832" t="n">
        <v>8.199999999999999</v>
      </c>
      <c r="H8832" t="n">
        <v>0</v>
      </c>
      <c r="I8832" t="n">
        <v>0</v>
      </c>
      <c r="J8832" t="n">
        <v>0</v>
      </c>
      <c r="K8832" t="n">
        <v>0</v>
      </c>
      <c r="L8832" t="n">
        <v>0</v>
      </c>
      <c r="M8832" t="n">
        <v>0</v>
      </c>
      <c r="N8832" t="n">
        <v>0</v>
      </c>
      <c r="O8832" t="n">
        <v>0</v>
      </c>
      <c r="P8832" t="n">
        <v>0</v>
      </c>
      <c r="Q8832" t="n">
        <v>0</v>
      </c>
      <c r="R8832" s="2" t="inlineStr"/>
    </row>
    <row r="8833" ht="15" customHeight="1">
      <c r="A8833" t="inlineStr">
        <is>
          <t>A 10059-2025</t>
        </is>
      </c>
      <c r="B8833" s="1" t="n">
        <v>45719.5325</v>
      </c>
      <c r="C8833" s="1" t="n">
        <v>45952</v>
      </c>
      <c r="D8833" t="inlineStr">
        <is>
          <t>VÄSTRA GÖTALANDS LÄN</t>
        </is>
      </c>
      <c r="E8833" t="inlineStr">
        <is>
          <t>TANUM</t>
        </is>
      </c>
      <c r="G8833" t="n">
        <v>1.7</v>
      </c>
      <c r="H8833" t="n">
        <v>0</v>
      </c>
      <c r="I8833" t="n">
        <v>0</v>
      </c>
      <c r="J8833" t="n">
        <v>0</v>
      </c>
      <c r="K8833" t="n">
        <v>0</v>
      </c>
      <c r="L8833" t="n">
        <v>0</v>
      </c>
      <c r="M8833" t="n">
        <v>0</v>
      </c>
      <c r="N8833" t="n">
        <v>0</v>
      </c>
      <c r="O8833" t="n">
        <v>0</v>
      </c>
      <c r="P8833" t="n">
        <v>0</v>
      </c>
      <c r="Q8833" t="n">
        <v>0</v>
      </c>
      <c r="R8833" s="2" t="inlineStr"/>
    </row>
    <row r="8834" ht="15" customHeight="1">
      <c r="A8834" t="inlineStr">
        <is>
          <t>A 13667-2025</t>
        </is>
      </c>
      <c r="B8834" s="1" t="n">
        <v>45736.84825231481</v>
      </c>
      <c r="C8834" s="1" t="n">
        <v>45952</v>
      </c>
      <c r="D8834" t="inlineStr">
        <is>
          <t>VÄSTRA GÖTALANDS LÄN</t>
        </is>
      </c>
      <c r="E8834" t="inlineStr">
        <is>
          <t>DALS-ED</t>
        </is>
      </c>
      <c r="F8834" t="inlineStr">
        <is>
          <t>Övriga Aktiebolag</t>
        </is>
      </c>
      <c r="G8834" t="n">
        <v>1.3</v>
      </c>
      <c r="H8834" t="n">
        <v>0</v>
      </c>
      <c r="I8834" t="n">
        <v>0</v>
      </c>
      <c r="J8834" t="n">
        <v>0</v>
      </c>
      <c r="K8834" t="n">
        <v>0</v>
      </c>
      <c r="L8834" t="n">
        <v>0</v>
      </c>
      <c r="M8834" t="n">
        <v>0</v>
      </c>
      <c r="N8834" t="n">
        <v>0</v>
      </c>
      <c r="O8834" t="n">
        <v>0</v>
      </c>
      <c r="P8834" t="n">
        <v>0</v>
      </c>
      <c r="Q8834" t="n">
        <v>0</v>
      </c>
      <c r="R8834" s="2" t="inlineStr"/>
    </row>
    <row r="8835" ht="15" customHeight="1">
      <c r="A8835" t="inlineStr">
        <is>
          <t>A 13684-2025</t>
        </is>
      </c>
      <c r="B8835" s="1" t="n">
        <v>45737.30388888889</v>
      </c>
      <c r="C8835" s="1" t="n">
        <v>45952</v>
      </c>
      <c r="D8835" t="inlineStr">
        <is>
          <t>VÄSTRA GÖTALANDS LÄN</t>
        </is>
      </c>
      <c r="E8835" t="inlineStr">
        <is>
          <t>DALS-ED</t>
        </is>
      </c>
      <c r="G8835" t="n">
        <v>2.8</v>
      </c>
      <c r="H8835" t="n">
        <v>0</v>
      </c>
      <c r="I8835" t="n">
        <v>0</v>
      </c>
      <c r="J8835" t="n">
        <v>0</v>
      </c>
      <c r="K8835" t="n">
        <v>0</v>
      </c>
      <c r="L8835" t="n">
        <v>0</v>
      </c>
      <c r="M8835" t="n">
        <v>0</v>
      </c>
      <c r="N8835" t="n">
        <v>0</v>
      </c>
      <c r="O8835" t="n">
        <v>0</v>
      </c>
      <c r="P8835" t="n">
        <v>0</v>
      </c>
      <c r="Q8835" t="n">
        <v>0</v>
      </c>
      <c r="R8835" s="2" t="inlineStr"/>
    </row>
    <row r="8836" ht="15" customHeight="1">
      <c r="A8836" t="inlineStr">
        <is>
          <t>A 9625-2025</t>
        </is>
      </c>
      <c r="B8836" s="1" t="n">
        <v>45715</v>
      </c>
      <c r="C8836" s="1" t="n">
        <v>45952</v>
      </c>
      <c r="D8836" t="inlineStr">
        <is>
          <t>VÄSTRA GÖTALANDS LÄN</t>
        </is>
      </c>
      <c r="E8836" t="inlineStr">
        <is>
          <t>UDDEVALLA</t>
        </is>
      </c>
      <c r="G8836" t="n">
        <v>4.9</v>
      </c>
      <c r="H8836" t="n">
        <v>0</v>
      </c>
      <c r="I8836" t="n">
        <v>0</v>
      </c>
      <c r="J8836" t="n">
        <v>0</v>
      </c>
      <c r="K8836" t="n">
        <v>0</v>
      </c>
      <c r="L8836" t="n">
        <v>0</v>
      </c>
      <c r="M8836" t="n">
        <v>0</v>
      </c>
      <c r="N8836" t="n">
        <v>0</v>
      </c>
      <c r="O8836" t="n">
        <v>0</v>
      </c>
      <c r="P8836" t="n">
        <v>0</v>
      </c>
      <c r="Q8836" t="n">
        <v>0</v>
      </c>
      <c r="R8836" s="2" t="inlineStr"/>
    </row>
    <row r="8837" ht="15" customHeight="1">
      <c r="A8837" t="inlineStr">
        <is>
          <t>A 18623-2022</t>
        </is>
      </c>
      <c r="B8837" s="1" t="n">
        <v>44687.44261574074</v>
      </c>
      <c r="C8837" s="1" t="n">
        <v>45952</v>
      </c>
      <c r="D8837" t="inlineStr">
        <is>
          <t>VÄSTRA GÖTALANDS LÄN</t>
        </is>
      </c>
      <c r="E8837" t="inlineStr">
        <is>
          <t>KARLSBORG</t>
        </is>
      </c>
      <c r="G8837" t="n">
        <v>1.8</v>
      </c>
      <c r="H8837" t="n">
        <v>0</v>
      </c>
      <c r="I8837" t="n">
        <v>0</v>
      </c>
      <c r="J8837" t="n">
        <v>0</v>
      </c>
      <c r="K8837" t="n">
        <v>0</v>
      </c>
      <c r="L8837" t="n">
        <v>0</v>
      </c>
      <c r="M8837" t="n">
        <v>0</v>
      </c>
      <c r="N8837" t="n">
        <v>0</v>
      </c>
      <c r="O8837" t="n">
        <v>0</v>
      </c>
      <c r="P8837" t="n">
        <v>0</v>
      </c>
      <c r="Q8837" t="n">
        <v>0</v>
      </c>
      <c r="R8837" s="2" t="inlineStr"/>
    </row>
    <row r="8838" ht="15" customHeight="1">
      <c r="A8838" t="inlineStr">
        <is>
          <t>A 8667-2025</t>
        </is>
      </c>
      <c r="B8838" s="1" t="n">
        <v>45712.41157407407</v>
      </c>
      <c r="C8838" s="1" t="n">
        <v>45952</v>
      </c>
      <c r="D8838" t="inlineStr">
        <is>
          <t>VÄSTRA GÖTALANDS LÄN</t>
        </is>
      </c>
      <c r="E8838" t="inlineStr">
        <is>
          <t>MELLERUD</t>
        </is>
      </c>
      <c r="G8838" t="n">
        <v>3.1</v>
      </c>
      <c r="H8838" t="n">
        <v>0</v>
      </c>
      <c r="I8838" t="n">
        <v>0</v>
      </c>
      <c r="J8838" t="n">
        <v>0</v>
      </c>
      <c r="K8838" t="n">
        <v>0</v>
      </c>
      <c r="L8838" t="n">
        <v>0</v>
      </c>
      <c r="M8838" t="n">
        <v>0</v>
      </c>
      <c r="N8838" t="n">
        <v>0</v>
      </c>
      <c r="O8838" t="n">
        <v>0</v>
      </c>
      <c r="P8838" t="n">
        <v>0</v>
      </c>
      <c r="Q8838" t="n">
        <v>0</v>
      </c>
      <c r="R8838" s="2" t="inlineStr"/>
    </row>
    <row r="8839" ht="15" customHeight="1">
      <c r="A8839" t="inlineStr">
        <is>
          <t>A 8768-2025</t>
        </is>
      </c>
      <c r="B8839" s="1" t="n">
        <v>45712.5903587963</v>
      </c>
      <c r="C8839" s="1" t="n">
        <v>45952</v>
      </c>
      <c r="D8839" t="inlineStr">
        <is>
          <t>VÄSTRA GÖTALANDS LÄN</t>
        </is>
      </c>
      <c r="E8839" t="inlineStr">
        <is>
          <t>LIDKÖPING</t>
        </is>
      </c>
      <c r="G8839" t="n">
        <v>3.5</v>
      </c>
      <c r="H8839" t="n">
        <v>0</v>
      </c>
      <c r="I8839" t="n">
        <v>0</v>
      </c>
      <c r="J8839" t="n">
        <v>0</v>
      </c>
      <c r="K8839" t="n">
        <v>0</v>
      </c>
      <c r="L8839" t="n">
        <v>0</v>
      </c>
      <c r="M8839" t="n">
        <v>0</v>
      </c>
      <c r="N8839" t="n">
        <v>0</v>
      </c>
      <c r="O8839" t="n">
        <v>0</v>
      </c>
      <c r="P8839" t="n">
        <v>0</v>
      </c>
      <c r="Q8839" t="n">
        <v>0</v>
      </c>
      <c r="R8839" s="2" t="inlineStr"/>
    </row>
    <row r="8840" ht="15" customHeight="1">
      <c r="A8840" t="inlineStr">
        <is>
          <t>A 13925-2025</t>
        </is>
      </c>
      <c r="B8840" s="1" t="n">
        <v>45737.66130787037</v>
      </c>
      <c r="C8840" s="1" t="n">
        <v>45952</v>
      </c>
      <c r="D8840" t="inlineStr">
        <is>
          <t>VÄSTRA GÖTALANDS LÄN</t>
        </is>
      </c>
      <c r="E8840" t="inlineStr">
        <is>
          <t>UDDEVALLA</t>
        </is>
      </c>
      <c r="G8840" t="n">
        <v>2.4</v>
      </c>
      <c r="H8840" t="n">
        <v>0</v>
      </c>
      <c r="I8840" t="n">
        <v>0</v>
      </c>
      <c r="J8840" t="n">
        <v>0</v>
      </c>
      <c r="K8840" t="n">
        <v>0</v>
      </c>
      <c r="L8840" t="n">
        <v>0</v>
      </c>
      <c r="M8840" t="n">
        <v>0</v>
      </c>
      <c r="N8840" t="n">
        <v>0</v>
      </c>
      <c r="O8840" t="n">
        <v>0</v>
      </c>
      <c r="P8840" t="n">
        <v>0</v>
      </c>
      <c r="Q8840" t="n">
        <v>0</v>
      </c>
      <c r="R8840" s="2" t="inlineStr"/>
    </row>
    <row r="8841" ht="15" customHeight="1">
      <c r="A8841" t="inlineStr">
        <is>
          <t>A 14048-2025</t>
        </is>
      </c>
      <c r="B8841" s="1" t="n">
        <v>45740.38252314815</v>
      </c>
      <c r="C8841" s="1" t="n">
        <v>45952</v>
      </c>
      <c r="D8841" t="inlineStr">
        <is>
          <t>VÄSTRA GÖTALANDS LÄN</t>
        </is>
      </c>
      <c r="E8841" t="inlineStr">
        <is>
          <t>FALKÖPING</t>
        </is>
      </c>
      <c r="G8841" t="n">
        <v>1.7</v>
      </c>
      <c r="H8841" t="n">
        <v>0</v>
      </c>
      <c r="I8841" t="n">
        <v>0</v>
      </c>
      <c r="J8841" t="n">
        <v>0</v>
      </c>
      <c r="K8841" t="n">
        <v>0</v>
      </c>
      <c r="L8841" t="n">
        <v>0</v>
      </c>
      <c r="M8841" t="n">
        <v>0</v>
      </c>
      <c r="N8841" t="n">
        <v>0</v>
      </c>
      <c r="O8841" t="n">
        <v>0</v>
      </c>
      <c r="P8841" t="n">
        <v>0</v>
      </c>
      <c r="Q8841" t="n">
        <v>0</v>
      </c>
      <c r="R8841" s="2" t="inlineStr"/>
    </row>
    <row r="8842" ht="15" customHeight="1">
      <c r="A8842" t="inlineStr">
        <is>
          <t>A 22959-2025</t>
        </is>
      </c>
      <c r="B8842" s="1" t="n">
        <v>45790</v>
      </c>
      <c r="C8842" s="1" t="n">
        <v>45952</v>
      </c>
      <c r="D8842" t="inlineStr">
        <is>
          <t>VÄSTRA GÖTALANDS LÄN</t>
        </is>
      </c>
      <c r="E8842" t="inlineStr">
        <is>
          <t>ORUST</t>
        </is>
      </c>
      <c r="G8842" t="n">
        <v>0.6</v>
      </c>
      <c r="H8842" t="n">
        <v>0</v>
      </c>
      <c r="I8842" t="n">
        <v>0</v>
      </c>
      <c r="J8842" t="n">
        <v>0</v>
      </c>
      <c r="K8842" t="n">
        <v>0</v>
      </c>
      <c r="L8842" t="n">
        <v>0</v>
      </c>
      <c r="M8842" t="n">
        <v>0</v>
      </c>
      <c r="N8842" t="n">
        <v>0</v>
      </c>
      <c r="O8842" t="n">
        <v>0</v>
      </c>
      <c r="P8842" t="n">
        <v>0</v>
      </c>
      <c r="Q8842" t="n">
        <v>0</v>
      </c>
      <c r="R8842" s="2" t="inlineStr"/>
    </row>
    <row r="8843" ht="15" customHeight="1">
      <c r="A8843" t="inlineStr">
        <is>
          <t>A 22965-2025</t>
        </is>
      </c>
      <c r="B8843" s="1" t="n">
        <v>45790.54224537037</v>
      </c>
      <c r="C8843" s="1" t="n">
        <v>45952</v>
      </c>
      <c r="D8843" t="inlineStr">
        <is>
          <t>VÄSTRA GÖTALANDS LÄN</t>
        </is>
      </c>
      <c r="E8843" t="inlineStr">
        <is>
          <t>TIDAHOLM</t>
        </is>
      </c>
      <c r="G8843" t="n">
        <v>2.5</v>
      </c>
      <c r="H8843" t="n">
        <v>0</v>
      </c>
      <c r="I8843" t="n">
        <v>0</v>
      </c>
      <c r="J8843" t="n">
        <v>0</v>
      </c>
      <c r="K8843" t="n">
        <v>0</v>
      </c>
      <c r="L8843" t="n">
        <v>0</v>
      </c>
      <c r="M8843" t="n">
        <v>0</v>
      </c>
      <c r="N8843" t="n">
        <v>0</v>
      </c>
      <c r="O8843" t="n">
        <v>0</v>
      </c>
      <c r="P8843" t="n">
        <v>0</v>
      </c>
      <c r="Q8843" t="n">
        <v>0</v>
      </c>
      <c r="R8843" s="2" t="inlineStr"/>
    </row>
    <row r="8844" ht="15" customHeight="1">
      <c r="A8844" t="inlineStr">
        <is>
          <t>A 18736-2023</t>
        </is>
      </c>
      <c r="B8844" s="1" t="n">
        <v>45043</v>
      </c>
      <c r="C8844" s="1" t="n">
        <v>45952</v>
      </c>
      <c r="D8844" t="inlineStr">
        <is>
          <t>VÄSTRA GÖTALANDS LÄN</t>
        </is>
      </c>
      <c r="E8844" t="inlineStr">
        <is>
          <t>SKARA</t>
        </is>
      </c>
      <c r="G8844" t="n">
        <v>5.7</v>
      </c>
      <c r="H8844" t="n">
        <v>0</v>
      </c>
      <c r="I8844" t="n">
        <v>0</v>
      </c>
      <c r="J8844" t="n">
        <v>0</v>
      </c>
      <c r="K8844" t="n">
        <v>0</v>
      </c>
      <c r="L8844" t="n">
        <v>0</v>
      </c>
      <c r="M8844" t="n">
        <v>0</v>
      </c>
      <c r="N8844" t="n">
        <v>0</v>
      </c>
      <c r="O8844" t="n">
        <v>0</v>
      </c>
      <c r="P8844" t="n">
        <v>0</v>
      </c>
      <c r="Q8844" t="n">
        <v>0</v>
      </c>
      <c r="R8844" s="2" t="inlineStr"/>
    </row>
    <row r="8845" ht="15" customHeight="1">
      <c r="A8845" t="inlineStr">
        <is>
          <t>A 22922-2025</t>
        </is>
      </c>
      <c r="B8845" s="1" t="n">
        <v>45790.44003472223</v>
      </c>
      <c r="C8845" s="1" t="n">
        <v>45952</v>
      </c>
      <c r="D8845" t="inlineStr">
        <is>
          <t>VÄSTRA GÖTALANDS LÄN</t>
        </is>
      </c>
      <c r="E8845" t="inlineStr">
        <is>
          <t>LIDKÖPING</t>
        </is>
      </c>
      <c r="G8845" t="n">
        <v>0.9</v>
      </c>
      <c r="H8845" t="n">
        <v>0</v>
      </c>
      <c r="I8845" t="n">
        <v>0</v>
      </c>
      <c r="J8845" t="n">
        <v>0</v>
      </c>
      <c r="K8845" t="n">
        <v>0</v>
      </c>
      <c r="L8845" t="n">
        <v>0</v>
      </c>
      <c r="M8845" t="n">
        <v>0</v>
      </c>
      <c r="N8845" t="n">
        <v>0</v>
      </c>
      <c r="O8845" t="n">
        <v>0</v>
      </c>
      <c r="P8845" t="n">
        <v>0</v>
      </c>
      <c r="Q8845" t="n">
        <v>0</v>
      </c>
      <c r="R8845" s="2" t="inlineStr"/>
    </row>
    <row r="8846" ht="15" customHeight="1">
      <c r="A8846" t="inlineStr">
        <is>
          <t>A 1191-2025</t>
        </is>
      </c>
      <c r="B8846" s="1" t="n">
        <v>45666</v>
      </c>
      <c r="C8846" s="1" t="n">
        <v>45952</v>
      </c>
      <c r="D8846" t="inlineStr">
        <is>
          <t>VÄSTRA GÖTALANDS LÄN</t>
        </is>
      </c>
      <c r="E8846" t="inlineStr">
        <is>
          <t>TIBRO</t>
        </is>
      </c>
      <c r="G8846" t="n">
        <v>2.1</v>
      </c>
      <c r="H8846" t="n">
        <v>0</v>
      </c>
      <c r="I8846" t="n">
        <v>0</v>
      </c>
      <c r="J8846" t="n">
        <v>0</v>
      </c>
      <c r="K8846" t="n">
        <v>0</v>
      </c>
      <c r="L8846" t="n">
        <v>0</v>
      </c>
      <c r="M8846" t="n">
        <v>0</v>
      </c>
      <c r="N8846" t="n">
        <v>0</v>
      </c>
      <c r="O8846" t="n">
        <v>0</v>
      </c>
      <c r="P8846" t="n">
        <v>0</v>
      </c>
      <c r="Q8846" t="n">
        <v>0</v>
      </c>
      <c r="R8846" s="2" t="inlineStr"/>
    </row>
    <row r="8847" ht="15" customHeight="1">
      <c r="A8847" t="inlineStr">
        <is>
          <t>A 34501-2023</t>
        </is>
      </c>
      <c r="B8847" s="1" t="n">
        <v>45133</v>
      </c>
      <c r="C8847" s="1" t="n">
        <v>45952</v>
      </c>
      <c r="D8847" t="inlineStr">
        <is>
          <t>VÄSTRA GÖTALANDS LÄN</t>
        </is>
      </c>
      <c r="E8847" t="inlineStr">
        <is>
          <t>FALKÖPING</t>
        </is>
      </c>
      <c r="G8847" t="n">
        <v>2.3</v>
      </c>
      <c r="H8847" t="n">
        <v>0</v>
      </c>
      <c r="I8847" t="n">
        <v>0</v>
      </c>
      <c r="J8847" t="n">
        <v>0</v>
      </c>
      <c r="K8847" t="n">
        <v>0</v>
      </c>
      <c r="L8847" t="n">
        <v>0</v>
      </c>
      <c r="M8847" t="n">
        <v>0</v>
      </c>
      <c r="N8847" t="n">
        <v>0</v>
      </c>
      <c r="O8847" t="n">
        <v>0</v>
      </c>
      <c r="P8847" t="n">
        <v>0</v>
      </c>
      <c r="Q8847" t="n">
        <v>0</v>
      </c>
      <c r="R8847" s="2" t="inlineStr"/>
    </row>
    <row r="8848" ht="15" customHeight="1">
      <c r="A8848" t="inlineStr">
        <is>
          <t>A 48036-2025</t>
        </is>
      </c>
      <c r="B8848" s="1" t="n">
        <v>45932</v>
      </c>
      <c r="C8848" s="1" t="n">
        <v>45952</v>
      </c>
      <c r="D8848" t="inlineStr">
        <is>
          <t>VÄSTRA GÖTALANDS LÄN</t>
        </is>
      </c>
      <c r="E8848" t="inlineStr">
        <is>
          <t>VÄNERSBORG</t>
        </is>
      </c>
      <c r="G8848" t="n">
        <v>1.7</v>
      </c>
      <c r="H8848" t="n">
        <v>0</v>
      </c>
      <c r="I8848" t="n">
        <v>0</v>
      </c>
      <c r="J8848" t="n">
        <v>0</v>
      </c>
      <c r="K8848" t="n">
        <v>0</v>
      </c>
      <c r="L8848" t="n">
        <v>0</v>
      </c>
      <c r="M8848" t="n">
        <v>0</v>
      </c>
      <c r="N8848" t="n">
        <v>0</v>
      </c>
      <c r="O8848" t="n">
        <v>0</v>
      </c>
      <c r="P8848" t="n">
        <v>0</v>
      </c>
      <c r="Q8848" t="n">
        <v>0</v>
      </c>
      <c r="R8848" s="2" t="inlineStr"/>
    </row>
    <row r="8849" ht="15" customHeight="1">
      <c r="A8849" t="inlineStr">
        <is>
          <t>A 51367-2024</t>
        </is>
      </c>
      <c r="B8849" s="1" t="n">
        <v>45604.37143518519</v>
      </c>
      <c r="C8849" s="1" t="n">
        <v>45952</v>
      </c>
      <c r="D8849" t="inlineStr">
        <is>
          <t>VÄSTRA GÖTALANDS LÄN</t>
        </is>
      </c>
      <c r="E8849" t="inlineStr">
        <is>
          <t>STENUNGSUND</t>
        </is>
      </c>
      <c r="G8849" t="n">
        <v>3</v>
      </c>
      <c r="H8849" t="n">
        <v>0</v>
      </c>
      <c r="I8849" t="n">
        <v>0</v>
      </c>
      <c r="J8849" t="n">
        <v>0</v>
      </c>
      <c r="K8849" t="n">
        <v>0</v>
      </c>
      <c r="L8849" t="n">
        <v>0</v>
      </c>
      <c r="M8849" t="n">
        <v>0</v>
      </c>
      <c r="N8849" t="n">
        <v>0</v>
      </c>
      <c r="O8849" t="n">
        <v>0</v>
      </c>
      <c r="P8849" t="n">
        <v>0</v>
      </c>
      <c r="Q8849" t="n">
        <v>0</v>
      </c>
      <c r="R8849" s="2" t="inlineStr"/>
    </row>
    <row r="8850" ht="15" customHeight="1">
      <c r="A8850" t="inlineStr">
        <is>
          <t>A 48066-2025</t>
        </is>
      </c>
      <c r="B8850" s="1" t="n">
        <v>45932</v>
      </c>
      <c r="C8850" s="1" t="n">
        <v>45952</v>
      </c>
      <c r="D8850" t="inlineStr">
        <is>
          <t>VÄSTRA GÖTALANDS LÄN</t>
        </is>
      </c>
      <c r="E8850" t="inlineStr">
        <is>
          <t>VARA</t>
        </is>
      </c>
      <c r="G8850" t="n">
        <v>4</v>
      </c>
      <c r="H8850" t="n">
        <v>0</v>
      </c>
      <c r="I8850" t="n">
        <v>0</v>
      </c>
      <c r="J8850" t="n">
        <v>0</v>
      </c>
      <c r="K8850" t="n">
        <v>0</v>
      </c>
      <c r="L8850" t="n">
        <v>0</v>
      </c>
      <c r="M8850" t="n">
        <v>0</v>
      </c>
      <c r="N8850" t="n">
        <v>0</v>
      </c>
      <c r="O8850" t="n">
        <v>0</v>
      </c>
      <c r="P8850" t="n">
        <v>0</v>
      </c>
      <c r="Q8850" t="n">
        <v>0</v>
      </c>
      <c r="R8850" s="2" t="inlineStr"/>
    </row>
    <row r="8851" ht="15" customHeight="1">
      <c r="A8851" t="inlineStr">
        <is>
          <t>A 48085-2025</t>
        </is>
      </c>
      <c r="B8851" s="1" t="n">
        <v>45932</v>
      </c>
      <c r="C8851" s="1" t="n">
        <v>45952</v>
      </c>
      <c r="D8851" t="inlineStr">
        <is>
          <t>VÄSTRA GÖTALANDS LÄN</t>
        </is>
      </c>
      <c r="E8851" t="inlineStr">
        <is>
          <t>ÅMÅL</t>
        </is>
      </c>
      <c r="G8851" t="n">
        <v>1.6</v>
      </c>
      <c r="H8851" t="n">
        <v>0</v>
      </c>
      <c r="I8851" t="n">
        <v>0</v>
      </c>
      <c r="J8851" t="n">
        <v>0</v>
      </c>
      <c r="K8851" t="n">
        <v>0</v>
      </c>
      <c r="L8851" t="n">
        <v>0</v>
      </c>
      <c r="M8851" t="n">
        <v>0</v>
      </c>
      <c r="N8851" t="n">
        <v>0</v>
      </c>
      <c r="O8851" t="n">
        <v>0</v>
      </c>
      <c r="P8851" t="n">
        <v>0</v>
      </c>
      <c r="Q8851" t="n">
        <v>0</v>
      </c>
      <c r="R8851" s="2" t="inlineStr"/>
    </row>
    <row r="8852" ht="15" customHeight="1">
      <c r="A8852" t="inlineStr">
        <is>
          <t>A 48104-2025</t>
        </is>
      </c>
      <c r="B8852" s="1" t="n">
        <v>45933.3422337963</v>
      </c>
      <c r="C8852" s="1" t="n">
        <v>45952</v>
      </c>
      <c r="D8852" t="inlineStr">
        <is>
          <t>VÄSTRA GÖTALANDS LÄN</t>
        </is>
      </c>
      <c r="E8852" t="inlineStr">
        <is>
          <t>VÅRGÅRDA</t>
        </is>
      </c>
      <c r="G8852" t="n">
        <v>1.8</v>
      </c>
      <c r="H8852" t="n">
        <v>0</v>
      </c>
      <c r="I8852" t="n">
        <v>0</v>
      </c>
      <c r="J8852" t="n">
        <v>0</v>
      </c>
      <c r="K8852" t="n">
        <v>0</v>
      </c>
      <c r="L8852" t="n">
        <v>0</v>
      </c>
      <c r="M8852" t="n">
        <v>0</v>
      </c>
      <c r="N8852" t="n">
        <v>0</v>
      </c>
      <c r="O8852" t="n">
        <v>0</v>
      </c>
      <c r="P8852" t="n">
        <v>0</v>
      </c>
      <c r="Q8852" t="n">
        <v>0</v>
      </c>
      <c r="R8852" s="2" t="inlineStr"/>
    </row>
    <row r="8853" ht="15" customHeight="1">
      <c r="A8853" t="inlineStr">
        <is>
          <t>A 35361-2024</t>
        </is>
      </c>
      <c r="B8853" s="1" t="n">
        <v>45531.33550925926</v>
      </c>
      <c r="C8853" s="1" t="n">
        <v>45952</v>
      </c>
      <c r="D8853" t="inlineStr">
        <is>
          <t>VÄSTRA GÖTALANDS LÄN</t>
        </is>
      </c>
      <c r="E8853" t="inlineStr">
        <is>
          <t>TIDAHOLM</t>
        </is>
      </c>
      <c r="G8853" t="n">
        <v>2.7</v>
      </c>
      <c r="H8853" t="n">
        <v>0</v>
      </c>
      <c r="I8853" t="n">
        <v>0</v>
      </c>
      <c r="J8853" t="n">
        <v>0</v>
      </c>
      <c r="K8853" t="n">
        <v>0</v>
      </c>
      <c r="L8853" t="n">
        <v>0</v>
      </c>
      <c r="M8853" t="n">
        <v>0</v>
      </c>
      <c r="N8853" t="n">
        <v>0</v>
      </c>
      <c r="O8853" t="n">
        <v>0</v>
      </c>
      <c r="P8853" t="n">
        <v>0</v>
      </c>
      <c r="Q8853" t="n">
        <v>0</v>
      </c>
      <c r="R8853" s="2" t="inlineStr"/>
    </row>
    <row r="8854" ht="15" customHeight="1">
      <c r="A8854" t="inlineStr">
        <is>
          <t>A 12243-2025</t>
        </is>
      </c>
      <c r="B8854" s="1" t="n">
        <v>45729</v>
      </c>
      <c r="C8854" s="1" t="n">
        <v>45952</v>
      </c>
      <c r="D8854" t="inlineStr">
        <is>
          <t>VÄSTRA GÖTALANDS LÄN</t>
        </is>
      </c>
      <c r="E8854" t="inlineStr">
        <is>
          <t>LILLA EDET</t>
        </is>
      </c>
      <c r="G8854" t="n">
        <v>10.2</v>
      </c>
      <c r="H8854" t="n">
        <v>0</v>
      </c>
      <c r="I8854" t="n">
        <v>0</v>
      </c>
      <c r="J8854" t="n">
        <v>0</v>
      </c>
      <c r="K8854" t="n">
        <v>0</v>
      </c>
      <c r="L8854" t="n">
        <v>0</v>
      </c>
      <c r="M8854" t="n">
        <v>0</v>
      </c>
      <c r="N8854" t="n">
        <v>0</v>
      </c>
      <c r="O8854" t="n">
        <v>0</v>
      </c>
      <c r="P8854" t="n">
        <v>0</v>
      </c>
      <c r="Q8854" t="n">
        <v>0</v>
      </c>
      <c r="R8854" s="2" t="inlineStr"/>
    </row>
    <row r="8855" ht="15" customHeight="1">
      <c r="A8855" t="inlineStr">
        <is>
          <t>A 12533-2025</t>
        </is>
      </c>
      <c r="B8855" s="1" t="n">
        <v>45730.69164351852</v>
      </c>
      <c r="C8855" s="1" t="n">
        <v>45952</v>
      </c>
      <c r="D8855" t="inlineStr">
        <is>
          <t>VÄSTRA GÖTALANDS LÄN</t>
        </is>
      </c>
      <c r="E8855" t="inlineStr">
        <is>
          <t>FÄRGELANDA</t>
        </is>
      </c>
      <c r="G8855" t="n">
        <v>1.7</v>
      </c>
      <c r="H8855" t="n">
        <v>0</v>
      </c>
      <c r="I8855" t="n">
        <v>0</v>
      </c>
      <c r="J8855" t="n">
        <v>0</v>
      </c>
      <c r="K8855" t="n">
        <v>0</v>
      </c>
      <c r="L8855" t="n">
        <v>0</v>
      </c>
      <c r="M8855" t="n">
        <v>0</v>
      </c>
      <c r="N8855" t="n">
        <v>0</v>
      </c>
      <c r="O8855" t="n">
        <v>0</v>
      </c>
      <c r="P8855" t="n">
        <v>0</v>
      </c>
      <c r="Q8855" t="n">
        <v>0</v>
      </c>
      <c r="R8855" s="2" t="inlineStr"/>
    </row>
    <row r="8856" ht="15" customHeight="1">
      <c r="A8856" t="inlineStr">
        <is>
          <t>A 13079-2025</t>
        </is>
      </c>
      <c r="B8856" s="1" t="n">
        <v>45734.62342592593</v>
      </c>
      <c r="C8856" s="1" t="n">
        <v>45952</v>
      </c>
      <c r="D8856" t="inlineStr">
        <is>
          <t>VÄSTRA GÖTALANDS LÄN</t>
        </is>
      </c>
      <c r="E8856" t="inlineStr">
        <is>
          <t>MELLERUD</t>
        </is>
      </c>
      <c r="G8856" t="n">
        <v>3.8</v>
      </c>
      <c r="H8856" t="n">
        <v>0</v>
      </c>
      <c r="I8856" t="n">
        <v>0</v>
      </c>
      <c r="J8856" t="n">
        <v>0</v>
      </c>
      <c r="K8856" t="n">
        <v>0</v>
      </c>
      <c r="L8856" t="n">
        <v>0</v>
      </c>
      <c r="M8856" t="n">
        <v>0</v>
      </c>
      <c r="N8856" t="n">
        <v>0</v>
      </c>
      <c r="O8856" t="n">
        <v>0</v>
      </c>
      <c r="P8856" t="n">
        <v>0</v>
      </c>
      <c r="Q8856" t="n">
        <v>0</v>
      </c>
      <c r="R8856" s="2" t="inlineStr"/>
    </row>
    <row r="8857" ht="15" customHeight="1">
      <c r="A8857" t="inlineStr">
        <is>
          <t>A 14140-2024</t>
        </is>
      </c>
      <c r="B8857" s="1" t="n">
        <v>45392.84564814815</v>
      </c>
      <c r="C8857" s="1" t="n">
        <v>45952</v>
      </c>
      <c r="D8857" t="inlineStr">
        <is>
          <t>VÄSTRA GÖTALANDS LÄN</t>
        </is>
      </c>
      <c r="E8857" t="inlineStr">
        <is>
          <t>TIDAHOLM</t>
        </is>
      </c>
      <c r="G8857" t="n">
        <v>1.4</v>
      </c>
      <c r="H8857" t="n">
        <v>0</v>
      </c>
      <c r="I8857" t="n">
        <v>0</v>
      </c>
      <c r="J8857" t="n">
        <v>0</v>
      </c>
      <c r="K8857" t="n">
        <v>0</v>
      </c>
      <c r="L8857" t="n">
        <v>0</v>
      </c>
      <c r="M8857" t="n">
        <v>0</v>
      </c>
      <c r="N8857" t="n">
        <v>0</v>
      </c>
      <c r="O8857" t="n">
        <v>0</v>
      </c>
      <c r="P8857" t="n">
        <v>0</v>
      </c>
      <c r="Q8857" t="n">
        <v>0</v>
      </c>
      <c r="R8857" s="2" t="inlineStr"/>
    </row>
    <row r="8858" ht="15" customHeight="1">
      <c r="A8858" t="inlineStr">
        <is>
          <t>A 48129-2025</t>
        </is>
      </c>
      <c r="B8858" s="1" t="n">
        <v>45933.36778935185</v>
      </c>
      <c r="C8858" s="1" t="n">
        <v>45952</v>
      </c>
      <c r="D8858" t="inlineStr">
        <is>
          <t>VÄSTRA GÖTALANDS LÄN</t>
        </is>
      </c>
      <c r="E8858" t="inlineStr">
        <is>
          <t>KARLSBORG</t>
        </is>
      </c>
      <c r="G8858" t="n">
        <v>0.9</v>
      </c>
      <c r="H8858" t="n">
        <v>0</v>
      </c>
      <c r="I8858" t="n">
        <v>0</v>
      </c>
      <c r="J8858" t="n">
        <v>0</v>
      </c>
      <c r="K8858" t="n">
        <v>0</v>
      </c>
      <c r="L8858" t="n">
        <v>0</v>
      </c>
      <c r="M8858" t="n">
        <v>0</v>
      </c>
      <c r="N8858" t="n">
        <v>0</v>
      </c>
      <c r="O8858" t="n">
        <v>0</v>
      </c>
      <c r="P8858" t="n">
        <v>0</v>
      </c>
      <c r="Q8858" t="n">
        <v>0</v>
      </c>
      <c r="R8858" s="2" t="inlineStr"/>
    </row>
    <row r="8859" ht="15" customHeight="1">
      <c r="A8859" t="inlineStr">
        <is>
          <t>A 48148-2025</t>
        </is>
      </c>
      <c r="B8859" s="1" t="n">
        <v>45933.40649305555</v>
      </c>
      <c r="C8859" s="1" t="n">
        <v>45952</v>
      </c>
      <c r="D8859" t="inlineStr">
        <is>
          <t>VÄSTRA GÖTALANDS LÄN</t>
        </is>
      </c>
      <c r="E8859" t="inlineStr">
        <is>
          <t>LYSEKIL</t>
        </is>
      </c>
      <c r="G8859" t="n">
        <v>1</v>
      </c>
      <c r="H8859" t="n">
        <v>0</v>
      </c>
      <c r="I8859" t="n">
        <v>0</v>
      </c>
      <c r="J8859" t="n">
        <v>0</v>
      </c>
      <c r="K8859" t="n">
        <v>0</v>
      </c>
      <c r="L8859" t="n">
        <v>0</v>
      </c>
      <c r="M8859" t="n">
        <v>0</v>
      </c>
      <c r="N8859" t="n">
        <v>0</v>
      </c>
      <c r="O8859" t="n">
        <v>0</v>
      </c>
      <c r="P8859" t="n">
        <v>0</v>
      </c>
      <c r="Q8859" t="n">
        <v>0</v>
      </c>
      <c r="R8859" s="2" t="inlineStr"/>
    </row>
    <row r="8860" ht="15" customHeight="1">
      <c r="A8860" t="inlineStr">
        <is>
          <t>A 48025-2025</t>
        </is>
      </c>
      <c r="B8860" s="1" t="n">
        <v>45932</v>
      </c>
      <c r="C8860" s="1" t="n">
        <v>45952</v>
      </c>
      <c r="D8860" t="inlineStr">
        <is>
          <t>VÄSTRA GÖTALANDS LÄN</t>
        </is>
      </c>
      <c r="E8860" t="inlineStr">
        <is>
          <t>DALS-ED</t>
        </is>
      </c>
      <c r="G8860" t="n">
        <v>4.3</v>
      </c>
      <c r="H8860" t="n">
        <v>0</v>
      </c>
      <c r="I8860" t="n">
        <v>0</v>
      </c>
      <c r="J8860" t="n">
        <v>0</v>
      </c>
      <c r="K8860" t="n">
        <v>0</v>
      </c>
      <c r="L8860" t="n">
        <v>0</v>
      </c>
      <c r="M8860" t="n">
        <v>0</v>
      </c>
      <c r="N8860" t="n">
        <v>0</v>
      </c>
      <c r="O8860" t="n">
        <v>0</v>
      </c>
      <c r="P8860" t="n">
        <v>0</v>
      </c>
      <c r="Q8860" t="n">
        <v>0</v>
      </c>
      <c r="R8860" s="2" t="inlineStr"/>
    </row>
    <row r="8861" ht="15" customHeight="1">
      <c r="A8861" t="inlineStr">
        <is>
          <t>A 17069-2023</t>
        </is>
      </c>
      <c r="B8861" s="1" t="n">
        <v>45034</v>
      </c>
      <c r="C8861" s="1" t="n">
        <v>45952</v>
      </c>
      <c r="D8861" t="inlineStr">
        <is>
          <t>VÄSTRA GÖTALANDS LÄN</t>
        </is>
      </c>
      <c r="E8861" t="inlineStr">
        <is>
          <t>GÖTENE</t>
        </is>
      </c>
      <c r="G8861" t="n">
        <v>0.8</v>
      </c>
      <c r="H8861" t="n">
        <v>0</v>
      </c>
      <c r="I8861" t="n">
        <v>0</v>
      </c>
      <c r="J8861" t="n">
        <v>0</v>
      </c>
      <c r="K8861" t="n">
        <v>0</v>
      </c>
      <c r="L8861" t="n">
        <v>0</v>
      </c>
      <c r="M8861" t="n">
        <v>0</v>
      </c>
      <c r="N8861" t="n">
        <v>0</v>
      </c>
      <c r="O8861" t="n">
        <v>0</v>
      </c>
      <c r="P8861" t="n">
        <v>0</v>
      </c>
      <c r="Q8861" t="n">
        <v>0</v>
      </c>
      <c r="R8861" s="2" t="inlineStr"/>
    </row>
    <row r="8862" ht="15" customHeight="1">
      <c r="A8862" t="inlineStr">
        <is>
          <t>A 48082-2025</t>
        </is>
      </c>
      <c r="B8862" s="1" t="n">
        <v>45932.77143518518</v>
      </c>
      <c r="C8862" s="1" t="n">
        <v>45952</v>
      </c>
      <c r="D8862" t="inlineStr">
        <is>
          <t>VÄSTRA GÖTALANDS LÄN</t>
        </is>
      </c>
      <c r="E8862" t="inlineStr">
        <is>
          <t>VÅRGÅRDA</t>
        </is>
      </c>
      <c r="G8862" t="n">
        <v>1.4</v>
      </c>
      <c r="H8862" t="n">
        <v>0</v>
      </c>
      <c r="I8862" t="n">
        <v>0</v>
      </c>
      <c r="J8862" t="n">
        <v>0</v>
      </c>
      <c r="K8862" t="n">
        <v>0</v>
      </c>
      <c r="L8862" t="n">
        <v>0</v>
      </c>
      <c r="M8862" t="n">
        <v>0</v>
      </c>
      <c r="N8862" t="n">
        <v>0</v>
      </c>
      <c r="O8862" t="n">
        <v>0</v>
      </c>
      <c r="P8862" t="n">
        <v>0</v>
      </c>
      <c r="Q8862" t="n">
        <v>0</v>
      </c>
      <c r="R8862" s="2" t="inlineStr"/>
    </row>
    <row r="8863" ht="15" customHeight="1">
      <c r="A8863" t="inlineStr">
        <is>
          <t>A 62620-2021</t>
        </is>
      </c>
      <c r="B8863" s="1" t="n">
        <v>44503.71177083333</v>
      </c>
      <c r="C8863" s="1" t="n">
        <v>45952</v>
      </c>
      <c r="D8863" t="inlineStr">
        <is>
          <t>VÄSTRA GÖTALANDS LÄN</t>
        </is>
      </c>
      <c r="E8863" t="inlineStr">
        <is>
          <t>ULRICEHAMN</t>
        </is>
      </c>
      <c r="G8863" t="n">
        <v>1</v>
      </c>
      <c r="H8863" t="n">
        <v>0</v>
      </c>
      <c r="I8863" t="n">
        <v>0</v>
      </c>
      <c r="J8863" t="n">
        <v>0</v>
      </c>
      <c r="K8863" t="n">
        <v>0</v>
      </c>
      <c r="L8863" t="n">
        <v>0</v>
      </c>
      <c r="M8863" t="n">
        <v>0</v>
      </c>
      <c r="N8863" t="n">
        <v>0</v>
      </c>
      <c r="O8863" t="n">
        <v>0</v>
      </c>
      <c r="P8863" t="n">
        <v>0</v>
      </c>
      <c r="Q8863" t="n">
        <v>0</v>
      </c>
      <c r="R8863" s="2" t="inlineStr"/>
    </row>
    <row r="8864" ht="15" customHeight="1">
      <c r="A8864" t="inlineStr">
        <is>
          <t>A 60909-2023</t>
        </is>
      </c>
      <c r="B8864" s="1" t="n">
        <v>45261.38467592592</v>
      </c>
      <c r="C8864" s="1" t="n">
        <v>45952</v>
      </c>
      <c r="D8864" t="inlineStr">
        <is>
          <t>VÄSTRA GÖTALANDS LÄN</t>
        </is>
      </c>
      <c r="E8864" t="inlineStr">
        <is>
          <t>BENGTSFORS</t>
        </is>
      </c>
      <c r="G8864" t="n">
        <v>0.4</v>
      </c>
      <c r="H8864" t="n">
        <v>0</v>
      </c>
      <c r="I8864" t="n">
        <v>0</v>
      </c>
      <c r="J8864" t="n">
        <v>0</v>
      </c>
      <c r="K8864" t="n">
        <v>0</v>
      </c>
      <c r="L8864" t="n">
        <v>0</v>
      </c>
      <c r="M8864" t="n">
        <v>0</v>
      </c>
      <c r="N8864" t="n">
        <v>0</v>
      </c>
      <c r="O8864" t="n">
        <v>0</v>
      </c>
      <c r="P8864" t="n">
        <v>0</v>
      </c>
      <c r="Q8864" t="n">
        <v>0</v>
      </c>
      <c r="R8864" s="2" t="inlineStr"/>
    </row>
    <row r="8865" ht="15" customHeight="1">
      <c r="A8865" t="inlineStr">
        <is>
          <t>A 48099-2025</t>
        </is>
      </c>
      <c r="B8865" s="1" t="n">
        <v>45933.33207175926</v>
      </c>
      <c r="C8865" s="1" t="n">
        <v>45952</v>
      </c>
      <c r="D8865" t="inlineStr">
        <is>
          <t>VÄSTRA GÖTALANDS LÄN</t>
        </is>
      </c>
      <c r="E8865" t="inlineStr">
        <is>
          <t>VÅRGÅRDA</t>
        </is>
      </c>
      <c r="G8865" t="n">
        <v>1</v>
      </c>
      <c r="H8865" t="n">
        <v>0</v>
      </c>
      <c r="I8865" t="n">
        <v>0</v>
      </c>
      <c r="J8865" t="n">
        <v>0</v>
      </c>
      <c r="K8865" t="n">
        <v>0</v>
      </c>
      <c r="L8865" t="n">
        <v>0</v>
      </c>
      <c r="M8865" t="n">
        <v>0</v>
      </c>
      <c r="N8865" t="n">
        <v>0</v>
      </c>
      <c r="O8865" t="n">
        <v>0</v>
      </c>
      <c r="P8865" t="n">
        <v>0</v>
      </c>
      <c r="Q8865" t="n">
        <v>0</v>
      </c>
      <c r="R8865" s="2" t="inlineStr"/>
    </row>
    <row r="8866" ht="15" customHeight="1">
      <c r="A8866" t="inlineStr">
        <is>
          <t>A 63143-2021</t>
        </is>
      </c>
      <c r="B8866" s="1" t="n">
        <v>44505.79517361111</v>
      </c>
      <c r="C8866" s="1" t="n">
        <v>45952</v>
      </c>
      <c r="D8866" t="inlineStr">
        <is>
          <t>VÄSTRA GÖTALANDS LÄN</t>
        </is>
      </c>
      <c r="E8866" t="inlineStr">
        <is>
          <t>ALINGSÅS</t>
        </is>
      </c>
      <c r="G8866" t="n">
        <v>1.5</v>
      </c>
      <c r="H8866" t="n">
        <v>0</v>
      </c>
      <c r="I8866" t="n">
        <v>0</v>
      </c>
      <c r="J8866" t="n">
        <v>0</v>
      </c>
      <c r="K8866" t="n">
        <v>0</v>
      </c>
      <c r="L8866" t="n">
        <v>0</v>
      </c>
      <c r="M8866" t="n">
        <v>0</v>
      </c>
      <c r="N8866" t="n">
        <v>0</v>
      </c>
      <c r="O8866" t="n">
        <v>0</v>
      </c>
      <c r="P8866" t="n">
        <v>0</v>
      </c>
      <c r="Q8866" t="n">
        <v>0</v>
      </c>
      <c r="R8866" s="2" t="inlineStr"/>
    </row>
    <row r="8867" ht="15" customHeight="1">
      <c r="A8867" t="inlineStr">
        <is>
          <t>A 61738-2023</t>
        </is>
      </c>
      <c r="B8867" s="1" t="n">
        <v>45265.69861111111</v>
      </c>
      <c r="C8867" s="1" t="n">
        <v>45952</v>
      </c>
      <c r="D8867" t="inlineStr">
        <is>
          <t>VÄSTRA GÖTALANDS LÄN</t>
        </is>
      </c>
      <c r="E8867" t="inlineStr">
        <is>
          <t>VARA</t>
        </is>
      </c>
      <c r="G8867" t="n">
        <v>1.3</v>
      </c>
      <c r="H8867" t="n">
        <v>0</v>
      </c>
      <c r="I8867" t="n">
        <v>0</v>
      </c>
      <c r="J8867" t="n">
        <v>0</v>
      </c>
      <c r="K8867" t="n">
        <v>0</v>
      </c>
      <c r="L8867" t="n">
        <v>0</v>
      </c>
      <c r="M8867" t="n">
        <v>0</v>
      </c>
      <c r="N8867" t="n">
        <v>0</v>
      </c>
      <c r="O8867" t="n">
        <v>0</v>
      </c>
      <c r="P8867" t="n">
        <v>0</v>
      </c>
      <c r="Q8867" t="n">
        <v>0</v>
      </c>
      <c r="R8867" s="2" t="inlineStr"/>
    </row>
    <row r="8868" ht="15" customHeight="1">
      <c r="A8868" t="inlineStr">
        <is>
          <t>A 39785-2025</t>
        </is>
      </c>
      <c r="B8868" s="1" t="n">
        <v>45891.48011574074</v>
      </c>
      <c r="C8868" s="1" t="n">
        <v>45952</v>
      </c>
      <c r="D8868" t="inlineStr">
        <is>
          <t>VÄSTRA GÖTALANDS LÄN</t>
        </is>
      </c>
      <c r="E8868" t="inlineStr">
        <is>
          <t>TRANEMO</t>
        </is>
      </c>
      <c r="G8868" t="n">
        <v>2.5</v>
      </c>
      <c r="H8868" t="n">
        <v>0</v>
      </c>
      <c r="I8868" t="n">
        <v>0</v>
      </c>
      <c r="J8868" t="n">
        <v>0</v>
      </c>
      <c r="K8868" t="n">
        <v>0</v>
      </c>
      <c r="L8868" t="n">
        <v>0</v>
      </c>
      <c r="M8868" t="n">
        <v>0</v>
      </c>
      <c r="N8868" t="n">
        <v>0</v>
      </c>
      <c r="O8868" t="n">
        <v>0</v>
      </c>
      <c r="P8868" t="n">
        <v>0</v>
      </c>
      <c r="Q8868" t="n">
        <v>0</v>
      </c>
      <c r="R8868" s="2" t="inlineStr"/>
    </row>
    <row r="8869" ht="15" customHeight="1">
      <c r="A8869" t="inlineStr">
        <is>
          <t>A 53307-2024</t>
        </is>
      </c>
      <c r="B8869" s="1" t="n">
        <v>45614.39129629629</v>
      </c>
      <c r="C8869" s="1" t="n">
        <v>45952</v>
      </c>
      <c r="D8869" t="inlineStr">
        <is>
          <t>VÄSTRA GÖTALANDS LÄN</t>
        </is>
      </c>
      <c r="E8869" t="inlineStr">
        <is>
          <t>MELLERUD</t>
        </is>
      </c>
      <c r="G8869" t="n">
        <v>2</v>
      </c>
      <c r="H8869" t="n">
        <v>0</v>
      </c>
      <c r="I8869" t="n">
        <v>0</v>
      </c>
      <c r="J8869" t="n">
        <v>0</v>
      </c>
      <c r="K8869" t="n">
        <v>0</v>
      </c>
      <c r="L8869" t="n">
        <v>0</v>
      </c>
      <c r="M8869" t="n">
        <v>0</v>
      </c>
      <c r="N8869" t="n">
        <v>0</v>
      </c>
      <c r="O8869" t="n">
        <v>0</v>
      </c>
      <c r="P8869" t="n">
        <v>0</v>
      </c>
      <c r="Q8869" t="n">
        <v>0</v>
      </c>
      <c r="R8869" s="2" t="inlineStr"/>
    </row>
    <row r="8870" ht="15" customHeight="1">
      <c r="A8870" t="inlineStr">
        <is>
          <t>A 49785-2023</t>
        </is>
      </c>
      <c r="B8870" s="1" t="n">
        <v>45212</v>
      </c>
      <c r="C8870" s="1" t="n">
        <v>45952</v>
      </c>
      <c r="D8870" t="inlineStr">
        <is>
          <t>VÄSTRA GÖTALANDS LÄN</t>
        </is>
      </c>
      <c r="E8870" t="inlineStr">
        <is>
          <t>MARK</t>
        </is>
      </c>
      <c r="G8870" t="n">
        <v>2.9</v>
      </c>
      <c r="H8870" t="n">
        <v>0</v>
      </c>
      <c r="I8870" t="n">
        <v>0</v>
      </c>
      <c r="J8870" t="n">
        <v>0</v>
      </c>
      <c r="K8870" t="n">
        <v>0</v>
      </c>
      <c r="L8870" t="n">
        <v>0</v>
      </c>
      <c r="M8870" t="n">
        <v>0</v>
      </c>
      <c r="N8870" t="n">
        <v>0</v>
      </c>
      <c r="O8870" t="n">
        <v>0</v>
      </c>
      <c r="P8870" t="n">
        <v>0</v>
      </c>
      <c r="Q8870" t="n">
        <v>0</v>
      </c>
      <c r="R8870" s="2" t="inlineStr"/>
    </row>
    <row r="8871" ht="15" customHeight="1">
      <c r="A8871" t="inlineStr">
        <is>
          <t>A 23559-2023</t>
        </is>
      </c>
      <c r="B8871" s="1" t="n">
        <v>45072</v>
      </c>
      <c r="C8871" s="1" t="n">
        <v>45952</v>
      </c>
      <c r="D8871" t="inlineStr">
        <is>
          <t>VÄSTRA GÖTALANDS LÄN</t>
        </is>
      </c>
      <c r="E8871" t="inlineStr">
        <is>
          <t>LILLA EDET</t>
        </is>
      </c>
      <c r="F8871" t="inlineStr">
        <is>
          <t>Kyrkan</t>
        </is>
      </c>
      <c r="G8871" t="n">
        <v>1.7</v>
      </c>
      <c r="H8871" t="n">
        <v>0</v>
      </c>
      <c r="I8871" t="n">
        <v>0</v>
      </c>
      <c r="J8871" t="n">
        <v>0</v>
      </c>
      <c r="K8871" t="n">
        <v>0</v>
      </c>
      <c r="L8871" t="n">
        <v>0</v>
      </c>
      <c r="M8871" t="n">
        <v>0</v>
      </c>
      <c r="N8871" t="n">
        <v>0</v>
      </c>
      <c r="O8871" t="n">
        <v>0</v>
      </c>
      <c r="P8871" t="n">
        <v>0</v>
      </c>
      <c r="Q8871" t="n">
        <v>0</v>
      </c>
      <c r="R8871" s="2" t="inlineStr"/>
    </row>
    <row r="8872" ht="15" customHeight="1">
      <c r="A8872" t="inlineStr">
        <is>
          <t>A 21172-2022</t>
        </is>
      </c>
      <c r="B8872" s="1" t="n">
        <v>44704.71900462963</v>
      </c>
      <c r="C8872" s="1" t="n">
        <v>45952</v>
      </c>
      <c r="D8872" t="inlineStr">
        <is>
          <t>VÄSTRA GÖTALANDS LÄN</t>
        </is>
      </c>
      <c r="E8872" t="inlineStr">
        <is>
          <t>BENGTSFORS</t>
        </is>
      </c>
      <c r="G8872" t="n">
        <v>4.1</v>
      </c>
      <c r="H8872" t="n">
        <v>0</v>
      </c>
      <c r="I8872" t="n">
        <v>0</v>
      </c>
      <c r="J8872" t="n">
        <v>0</v>
      </c>
      <c r="K8872" t="n">
        <v>0</v>
      </c>
      <c r="L8872" t="n">
        <v>0</v>
      </c>
      <c r="M8872" t="n">
        <v>0</v>
      </c>
      <c r="N8872" t="n">
        <v>0</v>
      </c>
      <c r="O8872" t="n">
        <v>0</v>
      </c>
      <c r="P8872" t="n">
        <v>0</v>
      </c>
      <c r="Q8872" t="n">
        <v>0</v>
      </c>
      <c r="R8872" s="2" t="inlineStr"/>
    </row>
    <row r="8873" ht="15" customHeight="1">
      <c r="A8873" t="inlineStr">
        <is>
          <t>A 39676-2025</t>
        </is>
      </c>
      <c r="B8873" s="1" t="n">
        <v>45890.64989583333</v>
      </c>
      <c r="C8873" s="1" t="n">
        <v>45952</v>
      </c>
      <c r="D8873" t="inlineStr">
        <is>
          <t>VÄSTRA GÖTALANDS LÄN</t>
        </is>
      </c>
      <c r="E8873" t="inlineStr">
        <is>
          <t>HÄRRYDA</t>
        </is>
      </c>
      <c r="G8873" t="n">
        <v>2.1</v>
      </c>
      <c r="H8873" t="n">
        <v>0</v>
      </c>
      <c r="I8873" t="n">
        <v>0</v>
      </c>
      <c r="J8873" t="n">
        <v>0</v>
      </c>
      <c r="K8873" t="n">
        <v>0</v>
      </c>
      <c r="L8873" t="n">
        <v>0</v>
      </c>
      <c r="M8873" t="n">
        <v>0</v>
      </c>
      <c r="N8873" t="n">
        <v>0</v>
      </c>
      <c r="O8873" t="n">
        <v>0</v>
      </c>
      <c r="P8873" t="n">
        <v>0</v>
      </c>
      <c r="Q8873" t="n">
        <v>0</v>
      </c>
      <c r="R8873" s="2" t="inlineStr"/>
    </row>
    <row r="8874" ht="15" customHeight="1">
      <c r="A8874" t="inlineStr">
        <is>
          <t>A 48365-2023</t>
        </is>
      </c>
      <c r="B8874" s="1" t="n">
        <v>45205</v>
      </c>
      <c r="C8874" s="1" t="n">
        <v>45952</v>
      </c>
      <c r="D8874" t="inlineStr">
        <is>
          <t>VÄSTRA GÖTALANDS LÄN</t>
        </is>
      </c>
      <c r="E8874" t="inlineStr">
        <is>
          <t>ÅMÅL</t>
        </is>
      </c>
      <c r="G8874" t="n">
        <v>0.1</v>
      </c>
      <c r="H8874" t="n">
        <v>0</v>
      </c>
      <c r="I8874" t="n">
        <v>0</v>
      </c>
      <c r="J8874" t="n">
        <v>0</v>
      </c>
      <c r="K8874" t="n">
        <v>0</v>
      </c>
      <c r="L8874" t="n">
        <v>0</v>
      </c>
      <c r="M8874" t="n">
        <v>0</v>
      </c>
      <c r="N8874" t="n">
        <v>0</v>
      </c>
      <c r="O8874" t="n">
        <v>0</v>
      </c>
      <c r="P8874" t="n">
        <v>0</v>
      </c>
      <c r="Q8874" t="n">
        <v>0</v>
      </c>
      <c r="R8874" s="2" t="inlineStr"/>
    </row>
    <row r="8875" ht="15" customHeight="1">
      <c r="A8875" t="inlineStr">
        <is>
          <t>A 48260-2025</t>
        </is>
      </c>
      <c r="B8875" s="1" t="n">
        <v>45933.55741898148</v>
      </c>
      <c r="C8875" s="1" t="n">
        <v>45952</v>
      </c>
      <c r="D8875" t="inlineStr">
        <is>
          <t>VÄSTRA GÖTALANDS LÄN</t>
        </is>
      </c>
      <c r="E8875" t="inlineStr">
        <is>
          <t>TANUM</t>
        </is>
      </c>
      <c r="G8875" t="n">
        <v>2</v>
      </c>
      <c r="H8875" t="n">
        <v>0</v>
      </c>
      <c r="I8875" t="n">
        <v>0</v>
      </c>
      <c r="J8875" t="n">
        <v>0</v>
      </c>
      <c r="K8875" t="n">
        <v>0</v>
      </c>
      <c r="L8875" t="n">
        <v>0</v>
      </c>
      <c r="M8875" t="n">
        <v>0</v>
      </c>
      <c r="N8875" t="n">
        <v>0</v>
      </c>
      <c r="O8875" t="n">
        <v>0</v>
      </c>
      <c r="P8875" t="n">
        <v>0</v>
      </c>
      <c r="Q8875" t="n">
        <v>0</v>
      </c>
      <c r="R8875" s="2" t="inlineStr"/>
    </row>
    <row r="8876" ht="15" customHeight="1">
      <c r="A8876" t="inlineStr">
        <is>
          <t>A 48274-2025</t>
        </is>
      </c>
      <c r="B8876" s="1" t="n">
        <v>45933.57803240741</v>
      </c>
      <c r="C8876" s="1" t="n">
        <v>45952</v>
      </c>
      <c r="D8876" t="inlineStr">
        <is>
          <t>VÄSTRA GÖTALANDS LÄN</t>
        </is>
      </c>
      <c r="E8876" t="inlineStr">
        <is>
          <t>BENGTSFORS</t>
        </is>
      </c>
      <c r="G8876" t="n">
        <v>0.6</v>
      </c>
      <c r="H8876" t="n">
        <v>0</v>
      </c>
      <c r="I8876" t="n">
        <v>0</v>
      </c>
      <c r="J8876" t="n">
        <v>0</v>
      </c>
      <c r="K8876" t="n">
        <v>0</v>
      </c>
      <c r="L8876" t="n">
        <v>0</v>
      </c>
      <c r="M8876" t="n">
        <v>0</v>
      </c>
      <c r="N8876" t="n">
        <v>0</v>
      </c>
      <c r="O8876" t="n">
        <v>0</v>
      </c>
      <c r="P8876" t="n">
        <v>0</v>
      </c>
      <c r="Q8876" t="n">
        <v>0</v>
      </c>
      <c r="R8876" s="2" t="inlineStr"/>
    </row>
    <row r="8877" ht="15" customHeight="1">
      <c r="A8877" t="inlineStr">
        <is>
          <t>A 7867-2022</t>
        </is>
      </c>
      <c r="B8877" s="1" t="n">
        <v>44608</v>
      </c>
      <c r="C8877" s="1" t="n">
        <v>45952</v>
      </c>
      <c r="D8877" t="inlineStr">
        <is>
          <t>VÄSTRA GÖTALANDS LÄN</t>
        </is>
      </c>
      <c r="E8877" t="inlineStr">
        <is>
          <t>BENGTSFORS</t>
        </is>
      </c>
      <c r="G8877" t="n">
        <v>9.199999999999999</v>
      </c>
      <c r="H8877" t="n">
        <v>0</v>
      </c>
      <c r="I8877" t="n">
        <v>0</v>
      </c>
      <c r="J8877" t="n">
        <v>0</v>
      </c>
      <c r="K8877" t="n">
        <v>0</v>
      </c>
      <c r="L8877" t="n">
        <v>0</v>
      </c>
      <c r="M8877" t="n">
        <v>0</v>
      </c>
      <c r="N8877" t="n">
        <v>0</v>
      </c>
      <c r="O8877" t="n">
        <v>0</v>
      </c>
      <c r="P8877" t="n">
        <v>0</v>
      </c>
      <c r="Q8877" t="n">
        <v>0</v>
      </c>
      <c r="R8877" s="2" t="inlineStr"/>
    </row>
    <row r="8878" ht="15" customHeight="1">
      <c r="A8878" t="inlineStr">
        <is>
          <t>A 48227-2025</t>
        </is>
      </c>
      <c r="B8878" s="1" t="n">
        <v>45933.513125</v>
      </c>
      <c r="C8878" s="1" t="n">
        <v>45952</v>
      </c>
      <c r="D8878" t="inlineStr">
        <is>
          <t>VÄSTRA GÖTALANDS LÄN</t>
        </is>
      </c>
      <c r="E8878" t="inlineStr">
        <is>
          <t>TRANEMO</t>
        </is>
      </c>
      <c r="G8878" t="n">
        <v>2.7</v>
      </c>
      <c r="H8878" t="n">
        <v>0</v>
      </c>
      <c r="I8878" t="n">
        <v>0</v>
      </c>
      <c r="J8878" t="n">
        <v>0</v>
      </c>
      <c r="K8878" t="n">
        <v>0</v>
      </c>
      <c r="L8878" t="n">
        <v>0</v>
      </c>
      <c r="M8878" t="n">
        <v>0</v>
      </c>
      <c r="N8878" t="n">
        <v>0</v>
      </c>
      <c r="O8878" t="n">
        <v>0</v>
      </c>
      <c r="P8878" t="n">
        <v>0</v>
      </c>
      <c r="Q8878" t="n">
        <v>0</v>
      </c>
      <c r="R8878" s="2" t="inlineStr"/>
    </row>
    <row r="8879" ht="15" customHeight="1">
      <c r="A8879" t="inlineStr">
        <is>
          <t>A 64177-2023</t>
        </is>
      </c>
      <c r="B8879" s="1" t="n">
        <v>45279</v>
      </c>
      <c r="C8879" s="1" t="n">
        <v>45952</v>
      </c>
      <c r="D8879" t="inlineStr">
        <is>
          <t>VÄSTRA GÖTALANDS LÄN</t>
        </is>
      </c>
      <c r="E8879" t="inlineStr">
        <is>
          <t>DALS-ED</t>
        </is>
      </c>
      <c r="F8879" t="inlineStr">
        <is>
          <t>Bergvik skog väst AB</t>
        </is>
      </c>
      <c r="G8879" t="n">
        <v>18.6</v>
      </c>
      <c r="H8879" t="n">
        <v>0</v>
      </c>
      <c r="I8879" t="n">
        <v>0</v>
      </c>
      <c r="J8879" t="n">
        <v>0</v>
      </c>
      <c r="K8879" t="n">
        <v>0</v>
      </c>
      <c r="L8879" t="n">
        <v>0</v>
      </c>
      <c r="M8879" t="n">
        <v>0</v>
      </c>
      <c r="N8879" t="n">
        <v>0</v>
      </c>
      <c r="O8879" t="n">
        <v>0</v>
      </c>
      <c r="P8879" t="n">
        <v>0</v>
      </c>
      <c r="Q8879" t="n">
        <v>0</v>
      </c>
      <c r="R8879" s="2" t="inlineStr"/>
    </row>
    <row r="8880" ht="15" customHeight="1">
      <c r="A8880" t="inlineStr">
        <is>
          <t>A 48324-2025</t>
        </is>
      </c>
      <c r="B8880" s="1" t="n">
        <v>45933.62864583333</v>
      </c>
      <c r="C8880" s="1" t="n">
        <v>45952</v>
      </c>
      <c r="D8880" t="inlineStr">
        <is>
          <t>VÄSTRA GÖTALANDS LÄN</t>
        </is>
      </c>
      <c r="E8880" t="inlineStr">
        <is>
          <t>GULLSPÅNG</t>
        </is>
      </c>
      <c r="G8880" t="n">
        <v>2.3</v>
      </c>
      <c r="H8880" t="n">
        <v>0</v>
      </c>
      <c r="I8880" t="n">
        <v>0</v>
      </c>
      <c r="J8880" t="n">
        <v>0</v>
      </c>
      <c r="K8880" t="n">
        <v>0</v>
      </c>
      <c r="L8880" t="n">
        <v>0</v>
      </c>
      <c r="M8880" t="n">
        <v>0</v>
      </c>
      <c r="N8880" t="n">
        <v>0</v>
      </c>
      <c r="O8880" t="n">
        <v>0</v>
      </c>
      <c r="P8880" t="n">
        <v>0</v>
      </c>
      <c r="Q8880" t="n">
        <v>0</v>
      </c>
      <c r="R8880" s="2" t="inlineStr"/>
    </row>
    <row r="8881" ht="15" customHeight="1">
      <c r="A8881" t="inlineStr">
        <is>
          <t>A 66955-2021</t>
        </is>
      </c>
      <c r="B8881" s="1" t="n">
        <v>44522.5925462963</v>
      </c>
      <c r="C8881" s="1" t="n">
        <v>45952</v>
      </c>
      <c r="D8881" t="inlineStr">
        <is>
          <t>VÄSTRA GÖTALANDS LÄN</t>
        </is>
      </c>
      <c r="E8881" t="inlineStr">
        <is>
          <t>FÄRGELANDA</t>
        </is>
      </c>
      <c r="G8881" t="n">
        <v>2</v>
      </c>
      <c r="H8881" t="n">
        <v>0</v>
      </c>
      <c r="I8881" t="n">
        <v>0</v>
      </c>
      <c r="J8881" t="n">
        <v>0</v>
      </c>
      <c r="K8881" t="n">
        <v>0</v>
      </c>
      <c r="L8881" t="n">
        <v>0</v>
      </c>
      <c r="M8881" t="n">
        <v>0</v>
      </c>
      <c r="N8881" t="n">
        <v>0</v>
      </c>
      <c r="O8881" t="n">
        <v>0</v>
      </c>
      <c r="P8881" t="n">
        <v>0</v>
      </c>
      <c r="Q8881" t="n">
        <v>0</v>
      </c>
      <c r="R8881" s="2" t="inlineStr"/>
    </row>
    <row r="8882" ht="15" customHeight="1">
      <c r="A8882" t="inlineStr">
        <is>
          <t>A 9279-2025</t>
        </is>
      </c>
      <c r="B8882" s="1" t="n">
        <v>45714.63861111111</v>
      </c>
      <c r="C8882" s="1" t="n">
        <v>45952</v>
      </c>
      <c r="D8882" t="inlineStr">
        <is>
          <t>VÄSTRA GÖTALANDS LÄN</t>
        </is>
      </c>
      <c r="E8882" t="inlineStr">
        <is>
          <t>TRANEMO</t>
        </is>
      </c>
      <c r="G8882" t="n">
        <v>1</v>
      </c>
      <c r="H8882" t="n">
        <v>0</v>
      </c>
      <c r="I8882" t="n">
        <v>0</v>
      </c>
      <c r="J8882" t="n">
        <v>0</v>
      </c>
      <c r="K8882" t="n">
        <v>0</v>
      </c>
      <c r="L8882" t="n">
        <v>0</v>
      </c>
      <c r="M8882" t="n">
        <v>0</v>
      </c>
      <c r="N8882" t="n">
        <v>0</v>
      </c>
      <c r="O8882" t="n">
        <v>0</v>
      </c>
      <c r="P8882" t="n">
        <v>0</v>
      </c>
      <c r="Q8882" t="n">
        <v>0</v>
      </c>
      <c r="R8882" s="2" t="inlineStr"/>
    </row>
    <row r="8883" ht="15" customHeight="1">
      <c r="A8883" t="inlineStr">
        <is>
          <t>A 9281-2025</t>
        </is>
      </c>
      <c r="B8883" s="1" t="n">
        <v>45714</v>
      </c>
      <c r="C8883" s="1" t="n">
        <v>45952</v>
      </c>
      <c r="D8883" t="inlineStr">
        <is>
          <t>VÄSTRA GÖTALANDS LÄN</t>
        </is>
      </c>
      <c r="E8883" t="inlineStr">
        <is>
          <t>SKÖVDE</t>
        </is>
      </c>
      <c r="F8883" t="inlineStr">
        <is>
          <t>Kommuner</t>
        </is>
      </c>
      <c r="G8883" t="n">
        <v>2.8</v>
      </c>
      <c r="H8883" t="n">
        <v>0</v>
      </c>
      <c r="I8883" t="n">
        <v>0</v>
      </c>
      <c r="J8883" t="n">
        <v>0</v>
      </c>
      <c r="K8883" t="n">
        <v>0</v>
      </c>
      <c r="L8883" t="n">
        <v>0</v>
      </c>
      <c r="M8883" t="n">
        <v>0</v>
      </c>
      <c r="N8883" t="n">
        <v>0</v>
      </c>
      <c r="O8883" t="n">
        <v>0</v>
      </c>
      <c r="P8883" t="n">
        <v>0</v>
      </c>
      <c r="Q8883" t="n">
        <v>0</v>
      </c>
      <c r="R8883" s="2" t="inlineStr"/>
    </row>
    <row r="8884" ht="15" customHeight="1">
      <c r="A8884" t="inlineStr">
        <is>
          <t>A 45239-2022</t>
        </is>
      </c>
      <c r="B8884" s="1" t="n">
        <v>44844</v>
      </c>
      <c r="C8884" s="1" t="n">
        <v>45952</v>
      </c>
      <c r="D8884" t="inlineStr">
        <is>
          <t>VÄSTRA GÖTALANDS LÄN</t>
        </is>
      </c>
      <c r="E8884" t="inlineStr">
        <is>
          <t>GÖTENE</t>
        </is>
      </c>
      <c r="F8884" t="inlineStr">
        <is>
          <t>Sveaskog</t>
        </is>
      </c>
      <c r="G8884" t="n">
        <v>1.7</v>
      </c>
      <c r="H8884" t="n">
        <v>0</v>
      </c>
      <c r="I8884" t="n">
        <v>0</v>
      </c>
      <c r="J8884" t="n">
        <v>0</v>
      </c>
      <c r="K8884" t="n">
        <v>0</v>
      </c>
      <c r="L8884" t="n">
        <v>0</v>
      </c>
      <c r="M8884" t="n">
        <v>0</v>
      </c>
      <c r="N8884" t="n">
        <v>0</v>
      </c>
      <c r="O8884" t="n">
        <v>0</v>
      </c>
      <c r="P8884" t="n">
        <v>0</v>
      </c>
      <c r="Q8884" t="n">
        <v>0</v>
      </c>
      <c r="R8884" s="2" t="inlineStr"/>
    </row>
    <row r="8885" ht="15" customHeight="1">
      <c r="A8885" t="inlineStr">
        <is>
          <t>A 48018-2025</t>
        </is>
      </c>
      <c r="B8885" s="1" t="n">
        <v>45932</v>
      </c>
      <c r="C8885" s="1" t="n">
        <v>45952</v>
      </c>
      <c r="D8885" t="inlineStr">
        <is>
          <t>VÄSTRA GÖTALANDS LÄN</t>
        </is>
      </c>
      <c r="E8885" t="inlineStr">
        <is>
          <t>DALS-ED</t>
        </is>
      </c>
      <c r="G8885" t="n">
        <v>3.9</v>
      </c>
      <c r="H8885" t="n">
        <v>0</v>
      </c>
      <c r="I8885" t="n">
        <v>0</v>
      </c>
      <c r="J8885" t="n">
        <v>0</v>
      </c>
      <c r="K8885" t="n">
        <v>0</v>
      </c>
      <c r="L8885" t="n">
        <v>0</v>
      </c>
      <c r="M8885" t="n">
        <v>0</v>
      </c>
      <c r="N8885" t="n">
        <v>0</v>
      </c>
      <c r="O8885" t="n">
        <v>0</v>
      </c>
      <c r="P8885" t="n">
        <v>0</v>
      </c>
      <c r="Q8885" t="n">
        <v>0</v>
      </c>
      <c r="R8885" s="2" t="inlineStr"/>
    </row>
    <row r="8886" ht="15" customHeight="1">
      <c r="A8886" t="inlineStr">
        <is>
          <t>A 11217-2025</t>
        </is>
      </c>
      <c r="B8886" s="1" t="n">
        <v>45726.33739583333</v>
      </c>
      <c r="C8886" s="1" t="n">
        <v>45952</v>
      </c>
      <c r="D8886" t="inlineStr">
        <is>
          <t>VÄSTRA GÖTALANDS LÄN</t>
        </is>
      </c>
      <c r="E8886" t="inlineStr">
        <is>
          <t>SVENLJUNGA</t>
        </is>
      </c>
      <c r="G8886" t="n">
        <v>3.5</v>
      </c>
      <c r="H8886" t="n">
        <v>0</v>
      </c>
      <c r="I8886" t="n">
        <v>0</v>
      </c>
      <c r="J8886" t="n">
        <v>0</v>
      </c>
      <c r="K8886" t="n">
        <v>0</v>
      </c>
      <c r="L8886" t="n">
        <v>0</v>
      </c>
      <c r="M8886" t="n">
        <v>0</v>
      </c>
      <c r="N8886" t="n">
        <v>0</v>
      </c>
      <c r="O8886" t="n">
        <v>0</v>
      </c>
      <c r="P8886" t="n">
        <v>0</v>
      </c>
      <c r="Q8886" t="n">
        <v>0</v>
      </c>
      <c r="R8886" s="2" t="inlineStr"/>
    </row>
    <row r="8887" ht="15" customHeight="1">
      <c r="A8887" t="inlineStr">
        <is>
          <t>A 41213-2024</t>
        </is>
      </c>
      <c r="B8887" s="1" t="n">
        <v>45559</v>
      </c>
      <c r="C8887" s="1" t="n">
        <v>45952</v>
      </c>
      <c r="D8887" t="inlineStr">
        <is>
          <t>VÄSTRA GÖTALANDS LÄN</t>
        </is>
      </c>
      <c r="E8887" t="inlineStr">
        <is>
          <t>BENGTSFORS</t>
        </is>
      </c>
      <c r="G8887" t="n">
        <v>1.3</v>
      </c>
      <c r="H8887" t="n">
        <v>0</v>
      </c>
      <c r="I8887" t="n">
        <v>0</v>
      </c>
      <c r="J8887" t="n">
        <v>0</v>
      </c>
      <c r="K8887" t="n">
        <v>0</v>
      </c>
      <c r="L8887" t="n">
        <v>0</v>
      </c>
      <c r="M8887" t="n">
        <v>0</v>
      </c>
      <c r="N8887" t="n">
        <v>0</v>
      </c>
      <c r="O8887" t="n">
        <v>0</v>
      </c>
      <c r="P8887" t="n">
        <v>0</v>
      </c>
      <c r="Q8887" t="n">
        <v>0</v>
      </c>
      <c r="R8887" s="2" t="inlineStr"/>
    </row>
    <row r="8888" ht="15" customHeight="1">
      <c r="A8888" t="inlineStr">
        <is>
          <t>A 58365-2022</t>
        </is>
      </c>
      <c r="B8888" s="1" t="n">
        <v>44901.62020833333</v>
      </c>
      <c r="C8888" s="1" t="n">
        <v>45952</v>
      </c>
      <c r="D8888" t="inlineStr">
        <is>
          <t>VÄSTRA GÖTALANDS LÄN</t>
        </is>
      </c>
      <c r="E8888" t="inlineStr">
        <is>
          <t>TIBRO</t>
        </is>
      </c>
      <c r="G8888" t="n">
        <v>4.9</v>
      </c>
      <c r="H8888" t="n">
        <v>0</v>
      </c>
      <c r="I8888" t="n">
        <v>0</v>
      </c>
      <c r="J8888" t="n">
        <v>0</v>
      </c>
      <c r="K8888" t="n">
        <v>0</v>
      </c>
      <c r="L8888" t="n">
        <v>0</v>
      </c>
      <c r="M8888" t="n">
        <v>0</v>
      </c>
      <c r="N8888" t="n">
        <v>0</v>
      </c>
      <c r="O8888" t="n">
        <v>0</v>
      </c>
      <c r="P8888" t="n">
        <v>0</v>
      </c>
      <c r="Q8888" t="n">
        <v>0</v>
      </c>
      <c r="R8888" s="2" t="inlineStr"/>
    </row>
    <row r="8889" ht="15" customHeight="1">
      <c r="A8889" t="inlineStr">
        <is>
          <t>A 47844-2025</t>
        </is>
      </c>
      <c r="B8889" s="1" t="n">
        <v>45932.38077546296</v>
      </c>
      <c r="C8889" s="1" t="n">
        <v>45952</v>
      </c>
      <c r="D8889" t="inlineStr">
        <is>
          <t>VÄSTRA GÖTALANDS LÄN</t>
        </is>
      </c>
      <c r="E8889" t="inlineStr">
        <is>
          <t>GRÄSTORP</t>
        </is>
      </c>
      <c r="G8889" t="n">
        <v>4.9</v>
      </c>
      <c r="H8889" t="n">
        <v>0</v>
      </c>
      <c r="I8889" t="n">
        <v>0</v>
      </c>
      <c r="J8889" t="n">
        <v>0</v>
      </c>
      <c r="K8889" t="n">
        <v>0</v>
      </c>
      <c r="L8889" t="n">
        <v>0</v>
      </c>
      <c r="M8889" t="n">
        <v>0</v>
      </c>
      <c r="N8889" t="n">
        <v>0</v>
      </c>
      <c r="O8889" t="n">
        <v>0</v>
      </c>
      <c r="P8889" t="n">
        <v>0</v>
      </c>
      <c r="Q8889" t="n">
        <v>0</v>
      </c>
      <c r="R8889" s="2" t="inlineStr"/>
    </row>
    <row r="8890" ht="15" customHeight="1">
      <c r="A8890" t="inlineStr">
        <is>
          <t>A 47855-2025</t>
        </is>
      </c>
      <c r="B8890" s="1" t="n">
        <v>45932.39648148148</v>
      </c>
      <c r="C8890" s="1" t="n">
        <v>45952</v>
      </c>
      <c r="D8890" t="inlineStr">
        <is>
          <t>VÄSTRA GÖTALANDS LÄN</t>
        </is>
      </c>
      <c r="E8890" t="inlineStr">
        <is>
          <t>FALKÖPING</t>
        </is>
      </c>
      <c r="G8890" t="n">
        <v>0.9</v>
      </c>
      <c r="H8890" t="n">
        <v>0</v>
      </c>
      <c r="I8890" t="n">
        <v>0</v>
      </c>
      <c r="J8890" t="n">
        <v>0</v>
      </c>
      <c r="K8890" t="n">
        <v>0</v>
      </c>
      <c r="L8890" t="n">
        <v>0</v>
      </c>
      <c r="M8890" t="n">
        <v>0</v>
      </c>
      <c r="N8890" t="n">
        <v>0</v>
      </c>
      <c r="O8890" t="n">
        <v>0</v>
      </c>
      <c r="P8890" t="n">
        <v>0</v>
      </c>
      <c r="Q8890" t="n">
        <v>0</v>
      </c>
      <c r="R8890" s="2" t="inlineStr"/>
    </row>
    <row r="8891" ht="15" customHeight="1">
      <c r="A8891" t="inlineStr">
        <is>
          <t>A 21979-2025</t>
        </is>
      </c>
      <c r="B8891" s="1" t="n">
        <v>45784.65008101852</v>
      </c>
      <c r="C8891" s="1" t="n">
        <v>45952</v>
      </c>
      <c r="D8891" t="inlineStr">
        <is>
          <t>VÄSTRA GÖTALANDS LÄN</t>
        </is>
      </c>
      <c r="E8891" t="inlineStr">
        <is>
          <t>TROLLHÄTTAN</t>
        </is>
      </c>
      <c r="G8891" t="n">
        <v>1.4</v>
      </c>
      <c r="H8891" t="n">
        <v>0</v>
      </c>
      <c r="I8891" t="n">
        <v>0</v>
      </c>
      <c r="J8891" t="n">
        <v>0</v>
      </c>
      <c r="K8891" t="n">
        <v>0</v>
      </c>
      <c r="L8891" t="n">
        <v>0</v>
      </c>
      <c r="M8891" t="n">
        <v>0</v>
      </c>
      <c r="N8891" t="n">
        <v>0</v>
      </c>
      <c r="O8891" t="n">
        <v>0</v>
      </c>
      <c r="P8891" t="n">
        <v>0</v>
      </c>
      <c r="Q8891" t="n">
        <v>0</v>
      </c>
      <c r="R8891" s="2" t="inlineStr"/>
    </row>
    <row r="8892" ht="15" customHeight="1">
      <c r="A8892" t="inlineStr">
        <is>
          <t>A 56210-2022</t>
        </is>
      </c>
      <c r="B8892" s="1" t="n">
        <v>44890.45704861111</v>
      </c>
      <c r="C8892" s="1" t="n">
        <v>45952</v>
      </c>
      <c r="D8892" t="inlineStr">
        <is>
          <t>VÄSTRA GÖTALANDS LÄN</t>
        </is>
      </c>
      <c r="E8892" t="inlineStr">
        <is>
          <t>ÅMÅL</t>
        </is>
      </c>
      <c r="G8892" t="n">
        <v>1.3</v>
      </c>
      <c r="H8892" t="n">
        <v>0</v>
      </c>
      <c r="I8892" t="n">
        <v>0</v>
      </c>
      <c r="J8892" t="n">
        <v>0</v>
      </c>
      <c r="K8892" t="n">
        <v>0</v>
      </c>
      <c r="L8892" t="n">
        <v>0</v>
      </c>
      <c r="M8892" t="n">
        <v>0</v>
      </c>
      <c r="N8892" t="n">
        <v>0</v>
      </c>
      <c r="O8892" t="n">
        <v>0</v>
      </c>
      <c r="P8892" t="n">
        <v>0</v>
      </c>
      <c r="Q8892" t="n">
        <v>0</v>
      </c>
      <c r="R8892" s="2" t="inlineStr"/>
    </row>
    <row r="8893" ht="15" customHeight="1">
      <c r="A8893" t="inlineStr">
        <is>
          <t>A 26440-2023</t>
        </is>
      </c>
      <c r="B8893" s="1" t="n">
        <v>45092</v>
      </c>
      <c r="C8893" s="1" t="n">
        <v>45952</v>
      </c>
      <c r="D8893" t="inlineStr">
        <is>
          <t>VÄSTRA GÖTALANDS LÄN</t>
        </is>
      </c>
      <c r="E8893" t="inlineStr">
        <is>
          <t>UDDEVALLA</t>
        </is>
      </c>
      <c r="G8893" t="n">
        <v>1.1</v>
      </c>
      <c r="H8893" t="n">
        <v>0</v>
      </c>
      <c r="I8893" t="n">
        <v>0</v>
      </c>
      <c r="J8893" t="n">
        <v>0</v>
      </c>
      <c r="K8893" t="n">
        <v>0</v>
      </c>
      <c r="L8893" t="n">
        <v>0</v>
      </c>
      <c r="M8893" t="n">
        <v>0</v>
      </c>
      <c r="N8893" t="n">
        <v>0</v>
      </c>
      <c r="O8893" t="n">
        <v>0</v>
      </c>
      <c r="P8893" t="n">
        <v>0</v>
      </c>
      <c r="Q8893" t="n">
        <v>0</v>
      </c>
      <c r="R8893" s="2" t="inlineStr"/>
    </row>
    <row r="8894" ht="15" customHeight="1">
      <c r="A8894" t="inlineStr">
        <is>
          <t>A 10049-2023</t>
        </is>
      </c>
      <c r="B8894" s="1" t="n">
        <v>44985</v>
      </c>
      <c r="C8894" s="1" t="n">
        <v>45952</v>
      </c>
      <c r="D8894" t="inlineStr">
        <is>
          <t>VÄSTRA GÖTALANDS LÄN</t>
        </is>
      </c>
      <c r="E8894" t="inlineStr">
        <is>
          <t>FALKÖPING</t>
        </is>
      </c>
      <c r="G8894" t="n">
        <v>2.5</v>
      </c>
      <c r="H8894" t="n">
        <v>0</v>
      </c>
      <c r="I8894" t="n">
        <v>0</v>
      </c>
      <c r="J8894" t="n">
        <v>0</v>
      </c>
      <c r="K8894" t="n">
        <v>0</v>
      </c>
      <c r="L8894" t="n">
        <v>0</v>
      </c>
      <c r="M8894" t="n">
        <v>0</v>
      </c>
      <c r="N8894" t="n">
        <v>0</v>
      </c>
      <c r="O8894" t="n">
        <v>0</v>
      </c>
      <c r="P8894" t="n">
        <v>0</v>
      </c>
      <c r="Q8894" t="n">
        <v>0</v>
      </c>
      <c r="R8894" s="2" t="inlineStr"/>
    </row>
    <row r="8895" ht="15" customHeight="1">
      <c r="A8895" t="inlineStr">
        <is>
          <t>A 73728-2021</t>
        </is>
      </c>
      <c r="B8895" s="1" t="n">
        <v>44552</v>
      </c>
      <c r="C8895" s="1" t="n">
        <v>45952</v>
      </c>
      <c r="D8895" t="inlineStr">
        <is>
          <t>VÄSTRA GÖTALANDS LÄN</t>
        </is>
      </c>
      <c r="E8895" t="inlineStr">
        <is>
          <t>TIDAHOLM</t>
        </is>
      </c>
      <c r="G8895" t="n">
        <v>9.4</v>
      </c>
      <c r="H8895" t="n">
        <v>0</v>
      </c>
      <c r="I8895" t="n">
        <v>0</v>
      </c>
      <c r="J8895" t="n">
        <v>0</v>
      </c>
      <c r="K8895" t="n">
        <v>0</v>
      </c>
      <c r="L8895" t="n">
        <v>0</v>
      </c>
      <c r="M8895" t="n">
        <v>0</v>
      </c>
      <c r="N8895" t="n">
        <v>0</v>
      </c>
      <c r="O8895" t="n">
        <v>0</v>
      </c>
      <c r="P8895" t="n">
        <v>0</v>
      </c>
      <c r="Q8895" t="n">
        <v>0</v>
      </c>
      <c r="R8895" s="2" t="inlineStr"/>
    </row>
    <row r="8896" ht="15" customHeight="1">
      <c r="A8896" t="inlineStr">
        <is>
          <t>A 47360-2025</t>
        </is>
      </c>
      <c r="B8896" s="1" t="n">
        <v>45930</v>
      </c>
      <c r="C8896" s="1" t="n">
        <v>45952</v>
      </c>
      <c r="D8896" t="inlineStr">
        <is>
          <t>VÄSTRA GÖTALANDS LÄN</t>
        </is>
      </c>
      <c r="E8896" t="inlineStr">
        <is>
          <t>GULLSPÅNG</t>
        </is>
      </c>
      <c r="G8896" t="n">
        <v>0.9</v>
      </c>
      <c r="H8896" t="n">
        <v>0</v>
      </c>
      <c r="I8896" t="n">
        <v>0</v>
      </c>
      <c r="J8896" t="n">
        <v>0</v>
      </c>
      <c r="K8896" t="n">
        <v>0</v>
      </c>
      <c r="L8896" t="n">
        <v>0</v>
      </c>
      <c r="M8896" t="n">
        <v>0</v>
      </c>
      <c r="N8896" t="n">
        <v>0</v>
      </c>
      <c r="O8896" t="n">
        <v>0</v>
      </c>
      <c r="P8896" t="n">
        <v>0</v>
      </c>
      <c r="Q8896" t="n">
        <v>0</v>
      </c>
      <c r="R8896" s="2" t="inlineStr"/>
    </row>
    <row r="8897" ht="15" customHeight="1">
      <c r="A8897" t="inlineStr">
        <is>
          <t>A 37501-2023</t>
        </is>
      </c>
      <c r="B8897" s="1" t="n">
        <v>45157</v>
      </c>
      <c r="C8897" s="1" t="n">
        <v>45952</v>
      </c>
      <c r="D8897" t="inlineStr">
        <is>
          <t>VÄSTRA GÖTALANDS LÄN</t>
        </is>
      </c>
      <c r="E8897" t="inlineStr">
        <is>
          <t>ULRICEHAMN</t>
        </is>
      </c>
      <c r="G8897" t="n">
        <v>4.9</v>
      </c>
      <c r="H8897" t="n">
        <v>0</v>
      </c>
      <c r="I8897" t="n">
        <v>0</v>
      </c>
      <c r="J8897" t="n">
        <v>0</v>
      </c>
      <c r="K8897" t="n">
        <v>0</v>
      </c>
      <c r="L8897" t="n">
        <v>0</v>
      </c>
      <c r="M8897" t="n">
        <v>0</v>
      </c>
      <c r="N8897" t="n">
        <v>0</v>
      </c>
      <c r="O8897" t="n">
        <v>0</v>
      </c>
      <c r="P8897" t="n">
        <v>0</v>
      </c>
      <c r="Q8897" t="n">
        <v>0</v>
      </c>
      <c r="R8897" s="2" t="inlineStr"/>
    </row>
    <row r="8898" ht="15" customHeight="1">
      <c r="A8898" t="inlineStr">
        <is>
          <t>A 3753-2024</t>
        </is>
      </c>
      <c r="B8898" s="1" t="n">
        <v>45321.54748842592</v>
      </c>
      <c r="C8898" s="1" t="n">
        <v>45952</v>
      </c>
      <c r="D8898" t="inlineStr">
        <is>
          <t>VÄSTRA GÖTALANDS LÄN</t>
        </is>
      </c>
      <c r="E8898" t="inlineStr">
        <is>
          <t>HÄRRYDA</t>
        </is>
      </c>
      <c r="G8898" t="n">
        <v>0.5</v>
      </c>
      <c r="H8898" t="n">
        <v>0</v>
      </c>
      <c r="I8898" t="n">
        <v>0</v>
      </c>
      <c r="J8898" t="n">
        <v>0</v>
      </c>
      <c r="K8898" t="n">
        <v>0</v>
      </c>
      <c r="L8898" t="n">
        <v>0</v>
      </c>
      <c r="M8898" t="n">
        <v>0</v>
      </c>
      <c r="N8898" t="n">
        <v>0</v>
      </c>
      <c r="O8898" t="n">
        <v>0</v>
      </c>
      <c r="P8898" t="n">
        <v>0</v>
      </c>
      <c r="Q8898" t="n">
        <v>0</v>
      </c>
      <c r="R8898" s="2" t="inlineStr"/>
    </row>
    <row r="8899" ht="15" customHeight="1">
      <c r="A8899" t="inlineStr">
        <is>
          <t>A 4971-2024</t>
        </is>
      </c>
      <c r="B8899" s="1" t="n">
        <v>45329</v>
      </c>
      <c r="C8899" s="1" t="n">
        <v>45952</v>
      </c>
      <c r="D8899" t="inlineStr">
        <is>
          <t>VÄSTRA GÖTALANDS LÄN</t>
        </is>
      </c>
      <c r="E8899" t="inlineStr">
        <is>
          <t>ALE</t>
        </is>
      </c>
      <c r="G8899" t="n">
        <v>2.2</v>
      </c>
      <c r="H8899" t="n">
        <v>0</v>
      </c>
      <c r="I8899" t="n">
        <v>0</v>
      </c>
      <c r="J8899" t="n">
        <v>0</v>
      </c>
      <c r="K8899" t="n">
        <v>0</v>
      </c>
      <c r="L8899" t="n">
        <v>0</v>
      </c>
      <c r="M8899" t="n">
        <v>0</v>
      </c>
      <c r="N8899" t="n">
        <v>0</v>
      </c>
      <c r="O8899" t="n">
        <v>0</v>
      </c>
      <c r="P8899" t="n">
        <v>0</v>
      </c>
      <c r="Q8899" t="n">
        <v>0</v>
      </c>
      <c r="R8899" s="2" t="inlineStr"/>
    </row>
    <row r="8900" ht="15" customHeight="1">
      <c r="A8900" t="inlineStr">
        <is>
          <t>A 3766-2024</t>
        </is>
      </c>
      <c r="B8900" s="1" t="n">
        <v>45321</v>
      </c>
      <c r="C8900" s="1" t="n">
        <v>45952</v>
      </c>
      <c r="D8900" t="inlineStr">
        <is>
          <t>VÄSTRA GÖTALANDS LÄN</t>
        </is>
      </c>
      <c r="E8900" t="inlineStr">
        <is>
          <t>BORÅS</t>
        </is>
      </c>
      <c r="F8900" t="inlineStr">
        <is>
          <t>Kommuner</t>
        </is>
      </c>
      <c r="G8900" t="n">
        <v>1</v>
      </c>
      <c r="H8900" t="n">
        <v>0</v>
      </c>
      <c r="I8900" t="n">
        <v>0</v>
      </c>
      <c r="J8900" t="n">
        <v>0</v>
      </c>
      <c r="K8900" t="n">
        <v>0</v>
      </c>
      <c r="L8900" t="n">
        <v>0</v>
      </c>
      <c r="M8900" t="n">
        <v>0</v>
      </c>
      <c r="N8900" t="n">
        <v>0</v>
      </c>
      <c r="O8900" t="n">
        <v>0</v>
      </c>
      <c r="P8900" t="n">
        <v>0</v>
      </c>
      <c r="Q8900" t="n">
        <v>0</v>
      </c>
      <c r="R8900" s="2" t="inlineStr"/>
    </row>
    <row r="8901" ht="15" customHeight="1">
      <c r="A8901" t="inlineStr">
        <is>
          <t>A 3784-2024</t>
        </is>
      </c>
      <c r="B8901" s="1" t="n">
        <v>45321</v>
      </c>
      <c r="C8901" s="1" t="n">
        <v>45952</v>
      </c>
      <c r="D8901" t="inlineStr">
        <is>
          <t>VÄSTRA GÖTALANDS LÄN</t>
        </is>
      </c>
      <c r="E8901" t="inlineStr">
        <is>
          <t>BORÅS</t>
        </is>
      </c>
      <c r="F8901" t="inlineStr">
        <is>
          <t>Kommuner</t>
        </is>
      </c>
      <c r="G8901" t="n">
        <v>6.2</v>
      </c>
      <c r="H8901" t="n">
        <v>0</v>
      </c>
      <c r="I8901" t="n">
        <v>0</v>
      </c>
      <c r="J8901" t="n">
        <v>0</v>
      </c>
      <c r="K8901" t="n">
        <v>0</v>
      </c>
      <c r="L8901" t="n">
        <v>0</v>
      </c>
      <c r="M8901" t="n">
        <v>0</v>
      </c>
      <c r="N8901" t="n">
        <v>0</v>
      </c>
      <c r="O8901" t="n">
        <v>0</v>
      </c>
      <c r="P8901" t="n">
        <v>0</v>
      </c>
      <c r="Q8901" t="n">
        <v>0</v>
      </c>
      <c r="R8901" s="2" t="inlineStr"/>
    </row>
    <row r="8902" ht="15" customHeight="1">
      <c r="A8902" t="inlineStr">
        <is>
          <t>A 22828-2025</t>
        </is>
      </c>
      <c r="B8902" s="1" t="n">
        <v>45789.84356481482</v>
      </c>
      <c r="C8902" s="1" t="n">
        <v>45952</v>
      </c>
      <c r="D8902" t="inlineStr">
        <is>
          <t>VÄSTRA GÖTALANDS LÄN</t>
        </is>
      </c>
      <c r="E8902" t="inlineStr">
        <is>
          <t>TIBRO</t>
        </is>
      </c>
      <c r="G8902" t="n">
        <v>0.6</v>
      </c>
      <c r="H8902" t="n">
        <v>0</v>
      </c>
      <c r="I8902" t="n">
        <v>0</v>
      </c>
      <c r="J8902" t="n">
        <v>0</v>
      </c>
      <c r="K8902" t="n">
        <v>0</v>
      </c>
      <c r="L8902" t="n">
        <v>0</v>
      </c>
      <c r="M8902" t="n">
        <v>0</v>
      </c>
      <c r="N8902" t="n">
        <v>0</v>
      </c>
      <c r="O8902" t="n">
        <v>0</v>
      </c>
      <c r="P8902" t="n">
        <v>0</v>
      </c>
      <c r="Q8902" t="n">
        <v>0</v>
      </c>
      <c r="R8902" s="2" t="inlineStr"/>
    </row>
    <row r="8903" ht="15" customHeight="1">
      <c r="A8903" t="inlineStr">
        <is>
          <t>A 13008-2025</t>
        </is>
      </c>
      <c r="B8903" s="1" t="n">
        <v>45734.51854166666</v>
      </c>
      <c r="C8903" s="1" t="n">
        <v>45952</v>
      </c>
      <c r="D8903" t="inlineStr">
        <is>
          <t>VÄSTRA GÖTALANDS LÄN</t>
        </is>
      </c>
      <c r="E8903" t="inlineStr">
        <is>
          <t>KARLSBORG</t>
        </is>
      </c>
      <c r="G8903" t="n">
        <v>3.7</v>
      </c>
      <c r="H8903" t="n">
        <v>0</v>
      </c>
      <c r="I8903" t="n">
        <v>0</v>
      </c>
      <c r="J8903" t="n">
        <v>0</v>
      </c>
      <c r="K8903" t="n">
        <v>0</v>
      </c>
      <c r="L8903" t="n">
        <v>0</v>
      </c>
      <c r="M8903" t="n">
        <v>0</v>
      </c>
      <c r="N8903" t="n">
        <v>0</v>
      </c>
      <c r="O8903" t="n">
        <v>0</v>
      </c>
      <c r="P8903" t="n">
        <v>0</v>
      </c>
      <c r="Q8903" t="n">
        <v>0</v>
      </c>
      <c r="R8903" s="2" t="inlineStr"/>
    </row>
    <row r="8904" ht="15" customHeight="1">
      <c r="A8904" t="inlineStr">
        <is>
          <t>A 23258-2025</t>
        </is>
      </c>
      <c r="B8904" s="1" t="n">
        <v>45791.53902777778</v>
      </c>
      <c r="C8904" s="1" t="n">
        <v>45952</v>
      </c>
      <c r="D8904" t="inlineStr">
        <is>
          <t>VÄSTRA GÖTALANDS LÄN</t>
        </is>
      </c>
      <c r="E8904" t="inlineStr">
        <is>
          <t>ORUST</t>
        </is>
      </c>
      <c r="G8904" t="n">
        <v>1.5</v>
      </c>
      <c r="H8904" t="n">
        <v>0</v>
      </c>
      <c r="I8904" t="n">
        <v>0</v>
      </c>
      <c r="J8904" t="n">
        <v>0</v>
      </c>
      <c r="K8904" t="n">
        <v>0</v>
      </c>
      <c r="L8904" t="n">
        <v>0</v>
      </c>
      <c r="M8904" t="n">
        <v>0</v>
      </c>
      <c r="N8904" t="n">
        <v>0</v>
      </c>
      <c r="O8904" t="n">
        <v>0</v>
      </c>
      <c r="P8904" t="n">
        <v>0</v>
      </c>
      <c r="Q8904" t="n">
        <v>0</v>
      </c>
      <c r="R8904" s="2" t="inlineStr"/>
    </row>
    <row r="8905" ht="15" customHeight="1">
      <c r="A8905" t="inlineStr">
        <is>
          <t>A 43207-2022</t>
        </is>
      </c>
      <c r="B8905" s="1" t="n">
        <v>44834</v>
      </c>
      <c r="C8905" s="1" t="n">
        <v>45952</v>
      </c>
      <c r="D8905" t="inlineStr">
        <is>
          <t>VÄSTRA GÖTALANDS LÄN</t>
        </is>
      </c>
      <c r="E8905" t="inlineStr">
        <is>
          <t>MARK</t>
        </is>
      </c>
      <c r="G8905" t="n">
        <v>12.5</v>
      </c>
      <c r="H8905" t="n">
        <v>0</v>
      </c>
      <c r="I8905" t="n">
        <v>0</v>
      </c>
      <c r="J8905" t="n">
        <v>0</v>
      </c>
      <c r="K8905" t="n">
        <v>0</v>
      </c>
      <c r="L8905" t="n">
        <v>0</v>
      </c>
      <c r="M8905" t="n">
        <v>0</v>
      </c>
      <c r="N8905" t="n">
        <v>0</v>
      </c>
      <c r="O8905" t="n">
        <v>0</v>
      </c>
      <c r="P8905" t="n">
        <v>0</v>
      </c>
      <c r="Q8905" t="n">
        <v>0</v>
      </c>
      <c r="R8905" s="2" t="inlineStr"/>
    </row>
    <row r="8906" ht="15" customHeight="1">
      <c r="A8906" t="inlineStr">
        <is>
          <t>A 43277-2022</t>
        </is>
      </c>
      <c r="B8906" s="1" t="n">
        <v>44834</v>
      </c>
      <c r="C8906" s="1" t="n">
        <v>45952</v>
      </c>
      <c r="D8906" t="inlineStr">
        <is>
          <t>VÄSTRA GÖTALANDS LÄN</t>
        </is>
      </c>
      <c r="E8906" t="inlineStr">
        <is>
          <t>BENGTSFORS</t>
        </is>
      </c>
      <c r="F8906" t="inlineStr">
        <is>
          <t>Kyrkan</t>
        </is>
      </c>
      <c r="G8906" t="n">
        <v>4.2</v>
      </c>
      <c r="H8906" t="n">
        <v>0</v>
      </c>
      <c r="I8906" t="n">
        <v>0</v>
      </c>
      <c r="J8906" t="n">
        <v>0</v>
      </c>
      <c r="K8906" t="n">
        <v>0</v>
      </c>
      <c r="L8906" t="n">
        <v>0</v>
      </c>
      <c r="M8906" t="n">
        <v>0</v>
      </c>
      <c r="N8906" t="n">
        <v>0</v>
      </c>
      <c r="O8906" t="n">
        <v>0</v>
      </c>
      <c r="P8906" t="n">
        <v>0</v>
      </c>
      <c r="Q8906" t="n">
        <v>0</v>
      </c>
      <c r="R8906" s="2" t="inlineStr"/>
    </row>
    <row r="8907" ht="15" customHeight="1">
      <c r="A8907" t="inlineStr">
        <is>
          <t>A 22966-2025</t>
        </is>
      </c>
      <c r="B8907" s="1" t="n">
        <v>45790.54443287037</v>
      </c>
      <c r="C8907" s="1" t="n">
        <v>45952</v>
      </c>
      <c r="D8907" t="inlineStr">
        <is>
          <t>VÄSTRA GÖTALANDS LÄN</t>
        </is>
      </c>
      <c r="E8907" t="inlineStr">
        <is>
          <t>SVENLJUNGA</t>
        </is>
      </c>
      <c r="G8907" t="n">
        <v>1.3</v>
      </c>
      <c r="H8907" t="n">
        <v>0</v>
      </c>
      <c r="I8907" t="n">
        <v>0</v>
      </c>
      <c r="J8907" t="n">
        <v>0</v>
      </c>
      <c r="K8907" t="n">
        <v>0</v>
      </c>
      <c r="L8907" t="n">
        <v>0</v>
      </c>
      <c r="M8907" t="n">
        <v>0</v>
      </c>
      <c r="N8907" t="n">
        <v>0</v>
      </c>
      <c r="O8907" t="n">
        <v>0</v>
      </c>
      <c r="P8907" t="n">
        <v>0</v>
      </c>
      <c r="Q8907" t="n">
        <v>0</v>
      </c>
      <c r="R8907" s="2" t="inlineStr"/>
    </row>
    <row r="8908" ht="15" customHeight="1">
      <c r="A8908" t="inlineStr">
        <is>
          <t>A 10976-2025</t>
        </is>
      </c>
      <c r="B8908" s="1" t="n">
        <v>45723.39030092592</v>
      </c>
      <c r="C8908" s="1" t="n">
        <v>45952</v>
      </c>
      <c r="D8908" t="inlineStr">
        <is>
          <t>VÄSTRA GÖTALANDS LÄN</t>
        </is>
      </c>
      <c r="E8908" t="inlineStr">
        <is>
          <t>DALS-ED</t>
        </is>
      </c>
      <c r="G8908" t="n">
        <v>4.1</v>
      </c>
      <c r="H8908" t="n">
        <v>0</v>
      </c>
      <c r="I8908" t="n">
        <v>0</v>
      </c>
      <c r="J8908" t="n">
        <v>0</v>
      </c>
      <c r="K8908" t="n">
        <v>0</v>
      </c>
      <c r="L8908" t="n">
        <v>0</v>
      </c>
      <c r="M8908" t="n">
        <v>0</v>
      </c>
      <c r="N8908" t="n">
        <v>0</v>
      </c>
      <c r="O8908" t="n">
        <v>0</v>
      </c>
      <c r="P8908" t="n">
        <v>0</v>
      </c>
      <c r="Q8908" t="n">
        <v>0</v>
      </c>
      <c r="R8908" s="2" t="inlineStr"/>
    </row>
    <row r="8909" ht="15" customHeight="1">
      <c r="A8909" t="inlineStr">
        <is>
          <t>A 39462-2025</t>
        </is>
      </c>
      <c r="B8909" s="1" t="n">
        <v>45889.89510416667</v>
      </c>
      <c r="C8909" s="1" t="n">
        <v>45952</v>
      </c>
      <c r="D8909" t="inlineStr">
        <is>
          <t>VÄSTRA GÖTALANDS LÄN</t>
        </is>
      </c>
      <c r="E8909" t="inlineStr">
        <is>
          <t>ULRICEHAMN</t>
        </is>
      </c>
      <c r="G8909" t="n">
        <v>1.6</v>
      </c>
      <c r="H8909" t="n">
        <v>0</v>
      </c>
      <c r="I8909" t="n">
        <v>0</v>
      </c>
      <c r="J8909" t="n">
        <v>0</v>
      </c>
      <c r="K8909" t="n">
        <v>0</v>
      </c>
      <c r="L8909" t="n">
        <v>0</v>
      </c>
      <c r="M8909" t="n">
        <v>0</v>
      </c>
      <c r="N8909" t="n">
        <v>0</v>
      </c>
      <c r="O8909" t="n">
        <v>0</v>
      </c>
      <c r="P8909" t="n">
        <v>0</v>
      </c>
      <c r="Q8909" t="n">
        <v>0</v>
      </c>
      <c r="R8909" s="2" t="inlineStr"/>
    </row>
    <row r="8910" ht="15" customHeight="1">
      <c r="A8910" t="inlineStr">
        <is>
          <t>A 10655-2025</t>
        </is>
      </c>
      <c r="B8910" s="1" t="n">
        <v>45721.69958333333</v>
      </c>
      <c r="C8910" s="1" t="n">
        <v>45952</v>
      </c>
      <c r="D8910" t="inlineStr">
        <is>
          <t>VÄSTRA GÖTALANDS LÄN</t>
        </is>
      </c>
      <c r="E8910" t="inlineStr">
        <is>
          <t>VÅRGÅRDA</t>
        </is>
      </c>
      <c r="G8910" t="n">
        <v>2.1</v>
      </c>
      <c r="H8910" t="n">
        <v>0</v>
      </c>
      <c r="I8910" t="n">
        <v>0</v>
      </c>
      <c r="J8910" t="n">
        <v>0</v>
      </c>
      <c r="K8910" t="n">
        <v>0</v>
      </c>
      <c r="L8910" t="n">
        <v>0</v>
      </c>
      <c r="M8910" t="n">
        <v>0</v>
      </c>
      <c r="N8910" t="n">
        <v>0</v>
      </c>
      <c r="O8910" t="n">
        <v>0</v>
      </c>
      <c r="P8910" t="n">
        <v>0</v>
      </c>
      <c r="Q8910" t="n">
        <v>0</v>
      </c>
      <c r="R8910" s="2" t="inlineStr"/>
    </row>
    <row r="8911" ht="15" customHeight="1">
      <c r="A8911" t="inlineStr">
        <is>
          <t>A 11633-2025</t>
        </is>
      </c>
      <c r="B8911" s="1" t="n">
        <v>45727.46413194444</v>
      </c>
      <c r="C8911" s="1" t="n">
        <v>45952</v>
      </c>
      <c r="D8911" t="inlineStr">
        <is>
          <t>VÄSTRA GÖTALANDS LÄN</t>
        </is>
      </c>
      <c r="E8911" t="inlineStr">
        <is>
          <t>MARIESTAD</t>
        </is>
      </c>
      <c r="G8911" t="n">
        <v>1.6</v>
      </c>
      <c r="H8911" t="n">
        <v>0</v>
      </c>
      <c r="I8911" t="n">
        <v>0</v>
      </c>
      <c r="J8911" t="n">
        <v>0</v>
      </c>
      <c r="K8911" t="n">
        <v>0</v>
      </c>
      <c r="L8911" t="n">
        <v>0</v>
      </c>
      <c r="M8911" t="n">
        <v>0</v>
      </c>
      <c r="N8911" t="n">
        <v>0</v>
      </c>
      <c r="O8911" t="n">
        <v>0</v>
      </c>
      <c r="P8911" t="n">
        <v>0</v>
      </c>
      <c r="Q8911" t="n">
        <v>0</v>
      </c>
      <c r="R8911" s="2" t="inlineStr"/>
    </row>
    <row r="8912" ht="15" customHeight="1">
      <c r="A8912" t="inlineStr">
        <is>
          <t>A 23133-2025</t>
        </is>
      </c>
      <c r="B8912" s="1" t="n">
        <v>45791.38806712963</v>
      </c>
      <c r="C8912" s="1" t="n">
        <v>45952</v>
      </c>
      <c r="D8912" t="inlineStr">
        <is>
          <t>VÄSTRA GÖTALANDS LÄN</t>
        </is>
      </c>
      <c r="E8912" t="inlineStr">
        <is>
          <t>ÅMÅL</t>
        </is>
      </c>
      <c r="G8912" t="n">
        <v>1.1</v>
      </c>
      <c r="H8912" t="n">
        <v>0</v>
      </c>
      <c r="I8912" t="n">
        <v>0</v>
      </c>
      <c r="J8912" t="n">
        <v>0</v>
      </c>
      <c r="K8912" t="n">
        <v>0</v>
      </c>
      <c r="L8912" t="n">
        <v>0</v>
      </c>
      <c r="M8912" t="n">
        <v>0</v>
      </c>
      <c r="N8912" t="n">
        <v>0</v>
      </c>
      <c r="O8912" t="n">
        <v>0</v>
      </c>
      <c r="P8912" t="n">
        <v>0</v>
      </c>
      <c r="Q8912" t="n">
        <v>0</v>
      </c>
      <c r="R8912" s="2" t="inlineStr"/>
    </row>
    <row r="8913" ht="15" customHeight="1">
      <c r="A8913" t="inlineStr">
        <is>
          <t>A 66772-2021</t>
        </is>
      </c>
      <c r="B8913" s="1" t="n">
        <v>44521</v>
      </c>
      <c r="C8913" s="1" t="n">
        <v>45952</v>
      </c>
      <c r="D8913" t="inlineStr">
        <is>
          <t>VÄSTRA GÖTALANDS LÄN</t>
        </is>
      </c>
      <c r="E8913" t="inlineStr">
        <is>
          <t>MARIESTAD</t>
        </is>
      </c>
      <c r="G8913" t="n">
        <v>0.3</v>
      </c>
      <c r="H8913" t="n">
        <v>0</v>
      </c>
      <c r="I8913" t="n">
        <v>0</v>
      </c>
      <c r="J8913" t="n">
        <v>0</v>
      </c>
      <c r="K8913" t="n">
        <v>0</v>
      </c>
      <c r="L8913" t="n">
        <v>0</v>
      </c>
      <c r="M8913" t="n">
        <v>0</v>
      </c>
      <c r="N8913" t="n">
        <v>0</v>
      </c>
      <c r="O8913" t="n">
        <v>0</v>
      </c>
      <c r="P8913" t="n">
        <v>0</v>
      </c>
      <c r="Q8913" t="n">
        <v>0</v>
      </c>
      <c r="R8913" s="2" t="inlineStr"/>
    </row>
    <row r="8914" ht="15" customHeight="1">
      <c r="A8914" t="inlineStr">
        <is>
          <t>A 10357-2025</t>
        </is>
      </c>
      <c r="B8914" s="1" t="n">
        <v>45720.53015046296</v>
      </c>
      <c r="C8914" s="1" t="n">
        <v>45952</v>
      </c>
      <c r="D8914" t="inlineStr">
        <is>
          <t>VÄSTRA GÖTALANDS LÄN</t>
        </is>
      </c>
      <c r="E8914" t="inlineStr">
        <is>
          <t>MELLERUD</t>
        </is>
      </c>
      <c r="G8914" t="n">
        <v>0.9</v>
      </c>
      <c r="H8914" t="n">
        <v>0</v>
      </c>
      <c r="I8914" t="n">
        <v>0</v>
      </c>
      <c r="J8914" t="n">
        <v>0</v>
      </c>
      <c r="K8914" t="n">
        <v>0</v>
      </c>
      <c r="L8914" t="n">
        <v>0</v>
      </c>
      <c r="M8914" t="n">
        <v>0</v>
      </c>
      <c r="N8914" t="n">
        <v>0</v>
      </c>
      <c r="O8914" t="n">
        <v>0</v>
      </c>
      <c r="P8914" t="n">
        <v>0</v>
      </c>
      <c r="Q8914" t="n">
        <v>0</v>
      </c>
      <c r="R8914" s="2" t="inlineStr"/>
    </row>
    <row r="8915" ht="15" customHeight="1">
      <c r="A8915" t="inlineStr">
        <is>
          <t>A 10358-2025</t>
        </is>
      </c>
      <c r="B8915" s="1" t="n">
        <v>45720.53283564815</v>
      </c>
      <c r="C8915" s="1" t="n">
        <v>45952</v>
      </c>
      <c r="D8915" t="inlineStr">
        <is>
          <t>VÄSTRA GÖTALANDS LÄN</t>
        </is>
      </c>
      <c r="E8915" t="inlineStr">
        <is>
          <t>MELLERUD</t>
        </is>
      </c>
      <c r="G8915" t="n">
        <v>0.7</v>
      </c>
      <c r="H8915" t="n">
        <v>0</v>
      </c>
      <c r="I8915" t="n">
        <v>0</v>
      </c>
      <c r="J8915" t="n">
        <v>0</v>
      </c>
      <c r="K8915" t="n">
        <v>0</v>
      </c>
      <c r="L8915" t="n">
        <v>0</v>
      </c>
      <c r="M8915" t="n">
        <v>0</v>
      </c>
      <c r="N8915" t="n">
        <v>0</v>
      </c>
      <c r="O8915" t="n">
        <v>0</v>
      </c>
      <c r="P8915" t="n">
        <v>0</v>
      </c>
      <c r="Q8915" t="n">
        <v>0</v>
      </c>
      <c r="R8915" s="2" t="inlineStr"/>
    </row>
    <row r="8916" ht="15" customHeight="1">
      <c r="A8916" t="inlineStr">
        <is>
          <t>A 39465-2025</t>
        </is>
      </c>
      <c r="B8916" s="1" t="n">
        <v>45890.25476851852</v>
      </c>
      <c r="C8916" s="1" t="n">
        <v>45952</v>
      </c>
      <c r="D8916" t="inlineStr">
        <is>
          <t>VÄSTRA GÖTALANDS LÄN</t>
        </is>
      </c>
      <c r="E8916" t="inlineStr">
        <is>
          <t>SVENLJUNGA</t>
        </is>
      </c>
      <c r="G8916" t="n">
        <v>1.9</v>
      </c>
      <c r="H8916" t="n">
        <v>0</v>
      </c>
      <c r="I8916" t="n">
        <v>0</v>
      </c>
      <c r="J8916" t="n">
        <v>0</v>
      </c>
      <c r="K8916" t="n">
        <v>0</v>
      </c>
      <c r="L8916" t="n">
        <v>0</v>
      </c>
      <c r="M8916" t="n">
        <v>0</v>
      </c>
      <c r="N8916" t="n">
        <v>0</v>
      </c>
      <c r="O8916" t="n">
        <v>0</v>
      </c>
      <c r="P8916" t="n">
        <v>0</v>
      </c>
      <c r="Q8916" t="n">
        <v>0</v>
      </c>
      <c r="R8916" s="2" t="inlineStr"/>
    </row>
    <row r="8917" ht="15" customHeight="1">
      <c r="A8917" t="inlineStr">
        <is>
          <t>A 18473-2025</t>
        </is>
      </c>
      <c r="B8917" s="1" t="n">
        <v>45762.75453703704</v>
      </c>
      <c r="C8917" s="1" t="n">
        <v>45952</v>
      </c>
      <c r="D8917" t="inlineStr">
        <is>
          <t>VÄSTRA GÖTALANDS LÄN</t>
        </is>
      </c>
      <c r="E8917" t="inlineStr">
        <is>
          <t>MUNKEDAL</t>
        </is>
      </c>
      <c r="G8917" t="n">
        <v>7.3</v>
      </c>
      <c r="H8917" t="n">
        <v>0</v>
      </c>
      <c r="I8917" t="n">
        <v>0</v>
      </c>
      <c r="J8917" t="n">
        <v>0</v>
      </c>
      <c r="K8917" t="n">
        <v>0</v>
      </c>
      <c r="L8917" t="n">
        <v>0</v>
      </c>
      <c r="M8917" t="n">
        <v>0</v>
      </c>
      <c r="N8917" t="n">
        <v>0</v>
      </c>
      <c r="O8917" t="n">
        <v>0</v>
      </c>
      <c r="P8917" t="n">
        <v>0</v>
      </c>
      <c r="Q8917" t="n">
        <v>0</v>
      </c>
      <c r="R8917" s="2" t="inlineStr"/>
    </row>
    <row r="8918" ht="15" customHeight="1">
      <c r="A8918" t="inlineStr">
        <is>
          <t>A 48071-2024</t>
        </is>
      </c>
      <c r="B8918" s="1" t="n">
        <v>45589</v>
      </c>
      <c r="C8918" s="1" t="n">
        <v>45952</v>
      </c>
      <c r="D8918" t="inlineStr">
        <is>
          <t>VÄSTRA GÖTALANDS LÄN</t>
        </is>
      </c>
      <c r="E8918" t="inlineStr">
        <is>
          <t>STRÖMSTAD</t>
        </is>
      </c>
      <c r="G8918" t="n">
        <v>2.1</v>
      </c>
      <c r="H8918" t="n">
        <v>0</v>
      </c>
      <c r="I8918" t="n">
        <v>0</v>
      </c>
      <c r="J8918" t="n">
        <v>0</v>
      </c>
      <c r="K8918" t="n">
        <v>0</v>
      </c>
      <c r="L8918" t="n">
        <v>0</v>
      </c>
      <c r="M8918" t="n">
        <v>0</v>
      </c>
      <c r="N8918" t="n">
        <v>0</v>
      </c>
      <c r="O8918" t="n">
        <v>0</v>
      </c>
      <c r="P8918" t="n">
        <v>0</v>
      </c>
      <c r="Q8918" t="n">
        <v>0</v>
      </c>
      <c r="R8918" s="2" t="inlineStr"/>
    </row>
    <row r="8919" ht="15" customHeight="1">
      <c r="A8919" t="inlineStr">
        <is>
          <t>A 10393-2025</t>
        </is>
      </c>
      <c r="B8919" s="1" t="n">
        <v>45720.60332175926</v>
      </c>
      <c r="C8919" s="1" t="n">
        <v>45952</v>
      </c>
      <c r="D8919" t="inlineStr">
        <is>
          <t>VÄSTRA GÖTALANDS LÄN</t>
        </is>
      </c>
      <c r="E8919" t="inlineStr">
        <is>
          <t>GULLSPÅNG</t>
        </is>
      </c>
      <c r="G8919" t="n">
        <v>1</v>
      </c>
      <c r="H8919" t="n">
        <v>0</v>
      </c>
      <c r="I8919" t="n">
        <v>0</v>
      </c>
      <c r="J8919" t="n">
        <v>0</v>
      </c>
      <c r="K8919" t="n">
        <v>0</v>
      </c>
      <c r="L8919" t="n">
        <v>0</v>
      </c>
      <c r="M8919" t="n">
        <v>0</v>
      </c>
      <c r="N8919" t="n">
        <v>0</v>
      </c>
      <c r="O8919" t="n">
        <v>0</v>
      </c>
      <c r="P8919" t="n">
        <v>0</v>
      </c>
      <c r="Q8919" t="n">
        <v>0</v>
      </c>
      <c r="R8919" s="2" t="inlineStr"/>
    </row>
    <row r="8920" ht="15" customHeight="1">
      <c r="A8920" t="inlineStr">
        <is>
          <t>A 60456-2024</t>
        </is>
      </c>
      <c r="B8920" s="1" t="n">
        <v>45643.60787037037</v>
      </c>
      <c r="C8920" s="1" t="n">
        <v>45952</v>
      </c>
      <c r="D8920" t="inlineStr">
        <is>
          <t>VÄSTRA GÖTALANDS LÄN</t>
        </is>
      </c>
      <c r="E8920" t="inlineStr">
        <is>
          <t>FÄRGELANDA</t>
        </is>
      </c>
      <c r="G8920" t="n">
        <v>16.9</v>
      </c>
      <c r="H8920" t="n">
        <v>0</v>
      </c>
      <c r="I8920" t="n">
        <v>0</v>
      </c>
      <c r="J8920" t="n">
        <v>0</v>
      </c>
      <c r="K8920" t="n">
        <v>0</v>
      </c>
      <c r="L8920" t="n">
        <v>0</v>
      </c>
      <c r="M8920" t="n">
        <v>0</v>
      </c>
      <c r="N8920" t="n">
        <v>0</v>
      </c>
      <c r="O8920" t="n">
        <v>0</v>
      </c>
      <c r="P8920" t="n">
        <v>0</v>
      </c>
      <c r="Q8920" t="n">
        <v>0</v>
      </c>
      <c r="R8920" s="2" t="inlineStr"/>
    </row>
    <row r="8921" ht="15" customHeight="1">
      <c r="A8921" t="inlineStr">
        <is>
          <t>A 39662-2025</t>
        </is>
      </c>
      <c r="B8921" s="1" t="n">
        <v>45890.63438657407</v>
      </c>
      <c r="C8921" s="1" t="n">
        <v>45952</v>
      </c>
      <c r="D8921" t="inlineStr">
        <is>
          <t>VÄSTRA GÖTALANDS LÄN</t>
        </is>
      </c>
      <c r="E8921" t="inlineStr">
        <is>
          <t>MUNKEDAL</t>
        </is>
      </c>
      <c r="G8921" t="n">
        <v>4.2</v>
      </c>
      <c r="H8921" t="n">
        <v>0</v>
      </c>
      <c r="I8921" t="n">
        <v>0</v>
      </c>
      <c r="J8921" t="n">
        <v>0</v>
      </c>
      <c r="K8921" t="n">
        <v>0</v>
      </c>
      <c r="L8921" t="n">
        <v>0</v>
      </c>
      <c r="M8921" t="n">
        <v>0</v>
      </c>
      <c r="N8921" t="n">
        <v>0</v>
      </c>
      <c r="O8921" t="n">
        <v>0</v>
      </c>
      <c r="P8921" t="n">
        <v>0</v>
      </c>
      <c r="Q8921" t="n">
        <v>0</v>
      </c>
      <c r="R8921" s="2" t="inlineStr"/>
    </row>
    <row r="8922" ht="15" customHeight="1">
      <c r="A8922" t="inlineStr">
        <is>
          <t>A 21830-2025</t>
        </is>
      </c>
      <c r="B8922" s="1" t="n">
        <v>45784.26109953703</v>
      </c>
      <c r="C8922" s="1" t="n">
        <v>45952</v>
      </c>
      <c r="D8922" t="inlineStr">
        <is>
          <t>VÄSTRA GÖTALANDS LÄN</t>
        </is>
      </c>
      <c r="E8922" t="inlineStr">
        <is>
          <t>ULRICEHAMN</t>
        </is>
      </c>
      <c r="G8922" t="n">
        <v>1.9</v>
      </c>
      <c r="H8922" t="n">
        <v>0</v>
      </c>
      <c r="I8922" t="n">
        <v>0</v>
      </c>
      <c r="J8922" t="n">
        <v>0</v>
      </c>
      <c r="K8922" t="n">
        <v>0</v>
      </c>
      <c r="L8922" t="n">
        <v>0</v>
      </c>
      <c r="M8922" t="n">
        <v>0</v>
      </c>
      <c r="N8922" t="n">
        <v>0</v>
      </c>
      <c r="O8922" t="n">
        <v>0</v>
      </c>
      <c r="P8922" t="n">
        <v>0</v>
      </c>
      <c r="Q8922" t="n">
        <v>0</v>
      </c>
      <c r="R8922" s="2" t="inlineStr"/>
    </row>
    <row r="8923" ht="15" customHeight="1">
      <c r="A8923" t="inlineStr">
        <is>
          <t>A 39592-2025</t>
        </is>
      </c>
      <c r="B8923" s="1" t="n">
        <v>45890</v>
      </c>
      <c r="C8923" s="1" t="n">
        <v>45952</v>
      </c>
      <c r="D8923" t="inlineStr">
        <is>
          <t>VÄSTRA GÖTALANDS LÄN</t>
        </is>
      </c>
      <c r="E8923" t="inlineStr">
        <is>
          <t>HERRLJUNGA</t>
        </is>
      </c>
      <c r="G8923" t="n">
        <v>4</v>
      </c>
      <c r="H8923" t="n">
        <v>0</v>
      </c>
      <c r="I8923" t="n">
        <v>0</v>
      </c>
      <c r="J8923" t="n">
        <v>0</v>
      </c>
      <c r="K8923" t="n">
        <v>0</v>
      </c>
      <c r="L8923" t="n">
        <v>0</v>
      </c>
      <c r="M8923" t="n">
        <v>0</v>
      </c>
      <c r="N8923" t="n">
        <v>0</v>
      </c>
      <c r="O8923" t="n">
        <v>0</v>
      </c>
      <c r="P8923" t="n">
        <v>0</v>
      </c>
      <c r="Q8923" t="n">
        <v>0</v>
      </c>
      <c r="R8923" s="2" t="inlineStr"/>
    </row>
    <row r="8924" ht="15" customHeight="1">
      <c r="A8924" t="inlineStr">
        <is>
          <t>A 15559-2023</t>
        </is>
      </c>
      <c r="B8924" s="1" t="n">
        <v>45019</v>
      </c>
      <c r="C8924" s="1" t="n">
        <v>45952</v>
      </c>
      <c r="D8924" t="inlineStr">
        <is>
          <t>VÄSTRA GÖTALANDS LÄN</t>
        </is>
      </c>
      <c r="E8924" t="inlineStr">
        <is>
          <t>STRÖMSTAD</t>
        </is>
      </c>
      <c r="G8924" t="n">
        <v>5.3</v>
      </c>
      <c r="H8924" t="n">
        <v>0</v>
      </c>
      <c r="I8924" t="n">
        <v>0</v>
      </c>
      <c r="J8924" t="n">
        <v>0</v>
      </c>
      <c r="K8924" t="n">
        <v>0</v>
      </c>
      <c r="L8924" t="n">
        <v>0</v>
      </c>
      <c r="M8924" t="n">
        <v>0</v>
      </c>
      <c r="N8924" t="n">
        <v>0</v>
      </c>
      <c r="O8924" t="n">
        <v>0</v>
      </c>
      <c r="P8924" t="n">
        <v>0</v>
      </c>
      <c r="Q8924" t="n">
        <v>0</v>
      </c>
      <c r="R8924" s="2" t="inlineStr"/>
    </row>
    <row r="8925" ht="15" customHeight="1">
      <c r="A8925" t="inlineStr">
        <is>
          <t>A 60993-2022</t>
        </is>
      </c>
      <c r="B8925" s="1" t="n">
        <v>44914</v>
      </c>
      <c r="C8925" s="1" t="n">
        <v>45952</v>
      </c>
      <c r="D8925" t="inlineStr">
        <is>
          <t>VÄSTRA GÖTALANDS LÄN</t>
        </is>
      </c>
      <c r="E8925" t="inlineStr">
        <is>
          <t>MELLERUD</t>
        </is>
      </c>
      <c r="G8925" t="n">
        <v>0.6</v>
      </c>
      <c r="H8925" t="n">
        <v>0</v>
      </c>
      <c r="I8925" t="n">
        <v>0</v>
      </c>
      <c r="J8925" t="n">
        <v>0</v>
      </c>
      <c r="K8925" t="n">
        <v>0</v>
      </c>
      <c r="L8925" t="n">
        <v>0</v>
      </c>
      <c r="M8925" t="n">
        <v>0</v>
      </c>
      <c r="N8925" t="n">
        <v>0</v>
      </c>
      <c r="O8925" t="n">
        <v>0</v>
      </c>
      <c r="P8925" t="n">
        <v>0</v>
      </c>
      <c r="Q8925" t="n">
        <v>0</v>
      </c>
      <c r="R8925" s="2" t="inlineStr"/>
    </row>
    <row r="8926" ht="15" customHeight="1">
      <c r="A8926" t="inlineStr">
        <is>
          <t>A 7580-2025</t>
        </is>
      </c>
      <c r="B8926" s="1" t="n">
        <v>45705</v>
      </c>
      <c r="C8926" s="1" t="n">
        <v>45952</v>
      </c>
      <c r="D8926" t="inlineStr">
        <is>
          <t>VÄSTRA GÖTALANDS LÄN</t>
        </is>
      </c>
      <c r="E8926" t="inlineStr">
        <is>
          <t>MARIESTAD</t>
        </is>
      </c>
      <c r="G8926" t="n">
        <v>0.5</v>
      </c>
      <c r="H8926" t="n">
        <v>0</v>
      </c>
      <c r="I8926" t="n">
        <v>0</v>
      </c>
      <c r="J8926" t="n">
        <v>0</v>
      </c>
      <c r="K8926" t="n">
        <v>0</v>
      </c>
      <c r="L8926" t="n">
        <v>0</v>
      </c>
      <c r="M8926" t="n">
        <v>0</v>
      </c>
      <c r="N8926" t="n">
        <v>0</v>
      </c>
      <c r="O8926" t="n">
        <v>0</v>
      </c>
      <c r="P8926" t="n">
        <v>0</v>
      </c>
      <c r="Q8926" t="n">
        <v>0</v>
      </c>
      <c r="R8926" s="2" t="inlineStr"/>
    </row>
    <row r="8927" ht="15" customHeight="1">
      <c r="A8927" t="inlineStr">
        <is>
          <t>A 13116-2025</t>
        </is>
      </c>
      <c r="B8927" s="1" t="n">
        <v>45734.71525462963</v>
      </c>
      <c r="C8927" s="1" t="n">
        <v>45952</v>
      </c>
      <c r="D8927" t="inlineStr">
        <is>
          <t>VÄSTRA GÖTALANDS LÄN</t>
        </is>
      </c>
      <c r="E8927" t="inlineStr">
        <is>
          <t>STENUNGSUND</t>
        </is>
      </c>
      <c r="G8927" t="n">
        <v>1.5</v>
      </c>
      <c r="H8927" t="n">
        <v>0</v>
      </c>
      <c r="I8927" t="n">
        <v>0</v>
      </c>
      <c r="J8927" t="n">
        <v>0</v>
      </c>
      <c r="K8927" t="n">
        <v>0</v>
      </c>
      <c r="L8927" t="n">
        <v>0</v>
      </c>
      <c r="M8927" t="n">
        <v>0</v>
      </c>
      <c r="N8927" t="n">
        <v>0</v>
      </c>
      <c r="O8927" t="n">
        <v>0</v>
      </c>
      <c r="P8927" t="n">
        <v>0</v>
      </c>
      <c r="Q8927" t="n">
        <v>0</v>
      </c>
      <c r="R8927" s="2" t="inlineStr"/>
    </row>
    <row r="8928" ht="15" customHeight="1">
      <c r="A8928" t="inlineStr">
        <is>
          <t>A 11931-2025</t>
        </is>
      </c>
      <c r="B8928" s="1" t="n">
        <v>45728.5212962963</v>
      </c>
      <c r="C8928" s="1" t="n">
        <v>45952</v>
      </c>
      <c r="D8928" t="inlineStr">
        <is>
          <t>VÄSTRA GÖTALANDS LÄN</t>
        </is>
      </c>
      <c r="E8928" t="inlineStr">
        <is>
          <t>STRÖMSTAD</t>
        </is>
      </c>
      <c r="G8928" t="n">
        <v>1.9</v>
      </c>
      <c r="H8928" t="n">
        <v>0</v>
      </c>
      <c r="I8928" t="n">
        <v>0</v>
      </c>
      <c r="J8928" t="n">
        <v>0</v>
      </c>
      <c r="K8928" t="n">
        <v>0</v>
      </c>
      <c r="L8928" t="n">
        <v>0</v>
      </c>
      <c r="M8928" t="n">
        <v>0</v>
      </c>
      <c r="N8928" t="n">
        <v>0</v>
      </c>
      <c r="O8928" t="n">
        <v>0</v>
      </c>
      <c r="P8928" t="n">
        <v>0</v>
      </c>
      <c r="Q8928" t="n">
        <v>0</v>
      </c>
      <c r="R8928" s="2" t="inlineStr"/>
    </row>
    <row r="8929" ht="15" customHeight="1">
      <c r="A8929" t="inlineStr">
        <is>
          <t>A 39603-2025</t>
        </is>
      </c>
      <c r="B8929" s="1" t="n">
        <v>45890.55368055555</v>
      </c>
      <c r="C8929" s="1" t="n">
        <v>45952</v>
      </c>
      <c r="D8929" t="inlineStr">
        <is>
          <t>VÄSTRA GÖTALANDS LÄN</t>
        </is>
      </c>
      <c r="E8929" t="inlineStr">
        <is>
          <t>TRANEMO</t>
        </is>
      </c>
      <c r="G8929" t="n">
        <v>3.6</v>
      </c>
      <c r="H8929" t="n">
        <v>0</v>
      </c>
      <c r="I8929" t="n">
        <v>0</v>
      </c>
      <c r="J8929" t="n">
        <v>0</v>
      </c>
      <c r="K8929" t="n">
        <v>0</v>
      </c>
      <c r="L8929" t="n">
        <v>0</v>
      </c>
      <c r="M8929" t="n">
        <v>0</v>
      </c>
      <c r="N8929" t="n">
        <v>0</v>
      </c>
      <c r="O8929" t="n">
        <v>0</v>
      </c>
      <c r="P8929" t="n">
        <v>0</v>
      </c>
      <c r="Q8929" t="n">
        <v>0</v>
      </c>
      <c r="R8929" s="2" t="inlineStr"/>
    </row>
    <row r="8930" ht="15" customHeight="1">
      <c r="A8930" t="inlineStr">
        <is>
          <t>A 39605-2025</t>
        </is>
      </c>
      <c r="B8930" s="1" t="n">
        <v>45890.55513888889</v>
      </c>
      <c r="C8930" s="1" t="n">
        <v>45952</v>
      </c>
      <c r="D8930" t="inlineStr">
        <is>
          <t>VÄSTRA GÖTALANDS LÄN</t>
        </is>
      </c>
      <c r="E8930" t="inlineStr">
        <is>
          <t>TRANEMO</t>
        </is>
      </c>
      <c r="G8930" t="n">
        <v>2.2</v>
      </c>
      <c r="H8930" t="n">
        <v>0</v>
      </c>
      <c r="I8930" t="n">
        <v>0</v>
      </c>
      <c r="J8930" t="n">
        <v>0</v>
      </c>
      <c r="K8930" t="n">
        <v>0</v>
      </c>
      <c r="L8930" t="n">
        <v>0</v>
      </c>
      <c r="M8930" t="n">
        <v>0</v>
      </c>
      <c r="N8930" t="n">
        <v>0</v>
      </c>
      <c r="O8930" t="n">
        <v>0</v>
      </c>
      <c r="P8930" t="n">
        <v>0</v>
      </c>
      <c r="Q8930" t="n">
        <v>0</v>
      </c>
      <c r="R8930" s="2" t="inlineStr"/>
    </row>
    <row r="8931" ht="15" customHeight="1">
      <c r="A8931" t="inlineStr">
        <is>
          <t>A 39616-2025</t>
        </is>
      </c>
      <c r="B8931" s="1" t="n">
        <v>45890.56574074074</v>
      </c>
      <c r="C8931" s="1" t="n">
        <v>45952</v>
      </c>
      <c r="D8931" t="inlineStr">
        <is>
          <t>VÄSTRA GÖTALANDS LÄN</t>
        </is>
      </c>
      <c r="E8931" t="inlineStr">
        <is>
          <t>UDDEVALLA</t>
        </is>
      </c>
      <c r="G8931" t="n">
        <v>1.5</v>
      </c>
      <c r="H8931" t="n">
        <v>0</v>
      </c>
      <c r="I8931" t="n">
        <v>0</v>
      </c>
      <c r="J8931" t="n">
        <v>0</v>
      </c>
      <c r="K8931" t="n">
        <v>0</v>
      </c>
      <c r="L8931" t="n">
        <v>0</v>
      </c>
      <c r="M8931" t="n">
        <v>0</v>
      </c>
      <c r="N8931" t="n">
        <v>0</v>
      </c>
      <c r="O8931" t="n">
        <v>0</v>
      </c>
      <c r="P8931" t="n">
        <v>0</v>
      </c>
      <c r="Q8931" t="n">
        <v>0</v>
      </c>
      <c r="R8931" s="2" t="inlineStr"/>
    </row>
    <row r="8932" ht="15" customHeight="1">
      <c r="A8932" t="inlineStr">
        <is>
          <t>A 4427-2024</t>
        </is>
      </c>
      <c r="B8932" s="1" t="n">
        <v>45327.46177083333</v>
      </c>
      <c r="C8932" s="1" t="n">
        <v>45952</v>
      </c>
      <c r="D8932" t="inlineStr">
        <is>
          <t>VÄSTRA GÖTALANDS LÄN</t>
        </is>
      </c>
      <c r="E8932" t="inlineStr">
        <is>
          <t>BENGTSFORS</t>
        </is>
      </c>
      <c r="G8932" t="n">
        <v>1.2</v>
      </c>
      <c r="H8932" t="n">
        <v>0</v>
      </c>
      <c r="I8932" t="n">
        <v>0</v>
      </c>
      <c r="J8932" t="n">
        <v>0</v>
      </c>
      <c r="K8932" t="n">
        <v>0</v>
      </c>
      <c r="L8932" t="n">
        <v>0</v>
      </c>
      <c r="M8932" t="n">
        <v>0</v>
      </c>
      <c r="N8932" t="n">
        <v>0</v>
      </c>
      <c r="O8932" t="n">
        <v>0</v>
      </c>
      <c r="P8932" t="n">
        <v>0</v>
      </c>
      <c r="Q8932" t="n">
        <v>0</v>
      </c>
      <c r="R8932" s="2" t="inlineStr"/>
    </row>
    <row r="8933" ht="15" customHeight="1">
      <c r="A8933" t="inlineStr">
        <is>
          <t>A 12954-2025</t>
        </is>
      </c>
      <c r="B8933" s="1" t="n">
        <v>45734.40412037037</v>
      </c>
      <c r="C8933" s="1" t="n">
        <v>45952</v>
      </c>
      <c r="D8933" t="inlineStr">
        <is>
          <t>VÄSTRA GÖTALANDS LÄN</t>
        </is>
      </c>
      <c r="E8933" t="inlineStr">
        <is>
          <t>TIBRO</t>
        </is>
      </c>
      <c r="G8933" t="n">
        <v>1.3</v>
      </c>
      <c r="H8933" t="n">
        <v>0</v>
      </c>
      <c r="I8933" t="n">
        <v>0</v>
      </c>
      <c r="J8933" t="n">
        <v>0</v>
      </c>
      <c r="K8933" t="n">
        <v>0</v>
      </c>
      <c r="L8933" t="n">
        <v>0</v>
      </c>
      <c r="M8933" t="n">
        <v>0</v>
      </c>
      <c r="N8933" t="n">
        <v>0</v>
      </c>
      <c r="O8933" t="n">
        <v>0</v>
      </c>
      <c r="P8933" t="n">
        <v>0</v>
      </c>
      <c r="Q8933" t="n">
        <v>0</v>
      </c>
      <c r="R8933" s="2" t="inlineStr"/>
    </row>
    <row r="8934" ht="15" customHeight="1">
      <c r="A8934" t="inlineStr">
        <is>
          <t>A 13670-2025</t>
        </is>
      </c>
      <c r="B8934" s="1" t="n">
        <v>45736.8590625</v>
      </c>
      <c r="C8934" s="1" t="n">
        <v>45952</v>
      </c>
      <c r="D8934" t="inlineStr">
        <is>
          <t>VÄSTRA GÖTALANDS LÄN</t>
        </is>
      </c>
      <c r="E8934" t="inlineStr">
        <is>
          <t>DALS-ED</t>
        </is>
      </c>
      <c r="F8934" t="inlineStr">
        <is>
          <t>Övriga Aktiebolag</t>
        </is>
      </c>
      <c r="G8934" t="n">
        <v>3.7</v>
      </c>
      <c r="H8934" t="n">
        <v>0</v>
      </c>
      <c r="I8934" t="n">
        <v>0</v>
      </c>
      <c r="J8934" t="n">
        <v>0</v>
      </c>
      <c r="K8934" t="n">
        <v>0</v>
      </c>
      <c r="L8934" t="n">
        <v>0</v>
      </c>
      <c r="M8934" t="n">
        <v>0</v>
      </c>
      <c r="N8934" t="n">
        <v>0</v>
      </c>
      <c r="O8934" t="n">
        <v>0</v>
      </c>
      <c r="P8934" t="n">
        <v>0</v>
      </c>
      <c r="Q8934" t="n">
        <v>0</v>
      </c>
      <c r="R8934" s="2" t="inlineStr"/>
    </row>
    <row r="8935" ht="15" customHeight="1">
      <c r="A8935" t="inlineStr">
        <is>
          <t>A 14331-2025</t>
        </is>
      </c>
      <c r="B8935" s="1" t="n">
        <v>45740.89940972222</v>
      </c>
      <c r="C8935" s="1" t="n">
        <v>45952</v>
      </c>
      <c r="D8935" t="inlineStr">
        <is>
          <t>VÄSTRA GÖTALANDS LÄN</t>
        </is>
      </c>
      <c r="E8935" t="inlineStr">
        <is>
          <t>TIDAHOLM</t>
        </is>
      </c>
      <c r="G8935" t="n">
        <v>1</v>
      </c>
      <c r="H8935" t="n">
        <v>0</v>
      </c>
      <c r="I8935" t="n">
        <v>0</v>
      </c>
      <c r="J8935" t="n">
        <v>0</v>
      </c>
      <c r="K8935" t="n">
        <v>0</v>
      </c>
      <c r="L8935" t="n">
        <v>0</v>
      </c>
      <c r="M8935" t="n">
        <v>0</v>
      </c>
      <c r="N8935" t="n">
        <v>0</v>
      </c>
      <c r="O8935" t="n">
        <v>0</v>
      </c>
      <c r="P8935" t="n">
        <v>0</v>
      </c>
      <c r="Q8935" t="n">
        <v>0</v>
      </c>
      <c r="R8935" s="2" t="inlineStr"/>
    </row>
    <row r="8936" ht="15" customHeight="1">
      <c r="A8936" t="inlineStr">
        <is>
          <t>A 16341-2025</t>
        </is>
      </c>
      <c r="B8936" s="1" t="n">
        <v>45751</v>
      </c>
      <c r="C8936" s="1" t="n">
        <v>45952</v>
      </c>
      <c r="D8936" t="inlineStr">
        <is>
          <t>VÄSTRA GÖTALANDS LÄN</t>
        </is>
      </c>
      <c r="E8936" t="inlineStr">
        <is>
          <t>GÖTENE</t>
        </is>
      </c>
      <c r="G8936" t="n">
        <v>1.4</v>
      </c>
      <c r="H8936" t="n">
        <v>0</v>
      </c>
      <c r="I8936" t="n">
        <v>0</v>
      </c>
      <c r="J8936" t="n">
        <v>0</v>
      </c>
      <c r="K8936" t="n">
        <v>0</v>
      </c>
      <c r="L8936" t="n">
        <v>0</v>
      </c>
      <c r="M8936" t="n">
        <v>0</v>
      </c>
      <c r="N8936" t="n">
        <v>0</v>
      </c>
      <c r="O8936" t="n">
        <v>0</v>
      </c>
      <c r="P8936" t="n">
        <v>0</v>
      </c>
      <c r="Q8936" t="n">
        <v>0</v>
      </c>
      <c r="R8936" s="2" t="inlineStr"/>
    </row>
    <row r="8937" ht="15" customHeight="1">
      <c r="A8937" t="inlineStr">
        <is>
          <t>A 18661-2024</t>
        </is>
      </c>
      <c r="B8937" s="1" t="n">
        <v>45426.30793981482</v>
      </c>
      <c r="C8937" s="1" t="n">
        <v>45952</v>
      </c>
      <c r="D8937" t="inlineStr">
        <is>
          <t>VÄSTRA GÖTALANDS LÄN</t>
        </is>
      </c>
      <c r="E8937" t="inlineStr">
        <is>
          <t>FALKÖPING</t>
        </is>
      </c>
      <c r="G8937" t="n">
        <v>1</v>
      </c>
      <c r="H8937" t="n">
        <v>0</v>
      </c>
      <c r="I8937" t="n">
        <v>0</v>
      </c>
      <c r="J8937" t="n">
        <v>0</v>
      </c>
      <c r="K8937" t="n">
        <v>0</v>
      </c>
      <c r="L8937" t="n">
        <v>0</v>
      </c>
      <c r="M8937" t="n">
        <v>0</v>
      </c>
      <c r="N8937" t="n">
        <v>0</v>
      </c>
      <c r="O8937" t="n">
        <v>0</v>
      </c>
      <c r="P8937" t="n">
        <v>0</v>
      </c>
      <c r="Q8937" t="n">
        <v>0</v>
      </c>
      <c r="R8937" s="2" t="inlineStr"/>
    </row>
    <row r="8938" ht="15" customHeight="1">
      <c r="A8938" t="inlineStr">
        <is>
          <t>A 47894-2025</t>
        </is>
      </c>
      <c r="B8938" s="1" t="n">
        <v>45932.47908564815</v>
      </c>
      <c r="C8938" s="1" t="n">
        <v>45952</v>
      </c>
      <c r="D8938" t="inlineStr">
        <is>
          <t>VÄSTRA GÖTALANDS LÄN</t>
        </is>
      </c>
      <c r="E8938" t="inlineStr">
        <is>
          <t>ULRICEHAMN</t>
        </is>
      </c>
      <c r="G8938" t="n">
        <v>5.5</v>
      </c>
      <c r="H8938" t="n">
        <v>0</v>
      </c>
      <c r="I8938" t="n">
        <v>0</v>
      </c>
      <c r="J8938" t="n">
        <v>0</v>
      </c>
      <c r="K8938" t="n">
        <v>0</v>
      </c>
      <c r="L8938" t="n">
        <v>0</v>
      </c>
      <c r="M8938" t="n">
        <v>0</v>
      </c>
      <c r="N8938" t="n">
        <v>0</v>
      </c>
      <c r="O8938" t="n">
        <v>0</v>
      </c>
      <c r="P8938" t="n">
        <v>0</v>
      </c>
      <c r="Q8938" t="n">
        <v>0</v>
      </c>
      <c r="R8938" s="2" t="inlineStr"/>
    </row>
    <row r="8939" ht="15" customHeight="1">
      <c r="A8939" t="inlineStr">
        <is>
          <t>A 47896-2025</t>
        </is>
      </c>
      <c r="B8939" s="1" t="n">
        <v>45932.49059027778</v>
      </c>
      <c r="C8939" s="1" t="n">
        <v>45952</v>
      </c>
      <c r="D8939" t="inlineStr">
        <is>
          <t>VÄSTRA GÖTALANDS LÄN</t>
        </is>
      </c>
      <c r="E8939" t="inlineStr">
        <is>
          <t>ULRICEHAMN</t>
        </is>
      </c>
      <c r="G8939" t="n">
        <v>8.199999999999999</v>
      </c>
      <c r="H8939" t="n">
        <v>0</v>
      </c>
      <c r="I8939" t="n">
        <v>0</v>
      </c>
      <c r="J8939" t="n">
        <v>0</v>
      </c>
      <c r="K8939" t="n">
        <v>0</v>
      </c>
      <c r="L8939" t="n">
        <v>0</v>
      </c>
      <c r="M8939" t="n">
        <v>0</v>
      </c>
      <c r="N8939" t="n">
        <v>0</v>
      </c>
      <c r="O8939" t="n">
        <v>0</v>
      </c>
      <c r="P8939" t="n">
        <v>0</v>
      </c>
      <c r="Q8939" t="n">
        <v>0</v>
      </c>
      <c r="R8939" s="2" t="inlineStr"/>
    </row>
    <row r="8940" ht="15" customHeight="1">
      <c r="A8940" t="inlineStr">
        <is>
          <t>A 47902-2025</t>
        </is>
      </c>
      <c r="B8940" s="1" t="n">
        <v>45932.49850694444</v>
      </c>
      <c r="C8940" s="1" t="n">
        <v>45952</v>
      </c>
      <c r="D8940" t="inlineStr">
        <is>
          <t>VÄSTRA GÖTALANDS LÄN</t>
        </is>
      </c>
      <c r="E8940" t="inlineStr">
        <is>
          <t>BENGTSFORS</t>
        </is>
      </c>
      <c r="G8940" t="n">
        <v>6.6</v>
      </c>
      <c r="H8940" t="n">
        <v>0</v>
      </c>
      <c r="I8940" t="n">
        <v>0</v>
      </c>
      <c r="J8940" t="n">
        <v>0</v>
      </c>
      <c r="K8940" t="n">
        <v>0</v>
      </c>
      <c r="L8940" t="n">
        <v>0</v>
      </c>
      <c r="M8940" t="n">
        <v>0</v>
      </c>
      <c r="N8940" t="n">
        <v>0</v>
      </c>
      <c r="O8940" t="n">
        <v>0</v>
      </c>
      <c r="P8940" t="n">
        <v>0</v>
      </c>
      <c r="Q8940" t="n">
        <v>0</v>
      </c>
      <c r="R8940" s="2" t="inlineStr"/>
    </row>
    <row r="8941" ht="15" customHeight="1">
      <c r="A8941" t="inlineStr">
        <is>
          <t>A 47903-2025</t>
        </is>
      </c>
      <c r="B8941" s="1" t="n">
        <v>45932</v>
      </c>
      <c r="C8941" s="1" t="n">
        <v>45952</v>
      </c>
      <c r="D8941" t="inlineStr">
        <is>
          <t>VÄSTRA GÖTALANDS LÄN</t>
        </is>
      </c>
      <c r="E8941" t="inlineStr">
        <is>
          <t>TIBRO</t>
        </is>
      </c>
      <c r="G8941" t="n">
        <v>1.6</v>
      </c>
      <c r="H8941" t="n">
        <v>0</v>
      </c>
      <c r="I8941" t="n">
        <v>0</v>
      </c>
      <c r="J8941" t="n">
        <v>0</v>
      </c>
      <c r="K8941" t="n">
        <v>0</v>
      </c>
      <c r="L8941" t="n">
        <v>0</v>
      </c>
      <c r="M8941" t="n">
        <v>0</v>
      </c>
      <c r="N8941" t="n">
        <v>0</v>
      </c>
      <c r="O8941" t="n">
        <v>0</v>
      </c>
      <c r="P8941" t="n">
        <v>0</v>
      </c>
      <c r="Q8941" t="n">
        <v>0</v>
      </c>
      <c r="R8941" s="2" t="inlineStr"/>
    </row>
    <row r="8942" ht="15" customHeight="1">
      <c r="A8942" t="inlineStr">
        <is>
          <t>A 23267-2025</t>
        </is>
      </c>
      <c r="B8942" s="1" t="n">
        <v>45791.55678240741</v>
      </c>
      <c r="C8942" s="1" t="n">
        <v>45952</v>
      </c>
      <c r="D8942" t="inlineStr">
        <is>
          <t>VÄSTRA GÖTALANDS LÄN</t>
        </is>
      </c>
      <c r="E8942" t="inlineStr">
        <is>
          <t>ULRICEHAMN</t>
        </is>
      </c>
      <c r="G8942" t="n">
        <v>3.9</v>
      </c>
      <c r="H8942" t="n">
        <v>0</v>
      </c>
      <c r="I8942" t="n">
        <v>0</v>
      </c>
      <c r="J8942" t="n">
        <v>0</v>
      </c>
      <c r="K8942" t="n">
        <v>0</v>
      </c>
      <c r="L8942" t="n">
        <v>0</v>
      </c>
      <c r="M8942" t="n">
        <v>0</v>
      </c>
      <c r="N8942" t="n">
        <v>0</v>
      </c>
      <c r="O8942" t="n">
        <v>0</v>
      </c>
      <c r="P8942" t="n">
        <v>0</v>
      </c>
      <c r="Q8942" t="n">
        <v>0</v>
      </c>
      <c r="R8942" s="2" t="inlineStr"/>
    </row>
    <row r="8943" ht="15" customHeight="1">
      <c r="A8943" t="inlineStr">
        <is>
          <t>A 21161-2022</t>
        </is>
      </c>
      <c r="B8943" s="1" t="n">
        <v>44704.67240740741</v>
      </c>
      <c r="C8943" s="1" t="n">
        <v>45952</v>
      </c>
      <c r="D8943" t="inlineStr">
        <is>
          <t>VÄSTRA GÖTALANDS LÄN</t>
        </is>
      </c>
      <c r="E8943" t="inlineStr">
        <is>
          <t>FALKÖPING</t>
        </is>
      </c>
      <c r="G8943" t="n">
        <v>0.1</v>
      </c>
      <c r="H8943" t="n">
        <v>0</v>
      </c>
      <c r="I8943" t="n">
        <v>0</v>
      </c>
      <c r="J8943" t="n">
        <v>0</v>
      </c>
      <c r="K8943" t="n">
        <v>0</v>
      </c>
      <c r="L8943" t="n">
        <v>0</v>
      </c>
      <c r="M8943" t="n">
        <v>0</v>
      </c>
      <c r="N8943" t="n">
        <v>0</v>
      </c>
      <c r="O8943" t="n">
        <v>0</v>
      </c>
      <c r="P8943" t="n">
        <v>0</v>
      </c>
      <c r="Q8943" t="n">
        <v>0</v>
      </c>
      <c r="R8943" s="2" t="inlineStr"/>
    </row>
    <row r="8944" ht="15" customHeight="1">
      <c r="A8944" t="inlineStr">
        <is>
          <t>A 23115-2025</t>
        </is>
      </c>
      <c r="B8944" s="1" t="n">
        <v>45791.36958333333</v>
      </c>
      <c r="C8944" s="1" t="n">
        <v>45952</v>
      </c>
      <c r="D8944" t="inlineStr">
        <is>
          <t>VÄSTRA GÖTALANDS LÄN</t>
        </is>
      </c>
      <c r="E8944" t="inlineStr">
        <is>
          <t>TANUM</t>
        </is>
      </c>
      <c r="G8944" t="n">
        <v>12.2</v>
      </c>
      <c r="H8944" t="n">
        <v>0</v>
      </c>
      <c r="I8944" t="n">
        <v>0</v>
      </c>
      <c r="J8944" t="n">
        <v>0</v>
      </c>
      <c r="K8944" t="n">
        <v>0</v>
      </c>
      <c r="L8944" t="n">
        <v>0</v>
      </c>
      <c r="M8944" t="n">
        <v>0</v>
      </c>
      <c r="N8944" t="n">
        <v>0</v>
      </c>
      <c r="O8944" t="n">
        <v>0</v>
      </c>
      <c r="P8944" t="n">
        <v>0</v>
      </c>
      <c r="Q8944" t="n">
        <v>0</v>
      </c>
      <c r="R8944" s="2" t="inlineStr"/>
    </row>
    <row r="8945" ht="15" customHeight="1">
      <c r="A8945" t="inlineStr">
        <is>
          <t>A 6324-2025</t>
        </is>
      </c>
      <c r="B8945" s="1" t="n">
        <v>45698.8477199074</v>
      </c>
      <c r="C8945" s="1" t="n">
        <v>45952</v>
      </c>
      <c r="D8945" t="inlineStr">
        <is>
          <t>VÄSTRA GÖTALANDS LÄN</t>
        </is>
      </c>
      <c r="E8945" t="inlineStr">
        <is>
          <t>ULRICEHAMN</t>
        </is>
      </c>
      <c r="G8945" t="n">
        <v>3.8</v>
      </c>
      <c r="H8945" t="n">
        <v>0</v>
      </c>
      <c r="I8945" t="n">
        <v>0</v>
      </c>
      <c r="J8945" t="n">
        <v>0</v>
      </c>
      <c r="K8945" t="n">
        <v>0</v>
      </c>
      <c r="L8945" t="n">
        <v>0</v>
      </c>
      <c r="M8945" t="n">
        <v>0</v>
      </c>
      <c r="N8945" t="n">
        <v>0</v>
      </c>
      <c r="O8945" t="n">
        <v>0</v>
      </c>
      <c r="P8945" t="n">
        <v>0</v>
      </c>
      <c r="Q8945" t="n">
        <v>0</v>
      </c>
      <c r="R8945" s="2" t="inlineStr"/>
    </row>
    <row r="8946" ht="15" customHeight="1">
      <c r="A8946" t="inlineStr">
        <is>
          <t>A 37095-2022</t>
        </is>
      </c>
      <c r="B8946" s="1" t="n">
        <v>44806.50550925926</v>
      </c>
      <c r="C8946" s="1" t="n">
        <v>45952</v>
      </c>
      <c r="D8946" t="inlineStr">
        <is>
          <t>VÄSTRA GÖTALANDS LÄN</t>
        </is>
      </c>
      <c r="E8946" t="inlineStr">
        <is>
          <t>MARK</t>
        </is>
      </c>
      <c r="G8946" t="n">
        <v>1.4</v>
      </c>
      <c r="H8946" t="n">
        <v>0</v>
      </c>
      <c r="I8946" t="n">
        <v>0</v>
      </c>
      <c r="J8946" t="n">
        <v>0</v>
      </c>
      <c r="K8946" t="n">
        <v>0</v>
      </c>
      <c r="L8946" t="n">
        <v>0</v>
      </c>
      <c r="M8946" t="n">
        <v>0</v>
      </c>
      <c r="N8946" t="n">
        <v>0</v>
      </c>
      <c r="O8946" t="n">
        <v>0</v>
      </c>
      <c r="P8946" t="n">
        <v>0</v>
      </c>
      <c r="Q8946" t="n">
        <v>0</v>
      </c>
      <c r="R8946" s="2" t="inlineStr"/>
    </row>
    <row r="8947" ht="15" customHeight="1">
      <c r="A8947" t="inlineStr">
        <is>
          <t>A 34456-2024</t>
        </is>
      </c>
      <c r="B8947" s="1" t="n">
        <v>45525</v>
      </c>
      <c r="C8947" s="1" t="n">
        <v>45952</v>
      </c>
      <c r="D8947" t="inlineStr">
        <is>
          <t>VÄSTRA GÖTALANDS LÄN</t>
        </is>
      </c>
      <c r="E8947" t="inlineStr">
        <is>
          <t>FALKÖPING</t>
        </is>
      </c>
      <c r="G8947" t="n">
        <v>1.1</v>
      </c>
      <c r="H8947" t="n">
        <v>0</v>
      </c>
      <c r="I8947" t="n">
        <v>0</v>
      </c>
      <c r="J8947" t="n">
        <v>0</v>
      </c>
      <c r="K8947" t="n">
        <v>0</v>
      </c>
      <c r="L8947" t="n">
        <v>0</v>
      </c>
      <c r="M8947" t="n">
        <v>0</v>
      </c>
      <c r="N8947" t="n">
        <v>0</v>
      </c>
      <c r="O8947" t="n">
        <v>0</v>
      </c>
      <c r="P8947" t="n">
        <v>0</v>
      </c>
      <c r="Q8947" t="n">
        <v>0</v>
      </c>
      <c r="R8947" s="2" t="inlineStr"/>
    </row>
    <row r="8948" ht="15" customHeight="1">
      <c r="A8948" t="inlineStr">
        <is>
          <t>A 9653-2025</t>
        </is>
      </c>
      <c r="B8948" s="1" t="n">
        <v>45716.26827546296</v>
      </c>
      <c r="C8948" s="1" t="n">
        <v>45952</v>
      </c>
      <c r="D8948" t="inlineStr">
        <is>
          <t>VÄSTRA GÖTALANDS LÄN</t>
        </is>
      </c>
      <c r="E8948" t="inlineStr">
        <is>
          <t>MARIESTAD</t>
        </is>
      </c>
      <c r="F8948" t="inlineStr">
        <is>
          <t>Sveaskog</t>
        </is>
      </c>
      <c r="G8948" t="n">
        <v>2.3</v>
      </c>
      <c r="H8948" t="n">
        <v>0</v>
      </c>
      <c r="I8948" t="n">
        <v>0</v>
      </c>
      <c r="J8948" t="n">
        <v>0</v>
      </c>
      <c r="K8948" t="n">
        <v>0</v>
      </c>
      <c r="L8948" t="n">
        <v>0</v>
      </c>
      <c r="M8948" t="n">
        <v>0</v>
      </c>
      <c r="N8948" t="n">
        <v>0</v>
      </c>
      <c r="O8948" t="n">
        <v>0</v>
      </c>
      <c r="P8948" t="n">
        <v>0</v>
      </c>
      <c r="Q8948" t="n">
        <v>0</v>
      </c>
      <c r="R8948" s="2" t="inlineStr"/>
    </row>
    <row r="8949" ht="15" customHeight="1">
      <c r="A8949" t="inlineStr">
        <is>
          <t>A 54263-2024</t>
        </is>
      </c>
      <c r="B8949" s="1" t="n">
        <v>45616</v>
      </c>
      <c r="C8949" s="1" t="n">
        <v>45952</v>
      </c>
      <c r="D8949" t="inlineStr">
        <is>
          <t>VÄSTRA GÖTALANDS LÄN</t>
        </is>
      </c>
      <c r="E8949" t="inlineStr">
        <is>
          <t>MARIESTAD</t>
        </is>
      </c>
      <c r="G8949" t="n">
        <v>5.4</v>
      </c>
      <c r="H8949" t="n">
        <v>0</v>
      </c>
      <c r="I8949" t="n">
        <v>0</v>
      </c>
      <c r="J8949" t="n">
        <v>0</v>
      </c>
      <c r="K8949" t="n">
        <v>0</v>
      </c>
      <c r="L8949" t="n">
        <v>0</v>
      </c>
      <c r="M8949" t="n">
        <v>0</v>
      </c>
      <c r="N8949" t="n">
        <v>0</v>
      </c>
      <c r="O8949" t="n">
        <v>0</v>
      </c>
      <c r="P8949" t="n">
        <v>0</v>
      </c>
      <c r="Q8949" t="n">
        <v>0</v>
      </c>
      <c r="R8949" s="2" t="inlineStr"/>
    </row>
    <row r="8950" ht="15" customHeight="1">
      <c r="A8950" t="inlineStr">
        <is>
          <t>A 9640-2025</t>
        </is>
      </c>
      <c r="B8950" s="1" t="n">
        <v>45715.83090277778</v>
      </c>
      <c r="C8950" s="1" t="n">
        <v>45952</v>
      </c>
      <c r="D8950" t="inlineStr">
        <is>
          <t>VÄSTRA GÖTALANDS LÄN</t>
        </is>
      </c>
      <c r="E8950" t="inlineStr">
        <is>
          <t>SKÖVDE</t>
        </is>
      </c>
      <c r="G8950" t="n">
        <v>0.9</v>
      </c>
      <c r="H8950" t="n">
        <v>0</v>
      </c>
      <c r="I8950" t="n">
        <v>0</v>
      </c>
      <c r="J8950" t="n">
        <v>0</v>
      </c>
      <c r="K8950" t="n">
        <v>0</v>
      </c>
      <c r="L8950" t="n">
        <v>0</v>
      </c>
      <c r="M8950" t="n">
        <v>0</v>
      </c>
      <c r="N8950" t="n">
        <v>0</v>
      </c>
      <c r="O8950" t="n">
        <v>0</v>
      </c>
      <c r="P8950" t="n">
        <v>0</v>
      </c>
      <c r="Q8950" t="n">
        <v>0</v>
      </c>
      <c r="R8950" s="2" t="inlineStr"/>
    </row>
    <row r="8951" ht="15" customHeight="1">
      <c r="A8951" t="inlineStr">
        <is>
          <t>A 14862-2025</t>
        </is>
      </c>
      <c r="B8951" s="1" t="n">
        <v>45743.4346875</v>
      </c>
      <c r="C8951" s="1" t="n">
        <v>45952</v>
      </c>
      <c r="D8951" t="inlineStr">
        <is>
          <t>VÄSTRA GÖTALANDS LÄN</t>
        </is>
      </c>
      <c r="E8951" t="inlineStr">
        <is>
          <t>KARLSBORG</t>
        </is>
      </c>
      <c r="G8951" t="n">
        <v>4.4</v>
      </c>
      <c r="H8951" t="n">
        <v>0</v>
      </c>
      <c r="I8951" t="n">
        <v>0</v>
      </c>
      <c r="J8951" t="n">
        <v>0</v>
      </c>
      <c r="K8951" t="n">
        <v>0</v>
      </c>
      <c r="L8951" t="n">
        <v>0</v>
      </c>
      <c r="M8951" t="n">
        <v>0</v>
      </c>
      <c r="N8951" t="n">
        <v>0</v>
      </c>
      <c r="O8951" t="n">
        <v>0</v>
      </c>
      <c r="P8951" t="n">
        <v>0</v>
      </c>
      <c r="Q8951" t="n">
        <v>0</v>
      </c>
      <c r="R8951" s="2" t="inlineStr"/>
    </row>
    <row r="8952" ht="15" customHeight="1">
      <c r="A8952" t="inlineStr">
        <is>
          <t>A 14934-2025</t>
        </is>
      </c>
      <c r="B8952" s="1" t="n">
        <v>45743.55642361111</v>
      </c>
      <c r="C8952" s="1" t="n">
        <v>45952</v>
      </c>
      <c r="D8952" t="inlineStr">
        <is>
          <t>VÄSTRA GÖTALANDS LÄN</t>
        </is>
      </c>
      <c r="E8952" t="inlineStr">
        <is>
          <t>DALS-ED</t>
        </is>
      </c>
      <c r="G8952" t="n">
        <v>1.1</v>
      </c>
      <c r="H8952" t="n">
        <v>0</v>
      </c>
      <c r="I8952" t="n">
        <v>0</v>
      </c>
      <c r="J8952" t="n">
        <v>0</v>
      </c>
      <c r="K8952" t="n">
        <v>0</v>
      </c>
      <c r="L8952" t="n">
        <v>0</v>
      </c>
      <c r="M8952" t="n">
        <v>0</v>
      </c>
      <c r="N8952" t="n">
        <v>0</v>
      </c>
      <c r="O8952" t="n">
        <v>0</v>
      </c>
      <c r="P8952" t="n">
        <v>0</v>
      </c>
      <c r="Q8952" t="n">
        <v>0</v>
      </c>
      <c r="R8952" s="2" t="inlineStr"/>
    </row>
    <row r="8953" ht="15" customHeight="1">
      <c r="A8953" t="inlineStr">
        <is>
          <t>A 10965-2025</t>
        </is>
      </c>
      <c r="B8953" s="1" t="n">
        <v>45723.38274305555</v>
      </c>
      <c r="C8953" s="1" t="n">
        <v>45952</v>
      </c>
      <c r="D8953" t="inlineStr">
        <is>
          <t>VÄSTRA GÖTALANDS LÄN</t>
        </is>
      </c>
      <c r="E8953" t="inlineStr">
        <is>
          <t>DALS-ED</t>
        </is>
      </c>
      <c r="G8953" t="n">
        <v>13.8</v>
      </c>
      <c r="H8953" t="n">
        <v>0</v>
      </c>
      <c r="I8953" t="n">
        <v>0</v>
      </c>
      <c r="J8953" t="n">
        <v>0</v>
      </c>
      <c r="K8953" t="n">
        <v>0</v>
      </c>
      <c r="L8953" t="n">
        <v>0</v>
      </c>
      <c r="M8953" t="n">
        <v>0</v>
      </c>
      <c r="N8953" t="n">
        <v>0</v>
      </c>
      <c r="O8953" t="n">
        <v>0</v>
      </c>
      <c r="P8953" t="n">
        <v>0</v>
      </c>
      <c r="Q8953" t="n">
        <v>0</v>
      </c>
      <c r="R8953" s="2" t="inlineStr"/>
    </row>
    <row r="8954" ht="15" customHeight="1">
      <c r="A8954" t="inlineStr">
        <is>
          <t>A 11012-2025</t>
        </is>
      </c>
      <c r="B8954" s="1" t="n">
        <v>45723.45986111111</v>
      </c>
      <c r="C8954" s="1" t="n">
        <v>45952</v>
      </c>
      <c r="D8954" t="inlineStr">
        <is>
          <t>VÄSTRA GÖTALANDS LÄN</t>
        </is>
      </c>
      <c r="E8954" t="inlineStr">
        <is>
          <t>MARIESTAD</t>
        </is>
      </c>
      <c r="F8954" t="inlineStr">
        <is>
          <t>Kyrkan</t>
        </is>
      </c>
      <c r="G8954" t="n">
        <v>7.2</v>
      </c>
      <c r="H8954" t="n">
        <v>0</v>
      </c>
      <c r="I8954" t="n">
        <v>0</v>
      </c>
      <c r="J8954" t="n">
        <v>0</v>
      </c>
      <c r="K8954" t="n">
        <v>0</v>
      </c>
      <c r="L8954" t="n">
        <v>0</v>
      </c>
      <c r="M8954" t="n">
        <v>0</v>
      </c>
      <c r="N8954" t="n">
        <v>0</v>
      </c>
      <c r="O8954" t="n">
        <v>0</v>
      </c>
      <c r="P8954" t="n">
        <v>0</v>
      </c>
      <c r="Q8954" t="n">
        <v>0</v>
      </c>
      <c r="R8954" s="2" t="inlineStr"/>
    </row>
    <row r="8955" ht="15" customHeight="1">
      <c r="A8955" t="inlineStr">
        <is>
          <t>A 22946-2025</t>
        </is>
      </c>
      <c r="B8955" s="1" t="n">
        <v>45790.48229166667</v>
      </c>
      <c r="C8955" s="1" t="n">
        <v>45952</v>
      </c>
      <c r="D8955" t="inlineStr">
        <is>
          <t>VÄSTRA GÖTALANDS LÄN</t>
        </is>
      </c>
      <c r="E8955" t="inlineStr">
        <is>
          <t>ALE</t>
        </is>
      </c>
      <c r="G8955" t="n">
        <v>0.6</v>
      </c>
      <c r="H8955" t="n">
        <v>0</v>
      </c>
      <c r="I8955" t="n">
        <v>0</v>
      </c>
      <c r="J8955" t="n">
        <v>0</v>
      </c>
      <c r="K8955" t="n">
        <v>0</v>
      </c>
      <c r="L8955" t="n">
        <v>0</v>
      </c>
      <c r="M8955" t="n">
        <v>0</v>
      </c>
      <c r="N8955" t="n">
        <v>0</v>
      </c>
      <c r="O8955" t="n">
        <v>0</v>
      </c>
      <c r="P8955" t="n">
        <v>0</v>
      </c>
      <c r="Q8955" t="n">
        <v>0</v>
      </c>
      <c r="R8955" s="2" t="inlineStr"/>
    </row>
    <row r="8956" ht="15" customHeight="1">
      <c r="A8956" t="inlineStr">
        <is>
          <t>A 45612-2025</t>
        </is>
      </c>
      <c r="B8956" s="1" t="n">
        <v>45922.7187037037</v>
      </c>
      <c r="C8956" s="1" t="n">
        <v>45952</v>
      </c>
      <c r="D8956" t="inlineStr">
        <is>
          <t>VÄSTRA GÖTALANDS LÄN</t>
        </is>
      </c>
      <c r="E8956" t="inlineStr">
        <is>
          <t>ALINGSÅS</t>
        </is>
      </c>
      <c r="G8956" t="n">
        <v>1.6</v>
      </c>
      <c r="H8956" t="n">
        <v>0</v>
      </c>
      <c r="I8956" t="n">
        <v>0</v>
      </c>
      <c r="J8956" t="n">
        <v>0</v>
      </c>
      <c r="K8956" t="n">
        <v>0</v>
      </c>
      <c r="L8956" t="n">
        <v>0</v>
      </c>
      <c r="M8956" t="n">
        <v>0</v>
      </c>
      <c r="N8956" t="n">
        <v>0</v>
      </c>
      <c r="O8956" t="n">
        <v>0</v>
      </c>
      <c r="P8956" t="n">
        <v>0</v>
      </c>
      <c r="Q8956" t="n">
        <v>0</v>
      </c>
      <c r="R8956" s="2" t="inlineStr"/>
    </row>
    <row r="8957" ht="15" customHeight="1">
      <c r="A8957" t="inlineStr">
        <is>
          <t>A 32443-2023</t>
        </is>
      </c>
      <c r="B8957" s="1" t="n">
        <v>45120</v>
      </c>
      <c r="C8957" s="1" t="n">
        <v>45952</v>
      </c>
      <c r="D8957" t="inlineStr">
        <is>
          <t>VÄSTRA GÖTALANDS LÄN</t>
        </is>
      </c>
      <c r="E8957" t="inlineStr">
        <is>
          <t>BORÅS</t>
        </is>
      </c>
      <c r="G8957" t="n">
        <v>2.6</v>
      </c>
      <c r="H8957" t="n">
        <v>0</v>
      </c>
      <c r="I8957" t="n">
        <v>0</v>
      </c>
      <c r="J8957" t="n">
        <v>0</v>
      </c>
      <c r="K8957" t="n">
        <v>0</v>
      </c>
      <c r="L8957" t="n">
        <v>0</v>
      </c>
      <c r="M8957" t="n">
        <v>0</v>
      </c>
      <c r="N8957" t="n">
        <v>0</v>
      </c>
      <c r="O8957" t="n">
        <v>0</v>
      </c>
      <c r="P8957" t="n">
        <v>0</v>
      </c>
      <c r="Q8957" t="n">
        <v>0</v>
      </c>
      <c r="R8957" s="2" t="inlineStr"/>
    </row>
    <row r="8958" ht="15" customHeight="1">
      <c r="A8958" t="inlineStr">
        <is>
          <t>A 51550-2024</t>
        </is>
      </c>
      <c r="B8958" s="1" t="n">
        <v>45604</v>
      </c>
      <c r="C8958" s="1" t="n">
        <v>45952</v>
      </c>
      <c r="D8958" t="inlineStr">
        <is>
          <t>VÄSTRA GÖTALANDS LÄN</t>
        </is>
      </c>
      <c r="E8958" t="inlineStr">
        <is>
          <t>BENGTSFORS</t>
        </is>
      </c>
      <c r="G8958" t="n">
        <v>15.7</v>
      </c>
      <c r="H8958" t="n">
        <v>0</v>
      </c>
      <c r="I8958" t="n">
        <v>0</v>
      </c>
      <c r="J8958" t="n">
        <v>0</v>
      </c>
      <c r="K8958" t="n">
        <v>0</v>
      </c>
      <c r="L8958" t="n">
        <v>0</v>
      </c>
      <c r="M8958" t="n">
        <v>0</v>
      </c>
      <c r="N8958" t="n">
        <v>0</v>
      </c>
      <c r="O8958" t="n">
        <v>0</v>
      </c>
      <c r="P8958" t="n">
        <v>0</v>
      </c>
      <c r="Q8958" t="n">
        <v>0</v>
      </c>
      <c r="R8958" s="2" t="inlineStr"/>
    </row>
    <row r="8959" ht="15" customHeight="1">
      <c r="A8959" t="inlineStr">
        <is>
          <t>A 11393-2025</t>
        </is>
      </c>
      <c r="B8959" s="1" t="n">
        <v>45726.57238425926</v>
      </c>
      <c r="C8959" s="1" t="n">
        <v>45952</v>
      </c>
      <c r="D8959" t="inlineStr">
        <is>
          <t>VÄSTRA GÖTALANDS LÄN</t>
        </is>
      </c>
      <c r="E8959" t="inlineStr">
        <is>
          <t>LIDKÖPING</t>
        </is>
      </c>
      <c r="G8959" t="n">
        <v>0.2</v>
      </c>
      <c r="H8959" t="n">
        <v>0</v>
      </c>
      <c r="I8959" t="n">
        <v>0</v>
      </c>
      <c r="J8959" t="n">
        <v>0</v>
      </c>
      <c r="K8959" t="n">
        <v>0</v>
      </c>
      <c r="L8959" t="n">
        <v>0</v>
      </c>
      <c r="M8959" t="n">
        <v>0</v>
      </c>
      <c r="N8959" t="n">
        <v>0</v>
      </c>
      <c r="O8959" t="n">
        <v>0</v>
      </c>
      <c r="P8959" t="n">
        <v>0</v>
      </c>
      <c r="Q8959" t="n">
        <v>0</v>
      </c>
      <c r="R8959" s="2" t="inlineStr"/>
    </row>
    <row r="8960" ht="15" customHeight="1">
      <c r="A8960" t="inlineStr">
        <is>
          <t>A 15077-2025</t>
        </is>
      </c>
      <c r="B8960" s="1" t="n">
        <v>45743.81966435185</v>
      </c>
      <c r="C8960" s="1" t="n">
        <v>45952</v>
      </c>
      <c r="D8960" t="inlineStr">
        <is>
          <t>VÄSTRA GÖTALANDS LÄN</t>
        </is>
      </c>
      <c r="E8960" t="inlineStr">
        <is>
          <t>FÄRGELANDA</t>
        </is>
      </c>
      <c r="G8960" t="n">
        <v>1.1</v>
      </c>
      <c r="H8960" t="n">
        <v>0</v>
      </c>
      <c r="I8960" t="n">
        <v>0</v>
      </c>
      <c r="J8960" t="n">
        <v>0</v>
      </c>
      <c r="K8960" t="n">
        <v>0</v>
      </c>
      <c r="L8960" t="n">
        <v>0</v>
      </c>
      <c r="M8960" t="n">
        <v>0</v>
      </c>
      <c r="N8960" t="n">
        <v>0</v>
      </c>
      <c r="O8960" t="n">
        <v>0</v>
      </c>
      <c r="P8960" t="n">
        <v>0</v>
      </c>
      <c r="Q8960" t="n">
        <v>0</v>
      </c>
      <c r="R8960" s="2" t="inlineStr"/>
    </row>
    <row r="8961" ht="15" customHeight="1">
      <c r="A8961" t="inlineStr">
        <is>
          <t>A 12589-2025</t>
        </is>
      </c>
      <c r="B8961" s="1" t="n">
        <v>45732.7803125</v>
      </c>
      <c r="C8961" s="1" t="n">
        <v>45952</v>
      </c>
      <c r="D8961" t="inlineStr">
        <is>
          <t>VÄSTRA GÖTALANDS LÄN</t>
        </is>
      </c>
      <c r="E8961" t="inlineStr">
        <is>
          <t>STENUNGSUND</t>
        </is>
      </c>
      <c r="G8961" t="n">
        <v>2</v>
      </c>
      <c r="H8961" t="n">
        <v>0</v>
      </c>
      <c r="I8961" t="n">
        <v>0</v>
      </c>
      <c r="J8961" t="n">
        <v>0</v>
      </c>
      <c r="K8961" t="n">
        <v>0</v>
      </c>
      <c r="L8961" t="n">
        <v>0</v>
      </c>
      <c r="M8961" t="n">
        <v>0</v>
      </c>
      <c r="N8961" t="n">
        <v>0</v>
      </c>
      <c r="O8961" t="n">
        <v>0</v>
      </c>
      <c r="P8961" t="n">
        <v>0</v>
      </c>
      <c r="Q8961" t="n">
        <v>0</v>
      </c>
      <c r="R8961" s="2" t="inlineStr"/>
    </row>
    <row r="8962" ht="15" customHeight="1">
      <c r="A8962" t="inlineStr">
        <is>
          <t>A 49385-2023</t>
        </is>
      </c>
      <c r="B8962" s="1" t="n">
        <v>45211</v>
      </c>
      <c r="C8962" s="1" t="n">
        <v>45952</v>
      </c>
      <c r="D8962" t="inlineStr">
        <is>
          <t>VÄSTRA GÖTALANDS LÄN</t>
        </is>
      </c>
      <c r="E8962" t="inlineStr">
        <is>
          <t>MARIESTAD</t>
        </is>
      </c>
      <c r="G8962" t="n">
        <v>0.7</v>
      </c>
      <c r="H8962" t="n">
        <v>0</v>
      </c>
      <c r="I8962" t="n">
        <v>0</v>
      </c>
      <c r="J8962" t="n">
        <v>0</v>
      </c>
      <c r="K8962" t="n">
        <v>0</v>
      </c>
      <c r="L8962" t="n">
        <v>0</v>
      </c>
      <c r="M8962" t="n">
        <v>0</v>
      </c>
      <c r="N8962" t="n">
        <v>0</v>
      </c>
      <c r="O8962" t="n">
        <v>0</v>
      </c>
      <c r="P8962" t="n">
        <v>0</v>
      </c>
      <c r="Q8962" t="n">
        <v>0</v>
      </c>
      <c r="R8962" s="2" t="inlineStr"/>
    </row>
    <row r="8963" ht="15" customHeight="1">
      <c r="A8963" t="inlineStr">
        <is>
          <t>A 10005-2025</t>
        </is>
      </c>
      <c r="B8963" s="1" t="n">
        <v>45719.4530787037</v>
      </c>
      <c r="C8963" s="1" t="n">
        <v>45952</v>
      </c>
      <c r="D8963" t="inlineStr">
        <is>
          <t>VÄSTRA GÖTALANDS LÄN</t>
        </is>
      </c>
      <c r="E8963" t="inlineStr">
        <is>
          <t>UDDEVALLA</t>
        </is>
      </c>
      <c r="G8963" t="n">
        <v>8.199999999999999</v>
      </c>
      <c r="H8963" t="n">
        <v>0</v>
      </c>
      <c r="I8963" t="n">
        <v>0</v>
      </c>
      <c r="J8963" t="n">
        <v>0</v>
      </c>
      <c r="K8963" t="n">
        <v>0</v>
      </c>
      <c r="L8963" t="n">
        <v>0</v>
      </c>
      <c r="M8963" t="n">
        <v>0</v>
      </c>
      <c r="N8963" t="n">
        <v>0</v>
      </c>
      <c r="O8963" t="n">
        <v>0</v>
      </c>
      <c r="P8963" t="n">
        <v>0</v>
      </c>
      <c r="Q8963" t="n">
        <v>0</v>
      </c>
      <c r="R8963" s="2" t="inlineStr"/>
    </row>
    <row r="8964" ht="15" customHeight="1">
      <c r="A8964" t="inlineStr">
        <is>
          <t>A 10097-2025</t>
        </is>
      </c>
      <c r="B8964" s="1" t="n">
        <v>45719.57722222222</v>
      </c>
      <c r="C8964" s="1" t="n">
        <v>45952</v>
      </c>
      <c r="D8964" t="inlineStr">
        <is>
          <t>VÄSTRA GÖTALANDS LÄN</t>
        </is>
      </c>
      <c r="E8964" t="inlineStr">
        <is>
          <t>MELLERUD</t>
        </is>
      </c>
      <c r="G8964" t="n">
        <v>2.6</v>
      </c>
      <c r="H8964" t="n">
        <v>0</v>
      </c>
      <c r="I8964" t="n">
        <v>0</v>
      </c>
      <c r="J8964" t="n">
        <v>0</v>
      </c>
      <c r="K8964" t="n">
        <v>0</v>
      </c>
      <c r="L8964" t="n">
        <v>0</v>
      </c>
      <c r="M8964" t="n">
        <v>0</v>
      </c>
      <c r="N8964" t="n">
        <v>0</v>
      </c>
      <c r="O8964" t="n">
        <v>0</v>
      </c>
      <c r="P8964" t="n">
        <v>0</v>
      </c>
      <c r="Q8964" t="n">
        <v>0</v>
      </c>
      <c r="R8964" s="2" t="inlineStr"/>
    </row>
    <row r="8965" ht="15" customHeight="1">
      <c r="A8965" t="inlineStr">
        <is>
          <t>A 34720-2024</t>
        </is>
      </c>
      <c r="B8965" s="1" t="n">
        <v>45526</v>
      </c>
      <c r="C8965" s="1" t="n">
        <v>45952</v>
      </c>
      <c r="D8965" t="inlineStr">
        <is>
          <t>VÄSTRA GÖTALANDS LÄN</t>
        </is>
      </c>
      <c r="E8965" t="inlineStr">
        <is>
          <t>FALKÖPING</t>
        </is>
      </c>
      <c r="G8965" t="n">
        <v>4.5</v>
      </c>
      <c r="H8965" t="n">
        <v>0</v>
      </c>
      <c r="I8965" t="n">
        <v>0</v>
      </c>
      <c r="J8965" t="n">
        <v>0</v>
      </c>
      <c r="K8965" t="n">
        <v>0</v>
      </c>
      <c r="L8965" t="n">
        <v>0</v>
      </c>
      <c r="M8965" t="n">
        <v>0</v>
      </c>
      <c r="N8965" t="n">
        <v>0</v>
      </c>
      <c r="O8965" t="n">
        <v>0</v>
      </c>
      <c r="P8965" t="n">
        <v>0</v>
      </c>
      <c r="Q8965" t="n">
        <v>0</v>
      </c>
      <c r="R8965" s="2" t="inlineStr"/>
    </row>
    <row r="8966" ht="15" customHeight="1">
      <c r="A8966" t="inlineStr">
        <is>
          <t>A 13810-2025</t>
        </is>
      </c>
      <c r="B8966" s="1" t="n">
        <v>45737.50302083333</v>
      </c>
      <c r="C8966" s="1" t="n">
        <v>45952</v>
      </c>
      <c r="D8966" t="inlineStr">
        <is>
          <t>VÄSTRA GÖTALANDS LÄN</t>
        </is>
      </c>
      <c r="E8966" t="inlineStr">
        <is>
          <t>TANUM</t>
        </is>
      </c>
      <c r="G8966" t="n">
        <v>5.9</v>
      </c>
      <c r="H8966" t="n">
        <v>0</v>
      </c>
      <c r="I8966" t="n">
        <v>0</v>
      </c>
      <c r="J8966" t="n">
        <v>0</v>
      </c>
      <c r="K8966" t="n">
        <v>0</v>
      </c>
      <c r="L8966" t="n">
        <v>0</v>
      </c>
      <c r="M8966" t="n">
        <v>0</v>
      </c>
      <c r="N8966" t="n">
        <v>0</v>
      </c>
      <c r="O8966" t="n">
        <v>0</v>
      </c>
      <c r="P8966" t="n">
        <v>0</v>
      </c>
      <c r="Q8966" t="n">
        <v>0</v>
      </c>
      <c r="R8966" s="2" t="inlineStr"/>
    </row>
    <row r="8967" ht="15" customHeight="1">
      <c r="A8967" t="inlineStr">
        <is>
          <t>A 29371-2021</t>
        </is>
      </c>
      <c r="B8967" s="1" t="n">
        <v>44361</v>
      </c>
      <c r="C8967" s="1" t="n">
        <v>45952</v>
      </c>
      <c r="D8967" t="inlineStr">
        <is>
          <t>VÄSTRA GÖTALANDS LÄN</t>
        </is>
      </c>
      <c r="E8967" t="inlineStr">
        <is>
          <t>VÄNERSBORG</t>
        </is>
      </c>
      <c r="G8967" t="n">
        <v>1.3</v>
      </c>
      <c r="H8967" t="n">
        <v>0</v>
      </c>
      <c r="I8967" t="n">
        <v>0</v>
      </c>
      <c r="J8967" t="n">
        <v>0</v>
      </c>
      <c r="K8967" t="n">
        <v>0</v>
      </c>
      <c r="L8967" t="n">
        <v>0</v>
      </c>
      <c r="M8967" t="n">
        <v>0</v>
      </c>
      <c r="N8967" t="n">
        <v>0</v>
      </c>
      <c r="O8967" t="n">
        <v>0</v>
      </c>
      <c r="P8967" t="n">
        <v>0</v>
      </c>
      <c r="Q8967" t="n">
        <v>0</v>
      </c>
      <c r="R8967" s="2" t="inlineStr"/>
    </row>
    <row r="8968" ht="15" customHeight="1">
      <c r="A8968" t="inlineStr">
        <is>
          <t>A 10677-2025</t>
        </is>
      </c>
      <c r="B8968" s="1" t="n">
        <v>45721.89055555555</v>
      </c>
      <c r="C8968" s="1" t="n">
        <v>45952</v>
      </c>
      <c r="D8968" t="inlineStr">
        <is>
          <t>VÄSTRA GÖTALANDS LÄN</t>
        </is>
      </c>
      <c r="E8968" t="inlineStr">
        <is>
          <t>KUNGÄLV</t>
        </is>
      </c>
      <c r="G8968" t="n">
        <v>7.4</v>
      </c>
      <c r="H8968" t="n">
        <v>0</v>
      </c>
      <c r="I8968" t="n">
        <v>0</v>
      </c>
      <c r="J8968" t="n">
        <v>0</v>
      </c>
      <c r="K8968" t="n">
        <v>0</v>
      </c>
      <c r="L8968" t="n">
        <v>0</v>
      </c>
      <c r="M8968" t="n">
        <v>0</v>
      </c>
      <c r="N8968" t="n">
        <v>0</v>
      </c>
      <c r="O8968" t="n">
        <v>0</v>
      </c>
      <c r="P8968" t="n">
        <v>0</v>
      </c>
      <c r="Q8968" t="n">
        <v>0</v>
      </c>
      <c r="R8968" s="2" t="inlineStr"/>
    </row>
    <row r="8969" ht="15" customHeight="1">
      <c r="A8969" t="inlineStr">
        <is>
          <t>A 11174-2025</t>
        </is>
      </c>
      <c r="B8969" s="1" t="n">
        <v>45724.6228125</v>
      </c>
      <c r="C8969" s="1" t="n">
        <v>45952</v>
      </c>
      <c r="D8969" t="inlineStr">
        <is>
          <t>VÄSTRA GÖTALANDS LÄN</t>
        </is>
      </c>
      <c r="E8969" t="inlineStr">
        <is>
          <t>MARK</t>
        </is>
      </c>
      <c r="G8969" t="n">
        <v>1</v>
      </c>
      <c r="H8969" t="n">
        <v>0</v>
      </c>
      <c r="I8969" t="n">
        <v>0</v>
      </c>
      <c r="J8969" t="n">
        <v>0</v>
      </c>
      <c r="K8969" t="n">
        <v>0</v>
      </c>
      <c r="L8969" t="n">
        <v>0</v>
      </c>
      <c r="M8969" t="n">
        <v>0</v>
      </c>
      <c r="N8969" t="n">
        <v>0</v>
      </c>
      <c r="O8969" t="n">
        <v>0</v>
      </c>
      <c r="P8969" t="n">
        <v>0</v>
      </c>
      <c r="Q8969" t="n">
        <v>0</v>
      </c>
      <c r="R8969" s="2" t="inlineStr"/>
    </row>
    <row r="8970" ht="15" customHeight="1">
      <c r="A8970" t="inlineStr">
        <is>
          <t>A 11213-2025</t>
        </is>
      </c>
      <c r="B8970" s="1" t="n">
        <v>45726.33466435185</v>
      </c>
      <c r="C8970" s="1" t="n">
        <v>45952</v>
      </c>
      <c r="D8970" t="inlineStr">
        <is>
          <t>VÄSTRA GÖTALANDS LÄN</t>
        </is>
      </c>
      <c r="E8970" t="inlineStr">
        <is>
          <t>MELLERUD</t>
        </is>
      </c>
      <c r="G8970" t="n">
        <v>4.8</v>
      </c>
      <c r="H8970" t="n">
        <v>0</v>
      </c>
      <c r="I8970" t="n">
        <v>0</v>
      </c>
      <c r="J8970" t="n">
        <v>0</v>
      </c>
      <c r="K8970" t="n">
        <v>0</v>
      </c>
      <c r="L8970" t="n">
        <v>0</v>
      </c>
      <c r="M8970" t="n">
        <v>0</v>
      </c>
      <c r="N8970" t="n">
        <v>0</v>
      </c>
      <c r="O8970" t="n">
        <v>0</v>
      </c>
      <c r="P8970" t="n">
        <v>0</v>
      </c>
      <c r="Q8970" t="n">
        <v>0</v>
      </c>
      <c r="R8970" s="2" t="inlineStr"/>
    </row>
    <row r="8971" ht="15" customHeight="1">
      <c r="A8971" t="inlineStr">
        <is>
          <t>A 10164-2025</t>
        </is>
      </c>
      <c r="B8971" s="1" t="n">
        <v>45719.64946759259</v>
      </c>
      <c r="C8971" s="1" t="n">
        <v>45952</v>
      </c>
      <c r="D8971" t="inlineStr">
        <is>
          <t>VÄSTRA GÖTALANDS LÄN</t>
        </is>
      </c>
      <c r="E8971" t="inlineStr">
        <is>
          <t>ESSUNGA</t>
        </is>
      </c>
      <c r="F8971" t="inlineStr">
        <is>
          <t>Kyrkan</t>
        </is>
      </c>
      <c r="G8971" t="n">
        <v>0.7</v>
      </c>
      <c r="H8971" t="n">
        <v>0</v>
      </c>
      <c r="I8971" t="n">
        <v>0</v>
      </c>
      <c r="J8971" t="n">
        <v>0</v>
      </c>
      <c r="K8971" t="n">
        <v>0</v>
      </c>
      <c r="L8971" t="n">
        <v>0</v>
      </c>
      <c r="M8971" t="n">
        <v>0</v>
      </c>
      <c r="N8971" t="n">
        <v>0</v>
      </c>
      <c r="O8971" t="n">
        <v>0</v>
      </c>
      <c r="P8971" t="n">
        <v>0</v>
      </c>
      <c r="Q8971" t="n">
        <v>0</v>
      </c>
      <c r="R8971" s="2" t="inlineStr"/>
    </row>
    <row r="8972" ht="15" customHeight="1">
      <c r="A8972" t="inlineStr">
        <is>
          <t>A 22939-2025</t>
        </is>
      </c>
      <c r="B8972" s="1" t="n">
        <v>45790.4675462963</v>
      </c>
      <c r="C8972" s="1" t="n">
        <v>45952</v>
      </c>
      <c r="D8972" t="inlineStr">
        <is>
          <t>VÄSTRA GÖTALANDS LÄN</t>
        </is>
      </c>
      <c r="E8972" t="inlineStr">
        <is>
          <t>ULRICEHAMN</t>
        </is>
      </c>
      <c r="G8972" t="n">
        <v>1.3</v>
      </c>
      <c r="H8972" t="n">
        <v>0</v>
      </c>
      <c r="I8972" t="n">
        <v>0</v>
      </c>
      <c r="J8972" t="n">
        <v>0</v>
      </c>
      <c r="K8972" t="n">
        <v>0</v>
      </c>
      <c r="L8972" t="n">
        <v>0</v>
      </c>
      <c r="M8972" t="n">
        <v>0</v>
      </c>
      <c r="N8972" t="n">
        <v>0</v>
      </c>
      <c r="O8972" t="n">
        <v>0</v>
      </c>
      <c r="P8972" t="n">
        <v>0</v>
      </c>
      <c r="Q8972" t="n">
        <v>0</v>
      </c>
      <c r="R8972" s="2" t="inlineStr"/>
    </row>
    <row r="8973" ht="15" customHeight="1">
      <c r="A8973" t="inlineStr">
        <is>
          <t>A 22963-2025</t>
        </is>
      </c>
      <c r="B8973" s="1" t="n">
        <v>45790.54076388889</v>
      </c>
      <c r="C8973" s="1" t="n">
        <v>45952</v>
      </c>
      <c r="D8973" t="inlineStr">
        <is>
          <t>VÄSTRA GÖTALANDS LÄN</t>
        </is>
      </c>
      <c r="E8973" t="inlineStr">
        <is>
          <t>TIDAHOLM</t>
        </is>
      </c>
      <c r="G8973" t="n">
        <v>1.3</v>
      </c>
      <c r="H8973" t="n">
        <v>0</v>
      </c>
      <c r="I8973" t="n">
        <v>0</v>
      </c>
      <c r="J8973" t="n">
        <v>0</v>
      </c>
      <c r="K8973" t="n">
        <v>0</v>
      </c>
      <c r="L8973" t="n">
        <v>0</v>
      </c>
      <c r="M8973" t="n">
        <v>0</v>
      </c>
      <c r="N8973" t="n">
        <v>0</v>
      </c>
      <c r="O8973" t="n">
        <v>0</v>
      </c>
      <c r="P8973" t="n">
        <v>0</v>
      </c>
      <c r="Q8973" t="n">
        <v>0</v>
      </c>
      <c r="R8973" s="2" t="inlineStr"/>
    </row>
    <row r="8974" ht="15" customHeight="1">
      <c r="A8974" t="inlineStr">
        <is>
          <t>A 53097-2022</t>
        </is>
      </c>
      <c r="B8974" s="1" t="n">
        <v>44876.42122685185</v>
      </c>
      <c r="C8974" s="1" t="n">
        <v>45952</v>
      </c>
      <c r="D8974" t="inlineStr">
        <is>
          <t>VÄSTRA GÖTALANDS LÄN</t>
        </is>
      </c>
      <c r="E8974" t="inlineStr">
        <is>
          <t>MARIESTAD</t>
        </is>
      </c>
      <c r="F8974" t="inlineStr">
        <is>
          <t>Kyrkan</t>
        </is>
      </c>
      <c r="G8974" t="n">
        <v>0.8</v>
      </c>
      <c r="H8974" t="n">
        <v>0</v>
      </c>
      <c r="I8974" t="n">
        <v>0</v>
      </c>
      <c r="J8974" t="n">
        <v>0</v>
      </c>
      <c r="K8974" t="n">
        <v>0</v>
      </c>
      <c r="L8974" t="n">
        <v>0</v>
      </c>
      <c r="M8974" t="n">
        <v>0</v>
      </c>
      <c r="N8974" t="n">
        <v>0</v>
      </c>
      <c r="O8974" t="n">
        <v>0</v>
      </c>
      <c r="P8974" t="n">
        <v>0</v>
      </c>
      <c r="Q8974" t="n">
        <v>0</v>
      </c>
      <c r="R8974" s="2" t="inlineStr"/>
    </row>
    <row r="8975" ht="15" customHeight="1">
      <c r="A8975" t="inlineStr">
        <is>
          <t>A 63222-2021</t>
        </is>
      </c>
      <c r="B8975" s="1" t="n">
        <v>44508</v>
      </c>
      <c r="C8975" s="1" t="n">
        <v>45952</v>
      </c>
      <c r="D8975" t="inlineStr">
        <is>
          <t>VÄSTRA GÖTALANDS LÄN</t>
        </is>
      </c>
      <c r="E8975" t="inlineStr">
        <is>
          <t>TANUM</t>
        </is>
      </c>
      <c r="G8975" t="n">
        <v>2.8</v>
      </c>
      <c r="H8975" t="n">
        <v>0</v>
      </c>
      <c r="I8975" t="n">
        <v>0</v>
      </c>
      <c r="J8975" t="n">
        <v>0</v>
      </c>
      <c r="K8975" t="n">
        <v>0</v>
      </c>
      <c r="L8975" t="n">
        <v>0</v>
      </c>
      <c r="M8975" t="n">
        <v>0</v>
      </c>
      <c r="N8975" t="n">
        <v>0</v>
      </c>
      <c r="O8975" t="n">
        <v>0</v>
      </c>
      <c r="P8975" t="n">
        <v>0</v>
      </c>
      <c r="Q8975" t="n">
        <v>0</v>
      </c>
      <c r="R8975" s="2" t="inlineStr"/>
    </row>
    <row r="8976" ht="15" customHeight="1">
      <c r="A8976" t="inlineStr">
        <is>
          <t>A 15426-2025</t>
        </is>
      </c>
      <c r="B8976" s="1" t="n">
        <v>45747.4666087963</v>
      </c>
      <c r="C8976" s="1" t="n">
        <v>45952</v>
      </c>
      <c r="D8976" t="inlineStr">
        <is>
          <t>VÄSTRA GÖTALANDS LÄN</t>
        </is>
      </c>
      <c r="E8976" t="inlineStr">
        <is>
          <t>GÖTENE</t>
        </is>
      </c>
      <c r="G8976" t="n">
        <v>1.1</v>
      </c>
      <c r="H8976" t="n">
        <v>0</v>
      </c>
      <c r="I8976" t="n">
        <v>0</v>
      </c>
      <c r="J8976" t="n">
        <v>0</v>
      </c>
      <c r="K8976" t="n">
        <v>0</v>
      </c>
      <c r="L8976" t="n">
        <v>0</v>
      </c>
      <c r="M8976" t="n">
        <v>0</v>
      </c>
      <c r="N8976" t="n">
        <v>0</v>
      </c>
      <c r="O8976" t="n">
        <v>0</v>
      </c>
      <c r="P8976" t="n">
        <v>0</v>
      </c>
      <c r="Q8976" t="n">
        <v>0</v>
      </c>
      <c r="R8976" s="2" t="inlineStr"/>
    </row>
    <row r="8977" ht="15" customHeight="1">
      <c r="A8977" t="inlineStr">
        <is>
          <t>A 15442-2025</t>
        </is>
      </c>
      <c r="B8977" s="1" t="n">
        <v>45747.48292824074</v>
      </c>
      <c r="C8977" s="1" t="n">
        <v>45952</v>
      </c>
      <c r="D8977" t="inlineStr">
        <is>
          <t>VÄSTRA GÖTALANDS LÄN</t>
        </is>
      </c>
      <c r="E8977" t="inlineStr">
        <is>
          <t>GÖTENE</t>
        </is>
      </c>
      <c r="G8977" t="n">
        <v>0.2</v>
      </c>
      <c r="H8977" t="n">
        <v>0</v>
      </c>
      <c r="I8977" t="n">
        <v>0</v>
      </c>
      <c r="J8977" t="n">
        <v>0</v>
      </c>
      <c r="K8977" t="n">
        <v>0</v>
      </c>
      <c r="L8977" t="n">
        <v>0</v>
      </c>
      <c r="M8977" t="n">
        <v>0</v>
      </c>
      <c r="N8977" t="n">
        <v>0</v>
      </c>
      <c r="O8977" t="n">
        <v>0</v>
      </c>
      <c r="P8977" t="n">
        <v>0</v>
      </c>
      <c r="Q8977" t="n">
        <v>0</v>
      </c>
      <c r="R8977" s="2" t="inlineStr"/>
    </row>
    <row r="8978" ht="15" customHeight="1">
      <c r="A8978" t="inlineStr">
        <is>
          <t>A 23215-2025</t>
        </is>
      </c>
      <c r="B8978" s="1" t="n">
        <v>45791.47444444444</v>
      </c>
      <c r="C8978" s="1" t="n">
        <v>45952</v>
      </c>
      <c r="D8978" t="inlineStr">
        <is>
          <t>VÄSTRA GÖTALANDS LÄN</t>
        </is>
      </c>
      <c r="E8978" t="inlineStr">
        <is>
          <t>ÅMÅL</t>
        </is>
      </c>
      <c r="G8978" t="n">
        <v>3.2</v>
      </c>
      <c r="H8978" t="n">
        <v>0</v>
      </c>
      <c r="I8978" t="n">
        <v>0</v>
      </c>
      <c r="J8978" t="n">
        <v>0</v>
      </c>
      <c r="K8978" t="n">
        <v>0</v>
      </c>
      <c r="L8978" t="n">
        <v>0</v>
      </c>
      <c r="M8978" t="n">
        <v>0</v>
      </c>
      <c r="N8978" t="n">
        <v>0</v>
      </c>
      <c r="O8978" t="n">
        <v>0</v>
      </c>
      <c r="P8978" t="n">
        <v>0</v>
      </c>
      <c r="Q8978" t="n">
        <v>0</v>
      </c>
      <c r="R8978" s="2" t="inlineStr"/>
    </row>
    <row r="8979" ht="15" customHeight="1">
      <c r="A8979" t="inlineStr">
        <is>
          <t>A 14896-2025</t>
        </is>
      </c>
      <c r="B8979" s="1" t="n">
        <v>45743.47895833333</v>
      </c>
      <c r="C8979" s="1" t="n">
        <v>45952</v>
      </c>
      <c r="D8979" t="inlineStr">
        <is>
          <t>VÄSTRA GÖTALANDS LÄN</t>
        </is>
      </c>
      <c r="E8979" t="inlineStr">
        <is>
          <t>GULLSPÅNG</t>
        </is>
      </c>
      <c r="F8979" t="inlineStr">
        <is>
          <t>Kyrkan</t>
        </is>
      </c>
      <c r="G8979" t="n">
        <v>2.3</v>
      </c>
      <c r="H8979" t="n">
        <v>0</v>
      </c>
      <c r="I8979" t="n">
        <v>0</v>
      </c>
      <c r="J8979" t="n">
        <v>0</v>
      </c>
      <c r="K8979" t="n">
        <v>0</v>
      </c>
      <c r="L8979" t="n">
        <v>0</v>
      </c>
      <c r="M8979" t="n">
        <v>0</v>
      </c>
      <c r="N8979" t="n">
        <v>0</v>
      </c>
      <c r="O8979" t="n">
        <v>0</v>
      </c>
      <c r="P8979" t="n">
        <v>0</v>
      </c>
      <c r="Q8979" t="n">
        <v>0</v>
      </c>
      <c r="R8979" s="2" t="inlineStr"/>
    </row>
    <row r="8980" ht="15" customHeight="1">
      <c r="A8980" t="inlineStr">
        <is>
          <t>A 14904-2025</t>
        </is>
      </c>
      <c r="B8980" s="1" t="n">
        <v>45743.49012731481</v>
      </c>
      <c r="C8980" s="1" t="n">
        <v>45952</v>
      </c>
      <c r="D8980" t="inlineStr">
        <is>
          <t>VÄSTRA GÖTALANDS LÄN</t>
        </is>
      </c>
      <c r="E8980" t="inlineStr">
        <is>
          <t>ÅMÅL</t>
        </is>
      </c>
      <c r="G8980" t="n">
        <v>2.8</v>
      </c>
      <c r="H8980" t="n">
        <v>0</v>
      </c>
      <c r="I8980" t="n">
        <v>0</v>
      </c>
      <c r="J8980" t="n">
        <v>0</v>
      </c>
      <c r="K8980" t="n">
        <v>0</v>
      </c>
      <c r="L8980" t="n">
        <v>0</v>
      </c>
      <c r="M8980" t="n">
        <v>0</v>
      </c>
      <c r="N8980" t="n">
        <v>0</v>
      </c>
      <c r="O8980" t="n">
        <v>0</v>
      </c>
      <c r="P8980" t="n">
        <v>0</v>
      </c>
      <c r="Q8980" t="n">
        <v>0</v>
      </c>
      <c r="R8980" s="2" t="inlineStr"/>
    </row>
    <row r="8981" ht="15" customHeight="1">
      <c r="A8981" t="inlineStr">
        <is>
          <t>A 14906-2025</t>
        </is>
      </c>
      <c r="B8981" s="1" t="n">
        <v>45743.49373842592</v>
      </c>
      <c r="C8981" s="1" t="n">
        <v>45952</v>
      </c>
      <c r="D8981" t="inlineStr">
        <is>
          <t>VÄSTRA GÖTALANDS LÄN</t>
        </is>
      </c>
      <c r="E8981" t="inlineStr">
        <is>
          <t>STENUNGSUND</t>
        </is>
      </c>
      <c r="G8981" t="n">
        <v>1.1</v>
      </c>
      <c r="H8981" t="n">
        <v>0</v>
      </c>
      <c r="I8981" t="n">
        <v>0</v>
      </c>
      <c r="J8981" t="n">
        <v>0</v>
      </c>
      <c r="K8981" t="n">
        <v>0</v>
      </c>
      <c r="L8981" t="n">
        <v>0</v>
      </c>
      <c r="M8981" t="n">
        <v>0</v>
      </c>
      <c r="N8981" t="n">
        <v>0</v>
      </c>
      <c r="O8981" t="n">
        <v>0</v>
      </c>
      <c r="P8981" t="n">
        <v>0</v>
      </c>
      <c r="Q8981" t="n">
        <v>0</v>
      </c>
      <c r="R8981" s="2" t="inlineStr"/>
    </row>
    <row r="8982" ht="15" customHeight="1">
      <c r="A8982" t="inlineStr">
        <is>
          <t>A 14914-2025</t>
        </is>
      </c>
      <c r="B8982" s="1" t="n">
        <v>45743.5306712963</v>
      </c>
      <c r="C8982" s="1" t="n">
        <v>45952</v>
      </c>
      <c r="D8982" t="inlineStr">
        <is>
          <t>VÄSTRA GÖTALANDS LÄN</t>
        </is>
      </c>
      <c r="E8982" t="inlineStr">
        <is>
          <t>DALS-ED</t>
        </is>
      </c>
      <c r="G8982" t="n">
        <v>1.6</v>
      </c>
      <c r="H8982" t="n">
        <v>0</v>
      </c>
      <c r="I8982" t="n">
        <v>0</v>
      </c>
      <c r="J8982" t="n">
        <v>0</v>
      </c>
      <c r="K8982" t="n">
        <v>0</v>
      </c>
      <c r="L8982" t="n">
        <v>0</v>
      </c>
      <c r="M8982" t="n">
        <v>0</v>
      </c>
      <c r="N8982" t="n">
        <v>0</v>
      </c>
      <c r="O8982" t="n">
        <v>0</v>
      </c>
      <c r="P8982" t="n">
        <v>0</v>
      </c>
      <c r="Q8982" t="n">
        <v>0</v>
      </c>
      <c r="R8982" s="2" t="inlineStr"/>
    </row>
    <row r="8983" ht="15" customHeight="1">
      <c r="A8983" t="inlineStr">
        <is>
          <t>A 14964-2025</t>
        </is>
      </c>
      <c r="B8983" s="1" t="n">
        <v>45743.58701388889</v>
      </c>
      <c r="C8983" s="1" t="n">
        <v>45952</v>
      </c>
      <c r="D8983" t="inlineStr">
        <is>
          <t>VÄSTRA GÖTALANDS LÄN</t>
        </is>
      </c>
      <c r="E8983" t="inlineStr">
        <is>
          <t>SKÖVDE</t>
        </is>
      </c>
      <c r="G8983" t="n">
        <v>1.8</v>
      </c>
      <c r="H8983" t="n">
        <v>0</v>
      </c>
      <c r="I8983" t="n">
        <v>0</v>
      </c>
      <c r="J8983" t="n">
        <v>0</v>
      </c>
      <c r="K8983" t="n">
        <v>0</v>
      </c>
      <c r="L8983" t="n">
        <v>0</v>
      </c>
      <c r="M8983" t="n">
        <v>0</v>
      </c>
      <c r="N8983" t="n">
        <v>0</v>
      </c>
      <c r="O8983" t="n">
        <v>0</v>
      </c>
      <c r="P8983" t="n">
        <v>0</v>
      </c>
      <c r="Q8983" t="n">
        <v>0</v>
      </c>
      <c r="R8983" s="2" t="inlineStr"/>
    </row>
    <row r="8984" ht="15" customHeight="1">
      <c r="A8984" t="inlineStr">
        <is>
          <t>A 23322-2025</t>
        </is>
      </c>
      <c r="B8984" s="1" t="n">
        <v>45791.61649305555</v>
      </c>
      <c r="C8984" s="1" t="n">
        <v>45952</v>
      </c>
      <c r="D8984" t="inlineStr">
        <is>
          <t>VÄSTRA GÖTALANDS LÄN</t>
        </is>
      </c>
      <c r="E8984" t="inlineStr">
        <is>
          <t>UDDEVALLA</t>
        </is>
      </c>
      <c r="G8984" t="n">
        <v>2</v>
      </c>
      <c r="H8984" t="n">
        <v>0</v>
      </c>
      <c r="I8984" t="n">
        <v>0</v>
      </c>
      <c r="J8984" t="n">
        <v>0</v>
      </c>
      <c r="K8984" t="n">
        <v>0</v>
      </c>
      <c r="L8984" t="n">
        <v>0</v>
      </c>
      <c r="M8984" t="n">
        <v>0</v>
      </c>
      <c r="N8984" t="n">
        <v>0</v>
      </c>
      <c r="O8984" t="n">
        <v>0</v>
      </c>
      <c r="P8984" t="n">
        <v>0</v>
      </c>
      <c r="Q8984" t="n">
        <v>0</v>
      </c>
      <c r="R8984" s="2" t="inlineStr"/>
    </row>
    <row r="8985" ht="15" customHeight="1">
      <c r="A8985" t="inlineStr">
        <is>
          <t>A 48212-2025</t>
        </is>
      </c>
      <c r="B8985" s="1" t="n">
        <v>45933.49399305556</v>
      </c>
      <c r="C8985" s="1" t="n">
        <v>45952</v>
      </c>
      <c r="D8985" t="inlineStr">
        <is>
          <t>VÄSTRA GÖTALANDS LÄN</t>
        </is>
      </c>
      <c r="E8985" t="inlineStr">
        <is>
          <t>BOLLEBYGD</t>
        </is>
      </c>
      <c r="G8985" t="n">
        <v>0.7</v>
      </c>
      <c r="H8985" t="n">
        <v>0</v>
      </c>
      <c r="I8985" t="n">
        <v>0</v>
      </c>
      <c r="J8985" t="n">
        <v>0</v>
      </c>
      <c r="K8985" t="n">
        <v>0</v>
      </c>
      <c r="L8985" t="n">
        <v>0</v>
      </c>
      <c r="M8985" t="n">
        <v>0</v>
      </c>
      <c r="N8985" t="n">
        <v>0</v>
      </c>
      <c r="O8985" t="n">
        <v>0</v>
      </c>
      <c r="P8985" t="n">
        <v>0</v>
      </c>
      <c r="Q8985" t="n">
        <v>0</v>
      </c>
      <c r="R8985" s="2" t="inlineStr"/>
    </row>
    <row r="8986" ht="15" customHeight="1">
      <c r="A8986" t="inlineStr">
        <is>
          <t>A 39728-2023</t>
        </is>
      </c>
      <c r="B8986" s="1" t="n">
        <v>45167.63978009259</v>
      </c>
      <c r="C8986" s="1" t="n">
        <v>45952</v>
      </c>
      <c r="D8986" t="inlineStr">
        <is>
          <t>VÄSTRA GÖTALANDS LÄN</t>
        </is>
      </c>
      <c r="E8986" t="inlineStr">
        <is>
          <t>MELLERUD</t>
        </is>
      </c>
      <c r="G8986" t="n">
        <v>0.6</v>
      </c>
      <c r="H8986" t="n">
        <v>0</v>
      </c>
      <c r="I8986" t="n">
        <v>0</v>
      </c>
      <c r="J8986" t="n">
        <v>0</v>
      </c>
      <c r="K8986" t="n">
        <v>0</v>
      </c>
      <c r="L8986" t="n">
        <v>0</v>
      </c>
      <c r="M8986" t="n">
        <v>0</v>
      </c>
      <c r="N8986" t="n">
        <v>0</v>
      </c>
      <c r="O8986" t="n">
        <v>0</v>
      </c>
      <c r="P8986" t="n">
        <v>0</v>
      </c>
      <c r="Q8986" t="n">
        <v>0</v>
      </c>
      <c r="R8986" s="2" t="inlineStr"/>
    </row>
    <row r="8987" ht="15" customHeight="1">
      <c r="A8987" t="inlineStr">
        <is>
          <t>A 36224-2021</t>
        </is>
      </c>
      <c r="B8987" s="1" t="n">
        <v>44389</v>
      </c>
      <c r="C8987" s="1" t="n">
        <v>45952</v>
      </c>
      <c r="D8987" t="inlineStr">
        <is>
          <t>VÄSTRA GÖTALANDS LÄN</t>
        </is>
      </c>
      <c r="E8987" t="inlineStr">
        <is>
          <t>BORÅS</t>
        </is>
      </c>
      <c r="G8987" t="n">
        <v>0.8</v>
      </c>
      <c r="H8987" t="n">
        <v>0</v>
      </c>
      <c r="I8987" t="n">
        <v>0</v>
      </c>
      <c r="J8987" t="n">
        <v>0</v>
      </c>
      <c r="K8987" t="n">
        <v>0</v>
      </c>
      <c r="L8987" t="n">
        <v>0</v>
      </c>
      <c r="M8987" t="n">
        <v>0</v>
      </c>
      <c r="N8987" t="n">
        <v>0</v>
      </c>
      <c r="O8987" t="n">
        <v>0</v>
      </c>
      <c r="P8987" t="n">
        <v>0</v>
      </c>
      <c r="Q8987" t="n">
        <v>0</v>
      </c>
      <c r="R8987" s="2" t="inlineStr"/>
    </row>
    <row r="8988" ht="15" customHeight="1">
      <c r="A8988" t="inlineStr">
        <is>
          <t>A 3857-2025</t>
        </is>
      </c>
      <c r="B8988" s="1" t="n">
        <v>45682</v>
      </c>
      <c r="C8988" s="1" t="n">
        <v>45952</v>
      </c>
      <c r="D8988" t="inlineStr">
        <is>
          <t>VÄSTRA GÖTALANDS LÄN</t>
        </is>
      </c>
      <c r="E8988" t="inlineStr">
        <is>
          <t>MARIESTAD</t>
        </is>
      </c>
      <c r="G8988" t="n">
        <v>6.7</v>
      </c>
      <c r="H8988" t="n">
        <v>0</v>
      </c>
      <c r="I8988" t="n">
        <v>0</v>
      </c>
      <c r="J8988" t="n">
        <v>0</v>
      </c>
      <c r="K8988" t="n">
        <v>0</v>
      </c>
      <c r="L8988" t="n">
        <v>0</v>
      </c>
      <c r="M8988" t="n">
        <v>0</v>
      </c>
      <c r="N8988" t="n">
        <v>0</v>
      </c>
      <c r="O8988" t="n">
        <v>0</v>
      </c>
      <c r="P8988" t="n">
        <v>0</v>
      </c>
      <c r="Q8988" t="n">
        <v>0</v>
      </c>
      <c r="R8988" s="2" t="inlineStr"/>
    </row>
    <row r="8989" ht="15" customHeight="1">
      <c r="A8989" t="inlineStr">
        <is>
          <t>A 17585-2025</t>
        </is>
      </c>
      <c r="B8989" s="1" t="n">
        <v>45757.6740162037</v>
      </c>
      <c r="C8989" s="1" t="n">
        <v>45952</v>
      </c>
      <c r="D8989" t="inlineStr">
        <is>
          <t>VÄSTRA GÖTALANDS LÄN</t>
        </is>
      </c>
      <c r="E8989" t="inlineStr">
        <is>
          <t>ULRICEHAMN</t>
        </is>
      </c>
      <c r="G8989" t="n">
        <v>1.5</v>
      </c>
      <c r="H8989" t="n">
        <v>0</v>
      </c>
      <c r="I8989" t="n">
        <v>0</v>
      </c>
      <c r="J8989" t="n">
        <v>0</v>
      </c>
      <c r="K8989" t="n">
        <v>0</v>
      </c>
      <c r="L8989" t="n">
        <v>0</v>
      </c>
      <c r="M8989" t="n">
        <v>0</v>
      </c>
      <c r="N8989" t="n">
        <v>0</v>
      </c>
      <c r="O8989" t="n">
        <v>0</v>
      </c>
      <c r="P8989" t="n">
        <v>0</v>
      </c>
      <c r="Q8989" t="n">
        <v>0</v>
      </c>
      <c r="R8989" s="2" t="inlineStr"/>
    </row>
    <row r="8990" ht="15" customHeight="1">
      <c r="A8990" t="inlineStr">
        <is>
          <t>A 23125-2025</t>
        </is>
      </c>
      <c r="B8990" s="1" t="n">
        <v>45791.38410879629</v>
      </c>
      <c r="C8990" s="1" t="n">
        <v>45952</v>
      </c>
      <c r="D8990" t="inlineStr">
        <is>
          <t>VÄSTRA GÖTALANDS LÄN</t>
        </is>
      </c>
      <c r="E8990" t="inlineStr">
        <is>
          <t>ÅMÅL</t>
        </is>
      </c>
      <c r="G8990" t="n">
        <v>4</v>
      </c>
      <c r="H8990" t="n">
        <v>0</v>
      </c>
      <c r="I8990" t="n">
        <v>0</v>
      </c>
      <c r="J8990" t="n">
        <v>0</v>
      </c>
      <c r="K8990" t="n">
        <v>0</v>
      </c>
      <c r="L8990" t="n">
        <v>0</v>
      </c>
      <c r="M8990" t="n">
        <v>0</v>
      </c>
      <c r="N8990" t="n">
        <v>0</v>
      </c>
      <c r="O8990" t="n">
        <v>0</v>
      </c>
      <c r="P8990" t="n">
        <v>0</v>
      </c>
      <c r="Q8990" t="n">
        <v>0</v>
      </c>
      <c r="R8990" s="2" t="inlineStr"/>
    </row>
    <row r="8991" ht="15" customHeight="1">
      <c r="A8991" t="inlineStr">
        <is>
          <t>A 39931-2025</t>
        </is>
      </c>
      <c r="B8991" s="1" t="n">
        <v>45891</v>
      </c>
      <c r="C8991" s="1" t="n">
        <v>45952</v>
      </c>
      <c r="D8991" t="inlineStr">
        <is>
          <t>VÄSTRA GÖTALANDS LÄN</t>
        </is>
      </c>
      <c r="E8991" t="inlineStr">
        <is>
          <t>TIDAHOLM</t>
        </is>
      </c>
      <c r="G8991" t="n">
        <v>1</v>
      </c>
      <c r="H8991" t="n">
        <v>0</v>
      </c>
      <c r="I8991" t="n">
        <v>0</v>
      </c>
      <c r="J8991" t="n">
        <v>0</v>
      </c>
      <c r="K8991" t="n">
        <v>0</v>
      </c>
      <c r="L8991" t="n">
        <v>0</v>
      </c>
      <c r="M8991" t="n">
        <v>0</v>
      </c>
      <c r="N8991" t="n">
        <v>0</v>
      </c>
      <c r="O8991" t="n">
        <v>0</v>
      </c>
      <c r="P8991" t="n">
        <v>0</v>
      </c>
      <c r="Q8991" t="n">
        <v>0</v>
      </c>
      <c r="R8991" s="2" t="inlineStr"/>
    </row>
    <row r="8992" ht="15" customHeight="1">
      <c r="A8992" t="inlineStr">
        <is>
          <t>A 39996-2025</t>
        </is>
      </c>
      <c r="B8992" s="1" t="n">
        <v>45891</v>
      </c>
      <c r="C8992" s="1" t="n">
        <v>45952</v>
      </c>
      <c r="D8992" t="inlineStr">
        <is>
          <t>VÄSTRA GÖTALANDS LÄN</t>
        </is>
      </c>
      <c r="E8992" t="inlineStr">
        <is>
          <t>BENGTSFORS</t>
        </is>
      </c>
      <c r="F8992" t="inlineStr">
        <is>
          <t>Övriga Aktiebolag</t>
        </is>
      </c>
      <c r="G8992" t="n">
        <v>2.9</v>
      </c>
      <c r="H8992" t="n">
        <v>0</v>
      </c>
      <c r="I8992" t="n">
        <v>0</v>
      </c>
      <c r="J8992" t="n">
        <v>0</v>
      </c>
      <c r="K8992" t="n">
        <v>0</v>
      </c>
      <c r="L8992" t="n">
        <v>0</v>
      </c>
      <c r="M8992" t="n">
        <v>0</v>
      </c>
      <c r="N8992" t="n">
        <v>0</v>
      </c>
      <c r="O8992" t="n">
        <v>0</v>
      </c>
      <c r="P8992" t="n">
        <v>0</v>
      </c>
      <c r="Q8992" t="n">
        <v>0</v>
      </c>
      <c r="R8992" s="2" t="inlineStr"/>
    </row>
    <row r="8993" ht="15" customHeight="1">
      <c r="A8993" t="inlineStr">
        <is>
          <t>A 44940-2025</t>
        </is>
      </c>
      <c r="B8993" s="1" t="n">
        <v>45918.58409722222</v>
      </c>
      <c r="C8993" s="1" t="n">
        <v>45952</v>
      </c>
      <c r="D8993" t="inlineStr">
        <is>
          <t>VÄSTRA GÖTALANDS LÄN</t>
        </is>
      </c>
      <c r="E8993" t="inlineStr">
        <is>
          <t>MUNKEDAL</t>
        </is>
      </c>
      <c r="G8993" t="n">
        <v>2.8</v>
      </c>
      <c r="H8993" t="n">
        <v>0</v>
      </c>
      <c r="I8993" t="n">
        <v>0</v>
      </c>
      <c r="J8993" t="n">
        <v>0</v>
      </c>
      <c r="K8993" t="n">
        <v>0</v>
      </c>
      <c r="L8993" t="n">
        <v>0</v>
      </c>
      <c r="M8993" t="n">
        <v>0</v>
      </c>
      <c r="N8993" t="n">
        <v>0</v>
      </c>
      <c r="O8993" t="n">
        <v>0</v>
      </c>
      <c r="P8993" t="n">
        <v>0</v>
      </c>
      <c r="Q8993" t="n">
        <v>0</v>
      </c>
      <c r="R8993" s="2" t="inlineStr"/>
    </row>
    <row r="8994" ht="15" customHeight="1">
      <c r="A8994" t="inlineStr">
        <is>
          <t>A 46538-2022</t>
        </is>
      </c>
      <c r="B8994" s="1" t="n">
        <v>44848.61694444445</v>
      </c>
      <c r="C8994" s="1" t="n">
        <v>45952</v>
      </c>
      <c r="D8994" t="inlineStr">
        <is>
          <t>VÄSTRA GÖTALANDS LÄN</t>
        </is>
      </c>
      <c r="E8994" t="inlineStr">
        <is>
          <t>TRANEMO</t>
        </is>
      </c>
      <c r="F8994" t="inlineStr">
        <is>
          <t>Kyrkan</t>
        </is>
      </c>
      <c r="G8994" t="n">
        <v>4</v>
      </c>
      <c r="H8994" t="n">
        <v>0</v>
      </c>
      <c r="I8994" t="n">
        <v>0</v>
      </c>
      <c r="J8994" t="n">
        <v>0</v>
      </c>
      <c r="K8994" t="n">
        <v>0</v>
      </c>
      <c r="L8994" t="n">
        <v>0</v>
      </c>
      <c r="M8994" t="n">
        <v>0</v>
      </c>
      <c r="N8994" t="n">
        <v>0</v>
      </c>
      <c r="O8994" t="n">
        <v>0</v>
      </c>
      <c r="P8994" t="n">
        <v>0</v>
      </c>
      <c r="Q8994" t="n">
        <v>0</v>
      </c>
      <c r="R8994" s="2" t="inlineStr"/>
    </row>
    <row r="8995" ht="15" customHeight="1">
      <c r="A8995" t="inlineStr">
        <is>
          <t>A 17649-2025</t>
        </is>
      </c>
      <c r="B8995" s="1" t="n">
        <v>45758.33077546296</v>
      </c>
      <c r="C8995" s="1" t="n">
        <v>45952</v>
      </c>
      <c r="D8995" t="inlineStr">
        <is>
          <t>VÄSTRA GÖTALANDS LÄN</t>
        </is>
      </c>
      <c r="E8995" t="inlineStr">
        <is>
          <t>TRANEMO</t>
        </is>
      </c>
      <c r="G8995" t="n">
        <v>3.1</v>
      </c>
      <c r="H8995" t="n">
        <v>0</v>
      </c>
      <c r="I8995" t="n">
        <v>0</v>
      </c>
      <c r="J8995" t="n">
        <v>0</v>
      </c>
      <c r="K8995" t="n">
        <v>0</v>
      </c>
      <c r="L8995" t="n">
        <v>0</v>
      </c>
      <c r="M8995" t="n">
        <v>0</v>
      </c>
      <c r="N8995" t="n">
        <v>0</v>
      </c>
      <c r="O8995" t="n">
        <v>0</v>
      </c>
      <c r="P8995" t="n">
        <v>0</v>
      </c>
      <c r="Q8995" t="n">
        <v>0</v>
      </c>
      <c r="R8995" s="2" t="inlineStr"/>
    </row>
    <row r="8996" ht="15" customHeight="1">
      <c r="A8996" t="inlineStr">
        <is>
          <t>A 9652-2025</t>
        </is>
      </c>
      <c r="B8996" s="1" t="n">
        <v>45716.26694444445</v>
      </c>
      <c r="C8996" s="1" t="n">
        <v>45952</v>
      </c>
      <c r="D8996" t="inlineStr">
        <is>
          <t>VÄSTRA GÖTALANDS LÄN</t>
        </is>
      </c>
      <c r="E8996" t="inlineStr">
        <is>
          <t>MARIESTAD</t>
        </is>
      </c>
      <c r="F8996" t="inlineStr">
        <is>
          <t>Sveaskog</t>
        </is>
      </c>
      <c r="G8996" t="n">
        <v>1</v>
      </c>
      <c r="H8996" t="n">
        <v>0</v>
      </c>
      <c r="I8996" t="n">
        <v>0</v>
      </c>
      <c r="J8996" t="n">
        <v>0</v>
      </c>
      <c r="K8996" t="n">
        <v>0</v>
      </c>
      <c r="L8996" t="n">
        <v>0</v>
      </c>
      <c r="M8996" t="n">
        <v>0</v>
      </c>
      <c r="N8996" t="n">
        <v>0</v>
      </c>
      <c r="O8996" t="n">
        <v>0</v>
      </c>
      <c r="P8996" t="n">
        <v>0</v>
      </c>
      <c r="Q8996" t="n">
        <v>0</v>
      </c>
      <c r="R8996" s="2" t="inlineStr"/>
    </row>
    <row r="8997" ht="15" customHeight="1">
      <c r="A8997" t="inlineStr">
        <is>
          <t>A 10525-2025</t>
        </is>
      </c>
      <c r="B8997" s="1" t="n">
        <v>45721.43710648148</v>
      </c>
      <c r="C8997" s="1" t="n">
        <v>45952</v>
      </c>
      <c r="D8997" t="inlineStr">
        <is>
          <t>VÄSTRA GÖTALANDS LÄN</t>
        </is>
      </c>
      <c r="E8997" t="inlineStr">
        <is>
          <t>VÄNERSBORG</t>
        </is>
      </c>
      <c r="G8997" t="n">
        <v>0.6</v>
      </c>
      <c r="H8997" t="n">
        <v>0</v>
      </c>
      <c r="I8997" t="n">
        <v>0</v>
      </c>
      <c r="J8997" t="n">
        <v>0</v>
      </c>
      <c r="K8997" t="n">
        <v>0</v>
      </c>
      <c r="L8997" t="n">
        <v>0</v>
      </c>
      <c r="M8997" t="n">
        <v>0</v>
      </c>
      <c r="N8997" t="n">
        <v>0</v>
      </c>
      <c r="O8997" t="n">
        <v>0</v>
      </c>
      <c r="P8997" t="n">
        <v>0</v>
      </c>
      <c r="Q8997" t="n">
        <v>0</v>
      </c>
      <c r="R8997" s="2" t="inlineStr"/>
    </row>
    <row r="8998" ht="15" customHeight="1">
      <c r="A8998" t="inlineStr">
        <is>
          <t>A 10679-2025</t>
        </is>
      </c>
      <c r="B8998" s="1" t="n">
        <v>45721.89462962963</v>
      </c>
      <c r="C8998" s="1" t="n">
        <v>45952</v>
      </c>
      <c r="D8998" t="inlineStr">
        <is>
          <t>VÄSTRA GÖTALANDS LÄN</t>
        </is>
      </c>
      <c r="E8998" t="inlineStr">
        <is>
          <t>KUNGÄLV</t>
        </is>
      </c>
      <c r="G8998" t="n">
        <v>4.4</v>
      </c>
      <c r="H8998" t="n">
        <v>0</v>
      </c>
      <c r="I8998" t="n">
        <v>0</v>
      </c>
      <c r="J8998" t="n">
        <v>0</v>
      </c>
      <c r="K8998" t="n">
        <v>0</v>
      </c>
      <c r="L8998" t="n">
        <v>0</v>
      </c>
      <c r="M8998" t="n">
        <v>0</v>
      </c>
      <c r="N8998" t="n">
        <v>0</v>
      </c>
      <c r="O8998" t="n">
        <v>0</v>
      </c>
      <c r="P8998" t="n">
        <v>0</v>
      </c>
      <c r="Q8998" t="n">
        <v>0</v>
      </c>
      <c r="R8998" s="2" t="inlineStr"/>
    </row>
    <row r="8999" ht="15" customHeight="1">
      <c r="A8999" t="inlineStr">
        <is>
          <t>A 46907-2025</t>
        </is>
      </c>
      <c r="B8999" s="1" t="n">
        <v>45929.40480324074</v>
      </c>
      <c r="C8999" s="1" t="n">
        <v>45952</v>
      </c>
      <c r="D8999" t="inlineStr">
        <is>
          <t>VÄSTRA GÖTALANDS LÄN</t>
        </is>
      </c>
      <c r="E8999" t="inlineStr">
        <is>
          <t>STRÖMSTAD</t>
        </is>
      </c>
      <c r="G8999" t="n">
        <v>2.4</v>
      </c>
      <c r="H8999" t="n">
        <v>0</v>
      </c>
      <c r="I8999" t="n">
        <v>0</v>
      </c>
      <c r="J8999" t="n">
        <v>0</v>
      </c>
      <c r="K8999" t="n">
        <v>0</v>
      </c>
      <c r="L8999" t="n">
        <v>0</v>
      </c>
      <c r="M8999" t="n">
        <v>0</v>
      </c>
      <c r="N8999" t="n">
        <v>0</v>
      </c>
      <c r="O8999" t="n">
        <v>0</v>
      </c>
      <c r="P8999" t="n">
        <v>0</v>
      </c>
      <c r="Q8999" t="n">
        <v>0</v>
      </c>
      <c r="R8999" s="2" t="inlineStr"/>
    </row>
    <row r="9000" ht="15" customHeight="1">
      <c r="A9000" t="inlineStr">
        <is>
          <t>A 63239-2021</t>
        </is>
      </c>
      <c r="B9000" s="1" t="n">
        <v>44508.36662037037</v>
      </c>
      <c r="C9000" s="1" t="n">
        <v>45952</v>
      </c>
      <c r="D9000" t="inlineStr">
        <is>
          <t>VÄSTRA GÖTALANDS LÄN</t>
        </is>
      </c>
      <c r="E9000" t="inlineStr">
        <is>
          <t>HJO</t>
        </is>
      </c>
      <c r="G9000" t="n">
        <v>2.3</v>
      </c>
      <c r="H9000" t="n">
        <v>0</v>
      </c>
      <c r="I9000" t="n">
        <v>0</v>
      </c>
      <c r="J9000" t="n">
        <v>0</v>
      </c>
      <c r="K9000" t="n">
        <v>0</v>
      </c>
      <c r="L9000" t="n">
        <v>0</v>
      </c>
      <c r="M9000" t="n">
        <v>0</v>
      </c>
      <c r="N9000" t="n">
        <v>0</v>
      </c>
      <c r="O9000" t="n">
        <v>0</v>
      </c>
      <c r="P9000" t="n">
        <v>0</v>
      </c>
      <c r="Q9000" t="n">
        <v>0</v>
      </c>
      <c r="R9000" s="2" t="inlineStr"/>
    </row>
    <row r="9001" ht="15" customHeight="1">
      <c r="A9001" t="inlineStr">
        <is>
          <t>A 32446-2023</t>
        </is>
      </c>
      <c r="B9001" s="1" t="n">
        <v>45120</v>
      </c>
      <c r="C9001" s="1" t="n">
        <v>45952</v>
      </c>
      <c r="D9001" t="inlineStr">
        <is>
          <t>VÄSTRA GÖTALANDS LÄN</t>
        </is>
      </c>
      <c r="E9001" t="inlineStr">
        <is>
          <t>BORÅS</t>
        </is>
      </c>
      <c r="G9001" t="n">
        <v>2.6</v>
      </c>
      <c r="H9001" t="n">
        <v>0</v>
      </c>
      <c r="I9001" t="n">
        <v>0</v>
      </c>
      <c r="J9001" t="n">
        <v>0</v>
      </c>
      <c r="K9001" t="n">
        <v>0</v>
      </c>
      <c r="L9001" t="n">
        <v>0</v>
      </c>
      <c r="M9001" t="n">
        <v>0</v>
      </c>
      <c r="N9001" t="n">
        <v>0</v>
      </c>
      <c r="O9001" t="n">
        <v>0</v>
      </c>
      <c r="P9001" t="n">
        <v>0</v>
      </c>
      <c r="Q9001" t="n">
        <v>0</v>
      </c>
      <c r="R9001" s="2" t="inlineStr"/>
    </row>
    <row r="9002" ht="15" customHeight="1">
      <c r="A9002" t="inlineStr">
        <is>
          <t>A 32473-2023</t>
        </is>
      </c>
      <c r="B9002" s="1" t="n">
        <v>45120</v>
      </c>
      <c r="C9002" s="1" t="n">
        <v>45952</v>
      </c>
      <c r="D9002" t="inlineStr">
        <is>
          <t>VÄSTRA GÖTALANDS LÄN</t>
        </is>
      </c>
      <c r="E9002" t="inlineStr">
        <is>
          <t>BORÅS</t>
        </is>
      </c>
      <c r="G9002" t="n">
        <v>8.800000000000001</v>
      </c>
      <c r="H9002" t="n">
        <v>0</v>
      </c>
      <c r="I9002" t="n">
        <v>0</v>
      </c>
      <c r="J9002" t="n">
        <v>0</v>
      </c>
      <c r="K9002" t="n">
        <v>0</v>
      </c>
      <c r="L9002" t="n">
        <v>0</v>
      </c>
      <c r="M9002" t="n">
        <v>0</v>
      </c>
      <c r="N9002" t="n">
        <v>0</v>
      </c>
      <c r="O9002" t="n">
        <v>0</v>
      </c>
      <c r="P9002" t="n">
        <v>0</v>
      </c>
      <c r="Q9002" t="n">
        <v>0</v>
      </c>
      <c r="R9002" s="2" t="inlineStr"/>
    </row>
    <row r="9003" ht="15" customHeight="1">
      <c r="A9003" t="inlineStr">
        <is>
          <t>A 11939-2025</t>
        </is>
      </c>
      <c r="B9003" s="1" t="n">
        <v>45728.53525462963</v>
      </c>
      <c r="C9003" s="1" t="n">
        <v>45952</v>
      </c>
      <c r="D9003" t="inlineStr">
        <is>
          <t>VÄSTRA GÖTALANDS LÄN</t>
        </is>
      </c>
      <c r="E9003" t="inlineStr">
        <is>
          <t>FALKÖPING</t>
        </is>
      </c>
      <c r="G9003" t="n">
        <v>7.3</v>
      </c>
      <c r="H9003" t="n">
        <v>0</v>
      </c>
      <c r="I9003" t="n">
        <v>0</v>
      </c>
      <c r="J9003" t="n">
        <v>0</v>
      </c>
      <c r="K9003" t="n">
        <v>0</v>
      </c>
      <c r="L9003" t="n">
        <v>0</v>
      </c>
      <c r="M9003" t="n">
        <v>0</v>
      </c>
      <c r="N9003" t="n">
        <v>0</v>
      </c>
      <c r="O9003" t="n">
        <v>0</v>
      </c>
      <c r="P9003" t="n">
        <v>0</v>
      </c>
      <c r="Q9003" t="n">
        <v>0</v>
      </c>
      <c r="R9003" s="2" t="inlineStr"/>
    </row>
    <row r="9004" ht="15" customHeight="1">
      <c r="A9004" t="inlineStr">
        <is>
          <t>A 12001-2025</t>
        </is>
      </c>
      <c r="B9004" s="1" t="n">
        <v>45728.61289351852</v>
      </c>
      <c r="C9004" s="1" t="n">
        <v>45952</v>
      </c>
      <c r="D9004" t="inlineStr">
        <is>
          <t>VÄSTRA GÖTALANDS LÄN</t>
        </is>
      </c>
      <c r="E9004" t="inlineStr">
        <is>
          <t>MARIESTAD</t>
        </is>
      </c>
      <c r="F9004" t="inlineStr">
        <is>
          <t>Sveaskog</t>
        </is>
      </c>
      <c r="G9004" t="n">
        <v>0.9</v>
      </c>
      <c r="H9004" t="n">
        <v>0</v>
      </c>
      <c r="I9004" t="n">
        <v>0</v>
      </c>
      <c r="J9004" t="n">
        <v>0</v>
      </c>
      <c r="K9004" t="n">
        <v>0</v>
      </c>
      <c r="L9004" t="n">
        <v>0</v>
      </c>
      <c r="M9004" t="n">
        <v>0</v>
      </c>
      <c r="N9004" t="n">
        <v>0</v>
      </c>
      <c r="O9004" t="n">
        <v>0</v>
      </c>
      <c r="P9004" t="n">
        <v>0</v>
      </c>
      <c r="Q9004" t="n">
        <v>0</v>
      </c>
      <c r="R9004" s="2" t="inlineStr"/>
    </row>
    <row r="9005" ht="15" customHeight="1">
      <c r="A9005" t="inlineStr">
        <is>
          <t>A 8616-2025</t>
        </is>
      </c>
      <c r="B9005" s="1" t="n">
        <v>45711.37755787037</v>
      </c>
      <c r="C9005" s="1" t="n">
        <v>45952</v>
      </c>
      <c r="D9005" t="inlineStr">
        <is>
          <t>VÄSTRA GÖTALANDS LÄN</t>
        </is>
      </c>
      <c r="E9005" t="inlineStr">
        <is>
          <t>TIDAHOLM</t>
        </is>
      </c>
      <c r="G9005" t="n">
        <v>2.1</v>
      </c>
      <c r="H9005" t="n">
        <v>0</v>
      </c>
      <c r="I9005" t="n">
        <v>0</v>
      </c>
      <c r="J9005" t="n">
        <v>0</v>
      </c>
      <c r="K9005" t="n">
        <v>0</v>
      </c>
      <c r="L9005" t="n">
        <v>0</v>
      </c>
      <c r="M9005" t="n">
        <v>0</v>
      </c>
      <c r="N9005" t="n">
        <v>0</v>
      </c>
      <c r="O9005" t="n">
        <v>0</v>
      </c>
      <c r="P9005" t="n">
        <v>0</v>
      </c>
      <c r="Q9005" t="n">
        <v>0</v>
      </c>
      <c r="R9005" s="2" t="inlineStr"/>
    </row>
    <row r="9006" ht="15" customHeight="1">
      <c r="A9006" t="inlineStr">
        <is>
          <t>A 48279-2025</t>
        </is>
      </c>
      <c r="B9006" s="1" t="n">
        <v>45933.58763888889</v>
      </c>
      <c r="C9006" s="1" t="n">
        <v>45952</v>
      </c>
      <c r="D9006" t="inlineStr">
        <is>
          <t>VÄSTRA GÖTALANDS LÄN</t>
        </is>
      </c>
      <c r="E9006" t="inlineStr">
        <is>
          <t>TIBRO</t>
        </is>
      </c>
      <c r="G9006" t="n">
        <v>2.1</v>
      </c>
      <c r="H9006" t="n">
        <v>0</v>
      </c>
      <c r="I9006" t="n">
        <v>0</v>
      </c>
      <c r="J9006" t="n">
        <v>0</v>
      </c>
      <c r="K9006" t="n">
        <v>0</v>
      </c>
      <c r="L9006" t="n">
        <v>0</v>
      </c>
      <c r="M9006" t="n">
        <v>0</v>
      </c>
      <c r="N9006" t="n">
        <v>0</v>
      </c>
      <c r="O9006" t="n">
        <v>0</v>
      </c>
      <c r="P9006" t="n">
        <v>0</v>
      </c>
      <c r="Q9006" t="n">
        <v>0</v>
      </c>
      <c r="R9006" s="2" t="inlineStr"/>
    </row>
    <row r="9007" ht="15" customHeight="1">
      <c r="A9007" t="inlineStr">
        <is>
          <t>A 15503-2025</t>
        </is>
      </c>
      <c r="B9007" s="1" t="n">
        <v>45747.59469907408</v>
      </c>
      <c r="C9007" s="1" t="n">
        <v>45952</v>
      </c>
      <c r="D9007" t="inlineStr">
        <is>
          <t>VÄSTRA GÖTALANDS LÄN</t>
        </is>
      </c>
      <c r="E9007" t="inlineStr">
        <is>
          <t>FALKÖPING</t>
        </is>
      </c>
      <c r="G9007" t="n">
        <v>1.1</v>
      </c>
      <c r="H9007" t="n">
        <v>0</v>
      </c>
      <c r="I9007" t="n">
        <v>0</v>
      </c>
      <c r="J9007" t="n">
        <v>0</v>
      </c>
      <c r="K9007" t="n">
        <v>0</v>
      </c>
      <c r="L9007" t="n">
        <v>0</v>
      </c>
      <c r="M9007" t="n">
        <v>0</v>
      </c>
      <c r="N9007" t="n">
        <v>0</v>
      </c>
      <c r="O9007" t="n">
        <v>0</v>
      </c>
      <c r="P9007" t="n">
        <v>0</v>
      </c>
      <c r="Q9007" t="n">
        <v>0</v>
      </c>
      <c r="R9007" s="2" t="inlineStr"/>
    </row>
    <row r="9008" ht="15" customHeight="1">
      <c r="A9008" t="inlineStr">
        <is>
          <t>A 22301-2024</t>
        </is>
      </c>
      <c r="B9008" s="1" t="n">
        <v>45446</v>
      </c>
      <c r="C9008" s="1" t="n">
        <v>45952</v>
      </c>
      <c r="D9008" t="inlineStr">
        <is>
          <t>VÄSTRA GÖTALANDS LÄN</t>
        </is>
      </c>
      <c r="E9008" t="inlineStr">
        <is>
          <t>HERRLJUNGA</t>
        </is>
      </c>
      <c r="G9008" t="n">
        <v>4.8</v>
      </c>
      <c r="H9008" t="n">
        <v>0</v>
      </c>
      <c r="I9008" t="n">
        <v>0</v>
      </c>
      <c r="J9008" t="n">
        <v>0</v>
      </c>
      <c r="K9008" t="n">
        <v>0</v>
      </c>
      <c r="L9008" t="n">
        <v>0</v>
      </c>
      <c r="M9008" t="n">
        <v>0</v>
      </c>
      <c r="N9008" t="n">
        <v>0</v>
      </c>
      <c r="O9008" t="n">
        <v>0</v>
      </c>
      <c r="P9008" t="n">
        <v>0</v>
      </c>
      <c r="Q9008" t="n">
        <v>0</v>
      </c>
      <c r="R9008" s="2" t="inlineStr"/>
    </row>
    <row r="9009" ht="15" customHeight="1">
      <c r="A9009" t="inlineStr">
        <is>
          <t>A 50692-2023</t>
        </is>
      </c>
      <c r="B9009" s="1" t="n">
        <v>45217.54106481482</v>
      </c>
      <c r="C9009" s="1" t="n">
        <v>45952</v>
      </c>
      <c r="D9009" t="inlineStr">
        <is>
          <t>VÄSTRA GÖTALANDS LÄN</t>
        </is>
      </c>
      <c r="E9009" t="inlineStr">
        <is>
          <t>BORÅS</t>
        </is>
      </c>
      <c r="G9009" t="n">
        <v>1.4</v>
      </c>
      <c r="H9009" t="n">
        <v>0</v>
      </c>
      <c r="I9009" t="n">
        <v>0</v>
      </c>
      <c r="J9009" t="n">
        <v>0</v>
      </c>
      <c r="K9009" t="n">
        <v>0</v>
      </c>
      <c r="L9009" t="n">
        <v>0</v>
      </c>
      <c r="M9009" t="n">
        <v>0</v>
      </c>
      <c r="N9009" t="n">
        <v>0</v>
      </c>
      <c r="O9009" t="n">
        <v>0</v>
      </c>
      <c r="P9009" t="n">
        <v>0</v>
      </c>
      <c r="Q9009" t="n">
        <v>0</v>
      </c>
      <c r="R9009" s="2" t="inlineStr"/>
    </row>
    <row r="9010" ht="15" customHeight="1">
      <c r="A9010" t="inlineStr">
        <is>
          <t>A 39835-2025</t>
        </is>
      </c>
      <c r="B9010" s="1" t="n">
        <v>45891</v>
      </c>
      <c r="C9010" s="1" t="n">
        <v>45952</v>
      </c>
      <c r="D9010" t="inlineStr">
        <is>
          <t>VÄSTRA GÖTALANDS LÄN</t>
        </is>
      </c>
      <c r="E9010" t="inlineStr">
        <is>
          <t>FALKÖPING</t>
        </is>
      </c>
      <c r="G9010" t="n">
        <v>1.2</v>
      </c>
      <c r="H9010" t="n">
        <v>0</v>
      </c>
      <c r="I9010" t="n">
        <v>0</v>
      </c>
      <c r="J9010" t="n">
        <v>0</v>
      </c>
      <c r="K9010" t="n">
        <v>0</v>
      </c>
      <c r="L9010" t="n">
        <v>0</v>
      </c>
      <c r="M9010" t="n">
        <v>0</v>
      </c>
      <c r="N9010" t="n">
        <v>0</v>
      </c>
      <c r="O9010" t="n">
        <v>0</v>
      </c>
      <c r="P9010" t="n">
        <v>0</v>
      </c>
      <c r="Q9010" t="n">
        <v>0</v>
      </c>
      <c r="R9010" s="2" t="inlineStr"/>
    </row>
    <row r="9011" ht="15" customHeight="1">
      <c r="A9011" t="inlineStr">
        <is>
          <t>A 1379-2025</t>
        </is>
      </c>
      <c r="B9011" s="1" t="n">
        <v>45667.65357638889</v>
      </c>
      <c r="C9011" s="1" t="n">
        <v>45952</v>
      </c>
      <c r="D9011" t="inlineStr">
        <is>
          <t>VÄSTRA GÖTALANDS LÄN</t>
        </is>
      </c>
      <c r="E9011" t="inlineStr">
        <is>
          <t>GÖTENE</t>
        </is>
      </c>
      <c r="G9011" t="n">
        <v>0.6</v>
      </c>
      <c r="H9011" t="n">
        <v>0</v>
      </c>
      <c r="I9011" t="n">
        <v>0</v>
      </c>
      <c r="J9011" t="n">
        <v>0</v>
      </c>
      <c r="K9011" t="n">
        <v>0</v>
      </c>
      <c r="L9011" t="n">
        <v>0</v>
      </c>
      <c r="M9011" t="n">
        <v>0</v>
      </c>
      <c r="N9011" t="n">
        <v>0</v>
      </c>
      <c r="O9011" t="n">
        <v>0</v>
      </c>
      <c r="P9011" t="n">
        <v>0</v>
      </c>
      <c r="Q9011" t="n">
        <v>0</v>
      </c>
      <c r="R9011" s="2" t="inlineStr"/>
    </row>
    <row r="9012" ht="15" customHeight="1">
      <c r="A9012" t="inlineStr">
        <is>
          <t>A 1385-2025</t>
        </is>
      </c>
      <c r="B9012" s="1" t="n">
        <v>45667.66609953704</v>
      </c>
      <c r="C9012" s="1" t="n">
        <v>45952</v>
      </c>
      <c r="D9012" t="inlineStr">
        <is>
          <t>VÄSTRA GÖTALANDS LÄN</t>
        </is>
      </c>
      <c r="E9012" t="inlineStr">
        <is>
          <t>VÄNERSBORG</t>
        </is>
      </c>
      <c r="G9012" t="n">
        <v>1.1</v>
      </c>
      <c r="H9012" t="n">
        <v>0</v>
      </c>
      <c r="I9012" t="n">
        <v>0</v>
      </c>
      <c r="J9012" t="n">
        <v>0</v>
      </c>
      <c r="K9012" t="n">
        <v>0</v>
      </c>
      <c r="L9012" t="n">
        <v>0</v>
      </c>
      <c r="M9012" t="n">
        <v>0</v>
      </c>
      <c r="N9012" t="n">
        <v>0</v>
      </c>
      <c r="O9012" t="n">
        <v>0</v>
      </c>
      <c r="P9012" t="n">
        <v>0</v>
      </c>
      <c r="Q9012" t="n">
        <v>0</v>
      </c>
      <c r="R9012" s="2" t="inlineStr"/>
    </row>
    <row r="9013" ht="15" customHeight="1">
      <c r="A9013" t="inlineStr">
        <is>
          <t>A 48271-2025</t>
        </is>
      </c>
      <c r="B9013" s="1" t="n">
        <v>45933.57299768519</v>
      </c>
      <c r="C9013" s="1" t="n">
        <v>45952</v>
      </c>
      <c r="D9013" t="inlineStr">
        <is>
          <t>VÄSTRA GÖTALANDS LÄN</t>
        </is>
      </c>
      <c r="E9013" t="inlineStr">
        <is>
          <t>SVENLJUNGA</t>
        </is>
      </c>
      <c r="G9013" t="n">
        <v>2.6</v>
      </c>
      <c r="H9013" t="n">
        <v>0</v>
      </c>
      <c r="I9013" t="n">
        <v>0</v>
      </c>
      <c r="J9013" t="n">
        <v>0</v>
      </c>
      <c r="K9013" t="n">
        <v>0</v>
      </c>
      <c r="L9013" t="n">
        <v>0</v>
      </c>
      <c r="M9013" t="n">
        <v>0</v>
      </c>
      <c r="N9013" t="n">
        <v>0</v>
      </c>
      <c r="O9013" t="n">
        <v>0</v>
      </c>
      <c r="P9013" t="n">
        <v>0</v>
      </c>
      <c r="Q9013" t="n">
        <v>0</v>
      </c>
      <c r="R9013" s="2" t="inlineStr"/>
    </row>
    <row r="9014" ht="15" customHeight="1">
      <c r="A9014" t="inlineStr">
        <is>
          <t>A 36786-2023</t>
        </is>
      </c>
      <c r="B9014" s="1" t="n">
        <v>45154</v>
      </c>
      <c r="C9014" s="1" t="n">
        <v>45952</v>
      </c>
      <c r="D9014" t="inlineStr">
        <is>
          <t>VÄSTRA GÖTALANDS LÄN</t>
        </is>
      </c>
      <c r="E9014" t="inlineStr">
        <is>
          <t>MARK</t>
        </is>
      </c>
      <c r="G9014" t="n">
        <v>2.2</v>
      </c>
      <c r="H9014" t="n">
        <v>0</v>
      </c>
      <c r="I9014" t="n">
        <v>0</v>
      </c>
      <c r="J9014" t="n">
        <v>0</v>
      </c>
      <c r="K9014" t="n">
        <v>0</v>
      </c>
      <c r="L9014" t="n">
        <v>0</v>
      </c>
      <c r="M9014" t="n">
        <v>0</v>
      </c>
      <c r="N9014" t="n">
        <v>0</v>
      </c>
      <c r="O9014" t="n">
        <v>0</v>
      </c>
      <c r="P9014" t="n">
        <v>0</v>
      </c>
      <c r="Q9014" t="n">
        <v>0</v>
      </c>
      <c r="R9014" s="2" t="inlineStr"/>
    </row>
    <row r="9015" ht="15" customHeight="1">
      <c r="A9015" t="inlineStr">
        <is>
          <t>A 36798-2023</t>
        </is>
      </c>
      <c r="B9015" s="1" t="n">
        <v>45154</v>
      </c>
      <c r="C9015" s="1" t="n">
        <v>45952</v>
      </c>
      <c r="D9015" t="inlineStr">
        <is>
          <t>VÄSTRA GÖTALANDS LÄN</t>
        </is>
      </c>
      <c r="E9015" t="inlineStr">
        <is>
          <t>FALKÖPING</t>
        </is>
      </c>
      <c r="G9015" t="n">
        <v>2</v>
      </c>
      <c r="H9015" t="n">
        <v>0</v>
      </c>
      <c r="I9015" t="n">
        <v>0</v>
      </c>
      <c r="J9015" t="n">
        <v>0</v>
      </c>
      <c r="K9015" t="n">
        <v>0</v>
      </c>
      <c r="L9015" t="n">
        <v>0</v>
      </c>
      <c r="M9015" t="n">
        <v>0</v>
      </c>
      <c r="N9015" t="n">
        <v>0</v>
      </c>
      <c r="O9015" t="n">
        <v>0</v>
      </c>
      <c r="P9015" t="n">
        <v>0</v>
      </c>
      <c r="Q9015" t="n">
        <v>0</v>
      </c>
      <c r="R9015" s="2" t="inlineStr"/>
    </row>
    <row r="9016" ht="15" customHeight="1">
      <c r="A9016" t="inlineStr">
        <is>
          <t>A 58077-2022</t>
        </is>
      </c>
      <c r="B9016" s="1" t="n">
        <v>44900</v>
      </c>
      <c r="C9016" s="1" t="n">
        <v>45952</v>
      </c>
      <c r="D9016" t="inlineStr">
        <is>
          <t>VÄSTRA GÖTALANDS LÄN</t>
        </is>
      </c>
      <c r="E9016" t="inlineStr">
        <is>
          <t>MARIESTAD</t>
        </is>
      </c>
      <c r="G9016" t="n">
        <v>3.1</v>
      </c>
      <c r="H9016" t="n">
        <v>0</v>
      </c>
      <c r="I9016" t="n">
        <v>0</v>
      </c>
      <c r="J9016" t="n">
        <v>0</v>
      </c>
      <c r="K9016" t="n">
        <v>0</v>
      </c>
      <c r="L9016" t="n">
        <v>0</v>
      </c>
      <c r="M9016" t="n">
        <v>0</v>
      </c>
      <c r="N9016" t="n">
        <v>0</v>
      </c>
      <c r="O9016" t="n">
        <v>0</v>
      </c>
      <c r="P9016" t="n">
        <v>0</v>
      </c>
      <c r="Q9016" t="n">
        <v>0</v>
      </c>
      <c r="R9016" s="2" t="inlineStr"/>
    </row>
    <row r="9017" ht="15" customHeight="1">
      <c r="A9017" t="inlineStr">
        <is>
          <t>A 39615-2025</t>
        </is>
      </c>
      <c r="B9017" s="1" t="n">
        <v>45890.56453703704</v>
      </c>
      <c r="C9017" s="1" t="n">
        <v>45952</v>
      </c>
      <c r="D9017" t="inlineStr">
        <is>
          <t>VÄSTRA GÖTALANDS LÄN</t>
        </is>
      </c>
      <c r="E9017" t="inlineStr">
        <is>
          <t>UDDEVALLA</t>
        </is>
      </c>
      <c r="G9017" t="n">
        <v>2.1</v>
      </c>
      <c r="H9017" t="n">
        <v>0</v>
      </c>
      <c r="I9017" t="n">
        <v>0</v>
      </c>
      <c r="J9017" t="n">
        <v>0</v>
      </c>
      <c r="K9017" t="n">
        <v>0</v>
      </c>
      <c r="L9017" t="n">
        <v>0</v>
      </c>
      <c r="M9017" t="n">
        <v>0</v>
      </c>
      <c r="N9017" t="n">
        <v>0</v>
      </c>
      <c r="O9017" t="n">
        <v>0</v>
      </c>
      <c r="P9017" t="n">
        <v>0</v>
      </c>
      <c r="Q9017" t="n">
        <v>0</v>
      </c>
      <c r="R9017" s="2" t="inlineStr"/>
    </row>
    <row r="9018" ht="15" customHeight="1">
      <c r="A9018" t="inlineStr">
        <is>
          <t>A 3823-2023</t>
        </is>
      </c>
      <c r="B9018" s="1" t="n">
        <v>44951.63021990741</v>
      </c>
      <c r="C9018" s="1" t="n">
        <v>45952</v>
      </c>
      <c r="D9018" t="inlineStr">
        <is>
          <t>VÄSTRA GÖTALANDS LÄN</t>
        </is>
      </c>
      <c r="E9018" t="inlineStr">
        <is>
          <t>BENGTSFORS</t>
        </is>
      </c>
      <c r="G9018" t="n">
        <v>1.6</v>
      </c>
      <c r="H9018" t="n">
        <v>0</v>
      </c>
      <c r="I9018" t="n">
        <v>0</v>
      </c>
      <c r="J9018" t="n">
        <v>0</v>
      </c>
      <c r="K9018" t="n">
        <v>0</v>
      </c>
      <c r="L9018" t="n">
        <v>0</v>
      </c>
      <c r="M9018" t="n">
        <v>0</v>
      </c>
      <c r="N9018" t="n">
        <v>0</v>
      </c>
      <c r="O9018" t="n">
        <v>0</v>
      </c>
      <c r="P9018" t="n">
        <v>0</v>
      </c>
      <c r="Q9018" t="n">
        <v>0</v>
      </c>
      <c r="R9018" s="2" t="inlineStr"/>
    </row>
    <row r="9019" ht="15" customHeight="1">
      <c r="A9019" t="inlineStr">
        <is>
          <t>A 58152-2022</t>
        </is>
      </c>
      <c r="B9019" s="1" t="n">
        <v>44900</v>
      </c>
      <c r="C9019" s="1" t="n">
        <v>45952</v>
      </c>
      <c r="D9019" t="inlineStr">
        <is>
          <t>VÄSTRA GÖTALANDS LÄN</t>
        </is>
      </c>
      <c r="E9019" t="inlineStr">
        <is>
          <t>KARLSBORG</t>
        </is>
      </c>
      <c r="G9019" t="n">
        <v>1.1</v>
      </c>
      <c r="H9019" t="n">
        <v>0</v>
      </c>
      <c r="I9019" t="n">
        <v>0</v>
      </c>
      <c r="J9019" t="n">
        <v>0</v>
      </c>
      <c r="K9019" t="n">
        <v>0</v>
      </c>
      <c r="L9019" t="n">
        <v>0</v>
      </c>
      <c r="M9019" t="n">
        <v>0</v>
      </c>
      <c r="N9019" t="n">
        <v>0</v>
      </c>
      <c r="O9019" t="n">
        <v>0</v>
      </c>
      <c r="P9019" t="n">
        <v>0</v>
      </c>
      <c r="Q9019" t="n">
        <v>0</v>
      </c>
      <c r="R9019" s="2" t="inlineStr"/>
    </row>
    <row r="9020" ht="15" customHeight="1">
      <c r="A9020" t="inlineStr">
        <is>
          <t>A 43754-2022</t>
        </is>
      </c>
      <c r="B9020" s="1" t="n">
        <v>44837</v>
      </c>
      <c r="C9020" s="1" t="n">
        <v>45952</v>
      </c>
      <c r="D9020" t="inlineStr">
        <is>
          <t>VÄSTRA GÖTALANDS LÄN</t>
        </is>
      </c>
      <c r="E9020" t="inlineStr">
        <is>
          <t>VARA</t>
        </is>
      </c>
      <c r="G9020" t="n">
        <v>1.1</v>
      </c>
      <c r="H9020" t="n">
        <v>0</v>
      </c>
      <c r="I9020" t="n">
        <v>0</v>
      </c>
      <c r="J9020" t="n">
        <v>0</v>
      </c>
      <c r="K9020" t="n">
        <v>0</v>
      </c>
      <c r="L9020" t="n">
        <v>0</v>
      </c>
      <c r="M9020" t="n">
        <v>0</v>
      </c>
      <c r="N9020" t="n">
        <v>0</v>
      </c>
      <c r="O9020" t="n">
        <v>0</v>
      </c>
      <c r="P9020" t="n">
        <v>0</v>
      </c>
      <c r="Q9020" t="n">
        <v>0</v>
      </c>
      <c r="R9020" s="2" t="inlineStr"/>
    </row>
    <row r="9021" ht="15" customHeight="1">
      <c r="A9021" t="inlineStr">
        <is>
          <t>A 8943-2025</t>
        </is>
      </c>
      <c r="B9021" s="1" t="n">
        <v>45713.45105324074</v>
      </c>
      <c r="C9021" s="1" t="n">
        <v>45952</v>
      </c>
      <c r="D9021" t="inlineStr">
        <is>
          <t>VÄSTRA GÖTALANDS LÄN</t>
        </is>
      </c>
      <c r="E9021" t="inlineStr">
        <is>
          <t>KUNGÄLV</t>
        </is>
      </c>
      <c r="G9021" t="n">
        <v>1.5</v>
      </c>
      <c r="H9021" t="n">
        <v>0</v>
      </c>
      <c r="I9021" t="n">
        <v>0</v>
      </c>
      <c r="J9021" t="n">
        <v>0</v>
      </c>
      <c r="K9021" t="n">
        <v>0</v>
      </c>
      <c r="L9021" t="n">
        <v>0</v>
      </c>
      <c r="M9021" t="n">
        <v>0</v>
      </c>
      <c r="N9021" t="n">
        <v>0</v>
      </c>
      <c r="O9021" t="n">
        <v>0</v>
      </c>
      <c r="P9021" t="n">
        <v>0</v>
      </c>
      <c r="Q9021" t="n">
        <v>0</v>
      </c>
      <c r="R9021" s="2" t="inlineStr"/>
    </row>
    <row r="9022" ht="15" customHeight="1">
      <c r="A9022" t="inlineStr">
        <is>
          <t>A 8953-2025</t>
        </is>
      </c>
      <c r="B9022" s="1" t="n">
        <v>45713.46289351852</v>
      </c>
      <c r="C9022" s="1" t="n">
        <v>45952</v>
      </c>
      <c r="D9022" t="inlineStr">
        <is>
          <t>VÄSTRA GÖTALANDS LÄN</t>
        </is>
      </c>
      <c r="E9022" t="inlineStr">
        <is>
          <t>GULLSPÅNG</t>
        </is>
      </c>
      <c r="G9022" t="n">
        <v>0.4</v>
      </c>
      <c r="H9022" t="n">
        <v>0</v>
      </c>
      <c r="I9022" t="n">
        <v>0</v>
      </c>
      <c r="J9022" t="n">
        <v>0</v>
      </c>
      <c r="K9022" t="n">
        <v>0</v>
      </c>
      <c r="L9022" t="n">
        <v>0</v>
      </c>
      <c r="M9022" t="n">
        <v>0</v>
      </c>
      <c r="N9022" t="n">
        <v>0</v>
      </c>
      <c r="O9022" t="n">
        <v>0</v>
      </c>
      <c r="P9022" t="n">
        <v>0</v>
      </c>
      <c r="Q9022" t="n">
        <v>0</v>
      </c>
      <c r="R9022" s="2" t="inlineStr"/>
    </row>
    <row r="9023" ht="15" customHeight="1">
      <c r="A9023" t="inlineStr">
        <is>
          <t>A 8954-2025</t>
        </is>
      </c>
      <c r="B9023" s="1" t="n">
        <v>45713.46517361111</v>
      </c>
      <c r="C9023" s="1" t="n">
        <v>45952</v>
      </c>
      <c r="D9023" t="inlineStr">
        <is>
          <t>VÄSTRA GÖTALANDS LÄN</t>
        </is>
      </c>
      <c r="E9023" t="inlineStr">
        <is>
          <t>GULLSPÅNG</t>
        </is>
      </c>
      <c r="G9023" t="n">
        <v>1.1</v>
      </c>
      <c r="H9023" t="n">
        <v>0</v>
      </c>
      <c r="I9023" t="n">
        <v>0</v>
      </c>
      <c r="J9023" t="n">
        <v>0</v>
      </c>
      <c r="K9023" t="n">
        <v>0</v>
      </c>
      <c r="L9023" t="n">
        <v>0</v>
      </c>
      <c r="M9023" t="n">
        <v>0</v>
      </c>
      <c r="N9023" t="n">
        <v>0</v>
      </c>
      <c r="O9023" t="n">
        <v>0</v>
      </c>
      <c r="P9023" t="n">
        <v>0</v>
      </c>
      <c r="Q9023" t="n">
        <v>0</v>
      </c>
      <c r="R9023" s="2" t="inlineStr"/>
    </row>
    <row r="9024" ht="15" customHeight="1">
      <c r="A9024" t="inlineStr">
        <is>
          <t>A 23254-2025</t>
        </is>
      </c>
      <c r="B9024" s="1" t="n">
        <v>45791.5340162037</v>
      </c>
      <c r="C9024" s="1" t="n">
        <v>45952</v>
      </c>
      <c r="D9024" t="inlineStr">
        <is>
          <t>VÄSTRA GÖTALANDS LÄN</t>
        </is>
      </c>
      <c r="E9024" t="inlineStr">
        <is>
          <t>ORUST</t>
        </is>
      </c>
      <c r="G9024" t="n">
        <v>1.1</v>
      </c>
      <c r="H9024" t="n">
        <v>0</v>
      </c>
      <c r="I9024" t="n">
        <v>0</v>
      </c>
      <c r="J9024" t="n">
        <v>0</v>
      </c>
      <c r="K9024" t="n">
        <v>0</v>
      </c>
      <c r="L9024" t="n">
        <v>0</v>
      </c>
      <c r="M9024" t="n">
        <v>0</v>
      </c>
      <c r="N9024" t="n">
        <v>0</v>
      </c>
      <c r="O9024" t="n">
        <v>0</v>
      </c>
      <c r="P9024" t="n">
        <v>0</v>
      </c>
      <c r="Q9024" t="n">
        <v>0</v>
      </c>
      <c r="R9024" s="2" t="inlineStr"/>
    </row>
    <row r="9025" ht="15" customHeight="1">
      <c r="A9025" t="inlineStr">
        <is>
          <t>A 9123-2025</t>
        </is>
      </c>
      <c r="B9025" s="1" t="n">
        <v>45713.87643518519</v>
      </c>
      <c r="C9025" s="1" t="n">
        <v>45952</v>
      </c>
      <c r="D9025" t="inlineStr">
        <is>
          <t>VÄSTRA GÖTALANDS LÄN</t>
        </is>
      </c>
      <c r="E9025" t="inlineStr">
        <is>
          <t>ÅMÅL</t>
        </is>
      </c>
      <c r="F9025" t="inlineStr">
        <is>
          <t>Kommuner</t>
        </is>
      </c>
      <c r="G9025" t="n">
        <v>1.1</v>
      </c>
      <c r="H9025" t="n">
        <v>0</v>
      </c>
      <c r="I9025" t="n">
        <v>0</v>
      </c>
      <c r="J9025" t="n">
        <v>0</v>
      </c>
      <c r="K9025" t="n">
        <v>0</v>
      </c>
      <c r="L9025" t="n">
        <v>0</v>
      </c>
      <c r="M9025" t="n">
        <v>0</v>
      </c>
      <c r="N9025" t="n">
        <v>0</v>
      </c>
      <c r="O9025" t="n">
        <v>0</v>
      </c>
      <c r="P9025" t="n">
        <v>0</v>
      </c>
      <c r="Q9025" t="n">
        <v>0</v>
      </c>
      <c r="R9025" s="2" t="inlineStr"/>
    </row>
    <row r="9026" ht="15" customHeight="1">
      <c r="A9026" t="inlineStr">
        <is>
          <t>A 44669-2023</t>
        </is>
      </c>
      <c r="B9026" s="1" t="n">
        <v>45189</v>
      </c>
      <c r="C9026" s="1" t="n">
        <v>45952</v>
      </c>
      <c r="D9026" t="inlineStr">
        <is>
          <t>VÄSTRA GÖTALANDS LÄN</t>
        </is>
      </c>
      <c r="E9026" t="inlineStr">
        <is>
          <t>VÅRGÅRDA</t>
        </is>
      </c>
      <c r="G9026" t="n">
        <v>0.7</v>
      </c>
      <c r="H9026" t="n">
        <v>0</v>
      </c>
      <c r="I9026" t="n">
        <v>0</v>
      </c>
      <c r="J9026" t="n">
        <v>0</v>
      </c>
      <c r="K9026" t="n">
        <v>0</v>
      </c>
      <c r="L9026" t="n">
        <v>0</v>
      </c>
      <c r="M9026" t="n">
        <v>0</v>
      </c>
      <c r="N9026" t="n">
        <v>0</v>
      </c>
      <c r="O9026" t="n">
        <v>0</v>
      </c>
      <c r="P9026" t="n">
        <v>0</v>
      </c>
      <c r="Q9026" t="n">
        <v>0</v>
      </c>
      <c r="R9026" s="2" t="inlineStr"/>
    </row>
    <row r="9027" ht="15" customHeight="1">
      <c r="A9027" t="inlineStr">
        <is>
          <t>A 9256-2025</t>
        </is>
      </c>
      <c r="B9027" s="1" t="n">
        <v>45714.59451388889</v>
      </c>
      <c r="C9027" s="1" t="n">
        <v>45952</v>
      </c>
      <c r="D9027" t="inlineStr">
        <is>
          <t>VÄSTRA GÖTALANDS LÄN</t>
        </is>
      </c>
      <c r="E9027" t="inlineStr">
        <is>
          <t>MARK</t>
        </is>
      </c>
      <c r="G9027" t="n">
        <v>5.8</v>
      </c>
      <c r="H9027" t="n">
        <v>0</v>
      </c>
      <c r="I9027" t="n">
        <v>0</v>
      </c>
      <c r="J9027" t="n">
        <v>0</v>
      </c>
      <c r="K9027" t="n">
        <v>0</v>
      </c>
      <c r="L9027" t="n">
        <v>0</v>
      </c>
      <c r="M9027" t="n">
        <v>0</v>
      </c>
      <c r="N9027" t="n">
        <v>0</v>
      </c>
      <c r="O9027" t="n">
        <v>0</v>
      </c>
      <c r="P9027" t="n">
        <v>0</v>
      </c>
      <c r="Q9027" t="n">
        <v>0</v>
      </c>
      <c r="R9027" s="2" t="inlineStr"/>
    </row>
    <row r="9028" ht="15" customHeight="1">
      <c r="A9028" t="inlineStr">
        <is>
          <t>A 10674-2025</t>
        </is>
      </c>
      <c r="B9028" s="1" t="n">
        <v>45721.86008101852</v>
      </c>
      <c r="C9028" s="1" t="n">
        <v>45952</v>
      </c>
      <c r="D9028" t="inlineStr">
        <is>
          <t>VÄSTRA GÖTALANDS LÄN</t>
        </is>
      </c>
      <c r="E9028" t="inlineStr">
        <is>
          <t>MARK</t>
        </is>
      </c>
      <c r="G9028" t="n">
        <v>1</v>
      </c>
      <c r="H9028" t="n">
        <v>0</v>
      </c>
      <c r="I9028" t="n">
        <v>0</v>
      </c>
      <c r="J9028" t="n">
        <v>0</v>
      </c>
      <c r="K9028" t="n">
        <v>0</v>
      </c>
      <c r="L9028" t="n">
        <v>0</v>
      </c>
      <c r="M9028" t="n">
        <v>0</v>
      </c>
      <c r="N9028" t="n">
        <v>0</v>
      </c>
      <c r="O9028" t="n">
        <v>0</v>
      </c>
      <c r="P9028" t="n">
        <v>0</v>
      </c>
      <c r="Q9028" t="n">
        <v>0</v>
      </c>
      <c r="R9028" s="2" t="inlineStr"/>
    </row>
    <row r="9029" ht="15" customHeight="1">
      <c r="A9029" t="inlineStr">
        <is>
          <t>A 11237-2025</t>
        </is>
      </c>
      <c r="B9029" s="1" t="n">
        <v>45726.36668981481</v>
      </c>
      <c r="C9029" s="1" t="n">
        <v>45952</v>
      </c>
      <c r="D9029" t="inlineStr">
        <is>
          <t>VÄSTRA GÖTALANDS LÄN</t>
        </is>
      </c>
      <c r="E9029" t="inlineStr">
        <is>
          <t>KUNGÄLV</t>
        </is>
      </c>
      <c r="G9029" t="n">
        <v>4.2</v>
      </c>
      <c r="H9029" t="n">
        <v>0</v>
      </c>
      <c r="I9029" t="n">
        <v>0</v>
      </c>
      <c r="J9029" t="n">
        <v>0</v>
      </c>
      <c r="K9029" t="n">
        <v>0</v>
      </c>
      <c r="L9029" t="n">
        <v>0</v>
      </c>
      <c r="M9029" t="n">
        <v>0</v>
      </c>
      <c r="N9029" t="n">
        <v>0</v>
      </c>
      <c r="O9029" t="n">
        <v>0</v>
      </c>
      <c r="P9029" t="n">
        <v>0</v>
      </c>
      <c r="Q9029" t="n">
        <v>0</v>
      </c>
      <c r="R9029" s="2" t="inlineStr"/>
    </row>
    <row r="9030" ht="15" customHeight="1">
      <c r="A9030" t="inlineStr">
        <is>
          <t>A 21332-2023</t>
        </is>
      </c>
      <c r="B9030" s="1" t="n">
        <v>45062.91006944444</v>
      </c>
      <c r="C9030" s="1" t="n">
        <v>45952</v>
      </c>
      <c r="D9030" t="inlineStr">
        <is>
          <t>VÄSTRA GÖTALANDS LÄN</t>
        </is>
      </c>
      <c r="E9030" t="inlineStr">
        <is>
          <t>FALKÖPING</t>
        </is>
      </c>
      <c r="G9030" t="n">
        <v>1.3</v>
      </c>
      <c r="H9030" t="n">
        <v>0</v>
      </c>
      <c r="I9030" t="n">
        <v>0</v>
      </c>
      <c r="J9030" t="n">
        <v>0</v>
      </c>
      <c r="K9030" t="n">
        <v>0</v>
      </c>
      <c r="L9030" t="n">
        <v>0</v>
      </c>
      <c r="M9030" t="n">
        <v>0</v>
      </c>
      <c r="N9030" t="n">
        <v>0</v>
      </c>
      <c r="O9030" t="n">
        <v>0</v>
      </c>
      <c r="P9030" t="n">
        <v>0</v>
      </c>
      <c r="Q9030" t="n">
        <v>0</v>
      </c>
      <c r="R9030" s="2" t="inlineStr"/>
    </row>
    <row r="9031" ht="15" customHeight="1">
      <c r="A9031" t="inlineStr">
        <is>
          <t>A 48187-2023</t>
        </is>
      </c>
      <c r="B9031" s="1" t="n">
        <v>45199</v>
      </c>
      <c r="C9031" s="1" t="n">
        <v>45952</v>
      </c>
      <c r="D9031" t="inlineStr">
        <is>
          <t>VÄSTRA GÖTALANDS LÄN</t>
        </is>
      </c>
      <c r="E9031" t="inlineStr">
        <is>
          <t>MARIESTAD</t>
        </is>
      </c>
      <c r="G9031" t="n">
        <v>2.6</v>
      </c>
      <c r="H9031" t="n">
        <v>0</v>
      </c>
      <c r="I9031" t="n">
        <v>0</v>
      </c>
      <c r="J9031" t="n">
        <v>0</v>
      </c>
      <c r="K9031" t="n">
        <v>0</v>
      </c>
      <c r="L9031" t="n">
        <v>0</v>
      </c>
      <c r="M9031" t="n">
        <v>0</v>
      </c>
      <c r="N9031" t="n">
        <v>0</v>
      </c>
      <c r="O9031" t="n">
        <v>0</v>
      </c>
      <c r="P9031" t="n">
        <v>0</v>
      </c>
      <c r="Q9031" t="n">
        <v>0</v>
      </c>
      <c r="R9031" s="2" t="inlineStr"/>
    </row>
    <row r="9032" ht="15" customHeight="1">
      <c r="A9032" t="inlineStr">
        <is>
          <t>A 4935-2023</t>
        </is>
      </c>
      <c r="B9032" s="1" t="n">
        <v>44958</v>
      </c>
      <c r="C9032" s="1" t="n">
        <v>45952</v>
      </c>
      <c r="D9032" t="inlineStr">
        <is>
          <t>VÄSTRA GÖTALANDS LÄN</t>
        </is>
      </c>
      <c r="E9032" t="inlineStr">
        <is>
          <t>BORÅS</t>
        </is>
      </c>
      <c r="G9032" t="n">
        <v>2.4</v>
      </c>
      <c r="H9032" t="n">
        <v>0</v>
      </c>
      <c r="I9032" t="n">
        <v>0</v>
      </c>
      <c r="J9032" t="n">
        <v>0</v>
      </c>
      <c r="K9032" t="n">
        <v>0</v>
      </c>
      <c r="L9032" t="n">
        <v>0</v>
      </c>
      <c r="M9032" t="n">
        <v>0</v>
      </c>
      <c r="N9032" t="n">
        <v>0</v>
      </c>
      <c r="O9032" t="n">
        <v>0</v>
      </c>
      <c r="P9032" t="n">
        <v>0</v>
      </c>
      <c r="Q9032" t="n">
        <v>0</v>
      </c>
      <c r="R9032" s="2" t="inlineStr"/>
    </row>
    <row r="9033" ht="15" customHeight="1">
      <c r="A9033" t="inlineStr">
        <is>
          <t>A 3100-2025</t>
        </is>
      </c>
      <c r="B9033" s="1" t="n">
        <v>45678.67097222222</v>
      </c>
      <c r="C9033" s="1" t="n">
        <v>45952</v>
      </c>
      <c r="D9033" t="inlineStr">
        <is>
          <t>VÄSTRA GÖTALANDS LÄN</t>
        </is>
      </c>
      <c r="E9033" t="inlineStr">
        <is>
          <t>SVENLJUNGA</t>
        </is>
      </c>
      <c r="G9033" t="n">
        <v>2</v>
      </c>
      <c r="H9033" t="n">
        <v>0</v>
      </c>
      <c r="I9033" t="n">
        <v>0</v>
      </c>
      <c r="J9033" t="n">
        <v>0</v>
      </c>
      <c r="K9033" t="n">
        <v>0</v>
      </c>
      <c r="L9033" t="n">
        <v>0</v>
      </c>
      <c r="M9033" t="n">
        <v>0</v>
      </c>
      <c r="N9033" t="n">
        <v>0</v>
      </c>
      <c r="O9033" t="n">
        <v>0</v>
      </c>
      <c r="P9033" t="n">
        <v>0</v>
      </c>
      <c r="Q9033" t="n">
        <v>0</v>
      </c>
      <c r="R9033" s="2" t="inlineStr"/>
    </row>
    <row r="9034" ht="15" customHeight="1">
      <c r="A9034" t="inlineStr">
        <is>
          <t>A 33568-2024</t>
        </is>
      </c>
      <c r="B9034" s="1" t="n">
        <v>45519</v>
      </c>
      <c r="C9034" s="1" t="n">
        <v>45952</v>
      </c>
      <c r="D9034" t="inlineStr">
        <is>
          <t>VÄSTRA GÖTALANDS LÄN</t>
        </is>
      </c>
      <c r="E9034" t="inlineStr">
        <is>
          <t>TIDAHOLM</t>
        </is>
      </c>
      <c r="G9034" t="n">
        <v>1.1</v>
      </c>
      <c r="H9034" t="n">
        <v>0</v>
      </c>
      <c r="I9034" t="n">
        <v>0</v>
      </c>
      <c r="J9034" t="n">
        <v>0</v>
      </c>
      <c r="K9034" t="n">
        <v>0</v>
      </c>
      <c r="L9034" t="n">
        <v>0</v>
      </c>
      <c r="M9034" t="n">
        <v>0</v>
      </c>
      <c r="N9034" t="n">
        <v>0</v>
      </c>
      <c r="O9034" t="n">
        <v>0</v>
      </c>
      <c r="P9034" t="n">
        <v>0</v>
      </c>
      <c r="Q9034" t="n">
        <v>0</v>
      </c>
      <c r="R9034" s="2" t="inlineStr"/>
    </row>
    <row r="9035" ht="15" customHeight="1">
      <c r="A9035" t="inlineStr">
        <is>
          <t>A 42605-2024</t>
        </is>
      </c>
      <c r="B9035" s="1" t="n">
        <v>45565.72832175926</v>
      </c>
      <c r="C9035" s="1" t="n">
        <v>45952</v>
      </c>
      <c r="D9035" t="inlineStr">
        <is>
          <t>VÄSTRA GÖTALANDS LÄN</t>
        </is>
      </c>
      <c r="E9035" t="inlineStr">
        <is>
          <t>VÄNERSBORG</t>
        </is>
      </c>
      <c r="G9035" t="n">
        <v>2.7</v>
      </c>
      <c r="H9035" t="n">
        <v>0</v>
      </c>
      <c r="I9035" t="n">
        <v>0</v>
      </c>
      <c r="J9035" t="n">
        <v>0</v>
      </c>
      <c r="K9035" t="n">
        <v>0</v>
      </c>
      <c r="L9035" t="n">
        <v>0</v>
      </c>
      <c r="M9035" t="n">
        <v>0</v>
      </c>
      <c r="N9035" t="n">
        <v>0</v>
      </c>
      <c r="O9035" t="n">
        <v>0</v>
      </c>
      <c r="P9035" t="n">
        <v>0</v>
      </c>
      <c r="Q9035" t="n">
        <v>0</v>
      </c>
      <c r="R9035" s="2" t="inlineStr"/>
    </row>
    <row r="9036" ht="15" customHeight="1">
      <c r="A9036" t="inlineStr">
        <is>
          <t>A 14087-2025</t>
        </is>
      </c>
      <c r="B9036" s="1" t="n">
        <v>45739</v>
      </c>
      <c r="C9036" s="1" t="n">
        <v>45952</v>
      </c>
      <c r="D9036" t="inlineStr">
        <is>
          <t>VÄSTRA GÖTALANDS LÄN</t>
        </is>
      </c>
      <c r="E9036" t="inlineStr">
        <is>
          <t>STRÖMSTAD</t>
        </is>
      </c>
      <c r="G9036" t="n">
        <v>1.1</v>
      </c>
      <c r="H9036" t="n">
        <v>0</v>
      </c>
      <c r="I9036" t="n">
        <v>0</v>
      </c>
      <c r="J9036" t="n">
        <v>0</v>
      </c>
      <c r="K9036" t="n">
        <v>0</v>
      </c>
      <c r="L9036" t="n">
        <v>0</v>
      </c>
      <c r="M9036" t="n">
        <v>0</v>
      </c>
      <c r="N9036" t="n">
        <v>0</v>
      </c>
      <c r="O9036" t="n">
        <v>0</v>
      </c>
      <c r="P9036" t="n">
        <v>0</v>
      </c>
      <c r="Q9036" t="n">
        <v>0</v>
      </c>
      <c r="R9036" s="2" t="inlineStr"/>
    </row>
    <row r="9037" ht="15" customHeight="1">
      <c r="A9037" t="inlineStr">
        <is>
          <t>A 5002-2023</t>
        </is>
      </c>
      <c r="B9037" s="1" t="n">
        <v>44958.48936342593</v>
      </c>
      <c r="C9037" s="1" t="n">
        <v>45952</v>
      </c>
      <c r="D9037" t="inlineStr">
        <is>
          <t>VÄSTRA GÖTALANDS LÄN</t>
        </is>
      </c>
      <c r="E9037" t="inlineStr">
        <is>
          <t>HERRLJUNGA</t>
        </is>
      </c>
      <c r="G9037" t="n">
        <v>2.2</v>
      </c>
      <c r="H9037" t="n">
        <v>0</v>
      </c>
      <c r="I9037" t="n">
        <v>0</v>
      </c>
      <c r="J9037" t="n">
        <v>0</v>
      </c>
      <c r="K9037" t="n">
        <v>0</v>
      </c>
      <c r="L9037" t="n">
        <v>0</v>
      </c>
      <c r="M9037" t="n">
        <v>0</v>
      </c>
      <c r="N9037" t="n">
        <v>0</v>
      </c>
      <c r="O9037" t="n">
        <v>0</v>
      </c>
      <c r="P9037" t="n">
        <v>0</v>
      </c>
      <c r="Q9037" t="n">
        <v>0</v>
      </c>
      <c r="R9037" s="2" t="inlineStr"/>
    </row>
    <row r="9038" ht="15" customHeight="1">
      <c r="A9038" t="inlineStr">
        <is>
          <t>A 5007-2023</t>
        </is>
      </c>
      <c r="B9038" s="1" t="n">
        <v>44958.50300925926</v>
      </c>
      <c r="C9038" s="1" t="n">
        <v>45952</v>
      </c>
      <c r="D9038" t="inlineStr">
        <is>
          <t>VÄSTRA GÖTALANDS LÄN</t>
        </is>
      </c>
      <c r="E9038" t="inlineStr">
        <is>
          <t>BENGTSFORS</t>
        </is>
      </c>
      <c r="G9038" t="n">
        <v>2.2</v>
      </c>
      <c r="H9038" t="n">
        <v>0</v>
      </c>
      <c r="I9038" t="n">
        <v>0</v>
      </c>
      <c r="J9038" t="n">
        <v>0</v>
      </c>
      <c r="K9038" t="n">
        <v>0</v>
      </c>
      <c r="L9038" t="n">
        <v>0</v>
      </c>
      <c r="M9038" t="n">
        <v>0</v>
      </c>
      <c r="N9038" t="n">
        <v>0</v>
      </c>
      <c r="O9038" t="n">
        <v>0</v>
      </c>
      <c r="P9038" t="n">
        <v>0</v>
      </c>
      <c r="Q9038" t="n">
        <v>0</v>
      </c>
      <c r="R9038" s="2" t="inlineStr"/>
    </row>
    <row r="9039" ht="15" customHeight="1">
      <c r="A9039" t="inlineStr">
        <is>
          <t>A 15335-2025</t>
        </is>
      </c>
      <c r="B9039" s="1" t="n">
        <v>45747.36087962963</v>
      </c>
      <c r="C9039" s="1" t="n">
        <v>45952</v>
      </c>
      <c r="D9039" t="inlineStr">
        <is>
          <t>VÄSTRA GÖTALANDS LÄN</t>
        </is>
      </c>
      <c r="E9039" t="inlineStr">
        <is>
          <t>TRANEMO</t>
        </is>
      </c>
      <c r="G9039" t="n">
        <v>3</v>
      </c>
      <c r="H9039" t="n">
        <v>0</v>
      </c>
      <c r="I9039" t="n">
        <v>0</v>
      </c>
      <c r="J9039" t="n">
        <v>0</v>
      </c>
      <c r="K9039" t="n">
        <v>0</v>
      </c>
      <c r="L9039" t="n">
        <v>0</v>
      </c>
      <c r="M9039" t="n">
        <v>0</v>
      </c>
      <c r="N9039" t="n">
        <v>0</v>
      </c>
      <c r="O9039" t="n">
        <v>0</v>
      </c>
      <c r="P9039" t="n">
        <v>0</v>
      </c>
      <c r="Q9039" t="n">
        <v>0</v>
      </c>
      <c r="R9039" s="2" t="inlineStr"/>
    </row>
    <row r="9040" ht="15" customHeight="1">
      <c r="A9040" t="inlineStr">
        <is>
          <t>A 15366-2025</t>
        </is>
      </c>
      <c r="B9040" s="1" t="n">
        <v>45747.39961805556</v>
      </c>
      <c r="C9040" s="1" t="n">
        <v>45952</v>
      </c>
      <c r="D9040" t="inlineStr">
        <is>
          <t>VÄSTRA GÖTALANDS LÄN</t>
        </is>
      </c>
      <c r="E9040" t="inlineStr">
        <is>
          <t>TRANEMO</t>
        </is>
      </c>
      <c r="G9040" t="n">
        <v>1.4</v>
      </c>
      <c r="H9040" t="n">
        <v>0</v>
      </c>
      <c r="I9040" t="n">
        <v>0</v>
      </c>
      <c r="J9040" t="n">
        <v>0</v>
      </c>
      <c r="K9040" t="n">
        <v>0</v>
      </c>
      <c r="L9040" t="n">
        <v>0</v>
      </c>
      <c r="M9040" t="n">
        <v>0</v>
      </c>
      <c r="N9040" t="n">
        <v>0</v>
      </c>
      <c r="O9040" t="n">
        <v>0</v>
      </c>
      <c r="P9040" t="n">
        <v>0</v>
      </c>
      <c r="Q9040" t="n">
        <v>0</v>
      </c>
      <c r="R9040" s="2" t="inlineStr"/>
    </row>
    <row r="9041" ht="15" customHeight="1">
      <c r="A9041" t="inlineStr">
        <is>
          <t>A 16510-2024</t>
        </is>
      </c>
      <c r="B9041" s="1" t="n">
        <v>45408.386875</v>
      </c>
      <c r="C9041" s="1" t="n">
        <v>45952</v>
      </c>
      <c r="D9041" t="inlineStr">
        <is>
          <t>VÄSTRA GÖTALANDS LÄN</t>
        </is>
      </c>
      <c r="E9041" t="inlineStr">
        <is>
          <t>SKARA</t>
        </is>
      </c>
      <c r="F9041" t="inlineStr">
        <is>
          <t>Sveaskog</t>
        </is>
      </c>
      <c r="G9041" t="n">
        <v>1.5</v>
      </c>
      <c r="H9041" t="n">
        <v>0</v>
      </c>
      <c r="I9041" t="n">
        <v>0</v>
      </c>
      <c r="J9041" t="n">
        <v>0</v>
      </c>
      <c r="K9041" t="n">
        <v>0</v>
      </c>
      <c r="L9041" t="n">
        <v>0</v>
      </c>
      <c r="M9041" t="n">
        <v>0</v>
      </c>
      <c r="N9041" t="n">
        <v>0</v>
      </c>
      <c r="O9041" t="n">
        <v>0</v>
      </c>
      <c r="P9041" t="n">
        <v>0</v>
      </c>
      <c r="Q9041" t="n">
        <v>0</v>
      </c>
      <c r="R9041" s="2" t="inlineStr"/>
    </row>
    <row r="9042" ht="15" customHeight="1">
      <c r="A9042" t="inlineStr">
        <is>
          <t>A 17543-2023</t>
        </is>
      </c>
      <c r="B9042" s="1" t="n">
        <v>45036.49178240741</v>
      </c>
      <c r="C9042" s="1" t="n">
        <v>45952</v>
      </c>
      <c r="D9042" t="inlineStr">
        <is>
          <t>VÄSTRA GÖTALANDS LÄN</t>
        </is>
      </c>
      <c r="E9042" t="inlineStr">
        <is>
          <t>MELLERUD</t>
        </is>
      </c>
      <c r="G9042" t="n">
        <v>1.8</v>
      </c>
      <c r="H9042" t="n">
        <v>0</v>
      </c>
      <c r="I9042" t="n">
        <v>0</v>
      </c>
      <c r="J9042" t="n">
        <v>0</v>
      </c>
      <c r="K9042" t="n">
        <v>0</v>
      </c>
      <c r="L9042" t="n">
        <v>0</v>
      </c>
      <c r="M9042" t="n">
        <v>0</v>
      </c>
      <c r="N9042" t="n">
        <v>0</v>
      </c>
      <c r="O9042" t="n">
        <v>0</v>
      </c>
      <c r="P9042" t="n">
        <v>0</v>
      </c>
      <c r="Q9042" t="n">
        <v>0</v>
      </c>
      <c r="R9042" s="2" t="inlineStr"/>
    </row>
    <row r="9043" ht="15" customHeight="1">
      <c r="A9043" t="inlineStr">
        <is>
          <t>A 15374-2025</t>
        </is>
      </c>
      <c r="B9043" s="1" t="n">
        <v>45747.40619212963</v>
      </c>
      <c r="C9043" s="1" t="n">
        <v>45952</v>
      </c>
      <c r="D9043" t="inlineStr">
        <is>
          <t>VÄSTRA GÖTALANDS LÄN</t>
        </is>
      </c>
      <c r="E9043" t="inlineStr">
        <is>
          <t>LIDKÖPING</t>
        </is>
      </c>
      <c r="G9043" t="n">
        <v>1</v>
      </c>
      <c r="H9043" t="n">
        <v>0</v>
      </c>
      <c r="I9043" t="n">
        <v>0</v>
      </c>
      <c r="J9043" t="n">
        <v>0</v>
      </c>
      <c r="K9043" t="n">
        <v>0</v>
      </c>
      <c r="L9043" t="n">
        <v>0</v>
      </c>
      <c r="M9043" t="n">
        <v>0</v>
      </c>
      <c r="N9043" t="n">
        <v>0</v>
      </c>
      <c r="O9043" t="n">
        <v>0</v>
      </c>
      <c r="P9043" t="n">
        <v>0</v>
      </c>
      <c r="Q9043" t="n">
        <v>0</v>
      </c>
      <c r="R9043" s="2" t="inlineStr"/>
    </row>
    <row r="9044" ht="15" customHeight="1">
      <c r="A9044" t="inlineStr">
        <is>
          <t>A 15381-2025</t>
        </is>
      </c>
      <c r="B9044" s="1" t="n">
        <v>45747.4102199074</v>
      </c>
      <c r="C9044" s="1" t="n">
        <v>45952</v>
      </c>
      <c r="D9044" t="inlineStr">
        <is>
          <t>VÄSTRA GÖTALANDS LÄN</t>
        </is>
      </c>
      <c r="E9044" t="inlineStr">
        <is>
          <t>TANUM</t>
        </is>
      </c>
      <c r="G9044" t="n">
        <v>0.8</v>
      </c>
      <c r="H9044" t="n">
        <v>0</v>
      </c>
      <c r="I9044" t="n">
        <v>0</v>
      </c>
      <c r="J9044" t="n">
        <v>0</v>
      </c>
      <c r="K9044" t="n">
        <v>0</v>
      </c>
      <c r="L9044" t="n">
        <v>0</v>
      </c>
      <c r="M9044" t="n">
        <v>0</v>
      </c>
      <c r="N9044" t="n">
        <v>0</v>
      </c>
      <c r="O9044" t="n">
        <v>0</v>
      </c>
      <c r="P9044" t="n">
        <v>0</v>
      </c>
      <c r="Q9044" t="n">
        <v>0</v>
      </c>
      <c r="R9044" s="2" t="inlineStr"/>
    </row>
    <row r="9045" ht="15" customHeight="1">
      <c r="A9045" t="inlineStr">
        <is>
          <t>A 22901-2025</t>
        </is>
      </c>
      <c r="B9045" s="1" t="n">
        <v>45790.41216435185</v>
      </c>
      <c r="C9045" s="1" t="n">
        <v>45952</v>
      </c>
      <c r="D9045" t="inlineStr">
        <is>
          <t>VÄSTRA GÖTALANDS LÄN</t>
        </is>
      </c>
      <c r="E9045" t="inlineStr">
        <is>
          <t>DALS-ED</t>
        </is>
      </c>
      <c r="G9045" t="n">
        <v>0.5</v>
      </c>
      <c r="H9045" t="n">
        <v>0</v>
      </c>
      <c r="I9045" t="n">
        <v>0</v>
      </c>
      <c r="J9045" t="n">
        <v>0</v>
      </c>
      <c r="K9045" t="n">
        <v>0</v>
      </c>
      <c r="L9045" t="n">
        <v>0</v>
      </c>
      <c r="M9045" t="n">
        <v>0</v>
      </c>
      <c r="N9045" t="n">
        <v>0</v>
      </c>
      <c r="O9045" t="n">
        <v>0</v>
      </c>
      <c r="P9045" t="n">
        <v>0</v>
      </c>
      <c r="Q9045" t="n">
        <v>0</v>
      </c>
      <c r="R9045" s="2" t="inlineStr"/>
    </row>
    <row r="9046" ht="15" customHeight="1">
      <c r="A9046" t="inlineStr">
        <is>
          <t>A 22827-2025</t>
        </is>
      </c>
      <c r="B9046" s="1" t="n">
        <v>45789.84092592593</v>
      </c>
      <c r="C9046" s="1" t="n">
        <v>45952</v>
      </c>
      <c r="D9046" t="inlineStr">
        <is>
          <t>VÄSTRA GÖTALANDS LÄN</t>
        </is>
      </c>
      <c r="E9046" t="inlineStr">
        <is>
          <t>TIBRO</t>
        </is>
      </c>
      <c r="G9046" t="n">
        <v>1</v>
      </c>
      <c r="H9046" t="n">
        <v>0</v>
      </c>
      <c r="I9046" t="n">
        <v>0</v>
      </c>
      <c r="J9046" t="n">
        <v>0</v>
      </c>
      <c r="K9046" t="n">
        <v>0</v>
      </c>
      <c r="L9046" t="n">
        <v>0</v>
      </c>
      <c r="M9046" t="n">
        <v>0</v>
      </c>
      <c r="N9046" t="n">
        <v>0</v>
      </c>
      <c r="O9046" t="n">
        <v>0</v>
      </c>
      <c r="P9046" t="n">
        <v>0</v>
      </c>
      <c r="Q9046" t="n">
        <v>0</v>
      </c>
      <c r="R9046" s="2" t="inlineStr"/>
    </row>
    <row r="9047" ht="15" customHeight="1">
      <c r="A9047" t="inlineStr">
        <is>
          <t>A 22829-2025</t>
        </is>
      </c>
      <c r="B9047" s="1" t="n">
        <v>45789.84584490741</v>
      </c>
      <c r="C9047" s="1" t="n">
        <v>45952</v>
      </c>
      <c r="D9047" t="inlineStr">
        <is>
          <t>VÄSTRA GÖTALANDS LÄN</t>
        </is>
      </c>
      <c r="E9047" t="inlineStr">
        <is>
          <t>TRANEMO</t>
        </is>
      </c>
      <c r="G9047" t="n">
        <v>1</v>
      </c>
      <c r="H9047" t="n">
        <v>0</v>
      </c>
      <c r="I9047" t="n">
        <v>0</v>
      </c>
      <c r="J9047" t="n">
        <v>0</v>
      </c>
      <c r="K9047" t="n">
        <v>0</v>
      </c>
      <c r="L9047" t="n">
        <v>0</v>
      </c>
      <c r="M9047" t="n">
        <v>0</v>
      </c>
      <c r="N9047" t="n">
        <v>0</v>
      </c>
      <c r="O9047" t="n">
        <v>0</v>
      </c>
      <c r="P9047" t="n">
        <v>0</v>
      </c>
      <c r="Q9047" t="n">
        <v>0</v>
      </c>
      <c r="R9047" s="2" t="inlineStr"/>
    </row>
    <row r="9048" ht="15" customHeight="1">
      <c r="A9048" t="inlineStr">
        <is>
          <t>A 22847-2025</t>
        </is>
      </c>
      <c r="B9048" s="1" t="n">
        <v>45790.32974537037</v>
      </c>
      <c r="C9048" s="1" t="n">
        <v>45952</v>
      </c>
      <c r="D9048" t="inlineStr">
        <is>
          <t>VÄSTRA GÖTALANDS LÄN</t>
        </is>
      </c>
      <c r="E9048" t="inlineStr">
        <is>
          <t>DALS-ED</t>
        </is>
      </c>
      <c r="G9048" t="n">
        <v>0.8</v>
      </c>
      <c r="H9048" t="n">
        <v>0</v>
      </c>
      <c r="I9048" t="n">
        <v>0</v>
      </c>
      <c r="J9048" t="n">
        <v>0</v>
      </c>
      <c r="K9048" t="n">
        <v>0</v>
      </c>
      <c r="L9048" t="n">
        <v>0</v>
      </c>
      <c r="M9048" t="n">
        <v>0</v>
      </c>
      <c r="N9048" t="n">
        <v>0</v>
      </c>
      <c r="O9048" t="n">
        <v>0</v>
      </c>
      <c r="P9048" t="n">
        <v>0</v>
      </c>
      <c r="Q9048" t="n">
        <v>0</v>
      </c>
      <c r="R9048" s="2" t="inlineStr"/>
    </row>
    <row r="9049" ht="15" customHeight="1">
      <c r="A9049" t="inlineStr">
        <is>
          <t>A 22857-2025</t>
        </is>
      </c>
      <c r="B9049" s="1" t="n">
        <v>45790.34878472222</v>
      </c>
      <c r="C9049" s="1" t="n">
        <v>45952</v>
      </c>
      <c r="D9049" t="inlineStr">
        <is>
          <t>VÄSTRA GÖTALANDS LÄN</t>
        </is>
      </c>
      <c r="E9049" t="inlineStr">
        <is>
          <t>TIDAHOLM</t>
        </is>
      </c>
      <c r="G9049" t="n">
        <v>3.4</v>
      </c>
      <c r="H9049" t="n">
        <v>0</v>
      </c>
      <c r="I9049" t="n">
        <v>0</v>
      </c>
      <c r="J9049" t="n">
        <v>0</v>
      </c>
      <c r="K9049" t="n">
        <v>0</v>
      </c>
      <c r="L9049" t="n">
        <v>0</v>
      </c>
      <c r="M9049" t="n">
        <v>0</v>
      </c>
      <c r="N9049" t="n">
        <v>0</v>
      </c>
      <c r="O9049" t="n">
        <v>0</v>
      </c>
      <c r="P9049" t="n">
        <v>0</v>
      </c>
      <c r="Q9049" t="n">
        <v>0</v>
      </c>
      <c r="R9049" s="2" t="inlineStr"/>
    </row>
    <row r="9050" ht="15" customHeight="1">
      <c r="A9050" t="inlineStr">
        <is>
          <t>A 5011-2023</t>
        </is>
      </c>
      <c r="B9050" s="1" t="n">
        <v>44958</v>
      </c>
      <c r="C9050" s="1" t="n">
        <v>45952</v>
      </c>
      <c r="D9050" t="inlineStr">
        <is>
          <t>VÄSTRA GÖTALANDS LÄN</t>
        </is>
      </c>
      <c r="E9050" t="inlineStr">
        <is>
          <t>MARIESTAD</t>
        </is>
      </c>
      <c r="G9050" t="n">
        <v>4.4</v>
      </c>
      <c r="H9050" t="n">
        <v>0</v>
      </c>
      <c r="I9050" t="n">
        <v>0</v>
      </c>
      <c r="J9050" t="n">
        <v>0</v>
      </c>
      <c r="K9050" t="n">
        <v>0</v>
      </c>
      <c r="L9050" t="n">
        <v>0</v>
      </c>
      <c r="M9050" t="n">
        <v>0</v>
      </c>
      <c r="N9050" t="n">
        <v>0</v>
      </c>
      <c r="O9050" t="n">
        <v>0</v>
      </c>
      <c r="P9050" t="n">
        <v>0</v>
      </c>
      <c r="Q9050" t="n">
        <v>0</v>
      </c>
      <c r="R9050" s="2" t="inlineStr"/>
    </row>
    <row r="9051" ht="15" customHeight="1">
      <c r="A9051" t="inlineStr">
        <is>
          <t>A 12760-2025</t>
        </is>
      </c>
      <c r="B9051" s="1" t="n">
        <v>45733.57016203704</v>
      </c>
      <c r="C9051" s="1" t="n">
        <v>45952</v>
      </c>
      <c r="D9051" t="inlineStr">
        <is>
          <t>VÄSTRA GÖTALANDS LÄN</t>
        </is>
      </c>
      <c r="E9051" t="inlineStr">
        <is>
          <t>VÄNERSBORG</t>
        </is>
      </c>
      <c r="G9051" t="n">
        <v>1.4</v>
      </c>
      <c r="H9051" t="n">
        <v>0</v>
      </c>
      <c r="I9051" t="n">
        <v>0</v>
      </c>
      <c r="J9051" t="n">
        <v>0</v>
      </c>
      <c r="K9051" t="n">
        <v>0</v>
      </c>
      <c r="L9051" t="n">
        <v>0</v>
      </c>
      <c r="M9051" t="n">
        <v>0</v>
      </c>
      <c r="N9051" t="n">
        <v>0</v>
      </c>
      <c r="O9051" t="n">
        <v>0</v>
      </c>
      <c r="P9051" t="n">
        <v>0</v>
      </c>
      <c r="Q9051" t="n">
        <v>0</v>
      </c>
      <c r="R9051" s="2" t="inlineStr"/>
    </row>
    <row r="9052" ht="15" customHeight="1">
      <c r="A9052" t="inlineStr">
        <is>
          <t>A 39657-2025</t>
        </is>
      </c>
      <c r="B9052" s="1" t="n">
        <v>45890.62850694444</v>
      </c>
      <c r="C9052" s="1" t="n">
        <v>45952</v>
      </c>
      <c r="D9052" t="inlineStr">
        <is>
          <t>VÄSTRA GÖTALANDS LÄN</t>
        </is>
      </c>
      <c r="E9052" t="inlineStr">
        <is>
          <t>MARK</t>
        </is>
      </c>
      <c r="G9052" t="n">
        <v>2</v>
      </c>
      <c r="H9052" t="n">
        <v>0</v>
      </c>
      <c r="I9052" t="n">
        <v>0</v>
      </c>
      <c r="J9052" t="n">
        <v>0</v>
      </c>
      <c r="K9052" t="n">
        <v>0</v>
      </c>
      <c r="L9052" t="n">
        <v>0</v>
      </c>
      <c r="M9052" t="n">
        <v>0</v>
      </c>
      <c r="N9052" t="n">
        <v>0</v>
      </c>
      <c r="O9052" t="n">
        <v>0</v>
      </c>
      <c r="P9052" t="n">
        <v>0</v>
      </c>
      <c r="Q9052" t="n">
        <v>0</v>
      </c>
      <c r="R9052" s="2" t="inlineStr"/>
    </row>
    <row r="9053" ht="15" customHeight="1">
      <c r="A9053" t="inlineStr">
        <is>
          <t>A 48130-2025</t>
        </is>
      </c>
      <c r="B9053" s="1" t="n">
        <v>45933.36780092592</v>
      </c>
      <c r="C9053" s="1" t="n">
        <v>45952</v>
      </c>
      <c r="D9053" t="inlineStr">
        <is>
          <t>VÄSTRA GÖTALANDS LÄN</t>
        </is>
      </c>
      <c r="E9053" t="inlineStr">
        <is>
          <t>BENGTSFORS</t>
        </is>
      </c>
      <c r="G9053" t="n">
        <v>1.9</v>
      </c>
      <c r="H9053" t="n">
        <v>0</v>
      </c>
      <c r="I9053" t="n">
        <v>0</v>
      </c>
      <c r="J9053" t="n">
        <v>0</v>
      </c>
      <c r="K9053" t="n">
        <v>0</v>
      </c>
      <c r="L9053" t="n">
        <v>0</v>
      </c>
      <c r="M9053" t="n">
        <v>0</v>
      </c>
      <c r="N9053" t="n">
        <v>0</v>
      </c>
      <c r="O9053" t="n">
        <v>0</v>
      </c>
      <c r="P9053" t="n">
        <v>0</v>
      </c>
      <c r="Q9053" t="n">
        <v>0</v>
      </c>
      <c r="R9053" s="2" t="inlineStr"/>
    </row>
    <row r="9054" ht="15" customHeight="1">
      <c r="A9054" t="inlineStr">
        <is>
          <t>A 25925-2024</t>
        </is>
      </c>
      <c r="B9054" s="1" t="n">
        <v>45467.6122337963</v>
      </c>
      <c r="C9054" s="1" t="n">
        <v>45952</v>
      </c>
      <c r="D9054" t="inlineStr">
        <is>
          <t>VÄSTRA GÖTALANDS LÄN</t>
        </is>
      </c>
      <c r="E9054" t="inlineStr">
        <is>
          <t>ORUST</t>
        </is>
      </c>
      <c r="G9054" t="n">
        <v>1.1</v>
      </c>
      <c r="H9054" t="n">
        <v>0</v>
      </c>
      <c r="I9054" t="n">
        <v>0</v>
      </c>
      <c r="J9054" t="n">
        <v>0</v>
      </c>
      <c r="K9054" t="n">
        <v>0</v>
      </c>
      <c r="L9054" t="n">
        <v>0</v>
      </c>
      <c r="M9054" t="n">
        <v>0</v>
      </c>
      <c r="N9054" t="n">
        <v>0</v>
      </c>
      <c r="O9054" t="n">
        <v>0</v>
      </c>
      <c r="P9054" t="n">
        <v>0</v>
      </c>
      <c r="Q9054" t="n">
        <v>0</v>
      </c>
      <c r="R9054" s="2" t="inlineStr"/>
    </row>
    <row r="9055" ht="15" customHeight="1">
      <c r="A9055" t="inlineStr">
        <is>
          <t>A 59059-2020</t>
        </is>
      </c>
      <c r="B9055" s="1" t="n">
        <v>44147</v>
      </c>
      <c r="C9055" s="1" t="n">
        <v>45952</v>
      </c>
      <c r="D9055" t="inlineStr">
        <is>
          <t>VÄSTRA GÖTALANDS LÄN</t>
        </is>
      </c>
      <c r="E9055" t="inlineStr">
        <is>
          <t>ALINGSÅS</t>
        </is>
      </c>
      <c r="G9055" t="n">
        <v>0.9</v>
      </c>
      <c r="H9055" t="n">
        <v>0</v>
      </c>
      <c r="I9055" t="n">
        <v>0</v>
      </c>
      <c r="J9055" t="n">
        <v>0</v>
      </c>
      <c r="K9055" t="n">
        <v>0</v>
      </c>
      <c r="L9055" t="n">
        <v>0</v>
      </c>
      <c r="M9055" t="n">
        <v>0</v>
      </c>
      <c r="N9055" t="n">
        <v>0</v>
      </c>
      <c r="O9055" t="n">
        <v>0</v>
      </c>
      <c r="P9055" t="n">
        <v>0</v>
      </c>
      <c r="Q9055" t="n">
        <v>0</v>
      </c>
      <c r="R9055" s="2" t="inlineStr"/>
    </row>
    <row r="9056" ht="15" customHeight="1">
      <c r="A9056" t="inlineStr">
        <is>
          <t>A 45485-2024</t>
        </is>
      </c>
      <c r="B9056" s="1" t="n">
        <v>45577.37418981481</v>
      </c>
      <c r="C9056" s="1" t="n">
        <v>45952</v>
      </c>
      <c r="D9056" t="inlineStr">
        <is>
          <t>VÄSTRA GÖTALANDS LÄN</t>
        </is>
      </c>
      <c r="E9056" t="inlineStr">
        <is>
          <t>BORÅS</t>
        </is>
      </c>
      <c r="G9056" t="n">
        <v>2.5</v>
      </c>
      <c r="H9056" t="n">
        <v>0</v>
      </c>
      <c r="I9056" t="n">
        <v>0</v>
      </c>
      <c r="J9056" t="n">
        <v>0</v>
      </c>
      <c r="K9056" t="n">
        <v>0</v>
      </c>
      <c r="L9056" t="n">
        <v>0</v>
      </c>
      <c r="M9056" t="n">
        <v>0</v>
      </c>
      <c r="N9056" t="n">
        <v>0</v>
      </c>
      <c r="O9056" t="n">
        <v>0</v>
      </c>
      <c r="P9056" t="n">
        <v>0</v>
      </c>
      <c r="Q9056" t="n">
        <v>0</v>
      </c>
      <c r="R9056" s="2" t="inlineStr"/>
    </row>
    <row r="9057" ht="15" customHeight="1">
      <c r="A9057" t="inlineStr">
        <is>
          <t>A 45599-2024</t>
        </is>
      </c>
      <c r="B9057" s="1" t="n">
        <v>45579.43138888889</v>
      </c>
      <c r="C9057" s="1" t="n">
        <v>45952</v>
      </c>
      <c r="D9057" t="inlineStr">
        <is>
          <t>VÄSTRA GÖTALANDS LÄN</t>
        </is>
      </c>
      <c r="E9057" t="inlineStr">
        <is>
          <t>TIBRO</t>
        </is>
      </c>
      <c r="G9057" t="n">
        <v>6.8</v>
      </c>
      <c r="H9057" t="n">
        <v>0</v>
      </c>
      <c r="I9057" t="n">
        <v>0</v>
      </c>
      <c r="J9057" t="n">
        <v>0</v>
      </c>
      <c r="K9057" t="n">
        <v>0</v>
      </c>
      <c r="L9057" t="n">
        <v>0</v>
      </c>
      <c r="M9057" t="n">
        <v>0</v>
      </c>
      <c r="N9057" t="n">
        <v>0</v>
      </c>
      <c r="O9057" t="n">
        <v>0</v>
      </c>
      <c r="P9057" t="n">
        <v>0</v>
      </c>
      <c r="Q9057" t="n">
        <v>0</v>
      </c>
      <c r="R9057" s="2" t="inlineStr"/>
    </row>
    <row r="9058" ht="15" customHeight="1">
      <c r="A9058" t="inlineStr">
        <is>
          <t>A 9374-2025</t>
        </is>
      </c>
      <c r="B9058" s="1" t="n">
        <v>45715.32998842592</v>
      </c>
      <c r="C9058" s="1" t="n">
        <v>45952</v>
      </c>
      <c r="D9058" t="inlineStr">
        <is>
          <t>VÄSTRA GÖTALANDS LÄN</t>
        </is>
      </c>
      <c r="E9058" t="inlineStr">
        <is>
          <t>ESSUNGA</t>
        </is>
      </c>
      <c r="F9058" t="inlineStr">
        <is>
          <t>Kyrkan</t>
        </is>
      </c>
      <c r="G9058" t="n">
        <v>0.7</v>
      </c>
      <c r="H9058" t="n">
        <v>0</v>
      </c>
      <c r="I9058" t="n">
        <v>0</v>
      </c>
      <c r="J9058" t="n">
        <v>0</v>
      </c>
      <c r="K9058" t="n">
        <v>0</v>
      </c>
      <c r="L9058" t="n">
        <v>0</v>
      </c>
      <c r="M9058" t="n">
        <v>0</v>
      </c>
      <c r="N9058" t="n">
        <v>0</v>
      </c>
      <c r="O9058" t="n">
        <v>0</v>
      </c>
      <c r="P9058" t="n">
        <v>0</v>
      </c>
      <c r="Q9058" t="n">
        <v>0</v>
      </c>
      <c r="R9058" s="2" t="inlineStr"/>
    </row>
    <row r="9059" ht="15" customHeight="1">
      <c r="A9059" t="inlineStr">
        <is>
          <t>A 39843-2025</t>
        </is>
      </c>
      <c r="B9059" s="1" t="n">
        <v>45891</v>
      </c>
      <c r="C9059" s="1" t="n">
        <v>45952</v>
      </c>
      <c r="D9059" t="inlineStr">
        <is>
          <t>VÄSTRA GÖTALANDS LÄN</t>
        </is>
      </c>
      <c r="E9059" t="inlineStr">
        <is>
          <t>VÅRGÅRDA</t>
        </is>
      </c>
      <c r="G9059" t="n">
        <v>2.9</v>
      </c>
      <c r="H9059" t="n">
        <v>0</v>
      </c>
      <c r="I9059" t="n">
        <v>0</v>
      </c>
      <c r="J9059" t="n">
        <v>0</v>
      </c>
      <c r="K9059" t="n">
        <v>0</v>
      </c>
      <c r="L9059" t="n">
        <v>0</v>
      </c>
      <c r="M9059" t="n">
        <v>0</v>
      </c>
      <c r="N9059" t="n">
        <v>0</v>
      </c>
      <c r="O9059" t="n">
        <v>0</v>
      </c>
      <c r="P9059" t="n">
        <v>0</v>
      </c>
      <c r="Q9059" t="n">
        <v>0</v>
      </c>
      <c r="R9059" s="2" t="inlineStr"/>
    </row>
    <row r="9060" ht="15" customHeight="1">
      <c r="A9060" t="inlineStr">
        <is>
          <t>A 39885-2025</t>
        </is>
      </c>
      <c r="B9060" s="1" t="n">
        <v>45891</v>
      </c>
      <c r="C9060" s="1" t="n">
        <v>45952</v>
      </c>
      <c r="D9060" t="inlineStr">
        <is>
          <t>VÄSTRA GÖTALANDS LÄN</t>
        </is>
      </c>
      <c r="E9060" t="inlineStr">
        <is>
          <t>TANUM</t>
        </is>
      </c>
      <c r="G9060" t="n">
        <v>4.3</v>
      </c>
      <c r="H9060" t="n">
        <v>0</v>
      </c>
      <c r="I9060" t="n">
        <v>0</v>
      </c>
      <c r="J9060" t="n">
        <v>0</v>
      </c>
      <c r="K9060" t="n">
        <v>0</v>
      </c>
      <c r="L9060" t="n">
        <v>0</v>
      </c>
      <c r="M9060" t="n">
        <v>0</v>
      </c>
      <c r="N9060" t="n">
        <v>0</v>
      </c>
      <c r="O9060" t="n">
        <v>0</v>
      </c>
      <c r="P9060" t="n">
        <v>0</v>
      </c>
      <c r="Q9060" t="n">
        <v>0</v>
      </c>
      <c r="R9060" s="2" t="inlineStr"/>
    </row>
    <row r="9061" ht="15" customHeight="1">
      <c r="A9061" t="inlineStr">
        <is>
          <t>A 30175-2022</t>
        </is>
      </c>
      <c r="B9061" s="1" t="n">
        <v>44757</v>
      </c>
      <c r="C9061" s="1" t="n">
        <v>45952</v>
      </c>
      <c r="D9061" t="inlineStr">
        <is>
          <t>VÄSTRA GÖTALANDS LÄN</t>
        </is>
      </c>
      <c r="E9061" t="inlineStr">
        <is>
          <t>STENUNGSUND</t>
        </is>
      </c>
      <c r="G9061" t="n">
        <v>2.2</v>
      </c>
      <c r="H9061" t="n">
        <v>0</v>
      </c>
      <c r="I9061" t="n">
        <v>0</v>
      </c>
      <c r="J9061" t="n">
        <v>0</v>
      </c>
      <c r="K9061" t="n">
        <v>0</v>
      </c>
      <c r="L9061" t="n">
        <v>0</v>
      </c>
      <c r="M9061" t="n">
        <v>0</v>
      </c>
      <c r="N9061" t="n">
        <v>0</v>
      </c>
      <c r="O9061" t="n">
        <v>0</v>
      </c>
      <c r="P9061" t="n">
        <v>0</v>
      </c>
      <c r="Q9061" t="n">
        <v>0</v>
      </c>
      <c r="R9061" s="2" t="inlineStr"/>
    </row>
    <row r="9062" ht="15" customHeight="1">
      <c r="A9062" t="inlineStr">
        <is>
          <t>A 57728-2024</t>
        </is>
      </c>
      <c r="B9062" s="1" t="n">
        <v>45630.71177083333</v>
      </c>
      <c r="C9062" s="1" t="n">
        <v>45952</v>
      </c>
      <c r="D9062" t="inlineStr">
        <is>
          <t>VÄSTRA GÖTALANDS LÄN</t>
        </is>
      </c>
      <c r="E9062" t="inlineStr">
        <is>
          <t>FALKÖPING</t>
        </is>
      </c>
      <c r="G9062" t="n">
        <v>1.2</v>
      </c>
      <c r="H9062" t="n">
        <v>0</v>
      </c>
      <c r="I9062" t="n">
        <v>0</v>
      </c>
      <c r="J9062" t="n">
        <v>0</v>
      </c>
      <c r="K9062" t="n">
        <v>0</v>
      </c>
      <c r="L9062" t="n">
        <v>0</v>
      </c>
      <c r="M9062" t="n">
        <v>0</v>
      </c>
      <c r="N9062" t="n">
        <v>0</v>
      </c>
      <c r="O9062" t="n">
        <v>0</v>
      </c>
      <c r="P9062" t="n">
        <v>0</v>
      </c>
      <c r="Q9062" t="n">
        <v>0</v>
      </c>
      <c r="R9062" s="2" t="inlineStr"/>
    </row>
    <row r="9063" ht="15" customHeight="1">
      <c r="A9063" t="inlineStr">
        <is>
          <t>A 57613-2024</t>
        </is>
      </c>
      <c r="B9063" s="1" t="n">
        <v>45630.54754629629</v>
      </c>
      <c r="C9063" s="1" t="n">
        <v>45952</v>
      </c>
      <c r="D9063" t="inlineStr">
        <is>
          <t>VÄSTRA GÖTALANDS LÄN</t>
        </is>
      </c>
      <c r="E9063" t="inlineStr">
        <is>
          <t>MUNKEDAL</t>
        </is>
      </c>
      <c r="G9063" t="n">
        <v>0.5</v>
      </c>
      <c r="H9063" t="n">
        <v>0</v>
      </c>
      <c r="I9063" t="n">
        <v>0</v>
      </c>
      <c r="J9063" t="n">
        <v>0</v>
      </c>
      <c r="K9063" t="n">
        <v>0</v>
      </c>
      <c r="L9063" t="n">
        <v>0</v>
      </c>
      <c r="M9063" t="n">
        <v>0</v>
      </c>
      <c r="N9063" t="n">
        <v>0</v>
      </c>
      <c r="O9063" t="n">
        <v>0</v>
      </c>
      <c r="P9063" t="n">
        <v>0</v>
      </c>
      <c r="Q9063" t="n">
        <v>0</v>
      </c>
      <c r="R9063" s="2" t="inlineStr"/>
    </row>
    <row r="9064" ht="15" customHeight="1">
      <c r="A9064" t="inlineStr">
        <is>
          <t>A 32537-2024</t>
        </is>
      </c>
      <c r="B9064" s="1" t="n">
        <v>45513</v>
      </c>
      <c r="C9064" s="1" t="n">
        <v>45952</v>
      </c>
      <c r="D9064" t="inlineStr">
        <is>
          <t>VÄSTRA GÖTALANDS LÄN</t>
        </is>
      </c>
      <c r="E9064" t="inlineStr">
        <is>
          <t>TROLLHÄTTAN</t>
        </is>
      </c>
      <c r="F9064" t="inlineStr">
        <is>
          <t>Kyrkan</t>
        </is>
      </c>
      <c r="G9064" t="n">
        <v>1.6</v>
      </c>
      <c r="H9064" t="n">
        <v>0</v>
      </c>
      <c r="I9064" t="n">
        <v>0</v>
      </c>
      <c r="J9064" t="n">
        <v>0</v>
      </c>
      <c r="K9064" t="n">
        <v>0</v>
      </c>
      <c r="L9064" t="n">
        <v>0</v>
      </c>
      <c r="M9064" t="n">
        <v>0</v>
      </c>
      <c r="N9064" t="n">
        <v>0</v>
      </c>
      <c r="O9064" t="n">
        <v>0</v>
      </c>
      <c r="P9064" t="n">
        <v>0</v>
      </c>
      <c r="Q9064" t="n">
        <v>0</v>
      </c>
      <c r="R9064" s="2" t="inlineStr"/>
    </row>
    <row r="9065" ht="15" customHeight="1">
      <c r="A9065" t="inlineStr">
        <is>
          <t>A 11049-2025</t>
        </is>
      </c>
      <c r="B9065" s="1" t="n">
        <v>45723.49395833333</v>
      </c>
      <c r="C9065" s="1" t="n">
        <v>45952</v>
      </c>
      <c r="D9065" t="inlineStr">
        <is>
          <t>VÄSTRA GÖTALANDS LÄN</t>
        </is>
      </c>
      <c r="E9065" t="inlineStr">
        <is>
          <t>BENGTSFORS</t>
        </is>
      </c>
      <c r="G9065" t="n">
        <v>0.8</v>
      </c>
      <c r="H9065" t="n">
        <v>0</v>
      </c>
      <c r="I9065" t="n">
        <v>0</v>
      </c>
      <c r="J9065" t="n">
        <v>0</v>
      </c>
      <c r="K9065" t="n">
        <v>0</v>
      </c>
      <c r="L9065" t="n">
        <v>0</v>
      </c>
      <c r="M9065" t="n">
        <v>0</v>
      </c>
      <c r="N9065" t="n">
        <v>0</v>
      </c>
      <c r="O9065" t="n">
        <v>0</v>
      </c>
      <c r="P9065" t="n">
        <v>0</v>
      </c>
      <c r="Q9065" t="n">
        <v>0</v>
      </c>
      <c r="R9065" s="2" t="inlineStr"/>
    </row>
    <row r="9066" ht="15" customHeight="1">
      <c r="A9066" t="inlineStr">
        <is>
          <t>A 47507-2023</t>
        </is>
      </c>
      <c r="B9066" s="1" t="n">
        <v>45203.29027777778</v>
      </c>
      <c r="C9066" s="1" t="n">
        <v>45952</v>
      </c>
      <c r="D9066" t="inlineStr">
        <is>
          <t>VÄSTRA GÖTALANDS LÄN</t>
        </is>
      </c>
      <c r="E9066" t="inlineStr">
        <is>
          <t>TROLLHÄTTAN</t>
        </is>
      </c>
      <c r="G9066" t="n">
        <v>1.8</v>
      </c>
      <c r="H9066" t="n">
        <v>0</v>
      </c>
      <c r="I9066" t="n">
        <v>0</v>
      </c>
      <c r="J9066" t="n">
        <v>0</v>
      </c>
      <c r="K9066" t="n">
        <v>0</v>
      </c>
      <c r="L9066" t="n">
        <v>0</v>
      </c>
      <c r="M9066" t="n">
        <v>0</v>
      </c>
      <c r="N9066" t="n">
        <v>0</v>
      </c>
      <c r="O9066" t="n">
        <v>0</v>
      </c>
      <c r="P9066" t="n">
        <v>0</v>
      </c>
      <c r="Q9066" t="n">
        <v>0</v>
      </c>
      <c r="R9066" s="2" t="inlineStr"/>
    </row>
    <row r="9067" ht="15" customHeight="1">
      <c r="A9067" t="inlineStr">
        <is>
          <t>A 46349-2025</t>
        </is>
      </c>
      <c r="B9067" s="1" t="n">
        <v>45925.48078703704</v>
      </c>
      <c r="C9067" s="1" t="n">
        <v>45952</v>
      </c>
      <c r="D9067" t="inlineStr">
        <is>
          <t>VÄSTRA GÖTALANDS LÄN</t>
        </is>
      </c>
      <c r="E9067" t="inlineStr">
        <is>
          <t>HÄRRYDA</t>
        </is>
      </c>
      <c r="G9067" t="n">
        <v>2.2</v>
      </c>
      <c r="H9067" t="n">
        <v>0</v>
      </c>
      <c r="I9067" t="n">
        <v>0</v>
      </c>
      <c r="J9067" t="n">
        <v>0</v>
      </c>
      <c r="K9067" t="n">
        <v>0</v>
      </c>
      <c r="L9067" t="n">
        <v>0</v>
      </c>
      <c r="M9067" t="n">
        <v>0</v>
      </c>
      <c r="N9067" t="n">
        <v>0</v>
      </c>
      <c r="O9067" t="n">
        <v>0</v>
      </c>
      <c r="P9067" t="n">
        <v>0</v>
      </c>
      <c r="Q9067" t="n">
        <v>0</v>
      </c>
      <c r="R9067" s="2" t="inlineStr"/>
    </row>
    <row r="9068" ht="15" customHeight="1">
      <c r="A9068" t="inlineStr">
        <is>
          <t>A 14908-2025</t>
        </is>
      </c>
      <c r="B9068" s="1" t="n">
        <v>45743</v>
      </c>
      <c r="C9068" s="1" t="n">
        <v>45952</v>
      </c>
      <c r="D9068" t="inlineStr">
        <is>
          <t>VÄSTRA GÖTALANDS LÄN</t>
        </is>
      </c>
      <c r="E9068" t="inlineStr">
        <is>
          <t>UDDEVALLA</t>
        </is>
      </c>
      <c r="G9068" t="n">
        <v>1.7</v>
      </c>
      <c r="H9068" t="n">
        <v>0</v>
      </c>
      <c r="I9068" t="n">
        <v>0</v>
      </c>
      <c r="J9068" t="n">
        <v>0</v>
      </c>
      <c r="K9068" t="n">
        <v>0</v>
      </c>
      <c r="L9068" t="n">
        <v>0</v>
      </c>
      <c r="M9068" t="n">
        <v>0</v>
      </c>
      <c r="N9068" t="n">
        <v>0</v>
      </c>
      <c r="O9068" t="n">
        <v>0</v>
      </c>
      <c r="P9068" t="n">
        <v>0</v>
      </c>
      <c r="Q9068" t="n">
        <v>0</v>
      </c>
      <c r="R9068" s="2" t="inlineStr"/>
    </row>
    <row r="9069" ht="15" customHeight="1">
      <c r="A9069" t="inlineStr">
        <is>
          <t>A 14924-2025</t>
        </is>
      </c>
      <c r="B9069" s="1" t="n">
        <v>45743.55011574074</v>
      </c>
      <c r="C9069" s="1" t="n">
        <v>45952</v>
      </c>
      <c r="D9069" t="inlineStr">
        <is>
          <t>VÄSTRA GÖTALANDS LÄN</t>
        </is>
      </c>
      <c r="E9069" t="inlineStr">
        <is>
          <t>DALS-ED</t>
        </is>
      </c>
      <c r="G9069" t="n">
        <v>0.5</v>
      </c>
      <c r="H9069" t="n">
        <v>0</v>
      </c>
      <c r="I9069" t="n">
        <v>0</v>
      </c>
      <c r="J9069" t="n">
        <v>0</v>
      </c>
      <c r="K9069" t="n">
        <v>0</v>
      </c>
      <c r="L9069" t="n">
        <v>0</v>
      </c>
      <c r="M9069" t="n">
        <v>0</v>
      </c>
      <c r="N9069" t="n">
        <v>0</v>
      </c>
      <c r="O9069" t="n">
        <v>0</v>
      </c>
      <c r="P9069" t="n">
        <v>0</v>
      </c>
      <c r="Q9069" t="n">
        <v>0</v>
      </c>
      <c r="R9069" s="2" t="inlineStr"/>
    </row>
    <row r="9070" ht="15" customHeight="1">
      <c r="A9070" t="inlineStr">
        <is>
          <t>A 9098-2025</t>
        </is>
      </c>
      <c r="B9070" s="1" t="n">
        <v>45713.68337962963</v>
      </c>
      <c r="C9070" s="1" t="n">
        <v>45952</v>
      </c>
      <c r="D9070" t="inlineStr">
        <is>
          <t>VÄSTRA GÖTALANDS LÄN</t>
        </is>
      </c>
      <c r="E9070" t="inlineStr">
        <is>
          <t>VARA</t>
        </is>
      </c>
      <c r="G9070" t="n">
        <v>1.5</v>
      </c>
      <c r="H9070" t="n">
        <v>0</v>
      </c>
      <c r="I9070" t="n">
        <v>0</v>
      </c>
      <c r="J9070" t="n">
        <v>0</v>
      </c>
      <c r="K9070" t="n">
        <v>0</v>
      </c>
      <c r="L9070" t="n">
        <v>0</v>
      </c>
      <c r="M9070" t="n">
        <v>0</v>
      </c>
      <c r="N9070" t="n">
        <v>0</v>
      </c>
      <c r="O9070" t="n">
        <v>0</v>
      </c>
      <c r="P9070" t="n">
        <v>0</v>
      </c>
      <c r="Q9070" t="n">
        <v>0</v>
      </c>
      <c r="R9070" s="2" t="inlineStr"/>
    </row>
    <row r="9071" ht="15" customHeight="1">
      <c r="A9071" t="inlineStr">
        <is>
          <t>A 34984-2023</t>
        </is>
      </c>
      <c r="B9071" s="1" t="n">
        <v>45142</v>
      </c>
      <c r="C9071" s="1" t="n">
        <v>45952</v>
      </c>
      <c r="D9071" t="inlineStr">
        <is>
          <t>VÄSTRA GÖTALANDS LÄN</t>
        </is>
      </c>
      <c r="E9071" t="inlineStr">
        <is>
          <t>BORÅS</t>
        </is>
      </c>
      <c r="G9071" t="n">
        <v>2.2</v>
      </c>
      <c r="H9071" t="n">
        <v>0</v>
      </c>
      <c r="I9071" t="n">
        <v>0</v>
      </c>
      <c r="J9071" t="n">
        <v>0</v>
      </c>
      <c r="K9071" t="n">
        <v>0</v>
      </c>
      <c r="L9071" t="n">
        <v>0</v>
      </c>
      <c r="M9071" t="n">
        <v>0</v>
      </c>
      <c r="N9071" t="n">
        <v>0</v>
      </c>
      <c r="O9071" t="n">
        <v>0</v>
      </c>
      <c r="P9071" t="n">
        <v>0</v>
      </c>
      <c r="Q9071" t="n">
        <v>0</v>
      </c>
      <c r="R9071" s="2" t="inlineStr"/>
    </row>
    <row r="9072" ht="15" customHeight="1">
      <c r="A9072" t="inlineStr">
        <is>
          <t>A 32960-2023</t>
        </is>
      </c>
      <c r="B9072" s="1" t="n">
        <v>45125</v>
      </c>
      <c r="C9072" s="1" t="n">
        <v>45952</v>
      </c>
      <c r="D9072" t="inlineStr">
        <is>
          <t>VÄSTRA GÖTALANDS LÄN</t>
        </is>
      </c>
      <c r="E9072" t="inlineStr">
        <is>
          <t>STENUNGSUND</t>
        </is>
      </c>
      <c r="G9072" t="n">
        <v>4.7</v>
      </c>
      <c r="H9072" t="n">
        <v>0</v>
      </c>
      <c r="I9072" t="n">
        <v>0</v>
      </c>
      <c r="J9072" t="n">
        <v>0</v>
      </c>
      <c r="K9072" t="n">
        <v>0</v>
      </c>
      <c r="L9072" t="n">
        <v>0</v>
      </c>
      <c r="M9072" t="n">
        <v>0</v>
      </c>
      <c r="N9072" t="n">
        <v>0</v>
      </c>
      <c r="O9072" t="n">
        <v>0</v>
      </c>
      <c r="P9072" t="n">
        <v>0</v>
      </c>
      <c r="Q9072" t="n">
        <v>0</v>
      </c>
      <c r="R9072" s="2" t="inlineStr"/>
    </row>
    <row r="9073" ht="15" customHeight="1">
      <c r="A9073" t="inlineStr">
        <is>
          <t>A 15424-2021</t>
        </is>
      </c>
      <c r="B9073" s="1" t="n">
        <v>44285.35993055555</v>
      </c>
      <c r="C9073" s="1" t="n">
        <v>45952</v>
      </c>
      <c r="D9073" t="inlineStr">
        <is>
          <t>VÄSTRA GÖTALANDS LÄN</t>
        </is>
      </c>
      <c r="E9073" t="inlineStr">
        <is>
          <t>TANUM</t>
        </is>
      </c>
      <c r="G9073" t="n">
        <v>0.9</v>
      </c>
      <c r="H9073" t="n">
        <v>0</v>
      </c>
      <c r="I9073" t="n">
        <v>0</v>
      </c>
      <c r="J9073" t="n">
        <v>0</v>
      </c>
      <c r="K9073" t="n">
        <v>0</v>
      </c>
      <c r="L9073" t="n">
        <v>0</v>
      </c>
      <c r="M9073" t="n">
        <v>0</v>
      </c>
      <c r="N9073" t="n">
        <v>0</v>
      </c>
      <c r="O9073" t="n">
        <v>0</v>
      </c>
      <c r="P9073" t="n">
        <v>0</v>
      </c>
      <c r="Q9073" t="n">
        <v>0</v>
      </c>
      <c r="R9073" s="2" t="inlineStr"/>
    </row>
    <row r="9074" ht="15" customHeight="1">
      <c r="A9074" t="inlineStr">
        <is>
          <t>A 22906-2025</t>
        </is>
      </c>
      <c r="B9074" s="1" t="n">
        <v>45790.41703703703</v>
      </c>
      <c r="C9074" s="1" t="n">
        <v>45952</v>
      </c>
      <c r="D9074" t="inlineStr">
        <is>
          <t>VÄSTRA GÖTALANDS LÄN</t>
        </is>
      </c>
      <c r="E9074" t="inlineStr">
        <is>
          <t>DALS-ED</t>
        </is>
      </c>
      <c r="G9074" t="n">
        <v>1.2</v>
      </c>
      <c r="H9074" t="n">
        <v>0</v>
      </c>
      <c r="I9074" t="n">
        <v>0</v>
      </c>
      <c r="J9074" t="n">
        <v>0</v>
      </c>
      <c r="K9074" t="n">
        <v>0</v>
      </c>
      <c r="L9074" t="n">
        <v>0</v>
      </c>
      <c r="M9074" t="n">
        <v>0</v>
      </c>
      <c r="N9074" t="n">
        <v>0</v>
      </c>
      <c r="O9074" t="n">
        <v>0</v>
      </c>
      <c r="P9074" t="n">
        <v>0</v>
      </c>
      <c r="Q9074" t="n">
        <v>0</v>
      </c>
      <c r="R9074" s="2" t="inlineStr"/>
    </row>
    <row r="9075" ht="15" customHeight="1">
      <c r="A9075" t="inlineStr">
        <is>
          <t>A 23149-2025</t>
        </is>
      </c>
      <c r="B9075" s="1" t="n">
        <v>45791.40295138889</v>
      </c>
      <c r="C9075" s="1" t="n">
        <v>45952</v>
      </c>
      <c r="D9075" t="inlineStr">
        <is>
          <t>VÄSTRA GÖTALANDS LÄN</t>
        </is>
      </c>
      <c r="E9075" t="inlineStr">
        <is>
          <t>TANUM</t>
        </is>
      </c>
      <c r="G9075" t="n">
        <v>9.9</v>
      </c>
      <c r="H9075" t="n">
        <v>0</v>
      </c>
      <c r="I9075" t="n">
        <v>0</v>
      </c>
      <c r="J9075" t="n">
        <v>0</v>
      </c>
      <c r="K9075" t="n">
        <v>0</v>
      </c>
      <c r="L9075" t="n">
        <v>0</v>
      </c>
      <c r="M9075" t="n">
        <v>0</v>
      </c>
      <c r="N9075" t="n">
        <v>0</v>
      </c>
      <c r="O9075" t="n">
        <v>0</v>
      </c>
      <c r="P9075" t="n">
        <v>0</v>
      </c>
      <c r="Q9075" t="n">
        <v>0</v>
      </c>
      <c r="R9075" s="2" t="inlineStr"/>
    </row>
    <row r="9076" ht="15" customHeight="1">
      <c r="A9076" t="inlineStr">
        <is>
          <t>A 15494-2021</t>
        </is>
      </c>
      <c r="B9076" s="1" t="n">
        <v>44253</v>
      </c>
      <c r="C9076" s="1" t="n">
        <v>45952</v>
      </c>
      <c r="D9076" t="inlineStr">
        <is>
          <t>VÄSTRA GÖTALANDS LÄN</t>
        </is>
      </c>
      <c r="E9076" t="inlineStr">
        <is>
          <t>MARK</t>
        </is>
      </c>
      <c r="G9076" t="n">
        <v>5.5</v>
      </c>
      <c r="H9076" t="n">
        <v>0</v>
      </c>
      <c r="I9076" t="n">
        <v>0</v>
      </c>
      <c r="J9076" t="n">
        <v>0</v>
      </c>
      <c r="K9076" t="n">
        <v>0</v>
      </c>
      <c r="L9076" t="n">
        <v>0</v>
      </c>
      <c r="M9076" t="n">
        <v>0</v>
      </c>
      <c r="N9076" t="n">
        <v>0</v>
      </c>
      <c r="O9076" t="n">
        <v>0</v>
      </c>
      <c r="P9076" t="n">
        <v>0</v>
      </c>
      <c r="Q9076" t="n">
        <v>0</v>
      </c>
      <c r="R9076" s="2" t="inlineStr"/>
    </row>
    <row r="9077" ht="15" customHeight="1">
      <c r="A9077" t="inlineStr">
        <is>
          <t>A 20476-2023</t>
        </is>
      </c>
      <c r="B9077" s="1" t="n">
        <v>45057.34075231481</v>
      </c>
      <c r="C9077" s="1" t="n">
        <v>45952</v>
      </c>
      <c r="D9077" t="inlineStr">
        <is>
          <t>VÄSTRA GÖTALANDS LÄN</t>
        </is>
      </c>
      <c r="E9077" t="inlineStr">
        <is>
          <t>STRÖMSTAD</t>
        </is>
      </c>
      <c r="G9077" t="n">
        <v>0.5</v>
      </c>
      <c r="H9077" t="n">
        <v>0</v>
      </c>
      <c r="I9077" t="n">
        <v>0</v>
      </c>
      <c r="J9077" t="n">
        <v>0</v>
      </c>
      <c r="K9077" t="n">
        <v>0</v>
      </c>
      <c r="L9077" t="n">
        <v>0</v>
      </c>
      <c r="M9077" t="n">
        <v>0</v>
      </c>
      <c r="N9077" t="n">
        <v>0</v>
      </c>
      <c r="O9077" t="n">
        <v>0</v>
      </c>
      <c r="P9077" t="n">
        <v>0</v>
      </c>
      <c r="Q9077" t="n">
        <v>0</v>
      </c>
      <c r="R9077" s="2" t="inlineStr"/>
    </row>
    <row r="9078" ht="15" customHeight="1">
      <c r="A9078" t="inlineStr">
        <is>
          <t>A 23294-2025</t>
        </is>
      </c>
      <c r="B9078" s="1" t="n">
        <v>45791.58967592593</v>
      </c>
      <c r="C9078" s="1" t="n">
        <v>45952</v>
      </c>
      <c r="D9078" t="inlineStr">
        <is>
          <t>VÄSTRA GÖTALANDS LÄN</t>
        </is>
      </c>
      <c r="E9078" t="inlineStr">
        <is>
          <t>TJÖRN</t>
        </is>
      </c>
      <c r="G9078" t="n">
        <v>4.6</v>
      </c>
      <c r="H9078" t="n">
        <v>0</v>
      </c>
      <c r="I9078" t="n">
        <v>0</v>
      </c>
      <c r="J9078" t="n">
        <v>0</v>
      </c>
      <c r="K9078" t="n">
        <v>0</v>
      </c>
      <c r="L9078" t="n">
        <v>0</v>
      </c>
      <c r="M9078" t="n">
        <v>0</v>
      </c>
      <c r="N9078" t="n">
        <v>0</v>
      </c>
      <c r="O9078" t="n">
        <v>0</v>
      </c>
      <c r="P9078" t="n">
        <v>0</v>
      </c>
      <c r="Q9078" t="n">
        <v>0</v>
      </c>
      <c r="R9078" s="2" t="inlineStr"/>
    </row>
    <row r="9079" ht="15" customHeight="1">
      <c r="A9079" t="inlineStr">
        <is>
          <t>A 64022-2023</t>
        </is>
      </c>
      <c r="B9079" s="1" t="n">
        <v>45278</v>
      </c>
      <c r="C9079" s="1" t="n">
        <v>45952</v>
      </c>
      <c r="D9079" t="inlineStr">
        <is>
          <t>VÄSTRA GÖTALANDS LÄN</t>
        </is>
      </c>
      <c r="E9079" t="inlineStr">
        <is>
          <t>FALKÖPING</t>
        </is>
      </c>
      <c r="G9079" t="n">
        <v>4.1</v>
      </c>
      <c r="H9079" t="n">
        <v>0</v>
      </c>
      <c r="I9079" t="n">
        <v>0</v>
      </c>
      <c r="J9079" t="n">
        <v>0</v>
      </c>
      <c r="K9079" t="n">
        <v>0</v>
      </c>
      <c r="L9079" t="n">
        <v>0</v>
      </c>
      <c r="M9079" t="n">
        <v>0</v>
      </c>
      <c r="N9079" t="n">
        <v>0</v>
      </c>
      <c r="O9079" t="n">
        <v>0</v>
      </c>
      <c r="P9079" t="n">
        <v>0</v>
      </c>
      <c r="Q9079" t="n">
        <v>0</v>
      </c>
      <c r="R9079" s="2" t="inlineStr"/>
    </row>
    <row r="9080" ht="15" customHeight="1">
      <c r="A9080" t="inlineStr">
        <is>
          <t>A 40367-2025</t>
        </is>
      </c>
      <c r="B9080" s="1" t="n">
        <v>45895.50241898148</v>
      </c>
      <c r="C9080" s="1" t="n">
        <v>45952</v>
      </c>
      <c r="D9080" t="inlineStr">
        <is>
          <t>VÄSTRA GÖTALANDS LÄN</t>
        </is>
      </c>
      <c r="E9080" t="inlineStr">
        <is>
          <t>ULRICEHAMN</t>
        </is>
      </c>
      <c r="G9080" t="n">
        <v>0.7</v>
      </c>
      <c r="H9080" t="n">
        <v>0</v>
      </c>
      <c r="I9080" t="n">
        <v>0</v>
      </c>
      <c r="J9080" t="n">
        <v>0</v>
      </c>
      <c r="K9080" t="n">
        <v>0</v>
      </c>
      <c r="L9080" t="n">
        <v>0</v>
      </c>
      <c r="M9080" t="n">
        <v>0</v>
      </c>
      <c r="N9080" t="n">
        <v>0</v>
      </c>
      <c r="O9080" t="n">
        <v>0</v>
      </c>
      <c r="P9080" t="n">
        <v>0</v>
      </c>
      <c r="Q9080" t="n">
        <v>0</v>
      </c>
      <c r="R9080" s="2" t="inlineStr"/>
    </row>
    <row r="9081" ht="15" customHeight="1">
      <c r="A9081" t="inlineStr">
        <is>
          <t>A 40370-2025</t>
        </is>
      </c>
      <c r="B9081" s="1" t="n">
        <v>45895.51177083333</v>
      </c>
      <c r="C9081" s="1" t="n">
        <v>45952</v>
      </c>
      <c r="D9081" t="inlineStr">
        <is>
          <t>VÄSTRA GÖTALANDS LÄN</t>
        </is>
      </c>
      <c r="E9081" t="inlineStr">
        <is>
          <t>SVENLJUNGA</t>
        </is>
      </c>
      <c r="F9081" t="inlineStr">
        <is>
          <t>Kyrkan</t>
        </is>
      </c>
      <c r="G9081" t="n">
        <v>1.5</v>
      </c>
      <c r="H9081" t="n">
        <v>0</v>
      </c>
      <c r="I9081" t="n">
        <v>0</v>
      </c>
      <c r="J9081" t="n">
        <v>0</v>
      </c>
      <c r="K9081" t="n">
        <v>0</v>
      </c>
      <c r="L9081" t="n">
        <v>0</v>
      </c>
      <c r="M9081" t="n">
        <v>0</v>
      </c>
      <c r="N9081" t="n">
        <v>0</v>
      </c>
      <c r="O9081" t="n">
        <v>0</v>
      </c>
      <c r="P9081" t="n">
        <v>0</v>
      </c>
      <c r="Q9081" t="n">
        <v>0</v>
      </c>
      <c r="R9081" s="2" t="inlineStr"/>
    </row>
    <row r="9082" ht="15" customHeight="1">
      <c r="A9082" t="inlineStr">
        <is>
          <t>A 14107-2025</t>
        </is>
      </c>
      <c r="B9082" s="1" t="n">
        <v>45740.45726851852</v>
      </c>
      <c r="C9082" s="1" t="n">
        <v>45952</v>
      </c>
      <c r="D9082" t="inlineStr">
        <is>
          <t>VÄSTRA GÖTALANDS LÄN</t>
        </is>
      </c>
      <c r="E9082" t="inlineStr">
        <is>
          <t>MUNKEDAL</t>
        </is>
      </c>
      <c r="G9082" t="n">
        <v>13.8</v>
      </c>
      <c r="H9082" t="n">
        <v>0</v>
      </c>
      <c r="I9082" t="n">
        <v>0</v>
      </c>
      <c r="J9082" t="n">
        <v>0</v>
      </c>
      <c r="K9082" t="n">
        <v>0</v>
      </c>
      <c r="L9082" t="n">
        <v>0</v>
      </c>
      <c r="M9082" t="n">
        <v>0</v>
      </c>
      <c r="N9082" t="n">
        <v>0</v>
      </c>
      <c r="O9082" t="n">
        <v>0</v>
      </c>
      <c r="P9082" t="n">
        <v>0</v>
      </c>
      <c r="Q9082" t="n">
        <v>0</v>
      </c>
      <c r="R9082" s="2" t="inlineStr"/>
    </row>
    <row r="9083" ht="15" customHeight="1">
      <c r="A9083" t="inlineStr">
        <is>
          <t>A 23060-2025</t>
        </is>
      </c>
      <c r="B9083" s="1" t="n">
        <v>45790</v>
      </c>
      <c r="C9083" s="1" t="n">
        <v>45952</v>
      </c>
      <c r="D9083" t="inlineStr">
        <is>
          <t>VÄSTRA GÖTALANDS LÄN</t>
        </is>
      </c>
      <c r="E9083" t="inlineStr">
        <is>
          <t>VÄNERSBORG</t>
        </is>
      </c>
      <c r="G9083" t="n">
        <v>3</v>
      </c>
      <c r="H9083" t="n">
        <v>0</v>
      </c>
      <c r="I9083" t="n">
        <v>0</v>
      </c>
      <c r="J9083" t="n">
        <v>0</v>
      </c>
      <c r="K9083" t="n">
        <v>0</v>
      </c>
      <c r="L9083" t="n">
        <v>0</v>
      </c>
      <c r="M9083" t="n">
        <v>0</v>
      </c>
      <c r="N9083" t="n">
        <v>0</v>
      </c>
      <c r="O9083" t="n">
        <v>0</v>
      </c>
      <c r="P9083" t="n">
        <v>0</v>
      </c>
      <c r="Q9083" t="n">
        <v>0</v>
      </c>
      <c r="R9083" s="2" t="inlineStr"/>
    </row>
    <row r="9084" ht="15" customHeight="1">
      <c r="A9084" t="inlineStr">
        <is>
          <t>A 16650-2024</t>
        </is>
      </c>
      <c r="B9084" s="1" t="n">
        <v>45408</v>
      </c>
      <c r="C9084" s="1" t="n">
        <v>45952</v>
      </c>
      <c r="D9084" t="inlineStr">
        <is>
          <t>VÄSTRA GÖTALANDS LÄN</t>
        </is>
      </c>
      <c r="E9084" t="inlineStr">
        <is>
          <t>MUNKEDAL</t>
        </is>
      </c>
      <c r="G9084" t="n">
        <v>1.2</v>
      </c>
      <c r="H9084" t="n">
        <v>0</v>
      </c>
      <c r="I9084" t="n">
        <v>0</v>
      </c>
      <c r="J9084" t="n">
        <v>0</v>
      </c>
      <c r="K9084" t="n">
        <v>0</v>
      </c>
      <c r="L9084" t="n">
        <v>0</v>
      </c>
      <c r="M9084" t="n">
        <v>0</v>
      </c>
      <c r="N9084" t="n">
        <v>0</v>
      </c>
      <c r="O9084" t="n">
        <v>0</v>
      </c>
      <c r="P9084" t="n">
        <v>0</v>
      </c>
      <c r="Q9084" t="n">
        <v>0</v>
      </c>
      <c r="R9084" s="2" t="inlineStr"/>
    </row>
    <row r="9085" ht="15" customHeight="1">
      <c r="A9085" t="inlineStr">
        <is>
          <t>A 40397-2025</t>
        </is>
      </c>
      <c r="B9085" s="1" t="n">
        <v>45895.5594212963</v>
      </c>
      <c r="C9085" s="1" t="n">
        <v>45952</v>
      </c>
      <c r="D9085" t="inlineStr">
        <is>
          <t>VÄSTRA GÖTALANDS LÄN</t>
        </is>
      </c>
      <c r="E9085" t="inlineStr">
        <is>
          <t>ULRICEHAMN</t>
        </is>
      </c>
      <c r="G9085" t="n">
        <v>3.9</v>
      </c>
      <c r="H9085" t="n">
        <v>0</v>
      </c>
      <c r="I9085" t="n">
        <v>0</v>
      </c>
      <c r="J9085" t="n">
        <v>0</v>
      </c>
      <c r="K9085" t="n">
        <v>0</v>
      </c>
      <c r="L9085" t="n">
        <v>0</v>
      </c>
      <c r="M9085" t="n">
        <v>0</v>
      </c>
      <c r="N9085" t="n">
        <v>0</v>
      </c>
      <c r="O9085" t="n">
        <v>0</v>
      </c>
      <c r="P9085" t="n">
        <v>0</v>
      </c>
      <c r="Q9085" t="n">
        <v>0</v>
      </c>
      <c r="R9085" s="2" t="inlineStr"/>
    </row>
    <row r="9086" ht="15" customHeight="1">
      <c r="A9086" t="inlineStr">
        <is>
          <t>A 48572-2025</t>
        </is>
      </c>
      <c r="B9086" s="1" t="n">
        <v>45936.44983796297</v>
      </c>
      <c r="C9086" s="1" t="n">
        <v>45952</v>
      </c>
      <c r="D9086" t="inlineStr">
        <is>
          <t>VÄSTRA GÖTALANDS LÄN</t>
        </is>
      </c>
      <c r="E9086" t="inlineStr">
        <is>
          <t>TANUM</t>
        </is>
      </c>
      <c r="G9086" t="n">
        <v>2.3</v>
      </c>
      <c r="H9086" t="n">
        <v>0</v>
      </c>
      <c r="I9086" t="n">
        <v>0</v>
      </c>
      <c r="J9086" t="n">
        <v>0</v>
      </c>
      <c r="K9086" t="n">
        <v>0</v>
      </c>
      <c r="L9086" t="n">
        <v>0</v>
      </c>
      <c r="M9086" t="n">
        <v>0</v>
      </c>
      <c r="N9086" t="n">
        <v>0</v>
      </c>
      <c r="O9086" t="n">
        <v>0</v>
      </c>
      <c r="P9086" t="n">
        <v>0</v>
      </c>
      <c r="Q9086" t="n">
        <v>0</v>
      </c>
      <c r="R9086" s="2" t="inlineStr"/>
    </row>
    <row r="9087" ht="15" customHeight="1">
      <c r="A9087" t="inlineStr">
        <is>
          <t>A 22937-2025</t>
        </is>
      </c>
      <c r="B9087" s="1" t="n">
        <v>45790.46292824074</v>
      </c>
      <c r="C9087" s="1" t="n">
        <v>45952</v>
      </c>
      <c r="D9087" t="inlineStr">
        <is>
          <t>VÄSTRA GÖTALANDS LÄN</t>
        </is>
      </c>
      <c r="E9087" t="inlineStr">
        <is>
          <t>ULRICEHAMN</t>
        </is>
      </c>
      <c r="G9087" t="n">
        <v>1.7</v>
      </c>
      <c r="H9087" t="n">
        <v>0</v>
      </c>
      <c r="I9087" t="n">
        <v>0</v>
      </c>
      <c r="J9087" t="n">
        <v>0</v>
      </c>
      <c r="K9087" t="n">
        <v>0</v>
      </c>
      <c r="L9087" t="n">
        <v>0</v>
      </c>
      <c r="M9087" t="n">
        <v>0</v>
      </c>
      <c r="N9087" t="n">
        <v>0</v>
      </c>
      <c r="O9087" t="n">
        <v>0</v>
      </c>
      <c r="P9087" t="n">
        <v>0</v>
      </c>
      <c r="Q9087" t="n">
        <v>0</v>
      </c>
      <c r="R9087" s="2" t="inlineStr"/>
    </row>
    <row r="9088" ht="15" customHeight="1">
      <c r="A9088" t="inlineStr">
        <is>
          <t>A 23243-2025</t>
        </is>
      </c>
      <c r="B9088" s="1" t="n">
        <v>45791.5030787037</v>
      </c>
      <c r="C9088" s="1" t="n">
        <v>45952</v>
      </c>
      <c r="D9088" t="inlineStr">
        <is>
          <t>VÄSTRA GÖTALANDS LÄN</t>
        </is>
      </c>
      <c r="E9088" t="inlineStr">
        <is>
          <t>MARK</t>
        </is>
      </c>
      <c r="G9088" t="n">
        <v>5.1</v>
      </c>
      <c r="H9088" t="n">
        <v>0</v>
      </c>
      <c r="I9088" t="n">
        <v>0</v>
      </c>
      <c r="J9088" t="n">
        <v>0</v>
      </c>
      <c r="K9088" t="n">
        <v>0</v>
      </c>
      <c r="L9088" t="n">
        <v>0</v>
      </c>
      <c r="M9088" t="n">
        <v>0</v>
      </c>
      <c r="N9088" t="n">
        <v>0</v>
      </c>
      <c r="O9088" t="n">
        <v>0</v>
      </c>
      <c r="P9088" t="n">
        <v>0</v>
      </c>
      <c r="Q9088" t="n">
        <v>0</v>
      </c>
      <c r="R9088" s="2" t="inlineStr"/>
    </row>
    <row r="9089" ht="15" customHeight="1">
      <c r="A9089" t="inlineStr">
        <is>
          <t>A 31142-2024</t>
        </is>
      </c>
      <c r="B9089" s="1" t="n">
        <v>45502.71954861111</v>
      </c>
      <c r="C9089" s="1" t="n">
        <v>45952</v>
      </c>
      <c r="D9089" t="inlineStr">
        <is>
          <t>VÄSTRA GÖTALANDS LÄN</t>
        </is>
      </c>
      <c r="E9089" t="inlineStr">
        <is>
          <t>MARIESTAD</t>
        </is>
      </c>
      <c r="G9089" t="n">
        <v>1.8</v>
      </c>
      <c r="H9089" t="n">
        <v>0</v>
      </c>
      <c r="I9089" t="n">
        <v>0</v>
      </c>
      <c r="J9089" t="n">
        <v>0</v>
      </c>
      <c r="K9089" t="n">
        <v>0</v>
      </c>
      <c r="L9089" t="n">
        <v>0</v>
      </c>
      <c r="M9089" t="n">
        <v>0</v>
      </c>
      <c r="N9089" t="n">
        <v>0</v>
      </c>
      <c r="O9089" t="n">
        <v>0</v>
      </c>
      <c r="P9089" t="n">
        <v>0</v>
      </c>
      <c r="Q9089" t="n">
        <v>0</v>
      </c>
      <c r="R9089" s="2" t="inlineStr"/>
    </row>
    <row r="9090" ht="15" customHeight="1">
      <c r="A9090" t="inlineStr">
        <is>
          <t>A 14760-2025</t>
        </is>
      </c>
      <c r="B9090" s="1" t="n">
        <v>45742</v>
      </c>
      <c r="C9090" s="1" t="n">
        <v>45952</v>
      </c>
      <c r="D9090" t="inlineStr">
        <is>
          <t>VÄSTRA GÖTALANDS LÄN</t>
        </is>
      </c>
      <c r="E9090" t="inlineStr">
        <is>
          <t>ORUST</t>
        </is>
      </c>
      <c r="G9090" t="n">
        <v>4</v>
      </c>
      <c r="H9090" t="n">
        <v>0</v>
      </c>
      <c r="I9090" t="n">
        <v>0</v>
      </c>
      <c r="J9090" t="n">
        <v>0</v>
      </c>
      <c r="K9090" t="n">
        <v>0</v>
      </c>
      <c r="L9090" t="n">
        <v>0</v>
      </c>
      <c r="M9090" t="n">
        <v>0</v>
      </c>
      <c r="N9090" t="n">
        <v>0</v>
      </c>
      <c r="O9090" t="n">
        <v>0</v>
      </c>
      <c r="P9090" t="n">
        <v>0</v>
      </c>
      <c r="Q9090" t="n">
        <v>0</v>
      </c>
      <c r="R9090" s="2" t="inlineStr"/>
    </row>
    <row r="9091" ht="15" customHeight="1">
      <c r="A9091" t="inlineStr">
        <is>
          <t>A 48419-2025</t>
        </is>
      </c>
      <c r="B9091" s="1" t="n">
        <v>45934.58502314815</v>
      </c>
      <c r="C9091" s="1" t="n">
        <v>45952</v>
      </c>
      <c r="D9091" t="inlineStr">
        <is>
          <t>VÄSTRA GÖTALANDS LÄN</t>
        </is>
      </c>
      <c r="E9091" t="inlineStr">
        <is>
          <t>ORUST</t>
        </is>
      </c>
      <c r="G9091" t="n">
        <v>7.7</v>
      </c>
      <c r="H9091" t="n">
        <v>0</v>
      </c>
      <c r="I9091" t="n">
        <v>0</v>
      </c>
      <c r="J9091" t="n">
        <v>0</v>
      </c>
      <c r="K9091" t="n">
        <v>0</v>
      </c>
      <c r="L9091" t="n">
        <v>0</v>
      </c>
      <c r="M9091" t="n">
        <v>0</v>
      </c>
      <c r="N9091" t="n">
        <v>0</v>
      </c>
      <c r="O9091" t="n">
        <v>0</v>
      </c>
      <c r="P9091" t="n">
        <v>0</v>
      </c>
      <c r="Q9091" t="n">
        <v>0</v>
      </c>
      <c r="R9091" s="2" t="inlineStr"/>
    </row>
    <row r="9092" ht="15" customHeight="1">
      <c r="A9092" t="inlineStr">
        <is>
          <t>A 9937-2025</t>
        </is>
      </c>
      <c r="B9092" s="1" t="n">
        <v>45718.64129629629</v>
      </c>
      <c r="C9092" s="1" t="n">
        <v>45952</v>
      </c>
      <c r="D9092" t="inlineStr">
        <is>
          <t>VÄSTRA GÖTALANDS LÄN</t>
        </is>
      </c>
      <c r="E9092" t="inlineStr">
        <is>
          <t>ORUST</t>
        </is>
      </c>
      <c r="G9092" t="n">
        <v>2.3</v>
      </c>
      <c r="H9092" t="n">
        <v>0</v>
      </c>
      <c r="I9092" t="n">
        <v>0</v>
      </c>
      <c r="J9092" t="n">
        <v>0</v>
      </c>
      <c r="K9092" t="n">
        <v>0</v>
      </c>
      <c r="L9092" t="n">
        <v>0</v>
      </c>
      <c r="M9092" t="n">
        <v>0</v>
      </c>
      <c r="N9092" t="n">
        <v>0</v>
      </c>
      <c r="O9092" t="n">
        <v>0</v>
      </c>
      <c r="P9092" t="n">
        <v>0</v>
      </c>
      <c r="Q9092" t="n">
        <v>0</v>
      </c>
      <c r="R9092" s="2" t="inlineStr"/>
    </row>
    <row r="9093" ht="15" customHeight="1">
      <c r="A9093" t="inlineStr">
        <is>
          <t>A 9975-2025</t>
        </is>
      </c>
      <c r="B9093" s="1" t="n">
        <v>45719.39439814815</v>
      </c>
      <c r="C9093" s="1" t="n">
        <v>45952</v>
      </c>
      <c r="D9093" t="inlineStr">
        <is>
          <t>VÄSTRA GÖTALANDS LÄN</t>
        </is>
      </c>
      <c r="E9093" t="inlineStr">
        <is>
          <t>DALS-ED</t>
        </is>
      </c>
      <c r="G9093" t="n">
        <v>3.1</v>
      </c>
      <c r="H9093" t="n">
        <v>0</v>
      </c>
      <c r="I9093" t="n">
        <v>0</v>
      </c>
      <c r="J9093" t="n">
        <v>0</v>
      </c>
      <c r="K9093" t="n">
        <v>0</v>
      </c>
      <c r="L9093" t="n">
        <v>0</v>
      </c>
      <c r="M9093" t="n">
        <v>0</v>
      </c>
      <c r="N9093" t="n">
        <v>0</v>
      </c>
      <c r="O9093" t="n">
        <v>0</v>
      </c>
      <c r="P9093" t="n">
        <v>0</v>
      </c>
      <c r="Q9093" t="n">
        <v>0</v>
      </c>
      <c r="R9093" s="2" t="inlineStr"/>
    </row>
    <row r="9094" ht="15" customHeight="1">
      <c r="A9094" t="inlineStr">
        <is>
          <t>A 54007-2024</t>
        </is>
      </c>
      <c r="B9094" s="1" t="n">
        <v>45615</v>
      </c>
      <c r="C9094" s="1" t="n">
        <v>45952</v>
      </c>
      <c r="D9094" t="inlineStr">
        <is>
          <t>VÄSTRA GÖTALANDS LÄN</t>
        </is>
      </c>
      <c r="E9094" t="inlineStr">
        <is>
          <t>STRÖMSTAD</t>
        </is>
      </c>
      <c r="G9094" t="n">
        <v>0.9</v>
      </c>
      <c r="H9094" t="n">
        <v>0</v>
      </c>
      <c r="I9094" t="n">
        <v>0</v>
      </c>
      <c r="J9094" t="n">
        <v>0</v>
      </c>
      <c r="K9094" t="n">
        <v>0</v>
      </c>
      <c r="L9094" t="n">
        <v>0</v>
      </c>
      <c r="M9094" t="n">
        <v>0</v>
      </c>
      <c r="N9094" t="n">
        <v>0</v>
      </c>
      <c r="O9094" t="n">
        <v>0</v>
      </c>
      <c r="P9094" t="n">
        <v>0</v>
      </c>
      <c r="Q9094" t="n">
        <v>0</v>
      </c>
      <c r="R9094" s="2" t="inlineStr"/>
    </row>
    <row r="9095" ht="15" customHeight="1">
      <c r="A9095" t="inlineStr">
        <is>
          <t>A 6233-2024</t>
        </is>
      </c>
      <c r="B9095" s="1" t="n">
        <v>45337</v>
      </c>
      <c r="C9095" s="1" t="n">
        <v>45952</v>
      </c>
      <c r="D9095" t="inlineStr">
        <is>
          <t>VÄSTRA GÖTALANDS LÄN</t>
        </is>
      </c>
      <c r="E9095" t="inlineStr">
        <is>
          <t>GULLSPÅNG</t>
        </is>
      </c>
      <c r="G9095" t="n">
        <v>1.9</v>
      </c>
      <c r="H9095" t="n">
        <v>0</v>
      </c>
      <c r="I9095" t="n">
        <v>0</v>
      </c>
      <c r="J9095" t="n">
        <v>0</v>
      </c>
      <c r="K9095" t="n">
        <v>0</v>
      </c>
      <c r="L9095" t="n">
        <v>0</v>
      </c>
      <c r="M9095" t="n">
        <v>0</v>
      </c>
      <c r="N9095" t="n">
        <v>0</v>
      </c>
      <c r="O9095" t="n">
        <v>0</v>
      </c>
      <c r="P9095" t="n">
        <v>0</v>
      </c>
      <c r="Q9095" t="n">
        <v>0</v>
      </c>
      <c r="R9095" s="2" t="inlineStr"/>
    </row>
    <row r="9096" ht="15" customHeight="1">
      <c r="A9096" t="inlineStr">
        <is>
          <t>A 6239-2024</t>
        </is>
      </c>
      <c r="B9096" s="1" t="n">
        <v>45337.68260416666</v>
      </c>
      <c r="C9096" s="1" t="n">
        <v>45952</v>
      </c>
      <c r="D9096" t="inlineStr">
        <is>
          <t>VÄSTRA GÖTALANDS LÄN</t>
        </is>
      </c>
      <c r="E9096" t="inlineStr">
        <is>
          <t>HERRLJUNGA</t>
        </is>
      </c>
      <c r="G9096" t="n">
        <v>0.9</v>
      </c>
      <c r="H9096" t="n">
        <v>0</v>
      </c>
      <c r="I9096" t="n">
        <v>0</v>
      </c>
      <c r="J9096" t="n">
        <v>0</v>
      </c>
      <c r="K9096" t="n">
        <v>0</v>
      </c>
      <c r="L9096" t="n">
        <v>0</v>
      </c>
      <c r="M9096" t="n">
        <v>0</v>
      </c>
      <c r="N9096" t="n">
        <v>0</v>
      </c>
      <c r="O9096" t="n">
        <v>0</v>
      </c>
      <c r="P9096" t="n">
        <v>0</v>
      </c>
      <c r="Q9096" t="n">
        <v>0</v>
      </c>
      <c r="R9096" s="2" t="inlineStr"/>
    </row>
    <row r="9097" ht="15" customHeight="1">
      <c r="A9097" t="inlineStr">
        <is>
          <t>A 21421-2021</t>
        </is>
      </c>
      <c r="B9097" s="1" t="n">
        <v>44316</v>
      </c>
      <c r="C9097" s="1" t="n">
        <v>45952</v>
      </c>
      <c r="D9097" t="inlineStr">
        <is>
          <t>VÄSTRA GÖTALANDS LÄN</t>
        </is>
      </c>
      <c r="E9097" t="inlineStr">
        <is>
          <t>SOTENÄS</t>
        </is>
      </c>
      <c r="G9097" t="n">
        <v>0.6</v>
      </c>
      <c r="H9097" t="n">
        <v>0</v>
      </c>
      <c r="I9097" t="n">
        <v>0</v>
      </c>
      <c r="J9097" t="n">
        <v>0</v>
      </c>
      <c r="K9097" t="n">
        <v>0</v>
      </c>
      <c r="L9097" t="n">
        <v>0</v>
      </c>
      <c r="M9097" t="n">
        <v>0</v>
      </c>
      <c r="N9097" t="n">
        <v>0</v>
      </c>
      <c r="O9097" t="n">
        <v>0</v>
      </c>
      <c r="P9097" t="n">
        <v>0</v>
      </c>
      <c r="Q9097" t="n">
        <v>0</v>
      </c>
      <c r="R9097" s="2" t="inlineStr"/>
    </row>
    <row r="9098" ht="15" customHeight="1">
      <c r="A9098" t="inlineStr">
        <is>
          <t>A 11329-2025</t>
        </is>
      </c>
      <c r="B9098" s="1" t="n">
        <v>45726.47752314815</v>
      </c>
      <c r="C9098" s="1" t="n">
        <v>45952</v>
      </c>
      <c r="D9098" t="inlineStr">
        <is>
          <t>VÄSTRA GÖTALANDS LÄN</t>
        </is>
      </c>
      <c r="E9098" t="inlineStr">
        <is>
          <t>LILLA EDET</t>
        </is>
      </c>
      <c r="G9098" t="n">
        <v>4.6</v>
      </c>
      <c r="H9098" t="n">
        <v>0</v>
      </c>
      <c r="I9098" t="n">
        <v>0</v>
      </c>
      <c r="J9098" t="n">
        <v>0</v>
      </c>
      <c r="K9098" t="n">
        <v>0</v>
      </c>
      <c r="L9098" t="n">
        <v>0</v>
      </c>
      <c r="M9098" t="n">
        <v>0</v>
      </c>
      <c r="N9098" t="n">
        <v>0</v>
      </c>
      <c r="O9098" t="n">
        <v>0</v>
      </c>
      <c r="P9098" t="n">
        <v>0</v>
      </c>
      <c r="Q9098" t="n">
        <v>0</v>
      </c>
      <c r="R9098" s="2" t="inlineStr"/>
    </row>
    <row r="9099" ht="15" customHeight="1">
      <c r="A9099" t="inlineStr">
        <is>
          <t>A 13832-2025</t>
        </is>
      </c>
      <c r="B9099" s="1" t="n">
        <v>45737.54762731482</v>
      </c>
      <c r="C9099" s="1" t="n">
        <v>45952</v>
      </c>
      <c r="D9099" t="inlineStr">
        <is>
          <t>VÄSTRA GÖTALANDS LÄN</t>
        </is>
      </c>
      <c r="E9099" t="inlineStr">
        <is>
          <t>TANUM</t>
        </is>
      </c>
      <c r="G9099" t="n">
        <v>3.4</v>
      </c>
      <c r="H9099" t="n">
        <v>0</v>
      </c>
      <c r="I9099" t="n">
        <v>0</v>
      </c>
      <c r="J9099" t="n">
        <v>0</v>
      </c>
      <c r="K9099" t="n">
        <v>0</v>
      </c>
      <c r="L9099" t="n">
        <v>0</v>
      </c>
      <c r="M9099" t="n">
        <v>0</v>
      </c>
      <c r="N9099" t="n">
        <v>0</v>
      </c>
      <c r="O9099" t="n">
        <v>0</v>
      </c>
      <c r="P9099" t="n">
        <v>0</v>
      </c>
      <c r="Q9099" t="n">
        <v>0</v>
      </c>
      <c r="R9099" s="2" t="inlineStr"/>
    </row>
    <row r="9100" ht="15" customHeight="1">
      <c r="A9100" t="inlineStr">
        <is>
          <t>A 13917-2025</t>
        </is>
      </c>
      <c r="B9100" s="1" t="n">
        <v>45737.65680555555</v>
      </c>
      <c r="C9100" s="1" t="n">
        <v>45952</v>
      </c>
      <c r="D9100" t="inlineStr">
        <is>
          <t>VÄSTRA GÖTALANDS LÄN</t>
        </is>
      </c>
      <c r="E9100" t="inlineStr">
        <is>
          <t>UDDEVALLA</t>
        </is>
      </c>
      <c r="G9100" t="n">
        <v>4.9</v>
      </c>
      <c r="H9100" t="n">
        <v>0</v>
      </c>
      <c r="I9100" t="n">
        <v>0</v>
      </c>
      <c r="J9100" t="n">
        <v>0</v>
      </c>
      <c r="K9100" t="n">
        <v>0</v>
      </c>
      <c r="L9100" t="n">
        <v>0</v>
      </c>
      <c r="M9100" t="n">
        <v>0</v>
      </c>
      <c r="N9100" t="n">
        <v>0</v>
      </c>
      <c r="O9100" t="n">
        <v>0</v>
      </c>
      <c r="P9100" t="n">
        <v>0</v>
      </c>
      <c r="Q9100" t="n">
        <v>0</v>
      </c>
      <c r="R9100" s="2" t="inlineStr"/>
    </row>
    <row r="9101" ht="15" customHeight="1">
      <c r="A9101" t="inlineStr">
        <is>
          <t>A 40066-2025</t>
        </is>
      </c>
      <c r="B9101" s="1" t="n">
        <v>45894</v>
      </c>
      <c r="C9101" s="1" t="n">
        <v>45952</v>
      </c>
      <c r="D9101" t="inlineStr">
        <is>
          <t>VÄSTRA GÖTALANDS LÄN</t>
        </is>
      </c>
      <c r="E9101" t="inlineStr">
        <is>
          <t>BENGTSFORS</t>
        </is>
      </c>
      <c r="G9101" t="n">
        <v>1.1</v>
      </c>
      <c r="H9101" t="n">
        <v>0</v>
      </c>
      <c r="I9101" t="n">
        <v>0</v>
      </c>
      <c r="J9101" t="n">
        <v>0</v>
      </c>
      <c r="K9101" t="n">
        <v>0</v>
      </c>
      <c r="L9101" t="n">
        <v>0</v>
      </c>
      <c r="M9101" t="n">
        <v>0</v>
      </c>
      <c r="N9101" t="n">
        <v>0</v>
      </c>
      <c r="O9101" t="n">
        <v>0</v>
      </c>
      <c r="P9101" t="n">
        <v>0</v>
      </c>
      <c r="Q9101" t="n">
        <v>0</v>
      </c>
      <c r="R9101" s="2" t="inlineStr"/>
    </row>
    <row r="9102" ht="15" customHeight="1">
      <c r="A9102" t="inlineStr">
        <is>
          <t>A 40074-2025</t>
        </is>
      </c>
      <c r="B9102" s="1" t="n">
        <v>45894.44685185186</v>
      </c>
      <c r="C9102" s="1" t="n">
        <v>45952</v>
      </c>
      <c r="D9102" t="inlineStr">
        <is>
          <t>VÄSTRA GÖTALANDS LÄN</t>
        </is>
      </c>
      <c r="E9102" t="inlineStr">
        <is>
          <t>ALE</t>
        </is>
      </c>
      <c r="G9102" t="n">
        <v>1</v>
      </c>
      <c r="H9102" t="n">
        <v>0</v>
      </c>
      <c r="I9102" t="n">
        <v>0</v>
      </c>
      <c r="J9102" t="n">
        <v>0</v>
      </c>
      <c r="K9102" t="n">
        <v>0</v>
      </c>
      <c r="L9102" t="n">
        <v>0</v>
      </c>
      <c r="M9102" t="n">
        <v>0</v>
      </c>
      <c r="N9102" t="n">
        <v>0</v>
      </c>
      <c r="O9102" t="n">
        <v>0</v>
      </c>
      <c r="P9102" t="n">
        <v>0</v>
      </c>
      <c r="Q9102" t="n">
        <v>0</v>
      </c>
      <c r="R9102" s="2" t="inlineStr"/>
    </row>
    <row r="9103" ht="15" customHeight="1">
      <c r="A9103" t="inlineStr">
        <is>
          <t>A 8450-2025</t>
        </is>
      </c>
      <c r="B9103" s="1" t="n">
        <v>45709.45519675926</v>
      </c>
      <c r="C9103" s="1" t="n">
        <v>45952</v>
      </c>
      <c r="D9103" t="inlineStr">
        <is>
          <t>VÄSTRA GÖTALANDS LÄN</t>
        </is>
      </c>
      <c r="E9103" t="inlineStr">
        <is>
          <t>TIBRO</t>
        </is>
      </c>
      <c r="G9103" t="n">
        <v>1.4</v>
      </c>
      <c r="H9103" t="n">
        <v>0</v>
      </c>
      <c r="I9103" t="n">
        <v>0</v>
      </c>
      <c r="J9103" t="n">
        <v>0</v>
      </c>
      <c r="K9103" t="n">
        <v>0</v>
      </c>
      <c r="L9103" t="n">
        <v>0</v>
      </c>
      <c r="M9103" t="n">
        <v>0</v>
      </c>
      <c r="N9103" t="n">
        <v>0</v>
      </c>
      <c r="O9103" t="n">
        <v>0</v>
      </c>
      <c r="P9103" t="n">
        <v>0</v>
      </c>
      <c r="Q9103" t="n">
        <v>0</v>
      </c>
      <c r="R9103" s="2" t="inlineStr"/>
    </row>
    <row r="9104" ht="15" customHeight="1">
      <c r="A9104" t="inlineStr">
        <is>
          <t>A 8470-2025</t>
        </is>
      </c>
      <c r="B9104" s="1" t="n">
        <v>45709</v>
      </c>
      <c r="C9104" s="1" t="n">
        <v>45952</v>
      </c>
      <c r="D9104" t="inlineStr">
        <is>
          <t>VÄSTRA GÖTALANDS LÄN</t>
        </is>
      </c>
      <c r="E9104" t="inlineStr">
        <is>
          <t>ÅMÅL</t>
        </is>
      </c>
      <c r="F9104" t="inlineStr">
        <is>
          <t>Bergvik skog väst AB</t>
        </is>
      </c>
      <c r="G9104" t="n">
        <v>6.8</v>
      </c>
      <c r="H9104" t="n">
        <v>0</v>
      </c>
      <c r="I9104" t="n">
        <v>0</v>
      </c>
      <c r="J9104" t="n">
        <v>0</v>
      </c>
      <c r="K9104" t="n">
        <v>0</v>
      </c>
      <c r="L9104" t="n">
        <v>0</v>
      </c>
      <c r="M9104" t="n">
        <v>0</v>
      </c>
      <c r="N9104" t="n">
        <v>0</v>
      </c>
      <c r="O9104" t="n">
        <v>0</v>
      </c>
      <c r="P9104" t="n">
        <v>0</v>
      </c>
      <c r="Q9104" t="n">
        <v>0</v>
      </c>
      <c r="R9104" s="2" t="inlineStr"/>
    </row>
    <row r="9105" ht="15" customHeight="1">
      <c r="A9105" t="inlineStr">
        <is>
          <t>A 11445-2025</t>
        </is>
      </c>
      <c r="B9105" s="1" t="n">
        <v>45726.63133101852</v>
      </c>
      <c r="C9105" s="1" t="n">
        <v>45952</v>
      </c>
      <c r="D9105" t="inlineStr">
        <is>
          <t>VÄSTRA GÖTALANDS LÄN</t>
        </is>
      </c>
      <c r="E9105" t="inlineStr">
        <is>
          <t>BORÅS</t>
        </is>
      </c>
      <c r="G9105" t="n">
        <v>1.9</v>
      </c>
      <c r="H9105" t="n">
        <v>0</v>
      </c>
      <c r="I9105" t="n">
        <v>0</v>
      </c>
      <c r="J9105" t="n">
        <v>0</v>
      </c>
      <c r="K9105" t="n">
        <v>0</v>
      </c>
      <c r="L9105" t="n">
        <v>0</v>
      </c>
      <c r="M9105" t="n">
        <v>0</v>
      </c>
      <c r="N9105" t="n">
        <v>0</v>
      </c>
      <c r="O9105" t="n">
        <v>0</v>
      </c>
      <c r="P9105" t="n">
        <v>0</v>
      </c>
      <c r="Q9105" t="n">
        <v>0</v>
      </c>
      <c r="R9105" s="2" t="inlineStr"/>
    </row>
    <row r="9106" ht="15" customHeight="1">
      <c r="A9106" t="inlineStr">
        <is>
          <t>A 12003-2025</t>
        </is>
      </c>
      <c r="B9106" s="1" t="n">
        <v>45728.61486111111</v>
      </c>
      <c r="C9106" s="1" t="n">
        <v>45952</v>
      </c>
      <c r="D9106" t="inlineStr">
        <is>
          <t>VÄSTRA GÖTALANDS LÄN</t>
        </is>
      </c>
      <c r="E9106" t="inlineStr">
        <is>
          <t>MARIESTAD</t>
        </is>
      </c>
      <c r="F9106" t="inlineStr">
        <is>
          <t>Sveaskog</t>
        </is>
      </c>
      <c r="G9106" t="n">
        <v>1.2</v>
      </c>
      <c r="H9106" t="n">
        <v>0</v>
      </c>
      <c r="I9106" t="n">
        <v>0</v>
      </c>
      <c r="J9106" t="n">
        <v>0</v>
      </c>
      <c r="K9106" t="n">
        <v>0</v>
      </c>
      <c r="L9106" t="n">
        <v>0</v>
      </c>
      <c r="M9106" t="n">
        <v>0</v>
      </c>
      <c r="N9106" t="n">
        <v>0</v>
      </c>
      <c r="O9106" t="n">
        <v>0</v>
      </c>
      <c r="P9106" t="n">
        <v>0</v>
      </c>
      <c r="Q9106" t="n">
        <v>0</v>
      </c>
      <c r="R9106" s="2" t="inlineStr"/>
    </row>
    <row r="9107" ht="15" customHeight="1">
      <c r="A9107" t="inlineStr">
        <is>
          <t>A 12010-2025</t>
        </is>
      </c>
      <c r="B9107" s="1" t="n">
        <v>45728.61689814815</v>
      </c>
      <c r="C9107" s="1" t="n">
        <v>45952</v>
      </c>
      <c r="D9107" t="inlineStr">
        <is>
          <t>VÄSTRA GÖTALANDS LÄN</t>
        </is>
      </c>
      <c r="E9107" t="inlineStr">
        <is>
          <t>MARIESTAD</t>
        </is>
      </c>
      <c r="F9107" t="inlineStr">
        <is>
          <t>Sveaskog</t>
        </is>
      </c>
      <c r="G9107" t="n">
        <v>1.3</v>
      </c>
      <c r="H9107" t="n">
        <v>0</v>
      </c>
      <c r="I9107" t="n">
        <v>0</v>
      </c>
      <c r="J9107" t="n">
        <v>0</v>
      </c>
      <c r="K9107" t="n">
        <v>0</v>
      </c>
      <c r="L9107" t="n">
        <v>0</v>
      </c>
      <c r="M9107" t="n">
        <v>0</v>
      </c>
      <c r="N9107" t="n">
        <v>0</v>
      </c>
      <c r="O9107" t="n">
        <v>0</v>
      </c>
      <c r="P9107" t="n">
        <v>0</v>
      </c>
      <c r="Q9107" t="n">
        <v>0</v>
      </c>
      <c r="R9107" s="2" t="inlineStr"/>
    </row>
    <row r="9108" ht="15" customHeight="1">
      <c r="A9108" t="inlineStr">
        <is>
          <t>A 23194-2025</t>
        </is>
      </c>
      <c r="B9108" s="1" t="n">
        <v>45791.45486111111</v>
      </c>
      <c r="C9108" s="1" t="n">
        <v>45952</v>
      </c>
      <c r="D9108" t="inlineStr">
        <is>
          <t>VÄSTRA GÖTALANDS LÄN</t>
        </is>
      </c>
      <c r="E9108" t="inlineStr">
        <is>
          <t>SVENLJUNGA</t>
        </is>
      </c>
      <c r="G9108" t="n">
        <v>4.1</v>
      </c>
      <c r="H9108" t="n">
        <v>0</v>
      </c>
      <c r="I9108" t="n">
        <v>0</v>
      </c>
      <c r="J9108" t="n">
        <v>0</v>
      </c>
      <c r="K9108" t="n">
        <v>0</v>
      </c>
      <c r="L9108" t="n">
        <v>0</v>
      </c>
      <c r="M9108" t="n">
        <v>0</v>
      </c>
      <c r="N9108" t="n">
        <v>0</v>
      </c>
      <c r="O9108" t="n">
        <v>0</v>
      </c>
      <c r="P9108" t="n">
        <v>0</v>
      </c>
      <c r="Q9108" t="n">
        <v>0</v>
      </c>
      <c r="R9108" s="2" t="inlineStr"/>
    </row>
    <row r="9109" ht="15" customHeight="1">
      <c r="A9109" t="inlineStr">
        <is>
          <t>A 23259-2025</t>
        </is>
      </c>
      <c r="B9109" s="1" t="n">
        <v>45791.53978009259</v>
      </c>
      <c r="C9109" s="1" t="n">
        <v>45952</v>
      </c>
      <c r="D9109" t="inlineStr">
        <is>
          <t>VÄSTRA GÖTALANDS LÄN</t>
        </is>
      </c>
      <c r="E9109" t="inlineStr">
        <is>
          <t>ORUST</t>
        </is>
      </c>
      <c r="G9109" t="n">
        <v>0.6</v>
      </c>
      <c r="H9109" t="n">
        <v>0</v>
      </c>
      <c r="I9109" t="n">
        <v>0</v>
      </c>
      <c r="J9109" t="n">
        <v>0</v>
      </c>
      <c r="K9109" t="n">
        <v>0</v>
      </c>
      <c r="L9109" t="n">
        <v>0</v>
      </c>
      <c r="M9109" t="n">
        <v>0</v>
      </c>
      <c r="N9109" t="n">
        <v>0</v>
      </c>
      <c r="O9109" t="n">
        <v>0</v>
      </c>
      <c r="P9109" t="n">
        <v>0</v>
      </c>
      <c r="Q9109" t="n">
        <v>0</v>
      </c>
      <c r="R9109" s="2" t="inlineStr"/>
    </row>
    <row r="9110" ht="15" customHeight="1">
      <c r="A9110" t="inlineStr">
        <is>
          <t>A 54578-2023</t>
        </is>
      </c>
      <c r="B9110" s="1" t="n">
        <v>45233</v>
      </c>
      <c r="C9110" s="1" t="n">
        <v>45952</v>
      </c>
      <c r="D9110" t="inlineStr">
        <is>
          <t>VÄSTRA GÖTALANDS LÄN</t>
        </is>
      </c>
      <c r="E9110" t="inlineStr">
        <is>
          <t>FALKÖPING</t>
        </is>
      </c>
      <c r="G9110" t="n">
        <v>2.3</v>
      </c>
      <c r="H9110" t="n">
        <v>0</v>
      </c>
      <c r="I9110" t="n">
        <v>0</v>
      </c>
      <c r="J9110" t="n">
        <v>0</v>
      </c>
      <c r="K9110" t="n">
        <v>0</v>
      </c>
      <c r="L9110" t="n">
        <v>0</v>
      </c>
      <c r="M9110" t="n">
        <v>0</v>
      </c>
      <c r="N9110" t="n">
        <v>0</v>
      </c>
      <c r="O9110" t="n">
        <v>0</v>
      </c>
      <c r="P9110" t="n">
        <v>0</v>
      </c>
      <c r="Q9110" t="n">
        <v>0</v>
      </c>
      <c r="R9110" s="2" t="inlineStr"/>
    </row>
    <row r="9111" ht="15" customHeight="1">
      <c r="A9111" t="inlineStr">
        <is>
          <t>A 21140-2023</t>
        </is>
      </c>
      <c r="B9111" s="1" t="n">
        <v>45062.36817129629</v>
      </c>
      <c r="C9111" s="1" t="n">
        <v>45952</v>
      </c>
      <c r="D9111" t="inlineStr">
        <is>
          <t>VÄSTRA GÖTALANDS LÄN</t>
        </is>
      </c>
      <c r="E9111" t="inlineStr">
        <is>
          <t>VÄNERSBORG</t>
        </is>
      </c>
      <c r="G9111" t="n">
        <v>0.4</v>
      </c>
      <c r="H9111" t="n">
        <v>0</v>
      </c>
      <c r="I9111" t="n">
        <v>0</v>
      </c>
      <c r="J9111" t="n">
        <v>0</v>
      </c>
      <c r="K9111" t="n">
        <v>0</v>
      </c>
      <c r="L9111" t="n">
        <v>0</v>
      </c>
      <c r="M9111" t="n">
        <v>0</v>
      </c>
      <c r="N9111" t="n">
        <v>0</v>
      </c>
      <c r="O9111" t="n">
        <v>0</v>
      </c>
      <c r="P9111" t="n">
        <v>0</v>
      </c>
      <c r="Q9111" t="n">
        <v>0</v>
      </c>
      <c r="R9111" s="2" t="inlineStr"/>
    </row>
    <row r="9112" ht="15" customHeight="1">
      <c r="A9112" t="inlineStr">
        <is>
          <t>A 21141-2023</t>
        </is>
      </c>
      <c r="B9112" s="1" t="n">
        <v>45062</v>
      </c>
      <c r="C9112" s="1" t="n">
        <v>45952</v>
      </c>
      <c r="D9112" t="inlineStr">
        <is>
          <t>VÄSTRA GÖTALANDS LÄN</t>
        </is>
      </c>
      <c r="E9112" t="inlineStr">
        <is>
          <t>TJÖRN</t>
        </is>
      </c>
      <c r="G9112" t="n">
        <v>3.4</v>
      </c>
      <c r="H9112" t="n">
        <v>0</v>
      </c>
      <c r="I9112" t="n">
        <v>0</v>
      </c>
      <c r="J9112" t="n">
        <v>0</v>
      </c>
      <c r="K9112" t="n">
        <v>0</v>
      </c>
      <c r="L9112" t="n">
        <v>0</v>
      </c>
      <c r="M9112" t="n">
        <v>0</v>
      </c>
      <c r="N9112" t="n">
        <v>0</v>
      </c>
      <c r="O9112" t="n">
        <v>0</v>
      </c>
      <c r="P9112" t="n">
        <v>0</v>
      </c>
      <c r="Q9112" t="n">
        <v>0</v>
      </c>
      <c r="R9112" s="2" t="inlineStr"/>
    </row>
    <row r="9113" ht="15" customHeight="1">
      <c r="A9113" t="inlineStr">
        <is>
          <t>A 58225-2021</t>
        </is>
      </c>
      <c r="B9113" s="1" t="n">
        <v>44487</v>
      </c>
      <c r="C9113" s="1" t="n">
        <v>45952</v>
      </c>
      <c r="D9113" t="inlineStr">
        <is>
          <t>VÄSTRA GÖTALANDS LÄN</t>
        </is>
      </c>
      <c r="E9113" t="inlineStr">
        <is>
          <t>ÅMÅL</t>
        </is>
      </c>
      <c r="G9113" t="n">
        <v>4.6</v>
      </c>
      <c r="H9113" t="n">
        <v>0</v>
      </c>
      <c r="I9113" t="n">
        <v>0</v>
      </c>
      <c r="J9113" t="n">
        <v>0</v>
      </c>
      <c r="K9113" t="n">
        <v>0</v>
      </c>
      <c r="L9113" t="n">
        <v>0</v>
      </c>
      <c r="M9113" t="n">
        <v>0</v>
      </c>
      <c r="N9113" t="n">
        <v>0</v>
      </c>
      <c r="O9113" t="n">
        <v>0</v>
      </c>
      <c r="P9113" t="n">
        <v>0</v>
      </c>
      <c r="Q9113" t="n">
        <v>0</v>
      </c>
      <c r="R9113" s="2" t="inlineStr"/>
    </row>
    <row r="9114" ht="15" customHeight="1">
      <c r="A9114" t="inlineStr">
        <is>
          <t>A 12477-2025</t>
        </is>
      </c>
      <c r="B9114" s="1" t="n">
        <v>45730.5670949074</v>
      </c>
      <c r="C9114" s="1" t="n">
        <v>45952</v>
      </c>
      <c r="D9114" t="inlineStr">
        <is>
          <t>VÄSTRA GÖTALANDS LÄN</t>
        </is>
      </c>
      <c r="E9114" t="inlineStr">
        <is>
          <t>SVENLJUNGA</t>
        </is>
      </c>
      <c r="G9114" t="n">
        <v>3.5</v>
      </c>
      <c r="H9114" t="n">
        <v>0</v>
      </c>
      <c r="I9114" t="n">
        <v>0</v>
      </c>
      <c r="J9114" t="n">
        <v>0</v>
      </c>
      <c r="K9114" t="n">
        <v>0</v>
      </c>
      <c r="L9114" t="n">
        <v>0</v>
      </c>
      <c r="M9114" t="n">
        <v>0</v>
      </c>
      <c r="N9114" t="n">
        <v>0</v>
      </c>
      <c r="O9114" t="n">
        <v>0</v>
      </c>
      <c r="P9114" t="n">
        <v>0</v>
      </c>
      <c r="Q9114" t="n">
        <v>0</v>
      </c>
      <c r="R9114" s="2" t="inlineStr"/>
    </row>
    <row r="9115" ht="15" customHeight="1">
      <c r="A9115" t="inlineStr">
        <is>
          <t>A 41942-2021</t>
        </is>
      </c>
      <c r="B9115" s="1" t="n">
        <v>44425</v>
      </c>
      <c r="C9115" s="1" t="n">
        <v>45952</v>
      </c>
      <c r="D9115" t="inlineStr">
        <is>
          <t>VÄSTRA GÖTALANDS LÄN</t>
        </is>
      </c>
      <c r="E9115" t="inlineStr">
        <is>
          <t>SKÖVDE</t>
        </is>
      </c>
      <c r="G9115" t="n">
        <v>5</v>
      </c>
      <c r="H9115" t="n">
        <v>0</v>
      </c>
      <c r="I9115" t="n">
        <v>0</v>
      </c>
      <c r="J9115" t="n">
        <v>0</v>
      </c>
      <c r="K9115" t="n">
        <v>0</v>
      </c>
      <c r="L9115" t="n">
        <v>0</v>
      </c>
      <c r="M9115" t="n">
        <v>0</v>
      </c>
      <c r="N9115" t="n">
        <v>0</v>
      </c>
      <c r="O9115" t="n">
        <v>0</v>
      </c>
      <c r="P9115" t="n">
        <v>0</v>
      </c>
      <c r="Q9115" t="n">
        <v>0</v>
      </c>
      <c r="R9115" s="2" t="inlineStr"/>
    </row>
    <row r="9116" ht="15" customHeight="1">
      <c r="A9116" t="inlineStr">
        <is>
          <t>A 10626-2025</t>
        </is>
      </c>
      <c r="B9116" s="1" t="n">
        <v>45721.63266203704</v>
      </c>
      <c r="C9116" s="1" t="n">
        <v>45952</v>
      </c>
      <c r="D9116" t="inlineStr">
        <is>
          <t>VÄSTRA GÖTALANDS LÄN</t>
        </is>
      </c>
      <c r="E9116" t="inlineStr">
        <is>
          <t>BENGTSFORS</t>
        </is>
      </c>
      <c r="F9116" t="inlineStr">
        <is>
          <t>Kommuner</t>
        </is>
      </c>
      <c r="G9116" t="n">
        <v>9.6</v>
      </c>
      <c r="H9116" t="n">
        <v>0</v>
      </c>
      <c r="I9116" t="n">
        <v>0</v>
      </c>
      <c r="J9116" t="n">
        <v>0</v>
      </c>
      <c r="K9116" t="n">
        <v>0</v>
      </c>
      <c r="L9116" t="n">
        <v>0</v>
      </c>
      <c r="M9116" t="n">
        <v>0</v>
      </c>
      <c r="N9116" t="n">
        <v>0</v>
      </c>
      <c r="O9116" t="n">
        <v>0</v>
      </c>
      <c r="P9116" t="n">
        <v>0</v>
      </c>
      <c r="Q9116" t="n">
        <v>0</v>
      </c>
      <c r="R9116" s="2" t="inlineStr"/>
    </row>
    <row r="9117" ht="15" customHeight="1">
      <c r="A9117" t="inlineStr">
        <is>
          <t>A 10667-2025</t>
        </is>
      </c>
      <c r="B9117" s="1" t="n">
        <v>45721.76960648148</v>
      </c>
      <c r="C9117" s="1" t="n">
        <v>45952</v>
      </c>
      <c r="D9117" t="inlineStr">
        <is>
          <t>VÄSTRA GÖTALANDS LÄN</t>
        </is>
      </c>
      <c r="E9117" t="inlineStr">
        <is>
          <t>KARLSBORG</t>
        </is>
      </c>
      <c r="G9117" t="n">
        <v>2.7</v>
      </c>
      <c r="H9117" t="n">
        <v>0</v>
      </c>
      <c r="I9117" t="n">
        <v>0</v>
      </c>
      <c r="J9117" t="n">
        <v>0</v>
      </c>
      <c r="K9117" t="n">
        <v>0</v>
      </c>
      <c r="L9117" t="n">
        <v>0</v>
      </c>
      <c r="M9117" t="n">
        <v>0</v>
      </c>
      <c r="N9117" t="n">
        <v>0</v>
      </c>
      <c r="O9117" t="n">
        <v>0</v>
      </c>
      <c r="P9117" t="n">
        <v>0</v>
      </c>
      <c r="Q9117" t="n">
        <v>0</v>
      </c>
      <c r="R9117" s="2" t="inlineStr"/>
    </row>
    <row r="9118" ht="15" customHeight="1">
      <c r="A9118" t="inlineStr">
        <is>
          <t>A 10668-2025</t>
        </is>
      </c>
      <c r="B9118" s="1" t="n">
        <v>45721.77831018518</v>
      </c>
      <c r="C9118" s="1" t="n">
        <v>45952</v>
      </c>
      <c r="D9118" t="inlineStr">
        <is>
          <t>VÄSTRA GÖTALANDS LÄN</t>
        </is>
      </c>
      <c r="E9118" t="inlineStr">
        <is>
          <t>GÖTENE</t>
        </is>
      </c>
      <c r="G9118" t="n">
        <v>1.3</v>
      </c>
      <c r="H9118" t="n">
        <v>0</v>
      </c>
      <c r="I9118" t="n">
        <v>0</v>
      </c>
      <c r="J9118" t="n">
        <v>0</v>
      </c>
      <c r="K9118" t="n">
        <v>0</v>
      </c>
      <c r="L9118" t="n">
        <v>0</v>
      </c>
      <c r="M9118" t="n">
        <v>0</v>
      </c>
      <c r="N9118" t="n">
        <v>0</v>
      </c>
      <c r="O9118" t="n">
        <v>0</v>
      </c>
      <c r="P9118" t="n">
        <v>0</v>
      </c>
      <c r="Q9118" t="n">
        <v>0</v>
      </c>
      <c r="R9118" s="2" t="inlineStr"/>
    </row>
    <row r="9119" ht="15" customHeight="1">
      <c r="A9119" t="inlineStr">
        <is>
          <t>A 22890-2025</t>
        </is>
      </c>
      <c r="B9119" s="1" t="n">
        <v>45790.39219907407</v>
      </c>
      <c r="C9119" s="1" t="n">
        <v>45952</v>
      </c>
      <c r="D9119" t="inlineStr">
        <is>
          <t>VÄSTRA GÖTALANDS LÄN</t>
        </is>
      </c>
      <c r="E9119" t="inlineStr">
        <is>
          <t>MELLERUD</t>
        </is>
      </c>
      <c r="G9119" t="n">
        <v>1</v>
      </c>
      <c r="H9119" t="n">
        <v>0</v>
      </c>
      <c r="I9119" t="n">
        <v>0</v>
      </c>
      <c r="J9119" t="n">
        <v>0</v>
      </c>
      <c r="K9119" t="n">
        <v>0</v>
      </c>
      <c r="L9119" t="n">
        <v>0</v>
      </c>
      <c r="M9119" t="n">
        <v>0</v>
      </c>
      <c r="N9119" t="n">
        <v>0</v>
      </c>
      <c r="O9119" t="n">
        <v>0</v>
      </c>
      <c r="P9119" t="n">
        <v>0</v>
      </c>
      <c r="Q9119" t="n">
        <v>0</v>
      </c>
      <c r="R9119" s="2" t="inlineStr"/>
    </row>
    <row r="9120" ht="15" customHeight="1">
      <c r="A9120" t="inlineStr">
        <is>
          <t>A 48411-2025</t>
        </is>
      </c>
      <c r="B9120" s="1" t="n">
        <v>45934.45399305555</v>
      </c>
      <c r="C9120" s="1" t="n">
        <v>45952</v>
      </c>
      <c r="D9120" t="inlineStr">
        <is>
          <t>VÄSTRA GÖTALANDS LÄN</t>
        </is>
      </c>
      <c r="E9120" t="inlineStr">
        <is>
          <t>ULRICEHAMN</t>
        </is>
      </c>
      <c r="G9120" t="n">
        <v>0.8</v>
      </c>
      <c r="H9120" t="n">
        <v>0</v>
      </c>
      <c r="I9120" t="n">
        <v>0</v>
      </c>
      <c r="J9120" t="n">
        <v>0</v>
      </c>
      <c r="K9120" t="n">
        <v>0</v>
      </c>
      <c r="L9120" t="n">
        <v>0</v>
      </c>
      <c r="M9120" t="n">
        <v>0</v>
      </c>
      <c r="N9120" t="n">
        <v>0</v>
      </c>
      <c r="O9120" t="n">
        <v>0</v>
      </c>
      <c r="P9120" t="n">
        <v>0</v>
      </c>
      <c r="Q9120" t="n">
        <v>0</v>
      </c>
      <c r="R9120" s="2" t="inlineStr"/>
    </row>
    <row r="9121" ht="15" customHeight="1">
      <c r="A9121" t="inlineStr">
        <is>
          <t>A 48412-2025</t>
        </is>
      </c>
      <c r="B9121" s="1" t="n">
        <v>45934.45826388889</v>
      </c>
      <c r="C9121" s="1" t="n">
        <v>45952</v>
      </c>
      <c r="D9121" t="inlineStr">
        <is>
          <t>VÄSTRA GÖTALANDS LÄN</t>
        </is>
      </c>
      <c r="E9121" t="inlineStr">
        <is>
          <t>ULRICEHAMN</t>
        </is>
      </c>
      <c r="G9121" t="n">
        <v>0.6</v>
      </c>
      <c r="H9121" t="n">
        <v>0</v>
      </c>
      <c r="I9121" t="n">
        <v>0</v>
      </c>
      <c r="J9121" t="n">
        <v>0</v>
      </c>
      <c r="K9121" t="n">
        <v>0</v>
      </c>
      <c r="L9121" t="n">
        <v>0</v>
      </c>
      <c r="M9121" t="n">
        <v>0</v>
      </c>
      <c r="N9121" t="n">
        <v>0</v>
      </c>
      <c r="O9121" t="n">
        <v>0</v>
      </c>
      <c r="P9121" t="n">
        <v>0</v>
      </c>
      <c r="Q9121" t="n">
        <v>0</v>
      </c>
      <c r="R9121" s="2" t="inlineStr"/>
    </row>
    <row r="9122" ht="15" customHeight="1">
      <c r="A9122" t="inlineStr">
        <is>
          <t>A 42338-2022</t>
        </is>
      </c>
      <c r="B9122" s="1" t="n">
        <v>44831.34840277778</v>
      </c>
      <c r="C9122" s="1" t="n">
        <v>45952</v>
      </c>
      <c r="D9122" t="inlineStr">
        <is>
          <t>VÄSTRA GÖTALANDS LÄN</t>
        </is>
      </c>
      <c r="E9122" t="inlineStr">
        <is>
          <t>TIDAHOLM</t>
        </is>
      </c>
      <c r="G9122" t="n">
        <v>2.3</v>
      </c>
      <c r="H9122" t="n">
        <v>0</v>
      </c>
      <c r="I9122" t="n">
        <v>0</v>
      </c>
      <c r="J9122" t="n">
        <v>0</v>
      </c>
      <c r="K9122" t="n">
        <v>0</v>
      </c>
      <c r="L9122" t="n">
        <v>0</v>
      </c>
      <c r="M9122" t="n">
        <v>0</v>
      </c>
      <c r="N9122" t="n">
        <v>0</v>
      </c>
      <c r="O9122" t="n">
        <v>0</v>
      </c>
      <c r="P9122" t="n">
        <v>0</v>
      </c>
      <c r="Q9122" t="n">
        <v>0</v>
      </c>
      <c r="R9122" s="2" t="inlineStr"/>
    </row>
    <row r="9123" ht="15" customHeight="1">
      <c r="A9123" t="inlineStr">
        <is>
          <t>A 1218-2024</t>
        </is>
      </c>
      <c r="B9123" s="1" t="n">
        <v>45302</v>
      </c>
      <c r="C9123" s="1" t="n">
        <v>45952</v>
      </c>
      <c r="D9123" t="inlineStr">
        <is>
          <t>VÄSTRA GÖTALANDS LÄN</t>
        </is>
      </c>
      <c r="E9123" t="inlineStr">
        <is>
          <t>GULLSPÅNG</t>
        </is>
      </c>
      <c r="G9123" t="n">
        <v>7.2</v>
      </c>
      <c r="H9123" t="n">
        <v>0</v>
      </c>
      <c r="I9123" t="n">
        <v>0</v>
      </c>
      <c r="J9123" t="n">
        <v>0</v>
      </c>
      <c r="K9123" t="n">
        <v>0</v>
      </c>
      <c r="L9123" t="n">
        <v>0</v>
      </c>
      <c r="M9123" t="n">
        <v>0</v>
      </c>
      <c r="N9123" t="n">
        <v>0</v>
      </c>
      <c r="O9123" t="n">
        <v>0</v>
      </c>
      <c r="P9123" t="n">
        <v>0</v>
      </c>
      <c r="Q9123" t="n">
        <v>0</v>
      </c>
      <c r="R9123" s="2" t="inlineStr"/>
    </row>
    <row r="9124" ht="15" customHeight="1">
      <c r="A9124" t="inlineStr">
        <is>
          <t>A 40276-2025</t>
        </is>
      </c>
      <c r="B9124" s="1" t="n">
        <v>45895.35997685185</v>
      </c>
      <c r="C9124" s="1" t="n">
        <v>45952</v>
      </c>
      <c r="D9124" t="inlineStr">
        <is>
          <t>VÄSTRA GÖTALANDS LÄN</t>
        </is>
      </c>
      <c r="E9124" t="inlineStr">
        <is>
          <t>BOLLEBYGD</t>
        </is>
      </c>
      <c r="F9124" t="inlineStr">
        <is>
          <t>Sveaskog</t>
        </is>
      </c>
      <c r="G9124" t="n">
        <v>7.1</v>
      </c>
      <c r="H9124" t="n">
        <v>0</v>
      </c>
      <c r="I9124" t="n">
        <v>0</v>
      </c>
      <c r="J9124" t="n">
        <v>0</v>
      </c>
      <c r="K9124" t="n">
        <v>0</v>
      </c>
      <c r="L9124" t="n">
        <v>0</v>
      </c>
      <c r="M9124" t="n">
        <v>0</v>
      </c>
      <c r="N9124" t="n">
        <v>0</v>
      </c>
      <c r="O9124" t="n">
        <v>0</v>
      </c>
      <c r="P9124" t="n">
        <v>0</v>
      </c>
      <c r="Q9124" t="n">
        <v>0</v>
      </c>
      <c r="R9124" s="2" t="inlineStr"/>
    </row>
    <row r="9125" ht="15" customHeight="1">
      <c r="A9125" t="inlineStr">
        <is>
          <t>A 40285-2025</t>
        </is>
      </c>
      <c r="B9125" s="1" t="n">
        <v>45895.37532407408</v>
      </c>
      <c r="C9125" s="1" t="n">
        <v>45952</v>
      </c>
      <c r="D9125" t="inlineStr">
        <is>
          <t>VÄSTRA GÖTALANDS LÄN</t>
        </is>
      </c>
      <c r="E9125" t="inlineStr">
        <is>
          <t>HÄRRYDA</t>
        </is>
      </c>
      <c r="G9125" t="n">
        <v>2.6</v>
      </c>
      <c r="H9125" t="n">
        <v>0</v>
      </c>
      <c r="I9125" t="n">
        <v>0</v>
      </c>
      <c r="J9125" t="n">
        <v>0</v>
      </c>
      <c r="K9125" t="n">
        <v>0</v>
      </c>
      <c r="L9125" t="n">
        <v>0</v>
      </c>
      <c r="M9125" t="n">
        <v>0</v>
      </c>
      <c r="N9125" t="n">
        <v>0</v>
      </c>
      <c r="O9125" t="n">
        <v>0</v>
      </c>
      <c r="P9125" t="n">
        <v>0</v>
      </c>
      <c r="Q9125" t="n">
        <v>0</v>
      </c>
      <c r="R9125" s="2" t="inlineStr"/>
    </row>
    <row r="9126" ht="15" customHeight="1">
      <c r="A9126" t="inlineStr">
        <is>
          <t>A 61961-2023</t>
        </is>
      </c>
      <c r="B9126" s="1" t="n">
        <v>45266.57142361111</v>
      </c>
      <c r="C9126" s="1" t="n">
        <v>45952</v>
      </c>
      <c r="D9126" t="inlineStr">
        <is>
          <t>VÄSTRA GÖTALANDS LÄN</t>
        </is>
      </c>
      <c r="E9126" t="inlineStr">
        <is>
          <t>SVENLJUNGA</t>
        </is>
      </c>
      <c r="G9126" t="n">
        <v>3</v>
      </c>
      <c r="H9126" t="n">
        <v>0</v>
      </c>
      <c r="I9126" t="n">
        <v>0</v>
      </c>
      <c r="J9126" t="n">
        <v>0</v>
      </c>
      <c r="K9126" t="n">
        <v>0</v>
      </c>
      <c r="L9126" t="n">
        <v>0</v>
      </c>
      <c r="M9126" t="n">
        <v>0</v>
      </c>
      <c r="N9126" t="n">
        <v>0</v>
      </c>
      <c r="O9126" t="n">
        <v>0</v>
      </c>
      <c r="P9126" t="n">
        <v>0</v>
      </c>
      <c r="Q9126" t="n">
        <v>0</v>
      </c>
      <c r="R9126" s="2" t="inlineStr"/>
    </row>
    <row r="9127" ht="15" customHeight="1">
      <c r="A9127" t="inlineStr">
        <is>
          <t>A 23348-2025</t>
        </is>
      </c>
      <c r="B9127" s="1" t="n">
        <v>45791.65950231482</v>
      </c>
      <c r="C9127" s="1" t="n">
        <v>45952</v>
      </c>
      <c r="D9127" t="inlineStr">
        <is>
          <t>VÄSTRA GÖTALANDS LÄN</t>
        </is>
      </c>
      <c r="E9127" t="inlineStr">
        <is>
          <t>SVENLJUNGA</t>
        </is>
      </c>
      <c r="G9127" t="n">
        <v>3.2</v>
      </c>
      <c r="H9127" t="n">
        <v>0</v>
      </c>
      <c r="I9127" t="n">
        <v>0</v>
      </c>
      <c r="J9127" t="n">
        <v>0</v>
      </c>
      <c r="K9127" t="n">
        <v>0</v>
      </c>
      <c r="L9127" t="n">
        <v>0</v>
      </c>
      <c r="M9127" t="n">
        <v>0</v>
      </c>
      <c r="N9127" t="n">
        <v>0</v>
      </c>
      <c r="O9127" t="n">
        <v>0</v>
      </c>
      <c r="P9127" t="n">
        <v>0</v>
      </c>
      <c r="Q9127" t="n">
        <v>0</v>
      </c>
      <c r="R9127" s="2" t="inlineStr"/>
    </row>
    <row r="9128" ht="15" customHeight="1">
      <c r="A9128" t="inlineStr">
        <is>
          <t>A 8888-2025</t>
        </is>
      </c>
      <c r="B9128" s="1" t="n">
        <v>45713.39502314815</v>
      </c>
      <c r="C9128" s="1" t="n">
        <v>45952</v>
      </c>
      <c r="D9128" t="inlineStr">
        <is>
          <t>VÄSTRA GÖTALANDS LÄN</t>
        </is>
      </c>
      <c r="E9128" t="inlineStr">
        <is>
          <t>DALS-ED</t>
        </is>
      </c>
      <c r="G9128" t="n">
        <v>6.8</v>
      </c>
      <c r="H9128" t="n">
        <v>0</v>
      </c>
      <c r="I9128" t="n">
        <v>0</v>
      </c>
      <c r="J9128" t="n">
        <v>0</v>
      </c>
      <c r="K9128" t="n">
        <v>0</v>
      </c>
      <c r="L9128" t="n">
        <v>0</v>
      </c>
      <c r="M9128" t="n">
        <v>0</v>
      </c>
      <c r="N9128" t="n">
        <v>0</v>
      </c>
      <c r="O9128" t="n">
        <v>0</v>
      </c>
      <c r="P9128" t="n">
        <v>0</v>
      </c>
      <c r="Q9128" t="n">
        <v>0</v>
      </c>
      <c r="R9128" s="2" t="inlineStr"/>
    </row>
    <row r="9129" ht="15" customHeight="1">
      <c r="A9129" t="inlineStr">
        <is>
          <t>A 8468-2025</t>
        </is>
      </c>
      <c r="B9129" s="1" t="n">
        <v>45709.47069444445</v>
      </c>
      <c r="C9129" s="1" t="n">
        <v>45952</v>
      </c>
      <c r="D9129" t="inlineStr">
        <is>
          <t>VÄSTRA GÖTALANDS LÄN</t>
        </is>
      </c>
      <c r="E9129" t="inlineStr">
        <is>
          <t>MARIESTAD</t>
        </is>
      </c>
      <c r="G9129" t="n">
        <v>3.2</v>
      </c>
      <c r="H9129" t="n">
        <v>0</v>
      </c>
      <c r="I9129" t="n">
        <v>0</v>
      </c>
      <c r="J9129" t="n">
        <v>0</v>
      </c>
      <c r="K9129" t="n">
        <v>0</v>
      </c>
      <c r="L9129" t="n">
        <v>0</v>
      </c>
      <c r="M9129" t="n">
        <v>0</v>
      </c>
      <c r="N9129" t="n">
        <v>0</v>
      </c>
      <c r="O9129" t="n">
        <v>0</v>
      </c>
      <c r="P9129" t="n">
        <v>0</v>
      </c>
      <c r="Q9129" t="n">
        <v>0</v>
      </c>
      <c r="R9129" s="2" t="inlineStr"/>
    </row>
    <row r="9130" ht="15" customHeight="1">
      <c r="A9130" t="inlineStr">
        <is>
          <t>A 14752-2025</t>
        </is>
      </c>
      <c r="B9130" s="1" t="n">
        <v>45742.66047453704</v>
      </c>
      <c r="C9130" s="1" t="n">
        <v>45952</v>
      </c>
      <c r="D9130" t="inlineStr">
        <is>
          <t>VÄSTRA GÖTALANDS LÄN</t>
        </is>
      </c>
      <c r="E9130" t="inlineStr">
        <is>
          <t>VÄNERSBORG</t>
        </is>
      </c>
      <c r="G9130" t="n">
        <v>0.9</v>
      </c>
      <c r="H9130" t="n">
        <v>0</v>
      </c>
      <c r="I9130" t="n">
        <v>0</v>
      </c>
      <c r="J9130" t="n">
        <v>0</v>
      </c>
      <c r="K9130" t="n">
        <v>0</v>
      </c>
      <c r="L9130" t="n">
        <v>0</v>
      </c>
      <c r="M9130" t="n">
        <v>0</v>
      </c>
      <c r="N9130" t="n">
        <v>0</v>
      </c>
      <c r="O9130" t="n">
        <v>0</v>
      </c>
      <c r="P9130" t="n">
        <v>0</v>
      </c>
      <c r="Q9130" t="n">
        <v>0</v>
      </c>
      <c r="R9130" s="2" t="inlineStr"/>
    </row>
    <row r="9131" ht="15" customHeight="1">
      <c r="A9131" t="inlineStr">
        <is>
          <t>A 9558-2025</t>
        </is>
      </c>
      <c r="B9131" s="1" t="n">
        <v>45714</v>
      </c>
      <c r="C9131" s="1" t="n">
        <v>45952</v>
      </c>
      <c r="D9131" t="inlineStr">
        <is>
          <t>VÄSTRA GÖTALANDS LÄN</t>
        </is>
      </c>
      <c r="E9131" t="inlineStr">
        <is>
          <t>MUNKEDAL</t>
        </is>
      </c>
      <c r="F9131" t="inlineStr">
        <is>
          <t>Övriga Aktiebolag</t>
        </is>
      </c>
      <c r="G9131" t="n">
        <v>26.5</v>
      </c>
      <c r="H9131" t="n">
        <v>0</v>
      </c>
      <c r="I9131" t="n">
        <v>0</v>
      </c>
      <c r="J9131" t="n">
        <v>0</v>
      </c>
      <c r="K9131" t="n">
        <v>0</v>
      </c>
      <c r="L9131" t="n">
        <v>0</v>
      </c>
      <c r="M9131" t="n">
        <v>0</v>
      </c>
      <c r="N9131" t="n">
        <v>0</v>
      </c>
      <c r="O9131" t="n">
        <v>0</v>
      </c>
      <c r="P9131" t="n">
        <v>0</v>
      </c>
      <c r="Q9131" t="n">
        <v>0</v>
      </c>
      <c r="R9131" s="2" t="inlineStr"/>
    </row>
    <row r="9132" ht="15" customHeight="1">
      <c r="A9132" t="inlineStr">
        <is>
          <t>A 48505-2025</t>
        </is>
      </c>
      <c r="B9132" s="1" t="n">
        <v>45936.38321759259</v>
      </c>
      <c r="C9132" s="1" t="n">
        <v>45952</v>
      </c>
      <c r="D9132" t="inlineStr">
        <is>
          <t>VÄSTRA GÖTALANDS LÄN</t>
        </is>
      </c>
      <c r="E9132" t="inlineStr">
        <is>
          <t>TRANEMO</t>
        </is>
      </c>
      <c r="G9132" t="n">
        <v>6.1</v>
      </c>
      <c r="H9132" t="n">
        <v>0</v>
      </c>
      <c r="I9132" t="n">
        <v>0</v>
      </c>
      <c r="J9132" t="n">
        <v>0</v>
      </c>
      <c r="K9132" t="n">
        <v>0</v>
      </c>
      <c r="L9132" t="n">
        <v>0</v>
      </c>
      <c r="M9132" t="n">
        <v>0</v>
      </c>
      <c r="N9132" t="n">
        <v>0</v>
      </c>
      <c r="O9132" t="n">
        <v>0</v>
      </c>
      <c r="P9132" t="n">
        <v>0</v>
      </c>
      <c r="Q9132" t="n">
        <v>0</v>
      </c>
      <c r="R9132" s="2" t="inlineStr"/>
    </row>
    <row r="9133" ht="15" customHeight="1">
      <c r="A9133" t="inlineStr">
        <is>
          <t>A 13196-2025</t>
        </is>
      </c>
      <c r="B9133" s="1" t="n">
        <v>45735.42291666667</v>
      </c>
      <c r="C9133" s="1" t="n">
        <v>45952</v>
      </c>
      <c r="D9133" t="inlineStr">
        <is>
          <t>VÄSTRA GÖTALANDS LÄN</t>
        </is>
      </c>
      <c r="E9133" t="inlineStr">
        <is>
          <t>VÄNERSBORG</t>
        </is>
      </c>
      <c r="G9133" t="n">
        <v>5.7</v>
      </c>
      <c r="H9133" t="n">
        <v>0</v>
      </c>
      <c r="I9133" t="n">
        <v>0</v>
      </c>
      <c r="J9133" t="n">
        <v>0</v>
      </c>
      <c r="K9133" t="n">
        <v>0</v>
      </c>
      <c r="L9133" t="n">
        <v>0</v>
      </c>
      <c r="M9133" t="n">
        <v>0</v>
      </c>
      <c r="N9133" t="n">
        <v>0</v>
      </c>
      <c r="O9133" t="n">
        <v>0</v>
      </c>
      <c r="P9133" t="n">
        <v>0</v>
      </c>
      <c r="Q9133" t="n">
        <v>0</v>
      </c>
      <c r="R9133" s="2" t="inlineStr"/>
    </row>
    <row r="9134" ht="15" customHeight="1">
      <c r="A9134" t="inlineStr">
        <is>
          <t>A 23291-2022</t>
        </is>
      </c>
      <c r="B9134" s="1" t="n">
        <v>44720</v>
      </c>
      <c r="C9134" s="1" t="n">
        <v>45952</v>
      </c>
      <c r="D9134" t="inlineStr">
        <is>
          <t>VÄSTRA GÖTALANDS LÄN</t>
        </is>
      </c>
      <c r="E9134" t="inlineStr">
        <is>
          <t>TRANEMO</t>
        </is>
      </c>
      <c r="G9134" t="n">
        <v>7.2</v>
      </c>
      <c r="H9134" t="n">
        <v>0</v>
      </c>
      <c r="I9134" t="n">
        <v>0</v>
      </c>
      <c r="J9134" t="n">
        <v>0</v>
      </c>
      <c r="K9134" t="n">
        <v>0</v>
      </c>
      <c r="L9134" t="n">
        <v>0</v>
      </c>
      <c r="M9134" t="n">
        <v>0</v>
      </c>
      <c r="N9134" t="n">
        <v>0</v>
      </c>
      <c r="O9134" t="n">
        <v>0</v>
      </c>
      <c r="P9134" t="n">
        <v>0</v>
      </c>
      <c r="Q9134" t="n">
        <v>0</v>
      </c>
      <c r="R9134" s="2" t="inlineStr"/>
    </row>
    <row r="9135" ht="15" customHeight="1">
      <c r="A9135" t="inlineStr">
        <is>
          <t>A 14014-2025</t>
        </is>
      </c>
      <c r="B9135" s="1" t="n">
        <v>45740.3164699074</v>
      </c>
      <c r="C9135" s="1" t="n">
        <v>45952</v>
      </c>
      <c r="D9135" t="inlineStr">
        <is>
          <t>VÄSTRA GÖTALANDS LÄN</t>
        </is>
      </c>
      <c r="E9135" t="inlineStr">
        <is>
          <t>FÄRGELANDA</t>
        </is>
      </c>
      <c r="G9135" t="n">
        <v>3.7</v>
      </c>
      <c r="H9135" t="n">
        <v>0</v>
      </c>
      <c r="I9135" t="n">
        <v>0</v>
      </c>
      <c r="J9135" t="n">
        <v>0</v>
      </c>
      <c r="K9135" t="n">
        <v>0</v>
      </c>
      <c r="L9135" t="n">
        <v>0</v>
      </c>
      <c r="M9135" t="n">
        <v>0</v>
      </c>
      <c r="N9135" t="n">
        <v>0</v>
      </c>
      <c r="O9135" t="n">
        <v>0</v>
      </c>
      <c r="P9135" t="n">
        <v>0</v>
      </c>
      <c r="Q9135" t="n">
        <v>0</v>
      </c>
      <c r="R9135" s="2" t="inlineStr"/>
    </row>
    <row r="9136" ht="15" customHeight="1">
      <c r="A9136" t="inlineStr">
        <is>
          <t>A 14021-2025</t>
        </is>
      </c>
      <c r="B9136" s="1" t="n">
        <v>45740.33630787037</v>
      </c>
      <c r="C9136" s="1" t="n">
        <v>45952</v>
      </c>
      <c r="D9136" t="inlineStr">
        <is>
          <t>VÄSTRA GÖTALANDS LÄN</t>
        </is>
      </c>
      <c r="E9136" t="inlineStr">
        <is>
          <t>UDDEVALLA</t>
        </is>
      </c>
      <c r="G9136" t="n">
        <v>0.4</v>
      </c>
      <c r="H9136" t="n">
        <v>0</v>
      </c>
      <c r="I9136" t="n">
        <v>0</v>
      </c>
      <c r="J9136" t="n">
        <v>0</v>
      </c>
      <c r="K9136" t="n">
        <v>0</v>
      </c>
      <c r="L9136" t="n">
        <v>0</v>
      </c>
      <c r="M9136" t="n">
        <v>0</v>
      </c>
      <c r="N9136" t="n">
        <v>0</v>
      </c>
      <c r="O9136" t="n">
        <v>0</v>
      </c>
      <c r="P9136" t="n">
        <v>0</v>
      </c>
      <c r="Q9136" t="n">
        <v>0</v>
      </c>
      <c r="R9136" s="2" t="inlineStr"/>
    </row>
    <row r="9137" ht="15" customHeight="1">
      <c r="A9137" t="inlineStr">
        <is>
          <t>A 16400-2025</t>
        </is>
      </c>
      <c r="B9137" s="1" t="n">
        <v>45751.44672453704</v>
      </c>
      <c r="C9137" s="1" t="n">
        <v>45952</v>
      </c>
      <c r="D9137" t="inlineStr">
        <is>
          <t>VÄSTRA GÖTALANDS LÄN</t>
        </is>
      </c>
      <c r="E9137" t="inlineStr">
        <is>
          <t>SVENLJUNGA</t>
        </is>
      </c>
      <c r="G9137" t="n">
        <v>4.6</v>
      </c>
      <c r="H9137" t="n">
        <v>0</v>
      </c>
      <c r="I9137" t="n">
        <v>0</v>
      </c>
      <c r="J9137" t="n">
        <v>0</v>
      </c>
      <c r="K9137" t="n">
        <v>0</v>
      </c>
      <c r="L9137" t="n">
        <v>0</v>
      </c>
      <c r="M9137" t="n">
        <v>0</v>
      </c>
      <c r="N9137" t="n">
        <v>0</v>
      </c>
      <c r="O9137" t="n">
        <v>0</v>
      </c>
      <c r="P9137" t="n">
        <v>0</v>
      </c>
      <c r="Q9137" t="n">
        <v>0</v>
      </c>
      <c r="R9137" s="2" t="inlineStr"/>
    </row>
    <row r="9138" ht="15" customHeight="1">
      <c r="A9138" t="inlineStr">
        <is>
          <t>A 21168-2022</t>
        </is>
      </c>
      <c r="B9138" s="1" t="n">
        <v>44704</v>
      </c>
      <c r="C9138" s="1" t="n">
        <v>45952</v>
      </c>
      <c r="D9138" t="inlineStr">
        <is>
          <t>VÄSTRA GÖTALANDS LÄN</t>
        </is>
      </c>
      <c r="E9138" t="inlineStr">
        <is>
          <t>BORÅS</t>
        </is>
      </c>
      <c r="G9138" t="n">
        <v>4.7</v>
      </c>
      <c r="H9138" t="n">
        <v>0</v>
      </c>
      <c r="I9138" t="n">
        <v>0</v>
      </c>
      <c r="J9138" t="n">
        <v>0</v>
      </c>
      <c r="K9138" t="n">
        <v>0</v>
      </c>
      <c r="L9138" t="n">
        <v>0</v>
      </c>
      <c r="M9138" t="n">
        <v>0</v>
      </c>
      <c r="N9138" t="n">
        <v>0</v>
      </c>
      <c r="O9138" t="n">
        <v>0</v>
      </c>
      <c r="P9138" t="n">
        <v>0</v>
      </c>
      <c r="Q9138" t="n">
        <v>0</v>
      </c>
      <c r="R9138" s="2" t="inlineStr"/>
    </row>
    <row r="9139" ht="15" customHeight="1">
      <c r="A9139" t="inlineStr">
        <is>
          <t>A 54884-2024</t>
        </is>
      </c>
      <c r="B9139" s="1" t="n">
        <v>45618.61814814815</v>
      </c>
      <c r="C9139" s="1" t="n">
        <v>45952</v>
      </c>
      <c r="D9139" t="inlineStr">
        <is>
          <t>VÄSTRA GÖTALANDS LÄN</t>
        </is>
      </c>
      <c r="E9139" t="inlineStr">
        <is>
          <t>FALKÖPING</t>
        </is>
      </c>
      <c r="G9139" t="n">
        <v>2.4</v>
      </c>
      <c r="H9139" t="n">
        <v>0</v>
      </c>
      <c r="I9139" t="n">
        <v>0</v>
      </c>
      <c r="J9139" t="n">
        <v>0</v>
      </c>
      <c r="K9139" t="n">
        <v>0</v>
      </c>
      <c r="L9139" t="n">
        <v>0</v>
      </c>
      <c r="M9139" t="n">
        <v>0</v>
      </c>
      <c r="N9139" t="n">
        <v>0</v>
      </c>
      <c r="O9139" t="n">
        <v>0</v>
      </c>
      <c r="P9139" t="n">
        <v>0</v>
      </c>
      <c r="Q9139" t="n">
        <v>0</v>
      </c>
      <c r="R9139" s="2" t="inlineStr"/>
    </row>
    <row r="9140" ht="15" customHeight="1">
      <c r="A9140" t="inlineStr">
        <is>
          <t>A 38511-2023</t>
        </is>
      </c>
      <c r="B9140" s="1" t="n">
        <v>45162</v>
      </c>
      <c r="C9140" s="1" t="n">
        <v>45952</v>
      </c>
      <c r="D9140" t="inlineStr">
        <is>
          <t>VÄSTRA GÖTALANDS LÄN</t>
        </is>
      </c>
      <c r="E9140" t="inlineStr">
        <is>
          <t>ULRICEHAMN</t>
        </is>
      </c>
      <c r="G9140" t="n">
        <v>3.7</v>
      </c>
      <c r="H9140" t="n">
        <v>0</v>
      </c>
      <c r="I9140" t="n">
        <v>0</v>
      </c>
      <c r="J9140" t="n">
        <v>0</v>
      </c>
      <c r="K9140" t="n">
        <v>0</v>
      </c>
      <c r="L9140" t="n">
        <v>0</v>
      </c>
      <c r="M9140" t="n">
        <v>0</v>
      </c>
      <c r="N9140" t="n">
        <v>0</v>
      </c>
      <c r="O9140" t="n">
        <v>0</v>
      </c>
      <c r="P9140" t="n">
        <v>0</v>
      </c>
      <c r="Q9140" t="n">
        <v>0</v>
      </c>
      <c r="R9140" s="2" t="inlineStr"/>
    </row>
    <row r="9141" ht="15" customHeight="1">
      <c r="A9141" t="inlineStr">
        <is>
          <t>A 60264-2024</t>
        </is>
      </c>
      <c r="B9141" s="1" t="n">
        <v>45642.8599537037</v>
      </c>
      <c r="C9141" s="1" t="n">
        <v>45952</v>
      </c>
      <c r="D9141" t="inlineStr">
        <is>
          <t>VÄSTRA GÖTALANDS LÄN</t>
        </is>
      </c>
      <c r="E9141" t="inlineStr">
        <is>
          <t>TIBRO</t>
        </is>
      </c>
      <c r="G9141" t="n">
        <v>4.9</v>
      </c>
      <c r="H9141" t="n">
        <v>0</v>
      </c>
      <c r="I9141" t="n">
        <v>0</v>
      </c>
      <c r="J9141" t="n">
        <v>0</v>
      </c>
      <c r="K9141" t="n">
        <v>0</v>
      </c>
      <c r="L9141" t="n">
        <v>0</v>
      </c>
      <c r="M9141" t="n">
        <v>0</v>
      </c>
      <c r="N9141" t="n">
        <v>0</v>
      </c>
      <c r="O9141" t="n">
        <v>0</v>
      </c>
      <c r="P9141" t="n">
        <v>0</v>
      </c>
      <c r="Q9141" t="n">
        <v>0</v>
      </c>
      <c r="R9141" s="2" t="inlineStr"/>
    </row>
    <row r="9142" ht="15" customHeight="1">
      <c r="A9142" t="inlineStr">
        <is>
          <t>A 10091-2022</t>
        </is>
      </c>
      <c r="B9142" s="1" t="n">
        <v>44621.67773148148</v>
      </c>
      <c r="C9142" s="1" t="n">
        <v>45952</v>
      </c>
      <c r="D9142" t="inlineStr">
        <is>
          <t>VÄSTRA GÖTALANDS LÄN</t>
        </is>
      </c>
      <c r="E9142" t="inlineStr">
        <is>
          <t>BENGTSFORS</t>
        </is>
      </c>
      <c r="G9142" t="n">
        <v>1.1</v>
      </c>
      <c r="H9142" t="n">
        <v>0</v>
      </c>
      <c r="I9142" t="n">
        <v>0</v>
      </c>
      <c r="J9142" t="n">
        <v>0</v>
      </c>
      <c r="K9142" t="n">
        <v>0</v>
      </c>
      <c r="L9142" t="n">
        <v>0</v>
      </c>
      <c r="M9142" t="n">
        <v>0</v>
      </c>
      <c r="N9142" t="n">
        <v>0</v>
      </c>
      <c r="O9142" t="n">
        <v>0</v>
      </c>
      <c r="P9142" t="n">
        <v>0</v>
      </c>
      <c r="Q9142" t="n">
        <v>0</v>
      </c>
      <c r="R9142" s="2" t="inlineStr"/>
    </row>
    <row r="9143" ht="15" customHeight="1">
      <c r="A9143" t="inlineStr">
        <is>
          <t>A 10092-2022</t>
        </is>
      </c>
      <c r="B9143" s="1" t="n">
        <v>44621</v>
      </c>
      <c r="C9143" s="1" t="n">
        <v>45952</v>
      </c>
      <c r="D9143" t="inlineStr">
        <is>
          <t>VÄSTRA GÖTALANDS LÄN</t>
        </is>
      </c>
      <c r="E9143" t="inlineStr">
        <is>
          <t>DALS-ED</t>
        </is>
      </c>
      <c r="F9143" t="inlineStr">
        <is>
          <t>Övriga Aktiebolag</t>
        </is>
      </c>
      <c r="G9143" t="n">
        <v>2.2</v>
      </c>
      <c r="H9143" t="n">
        <v>0</v>
      </c>
      <c r="I9143" t="n">
        <v>0</v>
      </c>
      <c r="J9143" t="n">
        <v>0</v>
      </c>
      <c r="K9143" t="n">
        <v>0</v>
      </c>
      <c r="L9143" t="n">
        <v>0</v>
      </c>
      <c r="M9143" t="n">
        <v>0</v>
      </c>
      <c r="N9143" t="n">
        <v>0</v>
      </c>
      <c r="O9143" t="n">
        <v>0</v>
      </c>
      <c r="P9143" t="n">
        <v>0</v>
      </c>
      <c r="Q9143" t="n">
        <v>0</v>
      </c>
      <c r="R9143" s="2" t="inlineStr"/>
    </row>
    <row r="9144" ht="15" customHeight="1">
      <c r="A9144" t="inlineStr">
        <is>
          <t>A 9698-2025</t>
        </is>
      </c>
      <c r="B9144" s="1" t="n">
        <v>45716.37402777778</v>
      </c>
      <c r="C9144" s="1" t="n">
        <v>45952</v>
      </c>
      <c r="D9144" t="inlineStr">
        <is>
          <t>VÄSTRA GÖTALANDS LÄN</t>
        </is>
      </c>
      <c r="E9144" t="inlineStr">
        <is>
          <t>STRÖMSTAD</t>
        </is>
      </c>
      <c r="G9144" t="n">
        <v>0.7</v>
      </c>
      <c r="H9144" t="n">
        <v>0</v>
      </c>
      <c r="I9144" t="n">
        <v>0</v>
      </c>
      <c r="J9144" t="n">
        <v>0</v>
      </c>
      <c r="K9144" t="n">
        <v>0</v>
      </c>
      <c r="L9144" t="n">
        <v>0</v>
      </c>
      <c r="M9144" t="n">
        <v>0</v>
      </c>
      <c r="N9144" t="n">
        <v>0</v>
      </c>
      <c r="O9144" t="n">
        <v>0</v>
      </c>
      <c r="P9144" t="n">
        <v>0</v>
      </c>
      <c r="Q9144" t="n">
        <v>0</v>
      </c>
      <c r="R9144" s="2" t="inlineStr"/>
    </row>
    <row r="9145" ht="15" customHeight="1">
      <c r="A9145" t="inlineStr">
        <is>
          <t>A 40288-2025</t>
        </is>
      </c>
      <c r="B9145" s="1" t="n">
        <v>45895.38059027777</v>
      </c>
      <c r="C9145" s="1" t="n">
        <v>45952</v>
      </c>
      <c r="D9145" t="inlineStr">
        <is>
          <t>VÄSTRA GÖTALANDS LÄN</t>
        </is>
      </c>
      <c r="E9145" t="inlineStr">
        <is>
          <t>MELLERUD</t>
        </is>
      </c>
      <c r="G9145" t="n">
        <v>5.2</v>
      </c>
      <c r="H9145" t="n">
        <v>0</v>
      </c>
      <c r="I9145" t="n">
        <v>0</v>
      </c>
      <c r="J9145" t="n">
        <v>0</v>
      </c>
      <c r="K9145" t="n">
        <v>0</v>
      </c>
      <c r="L9145" t="n">
        <v>0</v>
      </c>
      <c r="M9145" t="n">
        <v>0</v>
      </c>
      <c r="N9145" t="n">
        <v>0</v>
      </c>
      <c r="O9145" t="n">
        <v>0</v>
      </c>
      <c r="P9145" t="n">
        <v>0</v>
      </c>
      <c r="Q9145" t="n">
        <v>0</v>
      </c>
      <c r="R9145" s="2" t="inlineStr"/>
    </row>
    <row r="9146" ht="15" customHeight="1">
      <c r="A9146" t="inlineStr">
        <is>
          <t>A 40289-2025</t>
        </is>
      </c>
      <c r="B9146" s="1" t="n">
        <v>45895</v>
      </c>
      <c r="C9146" s="1" t="n">
        <v>45952</v>
      </c>
      <c r="D9146" t="inlineStr">
        <is>
          <t>VÄSTRA GÖTALANDS LÄN</t>
        </is>
      </c>
      <c r="E9146" t="inlineStr">
        <is>
          <t>BENGTSFORS</t>
        </is>
      </c>
      <c r="G9146" t="n">
        <v>3.6</v>
      </c>
      <c r="H9146" t="n">
        <v>0</v>
      </c>
      <c r="I9146" t="n">
        <v>0</v>
      </c>
      <c r="J9146" t="n">
        <v>0</v>
      </c>
      <c r="K9146" t="n">
        <v>0</v>
      </c>
      <c r="L9146" t="n">
        <v>0</v>
      </c>
      <c r="M9146" t="n">
        <v>0</v>
      </c>
      <c r="N9146" t="n">
        <v>0</v>
      </c>
      <c r="O9146" t="n">
        <v>0</v>
      </c>
      <c r="P9146" t="n">
        <v>0</v>
      </c>
      <c r="Q9146" t="n">
        <v>0</v>
      </c>
      <c r="R9146" s="2" t="inlineStr"/>
    </row>
    <row r="9147" ht="15" customHeight="1">
      <c r="A9147" t="inlineStr">
        <is>
          <t>A 40293-2025</t>
        </is>
      </c>
      <c r="B9147" s="1" t="n">
        <v>45895.386875</v>
      </c>
      <c r="C9147" s="1" t="n">
        <v>45952</v>
      </c>
      <c r="D9147" t="inlineStr">
        <is>
          <t>VÄSTRA GÖTALANDS LÄN</t>
        </is>
      </c>
      <c r="E9147" t="inlineStr">
        <is>
          <t>ÅMÅL</t>
        </is>
      </c>
      <c r="G9147" t="n">
        <v>3.4</v>
      </c>
      <c r="H9147" t="n">
        <v>0</v>
      </c>
      <c r="I9147" t="n">
        <v>0</v>
      </c>
      <c r="J9147" t="n">
        <v>0</v>
      </c>
      <c r="K9147" t="n">
        <v>0</v>
      </c>
      <c r="L9147" t="n">
        <v>0</v>
      </c>
      <c r="M9147" t="n">
        <v>0</v>
      </c>
      <c r="N9147" t="n">
        <v>0</v>
      </c>
      <c r="O9147" t="n">
        <v>0</v>
      </c>
      <c r="P9147" t="n">
        <v>0</v>
      </c>
      <c r="Q9147" t="n">
        <v>0</v>
      </c>
      <c r="R9147" s="2" t="inlineStr"/>
    </row>
    <row r="9148" ht="15" customHeight="1">
      <c r="A9148" t="inlineStr">
        <is>
          <t>A 20067-2023</t>
        </is>
      </c>
      <c r="B9148" s="1" t="n">
        <v>45054</v>
      </c>
      <c r="C9148" s="1" t="n">
        <v>45952</v>
      </c>
      <c r="D9148" t="inlineStr">
        <is>
          <t>VÄSTRA GÖTALANDS LÄN</t>
        </is>
      </c>
      <c r="E9148" t="inlineStr">
        <is>
          <t>ALE</t>
        </is>
      </c>
      <c r="G9148" t="n">
        <v>0.4</v>
      </c>
      <c r="H9148" t="n">
        <v>0</v>
      </c>
      <c r="I9148" t="n">
        <v>0</v>
      </c>
      <c r="J9148" t="n">
        <v>0</v>
      </c>
      <c r="K9148" t="n">
        <v>0</v>
      </c>
      <c r="L9148" t="n">
        <v>0</v>
      </c>
      <c r="M9148" t="n">
        <v>0</v>
      </c>
      <c r="N9148" t="n">
        <v>0</v>
      </c>
      <c r="O9148" t="n">
        <v>0</v>
      </c>
      <c r="P9148" t="n">
        <v>0</v>
      </c>
      <c r="Q9148" t="n">
        <v>0</v>
      </c>
      <c r="R9148" s="2" t="inlineStr"/>
    </row>
    <row r="9149" ht="15" customHeight="1">
      <c r="A9149" t="inlineStr">
        <is>
          <t>A 12937-2024</t>
        </is>
      </c>
      <c r="B9149" s="1" t="n">
        <v>45385</v>
      </c>
      <c r="C9149" s="1" t="n">
        <v>45952</v>
      </c>
      <c r="D9149" t="inlineStr">
        <is>
          <t>VÄSTRA GÖTALANDS LÄN</t>
        </is>
      </c>
      <c r="E9149" t="inlineStr">
        <is>
          <t>SKARA</t>
        </is>
      </c>
      <c r="G9149" t="n">
        <v>1</v>
      </c>
      <c r="H9149" t="n">
        <v>0</v>
      </c>
      <c r="I9149" t="n">
        <v>0</v>
      </c>
      <c r="J9149" t="n">
        <v>0</v>
      </c>
      <c r="K9149" t="n">
        <v>0</v>
      </c>
      <c r="L9149" t="n">
        <v>0</v>
      </c>
      <c r="M9149" t="n">
        <v>0</v>
      </c>
      <c r="N9149" t="n">
        <v>0</v>
      </c>
      <c r="O9149" t="n">
        <v>0</v>
      </c>
      <c r="P9149" t="n">
        <v>0</v>
      </c>
      <c r="Q9149" t="n">
        <v>0</v>
      </c>
      <c r="R9149" s="2" t="inlineStr"/>
    </row>
    <row r="9150" ht="15" customHeight="1">
      <c r="A9150" t="inlineStr">
        <is>
          <t>A 8869-2025</t>
        </is>
      </c>
      <c r="B9150" s="1" t="n">
        <v>45713.369375</v>
      </c>
      <c r="C9150" s="1" t="n">
        <v>45952</v>
      </c>
      <c r="D9150" t="inlineStr">
        <is>
          <t>VÄSTRA GÖTALANDS LÄN</t>
        </is>
      </c>
      <c r="E9150" t="inlineStr">
        <is>
          <t>TROLLHÄTTAN</t>
        </is>
      </c>
      <c r="G9150" t="n">
        <v>4</v>
      </c>
      <c r="H9150" t="n">
        <v>0</v>
      </c>
      <c r="I9150" t="n">
        <v>0</v>
      </c>
      <c r="J9150" t="n">
        <v>0</v>
      </c>
      <c r="K9150" t="n">
        <v>0</v>
      </c>
      <c r="L9150" t="n">
        <v>0</v>
      </c>
      <c r="M9150" t="n">
        <v>0</v>
      </c>
      <c r="N9150" t="n">
        <v>0</v>
      </c>
      <c r="O9150" t="n">
        <v>0</v>
      </c>
      <c r="P9150" t="n">
        <v>0</v>
      </c>
      <c r="Q9150" t="n">
        <v>0</v>
      </c>
      <c r="R9150" s="2" t="inlineStr"/>
    </row>
    <row r="9151" ht="15" customHeight="1">
      <c r="A9151" t="inlineStr">
        <is>
          <t>A 8870-2025</t>
        </is>
      </c>
      <c r="B9151" s="1" t="n">
        <v>45713.37015046296</v>
      </c>
      <c r="C9151" s="1" t="n">
        <v>45952</v>
      </c>
      <c r="D9151" t="inlineStr">
        <is>
          <t>VÄSTRA GÖTALANDS LÄN</t>
        </is>
      </c>
      <c r="E9151" t="inlineStr">
        <is>
          <t>MELLERUD</t>
        </is>
      </c>
      <c r="G9151" t="n">
        <v>0.6</v>
      </c>
      <c r="H9151" t="n">
        <v>0</v>
      </c>
      <c r="I9151" t="n">
        <v>0</v>
      </c>
      <c r="J9151" t="n">
        <v>0</v>
      </c>
      <c r="K9151" t="n">
        <v>0</v>
      </c>
      <c r="L9151" t="n">
        <v>0</v>
      </c>
      <c r="M9151" t="n">
        <v>0</v>
      </c>
      <c r="N9151" t="n">
        <v>0</v>
      </c>
      <c r="O9151" t="n">
        <v>0</v>
      </c>
      <c r="P9151" t="n">
        <v>0</v>
      </c>
      <c r="Q9151" t="n">
        <v>0</v>
      </c>
      <c r="R9151" s="2" t="inlineStr"/>
    </row>
    <row r="9152" ht="15" customHeight="1">
      <c r="A9152" t="inlineStr">
        <is>
          <t>A 8875-2025</t>
        </is>
      </c>
      <c r="B9152" s="1" t="n">
        <v>45713.37586805555</v>
      </c>
      <c r="C9152" s="1" t="n">
        <v>45952</v>
      </c>
      <c r="D9152" t="inlineStr">
        <is>
          <t>VÄSTRA GÖTALANDS LÄN</t>
        </is>
      </c>
      <c r="E9152" t="inlineStr">
        <is>
          <t>DALS-ED</t>
        </is>
      </c>
      <c r="G9152" t="n">
        <v>2.7</v>
      </c>
      <c r="H9152" t="n">
        <v>0</v>
      </c>
      <c r="I9152" t="n">
        <v>0</v>
      </c>
      <c r="J9152" t="n">
        <v>0</v>
      </c>
      <c r="K9152" t="n">
        <v>0</v>
      </c>
      <c r="L9152" t="n">
        <v>0</v>
      </c>
      <c r="M9152" t="n">
        <v>0</v>
      </c>
      <c r="N9152" t="n">
        <v>0</v>
      </c>
      <c r="O9152" t="n">
        <v>0</v>
      </c>
      <c r="P9152" t="n">
        <v>0</v>
      </c>
      <c r="Q9152" t="n">
        <v>0</v>
      </c>
      <c r="R9152" s="2" t="inlineStr"/>
    </row>
    <row r="9153" ht="15" customHeight="1">
      <c r="A9153" t="inlineStr">
        <is>
          <t>A 25713-2023</t>
        </is>
      </c>
      <c r="B9153" s="1" t="n">
        <v>45090</v>
      </c>
      <c r="C9153" s="1" t="n">
        <v>45952</v>
      </c>
      <c r="D9153" t="inlineStr">
        <is>
          <t>VÄSTRA GÖTALANDS LÄN</t>
        </is>
      </c>
      <c r="E9153" t="inlineStr">
        <is>
          <t>FALKÖPING</t>
        </is>
      </c>
      <c r="G9153" t="n">
        <v>3.2</v>
      </c>
      <c r="H9153" t="n">
        <v>0</v>
      </c>
      <c r="I9153" t="n">
        <v>0</v>
      </c>
      <c r="J9153" t="n">
        <v>0</v>
      </c>
      <c r="K9153" t="n">
        <v>0</v>
      </c>
      <c r="L9153" t="n">
        <v>0</v>
      </c>
      <c r="M9153" t="n">
        <v>0</v>
      </c>
      <c r="N9153" t="n">
        <v>0</v>
      </c>
      <c r="O9153" t="n">
        <v>0</v>
      </c>
      <c r="P9153" t="n">
        <v>0</v>
      </c>
      <c r="Q9153" t="n">
        <v>0</v>
      </c>
      <c r="R9153" s="2" t="inlineStr"/>
    </row>
    <row r="9154" ht="15" customHeight="1">
      <c r="A9154" t="inlineStr">
        <is>
          <t>A 48793-2025</t>
        </is>
      </c>
      <c r="B9154" s="1" t="n">
        <v>45937.32879629629</v>
      </c>
      <c r="C9154" s="1" t="n">
        <v>45952</v>
      </c>
      <c r="D9154" t="inlineStr">
        <is>
          <t>VÄSTRA GÖTALANDS LÄN</t>
        </is>
      </c>
      <c r="E9154" t="inlineStr">
        <is>
          <t>TRANEMO</t>
        </is>
      </c>
      <c r="G9154" t="n">
        <v>0.6</v>
      </c>
      <c r="H9154" t="n">
        <v>0</v>
      </c>
      <c r="I9154" t="n">
        <v>0</v>
      </c>
      <c r="J9154" t="n">
        <v>0</v>
      </c>
      <c r="K9154" t="n">
        <v>0</v>
      </c>
      <c r="L9154" t="n">
        <v>0</v>
      </c>
      <c r="M9154" t="n">
        <v>0</v>
      </c>
      <c r="N9154" t="n">
        <v>0</v>
      </c>
      <c r="O9154" t="n">
        <v>0</v>
      </c>
      <c r="P9154" t="n">
        <v>0</v>
      </c>
      <c r="Q9154" t="n">
        <v>0</v>
      </c>
      <c r="R9154" s="2" t="inlineStr"/>
    </row>
    <row r="9155" ht="15" customHeight="1">
      <c r="A9155" t="inlineStr">
        <is>
          <t>A 48794-2025</t>
        </is>
      </c>
      <c r="B9155" s="1" t="n">
        <v>45937.330625</v>
      </c>
      <c r="C9155" s="1" t="n">
        <v>45952</v>
      </c>
      <c r="D9155" t="inlineStr">
        <is>
          <t>VÄSTRA GÖTALANDS LÄN</t>
        </is>
      </c>
      <c r="E9155" t="inlineStr">
        <is>
          <t>TRANEMO</t>
        </is>
      </c>
      <c r="G9155" t="n">
        <v>0.5</v>
      </c>
      <c r="H9155" t="n">
        <v>0</v>
      </c>
      <c r="I9155" t="n">
        <v>0</v>
      </c>
      <c r="J9155" t="n">
        <v>0</v>
      </c>
      <c r="K9155" t="n">
        <v>0</v>
      </c>
      <c r="L9155" t="n">
        <v>0</v>
      </c>
      <c r="M9155" t="n">
        <v>0</v>
      </c>
      <c r="N9155" t="n">
        <v>0</v>
      </c>
      <c r="O9155" t="n">
        <v>0</v>
      </c>
      <c r="P9155" t="n">
        <v>0</v>
      </c>
      <c r="Q9155" t="n">
        <v>0</v>
      </c>
      <c r="R9155" s="2" t="inlineStr"/>
    </row>
    <row r="9156" ht="15" customHeight="1">
      <c r="A9156" t="inlineStr">
        <is>
          <t>A 48799-2025</t>
        </is>
      </c>
      <c r="B9156" s="1" t="n">
        <v>45937.34498842592</v>
      </c>
      <c r="C9156" s="1" t="n">
        <v>45952</v>
      </c>
      <c r="D9156" t="inlineStr">
        <is>
          <t>VÄSTRA GÖTALANDS LÄN</t>
        </is>
      </c>
      <c r="E9156" t="inlineStr">
        <is>
          <t>TANUM</t>
        </is>
      </c>
      <c r="G9156" t="n">
        <v>4.6</v>
      </c>
      <c r="H9156" t="n">
        <v>0</v>
      </c>
      <c r="I9156" t="n">
        <v>0</v>
      </c>
      <c r="J9156" t="n">
        <v>0</v>
      </c>
      <c r="K9156" t="n">
        <v>0</v>
      </c>
      <c r="L9156" t="n">
        <v>0</v>
      </c>
      <c r="M9156" t="n">
        <v>0</v>
      </c>
      <c r="N9156" t="n">
        <v>0</v>
      </c>
      <c r="O9156" t="n">
        <v>0</v>
      </c>
      <c r="P9156" t="n">
        <v>0</v>
      </c>
      <c r="Q9156" t="n">
        <v>0</v>
      </c>
      <c r="R9156" s="2" t="inlineStr"/>
    </row>
    <row r="9157" ht="15" customHeight="1">
      <c r="A9157" t="inlineStr">
        <is>
          <t>A 41240-2024</t>
        </is>
      </c>
      <c r="B9157" s="1" t="n">
        <v>45559.57224537037</v>
      </c>
      <c r="C9157" s="1" t="n">
        <v>45952</v>
      </c>
      <c r="D9157" t="inlineStr">
        <is>
          <t>VÄSTRA GÖTALANDS LÄN</t>
        </is>
      </c>
      <c r="E9157" t="inlineStr">
        <is>
          <t>SVENLJUNGA</t>
        </is>
      </c>
      <c r="G9157" t="n">
        <v>3.6</v>
      </c>
      <c r="H9157" t="n">
        <v>0</v>
      </c>
      <c r="I9157" t="n">
        <v>0</v>
      </c>
      <c r="J9157" t="n">
        <v>0</v>
      </c>
      <c r="K9157" t="n">
        <v>0</v>
      </c>
      <c r="L9157" t="n">
        <v>0</v>
      </c>
      <c r="M9157" t="n">
        <v>0</v>
      </c>
      <c r="N9157" t="n">
        <v>0</v>
      </c>
      <c r="O9157" t="n">
        <v>0</v>
      </c>
      <c r="P9157" t="n">
        <v>0</v>
      </c>
      <c r="Q9157" t="n">
        <v>0</v>
      </c>
      <c r="R9157" s="2" t="inlineStr"/>
    </row>
    <row r="9158" ht="15" customHeight="1">
      <c r="A9158" t="inlineStr">
        <is>
          <t>A 48671-2025</t>
        </is>
      </c>
      <c r="B9158" s="1" t="n">
        <v>45935</v>
      </c>
      <c r="C9158" s="1" t="n">
        <v>45952</v>
      </c>
      <c r="D9158" t="inlineStr">
        <is>
          <t>VÄSTRA GÖTALANDS LÄN</t>
        </is>
      </c>
      <c r="E9158" t="inlineStr">
        <is>
          <t>TANUM</t>
        </is>
      </c>
      <c r="G9158" t="n">
        <v>0.5</v>
      </c>
      <c r="H9158" t="n">
        <v>0</v>
      </c>
      <c r="I9158" t="n">
        <v>0</v>
      </c>
      <c r="J9158" t="n">
        <v>0</v>
      </c>
      <c r="K9158" t="n">
        <v>0</v>
      </c>
      <c r="L9158" t="n">
        <v>0</v>
      </c>
      <c r="M9158" t="n">
        <v>0</v>
      </c>
      <c r="N9158" t="n">
        <v>0</v>
      </c>
      <c r="O9158" t="n">
        <v>0</v>
      </c>
      <c r="P9158" t="n">
        <v>0</v>
      </c>
      <c r="Q9158" t="n">
        <v>0</v>
      </c>
      <c r="R9158" s="2" t="inlineStr"/>
    </row>
    <row r="9159" ht="15" customHeight="1">
      <c r="A9159" t="inlineStr">
        <is>
          <t>A 22949-2025</t>
        </is>
      </c>
      <c r="B9159" s="1" t="n">
        <v>45790.49822916667</v>
      </c>
      <c r="C9159" s="1" t="n">
        <v>45952</v>
      </c>
      <c r="D9159" t="inlineStr">
        <is>
          <t>VÄSTRA GÖTALANDS LÄN</t>
        </is>
      </c>
      <c r="E9159" t="inlineStr">
        <is>
          <t>SVENLJUNGA</t>
        </is>
      </c>
      <c r="G9159" t="n">
        <v>1</v>
      </c>
      <c r="H9159" t="n">
        <v>0</v>
      </c>
      <c r="I9159" t="n">
        <v>0</v>
      </c>
      <c r="J9159" t="n">
        <v>0</v>
      </c>
      <c r="K9159" t="n">
        <v>0</v>
      </c>
      <c r="L9159" t="n">
        <v>0</v>
      </c>
      <c r="M9159" t="n">
        <v>0</v>
      </c>
      <c r="N9159" t="n">
        <v>0</v>
      </c>
      <c r="O9159" t="n">
        <v>0</v>
      </c>
      <c r="P9159" t="n">
        <v>0</v>
      </c>
      <c r="Q9159" t="n">
        <v>0</v>
      </c>
      <c r="R9159" s="2" t="inlineStr"/>
    </row>
    <row r="9160" ht="15" customHeight="1">
      <c r="A9160" t="inlineStr">
        <is>
          <t>A 22975-2025</t>
        </is>
      </c>
      <c r="B9160" s="1" t="n">
        <v>45790.56325231482</v>
      </c>
      <c r="C9160" s="1" t="n">
        <v>45952</v>
      </c>
      <c r="D9160" t="inlineStr">
        <is>
          <t>VÄSTRA GÖTALANDS LÄN</t>
        </is>
      </c>
      <c r="E9160" t="inlineStr">
        <is>
          <t>MARIESTAD</t>
        </is>
      </c>
      <c r="G9160" t="n">
        <v>1.4</v>
      </c>
      <c r="H9160" t="n">
        <v>0</v>
      </c>
      <c r="I9160" t="n">
        <v>0</v>
      </c>
      <c r="J9160" t="n">
        <v>0</v>
      </c>
      <c r="K9160" t="n">
        <v>0</v>
      </c>
      <c r="L9160" t="n">
        <v>0</v>
      </c>
      <c r="M9160" t="n">
        <v>0</v>
      </c>
      <c r="N9160" t="n">
        <v>0</v>
      </c>
      <c r="O9160" t="n">
        <v>0</v>
      </c>
      <c r="P9160" t="n">
        <v>0</v>
      </c>
      <c r="Q9160" t="n">
        <v>0</v>
      </c>
      <c r="R9160" s="2" t="inlineStr"/>
    </row>
    <row r="9161" ht="15" customHeight="1">
      <c r="A9161" t="inlineStr">
        <is>
          <t>A 39689-2023</t>
        </is>
      </c>
      <c r="B9161" s="1" t="n">
        <v>45167.5919212963</v>
      </c>
      <c r="C9161" s="1" t="n">
        <v>45952</v>
      </c>
      <c r="D9161" t="inlineStr">
        <is>
          <t>VÄSTRA GÖTALANDS LÄN</t>
        </is>
      </c>
      <c r="E9161" t="inlineStr">
        <is>
          <t>SVENLJUNGA</t>
        </is>
      </c>
      <c r="G9161" t="n">
        <v>1</v>
      </c>
      <c r="H9161" t="n">
        <v>0</v>
      </c>
      <c r="I9161" t="n">
        <v>0</v>
      </c>
      <c r="J9161" t="n">
        <v>0</v>
      </c>
      <c r="K9161" t="n">
        <v>0</v>
      </c>
      <c r="L9161" t="n">
        <v>0</v>
      </c>
      <c r="M9161" t="n">
        <v>0</v>
      </c>
      <c r="N9161" t="n">
        <v>0</v>
      </c>
      <c r="O9161" t="n">
        <v>0</v>
      </c>
      <c r="P9161" t="n">
        <v>0</v>
      </c>
      <c r="Q9161" t="n">
        <v>0</v>
      </c>
      <c r="R9161" s="2" t="inlineStr"/>
    </row>
    <row r="9162" ht="15" customHeight="1">
      <c r="A9162" t="inlineStr">
        <is>
          <t>A 13686-2025</t>
        </is>
      </c>
      <c r="B9162" s="1" t="n">
        <v>45737.31084490741</v>
      </c>
      <c r="C9162" s="1" t="n">
        <v>45952</v>
      </c>
      <c r="D9162" t="inlineStr">
        <is>
          <t>VÄSTRA GÖTALANDS LÄN</t>
        </is>
      </c>
      <c r="E9162" t="inlineStr">
        <is>
          <t>DALS-ED</t>
        </is>
      </c>
      <c r="G9162" t="n">
        <v>1.5</v>
      </c>
      <c r="H9162" t="n">
        <v>0</v>
      </c>
      <c r="I9162" t="n">
        <v>0</v>
      </c>
      <c r="J9162" t="n">
        <v>0</v>
      </c>
      <c r="K9162" t="n">
        <v>0</v>
      </c>
      <c r="L9162" t="n">
        <v>0</v>
      </c>
      <c r="M9162" t="n">
        <v>0</v>
      </c>
      <c r="N9162" t="n">
        <v>0</v>
      </c>
      <c r="O9162" t="n">
        <v>0</v>
      </c>
      <c r="P9162" t="n">
        <v>0</v>
      </c>
      <c r="Q9162" t="n">
        <v>0</v>
      </c>
      <c r="R9162" s="2" t="inlineStr"/>
    </row>
    <row r="9163" ht="15" customHeight="1">
      <c r="A9163" t="inlineStr">
        <is>
          <t>A 13690-2025</t>
        </is>
      </c>
      <c r="B9163" s="1" t="n">
        <v>45737.31587962963</v>
      </c>
      <c r="C9163" s="1" t="n">
        <v>45952</v>
      </c>
      <c r="D9163" t="inlineStr">
        <is>
          <t>VÄSTRA GÖTALANDS LÄN</t>
        </is>
      </c>
      <c r="E9163" t="inlineStr">
        <is>
          <t>DALS-ED</t>
        </is>
      </c>
      <c r="F9163" t="inlineStr">
        <is>
          <t>Övriga Aktiebolag</t>
        </is>
      </c>
      <c r="G9163" t="n">
        <v>3.5</v>
      </c>
      <c r="H9163" t="n">
        <v>0</v>
      </c>
      <c r="I9163" t="n">
        <v>0</v>
      </c>
      <c r="J9163" t="n">
        <v>0</v>
      </c>
      <c r="K9163" t="n">
        <v>0</v>
      </c>
      <c r="L9163" t="n">
        <v>0</v>
      </c>
      <c r="M9163" t="n">
        <v>0</v>
      </c>
      <c r="N9163" t="n">
        <v>0</v>
      </c>
      <c r="O9163" t="n">
        <v>0</v>
      </c>
      <c r="P9163" t="n">
        <v>0</v>
      </c>
      <c r="Q9163" t="n">
        <v>0</v>
      </c>
      <c r="R9163" s="2" t="inlineStr"/>
    </row>
    <row r="9164" ht="15" customHeight="1">
      <c r="A9164" t="inlineStr">
        <is>
          <t>A 14887-2025</t>
        </is>
      </c>
      <c r="B9164" s="1" t="n">
        <v>45743.46834490741</v>
      </c>
      <c r="C9164" s="1" t="n">
        <v>45952</v>
      </c>
      <c r="D9164" t="inlineStr">
        <is>
          <t>VÄSTRA GÖTALANDS LÄN</t>
        </is>
      </c>
      <c r="E9164" t="inlineStr">
        <is>
          <t>MARIESTAD</t>
        </is>
      </c>
      <c r="G9164" t="n">
        <v>7</v>
      </c>
      <c r="H9164" t="n">
        <v>0</v>
      </c>
      <c r="I9164" t="n">
        <v>0</v>
      </c>
      <c r="J9164" t="n">
        <v>0</v>
      </c>
      <c r="K9164" t="n">
        <v>0</v>
      </c>
      <c r="L9164" t="n">
        <v>0</v>
      </c>
      <c r="M9164" t="n">
        <v>0</v>
      </c>
      <c r="N9164" t="n">
        <v>0</v>
      </c>
      <c r="O9164" t="n">
        <v>0</v>
      </c>
      <c r="P9164" t="n">
        <v>0</v>
      </c>
      <c r="Q9164" t="n">
        <v>0</v>
      </c>
      <c r="R9164" s="2" t="inlineStr"/>
    </row>
    <row r="9165" ht="15" customHeight="1">
      <c r="A9165" t="inlineStr">
        <is>
          <t>A 40345-2025</t>
        </is>
      </c>
      <c r="B9165" s="1" t="n">
        <v>45895</v>
      </c>
      <c r="C9165" s="1" t="n">
        <v>45952</v>
      </c>
      <c r="D9165" t="inlineStr">
        <is>
          <t>VÄSTRA GÖTALANDS LÄN</t>
        </is>
      </c>
      <c r="E9165" t="inlineStr">
        <is>
          <t>ULRICEHAMN</t>
        </is>
      </c>
      <c r="G9165" t="n">
        <v>5</v>
      </c>
      <c r="H9165" t="n">
        <v>0</v>
      </c>
      <c r="I9165" t="n">
        <v>0</v>
      </c>
      <c r="J9165" t="n">
        <v>0</v>
      </c>
      <c r="K9165" t="n">
        <v>0</v>
      </c>
      <c r="L9165" t="n">
        <v>0</v>
      </c>
      <c r="M9165" t="n">
        <v>0</v>
      </c>
      <c r="N9165" t="n">
        <v>0</v>
      </c>
      <c r="O9165" t="n">
        <v>0</v>
      </c>
      <c r="P9165" t="n">
        <v>0</v>
      </c>
      <c r="Q9165" t="n">
        <v>0</v>
      </c>
      <c r="R9165" s="2" t="inlineStr"/>
    </row>
    <row r="9166" ht="15" customHeight="1">
      <c r="A9166" t="inlineStr">
        <is>
          <t>A 57523-2022</t>
        </is>
      </c>
      <c r="B9166" s="1" t="n">
        <v>44896</v>
      </c>
      <c r="C9166" s="1" t="n">
        <v>45952</v>
      </c>
      <c r="D9166" t="inlineStr">
        <is>
          <t>VÄSTRA GÖTALANDS LÄN</t>
        </is>
      </c>
      <c r="E9166" t="inlineStr">
        <is>
          <t>MARK</t>
        </is>
      </c>
      <c r="G9166" t="n">
        <v>1.7</v>
      </c>
      <c r="H9166" t="n">
        <v>0</v>
      </c>
      <c r="I9166" t="n">
        <v>0</v>
      </c>
      <c r="J9166" t="n">
        <v>0</v>
      </c>
      <c r="K9166" t="n">
        <v>0</v>
      </c>
      <c r="L9166" t="n">
        <v>0</v>
      </c>
      <c r="M9166" t="n">
        <v>0</v>
      </c>
      <c r="N9166" t="n">
        <v>0</v>
      </c>
      <c r="O9166" t="n">
        <v>0</v>
      </c>
      <c r="P9166" t="n">
        <v>0</v>
      </c>
      <c r="Q9166" t="n">
        <v>0</v>
      </c>
      <c r="R9166" s="2" t="inlineStr"/>
    </row>
    <row r="9167" ht="15" customHeight="1">
      <c r="A9167" t="inlineStr">
        <is>
          <t>A 4233-2021</t>
        </is>
      </c>
      <c r="B9167" s="1" t="n">
        <v>44223</v>
      </c>
      <c r="C9167" s="1" t="n">
        <v>45952</v>
      </c>
      <c r="D9167" t="inlineStr">
        <is>
          <t>VÄSTRA GÖTALANDS LÄN</t>
        </is>
      </c>
      <c r="E9167" t="inlineStr">
        <is>
          <t>STENUNGSUND</t>
        </is>
      </c>
      <c r="G9167" t="n">
        <v>8.9</v>
      </c>
      <c r="H9167" t="n">
        <v>0</v>
      </c>
      <c r="I9167" t="n">
        <v>0</v>
      </c>
      <c r="J9167" t="n">
        <v>0</v>
      </c>
      <c r="K9167" t="n">
        <v>0</v>
      </c>
      <c r="L9167" t="n">
        <v>0</v>
      </c>
      <c r="M9167" t="n">
        <v>0</v>
      </c>
      <c r="N9167" t="n">
        <v>0</v>
      </c>
      <c r="O9167" t="n">
        <v>0</v>
      </c>
      <c r="P9167" t="n">
        <v>0</v>
      </c>
      <c r="Q9167" t="n">
        <v>0</v>
      </c>
      <c r="R9167" s="2" t="inlineStr"/>
    </row>
    <row r="9168" ht="15" customHeight="1">
      <c r="A9168" t="inlineStr">
        <is>
          <t>A 14891-2025</t>
        </is>
      </c>
      <c r="B9168" s="1" t="n">
        <v>45743.47010416666</v>
      </c>
      <c r="C9168" s="1" t="n">
        <v>45952</v>
      </c>
      <c r="D9168" t="inlineStr">
        <is>
          <t>VÄSTRA GÖTALANDS LÄN</t>
        </is>
      </c>
      <c r="E9168" t="inlineStr">
        <is>
          <t>LILLA EDET</t>
        </is>
      </c>
      <c r="G9168" t="n">
        <v>0.7</v>
      </c>
      <c r="H9168" t="n">
        <v>0</v>
      </c>
      <c r="I9168" t="n">
        <v>0</v>
      </c>
      <c r="J9168" t="n">
        <v>0</v>
      </c>
      <c r="K9168" t="n">
        <v>0</v>
      </c>
      <c r="L9168" t="n">
        <v>0</v>
      </c>
      <c r="M9168" t="n">
        <v>0</v>
      </c>
      <c r="N9168" t="n">
        <v>0</v>
      </c>
      <c r="O9168" t="n">
        <v>0</v>
      </c>
      <c r="P9168" t="n">
        <v>0</v>
      </c>
      <c r="Q9168" t="n">
        <v>0</v>
      </c>
      <c r="R9168" s="2" t="inlineStr"/>
    </row>
    <row r="9169" ht="15" customHeight="1">
      <c r="A9169" t="inlineStr">
        <is>
          <t>A 14901-2025</t>
        </is>
      </c>
      <c r="B9169" s="1" t="n">
        <v>45743.48797453703</v>
      </c>
      <c r="C9169" s="1" t="n">
        <v>45952</v>
      </c>
      <c r="D9169" t="inlineStr">
        <is>
          <t>VÄSTRA GÖTALANDS LÄN</t>
        </is>
      </c>
      <c r="E9169" t="inlineStr">
        <is>
          <t>VARA</t>
        </is>
      </c>
      <c r="F9169" t="inlineStr">
        <is>
          <t>Sveaskog</t>
        </is>
      </c>
      <c r="G9169" t="n">
        <v>3.1</v>
      </c>
      <c r="H9169" t="n">
        <v>0</v>
      </c>
      <c r="I9169" t="n">
        <v>0</v>
      </c>
      <c r="J9169" t="n">
        <v>0</v>
      </c>
      <c r="K9169" t="n">
        <v>0</v>
      </c>
      <c r="L9169" t="n">
        <v>0</v>
      </c>
      <c r="M9169" t="n">
        <v>0</v>
      </c>
      <c r="N9169" t="n">
        <v>0</v>
      </c>
      <c r="O9169" t="n">
        <v>0</v>
      </c>
      <c r="P9169" t="n">
        <v>0</v>
      </c>
      <c r="Q9169" t="n">
        <v>0</v>
      </c>
      <c r="R9169" s="2" t="inlineStr"/>
    </row>
    <row r="9170" ht="15" customHeight="1">
      <c r="A9170" t="inlineStr">
        <is>
          <t>A 14909-2025</t>
        </is>
      </c>
      <c r="B9170" s="1" t="n">
        <v>45743.52303240741</v>
      </c>
      <c r="C9170" s="1" t="n">
        <v>45952</v>
      </c>
      <c r="D9170" t="inlineStr">
        <is>
          <t>VÄSTRA GÖTALANDS LÄN</t>
        </is>
      </c>
      <c r="E9170" t="inlineStr">
        <is>
          <t>DALS-ED</t>
        </is>
      </c>
      <c r="G9170" t="n">
        <v>1.2</v>
      </c>
      <c r="H9170" t="n">
        <v>0</v>
      </c>
      <c r="I9170" t="n">
        <v>0</v>
      </c>
      <c r="J9170" t="n">
        <v>0</v>
      </c>
      <c r="K9170" t="n">
        <v>0</v>
      </c>
      <c r="L9170" t="n">
        <v>0</v>
      </c>
      <c r="M9170" t="n">
        <v>0</v>
      </c>
      <c r="N9170" t="n">
        <v>0</v>
      </c>
      <c r="O9170" t="n">
        <v>0</v>
      </c>
      <c r="P9170" t="n">
        <v>0</v>
      </c>
      <c r="Q9170" t="n">
        <v>0</v>
      </c>
      <c r="R9170" s="2" t="inlineStr"/>
    </row>
    <row r="9171" ht="15" customHeight="1">
      <c r="A9171" t="inlineStr">
        <is>
          <t>A 14918-2025</t>
        </is>
      </c>
      <c r="B9171" s="1" t="n">
        <v>45743.53940972222</v>
      </c>
      <c r="C9171" s="1" t="n">
        <v>45952</v>
      </c>
      <c r="D9171" t="inlineStr">
        <is>
          <t>VÄSTRA GÖTALANDS LÄN</t>
        </is>
      </c>
      <c r="E9171" t="inlineStr">
        <is>
          <t>DALS-ED</t>
        </is>
      </c>
      <c r="G9171" t="n">
        <v>1.3</v>
      </c>
      <c r="H9171" t="n">
        <v>0</v>
      </c>
      <c r="I9171" t="n">
        <v>0</v>
      </c>
      <c r="J9171" t="n">
        <v>0</v>
      </c>
      <c r="K9171" t="n">
        <v>0</v>
      </c>
      <c r="L9171" t="n">
        <v>0</v>
      </c>
      <c r="M9171" t="n">
        <v>0</v>
      </c>
      <c r="N9171" t="n">
        <v>0</v>
      </c>
      <c r="O9171" t="n">
        <v>0</v>
      </c>
      <c r="P9171" t="n">
        <v>0</v>
      </c>
      <c r="Q9171" t="n">
        <v>0</v>
      </c>
      <c r="R9171" s="2" t="inlineStr"/>
    </row>
    <row r="9172" ht="15" customHeight="1">
      <c r="A9172" t="inlineStr">
        <is>
          <t>A 14965-2025</t>
        </is>
      </c>
      <c r="B9172" s="1" t="n">
        <v>45743.58711805556</v>
      </c>
      <c r="C9172" s="1" t="n">
        <v>45952</v>
      </c>
      <c r="D9172" t="inlineStr">
        <is>
          <t>VÄSTRA GÖTALANDS LÄN</t>
        </is>
      </c>
      <c r="E9172" t="inlineStr">
        <is>
          <t>TANUM</t>
        </is>
      </c>
      <c r="G9172" t="n">
        <v>5.2</v>
      </c>
      <c r="H9172" t="n">
        <v>0</v>
      </c>
      <c r="I9172" t="n">
        <v>0</v>
      </c>
      <c r="J9172" t="n">
        <v>0</v>
      </c>
      <c r="K9172" t="n">
        <v>0</v>
      </c>
      <c r="L9172" t="n">
        <v>0</v>
      </c>
      <c r="M9172" t="n">
        <v>0</v>
      </c>
      <c r="N9172" t="n">
        <v>0</v>
      </c>
      <c r="O9172" t="n">
        <v>0</v>
      </c>
      <c r="P9172" t="n">
        <v>0</v>
      </c>
      <c r="Q9172" t="n">
        <v>0</v>
      </c>
      <c r="R9172" s="2" t="inlineStr"/>
    </row>
    <row r="9173" ht="15" customHeight="1">
      <c r="A9173" t="inlineStr">
        <is>
          <t>A 14969-2025</t>
        </is>
      </c>
      <c r="B9173" s="1" t="n">
        <v>45743.5912962963</v>
      </c>
      <c r="C9173" s="1" t="n">
        <v>45952</v>
      </c>
      <c r="D9173" t="inlineStr">
        <is>
          <t>VÄSTRA GÖTALANDS LÄN</t>
        </is>
      </c>
      <c r="E9173" t="inlineStr">
        <is>
          <t>SKÖVDE</t>
        </is>
      </c>
      <c r="G9173" t="n">
        <v>0.8</v>
      </c>
      <c r="H9173" t="n">
        <v>0</v>
      </c>
      <c r="I9173" t="n">
        <v>0</v>
      </c>
      <c r="J9173" t="n">
        <v>0</v>
      </c>
      <c r="K9173" t="n">
        <v>0</v>
      </c>
      <c r="L9173" t="n">
        <v>0</v>
      </c>
      <c r="M9173" t="n">
        <v>0</v>
      </c>
      <c r="N9173" t="n">
        <v>0</v>
      </c>
      <c r="O9173" t="n">
        <v>0</v>
      </c>
      <c r="P9173" t="n">
        <v>0</v>
      </c>
      <c r="Q9173" t="n">
        <v>0</v>
      </c>
      <c r="R9173" s="2" t="inlineStr"/>
    </row>
    <row r="9174" ht="15" customHeight="1">
      <c r="A9174" t="inlineStr">
        <is>
          <t>A 27807-2022</t>
        </is>
      </c>
      <c r="B9174" s="1" t="n">
        <v>44743.57612268518</v>
      </c>
      <c r="C9174" s="1" t="n">
        <v>45952</v>
      </c>
      <c r="D9174" t="inlineStr">
        <is>
          <t>VÄSTRA GÖTALANDS LÄN</t>
        </is>
      </c>
      <c r="E9174" t="inlineStr">
        <is>
          <t>DALS-ED</t>
        </is>
      </c>
      <c r="G9174" t="n">
        <v>3.8</v>
      </c>
      <c r="H9174" t="n">
        <v>0</v>
      </c>
      <c r="I9174" t="n">
        <v>0</v>
      </c>
      <c r="J9174" t="n">
        <v>0</v>
      </c>
      <c r="K9174" t="n">
        <v>0</v>
      </c>
      <c r="L9174" t="n">
        <v>0</v>
      </c>
      <c r="M9174" t="n">
        <v>0</v>
      </c>
      <c r="N9174" t="n">
        <v>0</v>
      </c>
      <c r="O9174" t="n">
        <v>0</v>
      </c>
      <c r="P9174" t="n">
        <v>0</v>
      </c>
      <c r="Q9174" t="n">
        <v>0</v>
      </c>
      <c r="R9174" s="2" t="inlineStr"/>
    </row>
    <row r="9175" ht="15" customHeight="1">
      <c r="A9175" t="inlineStr">
        <is>
          <t>A 12656-2025</t>
        </is>
      </c>
      <c r="B9175" s="1" t="n">
        <v>45733.41709490741</v>
      </c>
      <c r="C9175" s="1" t="n">
        <v>45952</v>
      </c>
      <c r="D9175" t="inlineStr">
        <is>
          <t>VÄSTRA GÖTALANDS LÄN</t>
        </is>
      </c>
      <c r="E9175" t="inlineStr">
        <is>
          <t>GÖTENE</t>
        </is>
      </c>
      <c r="G9175" t="n">
        <v>1.6</v>
      </c>
      <c r="H9175" t="n">
        <v>0</v>
      </c>
      <c r="I9175" t="n">
        <v>0</v>
      </c>
      <c r="J9175" t="n">
        <v>0</v>
      </c>
      <c r="K9175" t="n">
        <v>0</v>
      </c>
      <c r="L9175" t="n">
        <v>0</v>
      </c>
      <c r="M9175" t="n">
        <v>0</v>
      </c>
      <c r="N9175" t="n">
        <v>0</v>
      </c>
      <c r="O9175" t="n">
        <v>0</v>
      </c>
      <c r="P9175" t="n">
        <v>0</v>
      </c>
      <c r="Q9175" t="n">
        <v>0</v>
      </c>
      <c r="R9175" s="2" t="inlineStr"/>
    </row>
    <row r="9176" ht="15" customHeight="1">
      <c r="A9176" t="inlineStr">
        <is>
          <t>A 40443-2025</t>
        </is>
      </c>
      <c r="B9176" s="1" t="n">
        <v>45895.62972222222</v>
      </c>
      <c r="C9176" s="1" t="n">
        <v>45952</v>
      </c>
      <c r="D9176" t="inlineStr">
        <is>
          <t>VÄSTRA GÖTALANDS LÄN</t>
        </is>
      </c>
      <c r="E9176" t="inlineStr">
        <is>
          <t>MARK</t>
        </is>
      </c>
      <c r="G9176" t="n">
        <v>2.6</v>
      </c>
      <c r="H9176" t="n">
        <v>0</v>
      </c>
      <c r="I9176" t="n">
        <v>0</v>
      </c>
      <c r="J9176" t="n">
        <v>0</v>
      </c>
      <c r="K9176" t="n">
        <v>0</v>
      </c>
      <c r="L9176" t="n">
        <v>0</v>
      </c>
      <c r="M9176" t="n">
        <v>0</v>
      </c>
      <c r="N9176" t="n">
        <v>0</v>
      </c>
      <c r="O9176" t="n">
        <v>0</v>
      </c>
      <c r="P9176" t="n">
        <v>0</v>
      </c>
      <c r="Q9176" t="n">
        <v>0</v>
      </c>
      <c r="R9176" s="2" t="inlineStr"/>
    </row>
    <row r="9177" ht="15" customHeight="1">
      <c r="A9177" t="inlineStr">
        <is>
          <t>A 23301-2025</t>
        </is>
      </c>
      <c r="B9177" s="1" t="n">
        <v>45791.59498842592</v>
      </c>
      <c r="C9177" s="1" t="n">
        <v>45952</v>
      </c>
      <c r="D9177" t="inlineStr">
        <is>
          <t>VÄSTRA GÖTALANDS LÄN</t>
        </is>
      </c>
      <c r="E9177" t="inlineStr">
        <is>
          <t>TJÖRN</t>
        </is>
      </c>
      <c r="G9177" t="n">
        <v>2.9</v>
      </c>
      <c r="H9177" t="n">
        <v>0</v>
      </c>
      <c r="I9177" t="n">
        <v>0</v>
      </c>
      <c r="J9177" t="n">
        <v>0</v>
      </c>
      <c r="K9177" t="n">
        <v>0</v>
      </c>
      <c r="L9177" t="n">
        <v>0</v>
      </c>
      <c r="M9177" t="n">
        <v>0</v>
      </c>
      <c r="N9177" t="n">
        <v>0</v>
      </c>
      <c r="O9177" t="n">
        <v>0</v>
      </c>
      <c r="P9177" t="n">
        <v>0</v>
      </c>
      <c r="Q9177" t="n">
        <v>0</v>
      </c>
      <c r="R9177" s="2" t="inlineStr"/>
    </row>
    <row r="9178" ht="15" customHeight="1">
      <c r="A9178" t="inlineStr">
        <is>
          <t>A 8961-2025</t>
        </is>
      </c>
      <c r="B9178" s="1" t="n">
        <v>45713.48292824074</v>
      </c>
      <c r="C9178" s="1" t="n">
        <v>45952</v>
      </c>
      <c r="D9178" t="inlineStr">
        <is>
          <t>VÄSTRA GÖTALANDS LÄN</t>
        </is>
      </c>
      <c r="E9178" t="inlineStr">
        <is>
          <t>STENUNGSUND</t>
        </is>
      </c>
      <c r="G9178" t="n">
        <v>2</v>
      </c>
      <c r="H9178" t="n">
        <v>0</v>
      </c>
      <c r="I9178" t="n">
        <v>0</v>
      </c>
      <c r="J9178" t="n">
        <v>0</v>
      </c>
      <c r="K9178" t="n">
        <v>0</v>
      </c>
      <c r="L9178" t="n">
        <v>0</v>
      </c>
      <c r="M9178" t="n">
        <v>0</v>
      </c>
      <c r="N9178" t="n">
        <v>0</v>
      </c>
      <c r="O9178" t="n">
        <v>0</v>
      </c>
      <c r="P9178" t="n">
        <v>0</v>
      </c>
      <c r="Q9178" t="n">
        <v>0</v>
      </c>
      <c r="R9178" s="2" t="inlineStr"/>
    </row>
    <row r="9179" ht="15" customHeight="1">
      <c r="A9179" t="inlineStr">
        <is>
          <t>A 63280-2020</t>
        </is>
      </c>
      <c r="B9179" s="1" t="n">
        <v>44165</v>
      </c>
      <c r="C9179" s="1" t="n">
        <v>45952</v>
      </c>
      <c r="D9179" t="inlineStr">
        <is>
          <t>VÄSTRA GÖTALANDS LÄN</t>
        </is>
      </c>
      <c r="E9179" t="inlineStr">
        <is>
          <t>DALS-ED</t>
        </is>
      </c>
      <c r="G9179" t="n">
        <v>1</v>
      </c>
      <c r="H9179" t="n">
        <v>0</v>
      </c>
      <c r="I9179" t="n">
        <v>0</v>
      </c>
      <c r="J9179" t="n">
        <v>0</v>
      </c>
      <c r="K9179" t="n">
        <v>0</v>
      </c>
      <c r="L9179" t="n">
        <v>0</v>
      </c>
      <c r="M9179" t="n">
        <v>0</v>
      </c>
      <c r="N9179" t="n">
        <v>0</v>
      </c>
      <c r="O9179" t="n">
        <v>0</v>
      </c>
      <c r="P9179" t="n">
        <v>0</v>
      </c>
      <c r="Q9179" t="n">
        <v>0</v>
      </c>
      <c r="R9179" s="2" t="inlineStr"/>
    </row>
    <row r="9180" ht="15" customHeight="1">
      <c r="A9180" t="inlineStr">
        <is>
          <t>A 12985-2025</t>
        </is>
      </c>
      <c r="B9180" s="1" t="n">
        <v>45734.46896990741</v>
      </c>
      <c r="C9180" s="1" t="n">
        <v>45952</v>
      </c>
      <c r="D9180" t="inlineStr">
        <is>
          <t>VÄSTRA GÖTALANDS LÄN</t>
        </is>
      </c>
      <c r="E9180" t="inlineStr">
        <is>
          <t>TRANEMO</t>
        </is>
      </c>
      <c r="G9180" t="n">
        <v>3.3</v>
      </c>
      <c r="H9180" t="n">
        <v>0</v>
      </c>
      <c r="I9180" t="n">
        <v>0</v>
      </c>
      <c r="J9180" t="n">
        <v>0</v>
      </c>
      <c r="K9180" t="n">
        <v>0</v>
      </c>
      <c r="L9180" t="n">
        <v>0</v>
      </c>
      <c r="M9180" t="n">
        <v>0</v>
      </c>
      <c r="N9180" t="n">
        <v>0</v>
      </c>
      <c r="O9180" t="n">
        <v>0</v>
      </c>
      <c r="P9180" t="n">
        <v>0</v>
      </c>
      <c r="Q9180" t="n">
        <v>0</v>
      </c>
      <c r="R9180" s="2" t="inlineStr"/>
    </row>
    <row r="9181" ht="15" customHeight="1">
      <c r="A9181" t="inlineStr">
        <is>
          <t>A 8984-2025</t>
        </is>
      </c>
      <c r="B9181" s="1" t="n">
        <v>45713.53513888889</v>
      </c>
      <c r="C9181" s="1" t="n">
        <v>45952</v>
      </c>
      <c r="D9181" t="inlineStr">
        <is>
          <t>VÄSTRA GÖTALANDS LÄN</t>
        </is>
      </c>
      <c r="E9181" t="inlineStr">
        <is>
          <t>KARLSBORG</t>
        </is>
      </c>
      <c r="F9181" t="inlineStr">
        <is>
          <t>Övriga Aktiebolag</t>
        </is>
      </c>
      <c r="G9181" t="n">
        <v>9.5</v>
      </c>
      <c r="H9181" t="n">
        <v>0</v>
      </c>
      <c r="I9181" t="n">
        <v>0</v>
      </c>
      <c r="J9181" t="n">
        <v>0</v>
      </c>
      <c r="K9181" t="n">
        <v>0</v>
      </c>
      <c r="L9181" t="n">
        <v>0</v>
      </c>
      <c r="M9181" t="n">
        <v>0</v>
      </c>
      <c r="N9181" t="n">
        <v>0</v>
      </c>
      <c r="O9181" t="n">
        <v>0</v>
      </c>
      <c r="P9181" t="n">
        <v>0</v>
      </c>
      <c r="Q9181" t="n">
        <v>0</v>
      </c>
      <c r="R9181" s="2" t="inlineStr"/>
    </row>
    <row r="9182" ht="15" customHeight="1">
      <c r="A9182" t="inlineStr">
        <is>
          <t>A 9695-2025</t>
        </is>
      </c>
      <c r="B9182" s="1" t="n">
        <v>45716.37232638889</v>
      </c>
      <c r="C9182" s="1" t="n">
        <v>45952</v>
      </c>
      <c r="D9182" t="inlineStr">
        <is>
          <t>VÄSTRA GÖTALANDS LÄN</t>
        </is>
      </c>
      <c r="E9182" t="inlineStr">
        <is>
          <t>STRÖMSTAD</t>
        </is>
      </c>
      <c r="G9182" t="n">
        <v>1.2</v>
      </c>
      <c r="H9182" t="n">
        <v>0</v>
      </c>
      <c r="I9182" t="n">
        <v>0</v>
      </c>
      <c r="J9182" t="n">
        <v>0</v>
      </c>
      <c r="K9182" t="n">
        <v>0</v>
      </c>
      <c r="L9182" t="n">
        <v>0</v>
      </c>
      <c r="M9182" t="n">
        <v>0</v>
      </c>
      <c r="N9182" t="n">
        <v>0</v>
      </c>
      <c r="O9182" t="n">
        <v>0</v>
      </c>
      <c r="P9182" t="n">
        <v>0</v>
      </c>
      <c r="Q9182" t="n">
        <v>0</v>
      </c>
      <c r="R9182" s="2" t="inlineStr"/>
    </row>
    <row r="9183" ht="15" customHeight="1">
      <c r="A9183" t="inlineStr">
        <is>
          <t>A 9752-2025</t>
        </is>
      </c>
      <c r="B9183" s="1" t="n">
        <v>45716</v>
      </c>
      <c r="C9183" s="1" t="n">
        <v>45952</v>
      </c>
      <c r="D9183" t="inlineStr">
        <is>
          <t>VÄSTRA GÖTALANDS LÄN</t>
        </is>
      </c>
      <c r="E9183" t="inlineStr">
        <is>
          <t>SKARA</t>
        </is>
      </c>
      <c r="F9183" t="inlineStr">
        <is>
          <t>Sveaskog</t>
        </is>
      </c>
      <c r="G9183" t="n">
        <v>4.6</v>
      </c>
      <c r="H9183" t="n">
        <v>0</v>
      </c>
      <c r="I9183" t="n">
        <v>0</v>
      </c>
      <c r="J9183" t="n">
        <v>0</v>
      </c>
      <c r="K9183" t="n">
        <v>0</v>
      </c>
      <c r="L9183" t="n">
        <v>0</v>
      </c>
      <c r="M9183" t="n">
        <v>0</v>
      </c>
      <c r="N9183" t="n">
        <v>0</v>
      </c>
      <c r="O9183" t="n">
        <v>0</v>
      </c>
      <c r="P9183" t="n">
        <v>0</v>
      </c>
      <c r="Q9183" t="n">
        <v>0</v>
      </c>
      <c r="R9183" s="2" t="inlineStr"/>
    </row>
    <row r="9184" ht="15" customHeight="1">
      <c r="A9184" t="inlineStr">
        <is>
          <t>A 9868-2025</t>
        </is>
      </c>
      <c r="B9184" s="1" t="n">
        <v>45716.64101851852</v>
      </c>
      <c r="C9184" s="1" t="n">
        <v>45952</v>
      </c>
      <c r="D9184" t="inlineStr">
        <is>
          <t>VÄSTRA GÖTALANDS LÄN</t>
        </is>
      </c>
      <c r="E9184" t="inlineStr">
        <is>
          <t>MARIESTAD</t>
        </is>
      </c>
      <c r="G9184" t="n">
        <v>1.5</v>
      </c>
      <c r="H9184" t="n">
        <v>0</v>
      </c>
      <c r="I9184" t="n">
        <v>0</v>
      </c>
      <c r="J9184" t="n">
        <v>0</v>
      </c>
      <c r="K9184" t="n">
        <v>0</v>
      </c>
      <c r="L9184" t="n">
        <v>0</v>
      </c>
      <c r="M9184" t="n">
        <v>0</v>
      </c>
      <c r="N9184" t="n">
        <v>0</v>
      </c>
      <c r="O9184" t="n">
        <v>0</v>
      </c>
      <c r="P9184" t="n">
        <v>0</v>
      </c>
      <c r="Q9184" t="n">
        <v>0</v>
      </c>
      <c r="R9184" s="2" t="inlineStr"/>
    </row>
    <row r="9185" ht="15" customHeight="1">
      <c r="A9185" t="inlineStr">
        <is>
          <t>A 12996-2025</t>
        </is>
      </c>
      <c r="B9185" s="1" t="n">
        <v>45734.48722222223</v>
      </c>
      <c r="C9185" s="1" t="n">
        <v>45952</v>
      </c>
      <c r="D9185" t="inlineStr">
        <is>
          <t>VÄSTRA GÖTALANDS LÄN</t>
        </is>
      </c>
      <c r="E9185" t="inlineStr">
        <is>
          <t>DALS-ED</t>
        </is>
      </c>
      <c r="G9185" t="n">
        <v>1.1</v>
      </c>
      <c r="H9185" t="n">
        <v>0</v>
      </c>
      <c r="I9185" t="n">
        <v>0</v>
      </c>
      <c r="J9185" t="n">
        <v>0</v>
      </c>
      <c r="K9185" t="n">
        <v>0</v>
      </c>
      <c r="L9185" t="n">
        <v>0</v>
      </c>
      <c r="M9185" t="n">
        <v>0</v>
      </c>
      <c r="N9185" t="n">
        <v>0</v>
      </c>
      <c r="O9185" t="n">
        <v>0</v>
      </c>
      <c r="P9185" t="n">
        <v>0</v>
      </c>
      <c r="Q9185" t="n">
        <v>0</v>
      </c>
      <c r="R9185" s="2" t="inlineStr"/>
    </row>
    <row r="9186" ht="15" customHeight="1">
      <c r="A9186" t="inlineStr">
        <is>
          <t>A 15078-2025</t>
        </is>
      </c>
      <c r="B9186" s="1" t="n">
        <v>45743.84284722222</v>
      </c>
      <c r="C9186" s="1" t="n">
        <v>45952</v>
      </c>
      <c r="D9186" t="inlineStr">
        <is>
          <t>VÄSTRA GÖTALANDS LÄN</t>
        </is>
      </c>
      <c r="E9186" t="inlineStr">
        <is>
          <t>KUNGÄLV</t>
        </is>
      </c>
      <c r="G9186" t="n">
        <v>0.8</v>
      </c>
      <c r="H9186" t="n">
        <v>0</v>
      </c>
      <c r="I9186" t="n">
        <v>0</v>
      </c>
      <c r="J9186" t="n">
        <v>0</v>
      </c>
      <c r="K9186" t="n">
        <v>0</v>
      </c>
      <c r="L9186" t="n">
        <v>0</v>
      </c>
      <c r="M9186" t="n">
        <v>0</v>
      </c>
      <c r="N9186" t="n">
        <v>0</v>
      </c>
      <c r="O9186" t="n">
        <v>0</v>
      </c>
      <c r="P9186" t="n">
        <v>0</v>
      </c>
      <c r="Q9186" t="n">
        <v>0</v>
      </c>
      <c r="R9186" s="2" t="inlineStr"/>
    </row>
    <row r="9187" ht="15" customHeight="1">
      <c r="A9187" t="inlineStr">
        <is>
          <t>A 9878-2025</t>
        </is>
      </c>
      <c r="B9187" s="1" t="n">
        <v>45716</v>
      </c>
      <c r="C9187" s="1" t="n">
        <v>45952</v>
      </c>
      <c r="D9187" t="inlineStr">
        <is>
          <t>VÄSTRA GÖTALANDS LÄN</t>
        </is>
      </c>
      <c r="E9187" t="inlineStr">
        <is>
          <t>TANUM</t>
        </is>
      </c>
      <c r="G9187" t="n">
        <v>4.2</v>
      </c>
      <c r="H9187" t="n">
        <v>0</v>
      </c>
      <c r="I9187" t="n">
        <v>0</v>
      </c>
      <c r="J9187" t="n">
        <v>0</v>
      </c>
      <c r="K9187" t="n">
        <v>0</v>
      </c>
      <c r="L9187" t="n">
        <v>0</v>
      </c>
      <c r="M9187" t="n">
        <v>0</v>
      </c>
      <c r="N9187" t="n">
        <v>0</v>
      </c>
      <c r="O9187" t="n">
        <v>0</v>
      </c>
      <c r="P9187" t="n">
        <v>0</v>
      </c>
      <c r="Q9187" t="n">
        <v>0</v>
      </c>
      <c r="R9187" s="2" t="inlineStr"/>
    </row>
    <row r="9188" ht="15" customHeight="1">
      <c r="A9188" t="inlineStr">
        <is>
          <t>A 23012-2025</t>
        </is>
      </c>
      <c r="B9188" s="1" t="n">
        <v>45790</v>
      </c>
      <c r="C9188" s="1" t="n">
        <v>45952</v>
      </c>
      <c r="D9188" t="inlineStr">
        <is>
          <t>VÄSTRA GÖTALANDS LÄN</t>
        </is>
      </c>
      <c r="E9188" t="inlineStr">
        <is>
          <t>STRÖMSTAD</t>
        </is>
      </c>
      <c r="G9188" t="n">
        <v>6.6</v>
      </c>
      <c r="H9188" t="n">
        <v>0</v>
      </c>
      <c r="I9188" t="n">
        <v>0</v>
      </c>
      <c r="J9188" t="n">
        <v>0</v>
      </c>
      <c r="K9188" t="n">
        <v>0</v>
      </c>
      <c r="L9188" t="n">
        <v>0</v>
      </c>
      <c r="M9188" t="n">
        <v>0</v>
      </c>
      <c r="N9188" t="n">
        <v>0</v>
      </c>
      <c r="O9188" t="n">
        <v>0</v>
      </c>
      <c r="P9188" t="n">
        <v>0</v>
      </c>
      <c r="Q9188" t="n">
        <v>0</v>
      </c>
      <c r="R9188" s="2" t="inlineStr"/>
    </row>
    <row r="9189" ht="15" customHeight="1">
      <c r="A9189" t="inlineStr">
        <is>
          <t>A 11387-2025</t>
        </is>
      </c>
      <c r="B9189" s="1" t="n">
        <v>45726.56342592592</v>
      </c>
      <c r="C9189" s="1" t="n">
        <v>45952</v>
      </c>
      <c r="D9189" t="inlineStr">
        <is>
          <t>VÄSTRA GÖTALANDS LÄN</t>
        </is>
      </c>
      <c r="E9189" t="inlineStr">
        <is>
          <t>LIDKÖPING</t>
        </is>
      </c>
      <c r="G9189" t="n">
        <v>3.4</v>
      </c>
      <c r="H9189" t="n">
        <v>0</v>
      </c>
      <c r="I9189" t="n">
        <v>0</v>
      </c>
      <c r="J9189" t="n">
        <v>0</v>
      </c>
      <c r="K9189" t="n">
        <v>0</v>
      </c>
      <c r="L9189" t="n">
        <v>0</v>
      </c>
      <c r="M9189" t="n">
        <v>0</v>
      </c>
      <c r="N9189" t="n">
        <v>0</v>
      </c>
      <c r="O9189" t="n">
        <v>0</v>
      </c>
      <c r="P9189" t="n">
        <v>0</v>
      </c>
      <c r="Q9189" t="n">
        <v>0</v>
      </c>
      <c r="R9189" s="2" t="inlineStr"/>
    </row>
    <row r="9190" ht="15" customHeight="1">
      <c r="A9190" t="inlineStr">
        <is>
          <t>A 22168-2023</t>
        </is>
      </c>
      <c r="B9190" s="1" t="n">
        <v>45065</v>
      </c>
      <c r="C9190" s="1" t="n">
        <v>45952</v>
      </c>
      <c r="D9190" t="inlineStr">
        <is>
          <t>VÄSTRA GÖTALANDS LÄN</t>
        </is>
      </c>
      <c r="E9190" t="inlineStr">
        <is>
          <t>ÅMÅL</t>
        </is>
      </c>
      <c r="G9190" t="n">
        <v>3</v>
      </c>
      <c r="H9190" t="n">
        <v>0</v>
      </c>
      <c r="I9190" t="n">
        <v>0</v>
      </c>
      <c r="J9190" t="n">
        <v>0</v>
      </c>
      <c r="K9190" t="n">
        <v>0</v>
      </c>
      <c r="L9190" t="n">
        <v>0</v>
      </c>
      <c r="M9190" t="n">
        <v>0</v>
      </c>
      <c r="N9190" t="n">
        <v>0</v>
      </c>
      <c r="O9190" t="n">
        <v>0</v>
      </c>
      <c r="P9190" t="n">
        <v>0</v>
      </c>
      <c r="Q9190" t="n">
        <v>0</v>
      </c>
      <c r="R9190" s="2" t="inlineStr"/>
    </row>
    <row r="9191" ht="15" customHeight="1">
      <c r="A9191" t="inlineStr">
        <is>
          <t>A 22191-2023</t>
        </is>
      </c>
      <c r="B9191" s="1" t="n">
        <v>45069.71642361111</v>
      </c>
      <c r="C9191" s="1" t="n">
        <v>45952</v>
      </c>
      <c r="D9191" t="inlineStr">
        <is>
          <t>VÄSTRA GÖTALANDS LÄN</t>
        </is>
      </c>
      <c r="E9191" t="inlineStr">
        <is>
          <t>SVENLJUNGA</t>
        </is>
      </c>
      <c r="G9191" t="n">
        <v>0.6</v>
      </c>
      <c r="H9191" t="n">
        <v>0</v>
      </c>
      <c r="I9191" t="n">
        <v>0</v>
      </c>
      <c r="J9191" t="n">
        <v>0</v>
      </c>
      <c r="K9191" t="n">
        <v>0</v>
      </c>
      <c r="L9191" t="n">
        <v>0</v>
      </c>
      <c r="M9191" t="n">
        <v>0</v>
      </c>
      <c r="N9191" t="n">
        <v>0</v>
      </c>
      <c r="O9191" t="n">
        <v>0</v>
      </c>
      <c r="P9191" t="n">
        <v>0</v>
      </c>
      <c r="Q9191" t="n">
        <v>0</v>
      </c>
      <c r="R9191" s="2" t="inlineStr"/>
    </row>
    <row r="9192" ht="15" customHeight="1">
      <c r="A9192" t="inlineStr">
        <is>
          <t>A 4675-2023</t>
        </is>
      </c>
      <c r="B9192" s="1" t="n">
        <v>44957</v>
      </c>
      <c r="C9192" s="1" t="n">
        <v>45952</v>
      </c>
      <c r="D9192" t="inlineStr">
        <is>
          <t>VÄSTRA GÖTALANDS LÄN</t>
        </is>
      </c>
      <c r="E9192" t="inlineStr">
        <is>
          <t>FALKÖPING</t>
        </is>
      </c>
      <c r="G9192" t="n">
        <v>0.4</v>
      </c>
      <c r="H9192" t="n">
        <v>0</v>
      </c>
      <c r="I9192" t="n">
        <v>0</v>
      </c>
      <c r="J9192" t="n">
        <v>0</v>
      </c>
      <c r="K9192" t="n">
        <v>0</v>
      </c>
      <c r="L9192" t="n">
        <v>0</v>
      </c>
      <c r="M9192" t="n">
        <v>0</v>
      </c>
      <c r="N9192" t="n">
        <v>0</v>
      </c>
      <c r="O9192" t="n">
        <v>0</v>
      </c>
      <c r="P9192" t="n">
        <v>0</v>
      </c>
      <c r="Q9192" t="n">
        <v>0</v>
      </c>
      <c r="R9192" s="2" t="inlineStr"/>
    </row>
    <row r="9193" ht="15" customHeight="1">
      <c r="A9193" t="inlineStr">
        <is>
          <t>A 48082-2024</t>
        </is>
      </c>
      <c r="B9193" s="1" t="n">
        <v>45589.58722222222</v>
      </c>
      <c r="C9193" s="1" t="n">
        <v>45952</v>
      </c>
      <c r="D9193" t="inlineStr">
        <is>
          <t>VÄSTRA GÖTALANDS LÄN</t>
        </is>
      </c>
      <c r="E9193" t="inlineStr">
        <is>
          <t>ALINGSÅS</t>
        </is>
      </c>
      <c r="G9193" t="n">
        <v>1.6</v>
      </c>
      <c r="H9193" t="n">
        <v>0</v>
      </c>
      <c r="I9193" t="n">
        <v>0</v>
      </c>
      <c r="J9193" t="n">
        <v>0</v>
      </c>
      <c r="K9193" t="n">
        <v>0</v>
      </c>
      <c r="L9193" t="n">
        <v>0</v>
      </c>
      <c r="M9193" t="n">
        <v>0</v>
      </c>
      <c r="N9193" t="n">
        <v>0</v>
      </c>
      <c r="O9193" t="n">
        <v>0</v>
      </c>
      <c r="P9193" t="n">
        <v>0</v>
      </c>
      <c r="Q9193" t="n">
        <v>0</v>
      </c>
      <c r="R9193" s="2" t="inlineStr"/>
    </row>
    <row r="9194" ht="15" customHeight="1">
      <c r="A9194" t="inlineStr">
        <is>
          <t>A 11818-2025</t>
        </is>
      </c>
      <c r="B9194" s="1" t="n">
        <v>45728.31863425926</v>
      </c>
      <c r="C9194" s="1" t="n">
        <v>45952</v>
      </c>
      <c r="D9194" t="inlineStr">
        <is>
          <t>VÄSTRA GÖTALANDS LÄN</t>
        </is>
      </c>
      <c r="E9194" t="inlineStr">
        <is>
          <t>GULLSPÅNG</t>
        </is>
      </c>
      <c r="G9194" t="n">
        <v>3.2</v>
      </c>
      <c r="H9194" t="n">
        <v>0</v>
      </c>
      <c r="I9194" t="n">
        <v>0</v>
      </c>
      <c r="J9194" t="n">
        <v>0</v>
      </c>
      <c r="K9194" t="n">
        <v>0</v>
      </c>
      <c r="L9194" t="n">
        <v>0</v>
      </c>
      <c r="M9194" t="n">
        <v>0</v>
      </c>
      <c r="N9194" t="n">
        <v>0</v>
      </c>
      <c r="O9194" t="n">
        <v>0</v>
      </c>
      <c r="P9194" t="n">
        <v>0</v>
      </c>
      <c r="Q9194" t="n">
        <v>0</v>
      </c>
      <c r="R9194" s="2" t="inlineStr"/>
    </row>
    <row r="9195" ht="15" customHeight="1">
      <c r="A9195" t="inlineStr">
        <is>
          <t>A 28965-2022</t>
        </is>
      </c>
      <c r="B9195" s="1" t="n">
        <v>44749</v>
      </c>
      <c r="C9195" s="1" t="n">
        <v>45952</v>
      </c>
      <c r="D9195" t="inlineStr">
        <is>
          <t>VÄSTRA GÖTALANDS LÄN</t>
        </is>
      </c>
      <c r="E9195" t="inlineStr">
        <is>
          <t>TÖREBODA</t>
        </is>
      </c>
      <c r="G9195" t="n">
        <v>1</v>
      </c>
      <c r="H9195" t="n">
        <v>0</v>
      </c>
      <c r="I9195" t="n">
        <v>0</v>
      </c>
      <c r="J9195" t="n">
        <v>0</v>
      </c>
      <c r="K9195" t="n">
        <v>0</v>
      </c>
      <c r="L9195" t="n">
        <v>0</v>
      </c>
      <c r="M9195" t="n">
        <v>0</v>
      </c>
      <c r="N9195" t="n">
        <v>0</v>
      </c>
      <c r="O9195" t="n">
        <v>0</v>
      </c>
      <c r="P9195" t="n">
        <v>0</v>
      </c>
      <c r="Q9195" t="n">
        <v>0</v>
      </c>
      <c r="R9195" s="2" t="inlineStr"/>
    </row>
    <row r="9196" ht="15" customHeight="1">
      <c r="A9196" t="inlineStr">
        <is>
          <t>A 34834-2022</t>
        </is>
      </c>
      <c r="B9196" s="1" t="n">
        <v>44796</v>
      </c>
      <c r="C9196" s="1" t="n">
        <v>45952</v>
      </c>
      <c r="D9196" t="inlineStr">
        <is>
          <t>VÄSTRA GÖTALANDS LÄN</t>
        </is>
      </c>
      <c r="E9196" t="inlineStr">
        <is>
          <t>SKÖVDE</t>
        </is>
      </c>
      <c r="G9196" t="n">
        <v>2.8</v>
      </c>
      <c r="H9196" t="n">
        <v>0</v>
      </c>
      <c r="I9196" t="n">
        <v>0</v>
      </c>
      <c r="J9196" t="n">
        <v>0</v>
      </c>
      <c r="K9196" t="n">
        <v>0</v>
      </c>
      <c r="L9196" t="n">
        <v>0</v>
      </c>
      <c r="M9196" t="n">
        <v>0</v>
      </c>
      <c r="N9196" t="n">
        <v>0</v>
      </c>
      <c r="O9196" t="n">
        <v>0</v>
      </c>
      <c r="P9196" t="n">
        <v>0</v>
      </c>
      <c r="Q9196" t="n">
        <v>0</v>
      </c>
      <c r="R9196" s="2" t="inlineStr"/>
    </row>
    <row r="9197" ht="15" customHeight="1">
      <c r="A9197" t="inlineStr">
        <is>
          <t>A 9418-2025</t>
        </is>
      </c>
      <c r="B9197" s="1" t="n">
        <v>45715.39475694444</v>
      </c>
      <c r="C9197" s="1" t="n">
        <v>45952</v>
      </c>
      <c r="D9197" t="inlineStr">
        <is>
          <t>VÄSTRA GÖTALANDS LÄN</t>
        </is>
      </c>
      <c r="E9197" t="inlineStr">
        <is>
          <t>BENGTSFORS</t>
        </is>
      </c>
      <c r="G9197" t="n">
        <v>1.1</v>
      </c>
      <c r="H9197" t="n">
        <v>0</v>
      </c>
      <c r="I9197" t="n">
        <v>0</v>
      </c>
      <c r="J9197" t="n">
        <v>0</v>
      </c>
      <c r="K9197" t="n">
        <v>0</v>
      </c>
      <c r="L9197" t="n">
        <v>0</v>
      </c>
      <c r="M9197" t="n">
        <v>0</v>
      </c>
      <c r="N9197" t="n">
        <v>0</v>
      </c>
      <c r="O9197" t="n">
        <v>0</v>
      </c>
      <c r="P9197" t="n">
        <v>0</v>
      </c>
      <c r="Q9197" t="n">
        <v>0</v>
      </c>
      <c r="R9197" s="2" t="inlineStr"/>
    </row>
    <row r="9198" ht="15" customHeight="1">
      <c r="A9198" t="inlineStr">
        <is>
          <t>A 14066-2025</t>
        </is>
      </c>
      <c r="B9198" s="1" t="n">
        <v>45740.41792824074</v>
      </c>
      <c r="C9198" s="1" t="n">
        <v>45952</v>
      </c>
      <c r="D9198" t="inlineStr">
        <is>
          <t>VÄSTRA GÖTALANDS LÄN</t>
        </is>
      </c>
      <c r="E9198" t="inlineStr">
        <is>
          <t>UDDEVALLA</t>
        </is>
      </c>
      <c r="G9198" t="n">
        <v>7.5</v>
      </c>
      <c r="H9198" t="n">
        <v>0</v>
      </c>
      <c r="I9198" t="n">
        <v>0</v>
      </c>
      <c r="J9198" t="n">
        <v>0</v>
      </c>
      <c r="K9198" t="n">
        <v>0</v>
      </c>
      <c r="L9198" t="n">
        <v>0</v>
      </c>
      <c r="M9198" t="n">
        <v>0</v>
      </c>
      <c r="N9198" t="n">
        <v>0</v>
      </c>
      <c r="O9198" t="n">
        <v>0</v>
      </c>
      <c r="P9198" t="n">
        <v>0</v>
      </c>
      <c r="Q9198" t="n">
        <v>0</v>
      </c>
      <c r="R9198" s="2" t="inlineStr"/>
    </row>
    <row r="9199" ht="15" customHeight="1">
      <c r="A9199" t="inlineStr">
        <is>
          <t>A 14079-2025</t>
        </is>
      </c>
      <c r="B9199" s="1" t="n">
        <v>45739</v>
      </c>
      <c r="C9199" s="1" t="n">
        <v>45952</v>
      </c>
      <c r="D9199" t="inlineStr">
        <is>
          <t>VÄSTRA GÖTALANDS LÄN</t>
        </is>
      </c>
      <c r="E9199" t="inlineStr">
        <is>
          <t>STRÖMSTAD</t>
        </is>
      </c>
      <c r="G9199" t="n">
        <v>2.5</v>
      </c>
      <c r="H9199" t="n">
        <v>0</v>
      </c>
      <c r="I9199" t="n">
        <v>0</v>
      </c>
      <c r="J9199" t="n">
        <v>0</v>
      </c>
      <c r="K9199" t="n">
        <v>0</v>
      </c>
      <c r="L9199" t="n">
        <v>0</v>
      </c>
      <c r="M9199" t="n">
        <v>0</v>
      </c>
      <c r="N9199" t="n">
        <v>0</v>
      </c>
      <c r="O9199" t="n">
        <v>0</v>
      </c>
      <c r="P9199" t="n">
        <v>0</v>
      </c>
      <c r="Q9199" t="n">
        <v>0</v>
      </c>
      <c r="R9199" s="2" t="inlineStr"/>
    </row>
    <row r="9200" ht="15" customHeight="1">
      <c r="A9200" t="inlineStr">
        <is>
          <t>A 64386-2021</t>
        </is>
      </c>
      <c r="B9200" s="1" t="n">
        <v>44511</v>
      </c>
      <c r="C9200" s="1" t="n">
        <v>45952</v>
      </c>
      <c r="D9200" t="inlineStr">
        <is>
          <t>VÄSTRA GÖTALANDS LÄN</t>
        </is>
      </c>
      <c r="E9200" t="inlineStr">
        <is>
          <t>VÅRGÅRDA</t>
        </is>
      </c>
      <c r="G9200" t="n">
        <v>3.7</v>
      </c>
      <c r="H9200" t="n">
        <v>0</v>
      </c>
      <c r="I9200" t="n">
        <v>0</v>
      </c>
      <c r="J9200" t="n">
        <v>0</v>
      </c>
      <c r="K9200" t="n">
        <v>0</v>
      </c>
      <c r="L9200" t="n">
        <v>0</v>
      </c>
      <c r="M9200" t="n">
        <v>0</v>
      </c>
      <c r="N9200" t="n">
        <v>0</v>
      </c>
      <c r="O9200" t="n">
        <v>0</v>
      </c>
      <c r="P9200" t="n">
        <v>0</v>
      </c>
      <c r="Q9200" t="n">
        <v>0</v>
      </c>
      <c r="R9200" s="2" t="inlineStr"/>
    </row>
    <row r="9201" ht="15" customHeight="1">
      <c r="A9201" t="inlineStr">
        <is>
          <t>A 30724-2024</t>
        </is>
      </c>
      <c r="B9201" s="1" t="n">
        <v>45496</v>
      </c>
      <c r="C9201" s="1" t="n">
        <v>45952</v>
      </c>
      <c r="D9201" t="inlineStr">
        <is>
          <t>VÄSTRA GÖTALANDS LÄN</t>
        </is>
      </c>
      <c r="E9201" t="inlineStr">
        <is>
          <t>LILLA EDET</t>
        </is>
      </c>
      <c r="G9201" t="n">
        <v>2.5</v>
      </c>
      <c r="H9201" t="n">
        <v>0</v>
      </c>
      <c r="I9201" t="n">
        <v>0</v>
      </c>
      <c r="J9201" t="n">
        <v>0</v>
      </c>
      <c r="K9201" t="n">
        <v>0</v>
      </c>
      <c r="L9201" t="n">
        <v>0</v>
      </c>
      <c r="M9201" t="n">
        <v>0</v>
      </c>
      <c r="N9201" t="n">
        <v>0</v>
      </c>
      <c r="O9201" t="n">
        <v>0</v>
      </c>
      <c r="P9201" t="n">
        <v>0</v>
      </c>
      <c r="Q9201" t="n">
        <v>0</v>
      </c>
      <c r="R9201" s="2" t="inlineStr"/>
    </row>
    <row r="9202" ht="15" customHeight="1">
      <c r="A9202" t="inlineStr">
        <is>
          <t>A 3449-2025</t>
        </is>
      </c>
      <c r="B9202" s="1" t="n">
        <v>45680.47359953704</v>
      </c>
      <c r="C9202" s="1" t="n">
        <v>45952</v>
      </c>
      <c r="D9202" t="inlineStr">
        <is>
          <t>VÄSTRA GÖTALANDS LÄN</t>
        </is>
      </c>
      <c r="E9202" t="inlineStr">
        <is>
          <t>TIDAHOLM</t>
        </is>
      </c>
      <c r="G9202" t="n">
        <v>3.6</v>
      </c>
      <c r="H9202" t="n">
        <v>0</v>
      </c>
      <c r="I9202" t="n">
        <v>0</v>
      </c>
      <c r="J9202" t="n">
        <v>0</v>
      </c>
      <c r="K9202" t="n">
        <v>0</v>
      </c>
      <c r="L9202" t="n">
        <v>0</v>
      </c>
      <c r="M9202" t="n">
        <v>0</v>
      </c>
      <c r="N9202" t="n">
        <v>0</v>
      </c>
      <c r="O9202" t="n">
        <v>0</v>
      </c>
      <c r="P9202" t="n">
        <v>0</v>
      </c>
      <c r="Q9202" t="n">
        <v>0</v>
      </c>
      <c r="R9202" s="2" t="inlineStr"/>
    </row>
    <row r="9203" ht="15" customHeight="1">
      <c r="A9203" t="inlineStr">
        <is>
          <t>A 9285-2025</t>
        </is>
      </c>
      <c r="B9203" s="1" t="n">
        <v>45714.64899305555</v>
      </c>
      <c r="C9203" s="1" t="n">
        <v>45952</v>
      </c>
      <c r="D9203" t="inlineStr">
        <is>
          <t>VÄSTRA GÖTALANDS LÄN</t>
        </is>
      </c>
      <c r="E9203" t="inlineStr">
        <is>
          <t>FÄRGELANDA</t>
        </is>
      </c>
      <c r="G9203" t="n">
        <v>0.9</v>
      </c>
      <c r="H9203" t="n">
        <v>0</v>
      </c>
      <c r="I9203" t="n">
        <v>0</v>
      </c>
      <c r="J9203" t="n">
        <v>0</v>
      </c>
      <c r="K9203" t="n">
        <v>0</v>
      </c>
      <c r="L9203" t="n">
        <v>0</v>
      </c>
      <c r="M9203" t="n">
        <v>0</v>
      </c>
      <c r="N9203" t="n">
        <v>0</v>
      </c>
      <c r="O9203" t="n">
        <v>0</v>
      </c>
      <c r="P9203" t="n">
        <v>0</v>
      </c>
      <c r="Q9203" t="n">
        <v>0</v>
      </c>
      <c r="R9203" s="2" t="inlineStr"/>
    </row>
    <row r="9204" ht="15" customHeight="1">
      <c r="A9204" t="inlineStr">
        <is>
          <t>A 13521-2025</t>
        </is>
      </c>
      <c r="B9204" s="1" t="n">
        <v>45736.48755787037</v>
      </c>
      <c r="C9204" s="1" t="n">
        <v>45952</v>
      </c>
      <c r="D9204" t="inlineStr">
        <is>
          <t>VÄSTRA GÖTALANDS LÄN</t>
        </is>
      </c>
      <c r="E9204" t="inlineStr">
        <is>
          <t>ORUST</t>
        </is>
      </c>
      <c r="G9204" t="n">
        <v>0.5</v>
      </c>
      <c r="H9204" t="n">
        <v>0</v>
      </c>
      <c r="I9204" t="n">
        <v>0</v>
      </c>
      <c r="J9204" t="n">
        <v>0</v>
      </c>
      <c r="K9204" t="n">
        <v>0</v>
      </c>
      <c r="L9204" t="n">
        <v>0</v>
      </c>
      <c r="M9204" t="n">
        <v>0</v>
      </c>
      <c r="N9204" t="n">
        <v>0</v>
      </c>
      <c r="O9204" t="n">
        <v>0</v>
      </c>
      <c r="P9204" t="n">
        <v>0</v>
      </c>
      <c r="Q9204" t="n">
        <v>0</v>
      </c>
      <c r="R9204" s="2" t="inlineStr"/>
    </row>
    <row r="9205" ht="15" customHeight="1">
      <c r="A9205" t="inlineStr">
        <is>
          <t>A 13536-2025</t>
        </is>
      </c>
      <c r="B9205" s="1" t="n">
        <v>45736.51413194444</v>
      </c>
      <c r="C9205" s="1" t="n">
        <v>45952</v>
      </c>
      <c r="D9205" t="inlineStr">
        <is>
          <t>VÄSTRA GÖTALANDS LÄN</t>
        </is>
      </c>
      <c r="E9205" t="inlineStr">
        <is>
          <t>ORUST</t>
        </is>
      </c>
      <c r="G9205" t="n">
        <v>0.1</v>
      </c>
      <c r="H9205" t="n">
        <v>0</v>
      </c>
      <c r="I9205" t="n">
        <v>0</v>
      </c>
      <c r="J9205" t="n">
        <v>0</v>
      </c>
      <c r="K9205" t="n">
        <v>0</v>
      </c>
      <c r="L9205" t="n">
        <v>0</v>
      </c>
      <c r="M9205" t="n">
        <v>0</v>
      </c>
      <c r="N9205" t="n">
        <v>0</v>
      </c>
      <c r="O9205" t="n">
        <v>0</v>
      </c>
      <c r="P9205" t="n">
        <v>0</v>
      </c>
      <c r="Q9205" t="n">
        <v>0</v>
      </c>
      <c r="R9205" s="2" t="inlineStr"/>
    </row>
    <row r="9206" ht="15" customHeight="1">
      <c r="A9206" t="inlineStr">
        <is>
          <t>A 13666-2025</t>
        </is>
      </c>
      <c r="B9206" s="1" t="n">
        <v>45736.8315162037</v>
      </c>
      <c r="C9206" s="1" t="n">
        <v>45952</v>
      </c>
      <c r="D9206" t="inlineStr">
        <is>
          <t>VÄSTRA GÖTALANDS LÄN</t>
        </is>
      </c>
      <c r="E9206" t="inlineStr">
        <is>
          <t>VÄNERSBORG</t>
        </is>
      </c>
      <c r="G9206" t="n">
        <v>0.7</v>
      </c>
      <c r="H9206" t="n">
        <v>0</v>
      </c>
      <c r="I9206" t="n">
        <v>0</v>
      </c>
      <c r="J9206" t="n">
        <v>0</v>
      </c>
      <c r="K9206" t="n">
        <v>0</v>
      </c>
      <c r="L9206" t="n">
        <v>0</v>
      </c>
      <c r="M9206" t="n">
        <v>0</v>
      </c>
      <c r="N9206" t="n">
        <v>0</v>
      </c>
      <c r="O9206" t="n">
        <v>0</v>
      </c>
      <c r="P9206" t="n">
        <v>0</v>
      </c>
      <c r="Q9206" t="n">
        <v>0</v>
      </c>
      <c r="R9206" s="2" t="inlineStr"/>
    </row>
    <row r="9207" ht="15" customHeight="1">
      <c r="A9207" t="inlineStr">
        <is>
          <t>A 32154-2021</t>
        </is>
      </c>
      <c r="B9207" s="1" t="n">
        <v>44371</v>
      </c>
      <c r="C9207" s="1" t="n">
        <v>45952</v>
      </c>
      <c r="D9207" t="inlineStr">
        <is>
          <t>VÄSTRA GÖTALANDS LÄN</t>
        </is>
      </c>
      <c r="E9207" t="inlineStr">
        <is>
          <t>MARK</t>
        </is>
      </c>
      <c r="G9207" t="n">
        <v>1.5</v>
      </c>
      <c r="H9207" t="n">
        <v>0</v>
      </c>
      <c r="I9207" t="n">
        <v>0</v>
      </c>
      <c r="J9207" t="n">
        <v>0</v>
      </c>
      <c r="K9207" t="n">
        <v>0</v>
      </c>
      <c r="L9207" t="n">
        <v>0</v>
      </c>
      <c r="M9207" t="n">
        <v>0</v>
      </c>
      <c r="N9207" t="n">
        <v>0</v>
      </c>
      <c r="O9207" t="n">
        <v>0</v>
      </c>
      <c r="P9207" t="n">
        <v>0</v>
      </c>
      <c r="Q9207" t="n">
        <v>0</v>
      </c>
      <c r="R9207" s="2" t="inlineStr"/>
    </row>
    <row r="9208" ht="15" customHeight="1">
      <c r="A9208" t="inlineStr">
        <is>
          <t>A 32169-2021</t>
        </is>
      </c>
      <c r="B9208" s="1" t="n">
        <v>44371</v>
      </c>
      <c r="C9208" s="1" t="n">
        <v>45952</v>
      </c>
      <c r="D9208" t="inlineStr">
        <is>
          <t>VÄSTRA GÖTALANDS LÄN</t>
        </is>
      </c>
      <c r="E9208" t="inlineStr">
        <is>
          <t>MARIESTAD</t>
        </is>
      </c>
      <c r="F9208" t="inlineStr">
        <is>
          <t>Kyrkan</t>
        </is>
      </c>
      <c r="G9208" t="n">
        <v>5.9</v>
      </c>
      <c r="H9208" t="n">
        <v>0</v>
      </c>
      <c r="I9208" t="n">
        <v>0</v>
      </c>
      <c r="J9208" t="n">
        <v>0</v>
      </c>
      <c r="K9208" t="n">
        <v>0</v>
      </c>
      <c r="L9208" t="n">
        <v>0</v>
      </c>
      <c r="M9208" t="n">
        <v>0</v>
      </c>
      <c r="N9208" t="n">
        <v>0</v>
      </c>
      <c r="O9208" t="n">
        <v>0</v>
      </c>
      <c r="P9208" t="n">
        <v>0</v>
      </c>
      <c r="Q9208" t="n">
        <v>0</v>
      </c>
      <c r="R9208" s="2" t="inlineStr"/>
    </row>
    <row r="9209" ht="15" customHeight="1">
      <c r="A9209" t="inlineStr">
        <is>
          <t>A 10879-2021</t>
        </is>
      </c>
      <c r="B9209" s="1" t="n">
        <v>44259</v>
      </c>
      <c r="C9209" s="1" t="n">
        <v>45952</v>
      </c>
      <c r="D9209" t="inlineStr">
        <is>
          <t>VÄSTRA GÖTALANDS LÄN</t>
        </is>
      </c>
      <c r="E9209" t="inlineStr">
        <is>
          <t>TROLLHÄTTAN</t>
        </is>
      </c>
      <c r="G9209" t="n">
        <v>2.2</v>
      </c>
      <c r="H9209" t="n">
        <v>0</v>
      </c>
      <c r="I9209" t="n">
        <v>0</v>
      </c>
      <c r="J9209" t="n">
        <v>0</v>
      </c>
      <c r="K9209" t="n">
        <v>0</v>
      </c>
      <c r="L9209" t="n">
        <v>0</v>
      </c>
      <c r="M9209" t="n">
        <v>0</v>
      </c>
      <c r="N9209" t="n">
        <v>0</v>
      </c>
      <c r="O9209" t="n">
        <v>0</v>
      </c>
      <c r="P9209" t="n">
        <v>0</v>
      </c>
      <c r="Q9209" t="n">
        <v>0</v>
      </c>
      <c r="R9209" s="2" t="inlineStr"/>
    </row>
    <row r="9210" ht="15" customHeight="1">
      <c r="A9210" t="inlineStr">
        <is>
          <t>A 10890-2021</t>
        </is>
      </c>
      <c r="B9210" s="1" t="n">
        <v>44259</v>
      </c>
      <c r="C9210" s="1" t="n">
        <v>45952</v>
      </c>
      <c r="D9210" t="inlineStr">
        <is>
          <t>VÄSTRA GÖTALANDS LÄN</t>
        </is>
      </c>
      <c r="E9210" t="inlineStr">
        <is>
          <t>TROLLHÄTTAN</t>
        </is>
      </c>
      <c r="G9210" t="n">
        <v>3.4</v>
      </c>
      <c r="H9210" t="n">
        <v>0</v>
      </c>
      <c r="I9210" t="n">
        <v>0</v>
      </c>
      <c r="J9210" t="n">
        <v>0</v>
      </c>
      <c r="K9210" t="n">
        <v>0</v>
      </c>
      <c r="L9210" t="n">
        <v>0</v>
      </c>
      <c r="M9210" t="n">
        <v>0</v>
      </c>
      <c r="N9210" t="n">
        <v>0</v>
      </c>
      <c r="O9210" t="n">
        <v>0</v>
      </c>
      <c r="P9210" t="n">
        <v>0</v>
      </c>
      <c r="Q9210" t="n">
        <v>0</v>
      </c>
      <c r="R9210" s="2" t="inlineStr"/>
    </row>
    <row r="9211" ht="15" customHeight="1">
      <c r="A9211" t="inlineStr">
        <is>
          <t>A 13674-2025</t>
        </is>
      </c>
      <c r="B9211" s="1" t="n">
        <v>45736.9021875</v>
      </c>
      <c r="C9211" s="1" t="n">
        <v>45952</v>
      </c>
      <c r="D9211" t="inlineStr">
        <is>
          <t>VÄSTRA GÖTALANDS LÄN</t>
        </is>
      </c>
      <c r="E9211" t="inlineStr">
        <is>
          <t>VÄNERSBORG</t>
        </is>
      </c>
      <c r="G9211" t="n">
        <v>0.4</v>
      </c>
      <c r="H9211" t="n">
        <v>0</v>
      </c>
      <c r="I9211" t="n">
        <v>0</v>
      </c>
      <c r="J9211" t="n">
        <v>0</v>
      </c>
      <c r="K9211" t="n">
        <v>0</v>
      </c>
      <c r="L9211" t="n">
        <v>0</v>
      </c>
      <c r="M9211" t="n">
        <v>0</v>
      </c>
      <c r="N9211" t="n">
        <v>0</v>
      </c>
      <c r="O9211" t="n">
        <v>0</v>
      </c>
      <c r="P9211" t="n">
        <v>0</v>
      </c>
      <c r="Q9211" t="n">
        <v>0</v>
      </c>
      <c r="R9211" s="2" t="inlineStr"/>
    </row>
    <row r="9212" ht="15" customHeight="1">
      <c r="A9212" t="inlineStr">
        <is>
          <t>A 10182-2025</t>
        </is>
      </c>
      <c r="B9212" s="1" t="n">
        <v>45719.68414351852</v>
      </c>
      <c r="C9212" s="1" t="n">
        <v>45952</v>
      </c>
      <c r="D9212" t="inlineStr">
        <is>
          <t>VÄSTRA GÖTALANDS LÄN</t>
        </is>
      </c>
      <c r="E9212" t="inlineStr">
        <is>
          <t>MELLERUD</t>
        </is>
      </c>
      <c r="G9212" t="n">
        <v>7.8</v>
      </c>
      <c r="H9212" t="n">
        <v>0</v>
      </c>
      <c r="I9212" t="n">
        <v>0</v>
      </c>
      <c r="J9212" t="n">
        <v>0</v>
      </c>
      <c r="K9212" t="n">
        <v>0</v>
      </c>
      <c r="L9212" t="n">
        <v>0</v>
      </c>
      <c r="M9212" t="n">
        <v>0</v>
      </c>
      <c r="N9212" t="n">
        <v>0</v>
      </c>
      <c r="O9212" t="n">
        <v>0</v>
      </c>
      <c r="P9212" t="n">
        <v>0</v>
      </c>
      <c r="Q9212" t="n">
        <v>0</v>
      </c>
      <c r="R9212" s="2" t="inlineStr"/>
    </row>
    <row r="9213" ht="15" customHeight="1">
      <c r="A9213" t="inlineStr">
        <is>
          <t>A 42531-2022</t>
        </is>
      </c>
      <c r="B9213" s="1" t="n">
        <v>44831.61996527778</v>
      </c>
      <c r="C9213" s="1" t="n">
        <v>45952</v>
      </c>
      <c r="D9213" t="inlineStr">
        <is>
          <t>VÄSTRA GÖTALANDS LÄN</t>
        </is>
      </c>
      <c r="E9213" t="inlineStr">
        <is>
          <t>ALINGSÅS</t>
        </is>
      </c>
      <c r="G9213" t="n">
        <v>3</v>
      </c>
      <c r="H9213" t="n">
        <v>0</v>
      </c>
      <c r="I9213" t="n">
        <v>0</v>
      </c>
      <c r="J9213" t="n">
        <v>0</v>
      </c>
      <c r="K9213" t="n">
        <v>0</v>
      </c>
      <c r="L9213" t="n">
        <v>0</v>
      </c>
      <c r="M9213" t="n">
        <v>0</v>
      </c>
      <c r="N9213" t="n">
        <v>0</v>
      </c>
      <c r="O9213" t="n">
        <v>0</v>
      </c>
      <c r="P9213" t="n">
        <v>0</v>
      </c>
      <c r="Q9213" t="n">
        <v>0</v>
      </c>
      <c r="R9213" s="2" t="inlineStr"/>
    </row>
    <row r="9214" ht="15" customHeight="1">
      <c r="A9214" t="inlineStr">
        <is>
          <t>A 14108-2025</t>
        </is>
      </c>
      <c r="B9214" s="1" t="n">
        <v>45740.45753472222</v>
      </c>
      <c r="C9214" s="1" t="n">
        <v>45952</v>
      </c>
      <c r="D9214" t="inlineStr">
        <is>
          <t>VÄSTRA GÖTALANDS LÄN</t>
        </is>
      </c>
      <c r="E9214" t="inlineStr">
        <is>
          <t>FALKÖPING</t>
        </is>
      </c>
      <c r="G9214" t="n">
        <v>1.8</v>
      </c>
      <c r="H9214" t="n">
        <v>0</v>
      </c>
      <c r="I9214" t="n">
        <v>0</v>
      </c>
      <c r="J9214" t="n">
        <v>0</v>
      </c>
      <c r="K9214" t="n">
        <v>0</v>
      </c>
      <c r="L9214" t="n">
        <v>0</v>
      </c>
      <c r="M9214" t="n">
        <v>0</v>
      </c>
      <c r="N9214" t="n">
        <v>0</v>
      </c>
      <c r="O9214" t="n">
        <v>0</v>
      </c>
      <c r="P9214" t="n">
        <v>0</v>
      </c>
      <c r="Q9214" t="n">
        <v>0</v>
      </c>
      <c r="R9214" s="2" t="inlineStr"/>
    </row>
    <row r="9215" ht="15" customHeight="1">
      <c r="A9215" t="inlineStr">
        <is>
          <t>A 14141-2025</t>
        </is>
      </c>
      <c r="B9215" s="1" t="n">
        <v>45740.484375</v>
      </c>
      <c r="C9215" s="1" t="n">
        <v>45952</v>
      </c>
      <c r="D9215" t="inlineStr">
        <is>
          <t>VÄSTRA GÖTALANDS LÄN</t>
        </is>
      </c>
      <c r="E9215" t="inlineStr">
        <is>
          <t>ESSUNGA</t>
        </is>
      </c>
      <c r="G9215" t="n">
        <v>3.5</v>
      </c>
      <c r="H9215" t="n">
        <v>0</v>
      </c>
      <c r="I9215" t="n">
        <v>0</v>
      </c>
      <c r="J9215" t="n">
        <v>0</v>
      </c>
      <c r="K9215" t="n">
        <v>0</v>
      </c>
      <c r="L9215" t="n">
        <v>0</v>
      </c>
      <c r="M9215" t="n">
        <v>0</v>
      </c>
      <c r="N9215" t="n">
        <v>0</v>
      </c>
      <c r="O9215" t="n">
        <v>0</v>
      </c>
      <c r="P9215" t="n">
        <v>0</v>
      </c>
      <c r="Q9215" t="n">
        <v>0</v>
      </c>
      <c r="R9215" s="2" t="inlineStr"/>
    </row>
    <row r="9216" ht="15" customHeight="1">
      <c r="A9216" t="inlineStr">
        <is>
          <t>A 8606-2025</t>
        </is>
      </c>
      <c r="B9216" s="1" t="n">
        <v>45710.38600694444</v>
      </c>
      <c r="C9216" s="1" t="n">
        <v>45952</v>
      </c>
      <c r="D9216" t="inlineStr">
        <is>
          <t>VÄSTRA GÖTALANDS LÄN</t>
        </is>
      </c>
      <c r="E9216" t="inlineStr">
        <is>
          <t>SKÖVDE</t>
        </is>
      </c>
      <c r="G9216" t="n">
        <v>1.3</v>
      </c>
      <c r="H9216" t="n">
        <v>0</v>
      </c>
      <c r="I9216" t="n">
        <v>0</v>
      </c>
      <c r="J9216" t="n">
        <v>0</v>
      </c>
      <c r="K9216" t="n">
        <v>0</v>
      </c>
      <c r="L9216" t="n">
        <v>0</v>
      </c>
      <c r="M9216" t="n">
        <v>0</v>
      </c>
      <c r="N9216" t="n">
        <v>0</v>
      </c>
      <c r="O9216" t="n">
        <v>0</v>
      </c>
      <c r="P9216" t="n">
        <v>0</v>
      </c>
      <c r="Q9216" t="n">
        <v>0</v>
      </c>
      <c r="R9216" s="2" t="inlineStr"/>
    </row>
    <row r="9217" ht="15" customHeight="1">
      <c r="A9217" t="inlineStr">
        <is>
          <t>A 40365-2025</t>
        </is>
      </c>
      <c r="B9217" s="1" t="n">
        <v>45895.49549768519</v>
      </c>
      <c r="C9217" s="1" t="n">
        <v>45952</v>
      </c>
      <c r="D9217" t="inlineStr">
        <is>
          <t>VÄSTRA GÖTALANDS LÄN</t>
        </is>
      </c>
      <c r="E9217" t="inlineStr">
        <is>
          <t>ULRICEHAMN</t>
        </is>
      </c>
      <c r="G9217" t="n">
        <v>3.6</v>
      </c>
      <c r="H9217" t="n">
        <v>0</v>
      </c>
      <c r="I9217" t="n">
        <v>0</v>
      </c>
      <c r="J9217" t="n">
        <v>0</v>
      </c>
      <c r="K9217" t="n">
        <v>0</v>
      </c>
      <c r="L9217" t="n">
        <v>0</v>
      </c>
      <c r="M9217" t="n">
        <v>0</v>
      </c>
      <c r="N9217" t="n">
        <v>0</v>
      </c>
      <c r="O9217" t="n">
        <v>0</v>
      </c>
      <c r="P9217" t="n">
        <v>0</v>
      </c>
      <c r="Q9217" t="n">
        <v>0</v>
      </c>
      <c r="R9217" s="2" t="inlineStr"/>
    </row>
    <row r="9218" ht="15" customHeight="1">
      <c r="A9218" t="inlineStr">
        <is>
          <t>A 40380-2025</t>
        </is>
      </c>
      <c r="B9218" s="1" t="n">
        <v>45895.53327546296</v>
      </c>
      <c r="C9218" s="1" t="n">
        <v>45952</v>
      </c>
      <c r="D9218" t="inlineStr">
        <is>
          <t>VÄSTRA GÖTALANDS LÄN</t>
        </is>
      </c>
      <c r="E9218" t="inlineStr">
        <is>
          <t>SVENLJUNGA</t>
        </is>
      </c>
      <c r="F9218" t="inlineStr">
        <is>
          <t>Kyrkan</t>
        </is>
      </c>
      <c r="G9218" t="n">
        <v>1.1</v>
      </c>
      <c r="H9218" t="n">
        <v>0</v>
      </c>
      <c r="I9218" t="n">
        <v>0</v>
      </c>
      <c r="J9218" t="n">
        <v>0</v>
      </c>
      <c r="K9218" t="n">
        <v>0</v>
      </c>
      <c r="L9218" t="n">
        <v>0</v>
      </c>
      <c r="M9218" t="n">
        <v>0</v>
      </c>
      <c r="N9218" t="n">
        <v>0</v>
      </c>
      <c r="O9218" t="n">
        <v>0</v>
      </c>
      <c r="P9218" t="n">
        <v>0</v>
      </c>
      <c r="Q9218" t="n">
        <v>0</v>
      </c>
      <c r="R9218" s="2" t="inlineStr"/>
    </row>
    <row r="9219" ht="15" customHeight="1">
      <c r="A9219" t="inlineStr">
        <is>
          <t>A 14327-2025</t>
        </is>
      </c>
      <c r="B9219" s="1" t="n">
        <v>45740.82553240741</v>
      </c>
      <c r="C9219" s="1" t="n">
        <v>45952</v>
      </c>
      <c r="D9219" t="inlineStr">
        <is>
          <t>VÄSTRA GÖTALANDS LÄN</t>
        </is>
      </c>
      <c r="E9219" t="inlineStr">
        <is>
          <t>MUNKEDAL</t>
        </is>
      </c>
      <c r="G9219" t="n">
        <v>12.7</v>
      </c>
      <c r="H9219" t="n">
        <v>0</v>
      </c>
      <c r="I9219" t="n">
        <v>0</v>
      </c>
      <c r="J9219" t="n">
        <v>0</v>
      </c>
      <c r="K9219" t="n">
        <v>0</v>
      </c>
      <c r="L9219" t="n">
        <v>0</v>
      </c>
      <c r="M9219" t="n">
        <v>0</v>
      </c>
      <c r="N9219" t="n">
        <v>0</v>
      </c>
      <c r="O9219" t="n">
        <v>0</v>
      </c>
      <c r="P9219" t="n">
        <v>0</v>
      </c>
      <c r="Q9219" t="n">
        <v>0</v>
      </c>
      <c r="R9219" s="2" t="inlineStr"/>
    </row>
    <row r="9220" ht="15" customHeight="1">
      <c r="A9220" t="inlineStr">
        <is>
          <t>A 14338-2025</t>
        </is>
      </c>
      <c r="B9220" s="1" t="n">
        <v>45740.94930555556</v>
      </c>
      <c r="C9220" s="1" t="n">
        <v>45952</v>
      </c>
      <c r="D9220" t="inlineStr">
        <is>
          <t>VÄSTRA GÖTALANDS LÄN</t>
        </is>
      </c>
      <c r="E9220" t="inlineStr">
        <is>
          <t>FALKÖPING</t>
        </is>
      </c>
      <c r="G9220" t="n">
        <v>1.2</v>
      </c>
      <c r="H9220" t="n">
        <v>0</v>
      </c>
      <c r="I9220" t="n">
        <v>0</v>
      </c>
      <c r="J9220" t="n">
        <v>0</v>
      </c>
      <c r="K9220" t="n">
        <v>0</v>
      </c>
      <c r="L9220" t="n">
        <v>0</v>
      </c>
      <c r="M9220" t="n">
        <v>0</v>
      </c>
      <c r="N9220" t="n">
        <v>0</v>
      </c>
      <c r="O9220" t="n">
        <v>0</v>
      </c>
      <c r="P9220" t="n">
        <v>0</v>
      </c>
      <c r="Q9220" t="n">
        <v>0</v>
      </c>
      <c r="R9220" s="2" t="inlineStr"/>
    </row>
    <row r="9221" ht="15" customHeight="1">
      <c r="A9221" t="inlineStr">
        <is>
          <t>A 15727-2022</t>
        </is>
      </c>
      <c r="B9221" s="1" t="n">
        <v>44663</v>
      </c>
      <c r="C9221" s="1" t="n">
        <v>45952</v>
      </c>
      <c r="D9221" t="inlineStr">
        <is>
          <t>VÄSTRA GÖTALANDS LÄN</t>
        </is>
      </c>
      <c r="E9221" t="inlineStr">
        <is>
          <t>ULRICEHAMN</t>
        </is>
      </c>
      <c r="G9221" t="n">
        <v>2.4</v>
      </c>
      <c r="H9221" t="n">
        <v>0</v>
      </c>
      <c r="I9221" t="n">
        <v>0</v>
      </c>
      <c r="J9221" t="n">
        <v>0</v>
      </c>
      <c r="K9221" t="n">
        <v>0</v>
      </c>
      <c r="L9221" t="n">
        <v>0</v>
      </c>
      <c r="M9221" t="n">
        <v>0</v>
      </c>
      <c r="N9221" t="n">
        <v>0</v>
      </c>
      <c r="O9221" t="n">
        <v>0</v>
      </c>
      <c r="P9221" t="n">
        <v>0</v>
      </c>
      <c r="Q9221" t="n">
        <v>0</v>
      </c>
      <c r="R9221" s="2" t="inlineStr"/>
    </row>
    <row r="9222" ht="15" customHeight="1">
      <c r="A9222" t="inlineStr">
        <is>
          <t>A 40420-2025</t>
        </is>
      </c>
      <c r="B9222" s="1" t="n">
        <v>45895.58357638889</v>
      </c>
      <c r="C9222" s="1" t="n">
        <v>45952</v>
      </c>
      <c r="D9222" t="inlineStr">
        <is>
          <t>VÄSTRA GÖTALANDS LÄN</t>
        </is>
      </c>
      <c r="E9222" t="inlineStr">
        <is>
          <t>FÄRGELANDA</t>
        </is>
      </c>
      <c r="G9222" t="n">
        <v>0.9</v>
      </c>
      <c r="H9222" t="n">
        <v>0</v>
      </c>
      <c r="I9222" t="n">
        <v>0</v>
      </c>
      <c r="J9222" t="n">
        <v>0</v>
      </c>
      <c r="K9222" t="n">
        <v>0</v>
      </c>
      <c r="L9222" t="n">
        <v>0</v>
      </c>
      <c r="M9222" t="n">
        <v>0</v>
      </c>
      <c r="N9222" t="n">
        <v>0</v>
      </c>
      <c r="O9222" t="n">
        <v>0</v>
      </c>
      <c r="P9222" t="n">
        <v>0</v>
      </c>
      <c r="Q9222" t="n">
        <v>0</v>
      </c>
      <c r="R9222" s="2" t="inlineStr"/>
    </row>
    <row r="9223" ht="15" customHeight="1">
      <c r="A9223" t="inlineStr">
        <is>
          <t>A 66386-2021</t>
        </is>
      </c>
      <c r="B9223" s="1" t="n">
        <v>44518</v>
      </c>
      <c r="C9223" s="1" t="n">
        <v>45952</v>
      </c>
      <c r="D9223" t="inlineStr">
        <is>
          <t>VÄSTRA GÖTALANDS LÄN</t>
        </is>
      </c>
      <c r="E9223" t="inlineStr">
        <is>
          <t>VÅRGÅRDA</t>
        </is>
      </c>
      <c r="G9223" t="n">
        <v>0.9</v>
      </c>
      <c r="H9223" t="n">
        <v>0</v>
      </c>
      <c r="I9223" t="n">
        <v>0</v>
      </c>
      <c r="J9223" t="n">
        <v>0</v>
      </c>
      <c r="K9223" t="n">
        <v>0</v>
      </c>
      <c r="L9223" t="n">
        <v>0</v>
      </c>
      <c r="M9223" t="n">
        <v>0</v>
      </c>
      <c r="N9223" t="n">
        <v>0</v>
      </c>
      <c r="O9223" t="n">
        <v>0</v>
      </c>
      <c r="P9223" t="n">
        <v>0</v>
      </c>
      <c r="Q9223" t="n">
        <v>0</v>
      </c>
      <c r="R9223" s="2" t="inlineStr"/>
    </row>
    <row r="9224" ht="15" customHeight="1">
      <c r="A9224" t="inlineStr">
        <is>
          <t>A 40457-2025</t>
        </is>
      </c>
      <c r="B9224" s="1" t="n">
        <v>45895</v>
      </c>
      <c r="C9224" s="1" t="n">
        <v>45952</v>
      </c>
      <c r="D9224" t="inlineStr">
        <is>
          <t>VÄSTRA GÖTALANDS LÄN</t>
        </is>
      </c>
      <c r="E9224" t="inlineStr">
        <is>
          <t>DALS-ED</t>
        </is>
      </c>
      <c r="G9224" t="n">
        <v>5.6</v>
      </c>
      <c r="H9224" t="n">
        <v>0</v>
      </c>
      <c r="I9224" t="n">
        <v>0</v>
      </c>
      <c r="J9224" t="n">
        <v>0</v>
      </c>
      <c r="K9224" t="n">
        <v>0</v>
      </c>
      <c r="L9224" t="n">
        <v>0</v>
      </c>
      <c r="M9224" t="n">
        <v>0</v>
      </c>
      <c r="N9224" t="n">
        <v>0</v>
      </c>
      <c r="O9224" t="n">
        <v>0</v>
      </c>
      <c r="P9224" t="n">
        <v>0</v>
      </c>
      <c r="Q9224" t="n">
        <v>0</v>
      </c>
      <c r="R9224" s="2" t="inlineStr"/>
    </row>
    <row r="9225" ht="15" customHeight="1">
      <c r="A9225" t="inlineStr">
        <is>
          <t>A 40458-2025</t>
        </is>
      </c>
      <c r="B9225" s="1" t="n">
        <v>45895.64790509259</v>
      </c>
      <c r="C9225" s="1" t="n">
        <v>45952</v>
      </c>
      <c r="D9225" t="inlineStr">
        <is>
          <t>VÄSTRA GÖTALANDS LÄN</t>
        </is>
      </c>
      <c r="E9225" t="inlineStr">
        <is>
          <t>TANUM</t>
        </is>
      </c>
      <c r="G9225" t="n">
        <v>3.3</v>
      </c>
      <c r="H9225" t="n">
        <v>0</v>
      </c>
      <c r="I9225" t="n">
        <v>0</v>
      </c>
      <c r="J9225" t="n">
        <v>0</v>
      </c>
      <c r="K9225" t="n">
        <v>0</v>
      </c>
      <c r="L9225" t="n">
        <v>0</v>
      </c>
      <c r="M9225" t="n">
        <v>0</v>
      </c>
      <c r="N9225" t="n">
        <v>0</v>
      </c>
      <c r="O9225" t="n">
        <v>0</v>
      </c>
      <c r="P9225" t="n">
        <v>0</v>
      </c>
      <c r="Q9225" t="n">
        <v>0</v>
      </c>
      <c r="R9225" s="2" t="inlineStr"/>
    </row>
    <row r="9226" ht="15" customHeight="1">
      <c r="A9226" t="inlineStr">
        <is>
          <t>A 62037-2024</t>
        </is>
      </c>
      <c r="B9226" s="1" t="n">
        <v>45656.34373842592</v>
      </c>
      <c r="C9226" s="1" t="n">
        <v>45952</v>
      </c>
      <c r="D9226" t="inlineStr">
        <is>
          <t>VÄSTRA GÖTALANDS LÄN</t>
        </is>
      </c>
      <c r="E9226" t="inlineStr">
        <is>
          <t>UDDEVALLA</t>
        </is>
      </c>
      <c r="F9226" t="inlineStr">
        <is>
          <t>Kommuner</t>
        </is>
      </c>
      <c r="G9226" t="n">
        <v>1.6</v>
      </c>
      <c r="H9226" t="n">
        <v>0</v>
      </c>
      <c r="I9226" t="n">
        <v>0</v>
      </c>
      <c r="J9226" t="n">
        <v>0</v>
      </c>
      <c r="K9226" t="n">
        <v>0</v>
      </c>
      <c r="L9226" t="n">
        <v>0</v>
      </c>
      <c r="M9226" t="n">
        <v>0</v>
      </c>
      <c r="N9226" t="n">
        <v>0</v>
      </c>
      <c r="O9226" t="n">
        <v>0</v>
      </c>
      <c r="P9226" t="n">
        <v>0</v>
      </c>
      <c r="Q9226" t="n">
        <v>0</v>
      </c>
      <c r="R9226" s="2" t="inlineStr"/>
    </row>
    <row r="9227" ht="15" customHeight="1">
      <c r="A9227" t="inlineStr">
        <is>
          <t>A 28230-2021</t>
        </is>
      </c>
      <c r="B9227" s="1" t="n">
        <v>44355</v>
      </c>
      <c r="C9227" s="1" t="n">
        <v>45952</v>
      </c>
      <c r="D9227" t="inlineStr">
        <is>
          <t>VÄSTRA GÖTALANDS LÄN</t>
        </is>
      </c>
      <c r="E9227" t="inlineStr">
        <is>
          <t>TRANEMO</t>
        </is>
      </c>
      <c r="G9227" t="n">
        <v>1.3</v>
      </c>
      <c r="H9227" t="n">
        <v>0</v>
      </c>
      <c r="I9227" t="n">
        <v>0</v>
      </c>
      <c r="J9227" t="n">
        <v>0</v>
      </c>
      <c r="K9227" t="n">
        <v>0</v>
      </c>
      <c r="L9227" t="n">
        <v>0</v>
      </c>
      <c r="M9227" t="n">
        <v>0</v>
      </c>
      <c r="N9227" t="n">
        <v>0</v>
      </c>
      <c r="O9227" t="n">
        <v>0</v>
      </c>
      <c r="P9227" t="n">
        <v>0</v>
      </c>
      <c r="Q9227" t="n">
        <v>0</v>
      </c>
      <c r="R9227" s="2" t="inlineStr"/>
    </row>
    <row r="9228" ht="15" customHeight="1">
      <c r="A9228" t="inlineStr">
        <is>
          <t>A 40469-2025</t>
        </is>
      </c>
      <c r="B9228" s="1" t="n">
        <v>45895.66614583333</v>
      </c>
      <c r="C9228" s="1" t="n">
        <v>45952</v>
      </c>
      <c r="D9228" t="inlineStr">
        <is>
          <t>VÄSTRA GÖTALANDS LÄN</t>
        </is>
      </c>
      <c r="E9228" t="inlineStr">
        <is>
          <t>TRANEMO</t>
        </is>
      </c>
      <c r="G9228" t="n">
        <v>1.9</v>
      </c>
      <c r="H9228" t="n">
        <v>0</v>
      </c>
      <c r="I9228" t="n">
        <v>0</v>
      </c>
      <c r="J9228" t="n">
        <v>0</v>
      </c>
      <c r="K9228" t="n">
        <v>0</v>
      </c>
      <c r="L9228" t="n">
        <v>0</v>
      </c>
      <c r="M9228" t="n">
        <v>0</v>
      </c>
      <c r="N9228" t="n">
        <v>0</v>
      </c>
      <c r="O9228" t="n">
        <v>0</v>
      </c>
      <c r="P9228" t="n">
        <v>0</v>
      </c>
      <c r="Q9228" t="n">
        <v>0</v>
      </c>
      <c r="R9228" s="2" t="inlineStr"/>
    </row>
    <row r="9229" ht="15" customHeight="1">
      <c r="A9229" t="inlineStr">
        <is>
          <t>A 38320-2023</t>
        </is>
      </c>
      <c r="B9229" s="1" t="n">
        <v>45161</v>
      </c>
      <c r="C9229" s="1" t="n">
        <v>45952</v>
      </c>
      <c r="D9229" t="inlineStr">
        <is>
          <t>VÄSTRA GÖTALANDS LÄN</t>
        </is>
      </c>
      <c r="E9229" t="inlineStr">
        <is>
          <t>FALKÖPING</t>
        </is>
      </c>
      <c r="G9229" t="n">
        <v>3.4</v>
      </c>
      <c r="H9229" t="n">
        <v>0</v>
      </c>
      <c r="I9229" t="n">
        <v>0</v>
      </c>
      <c r="J9229" t="n">
        <v>0</v>
      </c>
      <c r="K9229" t="n">
        <v>0</v>
      </c>
      <c r="L9229" t="n">
        <v>0</v>
      </c>
      <c r="M9229" t="n">
        <v>0</v>
      </c>
      <c r="N9229" t="n">
        <v>0</v>
      </c>
      <c r="O9229" t="n">
        <v>0</v>
      </c>
      <c r="P9229" t="n">
        <v>0</v>
      </c>
      <c r="Q9229" t="n">
        <v>0</v>
      </c>
      <c r="R9229" s="2" t="inlineStr"/>
    </row>
    <row r="9230" ht="15" customHeight="1">
      <c r="A9230" t="inlineStr">
        <is>
          <t>A 38322-2023</t>
        </is>
      </c>
      <c r="B9230" s="1" t="n">
        <v>45161.73658564815</v>
      </c>
      <c r="C9230" s="1" t="n">
        <v>45952</v>
      </c>
      <c r="D9230" t="inlineStr">
        <is>
          <t>VÄSTRA GÖTALANDS LÄN</t>
        </is>
      </c>
      <c r="E9230" t="inlineStr">
        <is>
          <t>ORUST</t>
        </is>
      </c>
      <c r="G9230" t="n">
        <v>6</v>
      </c>
      <c r="H9230" t="n">
        <v>0</v>
      </c>
      <c r="I9230" t="n">
        <v>0</v>
      </c>
      <c r="J9230" t="n">
        <v>0</v>
      </c>
      <c r="K9230" t="n">
        <v>0</v>
      </c>
      <c r="L9230" t="n">
        <v>0</v>
      </c>
      <c r="M9230" t="n">
        <v>0</v>
      </c>
      <c r="N9230" t="n">
        <v>0</v>
      </c>
      <c r="O9230" t="n">
        <v>0</v>
      </c>
      <c r="P9230" t="n">
        <v>0</v>
      </c>
      <c r="Q9230" t="n">
        <v>0</v>
      </c>
      <c r="R9230" s="2" t="inlineStr"/>
    </row>
    <row r="9231" ht="15" customHeight="1">
      <c r="A9231" t="inlineStr">
        <is>
          <t>A 56093-2023</t>
        </is>
      </c>
      <c r="B9231" s="1" t="n">
        <v>45236</v>
      </c>
      <c r="C9231" s="1" t="n">
        <v>45952</v>
      </c>
      <c r="D9231" t="inlineStr">
        <is>
          <t>VÄSTRA GÖTALANDS LÄN</t>
        </is>
      </c>
      <c r="E9231" t="inlineStr">
        <is>
          <t>SVENLJUNGA</t>
        </is>
      </c>
      <c r="G9231" t="n">
        <v>8.1</v>
      </c>
      <c r="H9231" t="n">
        <v>0</v>
      </c>
      <c r="I9231" t="n">
        <v>0</v>
      </c>
      <c r="J9231" t="n">
        <v>0</v>
      </c>
      <c r="K9231" t="n">
        <v>0</v>
      </c>
      <c r="L9231" t="n">
        <v>0</v>
      </c>
      <c r="M9231" t="n">
        <v>0</v>
      </c>
      <c r="N9231" t="n">
        <v>0</v>
      </c>
      <c r="O9231" t="n">
        <v>0</v>
      </c>
      <c r="P9231" t="n">
        <v>0</v>
      </c>
      <c r="Q9231" t="n">
        <v>0</v>
      </c>
      <c r="R9231" s="2" t="inlineStr"/>
    </row>
    <row r="9232" ht="15" customHeight="1">
      <c r="A9232" t="inlineStr">
        <is>
          <t>A 56098-2023</t>
        </is>
      </c>
      <c r="B9232" s="1" t="n">
        <v>45236</v>
      </c>
      <c r="C9232" s="1" t="n">
        <v>45952</v>
      </c>
      <c r="D9232" t="inlineStr">
        <is>
          <t>VÄSTRA GÖTALANDS LÄN</t>
        </is>
      </c>
      <c r="E9232" t="inlineStr">
        <is>
          <t>SVENLJUNGA</t>
        </is>
      </c>
      <c r="G9232" t="n">
        <v>3.8</v>
      </c>
      <c r="H9232" t="n">
        <v>0</v>
      </c>
      <c r="I9232" t="n">
        <v>0</v>
      </c>
      <c r="J9232" t="n">
        <v>0</v>
      </c>
      <c r="K9232" t="n">
        <v>0</v>
      </c>
      <c r="L9232" t="n">
        <v>0</v>
      </c>
      <c r="M9232" t="n">
        <v>0</v>
      </c>
      <c r="N9232" t="n">
        <v>0</v>
      </c>
      <c r="O9232" t="n">
        <v>0</v>
      </c>
      <c r="P9232" t="n">
        <v>0</v>
      </c>
      <c r="Q9232" t="n">
        <v>0</v>
      </c>
      <c r="R9232" s="2" t="inlineStr"/>
    </row>
    <row r="9233" ht="15" customHeight="1">
      <c r="A9233" t="inlineStr">
        <is>
          <t>A 25096-2023</t>
        </is>
      </c>
      <c r="B9233" s="1" t="n">
        <v>45086.36361111111</v>
      </c>
      <c r="C9233" s="1" t="n">
        <v>45952</v>
      </c>
      <c r="D9233" t="inlineStr">
        <is>
          <t>VÄSTRA GÖTALANDS LÄN</t>
        </is>
      </c>
      <c r="E9233" t="inlineStr">
        <is>
          <t>LIDKÖPING</t>
        </is>
      </c>
      <c r="G9233" t="n">
        <v>0.5</v>
      </c>
      <c r="H9233" t="n">
        <v>0</v>
      </c>
      <c r="I9233" t="n">
        <v>0</v>
      </c>
      <c r="J9233" t="n">
        <v>0</v>
      </c>
      <c r="K9233" t="n">
        <v>0</v>
      </c>
      <c r="L9233" t="n">
        <v>0</v>
      </c>
      <c r="M9233" t="n">
        <v>0</v>
      </c>
      <c r="N9233" t="n">
        <v>0</v>
      </c>
      <c r="O9233" t="n">
        <v>0</v>
      </c>
      <c r="P9233" t="n">
        <v>0</v>
      </c>
      <c r="Q9233" t="n">
        <v>0</v>
      </c>
      <c r="R9233" s="2" t="inlineStr"/>
    </row>
    <row r="9234" ht="15" customHeight="1">
      <c r="A9234" t="inlineStr">
        <is>
          <t>A 39840-2021</t>
        </is>
      </c>
      <c r="B9234" s="1" t="n">
        <v>44417</v>
      </c>
      <c r="C9234" s="1" t="n">
        <v>45952</v>
      </c>
      <c r="D9234" t="inlineStr">
        <is>
          <t>VÄSTRA GÖTALANDS LÄN</t>
        </is>
      </c>
      <c r="E9234" t="inlineStr">
        <is>
          <t>ÅMÅL</t>
        </is>
      </c>
      <c r="G9234" t="n">
        <v>2.2</v>
      </c>
      <c r="H9234" t="n">
        <v>0</v>
      </c>
      <c r="I9234" t="n">
        <v>0</v>
      </c>
      <c r="J9234" t="n">
        <v>0</v>
      </c>
      <c r="K9234" t="n">
        <v>0</v>
      </c>
      <c r="L9234" t="n">
        <v>0</v>
      </c>
      <c r="M9234" t="n">
        <v>0</v>
      </c>
      <c r="N9234" t="n">
        <v>0</v>
      </c>
      <c r="O9234" t="n">
        <v>0</v>
      </c>
      <c r="P9234" t="n">
        <v>0</v>
      </c>
      <c r="Q9234" t="n">
        <v>0</v>
      </c>
      <c r="R9234" s="2" t="inlineStr"/>
    </row>
    <row r="9235" ht="15" customHeight="1">
      <c r="A9235" t="inlineStr">
        <is>
          <t>A 48752-2025</t>
        </is>
      </c>
      <c r="B9235" s="1" t="n">
        <v>45936.6905787037</v>
      </c>
      <c r="C9235" s="1" t="n">
        <v>45952</v>
      </c>
      <c r="D9235" t="inlineStr">
        <is>
          <t>VÄSTRA GÖTALANDS LÄN</t>
        </is>
      </c>
      <c r="E9235" t="inlineStr">
        <is>
          <t>BENGTSFORS</t>
        </is>
      </c>
      <c r="G9235" t="n">
        <v>5.2</v>
      </c>
      <c r="H9235" t="n">
        <v>0</v>
      </c>
      <c r="I9235" t="n">
        <v>0</v>
      </c>
      <c r="J9235" t="n">
        <v>0</v>
      </c>
      <c r="K9235" t="n">
        <v>0</v>
      </c>
      <c r="L9235" t="n">
        <v>0</v>
      </c>
      <c r="M9235" t="n">
        <v>0</v>
      </c>
      <c r="N9235" t="n">
        <v>0</v>
      </c>
      <c r="O9235" t="n">
        <v>0</v>
      </c>
      <c r="P9235" t="n">
        <v>0</v>
      </c>
      <c r="Q9235" t="n">
        <v>0</v>
      </c>
      <c r="R9235" s="2" t="inlineStr"/>
    </row>
    <row r="9236" ht="15" customHeight="1">
      <c r="A9236" t="inlineStr">
        <is>
          <t>A 48754-2025</t>
        </is>
      </c>
      <c r="B9236" s="1" t="n">
        <v>45936.71388888889</v>
      </c>
      <c r="C9236" s="1" t="n">
        <v>45952</v>
      </c>
      <c r="D9236" t="inlineStr">
        <is>
          <t>VÄSTRA GÖTALANDS LÄN</t>
        </is>
      </c>
      <c r="E9236" t="inlineStr">
        <is>
          <t>MUNKEDAL</t>
        </is>
      </c>
      <c r="G9236" t="n">
        <v>2</v>
      </c>
      <c r="H9236" t="n">
        <v>0</v>
      </c>
      <c r="I9236" t="n">
        <v>0</v>
      </c>
      <c r="J9236" t="n">
        <v>0</v>
      </c>
      <c r="K9236" t="n">
        <v>0</v>
      </c>
      <c r="L9236" t="n">
        <v>0</v>
      </c>
      <c r="M9236" t="n">
        <v>0</v>
      </c>
      <c r="N9236" t="n">
        <v>0</v>
      </c>
      <c r="O9236" t="n">
        <v>0</v>
      </c>
      <c r="P9236" t="n">
        <v>0</v>
      </c>
      <c r="Q9236" t="n">
        <v>0</v>
      </c>
      <c r="R9236" s="2" t="inlineStr"/>
    </row>
    <row r="9237" ht="15" customHeight="1">
      <c r="A9237" t="inlineStr">
        <is>
          <t>A 23874-2025</t>
        </is>
      </c>
      <c r="B9237" s="1" t="n">
        <v>45793.68196759259</v>
      </c>
      <c r="C9237" s="1" t="n">
        <v>45952</v>
      </c>
      <c r="D9237" t="inlineStr">
        <is>
          <t>VÄSTRA GÖTALANDS LÄN</t>
        </is>
      </c>
      <c r="E9237" t="inlineStr">
        <is>
          <t>FALKÖPING</t>
        </is>
      </c>
      <c r="G9237" t="n">
        <v>7</v>
      </c>
      <c r="H9237" t="n">
        <v>0</v>
      </c>
      <c r="I9237" t="n">
        <v>0</v>
      </c>
      <c r="J9237" t="n">
        <v>0</v>
      </c>
      <c r="K9237" t="n">
        <v>0</v>
      </c>
      <c r="L9237" t="n">
        <v>0</v>
      </c>
      <c r="M9237" t="n">
        <v>0</v>
      </c>
      <c r="N9237" t="n">
        <v>0</v>
      </c>
      <c r="O9237" t="n">
        <v>0</v>
      </c>
      <c r="P9237" t="n">
        <v>0</v>
      </c>
      <c r="Q9237" t="n">
        <v>0</v>
      </c>
      <c r="R9237" s="2" t="inlineStr"/>
    </row>
    <row r="9238" ht="15" customHeight="1">
      <c r="A9238" t="inlineStr">
        <is>
          <t>A 39917-2021</t>
        </is>
      </c>
      <c r="B9238" s="1" t="n">
        <v>44417</v>
      </c>
      <c r="C9238" s="1" t="n">
        <v>45952</v>
      </c>
      <c r="D9238" t="inlineStr">
        <is>
          <t>VÄSTRA GÖTALANDS LÄN</t>
        </is>
      </c>
      <c r="E9238" t="inlineStr">
        <is>
          <t>BENGTSFORS</t>
        </is>
      </c>
      <c r="G9238" t="n">
        <v>1.3</v>
      </c>
      <c r="H9238" t="n">
        <v>0</v>
      </c>
      <c r="I9238" t="n">
        <v>0</v>
      </c>
      <c r="J9238" t="n">
        <v>0</v>
      </c>
      <c r="K9238" t="n">
        <v>0</v>
      </c>
      <c r="L9238" t="n">
        <v>0</v>
      </c>
      <c r="M9238" t="n">
        <v>0</v>
      </c>
      <c r="N9238" t="n">
        <v>0</v>
      </c>
      <c r="O9238" t="n">
        <v>0</v>
      </c>
      <c r="P9238" t="n">
        <v>0</v>
      </c>
      <c r="Q9238" t="n">
        <v>0</v>
      </c>
      <c r="R9238" s="2" t="inlineStr"/>
    </row>
    <row r="9239" ht="15" customHeight="1">
      <c r="A9239" t="inlineStr">
        <is>
          <t>A 48778-2025</t>
        </is>
      </c>
      <c r="B9239" s="1" t="n">
        <v>45937.2980787037</v>
      </c>
      <c r="C9239" s="1" t="n">
        <v>45952</v>
      </c>
      <c r="D9239" t="inlineStr">
        <is>
          <t>VÄSTRA GÖTALANDS LÄN</t>
        </is>
      </c>
      <c r="E9239" t="inlineStr">
        <is>
          <t>TRANEMO</t>
        </is>
      </c>
      <c r="G9239" t="n">
        <v>1.3</v>
      </c>
      <c r="H9239" t="n">
        <v>0</v>
      </c>
      <c r="I9239" t="n">
        <v>0</v>
      </c>
      <c r="J9239" t="n">
        <v>0</v>
      </c>
      <c r="K9239" t="n">
        <v>0</v>
      </c>
      <c r="L9239" t="n">
        <v>0</v>
      </c>
      <c r="M9239" t="n">
        <v>0</v>
      </c>
      <c r="N9239" t="n">
        <v>0</v>
      </c>
      <c r="O9239" t="n">
        <v>0</v>
      </c>
      <c r="P9239" t="n">
        <v>0</v>
      </c>
      <c r="Q9239" t="n">
        <v>0</v>
      </c>
      <c r="R9239" s="2" t="inlineStr"/>
    </row>
    <row r="9240" ht="15" customHeight="1">
      <c r="A9240" t="inlineStr">
        <is>
          <t>A 48791-2025</t>
        </is>
      </c>
      <c r="B9240" s="1" t="n">
        <v>45937.32559027777</v>
      </c>
      <c r="C9240" s="1" t="n">
        <v>45952</v>
      </c>
      <c r="D9240" t="inlineStr">
        <is>
          <t>VÄSTRA GÖTALANDS LÄN</t>
        </is>
      </c>
      <c r="E9240" t="inlineStr">
        <is>
          <t>TROLLHÄTTAN</t>
        </is>
      </c>
      <c r="G9240" t="n">
        <v>1.7</v>
      </c>
      <c r="H9240" t="n">
        <v>0</v>
      </c>
      <c r="I9240" t="n">
        <v>0</v>
      </c>
      <c r="J9240" t="n">
        <v>0</v>
      </c>
      <c r="K9240" t="n">
        <v>0</v>
      </c>
      <c r="L9240" t="n">
        <v>0</v>
      </c>
      <c r="M9240" t="n">
        <v>0</v>
      </c>
      <c r="N9240" t="n">
        <v>0</v>
      </c>
      <c r="O9240" t="n">
        <v>0</v>
      </c>
      <c r="P9240" t="n">
        <v>0</v>
      </c>
      <c r="Q9240" t="n">
        <v>0</v>
      </c>
      <c r="R9240" s="2" t="inlineStr"/>
    </row>
    <row r="9241" ht="15" customHeight="1">
      <c r="A9241" t="inlineStr">
        <is>
          <t>A 30745-2023</t>
        </is>
      </c>
      <c r="B9241" s="1" t="n">
        <v>45112</v>
      </c>
      <c r="C9241" s="1" t="n">
        <v>45952</v>
      </c>
      <c r="D9241" t="inlineStr">
        <is>
          <t>VÄSTRA GÖTALANDS LÄN</t>
        </is>
      </c>
      <c r="E9241" t="inlineStr">
        <is>
          <t>BOLLEBYGD</t>
        </is>
      </c>
      <c r="G9241" t="n">
        <v>3.9</v>
      </c>
      <c r="H9241" t="n">
        <v>0</v>
      </c>
      <c r="I9241" t="n">
        <v>0</v>
      </c>
      <c r="J9241" t="n">
        <v>0</v>
      </c>
      <c r="K9241" t="n">
        <v>0</v>
      </c>
      <c r="L9241" t="n">
        <v>0</v>
      </c>
      <c r="M9241" t="n">
        <v>0</v>
      </c>
      <c r="N9241" t="n">
        <v>0</v>
      </c>
      <c r="O9241" t="n">
        <v>0</v>
      </c>
      <c r="P9241" t="n">
        <v>0</v>
      </c>
      <c r="Q9241" t="n">
        <v>0</v>
      </c>
      <c r="R9241" s="2" t="inlineStr"/>
    </row>
    <row r="9242" ht="15" customHeight="1">
      <c r="A9242" t="inlineStr">
        <is>
          <t>A 36912-2023</t>
        </is>
      </c>
      <c r="B9242" s="1" t="n">
        <v>45153</v>
      </c>
      <c r="C9242" s="1" t="n">
        <v>45952</v>
      </c>
      <c r="D9242" t="inlineStr">
        <is>
          <t>VÄSTRA GÖTALANDS LÄN</t>
        </is>
      </c>
      <c r="E9242" t="inlineStr">
        <is>
          <t>MUNKEDAL</t>
        </is>
      </c>
      <c r="F9242" t="inlineStr">
        <is>
          <t>Övriga Aktiebolag</t>
        </is>
      </c>
      <c r="G9242" t="n">
        <v>2.7</v>
      </c>
      <c r="H9242" t="n">
        <v>0</v>
      </c>
      <c r="I9242" t="n">
        <v>0</v>
      </c>
      <c r="J9242" t="n">
        <v>0</v>
      </c>
      <c r="K9242" t="n">
        <v>0</v>
      </c>
      <c r="L9242" t="n">
        <v>0</v>
      </c>
      <c r="M9242" t="n">
        <v>0</v>
      </c>
      <c r="N9242" t="n">
        <v>0</v>
      </c>
      <c r="O9242" t="n">
        <v>0</v>
      </c>
      <c r="P9242" t="n">
        <v>0</v>
      </c>
      <c r="Q9242" t="n">
        <v>0</v>
      </c>
      <c r="R9242" s="2" t="inlineStr"/>
    </row>
    <row r="9243" ht="15" customHeight="1">
      <c r="A9243" t="inlineStr">
        <is>
          <t>A 49105-2025</t>
        </is>
      </c>
      <c r="B9243" s="1" t="n">
        <v>45937.72574074074</v>
      </c>
      <c r="C9243" s="1" t="n">
        <v>45952</v>
      </c>
      <c r="D9243" t="inlineStr">
        <is>
          <t>VÄSTRA GÖTALANDS LÄN</t>
        </is>
      </c>
      <c r="E9243" t="inlineStr">
        <is>
          <t>LYSEKIL</t>
        </is>
      </c>
      <c r="G9243" t="n">
        <v>3</v>
      </c>
      <c r="H9243" t="n">
        <v>0</v>
      </c>
      <c r="I9243" t="n">
        <v>0</v>
      </c>
      <c r="J9243" t="n">
        <v>0</v>
      </c>
      <c r="K9243" t="n">
        <v>0</v>
      </c>
      <c r="L9243" t="n">
        <v>0</v>
      </c>
      <c r="M9243" t="n">
        <v>0</v>
      </c>
      <c r="N9243" t="n">
        <v>0</v>
      </c>
      <c r="O9243" t="n">
        <v>0</v>
      </c>
      <c r="P9243" t="n">
        <v>0</v>
      </c>
      <c r="Q9243" t="n">
        <v>0</v>
      </c>
      <c r="R9243" s="2" t="inlineStr"/>
    </row>
    <row r="9244" ht="15" customHeight="1">
      <c r="A9244" t="inlineStr">
        <is>
          <t>A 40037-2021</t>
        </is>
      </c>
      <c r="B9244" s="1" t="n">
        <v>44418</v>
      </c>
      <c r="C9244" s="1" t="n">
        <v>45952</v>
      </c>
      <c r="D9244" t="inlineStr">
        <is>
          <t>VÄSTRA GÖTALANDS LÄN</t>
        </is>
      </c>
      <c r="E9244" t="inlineStr">
        <is>
          <t>UDDEVALLA</t>
        </is>
      </c>
      <c r="G9244" t="n">
        <v>10.3</v>
      </c>
      <c r="H9244" t="n">
        <v>0</v>
      </c>
      <c r="I9244" t="n">
        <v>0</v>
      </c>
      <c r="J9244" t="n">
        <v>0</v>
      </c>
      <c r="K9244" t="n">
        <v>0</v>
      </c>
      <c r="L9244" t="n">
        <v>0</v>
      </c>
      <c r="M9244" t="n">
        <v>0</v>
      </c>
      <c r="N9244" t="n">
        <v>0</v>
      </c>
      <c r="O9244" t="n">
        <v>0</v>
      </c>
      <c r="P9244" t="n">
        <v>0</v>
      </c>
      <c r="Q9244" t="n">
        <v>0</v>
      </c>
      <c r="R9244" s="2" t="inlineStr"/>
    </row>
    <row r="9245" ht="15" customHeight="1">
      <c r="A9245" t="inlineStr">
        <is>
          <t>A 39046-2024</t>
        </is>
      </c>
      <c r="B9245" s="1" t="n">
        <v>45548.48182870371</v>
      </c>
      <c r="C9245" s="1" t="n">
        <v>45952</v>
      </c>
      <c r="D9245" t="inlineStr">
        <is>
          <t>VÄSTRA GÖTALANDS LÄN</t>
        </is>
      </c>
      <c r="E9245" t="inlineStr">
        <is>
          <t>MARIESTAD</t>
        </is>
      </c>
      <c r="G9245" t="n">
        <v>5.7</v>
      </c>
      <c r="H9245" t="n">
        <v>0</v>
      </c>
      <c r="I9245" t="n">
        <v>0</v>
      </c>
      <c r="J9245" t="n">
        <v>0</v>
      </c>
      <c r="K9245" t="n">
        <v>0</v>
      </c>
      <c r="L9245" t="n">
        <v>0</v>
      </c>
      <c r="M9245" t="n">
        <v>0</v>
      </c>
      <c r="N9245" t="n">
        <v>0</v>
      </c>
      <c r="O9245" t="n">
        <v>0</v>
      </c>
      <c r="P9245" t="n">
        <v>0</v>
      </c>
      <c r="Q9245" t="n">
        <v>0</v>
      </c>
      <c r="R9245" s="2" t="inlineStr"/>
    </row>
    <row r="9246" ht="15" customHeight="1">
      <c r="A9246" t="inlineStr">
        <is>
          <t>A 48432-2025</t>
        </is>
      </c>
      <c r="B9246" s="1" t="n">
        <v>45934.89319444444</v>
      </c>
      <c r="C9246" s="1" t="n">
        <v>45952</v>
      </c>
      <c r="D9246" t="inlineStr">
        <is>
          <t>VÄSTRA GÖTALANDS LÄN</t>
        </is>
      </c>
      <c r="E9246" t="inlineStr">
        <is>
          <t>HÄRRYDA</t>
        </is>
      </c>
      <c r="G9246" t="n">
        <v>1.1</v>
      </c>
      <c r="H9246" t="n">
        <v>0</v>
      </c>
      <c r="I9246" t="n">
        <v>0</v>
      </c>
      <c r="J9246" t="n">
        <v>0</v>
      </c>
      <c r="K9246" t="n">
        <v>0</v>
      </c>
      <c r="L9246" t="n">
        <v>0</v>
      </c>
      <c r="M9246" t="n">
        <v>0</v>
      </c>
      <c r="N9246" t="n">
        <v>0</v>
      </c>
      <c r="O9246" t="n">
        <v>0</v>
      </c>
      <c r="P9246" t="n">
        <v>0</v>
      </c>
      <c r="Q9246" t="n">
        <v>0</v>
      </c>
      <c r="R9246" s="2" t="inlineStr"/>
    </row>
    <row r="9247" ht="15" customHeight="1">
      <c r="A9247" t="inlineStr">
        <is>
          <t>A 42680-2024</t>
        </is>
      </c>
      <c r="B9247" s="1" t="n">
        <v>45566</v>
      </c>
      <c r="C9247" s="1" t="n">
        <v>45952</v>
      </c>
      <c r="D9247" t="inlineStr">
        <is>
          <t>VÄSTRA GÖTALANDS LÄN</t>
        </is>
      </c>
      <c r="E9247" t="inlineStr">
        <is>
          <t>TRANEMO</t>
        </is>
      </c>
      <c r="G9247" t="n">
        <v>0.7</v>
      </c>
      <c r="H9247" t="n">
        <v>0</v>
      </c>
      <c r="I9247" t="n">
        <v>0</v>
      </c>
      <c r="J9247" t="n">
        <v>0</v>
      </c>
      <c r="K9247" t="n">
        <v>0</v>
      </c>
      <c r="L9247" t="n">
        <v>0</v>
      </c>
      <c r="M9247" t="n">
        <v>0</v>
      </c>
      <c r="N9247" t="n">
        <v>0</v>
      </c>
      <c r="O9247" t="n">
        <v>0</v>
      </c>
      <c r="P9247" t="n">
        <v>0</v>
      </c>
      <c r="Q9247" t="n">
        <v>0</v>
      </c>
      <c r="R9247" s="2" t="inlineStr"/>
    </row>
    <row r="9248" ht="15" customHeight="1">
      <c r="A9248" t="inlineStr">
        <is>
          <t>A 48445-2025</t>
        </is>
      </c>
      <c r="B9248" s="1" t="n">
        <v>45935.5899074074</v>
      </c>
      <c r="C9248" s="1" t="n">
        <v>45952</v>
      </c>
      <c r="D9248" t="inlineStr">
        <is>
          <t>VÄSTRA GÖTALANDS LÄN</t>
        </is>
      </c>
      <c r="E9248" t="inlineStr">
        <is>
          <t>BORÅS</t>
        </is>
      </c>
      <c r="G9248" t="n">
        <v>2.5</v>
      </c>
      <c r="H9248" t="n">
        <v>0</v>
      </c>
      <c r="I9248" t="n">
        <v>0</v>
      </c>
      <c r="J9248" t="n">
        <v>0</v>
      </c>
      <c r="K9248" t="n">
        <v>0</v>
      </c>
      <c r="L9248" t="n">
        <v>0</v>
      </c>
      <c r="M9248" t="n">
        <v>0</v>
      </c>
      <c r="N9248" t="n">
        <v>0</v>
      </c>
      <c r="O9248" t="n">
        <v>0</v>
      </c>
      <c r="P9248" t="n">
        <v>0</v>
      </c>
      <c r="Q9248" t="n">
        <v>0</v>
      </c>
      <c r="R9248" s="2" t="inlineStr"/>
    </row>
    <row r="9249" ht="15" customHeight="1">
      <c r="A9249" t="inlineStr">
        <is>
          <t>A 49020-2025</t>
        </is>
      </c>
      <c r="B9249" s="1" t="n">
        <v>45937.61548611111</v>
      </c>
      <c r="C9249" s="1" t="n">
        <v>45952</v>
      </c>
      <c r="D9249" t="inlineStr">
        <is>
          <t>VÄSTRA GÖTALANDS LÄN</t>
        </is>
      </c>
      <c r="E9249" t="inlineStr">
        <is>
          <t>BENGTSFORS</t>
        </is>
      </c>
      <c r="G9249" t="n">
        <v>2.2</v>
      </c>
      <c r="H9249" t="n">
        <v>0</v>
      </c>
      <c r="I9249" t="n">
        <v>0</v>
      </c>
      <c r="J9249" t="n">
        <v>0</v>
      </c>
      <c r="K9249" t="n">
        <v>0</v>
      </c>
      <c r="L9249" t="n">
        <v>0</v>
      </c>
      <c r="M9249" t="n">
        <v>0</v>
      </c>
      <c r="N9249" t="n">
        <v>0</v>
      </c>
      <c r="O9249" t="n">
        <v>0</v>
      </c>
      <c r="P9249" t="n">
        <v>0</v>
      </c>
      <c r="Q9249" t="n">
        <v>0</v>
      </c>
      <c r="R9249" s="2" t="inlineStr"/>
    </row>
    <row r="9250" ht="15" customHeight="1">
      <c r="A9250" t="inlineStr">
        <is>
          <t>A 23854-2023</t>
        </is>
      </c>
      <c r="B9250" s="1" t="n">
        <v>45075</v>
      </c>
      <c r="C9250" s="1" t="n">
        <v>45952</v>
      </c>
      <c r="D9250" t="inlineStr">
        <is>
          <t>VÄSTRA GÖTALANDS LÄN</t>
        </is>
      </c>
      <c r="E9250" t="inlineStr">
        <is>
          <t>ULRICEHAMN</t>
        </is>
      </c>
      <c r="G9250" t="n">
        <v>2.5</v>
      </c>
      <c r="H9250" t="n">
        <v>0</v>
      </c>
      <c r="I9250" t="n">
        <v>0</v>
      </c>
      <c r="J9250" t="n">
        <v>0</v>
      </c>
      <c r="K9250" t="n">
        <v>0</v>
      </c>
      <c r="L9250" t="n">
        <v>0</v>
      </c>
      <c r="M9250" t="n">
        <v>0</v>
      </c>
      <c r="N9250" t="n">
        <v>0</v>
      </c>
      <c r="O9250" t="n">
        <v>0</v>
      </c>
      <c r="P9250" t="n">
        <v>0</v>
      </c>
      <c r="Q9250" t="n">
        <v>0</v>
      </c>
      <c r="R9250" s="2" t="inlineStr"/>
    </row>
    <row r="9251" ht="15" customHeight="1">
      <c r="A9251" t="inlineStr">
        <is>
          <t>A 56013-2024</t>
        </is>
      </c>
      <c r="B9251" s="1" t="n">
        <v>45623.84050925926</v>
      </c>
      <c r="C9251" s="1" t="n">
        <v>45952</v>
      </c>
      <c r="D9251" t="inlineStr">
        <is>
          <t>VÄSTRA GÖTALANDS LÄN</t>
        </is>
      </c>
      <c r="E9251" t="inlineStr">
        <is>
          <t>TIDAHOLM</t>
        </is>
      </c>
      <c r="G9251" t="n">
        <v>1.6</v>
      </c>
      <c r="H9251" t="n">
        <v>0</v>
      </c>
      <c r="I9251" t="n">
        <v>0</v>
      </c>
      <c r="J9251" t="n">
        <v>0</v>
      </c>
      <c r="K9251" t="n">
        <v>0</v>
      </c>
      <c r="L9251" t="n">
        <v>0</v>
      </c>
      <c r="M9251" t="n">
        <v>0</v>
      </c>
      <c r="N9251" t="n">
        <v>0</v>
      </c>
      <c r="O9251" t="n">
        <v>0</v>
      </c>
      <c r="P9251" t="n">
        <v>0</v>
      </c>
      <c r="Q9251" t="n">
        <v>0</v>
      </c>
      <c r="R9251" s="2" t="inlineStr"/>
    </row>
    <row r="9252" ht="15" customHeight="1">
      <c r="A9252" t="inlineStr">
        <is>
          <t>A 66864-2020</t>
        </is>
      </c>
      <c r="B9252" s="1" t="n">
        <v>44180</v>
      </c>
      <c r="C9252" s="1" t="n">
        <v>45952</v>
      </c>
      <c r="D9252" t="inlineStr">
        <is>
          <t>VÄSTRA GÖTALANDS LÄN</t>
        </is>
      </c>
      <c r="E9252" t="inlineStr">
        <is>
          <t>MARIESTAD</t>
        </is>
      </c>
      <c r="G9252" t="n">
        <v>1.3</v>
      </c>
      <c r="H9252" t="n">
        <v>0</v>
      </c>
      <c r="I9252" t="n">
        <v>0</v>
      </c>
      <c r="J9252" t="n">
        <v>0</v>
      </c>
      <c r="K9252" t="n">
        <v>0</v>
      </c>
      <c r="L9252" t="n">
        <v>0</v>
      </c>
      <c r="M9252" t="n">
        <v>0</v>
      </c>
      <c r="N9252" t="n">
        <v>0</v>
      </c>
      <c r="O9252" t="n">
        <v>0</v>
      </c>
      <c r="P9252" t="n">
        <v>0</v>
      </c>
      <c r="Q9252" t="n">
        <v>0</v>
      </c>
      <c r="R9252" s="2" t="inlineStr"/>
    </row>
    <row r="9253" ht="15" customHeight="1">
      <c r="A9253" t="inlineStr">
        <is>
          <t>A 27166-2023</t>
        </is>
      </c>
      <c r="B9253" s="1" t="n">
        <v>45096.49310185185</v>
      </c>
      <c r="C9253" s="1" t="n">
        <v>45952</v>
      </c>
      <c r="D9253" t="inlineStr">
        <is>
          <t>VÄSTRA GÖTALANDS LÄN</t>
        </is>
      </c>
      <c r="E9253" t="inlineStr">
        <is>
          <t>TRANEMO</t>
        </is>
      </c>
      <c r="G9253" t="n">
        <v>0.4</v>
      </c>
      <c r="H9253" t="n">
        <v>0</v>
      </c>
      <c r="I9253" t="n">
        <v>0</v>
      </c>
      <c r="J9253" t="n">
        <v>0</v>
      </c>
      <c r="K9253" t="n">
        <v>0</v>
      </c>
      <c r="L9253" t="n">
        <v>0</v>
      </c>
      <c r="M9253" t="n">
        <v>0</v>
      </c>
      <c r="N9253" t="n">
        <v>0</v>
      </c>
      <c r="O9253" t="n">
        <v>0</v>
      </c>
      <c r="P9253" t="n">
        <v>0</v>
      </c>
      <c r="Q9253" t="n">
        <v>0</v>
      </c>
      <c r="R9253" s="2" t="inlineStr"/>
    </row>
    <row r="9254" ht="15" customHeight="1">
      <c r="A9254" t="inlineStr">
        <is>
          <t>A 3618-2025</t>
        </is>
      </c>
      <c r="B9254" s="1" t="n">
        <v>45681.36631944445</v>
      </c>
      <c r="C9254" s="1" t="n">
        <v>45952</v>
      </c>
      <c r="D9254" t="inlineStr">
        <is>
          <t>VÄSTRA GÖTALANDS LÄN</t>
        </is>
      </c>
      <c r="E9254" t="inlineStr">
        <is>
          <t>ALINGSÅS</t>
        </is>
      </c>
      <c r="G9254" t="n">
        <v>3.4</v>
      </c>
      <c r="H9254" t="n">
        <v>0</v>
      </c>
      <c r="I9254" t="n">
        <v>0</v>
      </c>
      <c r="J9254" t="n">
        <v>0</v>
      </c>
      <c r="K9254" t="n">
        <v>0</v>
      </c>
      <c r="L9254" t="n">
        <v>0</v>
      </c>
      <c r="M9254" t="n">
        <v>0</v>
      </c>
      <c r="N9254" t="n">
        <v>0</v>
      </c>
      <c r="O9254" t="n">
        <v>0</v>
      </c>
      <c r="P9254" t="n">
        <v>0</v>
      </c>
      <c r="Q9254" t="n">
        <v>0</v>
      </c>
      <c r="R9254" s="2" t="inlineStr"/>
    </row>
    <row r="9255" ht="15" customHeight="1">
      <c r="A9255" t="inlineStr">
        <is>
          <t>A 53628-2023</t>
        </is>
      </c>
      <c r="B9255" s="1" t="n">
        <v>45230.58957175926</v>
      </c>
      <c r="C9255" s="1" t="n">
        <v>45952</v>
      </c>
      <c r="D9255" t="inlineStr">
        <is>
          <t>VÄSTRA GÖTALANDS LÄN</t>
        </is>
      </c>
      <c r="E9255" t="inlineStr">
        <is>
          <t>ALINGSÅS</t>
        </is>
      </c>
      <c r="G9255" t="n">
        <v>1.5</v>
      </c>
      <c r="H9255" t="n">
        <v>0</v>
      </c>
      <c r="I9255" t="n">
        <v>0</v>
      </c>
      <c r="J9255" t="n">
        <v>0</v>
      </c>
      <c r="K9255" t="n">
        <v>0</v>
      </c>
      <c r="L9255" t="n">
        <v>0</v>
      </c>
      <c r="M9255" t="n">
        <v>0</v>
      </c>
      <c r="N9255" t="n">
        <v>0</v>
      </c>
      <c r="O9255" t="n">
        <v>0</v>
      </c>
      <c r="P9255" t="n">
        <v>0</v>
      </c>
      <c r="Q9255" t="n">
        <v>0</v>
      </c>
      <c r="R9255" s="2" t="inlineStr"/>
    </row>
    <row r="9256" ht="15" customHeight="1">
      <c r="A9256" t="inlineStr">
        <is>
          <t>A 20348-2025</t>
        </is>
      </c>
      <c r="B9256" s="1" t="n">
        <v>45775.38278935185</v>
      </c>
      <c r="C9256" s="1" t="n">
        <v>45952</v>
      </c>
      <c r="D9256" t="inlineStr">
        <is>
          <t>VÄSTRA GÖTALANDS LÄN</t>
        </is>
      </c>
      <c r="E9256" t="inlineStr">
        <is>
          <t>FALKÖPING</t>
        </is>
      </c>
      <c r="G9256" t="n">
        <v>7.3</v>
      </c>
      <c r="H9256" t="n">
        <v>0</v>
      </c>
      <c r="I9256" t="n">
        <v>0</v>
      </c>
      <c r="J9256" t="n">
        <v>0</v>
      </c>
      <c r="K9256" t="n">
        <v>0</v>
      </c>
      <c r="L9256" t="n">
        <v>0</v>
      </c>
      <c r="M9256" t="n">
        <v>0</v>
      </c>
      <c r="N9256" t="n">
        <v>0</v>
      </c>
      <c r="O9256" t="n">
        <v>0</v>
      </c>
      <c r="P9256" t="n">
        <v>0</v>
      </c>
      <c r="Q9256" t="n">
        <v>0</v>
      </c>
      <c r="R9256" s="2" t="inlineStr"/>
    </row>
    <row r="9257" ht="15" customHeight="1">
      <c r="A9257" t="inlineStr">
        <is>
          <t>A 24579-2022</t>
        </is>
      </c>
      <c r="B9257" s="1" t="n">
        <v>44727</v>
      </c>
      <c r="C9257" s="1" t="n">
        <v>45952</v>
      </c>
      <c r="D9257" t="inlineStr">
        <is>
          <t>VÄSTRA GÖTALANDS LÄN</t>
        </is>
      </c>
      <c r="E9257" t="inlineStr">
        <is>
          <t>ALINGSÅS</t>
        </is>
      </c>
      <c r="G9257" t="n">
        <v>10.4</v>
      </c>
      <c r="H9257" t="n">
        <v>0</v>
      </c>
      <c r="I9257" t="n">
        <v>0</v>
      </c>
      <c r="J9257" t="n">
        <v>0</v>
      </c>
      <c r="K9257" t="n">
        <v>0</v>
      </c>
      <c r="L9257" t="n">
        <v>0</v>
      </c>
      <c r="M9257" t="n">
        <v>0</v>
      </c>
      <c r="N9257" t="n">
        <v>0</v>
      </c>
      <c r="O9257" t="n">
        <v>0</v>
      </c>
      <c r="P9257" t="n">
        <v>0</v>
      </c>
      <c r="Q9257" t="n">
        <v>0</v>
      </c>
      <c r="R9257" s="2" t="inlineStr"/>
    </row>
    <row r="9258" ht="15" customHeight="1">
      <c r="A9258" t="inlineStr">
        <is>
          <t>A 9030-2021</t>
        </is>
      </c>
      <c r="B9258" s="1" t="n">
        <v>44249</v>
      </c>
      <c r="C9258" s="1" t="n">
        <v>45952</v>
      </c>
      <c r="D9258" t="inlineStr">
        <is>
          <t>VÄSTRA GÖTALANDS LÄN</t>
        </is>
      </c>
      <c r="E9258" t="inlineStr">
        <is>
          <t>BENGTSFORS</t>
        </is>
      </c>
      <c r="G9258" t="n">
        <v>8.699999999999999</v>
      </c>
      <c r="H9258" t="n">
        <v>0</v>
      </c>
      <c r="I9258" t="n">
        <v>0</v>
      </c>
      <c r="J9258" t="n">
        <v>0</v>
      </c>
      <c r="K9258" t="n">
        <v>0</v>
      </c>
      <c r="L9258" t="n">
        <v>0</v>
      </c>
      <c r="M9258" t="n">
        <v>0</v>
      </c>
      <c r="N9258" t="n">
        <v>0</v>
      </c>
      <c r="O9258" t="n">
        <v>0</v>
      </c>
      <c r="P9258" t="n">
        <v>0</v>
      </c>
      <c r="Q9258" t="n">
        <v>0</v>
      </c>
      <c r="R9258" s="2" t="inlineStr"/>
    </row>
    <row r="9259" ht="15" customHeight="1">
      <c r="A9259" t="inlineStr">
        <is>
          <t>A 20359-2025</t>
        </is>
      </c>
      <c r="B9259" s="1" t="n">
        <v>45775.39707175926</v>
      </c>
      <c r="C9259" s="1" t="n">
        <v>45952</v>
      </c>
      <c r="D9259" t="inlineStr">
        <is>
          <t>VÄSTRA GÖTALANDS LÄN</t>
        </is>
      </c>
      <c r="E9259" t="inlineStr">
        <is>
          <t>FÄRGELANDA</t>
        </is>
      </c>
      <c r="G9259" t="n">
        <v>1.3</v>
      </c>
      <c r="H9259" t="n">
        <v>0</v>
      </c>
      <c r="I9259" t="n">
        <v>0</v>
      </c>
      <c r="J9259" t="n">
        <v>0</v>
      </c>
      <c r="K9259" t="n">
        <v>0</v>
      </c>
      <c r="L9259" t="n">
        <v>0</v>
      </c>
      <c r="M9259" t="n">
        <v>0</v>
      </c>
      <c r="N9259" t="n">
        <v>0</v>
      </c>
      <c r="O9259" t="n">
        <v>0</v>
      </c>
      <c r="P9259" t="n">
        <v>0</v>
      </c>
      <c r="Q9259" t="n">
        <v>0</v>
      </c>
      <c r="R9259" s="2" t="inlineStr"/>
    </row>
    <row r="9260" ht="15" customHeight="1">
      <c r="A9260" t="inlineStr">
        <is>
          <t>A 20361-2025</t>
        </is>
      </c>
      <c r="B9260" s="1" t="n">
        <v>45775.39840277778</v>
      </c>
      <c r="C9260" s="1" t="n">
        <v>45952</v>
      </c>
      <c r="D9260" t="inlineStr">
        <is>
          <t>VÄSTRA GÖTALANDS LÄN</t>
        </is>
      </c>
      <c r="E9260" t="inlineStr">
        <is>
          <t>TÖREBODA</t>
        </is>
      </c>
      <c r="F9260" t="inlineStr">
        <is>
          <t>Sveaskog</t>
        </is>
      </c>
      <c r="G9260" t="n">
        <v>1.4</v>
      </c>
      <c r="H9260" t="n">
        <v>0</v>
      </c>
      <c r="I9260" t="n">
        <v>0</v>
      </c>
      <c r="J9260" t="n">
        <v>0</v>
      </c>
      <c r="K9260" t="n">
        <v>0</v>
      </c>
      <c r="L9260" t="n">
        <v>0</v>
      </c>
      <c r="M9260" t="n">
        <v>0</v>
      </c>
      <c r="N9260" t="n">
        <v>0</v>
      </c>
      <c r="O9260" t="n">
        <v>0</v>
      </c>
      <c r="P9260" t="n">
        <v>0</v>
      </c>
      <c r="Q9260" t="n">
        <v>0</v>
      </c>
      <c r="R9260" s="2" t="inlineStr"/>
    </row>
    <row r="9261" ht="15" customHeight="1">
      <c r="A9261" t="inlineStr">
        <is>
          <t>A 20362-2025</t>
        </is>
      </c>
      <c r="B9261" s="1" t="n">
        <v>45775.40157407407</v>
      </c>
      <c r="C9261" s="1" t="n">
        <v>45952</v>
      </c>
      <c r="D9261" t="inlineStr">
        <is>
          <t>VÄSTRA GÖTALANDS LÄN</t>
        </is>
      </c>
      <c r="E9261" t="inlineStr">
        <is>
          <t>TÖREBODA</t>
        </is>
      </c>
      <c r="F9261" t="inlineStr">
        <is>
          <t>Sveaskog</t>
        </is>
      </c>
      <c r="G9261" t="n">
        <v>3.9</v>
      </c>
      <c r="H9261" t="n">
        <v>0</v>
      </c>
      <c r="I9261" t="n">
        <v>0</v>
      </c>
      <c r="J9261" t="n">
        <v>0</v>
      </c>
      <c r="K9261" t="n">
        <v>0</v>
      </c>
      <c r="L9261" t="n">
        <v>0</v>
      </c>
      <c r="M9261" t="n">
        <v>0</v>
      </c>
      <c r="N9261" t="n">
        <v>0</v>
      </c>
      <c r="O9261" t="n">
        <v>0</v>
      </c>
      <c r="P9261" t="n">
        <v>0</v>
      </c>
      <c r="Q9261" t="n">
        <v>0</v>
      </c>
      <c r="R9261" s="2" t="inlineStr"/>
    </row>
    <row r="9262" ht="15" customHeight="1">
      <c r="A9262" t="inlineStr">
        <is>
          <t>A 21727-2022</t>
        </is>
      </c>
      <c r="B9262" s="1" t="n">
        <v>44708.3287037037</v>
      </c>
      <c r="C9262" s="1" t="n">
        <v>45952</v>
      </c>
      <c r="D9262" t="inlineStr">
        <is>
          <t>VÄSTRA GÖTALANDS LÄN</t>
        </is>
      </c>
      <c r="E9262" t="inlineStr">
        <is>
          <t>ALINGSÅS</t>
        </is>
      </c>
      <c r="G9262" t="n">
        <v>3.8</v>
      </c>
      <c r="H9262" t="n">
        <v>0</v>
      </c>
      <c r="I9262" t="n">
        <v>0</v>
      </c>
      <c r="J9262" t="n">
        <v>0</v>
      </c>
      <c r="K9262" t="n">
        <v>0</v>
      </c>
      <c r="L9262" t="n">
        <v>0</v>
      </c>
      <c r="M9262" t="n">
        <v>0</v>
      </c>
      <c r="N9262" t="n">
        <v>0</v>
      </c>
      <c r="O9262" t="n">
        <v>0</v>
      </c>
      <c r="P9262" t="n">
        <v>0</v>
      </c>
      <c r="Q9262" t="n">
        <v>0</v>
      </c>
      <c r="R9262" s="2" t="inlineStr"/>
    </row>
    <row r="9263" ht="15" customHeight="1">
      <c r="A9263" t="inlineStr">
        <is>
          <t>A 23426-2025</t>
        </is>
      </c>
      <c r="B9263" s="1" t="n">
        <v>45792.3609375</v>
      </c>
      <c r="C9263" s="1" t="n">
        <v>45952</v>
      </c>
      <c r="D9263" t="inlineStr">
        <is>
          <t>VÄSTRA GÖTALANDS LÄN</t>
        </is>
      </c>
      <c r="E9263" t="inlineStr">
        <is>
          <t>MELLERUD</t>
        </is>
      </c>
      <c r="G9263" t="n">
        <v>7.3</v>
      </c>
      <c r="H9263" t="n">
        <v>0</v>
      </c>
      <c r="I9263" t="n">
        <v>0</v>
      </c>
      <c r="J9263" t="n">
        <v>0</v>
      </c>
      <c r="K9263" t="n">
        <v>0</v>
      </c>
      <c r="L9263" t="n">
        <v>0</v>
      </c>
      <c r="M9263" t="n">
        <v>0</v>
      </c>
      <c r="N9263" t="n">
        <v>0</v>
      </c>
      <c r="O9263" t="n">
        <v>0</v>
      </c>
      <c r="P9263" t="n">
        <v>0</v>
      </c>
      <c r="Q9263" t="n">
        <v>0</v>
      </c>
      <c r="R9263" s="2" t="inlineStr"/>
    </row>
    <row r="9264" ht="15" customHeight="1">
      <c r="A9264" t="inlineStr">
        <is>
          <t>A 23780-2025</t>
        </is>
      </c>
      <c r="B9264" s="1" t="n">
        <v>45793.50979166666</v>
      </c>
      <c r="C9264" s="1" t="n">
        <v>45952</v>
      </c>
      <c r="D9264" t="inlineStr">
        <is>
          <t>VÄSTRA GÖTALANDS LÄN</t>
        </is>
      </c>
      <c r="E9264" t="inlineStr">
        <is>
          <t>ÅMÅL</t>
        </is>
      </c>
      <c r="G9264" t="n">
        <v>2.2</v>
      </c>
      <c r="H9264" t="n">
        <v>0</v>
      </c>
      <c r="I9264" t="n">
        <v>0</v>
      </c>
      <c r="J9264" t="n">
        <v>0</v>
      </c>
      <c r="K9264" t="n">
        <v>0</v>
      </c>
      <c r="L9264" t="n">
        <v>0</v>
      </c>
      <c r="M9264" t="n">
        <v>0</v>
      </c>
      <c r="N9264" t="n">
        <v>0</v>
      </c>
      <c r="O9264" t="n">
        <v>0</v>
      </c>
      <c r="P9264" t="n">
        <v>0</v>
      </c>
      <c r="Q9264" t="n">
        <v>0</v>
      </c>
      <c r="R9264" s="2" t="inlineStr"/>
    </row>
    <row r="9265" ht="15" customHeight="1">
      <c r="A9265" t="inlineStr">
        <is>
          <t>A 38108-2022</t>
        </is>
      </c>
      <c r="B9265" s="1" t="n">
        <v>44812.25462962963</v>
      </c>
      <c r="C9265" s="1" t="n">
        <v>45952</v>
      </c>
      <c r="D9265" t="inlineStr">
        <is>
          <t>VÄSTRA GÖTALANDS LÄN</t>
        </is>
      </c>
      <c r="E9265" t="inlineStr">
        <is>
          <t>MARIESTAD</t>
        </is>
      </c>
      <c r="G9265" t="n">
        <v>1.7</v>
      </c>
      <c r="H9265" t="n">
        <v>0</v>
      </c>
      <c r="I9265" t="n">
        <v>0</v>
      </c>
      <c r="J9265" t="n">
        <v>0</v>
      </c>
      <c r="K9265" t="n">
        <v>0</v>
      </c>
      <c r="L9265" t="n">
        <v>0</v>
      </c>
      <c r="M9265" t="n">
        <v>0</v>
      </c>
      <c r="N9265" t="n">
        <v>0</v>
      </c>
      <c r="O9265" t="n">
        <v>0</v>
      </c>
      <c r="P9265" t="n">
        <v>0</v>
      </c>
      <c r="Q9265" t="n">
        <v>0</v>
      </c>
      <c r="R9265" s="2" t="inlineStr"/>
    </row>
    <row r="9266" ht="15" customHeight="1">
      <c r="A9266" t="inlineStr">
        <is>
          <t>A 45268-2023</t>
        </is>
      </c>
      <c r="B9266" s="1" t="n">
        <v>45191</v>
      </c>
      <c r="C9266" s="1" t="n">
        <v>45952</v>
      </c>
      <c r="D9266" t="inlineStr">
        <is>
          <t>VÄSTRA GÖTALANDS LÄN</t>
        </is>
      </c>
      <c r="E9266" t="inlineStr">
        <is>
          <t>MARK</t>
        </is>
      </c>
      <c r="G9266" t="n">
        <v>1.6</v>
      </c>
      <c r="H9266" t="n">
        <v>0</v>
      </c>
      <c r="I9266" t="n">
        <v>0</v>
      </c>
      <c r="J9266" t="n">
        <v>0</v>
      </c>
      <c r="K9266" t="n">
        <v>0</v>
      </c>
      <c r="L9266" t="n">
        <v>0</v>
      </c>
      <c r="M9266" t="n">
        <v>0</v>
      </c>
      <c r="N9266" t="n">
        <v>0</v>
      </c>
      <c r="O9266" t="n">
        <v>0</v>
      </c>
      <c r="P9266" t="n">
        <v>0</v>
      </c>
      <c r="Q9266" t="n">
        <v>0</v>
      </c>
      <c r="R9266" s="2" t="inlineStr"/>
    </row>
    <row r="9267" ht="15" customHeight="1">
      <c r="A9267" t="inlineStr">
        <is>
          <t>A 45270-2023</t>
        </is>
      </c>
      <c r="B9267" s="1" t="n">
        <v>45191</v>
      </c>
      <c r="C9267" s="1" t="n">
        <v>45952</v>
      </c>
      <c r="D9267" t="inlineStr">
        <is>
          <t>VÄSTRA GÖTALANDS LÄN</t>
        </is>
      </c>
      <c r="E9267" t="inlineStr">
        <is>
          <t>SVENLJUNGA</t>
        </is>
      </c>
      <c r="G9267" t="n">
        <v>1.5</v>
      </c>
      <c r="H9267" t="n">
        <v>0</v>
      </c>
      <c r="I9267" t="n">
        <v>0</v>
      </c>
      <c r="J9267" t="n">
        <v>0</v>
      </c>
      <c r="K9267" t="n">
        <v>0</v>
      </c>
      <c r="L9267" t="n">
        <v>0</v>
      </c>
      <c r="M9267" t="n">
        <v>0</v>
      </c>
      <c r="N9267" t="n">
        <v>0</v>
      </c>
      <c r="O9267" t="n">
        <v>0</v>
      </c>
      <c r="P9267" t="n">
        <v>0</v>
      </c>
      <c r="Q9267" t="n">
        <v>0</v>
      </c>
      <c r="R9267" s="2" t="inlineStr"/>
    </row>
    <row r="9268" ht="15" customHeight="1">
      <c r="A9268" t="inlineStr">
        <is>
          <t>A 45271-2023</t>
        </is>
      </c>
      <c r="B9268" s="1" t="n">
        <v>45191</v>
      </c>
      <c r="C9268" s="1" t="n">
        <v>45952</v>
      </c>
      <c r="D9268" t="inlineStr">
        <is>
          <t>VÄSTRA GÖTALANDS LÄN</t>
        </is>
      </c>
      <c r="E9268" t="inlineStr">
        <is>
          <t>SVENLJUNGA</t>
        </is>
      </c>
      <c r="G9268" t="n">
        <v>3</v>
      </c>
      <c r="H9268" t="n">
        <v>0</v>
      </c>
      <c r="I9268" t="n">
        <v>0</v>
      </c>
      <c r="J9268" t="n">
        <v>0</v>
      </c>
      <c r="K9268" t="n">
        <v>0</v>
      </c>
      <c r="L9268" t="n">
        <v>0</v>
      </c>
      <c r="M9268" t="n">
        <v>0</v>
      </c>
      <c r="N9268" t="n">
        <v>0</v>
      </c>
      <c r="O9268" t="n">
        <v>0</v>
      </c>
      <c r="P9268" t="n">
        <v>0</v>
      </c>
      <c r="Q9268" t="n">
        <v>0</v>
      </c>
      <c r="R9268" s="2" t="inlineStr"/>
    </row>
    <row r="9269" ht="15" customHeight="1">
      <c r="A9269" t="inlineStr">
        <is>
          <t>A 38164-2022</t>
        </is>
      </c>
      <c r="B9269" s="1" t="n">
        <v>44812.38193287037</v>
      </c>
      <c r="C9269" s="1" t="n">
        <v>45952</v>
      </c>
      <c r="D9269" t="inlineStr">
        <is>
          <t>VÄSTRA GÖTALANDS LÄN</t>
        </is>
      </c>
      <c r="E9269" t="inlineStr">
        <is>
          <t>MUNKEDAL</t>
        </is>
      </c>
      <c r="G9269" t="n">
        <v>2.8</v>
      </c>
      <c r="H9269" t="n">
        <v>0</v>
      </c>
      <c r="I9269" t="n">
        <v>0</v>
      </c>
      <c r="J9269" t="n">
        <v>0</v>
      </c>
      <c r="K9269" t="n">
        <v>0</v>
      </c>
      <c r="L9269" t="n">
        <v>0</v>
      </c>
      <c r="M9269" t="n">
        <v>0</v>
      </c>
      <c r="N9269" t="n">
        <v>0</v>
      </c>
      <c r="O9269" t="n">
        <v>0</v>
      </c>
      <c r="P9269" t="n">
        <v>0</v>
      </c>
      <c r="Q9269" t="n">
        <v>0</v>
      </c>
      <c r="R9269" s="2" t="inlineStr"/>
    </row>
    <row r="9270" ht="15" customHeight="1">
      <c r="A9270" t="inlineStr">
        <is>
          <t>A 48915-2025</t>
        </is>
      </c>
      <c r="B9270" s="1" t="n">
        <v>45937.49190972222</v>
      </c>
      <c r="C9270" s="1" t="n">
        <v>45952</v>
      </c>
      <c r="D9270" t="inlineStr">
        <is>
          <t>VÄSTRA GÖTALANDS LÄN</t>
        </is>
      </c>
      <c r="E9270" t="inlineStr">
        <is>
          <t>ULRICEHAMN</t>
        </is>
      </c>
      <c r="G9270" t="n">
        <v>1.6</v>
      </c>
      <c r="H9270" t="n">
        <v>0</v>
      </c>
      <c r="I9270" t="n">
        <v>0</v>
      </c>
      <c r="J9270" t="n">
        <v>0</v>
      </c>
      <c r="K9270" t="n">
        <v>0</v>
      </c>
      <c r="L9270" t="n">
        <v>0</v>
      </c>
      <c r="M9270" t="n">
        <v>0</v>
      </c>
      <c r="N9270" t="n">
        <v>0</v>
      </c>
      <c r="O9270" t="n">
        <v>0</v>
      </c>
      <c r="P9270" t="n">
        <v>0</v>
      </c>
      <c r="Q9270" t="n">
        <v>0</v>
      </c>
      <c r="R9270" s="2" t="inlineStr"/>
    </row>
    <row r="9271" ht="15" customHeight="1">
      <c r="A9271" t="inlineStr">
        <is>
          <t>A 54277-2022</t>
        </is>
      </c>
      <c r="B9271" s="1" t="n">
        <v>44882</v>
      </c>
      <c r="C9271" s="1" t="n">
        <v>45952</v>
      </c>
      <c r="D9271" t="inlineStr">
        <is>
          <t>VÄSTRA GÖTALANDS LÄN</t>
        </is>
      </c>
      <c r="E9271" t="inlineStr">
        <is>
          <t>MARK</t>
        </is>
      </c>
      <c r="G9271" t="n">
        <v>7.8</v>
      </c>
      <c r="H9271" t="n">
        <v>0</v>
      </c>
      <c r="I9271" t="n">
        <v>0</v>
      </c>
      <c r="J9271" t="n">
        <v>0</v>
      </c>
      <c r="K9271" t="n">
        <v>0</v>
      </c>
      <c r="L9271" t="n">
        <v>0</v>
      </c>
      <c r="M9271" t="n">
        <v>0</v>
      </c>
      <c r="N9271" t="n">
        <v>0</v>
      </c>
      <c r="O9271" t="n">
        <v>0</v>
      </c>
      <c r="P9271" t="n">
        <v>0</v>
      </c>
      <c r="Q9271" t="n">
        <v>0</v>
      </c>
      <c r="R9271" s="2" t="inlineStr"/>
    </row>
    <row r="9272" ht="15" customHeight="1">
      <c r="A9272" t="inlineStr">
        <is>
          <t>A 23421-2025</t>
        </is>
      </c>
      <c r="B9272" s="1" t="n">
        <v>45792.35465277778</v>
      </c>
      <c r="C9272" s="1" t="n">
        <v>45952</v>
      </c>
      <c r="D9272" t="inlineStr">
        <is>
          <t>VÄSTRA GÖTALANDS LÄN</t>
        </is>
      </c>
      <c r="E9272" t="inlineStr">
        <is>
          <t>TRANEMO</t>
        </is>
      </c>
      <c r="G9272" t="n">
        <v>2.4</v>
      </c>
      <c r="H9272" t="n">
        <v>0</v>
      </c>
      <c r="I9272" t="n">
        <v>0</v>
      </c>
      <c r="J9272" t="n">
        <v>0</v>
      </c>
      <c r="K9272" t="n">
        <v>0</v>
      </c>
      <c r="L9272" t="n">
        <v>0</v>
      </c>
      <c r="M9272" t="n">
        <v>0</v>
      </c>
      <c r="N9272" t="n">
        <v>0</v>
      </c>
      <c r="O9272" t="n">
        <v>0</v>
      </c>
      <c r="P9272" t="n">
        <v>0</v>
      </c>
      <c r="Q9272" t="n">
        <v>0</v>
      </c>
      <c r="R9272" s="2" t="inlineStr"/>
    </row>
    <row r="9273" ht="15" customHeight="1">
      <c r="A9273" t="inlineStr">
        <is>
          <t>A 23422-2025</t>
        </is>
      </c>
      <c r="B9273" s="1" t="n">
        <v>45792.35853009259</v>
      </c>
      <c r="C9273" s="1" t="n">
        <v>45952</v>
      </c>
      <c r="D9273" t="inlineStr">
        <is>
          <t>VÄSTRA GÖTALANDS LÄN</t>
        </is>
      </c>
      <c r="E9273" t="inlineStr">
        <is>
          <t>MUNKEDAL</t>
        </is>
      </c>
      <c r="G9273" t="n">
        <v>1.5</v>
      </c>
      <c r="H9273" t="n">
        <v>0</v>
      </c>
      <c r="I9273" t="n">
        <v>0</v>
      </c>
      <c r="J9273" t="n">
        <v>0</v>
      </c>
      <c r="K9273" t="n">
        <v>0</v>
      </c>
      <c r="L9273" t="n">
        <v>0</v>
      </c>
      <c r="M9273" t="n">
        <v>0</v>
      </c>
      <c r="N9273" t="n">
        <v>0</v>
      </c>
      <c r="O9273" t="n">
        <v>0</v>
      </c>
      <c r="P9273" t="n">
        <v>0</v>
      </c>
      <c r="Q9273" t="n">
        <v>0</v>
      </c>
      <c r="R9273" s="2" t="inlineStr"/>
    </row>
    <row r="9274" ht="15" customHeight="1">
      <c r="A9274" t="inlineStr">
        <is>
          <t>A 49077-2025</t>
        </is>
      </c>
      <c r="B9274" s="1" t="n">
        <v>45937.6599074074</v>
      </c>
      <c r="C9274" s="1" t="n">
        <v>45952</v>
      </c>
      <c r="D9274" t="inlineStr">
        <is>
          <t>VÄSTRA GÖTALANDS LÄN</t>
        </is>
      </c>
      <c r="E9274" t="inlineStr">
        <is>
          <t>GÖTENE</t>
        </is>
      </c>
      <c r="F9274" t="inlineStr">
        <is>
          <t>Sveaskog</t>
        </is>
      </c>
      <c r="G9274" t="n">
        <v>7.8</v>
      </c>
      <c r="H9274" t="n">
        <v>0</v>
      </c>
      <c r="I9274" t="n">
        <v>0</v>
      </c>
      <c r="J9274" t="n">
        <v>0</v>
      </c>
      <c r="K9274" t="n">
        <v>0</v>
      </c>
      <c r="L9274" t="n">
        <v>0</v>
      </c>
      <c r="M9274" t="n">
        <v>0</v>
      </c>
      <c r="N9274" t="n">
        <v>0</v>
      </c>
      <c r="O9274" t="n">
        <v>0</v>
      </c>
      <c r="P9274" t="n">
        <v>0</v>
      </c>
      <c r="Q9274" t="n">
        <v>0</v>
      </c>
      <c r="R9274" s="2" t="inlineStr"/>
    </row>
    <row r="9275" ht="15" customHeight="1">
      <c r="A9275" t="inlineStr">
        <is>
          <t>A 23532-2025</t>
        </is>
      </c>
      <c r="B9275" s="1" t="n">
        <v>45792.53560185185</v>
      </c>
      <c r="C9275" s="1" t="n">
        <v>45952</v>
      </c>
      <c r="D9275" t="inlineStr">
        <is>
          <t>VÄSTRA GÖTALANDS LÄN</t>
        </is>
      </c>
      <c r="E9275" t="inlineStr">
        <is>
          <t>ALINGSÅS</t>
        </is>
      </c>
      <c r="G9275" t="n">
        <v>1</v>
      </c>
      <c r="H9275" t="n">
        <v>0</v>
      </c>
      <c r="I9275" t="n">
        <v>0</v>
      </c>
      <c r="J9275" t="n">
        <v>0</v>
      </c>
      <c r="K9275" t="n">
        <v>0</v>
      </c>
      <c r="L9275" t="n">
        <v>0</v>
      </c>
      <c r="M9275" t="n">
        <v>0</v>
      </c>
      <c r="N9275" t="n">
        <v>0</v>
      </c>
      <c r="O9275" t="n">
        <v>0</v>
      </c>
      <c r="P9275" t="n">
        <v>0</v>
      </c>
      <c r="Q9275" t="n">
        <v>0</v>
      </c>
      <c r="R9275" s="2" t="inlineStr"/>
    </row>
    <row r="9276" ht="15" customHeight="1">
      <c r="A9276" t="inlineStr">
        <is>
          <t>A 8557-2025</t>
        </is>
      </c>
      <c r="B9276" s="1" t="n">
        <v>45709</v>
      </c>
      <c r="C9276" s="1" t="n">
        <v>45952</v>
      </c>
      <c r="D9276" t="inlineStr">
        <is>
          <t>VÄSTRA GÖTALANDS LÄN</t>
        </is>
      </c>
      <c r="E9276" t="inlineStr">
        <is>
          <t>SKÖVDE</t>
        </is>
      </c>
      <c r="G9276" t="n">
        <v>0.9</v>
      </c>
      <c r="H9276" t="n">
        <v>0</v>
      </c>
      <c r="I9276" t="n">
        <v>0</v>
      </c>
      <c r="J9276" t="n">
        <v>0</v>
      </c>
      <c r="K9276" t="n">
        <v>0</v>
      </c>
      <c r="L9276" t="n">
        <v>0</v>
      </c>
      <c r="M9276" t="n">
        <v>0</v>
      </c>
      <c r="N9276" t="n">
        <v>0</v>
      </c>
      <c r="O9276" t="n">
        <v>0</v>
      </c>
      <c r="P9276" t="n">
        <v>0</v>
      </c>
      <c r="Q9276" t="n">
        <v>0</v>
      </c>
      <c r="R9276" s="2" t="inlineStr"/>
    </row>
    <row r="9277" ht="15" customHeight="1">
      <c r="A9277" t="inlineStr">
        <is>
          <t>A 54394-2022</t>
        </is>
      </c>
      <c r="B9277" s="1" t="n">
        <v>44882.53041666667</v>
      </c>
      <c r="C9277" s="1" t="n">
        <v>45952</v>
      </c>
      <c r="D9277" t="inlineStr">
        <is>
          <t>VÄSTRA GÖTALANDS LÄN</t>
        </is>
      </c>
      <c r="E9277" t="inlineStr">
        <is>
          <t>TRANEMO</t>
        </is>
      </c>
      <c r="G9277" t="n">
        <v>1.5</v>
      </c>
      <c r="H9277" t="n">
        <v>0</v>
      </c>
      <c r="I9277" t="n">
        <v>0</v>
      </c>
      <c r="J9277" t="n">
        <v>0</v>
      </c>
      <c r="K9277" t="n">
        <v>0</v>
      </c>
      <c r="L9277" t="n">
        <v>0</v>
      </c>
      <c r="M9277" t="n">
        <v>0</v>
      </c>
      <c r="N9277" t="n">
        <v>0</v>
      </c>
      <c r="O9277" t="n">
        <v>0</v>
      </c>
      <c r="P9277" t="n">
        <v>0</v>
      </c>
      <c r="Q9277" t="n">
        <v>0</v>
      </c>
      <c r="R9277" s="2" t="inlineStr"/>
    </row>
    <row r="9278" ht="15" customHeight="1">
      <c r="A9278" t="inlineStr">
        <is>
          <t>A 23546-2025</t>
        </is>
      </c>
      <c r="B9278" s="1" t="n">
        <v>45792</v>
      </c>
      <c r="C9278" s="1" t="n">
        <v>45952</v>
      </c>
      <c r="D9278" t="inlineStr">
        <is>
          <t>VÄSTRA GÖTALANDS LÄN</t>
        </is>
      </c>
      <c r="E9278" t="inlineStr">
        <is>
          <t>BENGTSFORS</t>
        </is>
      </c>
      <c r="G9278" t="n">
        <v>1.1</v>
      </c>
      <c r="H9278" t="n">
        <v>0</v>
      </c>
      <c r="I9278" t="n">
        <v>0</v>
      </c>
      <c r="J9278" t="n">
        <v>0</v>
      </c>
      <c r="K9278" t="n">
        <v>0</v>
      </c>
      <c r="L9278" t="n">
        <v>0</v>
      </c>
      <c r="M9278" t="n">
        <v>0</v>
      </c>
      <c r="N9278" t="n">
        <v>0</v>
      </c>
      <c r="O9278" t="n">
        <v>0</v>
      </c>
      <c r="P9278" t="n">
        <v>0</v>
      </c>
      <c r="Q9278" t="n">
        <v>0</v>
      </c>
      <c r="R9278" s="2" t="inlineStr"/>
    </row>
    <row r="9279" ht="15" customHeight="1">
      <c r="A9279" t="inlineStr">
        <is>
          <t>A 39998-2025</t>
        </is>
      </c>
      <c r="B9279" s="1" t="n">
        <v>45894.32873842592</v>
      </c>
      <c r="C9279" s="1" t="n">
        <v>45952</v>
      </c>
      <c r="D9279" t="inlineStr">
        <is>
          <t>VÄSTRA GÖTALANDS LÄN</t>
        </is>
      </c>
      <c r="E9279" t="inlineStr">
        <is>
          <t>GÖTENE</t>
        </is>
      </c>
      <c r="G9279" t="n">
        <v>4.4</v>
      </c>
      <c r="H9279" t="n">
        <v>0</v>
      </c>
      <c r="I9279" t="n">
        <v>0</v>
      </c>
      <c r="J9279" t="n">
        <v>0</v>
      </c>
      <c r="K9279" t="n">
        <v>0</v>
      </c>
      <c r="L9279" t="n">
        <v>0</v>
      </c>
      <c r="M9279" t="n">
        <v>0</v>
      </c>
      <c r="N9279" t="n">
        <v>0</v>
      </c>
      <c r="O9279" t="n">
        <v>0</v>
      </c>
      <c r="P9279" t="n">
        <v>0</v>
      </c>
      <c r="Q9279" t="n">
        <v>0</v>
      </c>
      <c r="R9279" s="2" t="inlineStr"/>
    </row>
    <row r="9280" ht="15" customHeight="1">
      <c r="A9280" t="inlineStr">
        <is>
          <t>A 40337-2025</t>
        </is>
      </c>
      <c r="B9280" s="1" t="n">
        <v>45895.46729166667</v>
      </c>
      <c r="C9280" s="1" t="n">
        <v>45952</v>
      </c>
      <c r="D9280" t="inlineStr">
        <is>
          <t>VÄSTRA GÖTALANDS LÄN</t>
        </is>
      </c>
      <c r="E9280" t="inlineStr">
        <is>
          <t>ULRICEHAMN</t>
        </is>
      </c>
      <c r="G9280" t="n">
        <v>4.7</v>
      </c>
      <c r="H9280" t="n">
        <v>0</v>
      </c>
      <c r="I9280" t="n">
        <v>0</v>
      </c>
      <c r="J9280" t="n">
        <v>0</v>
      </c>
      <c r="K9280" t="n">
        <v>0</v>
      </c>
      <c r="L9280" t="n">
        <v>0</v>
      </c>
      <c r="M9280" t="n">
        <v>0</v>
      </c>
      <c r="N9280" t="n">
        <v>0</v>
      </c>
      <c r="O9280" t="n">
        <v>0</v>
      </c>
      <c r="P9280" t="n">
        <v>0</v>
      </c>
      <c r="Q9280" t="n">
        <v>0</v>
      </c>
      <c r="R9280" s="2" t="inlineStr"/>
    </row>
    <row r="9281" ht="15" customHeight="1">
      <c r="A9281" t="inlineStr">
        <is>
          <t>A 40338-2025</t>
        </is>
      </c>
      <c r="B9281" s="1" t="n">
        <v>45895</v>
      </c>
      <c r="C9281" s="1" t="n">
        <v>45952</v>
      </c>
      <c r="D9281" t="inlineStr">
        <is>
          <t>VÄSTRA GÖTALANDS LÄN</t>
        </is>
      </c>
      <c r="E9281" t="inlineStr">
        <is>
          <t>ORUST</t>
        </is>
      </c>
      <c r="G9281" t="n">
        <v>2.6</v>
      </c>
      <c r="H9281" t="n">
        <v>0</v>
      </c>
      <c r="I9281" t="n">
        <v>0</v>
      </c>
      <c r="J9281" t="n">
        <v>0</v>
      </c>
      <c r="K9281" t="n">
        <v>0</v>
      </c>
      <c r="L9281" t="n">
        <v>0</v>
      </c>
      <c r="M9281" t="n">
        <v>0</v>
      </c>
      <c r="N9281" t="n">
        <v>0</v>
      </c>
      <c r="O9281" t="n">
        <v>0</v>
      </c>
      <c r="P9281" t="n">
        <v>0</v>
      </c>
      <c r="Q9281" t="n">
        <v>0</v>
      </c>
      <c r="R9281" s="2" t="inlineStr"/>
    </row>
    <row r="9282" ht="15" customHeight="1">
      <c r="A9282" t="inlineStr">
        <is>
          <t>A 48995-2025</t>
        </is>
      </c>
      <c r="B9282" s="1" t="n">
        <v>45937</v>
      </c>
      <c r="C9282" s="1" t="n">
        <v>45952</v>
      </c>
      <c r="D9282" t="inlineStr">
        <is>
          <t>VÄSTRA GÖTALANDS LÄN</t>
        </is>
      </c>
      <c r="E9282" t="inlineStr">
        <is>
          <t>ULRICEHAMN</t>
        </is>
      </c>
      <c r="G9282" t="n">
        <v>8.5</v>
      </c>
      <c r="H9282" t="n">
        <v>0</v>
      </c>
      <c r="I9282" t="n">
        <v>0</v>
      </c>
      <c r="J9282" t="n">
        <v>0</v>
      </c>
      <c r="K9282" t="n">
        <v>0</v>
      </c>
      <c r="L9282" t="n">
        <v>0</v>
      </c>
      <c r="M9282" t="n">
        <v>0</v>
      </c>
      <c r="N9282" t="n">
        <v>0</v>
      </c>
      <c r="O9282" t="n">
        <v>0</v>
      </c>
      <c r="P9282" t="n">
        <v>0</v>
      </c>
      <c r="Q9282" t="n">
        <v>0</v>
      </c>
      <c r="R9282" s="2" t="inlineStr"/>
    </row>
    <row r="9283" ht="15" customHeight="1">
      <c r="A9283" t="inlineStr">
        <is>
          <t>A 49017-2025</t>
        </is>
      </c>
      <c r="B9283" s="1" t="n">
        <v>45937.61175925926</v>
      </c>
      <c r="C9283" s="1" t="n">
        <v>45952</v>
      </c>
      <c r="D9283" t="inlineStr">
        <is>
          <t>VÄSTRA GÖTALANDS LÄN</t>
        </is>
      </c>
      <c r="E9283" t="inlineStr">
        <is>
          <t>MARK</t>
        </is>
      </c>
      <c r="G9283" t="n">
        <v>5.7</v>
      </c>
      <c r="H9283" t="n">
        <v>0</v>
      </c>
      <c r="I9283" t="n">
        <v>0</v>
      </c>
      <c r="J9283" t="n">
        <v>0</v>
      </c>
      <c r="K9283" t="n">
        <v>0</v>
      </c>
      <c r="L9283" t="n">
        <v>0</v>
      </c>
      <c r="M9283" t="n">
        <v>0</v>
      </c>
      <c r="N9283" t="n">
        <v>0</v>
      </c>
      <c r="O9283" t="n">
        <v>0</v>
      </c>
      <c r="P9283" t="n">
        <v>0</v>
      </c>
      <c r="Q9283" t="n">
        <v>0</v>
      </c>
      <c r="R9283" s="2" t="inlineStr"/>
    </row>
    <row r="9284" ht="15" customHeight="1">
      <c r="A9284" t="inlineStr">
        <is>
          <t>A 40299-2025</t>
        </is>
      </c>
      <c r="B9284" s="1" t="n">
        <v>45895.39837962963</v>
      </c>
      <c r="C9284" s="1" t="n">
        <v>45952</v>
      </c>
      <c r="D9284" t="inlineStr">
        <is>
          <t>VÄSTRA GÖTALANDS LÄN</t>
        </is>
      </c>
      <c r="E9284" t="inlineStr">
        <is>
          <t>HÄRRYDA</t>
        </is>
      </c>
      <c r="G9284" t="n">
        <v>3</v>
      </c>
      <c r="H9284" t="n">
        <v>0</v>
      </c>
      <c r="I9284" t="n">
        <v>0</v>
      </c>
      <c r="J9284" t="n">
        <v>0</v>
      </c>
      <c r="K9284" t="n">
        <v>0</v>
      </c>
      <c r="L9284" t="n">
        <v>0</v>
      </c>
      <c r="M9284" t="n">
        <v>0</v>
      </c>
      <c r="N9284" t="n">
        <v>0</v>
      </c>
      <c r="O9284" t="n">
        <v>0</v>
      </c>
      <c r="P9284" t="n">
        <v>0</v>
      </c>
      <c r="Q9284" t="n">
        <v>0</v>
      </c>
      <c r="R9284" s="2" t="inlineStr"/>
    </row>
    <row r="9285" ht="15" customHeight="1">
      <c r="A9285" t="inlineStr">
        <is>
          <t>A 23714-2025</t>
        </is>
      </c>
      <c r="B9285" s="1" t="n">
        <v>45793.38550925926</v>
      </c>
      <c r="C9285" s="1" t="n">
        <v>45952</v>
      </c>
      <c r="D9285" t="inlineStr">
        <is>
          <t>VÄSTRA GÖTALANDS LÄN</t>
        </is>
      </c>
      <c r="E9285" t="inlineStr">
        <is>
          <t>HERRLJUNGA</t>
        </is>
      </c>
      <c r="G9285" t="n">
        <v>2.3</v>
      </c>
      <c r="H9285" t="n">
        <v>0</v>
      </c>
      <c r="I9285" t="n">
        <v>0</v>
      </c>
      <c r="J9285" t="n">
        <v>0</v>
      </c>
      <c r="K9285" t="n">
        <v>0</v>
      </c>
      <c r="L9285" t="n">
        <v>0</v>
      </c>
      <c r="M9285" t="n">
        <v>0</v>
      </c>
      <c r="N9285" t="n">
        <v>0</v>
      </c>
      <c r="O9285" t="n">
        <v>0</v>
      </c>
      <c r="P9285" t="n">
        <v>0</v>
      </c>
      <c r="Q9285" t="n">
        <v>0</v>
      </c>
      <c r="R9285" s="2" t="inlineStr"/>
    </row>
    <row r="9286" ht="15" customHeight="1">
      <c r="A9286" t="inlineStr">
        <is>
          <t>A 23831-2025</t>
        </is>
      </c>
      <c r="B9286" s="1" t="n">
        <v>45793.60144675926</v>
      </c>
      <c r="C9286" s="1" t="n">
        <v>45952</v>
      </c>
      <c r="D9286" t="inlineStr">
        <is>
          <t>VÄSTRA GÖTALANDS LÄN</t>
        </is>
      </c>
      <c r="E9286" t="inlineStr">
        <is>
          <t>SVENLJUNGA</t>
        </is>
      </c>
      <c r="F9286" t="inlineStr">
        <is>
          <t>Sveaskog</t>
        </is>
      </c>
      <c r="G9286" t="n">
        <v>1.8</v>
      </c>
      <c r="H9286" t="n">
        <v>0</v>
      </c>
      <c r="I9286" t="n">
        <v>0</v>
      </c>
      <c r="J9286" t="n">
        <v>0</v>
      </c>
      <c r="K9286" t="n">
        <v>0</v>
      </c>
      <c r="L9286" t="n">
        <v>0</v>
      </c>
      <c r="M9286" t="n">
        <v>0</v>
      </c>
      <c r="N9286" t="n">
        <v>0</v>
      </c>
      <c r="O9286" t="n">
        <v>0</v>
      </c>
      <c r="P9286" t="n">
        <v>0</v>
      </c>
      <c r="Q9286" t="n">
        <v>0</v>
      </c>
      <c r="R9286" s="2" t="inlineStr"/>
    </row>
    <row r="9287" ht="15" customHeight="1">
      <c r="A9287" t="inlineStr">
        <is>
          <t>A 64070-2023</t>
        </is>
      </c>
      <c r="B9287" s="1" t="n">
        <v>45279</v>
      </c>
      <c r="C9287" s="1" t="n">
        <v>45952</v>
      </c>
      <c r="D9287" t="inlineStr">
        <is>
          <t>VÄSTRA GÖTALANDS LÄN</t>
        </is>
      </c>
      <c r="E9287" t="inlineStr">
        <is>
          <t>ALINGSÅS</t>
        </is>
      </c>
      <c r="F9287" t="inlineStr">
        <is>
          <t>Kommuner</t>
        </is>
      </c>
      <c r="G9287" t="n">
        <v>2.4</v>
      </c>
      <c r="H9287" t="n">
        <v>0</v>
      </c>
      <c r="I9287" t="n">
        <v>0</v>
      </c>
      <c r="J9287" t="n">
        <v>0</v>
      </c>
      <c r="K9287" t="n">
        <v>0</v>
      </c>
      <c r="L9287" t="n">
        <v>0</v>
      </c>
      <c r="M9287" t="n">
        <v>0</v>
      </c>
      <c r="N9287" t="n">
        <v>0</v>
      </c>
      <c r="O9287" t="n">
        <v>0</v>
      </c>
      <c r="P9287" t="n">
        <v>0</v>
      </c>
      <c r="Q9287" t="n">
        <v>0</v>
      </c>
      <c r="R9287" s="2" t="inlineStr"/>
    </row>
    <row r="9288" ht="15" customHeight="1">
      <c r="A9288" t="inlineStr">
        <is>
          <t>A 32952-2023</t>
        </is>
      </c>
      <c r="B9288" s="1" t="n">
        <v>45125.49396990741</v>
      </c>
      <c r="C9288" s="1" t="n">
        <v>45952</v>
      </c>
      <c r="D9288" t="inlineStr">
        <is>
          <t>VÄSTRA GÖTALANDS LÄN</t>
        </is>
      </c>
      <c r="E9288" t="inlineStr">
        <is>
          <t>LIDKÖPING</t>
        </is>
      </c>
      <c r="G9288" t="n">
        <v>5.1</v>
      </c>
      <c r="H9288" t="n">
        <v>0</v>
      </c>
      <c r="I9288" t="n">
        <v>0</v>
      </c>
      <c r="J9288" t="n">
        <v>0</v>
      </c>
      <c r="K9288" t="n">
        <v>0</v>
      </c>
      <c r="L9288" t="n">
        <v>0</v>
      </c>
      <c r="M9288" t="n">
        <v>0</v>
      </c>
      <c r="N9288" t="n">
        <v>0</v>
      </c>
      <c r="O9288" t="n">
        <v>0</v>
      </c>
      <c r="P9288" t="n">
        <v>0</v>
      </c>
      <c r="Q9288" t="n">
        <v>0</v>
      </c>
      <c r="R9288" s="2" t="inlineStr"/>
    </row>
    <row r="9289" ht="15" customHeight="1">
      <c r="A9289" t="inlineStr">
        <is>
          <t>A 48727-2025</t>
        </is>
      </c>
      <c r="B9289" s="1" t="n">
        <v>45936.65829861111</v>
      </c>
      <c r="C9289" s="1" t="n">
        <v>45952</v>
      </c>
      <c r="D9289" t="inlineStr">
        <is>
          <t>VÄSTRA GÖTALANDS LÄN</t>
        </is>
      </c>
      <c r="E9289" t="inlineStr">
        <is>
          <t>LILLA EDET</t>
        </is>
      </c>
      <c r="G9289" t="n">
        <v>6.1</v>
      </c>
      <c r="H9289" t="n">
        <v>0</v>
      </c>
      <c r="I9289" t="n">
        <v>0</v>
      </c>
      <c r="J9289" t="n">
        <v>0</v>
      </c>
      <c r="K9289" t="n">
        <v>0</v>
      </c>
      <c r="L9289" t="n">
        <v>0</v>
      </c>
      <c r="M9289" t="n">
        <v>0</v>
      </c>
      <c r="N9289" t="n">
        <v>0</v>
      </c>
      <c r="O9289" t="n">
        <v>0</v>
      </c>
      <c r="P9289" t="n">
        <v>0</v>
      </c>
      <c r="Q9289" t="n">
        <v>0</v>
      </c>
      <c r="R9289" s="2" t="inlineStr"/>
    </row>
    <row r="9290" ht="15" customHeight="1">
      <c r="A9290" t="inlineStr">
        <is>
          <t>A 40348-2025</t>
        </is>
      </c>
      <c r="B9290" s="1" t="n">
        <v>45895.480625</v>
      </c>
      <c r="C9290" s="1" t="n">
        <v>45952</v>
      </c>
      <c r="D9290" t="inlineStr">
        <is>
          <t>VÄSTRA GÖTALANDS LÄN</t>
        </is>
      </c>
      <c r="E9290" t="inlineStr">
        <is>
          <t>LYSEKIL</t>
        </is>
      </c>
      <c r="G9290" t="n">
        <v>1.5</v>
      </c>
      <c r="H9290" t="n">
        <v>0</v>
      </c>
      <c r="I9290" t="n">
        <v>0</v>
      </c>
      <c r="J9290" t="n">
        <v>0</v>
      </c>
      <c r="K9290" t="n">
        <v>0</v>
      </c>
      <c r="L9290" t="n">
        <v>0</v>
      </c>
      <c r="M9290" t="n">
        <v>0</v>
      </c>
      <c r="N9290" t="n">
        <v>0</v>
      </c>
      <c r="O9290" t="n">
        <v>0</v>
      </c>
      <c r="P9290" t="n">
        <v>0</v>
      </c>
      <c r="Q9290" t="n">
        <v>0</v>
      </c>
      <c r="R9290" s="2" t="inlineStr"/>
    </row>
    <row r="9291" ht="15" customHeight="1">
      <c r="A9291" t="inlineStr">
        <is>
          <t>A 23833-2025</t>
        </is>
      </c>
      <c r="B9291" s="1" t="n">
        <v>45793.60371527778</v>
      </c>
      <c r="C9291" s="1" t="n">
        <v>45952</v>
      </c>
      <c r="D9291" t="inlineStr">
        <is>
          <t>VÄSTRA GÖTALANDS LÄN</t>
        </is>
      </c>
      <c r="E9291" t="inlineStr">
        <is>
          <t>SVENLJUNGA</t>
        </is>
      </c>
      <c r="F9291" t="inlineStr">
        <is>
          <t>Sveaskog</t>
        </is>
      </c>
      <c r="G9291" t="n">
        <v>2</v>
      </c>
      <c r="H9291" t="n">
        <v>0</v>
      </c>
      <c r="I9291" t="n">
        <v>0</v>
      </c>
      <c r="J9291" t="n">
        <v>0</v>
      </c>
      <c r="K9291" t="n">
        <v>0</v>
      </c>
      <c r="L9291" t="n">
        <v>0</v>
      </c>
      <c r="M9291" t="n">
        <v>0</v>
      </c>
      <c r="N9291" t="n">
        <v>0</v>
      </c>
      <c r="O9291" t="n">
        <v>0</v>
      </c>
      <c r="P9291" t="n">
        <v>0</v>
      </c>
      <c r="Q9291" t="n">
        <v>0</v>
      </c>
      <c r="R9291" s="2" t="inlineStr"/>
    </row>
    <row r="9292" ht="15" customHeight="1">
      <c r="A9292" t="inlineStr">
        <is>
          <t>A 40383-2025</t>
        </is>
      </c>
      <c r="B9292" s="1" t="n">
        <v>45895</v>
      </c>
      <c r="C9292" s="1" t="n">
        <v>45952</v>
      </c>
      <c r="D9292" t="inlineStr">
        <is>
          <t>VÄSTRA GÖTALANDS LÄN</t>
        </is>
      </c>
      <c r="E9292" t="inlineStr">
        <is>
          <t>STRÖMSTAD</t>
        </is>
      </c>
      <c r="G9292" t="n">
        <v>2.3</v>
      </c>
      <c r="H9292" t="n">
        <v>0</v>
      </c>
      <c r="I9292" t="n">
        <v>0</v>
      </c>
      <c r="J9292" t="n">
        <v>0</v>
      </c>
      <c r="K9292" t="n">
        <v>0</v>
      </c>
      <c r="L9292" t="n">
        <v>0</v>
      </c>
      <c r="M9292" t="n">
        <v>0</v>
      </c>
      <c r="N9292" t="n">
        <v>0</v>
      </c>
      <c r="O9292" t="n">
        <v>0</v>
      </c>
      <c r="P9292" t="n">
        <v>0</v>
      </c>
      <c r="Q9292" t="n">
        <v>0</v>
      </c>
      <c r="R9292" s="2" t="inlineStr"/>
    </row>
    <row r="9293" ht="15" customHeight="1">
      <c r="A9293" t="inlineStr">
        <is>
          <t>A 23526-2025</t>
        </is>
      </c>
      <c r="B9293" s="1" t="n">
        <v>45792.5219212963</v>
      </c>
      <c r="C9293" s="1" t="n">
        <v>45952</v>
      </c>
      <c r="D9293" t="inlineStr">
        <is>
          <t>VÄSTRA GÖTALANDS LÄN</t>
        </is>
      </c>
      <c r="E9293" t="inlineStr">
        <is>
          <t>HERRLJUNGA</t>
        </is>
      </c>
      <c r="G9293" t="n">
        <v>1.1</v>
      </c>
      <c r="H9293" t="n">
        <v>0</v>
      </c>
      <c r="I9293" t="n">
        <v>0</v>
      </c>
      <c r="J9293" t="n">
        <v>0</v>
      </c>
      <c r="K9293" t="n">
        <v>0</v>
      </c>
      <c r="L9293" t="n">
        <v>0</v>
      </c>
      <c r="M9293" t="n">
        <v>0</v>
      </c>
      <c r="N9293" t="n">
        <v>0</v>
      </c>
      <c r="O9293" t="n">
        <v>0</v>
      </c>
      <c r="P9293" t="n">
        <v>0</v>
      </c>
      <c r="Q9293" t="n">
        <v>0</v>
      </c>
      <c r="R9293" s="2" t="inlineStr"/>
    </row>
    <row r="9294" ht="15" customHeight="1">
      <c r="A9294" t="inlineStr">
        <is>
          <t>A 23527-2025</t>
        </is>
      </c>
      <c r="B9294" s="1" t="n">
        <v>45792.52826388889</v>
      </c>
      <c r="C9294" s="1" t="n">
        <v>45952</v>
      </c>
      <c r="D9294" t="inlineStr">
        <is>
          <t>VÄSTRA GÖTALANDS LÄN</t>
        </is>
      </c>
      <c r="E9294" t="inlineStr">
        <is>
          <t>MUNKEDAL</t>
        </is>
      </c>
      <c r="G9294" t="n">
        <v>0.6</v>
      </c>
      <c r="H9294" t="n">
        <v>0</v>
      </c>
      <c r="I9294" t="n">
        <v>0</v>
      </c>
      <c r="J9294" t="n">
        <v>0</v>
      </c>
      <c r="K9294" t="n">
        <v>0</v>
      </c>
      <c r="L9294" t="n">
        <v>0</v>
      </c>
      <c r="M9294" t="n">
        <v>0</v>
      </c>
      <c r="N9294" t="n">
        <v>0</v>
      </c>
      <c r="O9294" t="n">
        <v>0</v>
      </c>
      <c r="P9294" t="n">
        <v>0</v>
      </c>
      <c r="Q9294" t="n">
        <v>0</v>
      </c>
      <c r="R9294" s="2" t="inlineStr"/>
    </row>
    <row r="9295" ht="15" customHeight="1">
      <c r="A9295" t="inlineStr">
        <is>
          <t>A 23283-2022</t>
        </is>
      </c>
      <c r="B9295" s="1" t="n">
        <v>44720.43766203704</v>
      </c>
      <c r="C9295" s="1" t="n">
        <v>45952</v>
      </c>
      <c r="D9295" t="inlineStr">
        <is>
          <t>VÄSTRA GÖTALANDS LÄN</t>
        </is>
      </c>
      <c r="E9295" t="inlineStr">
        <is>
          <t>TIDAHOLM</t>
        </is>
      </c>
      <c r="G9295" t="n">
        <v>3</v>
      </c>
      <c r="H9295" t="n">
        <v>0</v>
      </c>
      <c r="I9295" t="n">
        <v>0</v>
      </c>
      <c r="J9295" t="n">
        <v>0</v>
      </c>
      <c r="K9295" t="n">
        <v>0</v>
      </c>
      <c r="L9295" t="n">
        <v>0</v>
      </c>
      <c r="M9295" t="n">
        <v>0</v>
      </c>
      <c r="N9295" t="n">
        <v>0</v>
      </c>
      <c r="O9295" t="n">
        <v>0</v>
      </c>
      <c r="P9295" t="n">
        <v>0</v>
      </c>
      <c r="Q9295" t="n">
        <v>0</v>
      </c>
      <c r="R9295" s="2" t="inlineStr"/>
    </row>
    <row r="9296" ht="15" customHeight="1">
      <c r="A9296" t="inlineStr">
        <is>
          <t>A 40408-2025</t>
        </is>
      </c>
      <c r="B9296" s="1" t="n">
        <v>45895.57215277778</v>
      </c>
      <c r="C9296" s="1" t="n">
        <v>45952</v>
      </c>
      <c r="D9296" t="inlineStr">
        <is>
          <t>VÄSTRA GÖTALANDS LÄN</t>
        </is>
      </c>
      <c r="E9296" t="inlineStr">
        <is>
          <t>ULRICEHAMN</t>
        </is>
      </c>
      <c r="F9296" t="inlineStr">
        <is>
          <t>Kommuner</t>
        </is>
      </c>
      <c r="G9296" t="n">
        <v>3.1</v>
      </c>
      <c r="H9296" t="n">
        <v>0</v>
      </c>
      <c r="I9296" t="n">
        <v>0</v>
      </c>
      <c r="J9296" t="n">
        <v>0</v>
      </c>
      <c r="K9296" t="n">
        <v>0</v>
      </c>
      <c r="L9296" t="n">
        <v>0</v>
      </c>
      <c r="M9296" t="n">
        <v>0</v>
      </c>
      <c r="N9296" t="n">
        <v>0</v>
      </c>
      <c r="O9296" t="n">
        <v>0</v>
      </c>
      <c r="P9296" t="n">
        <v>0</v>
      </c>
      <c r="Q9296" t="n">
        <v>0</v>
      </c>
      <c r="R9296" s="2" t="inlineStr"/>
    </row>
    <row r="9297" ht="15" customHeight="1">
      <c r="A9297" t="inlineStr">
        <is>
          <t>A 40425-2025</t>
        </is>
      </c>
      <c r="B9297" s="1" t="n">
        <v>45895.58871527778</v>
      </c>
      <c r="C9297" s="1" t="n">
        <v>45952</v>
      </c>
      <c r="D9297" t="inlineStr">
        <is>
          <t>VÄSTRA GÖTALANDS LÄN</t>
        </is>
      </c>
      <c r="E9297" t="inlineStr">
        <is>
          <t>ULRICEHAMN</t>
        </is>
      </c>
      <c r="F9297" t="inlineStr">
        <is>
          <t>Kommuner</t>
        </is>
      </c>
      <c r="G9297" t="n">
        <v>1.1</v>
      </c>
      <c r="H9297" t="n">
        <v>0</v>
      </c>
      <c r="I9297" t="n">
        <v>0</v>
      </c>
      <c r="J9297" t="n">
        <v>0</v>
      </c>
      <c r="K9297" t="n">
        <v>0</v>
      </c>
      <c r="L9297" t="n">
        <v>0</v>
      </c>
      <c r="M9297" t="n">
        <v>0</v>
      </c>
      <c r="N9297" t="n">
        <v>0</v>
      </c>
      <c r="O9297" t="n">
        <v>0</v>
      </c>
      <c r="P9297" t="n">
        <v>0</v>
      </c>
      <c r="Q9297" t="n">
        <v>0</v>
      </c>
      <c r="R9297" s="2" t="inlineStr"/>
    </row>
    <row r="9298" ht="15" customHeight="1">
      <c r="A9298" t="inlineStr">
        <is>
          <t>A 40213-2025</t>
        </is>
      </c>
      <c r="B9298" s="1" t="n">
        <v>45894.68621527778</v>
      </c>
      <c r="C9298" s="1" t="n">
        <v>45952</v>
      </c>
      <c r="D9298" t="inlineStr">
        <is>
          <t>VÄSTRA GÖTALANDS LÄN</t>
        </is>
      </c>
      <c r="E9298" t="inlineStr">
        <is>
          <t>FÄRGELANDA</t>
        </is>
      </c>
      <c r="G9298" t="n">
        <v>3.2</v>
      </c>
      <c r="H9298" t="n">
        <v>0</v>
      </c>
      <c r="I9298" t="n">
        <v>0</v>
      </c>
      <c r="J9298" t="n">
        <v>0</v>
      </c>
      <c r="K9298" t="n">
        <v>0</v>
      </c>
      <c r="L9298" t="n">
        <v>0</v>
      </c>
      <c r="M9298" t="n">
        <v>0</v>
      </c>
      <c r="N9298" t="n">
        <v>0</v>
      </c>
      <c r="O9298" t="n">
        <v>0</v>
      </c>
      <c r="P9298" t="n">
        <v>0</v>
      </c>
      <c r="Q9298" t="n">
        <v>0</v>
      </c>
      <c r="R9298" s="2" t="inlineStr"/>
    </row>
    <row r="9299" ht="15" customHeight="1">
      <c r="A9299" t="inlineStr">
        <is>
          <t>A 64083-2023</t>
        </is>
      </c>
      <c r="B9299" s="1" t="n">
        <v>45279</v>
      </c>
      <c r="C9299" s="1" t="n">
        <v>45952</v>
      </c>
      <c r="D9299" t="inlineStr">
        <is>
          <t>VÄSTRA GÖTALANDS LÄN</t>
        </is>
      </c>
      <c r="E9299" t="inlineStr">
        <is>
          <t>UDDEVALLA</t>
        </is>
      </c>
      <c r="G9299" t="n">
        <v>8.6</v>
      </c>
      <c r="H9299" t="n">
        <v>0</v>
      </c>
      <c r="I9299" t="n">
        <v>0</v>
      </c>
      <c r="J9299" t="n">
        <v>0</v>
      </c>
      <c r="K9299" t="n">
        <v>0</v>
      </c>
      <c r="L9299" t="n">
        <v>0</v>
      </c>
      <c r="M9299" t="n">
        <v>0</v>
      </c>
      <c r="N9299" t="n">
        <v>0</v>
      </c>
      <c r="O9299" t="n">
        <v>0</v>
      </c>
      <c r="P9299" t="n">
        <v>0</v>
      </c>
      <c r="Q9299" t="n">
        <v>0</v>
      </c>
      <c r="R9299" s="2" t="inlineStr"/>
    </row>
    <row r="9300" ht="15" customHeight="1">
      <c r="A9300" t="inlineStr">
        <is>
          <t>A 29502-2021</t>
        </is>
      </c>
      <c r="B9300" s="1" t="n">
        <v>44361</v>
      </c>
      <c r="C9300" s="1" t="n">
        <v>45952</v>
      </c>
      <c r="D9300" t="inlineStr">
        <is>
          <t>VÄSTRA GÖTALANDS LÄN</t>
        </is>
      </c>
      <c r="E9300" t="inlineStr">
        <is>
          <t>MUNKEDAL</t>
        </is>
      </c>
      <c r="G9300" t="n">
        <v>25.7</v>
      </c>
      <c r="H9300" t="n">
        <v>0</v>
      </c>
      <c r="I9300" t="n">
        <v>0</v>
      </c>
      <c r="J9300" t="n">
        <v>0</v>
      </c>
      <c r="K9300" t="n">
        <v>0</v>
      </c>
      <c r="L9300" t="n">
        <v>0</v>
      </c>
      <c r="M9300" t="n">
        <v>0</v>
      </c>
      <c r="N9300" t="n">
        <v>0</v>
      </c>
      <c r="O9300" t="n">
        <v>0</v>
      </c>
      <c r="P9300" t="n">
        <v>0</v>
      </c>
      <c r="Q9300" t="n">
        <v>0</v>
      </c>
      <c r="R9300" s="2" t="inlineStr"/>
    </row>
    <row r="9301" ht="15" customHeight="1">
      <c r="A9301" t="inlineStr">
        <is>
          <t>A 29966-2024</t>
        </is>
      </c>
      <c r="B9301" s="1" t="n">
        <v>45488</v>
      </c>
      <c r="C9301" s="1" t="n">
        <v>45952</v>
      </c>
      <c r="D9301" t="inlineStr">
        <is>
          <t>VÄSTRA GÖTALANDS LÄN</t>
        </is>
      </c>
      <c r="E9301" t="inlineStr">
        <is>
          <t>FALKÖPING</t>
        </is>
      </c>
      <c r="G9301" t="n">
        <v>1.2</v>
      </c>
      <c r="H9301" t="n">
        <v>0</v>
      </c>
      <c r="I9301" t="n">
        <v>0</v>
      </c>
      <c r="J9301" t="n">
        <v>0</v>
      </c>
      <c r="K9301" t="n">
        <v>0</v>
      </c>
      <c r="L9301" t="n">
        <v>0</v>
      </c>
      <c r="M9301" t="n">
        <v>0</v>
      </c>
      <c r="N9301" t="n">
        <v>0</v>
      </c>
      <c r="O9301" t="n">
        <v>0</v>
      </c>
      <c r="P9301" t="n">
        <v>0</v>
      </c>
      <c r="Q9301" t="n">
        <v>0</v>
      </c>
      <c r="R9301" s="2" t="inlineStr"/>
    </row>
    <row r="9302" ht="15" customHeight="1">
      <c r="A9302" t="inlineStr">
        <is>
          <t>A 9086-2024</t>
        </is>
      </c>
      <c r="B9302" s="1" t="n">
        <v>45357.90260416667</v>
      </c>
      <c r="C9302" s="1" t="n">
        <v>45952</v>
      </c>
      <c r="D9302" t="inlineStr">
        <is>
          <t>VÄSTRA GÖTALANDS LÄN</t>
        </is>
      </c>
      <c r="E9302" t="inlineStr">
        <is>
          <t>VÅRGÅRDA</t>
        </is>
      </c>
      <c r="G9302" t="n">
        <v>5.8</v>
      </c>
      <c r="H9302" t="n">
        <v>0</v>
      </c>
      <c r="I9302" t="n">
        <v>0</v>
      </c>
      <c r="J9302" t="n">
        <v>0</v>
      </c>
      <c r="K9302" t="n">
        <v>0</v>
      </c>
      <c r="L9302" t="n">
        <v>0</v>
      </c>
      <c r="M9302" t="n">
        <v>0</v>
      </c>
      <c r="N9302" t="n">
        <v>0</v>
      </c>
      <c r="O9302" t="n">
        <v>0</v>
      </c>
      <c r="P9302" t="n">
        <v>0</v>
      </c>
      <c r="Q9302" t="n">
        <v>0</v>
      </c>
      <c r="R9302" s="2" t="inlineStr"/>
    </row>
    <row r="9303" ht="15" customHeight="1">
      <c r="A9303" t="inlineStr">
        <is>
          <t>A 23432-2025</t>
        </is>
      </c>
      <c r="B9303" s="1" t="n">
        <v>45792.36625</v>
      </c>
      <c r="C9303" s="1" t="n">
        <v>45952</v>
      </c>
      <c r="D9303" t="inlineStr">
        <is>
          <t>VÄSTRA GÖTALANDS LÄN</t>
        </is>
      </c>
      <c r="E9303" t="inlineStr">
        <is>
          <t>TRANEMO</t>
        </is>
      </c>
      <c r="G9303" t="n">
        <v>4.3</v>
      </c>
      <c r="H9303" t="n">
        <v>0</v>
      </c>
      <c r="I9303" t="n">
        <v>0</v>
      </c>
      <c r="J9303" t="n">
        <v>0</v>
      </c>
      <c r="K9303" t="n">
        <v>0</v>
      </c>
      <c r="L9303" t="n">
        <v>0</v>
      </c>
      <c r="M9303" t="n">
        <v>0</v>
      </c>
      <c r="N9303" t="n">
        <v>0</v>
      </c>
      <c r="O9303" t="n">
        <v>0</v>
      </c>
      <c r="P9303" t="n">
        <v>0</v>
      </c>
      <c r="Q9303" t="n">
        <v>0</v>
      </c>
      <c r="R9303" s="2" t="inlineStr"/>
    </row>
    <row r="9304" ht="15" customHeight="1">
      <c r="A9304" t="inlineStr">
        <is>
          <t>A 40226-2025</t>
        </is>
      </c>
      <c r="B9304" s="1" t="n">
        <v>45894.70033564815</v>
      </c>
      <c r="C9304" s="1" t="n">
        <v>45952</v>
      </c>
      <c r="D9304" t="inlineStr">
        <is>
          <t>VÄSTRA GÖTALANDS LÄN</t>
        </is>
      </c>
      <c r="E9304" t="inlineStr">
        <is>
          <t>FÄRGELANDA</t>
        </is>
      </c>
      <c r="G9304" t="n">
        <v>5.6</v>
      </c>
      <c r="H9304" t="n">
        <v>0</v>
      </c>
      <c r="I9304" t="n">
        <v>0</v>
      </c>
      <c r="J9304" t="n">
        <v>0</v>
      </c>
      <c r="K9304" t="n">
        <v>0</v>
      </c>
      <c r="L9304" t="n">
        <v>0</v>
      </c>
      <c r="M9304" t="n">
        <v>0</v>
      </c>
      <c r="N9304" t="n">
        <v>0</v>
      </c>
      <c r="O9304" t="n">
        <v>0</v>
      </c>
      <c r="P9304" t="n">
        <v>0</v>
      </c>
      <c r="Q9304" t="n">
        <v>0</v>
      </c>
      <c r="R9304" s="2" t="inlineStr"/>
    </row>
    <row r="9305" ht="15" customHeight="1">
      <c r="A9305" t="inlineStr">
        <is>
          <t>A 40227-2025</t>
        </is>
      </c>
      <c r="B9305" s="1" t="n">
        <v>45894</v>
      </c>
      <c r="C9305" s="1" t="n">
        <v>45952</v>
      </c>
      <c r="D9305" t="inlineStr">
        <is>
          <t>VÄSTRA GÖTALANDS LÄN</t>
        </is>
      </c>
      <c r="E9305" t="inlineStr">
        <is>
          <t>ÅMÅL</t>
        </is>
      </c>
      <c r="G9305" t="n">
        <v>5.3</v>
      </c>
      <c r="H9305" t="n">
        <v>0</v>
      </c>
      <c r="I9305" t="n">
        <v>0</v>
      </c>
      <c r="J9305" t="n">
        <v>0</v>
      </c>
      <c r="K9305" t="n">
        <v>0</v>
      </c>
      <c r="L9305" t="n">
        <v>0</v>
      </c>
      <c r="M9305" t="n">
        <v>0</v>
      </c>
      <c r="N9305" t="n">
        <v>0</v>
      </c>
      <c r="O9305" t="n">
        <v>0</v>
      </c>
      <c r="P9305" t="n">
        <v>0</v>
      </c>
      <c r="Q9305" t="n">
        <v>0</v>
      </c>
      <c r="R9305" s="2" t="inlineStr"/>
    </row>
    <row r="9306" ht="15" customHeight="1">
      <c r="A9306" t="inlineStr">
        <is>
          <t>A 9089-2024</t>
        </is>
      </c>
      <c r="B9306" s="1" t="n">
        <v>45357.90612268518</v>
      </c>
      <c r="C9306" s="1" t="n">
        <v>45952</v>
      </c>
      <c r="D9306" t="inlineStr">
        <is>
          <t>VÄSTRA GÖTALANDS LÄN</t>
        </is>
      </c>
      <c r="E9306" t="inlineStr">
        <is>
          <t>VÅRGÅRDA</t>
        </is>
      </c>
      <c r="G9306" t="n">
        <v>0.7</v>
      </c>
      <c r="H9306" t="n">
        <v>0</v>
      </c>
      <c r="I9306" t="n">
        <v>0</v>
      </c>
      <c r="J9306" t="n">
        <v>0</v>
      </c>
      <c r="K9306" t="n">
        <v>0</v>
      </c>
      <c r="L9306" t="n">
        <v>0</v>
      </c>
      <c r="M9306" t="n">
        <v>0</v>
      </c>
      <c r="N9306" t="n">
        <v>0</v>
      </c>
      <c r="O9306" t="n">
        <v>0</v>
      </c>
      <c r="P9306" t="n">
        <v>0</v>
      </c>
      <c r="Q9306" t="n">
        <v>0</v>
      </c>
      <c r="R9306" s="2" t="inlineStr"/>
    </row>
    <row r="9307" ht="15" customHeight="1">
      <c r="A9307" t="inlineStr">
        <is>
          <t>A 23504-2025</t>
        </is>
      </c>
      <c r="B9307" s="1" t="n">
        <v>45792.48877314815</v>
      </c>
      <c r="C9307" s="1" t="n">
        <v>45952</v>
      </c>
      <c r="D9307" t="inlineStr">
        <is>
          <t>VÄSTRA GÖTALANDS LÄN</t>
        </is>
      </c>
      <c r="E9307" t="inlineStr">
        <is>
          <t>BORÅS</t>
        </is>
      </c>
      <c r="G9307" t="n">
        <v>1</v>
      </c>
      <c r="H9307" t="n">
        <v>0</v>
      </c>
      <c r="I9307" t="n">
        <v>0</v>
      </c>
      <c r="J9307" t="n">
        <v>0</v>
      </c>
      <c r="K9307" t="n">
        <v>0</v>
      </c>
      <c r="L9307" t="n">
        <v>0</v>
      </c>
      <c r="M9307" t="n">
        <v>0</v>
      </c>
      <c r="N9307" t="n">
        <v>0</v>
      </c>
      <c r="O9307" t="n">
        <v>0</v>
      </c>
      <c r="P9307" t="n">
        <v>0</v>
      </c>
      <c r="Q9307" t="n">
        <v>0</v>
      </c>
      <c r="R9307" s="2" t="inlineStr"/>
    </row>
    <row r="9308" ht="15" customHeight="1">
      <c r="A9308" t="inlineStr">
        <is>
          <t>A 40242-2025</t>
        </is>
      </c>
      <c r="B9308" s="1" t="n">
        <v>45894.87516203704</v>
      </c>
      <c r="C9308" s="1" t="n">
        <v>45952</v>
      </c>
      <c r="D9308" t="inlineStr">
        <is>
          <t>VÄSTRA GÖTALANDS LÄN</t>
        </is>
      </c>
      <c r="E9308" t="inlineStr">
        <is>
          <t>ALINGSÅS</t>
        </is>
      </c>
      <c r="G9308" t="n">
        <v>1.6</v>
      </c>
      <c r="H9308" t="n">
        <v>0</v>
      </c>
      <c r="I9308" t="n">
        <v>0</v>
      </c>
      <c r="J9308" t="n">
        <v>0</v>
      </c>
      <c r="K9308" t="n">
        <v>0</v>
      </c>
      <c r="L9308" t="n">
        <v>0</v>
      </c>
      <c r="M9308" t="n">
        <v>0</v>
      </c>
      <c r="N9308" t="n">
        <v>0</v>
      </c>
      <c r="O9308" t="n">
        <v>0</v>
      </c>
      <c r="P9308" t="n">
        <v>0</v>
      </c>
      <c r="Q9308" t="n">
        <v>0</v>
      </c>
      <c r="R9308" s="2" t="inlineStr"/>
    </row>
    <row r="9309" ht="15" customHeight="1">
      <c r="A9309" t="inlineStr">
        <is>
          <t>A 14316-2022</t>
        </is>
      </c>
      <c r="B9309" s="1" t="n">
        <v>44652.3578587963</v>
      </c>
      <c r="C9309" s="1" t="n">
        <v>45952</v>
      </c>
      <c r="D9309" t="inlineStr">
        <is>
          <t>VÄSTRA GÖTALANDS LÄN</t>
        </is>
      </c>
      <c r="E9309" t="inlineStr">
        <is>
          <t>TRANEMO</t>
        </is>
      </c>
      <c r="G9309" t="n">
        <v>1.5</v>
      </c>
      <c r="H9309" t="n">
        <v>0</v>
      </c>
      <c r="I9309" t="n">
        <v>0</v>
      </c>
      <c r="J9309" t="n">
        <v>0</v>
      </c>
      <c r="K9309" t="n">
        <v>0</v>
      </c>
      <c r="L9309" t="n">
        <v>0</v>
      </c>
      <c r="M9309" t="n">
        <v>0</v>
      </c>
      <c r="N9309" t="n">
        <v>0</v>
      </c>
      <c r="O9309" t="n">
        <v>0</v>
      </c>
      <c r="P9309" t="n">
        <v>0</v>
      </c>
      <c r="Q9309" t="n">
        <v>0</v>
      </c>
      <c r="R9309" s="2" t="inlineStr"/>
    </row>
    <row r="9310" ht="15" customHeight="1">
      <c r="A9310" t="inlineStr">
        <is>
          <t>A 48690-2025</t>
        </is>
      </c>
      <c r="B9310" s="1" t="n">
        <v>45936.61097222222</v>
      </c>
      <c r="C9310" s="1" t="n">
        <v>45952</v>
      </c>
      <c r="D9310" t="inlineStr">
        <is>
          <t>VÄSTRA GÖTALANDS LÄN</t>
        </is>
      </c>
      <c r="E9310" t="inlineStr">
        <is>
          <t>BENGTSFORS</t>
        </is>
      </c>
      <c r="G9310" t="n">
        <v>2.9</v>
      </c>
      <c r="H9310" t="n">
        <v>0</v>
      </c>
      <c r="I9310" t="n">
        <v>0</v>
      </c>
      <c r="J9310" t="n">
        <v>0</v>
      </c>
      <c r="K9310" t="n">
        <v>0</v>
      </c>
      <c r="L9310" t="n">
        <v>0</v>
      </c>
      <c r="M9310" t="n">
        <v>0</v>
      </c>
      <c r="N9310" t="n">
        <v>0</v>
      </c>
      <c r="O9310" t="n">
        <v>0</v>
      </c>
      <c r="P9310" t="n">
        <v>0</v>
      </c>
      <c r="Q9310" t="n">
        <v>0</v>
      </c>
      <c r="R9310" s="2" t="inlineStr"/>
    </row>
    <row r="9311" ht="15" customHeight="1">
      <c r="A9311" t="inlineStr">
        <is>
          <t>A 48766-2025</t>
        </is>
      </c>
      <c r="B9311" s="1" t="n">
        <v>45936.86329861111</v>
      </c>
      <c r="C9311" s="1" t="n">
        <v>45952</v>
      </c>
      <c r="D9311" t="inlineStr">
        <is>
          <t>VÄSTRA GÖTALANDS LÄN</t>
        </is>
      </c>
      <c r="E9311" t="inlineStr">
        <is>
          <t>SKÖVDE</t>
        </is>
      </c>
      <c r="G9311" t="n">
        <v>1.6</v>
      </c>
      <c r="H9311" t="n">
        <v>0</v>
      </c>
      <c r="I9311" t="n">
        <v>0</v>
      </c>
      <c r="J9311" t="n">
        <v>0</v>
      </c>
      <c r="K9311" t="n">
        <v>0</v>
      </c>
      <c r="L9311" t="n">
        <v>0</v>
      </c>
      <c r="M9311" t="n">
        <v>0</v>
      </c>
      <c r="N9311" t="n">
        <v>0</v>
      </c>
      <c r="O9311" t="n">
        <v>0</v>
      </c>
      <c r="P9311" t="n">
        <v>0</v>
      </c>
      <c r="Q9311" t="n">
        <v>0</v>
      </c>
      <c r="R9311" s="2" t="inlineStr"/>
    </row>
    <row r="9312" ht="15" customHeight="1">
      <c r="A9312" t="inlineStr">
        <is>
          <t>A 23374-2025</t>
        </is>
      </c>
      <c r="B9312" s="1" t="n">
        <v>45791.77096064815</v>
      </c>
      <c r="C9312" s="1" t="n">
        <v>45952</v>
      </c>
      <c r="D9312" t="inlineStr">
        <is>
          <t>VÄSTRA GÖTALANDS LÄN</t>
        </is>
      </c>
      <c r="E9312" t="inlineStr">
        <is>
          <t>LILLA EDET</t>
        </is>
      </c>
      <c r="G9312" t="n">
        <v>0.6</v>
      </c>
      <c r="H9312" t="n">
        <v>0</v>
      </c>
      <c r="I9312" t="n">
        <v>0</v>
      </c>
      <c r="J9312" t="n">
        <v>0</v>
      </c>
      <c r="K9312" t="n">
        <v>0</v>
      </c>
      <c r="L9312" t="n">
        <v>0</v>
      </c>
      <c r="M9312" t="n">
        <v>0</v>
      </c>
      <c r="N9312" t="n">
        <v>0</v>
      </c>
      <c r="O9312" t="n">
        <v>0</v>
      </c>
      <c r="P9312" t="n">
        <v>0</v>
      </c>
      <c r="Q9312" t="n">
        <v>0</v>
      </c>
      <c r="R9312" s="2" t="inlineStr"/>
    </row>
    <row r="9313" ht="15" customHeight="1">
      <c r="A9313" t="inlineStr">
        <is>
          <t>A 23014-2023</t>
        </is>
      </c>
      <c r="B9313" s="1" t="n">
        <v>45073</v>
      </c>
      <c r="C9313" s="1" t="n">
        <v>45952</v>
      </c>
      <c r="D9313" t="inlineStr">
        <is>
          <t>VÄSTRA GÖTALANDS LÄN</t>
        </is>
      </c>
      <c r="E9313" t="inlineStr">
        <is>
          <t>FALKÖPING</t>
        </is>
      </c>
      <c r="G9313" t="n">
        <v>0.3</v>
      </c>
      <c r="H9313" t="n">
        <v>0</v>
      </c>
      <c r="I9313" t="n">
        <v>0</v>
      </c>
      <c r="J9313" t="n">
        <v>0</v>
      </c>
      <c r="K9313" t="n">
        <v>0</v>
      </c>
      <c r="L9313" t="n">
        <v>0</v>
      </c>
      <c r="M9313" t="n">
        <v>0</v>
      </c>
      <c r="N9313" t="n">
        <v>0</v>
      </c>
      <c r="O9313" t="n">
        <v>0</v>
      </c>
      <c r="P9313" t="n">
        <v>0</v>
      </c>
      <c r="Q9313" t="n">
        <v>0</v>
      </c>
      <c r="R9313" s="2" t="inlineStr"/>
    </row>
    <row r="9314" ht="15" customHeight="1">
      <c r="A9314" t="inlineStr">
        <is>
          <t>A 33300-2021</t>
        </is>
      </c>
      <c r="B9314" s="1" t="n">
        <v>44377.42493055556</v>
      </c>
      <c r="C9314" s="1" t="n">
        <v>45952</v>
      </c>
      <c r="D9314" t="inlineStr">
        <is>
          <t>VÄSTRA GÖTALANDS LÄN</t>
        </is>
      </c>
      <c r="E9314" t="inlineStr">
        <is>
          <t>BORÅS</t>
        </is>
      </c>
      <c r="G9314" t="n">
        <v>4.8</v>
      </c>
      <c r="H9314" t="n">
        <v>0</v>
      </c>
      <c r="I9314" t="n">
        <v>0</v>
      </c>
      <c r="J9314" t="n">
        <v>0</v>
      </c>
      <c r="K9314" t="n">
        <v>0</v>
      </c>
      <c r="L9314" t="n">
        <v>0</v>
      </c>
      <c r="M9314" t="n">
        <v>0</v>
      </c>
      <c r="N9314" t="n">
        <v>0</v>
      </c>
      <c r="O9314" t="n">
        <v>0</v>
      </c>
      <c r="P9314" t="n">
        <v>0</v>
      </c>
      <c r="Q9314" t="n">
        <v>0</v>
      </c>
      <c r="R9314" s="2" t="inlineStr"/>
    </row>
    <row r="9315" ht="15" customHeight="1">
      <c r="A9315" t="inlineStr">
        <is>
          <t>A 8117-2023</t>
        </is>
      </c>
      <c r="B9315" s="1" t="n">
        <v>44974</v>
      </c>
      <c r="C9315" s="1" t="n">
        <v>45952</v>
      </c>
      <c r="D9315" t="inlineStr">
        <is>
          <t>VÄSTRA GÖTALANDS LÄN</t>
        </is>
      </c>
      <c r="E9315" t="inlineStr">
        <is>
          <t>LILLA EDET</t>
        </is>
      </c>
      <c r="G9315" t="n">
        <v>11</v>
      </c>
      <c r="H9315" t="n">
        <v>0</v>
      </c>
      <c r="I9315" t="n">
        <v>0</v>
      </c>
      <c r="J9315" t="n">
        <v>0</v>
      </c>
      <c r="K9315" t="n">
        <v>0</v>
      </c>
      <c r="L9315" t="n">
        <v>0</v>
      </c>
      <c r="M9315" t="n">
        <v>0</v>
      </c>
      <c r="N9315" t="n">
        <v>0</v>
      </c>
      <c r="O9315" t="n">
        <v>0</v>
      </c>
      <c r="P9315" t="n">
        <v>0</v>
      </c>
      <c r="Q9315" t="n">
        <v>0</v>
      </c>
      <c r="R9315" s="2" t="inlineStr"/>
    </row>
    <row r="9316" ht="15" customHeight="1">
      <c r="A9316" t="inlineStr">
        <is>
          <t>A 49015-2025</t>
        </is>
      </c>
      <c r="B9316" s="1" t="n">
        <v>45937.61165509259</v>
      </c>
      <c r="C9316" s="1" t="n">
        <v>45952</v>
      </c>
      <c r="D9316" t="inlineStr">
        <is>
          <t>VÄSTRA GÖTALANDS LÄN</t>
        </is>
      </c>
      <c r="E9316" t="inlineStr">
        <is>
          <t>MARIESTAD</t>
        </is>
      </c>
      <c r="G9316" t="n">
        <v>8.9</v>
      </c>
      <c r="H9316" t="n">
        <v>0</v>
      </c>
      <c r="I9316" t="n">
        <v>0</v>
      </c>
      <c r="J9316" t="n">
        <v>0</v>
      </c>
      <c r="K9316" t="n">
        <v>0</v>
      </c>
      <c r="L9316" t="n">
        <v>0</v>
      </c>
      <c r="M9316" t="n">
        <v>0</v>
      </c>
      <c r="N9316" t="n">
        <v>0</v>
      </c>
      <c r="O9316" t="n">
        <v>0</v>
      </c>
      <c r="P9316" t="n">
        <v>0</v>
      </c>
      <c r="Q9316" t="n">
        <v>0</v>
      </c>
      <c r="R9316" s="2" t="inlineStr"/>
    </row>
    <row r="9317" ht="15" customHeight="1">
      <c r="A9317" t="inlineStr">
        <is>
          <t>A 23487-2025</t>
        </is>
      </c>
      <c r="B9317" s="1" t="n">
        <v>45792.4653587963</v>
      </c>
      <c r="C9317" s="1" t="n">
        <v>45952</v>
      </c>
      <c r="D9317" t="inlineStr">
        <is>
          <t>VÄSTRA GÖTALANDS LÄN</t>
        </is>
      </c>
      <c r="E9317" t="inlineStr">
        <is>
          <t>SKÖVDE</t>
        </is>
      </c>
      <c r="G9317" t="n">
        <v>1</v>
      </c>
      <c r="H9317" t="n">
        <v>0</v>
      </c>
      <c r="I9317" t="n">
        <v>0</v>
      </c>
      <c r="J9317" t="n">
        <v>0</v>
      </c>
      <c r="K9317" t="n">
        <v>0</v>
      </c>
      <c r="L9317" t="n">
        <v>0</v>
      </c>
      <c r="M9317" t="n">
        <v>0</v>
      </c>
      <c r="N9317" t="n">
        <v>0</v>
      </c>
      <c r="O9317" t="n">
        <v>0</v>
      </c>
      <c r="P9317" t="n">
        <v>0</v>
      </c>
      <c r="Q9317" t="n">
        <v>0</v>
      </c>
      <c r="R9317" s="2" t="inlineStr"/>
    </row>
    <row r="9318" ht="15" customHeight="1">
      <c r="A9318" t="inlineStr">
        <is>
          <t>A 23533-2025</t>
        </is>
      </c>
      <c r="B9318" s="1" t="n">
        <v>45792.53724537037</v>
      </c>
      <c r="C9318" s="1" t="n">
        <v>45952</v>
      </c>
      <c r="D9318" t="inlineStr">
        <is>
          <t>VÄSTRA GÖTALANDS LÄN</t>
        </is>
      </c>
      <c r="E9318" t="inlineStr">
        <is>
          <t>ALINGSÅS</t>
        </is>
      </c>
      <c r="G9318" t="n">
        <v>0.5</v>
      </c>
      <c r="H9318" t="n">
        <v>0</v>
      </c>
      <c r="I9318" t="n">
        <v>0</v>
      </c>
      <c r="J9318" t="n">
        <v>0</v>
      </c>
      <c r="K9318" t="n">
        <v>0</v>
      </c>
      <c r="L9318" t="n">
        <v>0</v>
      </c>
      <c r="M9318" t="n">
        <v>0</v>
      </c>
      <c r="N9318" t="n">
        <v>0</v>
      </c>
      <c r="O9318" t="n">
        <v>0</v>
      </c>
      <c r="P9318" t="n">
        <v>0</v>
      </c>
      <c r="Q9318" t="n">
        <v>0</v>
      </c>
      <c r="R9318" s="2" t="inlineStr"/>
    </row>
    <row r="9319" ht="15" customHeight="1">
      <c r="A9319" t="inlineStr">
        <is>
          <t>A 23544-2025</t>
        </is>
      </c>
      <c r="B9319" s="1" t="n">
        <v>45792.56561342593</v>
      </c>
      <c r="C9319" s="1" t="n">
        <v>45952</v>
      </c>
      <c r="D9319" t="inlineStr">
        <is>
          <t>VÄSTRA GÖTALANDS LÄN</t>
        </is>
      </c>
      <c r="E9319" t="inlineStr">
        <is>
          <t>SKÖVDE</t>
        </is>
      </c>
      <c r="G9319" t="n">
        <v>1.2</v>
      </c>
      <c r="H9319" t="n">
        <v>0</v>
      </c>
      <c r="I9319" t="n">
        <v>0</v>
      </c>
      <c r="J9319" t="n">
        <v>0</v>
      </c>
      <c r="K9319" t="n">
        <v>0</v>
      </c>
      <c r="L9319" t="n">
        <v>0</v>
      </c>
      <c r="M9319" t="n">
        <v>0</v>
      </c>
      <c r="N9319" t="n">
        <v>0</v>
      </c>
      <c r="O9319" t="n">
        <v>0</v>
      </c>
      <c r="P9319" t="n">
        <v>0</v>
      </c>
      <c r="Q9319" t="n">
        <v>0</v>
      </c>
      <c r="R9319" s="2" t="inlineStr"/>
    </row>
    <row r="9320" ht="15" customHeight="1">
      <c r="A9320" t="inlineStr">
        <is>
          <t>A 40281-2025</t>
        </is>
      </c>
      <c r="B9320" s="1" t="n">
        <v>45895.36684027778</v>
      </c>
      <c r="C9320" s="1" t="n">
        <v>45952</v>
      </c>
      <c r="D9320" t="inlineStr">
        <is>
          <t>VÄSTRA GÖTALANDS LÄN</t>
        </is>
      </c>
      <c r="E9320" t="inlineStr">
        <is>
          <t>HÄRRYDA</t>
        </is>
      </c>
      <c r="G9320" t="n">
        <v>1.6</v>
      </c>
      <c r="H9320" t="n">
        <v>0</v>
      </c>
      <c r="I9320" t="n">
        <v>0</v>
      </c>
      <c r="J9320" t="n">
        <v>0</v>
      </c>
      <c r="K9320" t="n">
        <v>0</v>
      </c>
      <c r="L9320" t="n">
        <v>0</v>
      </c>
      <c r="M9320" t="n">
        <v>0</v>
      </c>
      <c r="N9320" t="n">
        <v>0</v>
      </c>
      <c r="O9320" t="n">
        <v>0</v>
      </c>
      <c r="P9320" t="n">
        <v>0</v>
      </c>
      <c r="Q9320" t="n">
        <v>0</v>
      </c>
      <c r="R9320" s="2" t="inlineStr"/>
    </row>
    <row r="9321" ht="15" customHeight="1">
      <c r="A9321" t="inlineStr">
        <is>
          <t>A 23584-2025</t>
        </is>
      </c>
      <c r="B9321" s="1" t="n">
        <v>45792.63148148148</v>
      </c>
      <c r="C9321" s="1" t="n">
        <v>45952</v>
      </c>
      <c r="D9321" t="inlineStr">
        <is>
          <t>VÄSTRA GÖTALANDS LÄN</t>
        </is>
      </c>
      <c r="E9321" t="inlineStr">
        <is>
          <t>BENGTSFORS</t>
        </is>
      </c>
      <c r="G9321" t="n">
        <v>2.2</v>
      </c>
      <c r="H9321" t="n">
        <v>0</v>
      </c>
      <c r="I9321" t="n">
        <v>0</v>
      </c>
      <c r="J9321" t="n">
        <v>0</v>
      </c>
      <c r="K9321" t="n">
        <v>0</v>
      </c>
      <c r="L9321" t="n">
        <v>0</v>
      </c>
      <c r="M9321" t="n">
        <v>0</v>
      </c>
      <c r="N9321" t="n">
        <v>0</v>
      </c>
      <c r="O9321" t="n">
        <v>0</v>
      </c>
      <c r="P9321" t="n">
        <v>0</v>
      </c>
      <c r="Q9321" t="n">
        <v>0</v>
      </c>
      <c r="R9321" s="2" t="inlineStr"/>
    </row>
    <row r="9322" ht="15" customHeight="1">
      <c r="A9322" t="inlineStr">
        <is>
          <t>A 33888-2024</t>
        </is>
      </c>
      <c r="B9322" s="1" t="n">
        <v>45523</v>
      </c>
      <c r="C9322" s="1" t="n">
        <v>45952</v>
      </c>
      <c r="D9322" t="inlineStr">
        <is>
          <t>VÄSTRA GÖTALANDS LÄN</t>
        </is>
      </c>
      <c r="E9322" t="inlineStr">
        <is>
          <t>TANUM</t>
        </is>
      </c>
      <c r="G9322" t="n">
        <v>0.7</v>
      </c>
      <c r="H9322" t="n">
        <v>0</v>
      </c>
      <c r="I9322" t="n">
        <v>0</v>
      </c>
      <c r="J9322" t="n">
        <v>0</v>
      </c>
      <c r="K9322" t="n">
        <v>0</v>
      </c>
      <c r="L9322" t="n">
        <v>0</v>
      </c>
      <c r="M9322" t="n">
        <v>0</v>
      </c>
      <c r="N9322" t="n">
        <v>0</v>
      </c>
      <c r="O9322" t="n">
        <v>0</v>
      </c>
      <c r="P9322" t="n">
        <v>0</v>
      </c>
      <c r="Q9322" t="n">
        <v>0</v>
      </c>
      <c r="R9322" s="2" t="inlineStr"/>
    </row>
    <row r="9323" ht="15" customHeight="1">
      <c r="A9323" t="inlineStr">
        <is>
          <t>A 18843-2021</t>
        </is>
      </c>
      <c r="B9323" s="1" t="n">
        <v>44307</v>
      </c>
      <c r="C9323" s="1" t="n">
        <v>45952</v>
      </c>
      <c r="D9323" t="inlineStr">
        <is>
          <t>VÄSTRA GÖTALANDS LÄN</t>
        </is>
      </c>
      <c r="E9323" t="inlineStr">
        <is>
          <t>VARA</t>
        </is>
      </c>
      <c r="G9323" t="n">
        <v>0.3</v>
      </c>
      <c r="H9323" t="n">
        <v>0</v>
      </c>
      <c r="I9323" t="n">
        <v>0</v>
      </c>
      <c r="J9323" t="n">
        <v>0</v>
      </c>
      <c r="K9323" t="n">
        <v>0</v>
      </c>
      <c r="L9323" t="n">
        <v>0</v>
      </c>
      <c r="M9323" t="n">
        <v>0</v>
      </c>
      <c r="N9323" t="n">
        <v>0</v>
      </c>
      <c r="O9323" t="n">
        <v>0</v>
      </c>
      <c r="P9323" t="n">
        <v>0</v>
      </c>
      <c r="Q9323" t="n">
        <v>0</v>
      </c>
      <c r="R9323" s="2" t="inlineStr"/>
    </row>
    <row r="9324" ht="15" customHeight="1">
      <c r="A9324" t="inlineStr">
        <is>
          <t>A 48479-2025</t>
        </is>
      </c>
      <c r="B9324" s="1" t="n">
        <v>45936.35118055555</v>
      </c>
      <c r="C9324" s="1" t="n">
        <v>45952</v>
      </c>
      <c r="D9324" t="inlineStr">
        <is>
          <t>VÄSTRA GÖTALANDS LÄN</t>
        </is>
      </c>
      <c r="E9324" t="inlineStr">
        <is>
          <t>FÄRGELANDA</t>
        </is>
      </c>
      <c r="F9324" t="inlineStr">
        <is>
          <t>Kommuner</t>
        </is>
      </c>
      <c r="G9324" t="n">
        <v>1.2</v>
      </c>
      <c r="H9324" t="n">
        <v>0</v>
      </c>
      <c r="I9324" t="n">
        <v>0</v>
      </c>
      <c r="J9324" t="n">
        <v>0</v>
      </c>
      <c r="K9324" t="n">
        <v>0</v>
      </c>
      <c r="L9324" t="n">
        <v>0</v>
      </c>
      <c r="M9324" t="n">
        <v>0</v>
      </c>
      <c r="N9324" t="n">
        <v>0</v>
      </c>
      <c r="O9324" t="n">
        <v>0</v>
      </c>
      <c r="P9324" t="n">
        <v>0</v>
      </c>
      <c r="Q9324" t="n">
        <v>0</v>
      </c>
      <c r="R9324" s="2" t="inlineStr"/>
    </row>
    <row r="9325" ht="15" customHeight="1">
      <c r="A9325" t="inlineStr">
        <is>
          <t>A 40306-2025</t>
        </is>
      </c>
      <c r="B9325" s="1" t="n">
        <v>45895.40923611111</v>
      </c>
      <c r="C9325" s="1" t="n">
        <v>45952</v>
      </c>
      <c r="D9325" t="inlineStr">
        <is>
          <t>VÄSTRA GÖTALANDS LÄN</t>
        </is>
      </c>
      <c r="E9325" t="inlineStr">
        <is>
          <t>HÄRRYDA</t>
        </is>
      </c>
      <c r="G9325" t="n">
        <v>1.3</v>
      </c>
      <c r="H9325" t="n">
        <v>0</v>
      </c>
      <c r="I9325" t="n">
        <v>0</v>
      </c>
      <c r="J9325" t="n">
        <v>0</v>
      </c>
      <c r="K9325" t="n">
        <v>0</v>
      </c>
      <c r="L9325" t="n">
        <v>0</v>
      </c>
      <c r="M9325" t="n">
        <v>0</v>
      </c>
      <c r="N9325" t="n">
        <v>0</v>
      </c>
      <c r="O9325" t="n">
        <v>0</v>
      </c>
      <c r="P9325" t="n">
        <v>0</v>
      </c>
      <c r="Q9325" t="n">
        <v>0</v>
      </c>
      <c r="R9325" s="2" t="inlineStr"/>
    </row>
    <row r="9326" ht="15" customHeight="1">
      <c r="A9326" t="inlineStr">
        <is>
          <t>A 40322-2025</t>
        </is>
      </c>
      <c r="B9326" s="1" t="n">
        <v>45895.44659722222</v>
      </c>
      <c r="C9326" s="1" t="n">
        <v>45952</v>
      </c>
      <c r="D9326" t="inlineStr">
        <is>
          <t>VÄSTRA GÖTALANDS LÄN</t>
        </is>
      </c>
      <c r="E9326" t="inlineStr">
        <is>
          <t>BORÅS</t>
        </is>
      </c>
      <c r="G9326" t="n">
        <v>4.6</v>
      </c>
      <c r="H9326" t="n">
        <v>0</v>
      </c>
      <c r="I9326" t="n">
        <v>0</v>
      </c>
      <c r="J9326" t="n">
        <v>0</v>
      </c>
      <c r="K9326" t="n">
        <v>0</v>
      </c>
      <c r="L9326" t="n">
        <v>0</v>
      </c>
      <c r="M9326" t="n">
        <v>0</v>
      </c>
      <c r="N9326" t="n">
        <v>0</v>
      </c>
      <c r="O9326" t="n">
        <v>0</v>
      </c>
      <c r="P9326" t="n">
        <v>0</v>
      </c>
      <c r="Q9326" t="n">
        <v>0</v>
      </c>
      <c r="R9326" s="2" t="inlineStr"/>
    </row>
    <row r="9327" ht="15" customHeight="1">
      <c r="A9327" t="inlineStr">
        <is>
          <t>A 36236-2023</t>
        </is>
      </c>
      <c r="B9327" s="1" t="n">
        <v>45150.63820601852</v>
      </c>
      <c r="C9327" s="1" t="n">
        <v>45952</v>
      </c>
      <c r="D9327" t="inlineStr">
        <is>
          <t>VÄSTRA GÖTALANDS LÄN</t>
        </is>
      </c>
      <c r="E9327" t="inlineStr">
        <is>
          <t>UDDEVALLA</t>
        </is>
      </c>
      <c r="G9327" t="n">
        <v>5.2</v>
      </c>
      <c r="H9327" t="n">
        <v>0</v>
      </c>
      <c r="I9327" t="n">
        <v>0</v>
      </c>
      <c r="J9327" t="n">
        <v>0</v>
      </c>
      <c r="K9327" t="n">
        <v>0</v>
      </c>
      <c r="L9327" t="n">
        <v>0</v>
      </c>
      <c r="M9327" t="n">
        <v>0</v>
      </c>
      <c r="N9327" t="n">
        <v>0</v>
      </c>
      <c r="O9327" t="n">
        <v>0</v>
      </c>
      <c r="P9327" t="n">
        <v>0</v>
      </c>
      <c r="Q9327" t="n">
        <v>0</v>
      </c>
      <c r="R9327" s="2" t="inlineStr"/>
    </row>
    <row r="9328" ht="15" customHeight="1">
      <c r="A9328" t="inlineStr">
        <is>
          <t>A 48440-2025</t>
        </is>
      </c>
      <c r="B9328" s="1" t="n">
        <v>45935.51550925926</v>
      </c>
      <c r="C9328" s="1" t="n">
        <v>45952</v>
      </c>
      <c r="D9328" t="inlineStr">
        <is>
          <t>VÄSTRA GÖTALANDS LÄN</t>
        </is>
      </c>
      <c r="E9328" t="inlineStr">
        <is>
          <t>HÄRRYDA</t>
        </is>
      </c>
      <c r="G9328" t="n">
        <v>1.2</v>
      </c>
      <c r="H9328" t="n">
        <v>0</v>
      </c>
      <c r="I9328" t="n">
        <v>0</v>
      </c>
      <c r="J9328" t="n">
        <v>0</v>
      </c>
      <c r="K9328" t="n">
        <v>0</v>
      </c>
      <c r="L9328" t="n">
        <v>0</v>
      </c>
      <c r="M9328" t="n">
        <v>0</v>
      </c>
      <c r="N9328" t="n">
        <v>0</v>
      </c>
      <c r="O9328" t="n">
        <v>0</v>
      </c>
      <c r="P9328" t="n">
        <v>0</v>
      </c>
      <c r="Q9328" t="n">
        <v>0</v>
      </c>
      <c r="R9328" s="2" t="inlineStr"/>
    </row>
    <row r="9329" ht="15" customHeight="1">
      <c r="A9329" t="inlineStr">
        <is>
          <t>A 48449-2025</t>
        </is>
      </c>
      <c r="B9329" s="1" t="n">
        <v>45935.72084490741</v>
      </c>
      <c r="C9329" s="1" t="n">
        <v>45952</v>
      </c>
      <c r="D9329" t="inlineStr">
        <is>
          <t>VÄSTRA GÖTALANDS LÄN</t>
        </is>
      </c>
      <c r="E9329" t="inlineStr">
        <is>
          <t>BORÅS</t>
        </is>
      </c>
      <c r="G9329" t="n">
        <v>1.4</v>
      </c>
      <c r="H9329" t="n">
        <v>0</v>
      </c>
      <c r="I9329" t="n">
        <v>0</v>
      </c>
      <c r="J9329" t="n">
        <v>0</v>
      </c>
      <c r="K9329" t="n">
        <v>0</v>
      </c>
      <c r="L9329" t="n">
        <v>0</v>
      </c>
      <c r="M9329" t="n">
        <v>0</v>
      </c>
      <c r="N9329" t="n">
        <v>0</v>
      </c>
      <c r="O9329" t="n">
        <v>0</v>
      </c>
      <c r="P9329" t="n">
        <v>0</v>
      </c>
      <c r="Q9329" t="n">
        <v>0</v>
      </c>
      <c r="R9329" s="2" t="inlineStr"/>
    </row>
    <row r="9330" ht="15" customHeight="1">
      <c r="A9330" t="inlineStr">
        <is>
          <t>A 49088-2025</t>
        </is>
      </c>
      <c r="B9330" s="1" t="n">
        <v>45937.67055555555</v>
      </c>
      <c r="C9330" s="1" t="n">
        <v>45952</v>
      </c>
      <c r="D9330" t="inlineStr">
        <is>
          <t>VÄSTRA GÖTALANDS LÄN</t>
        </is>
      </c>
      <c r="E9330" t="inlineStr">
        <is>
          <t>TÖREBODA</t>
        </is>
      </c>
      <c r="F9330" t="inlineStr">
        <is>
          <t>Sveaskog</t>
        </is>
      </c>
      <c r="G9330" t="n">
        <v>0.9</v>
      </c>
      <c r="H9330" t="n">
        <v>0</v>
      </c>
      <c r="I9330" t="n">
        <v>0</v>
      </c>
      <c r="J9330" t="n">
        <v>0</v>
      </c>
      <c r="K9330" t="n">
        <v>0</v>
      </c>
      <c r="L9330" t="n">
        <v>0</v>
      </c>
      <c r="M9330" t="n">
        <v>0</v>
      </c>
      <c r="N9330" t="n">
        <v>0</v>
      </c>
      <c r="O9330" t="n">
        <v>0</v>
      </c>
      <c r="P9330" t="n">
        <v>0</v>
      </c>
      <c r="Q9330" t="n">
        <v>0</v>
      </c>
      <c r="R9330" s="2" t="inlineStr"/>
    </row>
    <row r="9331" ht="15" customHeight="1">
      <c r="A9331" t="inlineStr">
        <is>
          <t>A 22605-2025</t>
        </is>
      </c>
      <c r="B9331" s="1" t="n">
        <v>45789</v>
      </c>
      <c r="C9331" s="1" t="n">
        <v>45952</v>
      </c>
      <c r="D9331" t="inlineStr">
        <is>
          <t>VÄSTRA GÖTALANDS LÄN</t>
        </is>
      </c>
      <c r="E9331" t="inlineStr">
        <is>
          <t>LYSEKIL</t>
        </is>
      </c>
      <c r="G9331" t="n">
        <v>1</v>
      </c>
      <c r="H9331" t="n">
        <v>0</v>
      </c>
      <c r="I9331" t="n">
        <v>0</v>
      </c>
      <c r="J9331" t="n">
        <v>0</v>
      </c>
      <c r="K9331" t="n">
        <v>0</v>
      </c>
      <c r="L9331" t="n">
        <v>0</v>
      </c>
      <c r="M9331" t="n">
        <v>0</v>
      </c>
      <c r="N9331" t="n">
        <v>0</v>
      </c>
      <c r="O9331" t="n">
        <v>0</v>
      </c>
      <c r="P9331" t="n">
        <v>0</v>
      </c>
      <c r="Q9331" t="n">
        <v>0</v>
      </c>
      <c r="R9331" s="2" t="inlineStr"/>
    </row>
    <row r="9332" ht="15" customHeight="1">
      <c r="A9332" t="inlineStr">
        <is>
          <t>A 23636-2025</t>
        </is>
      </c>
      <c r="B9332" s="1" t="n">
        <v>45792.67938657408</v>
      </c>
      <c r="C9332" s="1" t="n">
        <v>45952</v>
      </c>
      <c r="D9332" t="inlineStr">
        <is>
          <t>VÄSTRA GÖTALANDS LÄN</t>
        </is>
      </c>
      <c r="E9332" t="inlineStr">
        <is>
          <t>DALS-ED</t>
        </is>
      </c>
      <c r="G9332" t="n">
        <v>4.3</v>
      </c>
      <c r="H9332" t="n">
        <v>0</v>
      </c>
      <c r="I9332" t="n">
        <v>0</v>
      </c>
      <c r="J9332" t="n">
        <v>0</v>
      </c>
      <c r="K9332" t="n">
        <v>0</v>
      </c>
      <c r="L9332" t="n">
        <v>0</v>
      </c>
      <c r="M9332" t="n">
        <v>0</v>
      </c>
      <c r="N9332" t="n">
        <v>0</v>
      </c>
      <c r="O9332" t="n">
        <v>0</v>
      </c>
      <c r="P9332" t="n">
        <v>0</v>
      </c>
      <c r="Q9332" t="n">
        <v>0</v>
      </c>
      <c r="R9332" s="2" t="inlineStr"/>
    </row>
    <row r="9333" ht="15" customHeight="1">
      <c r="A9333" t="inlineStr">
        <is>
          <t>A 22548-2025</t>
        </is>
      </c>
      <c r="B9333" s="1" t="n">
        <v>45788</v>
      </c>
      <c r="C9333" s="1" t="n">
        <v>45952</v>
      </c>
      <c r="D9333" t="inlineStr">
        <is>
          <t>VÄSTRA GÖTALANDS LÄN</t>
        </is>
      </c>
      <c r="E9333" t="inlineStr">
        <is>
          <t>BENGTSFORS</t>
        </is>
      </c>
      <c r="G9333" t="n">
        <v>5.1</v>
      </c>
      <c r="H9333" t="n">
        <v>0</v>
      </c>
      <c r="I9333" t="n">
        <v>0</v>
      </c>
      <c r="J9333" t="n">
        <v>0</v>
      </c>
      <c r="K9333" t="n">
        <v>0</v>
      </c>
      <c r="L9333" t="n">
        <v>0</v>
      </c>
      <c r="M9333" t="n">
        <v>0</v>
      </c>
      <c r="N9333" t="n">
        <v>0</v>
      </c>
      <c r="O9333" t="n">
        <v>0</v>
      </c>
      <c r="P9333" t="n">
        <v>0</v>
      </c>
      <c r="Q9333" t="n">
        <v>0</v>
      </c>
      <c r="R9333" s="2" t="inlineStr"/>
    </row>
    <row r="9334" ht="15" customHeight="1">
      <c r="A9334" t="inlineStr">
        <is>
          <t>A 62010-2020</t>
        </is>
      </c>
      <c r="B9334" s="1" t="n">
        <v>44159</v>
      </c>
      <c r="C9334" s="1" t="n">
        <v>45952</v>
      </c>
      <c r="D9334" t="inlineStr">
        <is>
          <t>VÄSTRA GÖTALANDS LÄN</t>
        </is>
      </c>
      <c r="E9334" t="inlineStr">
        <is>
          <t>TRANEMO</t>
        </is>
      </c>
      <c r="G9334" t="n">
        <v>1</v>
      </c>
      <c r="H9334" t="n">
        <v>0</v>
      </c>
      <c r="I9334" t="n">
        <v>0</v>
      </c>
      <c r="J9334" t="n">
        <v>0</v>
      </c>
      <c r="K9334" t="n">
        <v>0</v>
      </c>
      <c r="L9334" t="n">
        <v>0</v>
      </c>
      <c r="M9334" t="n">
        <v>0</v>
      </c>
      <c r="N9334" t="n">
        <v>0</v>
      </c>
      <c r="O9334" t="n">
        <v>0</v>
      </c>
      <c r="P9334" t="n">
        <v>0</v>
      </c>
      <c r="Q9334" t="n">
        <v>0</v>
      </c>
      <c r="R9334" s="2" t="inlineStr"/>
    </row>
    <row r="9335" ht="15" customHeight="1">
      <c r="A9335" t="inlineStr">
        <is>
          <t>A 66624-2020</t>
        </is>
      </c>
      <c r="B9335" s="1" t="n">
        <v>44179</v>
      </c>
      <c r="C9335" s="1" t="n">
        <v>45952</v>
      </c>
      <c r="D9335" t="inlineStr">
        <is>
          <t>VÄSTRA GÖTALANDS LÄN</t>
        </is>
      </c>
      <c r="E9335" t="inlineStr">
        <is>
          <t>TANUM</t>
        </is>
      </c>
      <c r="G9335" t="n">
        <v>2</v>
      </c>
      <c r="H9335" t="n">
        <v>0</v>
      </c>
      <c r="I9335" t="n">
        <v>0</v>
      </c>
      <c r="J9335" t="n">
        <v>0</v>
      </c>
      <c r="K9335" t="n">
        <v>0</v>
      </c>
      <c r="L9335" t="n">
        <v>0</v>
      </c>
      <c r="M9335" t="n">
        <v>0</v>
      </c>
      <c r="N9335" t="n">
        <v>0</v>
      </c>
      <c r="O9335" t="n">
        <v>0</v>
      </c>
      <c r="P9335" t="n">
        <v>0</v>
      </c>
      <c r="Q9335" t="n">
        <v>0</v>
      </c>
      <c r="R9335" s="2" t="inlineStr"/>
    </row>
    <row r="9336" ht="15" customHeight="1">
      <c r="A9336" t="inlineStr">
        <is>
          <t>A 6496-2021</t>
        </is>
      </c>
      <c r="B9336" s="1" t="n">
        <v>44235</v>
      </c>
      <c r="C9336" s="1" t="n">
        <v>45952</v>
      </c>
      <c r="D9336" t="inlineStr">
        <is>
          <t>VÄSTRA GÖTALANDS LÄN</t>
        </is>
      </c>
      <c r="E9336" t="inlineStr">
        <is>
          <t>SKÖVDE</t>
        </is>
      </c>
      <c r="G9336" t="n">
        <v>1.2</v>
      </c>
      <c r="H9336" t="n">
        <v>0</v>
      </c>
      <c r="I9336" t="n">
        <v>0</v>
      </c>
      <c r="J9336" t="n">
        <v>0</v>
      </c>
      <c r="K9336" t="n">
        <v>0</v>
      </c>
      <c r="L9336" t="n">
        <v>0</v>
      </c>
      <c r="M9336" t="n">
        <v>0</v>
      </c>
      <c r="N9336" t="n">
        <v>0</v>
      </c>
      <c r="O9336" t="n">
        <v>0</v>
      </c>
      <c r="P9336" t="n">
        <v>0</v>
      </c>
      <c r="Q9336" t="n">
        <v>0</v>
      </c>
      <c r="R9336" s="2" t="inlineStr"/>
    </row>
    <row r="9337" ht="15" customHeight="1">
      <c r="A9337" t="inlineStr">
        <is>
          <t>A 6176-2023</t>
        </is>
      </c>
      <c r="B9337" s="1" t="n">
        <v>44964.69994212963</v>
      </c>
      <c r="C9337" s="1" t="n">
        <v>45952</v>
      </c>
      <c r="D9337" t="inlineStr">
        <is>
          <t>VÄSTRA GÖTALANDS LÄN</t>
        </is>
      </c>
      <c r="E9337" t="inlineStr">
        <is>
          <t>MARIESTAD</t>
        </is>
      </c>
      <c r="G9337" t="n">
        <v>2.5</v>
      </c>
      <c r="H9337" t="n">
        <v>0</v>
      </c>
      <c r="I9337" t="n">
        <v>0</v>
      </c>
      <c r="J9337" t="n">
        <v>0</v>
      </c>
      <c r="K9337" t="n">
        <v>0</v>
      </c>
      <c r="L9337" t="n">
        <v>0</v>
      </c>
      <c r="M9337" t="n">
        <v>0</v>
      </c>
      <c r="N9337" t="n">
        <v>0</v>
      </c>
      <c r="O9337" t="n">
        <v>0</v>
      </c>
      <c r="P9337" t="n">
        <v>0</v>
      </c>
      <c r="Q9337" t="n">
        <v>0</v>
      </c>
      <c r="R9337" s="2" t="inlineStr"/>
    </row>
    <row r="9338" ht="15" customHeight="1">
      <c r="A9338" t="inlineStr">
        <is>
          <t>A 7431-2023</t>
        </is>
      </c>
      <c r="B9338" s="1" t="n">
        <v>44971.56972222222</v>
      </c>
      <c r="C9338" s="1" t="n">
        <v>45952</v>
      </c>
      <c r="D9338" t="inlineStr">
        <is>
          <t>VÄSTRA GÖTALANDS LÄN</t>
        </is>
      </c>
      <c r="E9338" t="inlineStr">
        <is>
          <t>BENGTSFORS</t>
        </is>
      </c>
      <c r="G9338" t="n">
        <v>7.1</v>
      </c>
      <c r="H9338" t="n">
        <v>0</v>
      </c>
      <c r="I9338" t="n">
        <v>0</v>
      </c>
      <c r="J9338" t="n">
        <v>0</v>
      </c>
      <c r="K9338" t="n">
        <v>0</v>
      </c>
      <c r="L9338" t="n">
        <v>0</v>
      </c>
      <c r="M9338" t="n">
        <v>0</v>
      </c>
      <c r="N9338" t="n">
        <v>0</v>
      </c>
      <c r="O9338" t="n">
        <v>0</v>
      </c>
      <c r="P9338" t="n">
        <v>0</v>
      </c>
      <c r="Q9338" t="n">
        <v>0</v>
      </c>
      <c r="R9338" s="2" t="inlineStr"/>
    </row>
    <row r="9339" ht="15" customHeight="1">
      <c r="A9339" t="inlineStr">
        <is>
          <t>A 23494-2025</t>
        </is>
      </c>
      <c r="B9339" s="1" t="n">
        <v>45792.46954861111</v>
      </c>
      <c r="C9339" s="1" t="n">
        <v>45952</v>
      </c>
      <c r="D9339" t="inlineStr">
        <is>
          <t>VÄSTRA GÖTALANDS LÄN</t>
        </is>
      </c>
      <c r="E9339" t="inlineStr">
        <is>
          <t>MARK</t>
        </is>
      </c>
      <c r="G9339" t="n">
        <v>2.3</v>
      </c>
      <c r="H9339" t="n">
        <v>0</v>
      </c>
      <c r="I9339" t="n">
        <v>0</v>
      </c>
      <c r="J9339" t="n">
        <v>0</v>
      </c>
      <c r="K9339" t="n">
        <v>0</v>
      </c>
      <c r="L9339" t="n">
        <v>0</v>
      </c>
      <c r="M9339" t="n">
        <v>0</v>
      </c>
      <c r="N9339" t="n">
        <v>0</v>
      </c>
      <c r="O9339" t="n">
        <v>0</v>
      </c>
      <c r="P9339" t="n">
        <v>0</v>
      </c>
      <c r="Q9339" t="n">
        <v>0</v>
      </c>
      <c r="R9339" s="2" t="inlineStr"/>
    </row>
    <row r="9340" ht="15" customHeight="1">
      <c r="A9340" t="inlineStr">
        <is>
          <t>A 23509-2025</t>
        </is>
      </c>
      <c r="B9340" s="1" t="n">
        <v>45792.49081018518</v>
      </c>
      <c r="C9340" s="1" t="n">
        <v>45952</v>
      </c>
      <c r="D9340" t="inlineStr">
        <is>
          <t>VÄSTRA GÖTALANDS LÄN</t>
        </is>
      </c>
      <c r="E9340" t="inlineStr">
        <is>
          <t>LILLA EDET</t>
        </is>
      </c>
      <c r="G9340" t="n">
        <v>0.3</v>
      </c>
      <c r="H9340" t="n">
        <v>0</v>
      </c>
      <c r="I9340" t="n">
        <v>0</v>
      </c>
      <c r="J9340" t="n">
        <v>0</v>
      </c>
      <c r="K9340" t="n">
        <v>0</v>
      </c>
      <c r="L9340" t="n">
        <v>0</v>
      </c>
      <c r="M9340" t="n">
        <v>0</v>
      </c>
      <c r="N9340" t="n">
        <v>0</v>
      </c>
      <c r="O9340" t="n">
        <v>0</v>
      </c>
      <c r="P9340" t="n">
        <v>0</v>
      </c>
      <c r="Q9340" t="n">
        <v>0</v>
      </c>
      <c r="R9340" s="2" t="inlineStr"/>
    </row>
    <row r="9341" ht="15" customHeight="1">
      <c r="A9341" t="inlineStr">
        <is>
          <t>A 28460-2023</t>
        </is>
      </c>
      <c r="B9341" s="1" t="n">
        <v>45103.36616898148</v>
      </c>
      <c r="C9341" s="1" t="n">
        <v>45952</v>
      </c>
      <c r="D9341" t="inlineStr">
        <is>
          <t>VÄSTRA GÖTALANDS LÄN</t>
        </is>
      </c>
      <c r="E9341" t="inlineStr">
        <is>
          <t>KARLSBORG</t>
        </is>
      </c>
      <c r="G9341" t="n">
        <v>0.6</v>
      </c>
      <c r="H9341" t="n">
        <v>0</v>
      </c>
      <c r="I9341" t="n">
        <v>0</v>
      </c>
      <c r="J9341" t="n">
        <v>0</v>
      </c>
      <c r="K9341" t="n">
        <v>0</v>
      </c>
      <c r="L9341" t="n">
        <v>0</v>
      </c>
      <c r="M9341" t="n">
        <v>0</v>
      </c>
      <c r="N9341" t="n">
        <v>0</v>
      </c>
      <c r="O9341" t="n">
        <v>0</v>
      </c>
      <c r="P9341" t="n">
        <v>0</v>
      </c>
      <c r="Q9341" t="n">
        <v>0</v>
      </c>
      <c r="R9341" s="2" t="inlineStr"/>
    </row>
    <row r="9342" ht="15" customHeight="1">
      <c r="A9342" t="inlineStr">
        <is>
          <t>A 60556-2024</t>
        </is>
      </c>
      <c r="B9342" s="1" t="n">
        <v>45643.87871527778</v>
      </c>
      <c r="C9342" s="1" t="n">
        <v>45952</v>
      </c>
      <c r="D9342" t="inlineStr">
        <is>
          <t>VÄSTRA GÖTALANDS LÄN</t>
        </is>
      </c>
      <c r="E9342" t="inlineStr">
        <is>
          <t>ULRICEHAMN</t>
        </is>
      </c>
      <c r="G9342" t="n">
        <v>1.7</v>
      </c>
      <c r="H9342" t="n">
        <v>0</v>
      </c>
      <c r="I9342" t="n">
        <v>0</v>
      </c>
      <c r="J9342" t="n">
        <v>0</v>
      </c>
      <c r="K9342" t="n">
        <v>0</v>
      </c>
      <c r="L9342" t="n">
        <v>0</v>
      </c>
      <c r="M9342" t="n">
        <v>0</v>
      </c>
      <c r="N9342" t="n">
        <v>0</v>
      </c>
      <c r="O9342" t="n">
        <v>0</v>
      </c>
      <c r="P9342" t="n">
        <v>0</v>
      </c>
      <c r="Q9342" t="n">
        <v>0</v>
      </c>
      <c r="R9342" s="2" t="inlineStr"/>
    </row>
    <row r="9343" ht="15" customHeight="1">
      <c r="A9343" t="inlineStr">
        <is>
          <t>A 59150-2022</t>
        </is>
      </c>
      <c r="B9343" s="1" t="n">
        <v>44897</v>
      </c>
      <c r="C9343" s="1" t="n">
        <v>45952</v>
      </c>
      <c r="D9343" t="inlineStr">
        <is>
          <t>VÄSTRA GÖTALANDS LÄN</t>
        </is>
      </c>
      <c r="E9343" t="inlineStr">
        <is>
          <t>MUNKEDAL</t>
        </is>
      </c>
      <c r="F9343" t="inlineStr">
        <is>
          <t>Kyrkan</t>
        </is>
      </c>
      <c r="G9343" t="n">
        <v>0.8</v>
      </c>
      <c r="H9343" t="n">
        <v>0</v>
      </c>
      <c r="I9343" t="n">
        <v>0</v>
      </c>
      <c r="J9343" t="n">
        <v>0</v>
      </c>
      <c r="K9343" t="n">
        <v>0</v>
      </c>
      <c r="L9343" t="n">
        <v>0</v>
      </c>
      <c r="M9343" t="n">
        <v>0</v>
      </c>
      <c r="N9343" t="n">
        <v>0</v>
      </c>
      <c r="O9343" t="n">
        <v>0</v>
      </c>
      <c r="P9343" t="n">
        <v>0</v>
      </c>
      <c r="Q9343" t="n">
        <v>0</v>
      </c>
      <c r="R9343" s="2" t="inlineStr"/>
    </row>
    <row r="9344" ht="15" customHeight="1">
      <c r="A9344" t="inlineStr">
        <is>
          <t>A 28778-2021</t>
        </is>
      </c>
      <c r="B9344" s="1" t="n">
        <v>44357.5655787037</v>
      </c>
      <c r="C9344" s="1" t="n">
        <v>45952</v>
      </c>
      <c r="D9344" t="inlineStr">
        <is>
          <t>VÄSTRA GÖTALANDS LÄN</t>
        </is>
      </c>
      <c r="E9344" t="inlineStr">
        <is>
          <t>BENGTSFORS</t>
        </is>
      </c>
      <c r="G9344" t="n">
        <v>5.8</v>
      </c>
      <c r="H9344" t="n">
        <v>0</v>
      </c>
      <c r="I9344" t="n">
        <v>0</v>
      </c>
      <c r="J9344" t="n">
        <v>0</v>
      </c>
      <c r="K9344" t="n">
        <v>0</v>
      </c>
      <c r="L9344" t="n">
        <v>0</v>
      </c>
      <c r="M9344" t="n">
        <v>0</v>
      </c>
      <c r="N9344" t="n">
        <v>0</v>
      </c>
      <c r="O9344" t="n">
        <v>0</v>
      </c>
      <c r="P9344" t="n">
        <v>0</v>
      </c>
      <c r="Q9344" t="n">
        <v>0</v>
      </c>
      <c r="R9344" s="2" t="inlineStr"/>
    </row>
    <row r="9345" ht="15" customHeight="1">
      <c r="A9345" t="inlineStr">
        <is>
          <t>A 62271-2023</t>
        </is>
      </c>
      <c r="B9345" s="1" t="n">
        <v>45267.6362037037</v>
      </c>
      <c r="C9345" s="1" t="n">
        <v>45952</v>
      </c>
      <c r="D9345" t="inlineStr">
        <is>
          <t>VÄSTRA GÖTALANDS LÄN</t>
        </is>
      </c>
      <c r="E9345" t="inlineStr">
        <is>
          <t>SKÖVDE</t>
        </is>
      </c>
      <c r="G9345" t="n">
        <v>2.9</v>
      </c>
      <c r="H9345" t="n">
        <v>0</v>
      </c>
      <c r="I9345" t="n">
        <v>0</v>
      </c>
      <c r="J9345" t="n">
        <v>0</v>
      </c>
      <c r="K9345" t="n">
        <v>0</v>
      </c>
      <c r="L9345" t="n">
        <v>0</v>
      </c>
      <c r="M9345" t="n">
        <v>0</v>
      </c>
      <c r="N9345" t="n">
        <v>0</v>
      </c>
      <c r="O9345" t="n">
        <v>0</v>
      </c>
      <c r="P9345" t="n">
        <v>0</v>
      </c>
      <c r="Q9345" t="n">
        <v>0</v>
      </c>
      <c r="R9345" s="2" t="inlineStr"/>
    </row>
    <row r="9346" ht="15" customHeight="1">
      <c r="A9346" t="inlineStr">
        <is>
          <t>A 70328-2021</t>
        </is>
      </c>
      <c r="B9346" s="1" t="n">
        <v>44536.46303240741</v>
      </c>
      <c r="C9346" s="1" t="n">
        <v>45952</v>
      </c>
      <c r="D9346" t="inlineStr">
        <is>
          <t>VÄSTRA GÖTALANDS LÄN</t>
        </is>
      </c>
      <c r="E9346" t="inlineStr">
        <is>
          <t>ÅMÅL</t>
        </is>
      </c>
      <c r="G9346" t="n">
        <v>1</v>
      </c>
      <c r="H9346" t="n">
        <v>0</v>
      </c>
      <c r="I9346" t="n">
        <v>0</v>
      </c>
      <c r="J9346" t="n">
        <v>0</v>
      </c>
      <c r="K9346" t="n">
        <v>0</v>
      </c>
      <c r="L9346" t="n">
        <v>0</v>
      </c>
      <c r="M9346" t="n">
        <v>0</v>
      </c>
      <c r="N9346" t="n">
        <v>0</v>
      </c>
      <c r="O9346" t="n">
        <v>0</v>
      </c>
      <c r="P9346" t="n">
        <v>0</v>
      </c>
      <c r="Q9346" t="n">
        <v>0</v>
      </c>
      <c r="R9346" s="2" t="inlineStr"/>
    </row>
    <row r="9347" ht="15" customHeight="1">
      <c r="A9347" t="inlineStr">
        <is>
          <t>A 29490-2025</t>
        </is>
      </c>
      <c r="B9347" s="1" t="n">
        <v>45824.76346064815</v>
      </c>
      <c r="C9347" s="1" t="n">
        <v>45952</v>
      </c>
      <c r="D9347" t="inlineStr">
        <is>
          <t>VÄSTRA GÖTALANDS LÄN</t>
        </is>
      </c>
      <c r="E9347" t="inlineStr">
        <is>
          <t>KARLSBORG</t>
        </is>
      </c>
      <c r="F9347" t="inlineStr">
        <is>
          <t>Övriga Aktiebolag</t>
        </is>
      </c>
      <c r="G9347" t="n">
        <v>1.5</v>
      </c>
      <c r="H9347" t="n">
        <v>0</v>
      </c>
      <c r="I9347" t="n">
        <v>0</v>
      </c>
      <c r="J9347" t="n">
        <v>0</v>
      </c>
      <c r="K9347" t="n">
        <v>0</v>
      </c>
      <c r="L9347" t="n">
        <v>0</v>
      </c>
      <c r="M9347" t="n">
        <v>0</v>
      </c>
      <c r="N9347" t="n">
        <v>0</v>
      </c>
      <c r="O9347" t="n">
        <v>0</v>
      </c>
      <c r="P9347" t="n">
        <v>0</v>
      </c>
      <c r="Q9347" t="n">
        <v>0</v>
      </c>
      <c r="R9347" s="2" t="inlineStr"/>
    </row>
    <row r="9348" ht="15" customHeight="1">
      <c r="A9348" t="inlineStr">
        <is>
          <t>A 23659-2025</t>
        </is>
      </c>
      <c r="B9348" s="1" t="n">
        <v>45792</v>
      </c>
      <c r="C9348" s="1" t="n">
        <v>45952</v>
      </c>
      <c r="D9348" t="inlineStr">
        <is>
          <t>VÄSTRA GÖTALANDS LÄN</t>
        </is>
      </c>
      <c r="E9348" t="inlineStr">
        <is>
          <t>BENGTSFORS</t>
        </is>
      </c>
      <c r="G9348" t="n">
        <v>0.5</v>
      </c>
      <c r="H9348" t="n">
        <v>0</v>
      </c>
      <c r="I9348" t="n">
        <v>0</v>
      </c>
      <c r="J9348" t="n">
        <v>0</v>
      </c>
      <c r="K9348" t="n">
        <v>0</v>
      </c>
      <c r="L9348" t="n">
        <v>0</v>
      </c>
      <c r="M9348" t="n">
        <v>0</v>
      </c>
      <c r="N9348" t="n">
        <v>0</v>
      </c>
      <c r="O9348" t="n">
        <v>0</v>
      </c>
      <c r="P9348" t="n">
        <v>0</v>
      </c>
      <c r="Q9348" t="n">
        <v>0</v>
      </c>
      <c r="R9348" s="2" t="inlineStr"/>
    </row>
    <row r="9349" ht="15" customHeight="1">
      <c r="A9349" t="inlineStr">
        <is>
          <t>A 43336-2021</t>
        </is>
      </c>
      <c r="B9349" s="1" t="n">
        <v>44432</v>
      </c>
      <c r="C9349" s="1" t="n">
        <v>45952</v>
      </c>
      <c r="D9349" t="inlineStr">
        <is>
          <t>VÄSTRA GÖTALANDS LÄN</t>
        </is>
      </c>
      <c r="E9349" t="inlineStr">
        <is>
          <t>BENGTSFORS</t>
        </is>
      </c>
      <c r="G9349" t="n">
        <v>3.3</v>
      </c>
      <c r="H9349" t="n">
        <v>0</v>
      </c>
      <c r="I9349" t="n">
        <v>0</v>
      </c>
      <c r="J9349" t="n">
        <v>0</v>
      </c>
      <c r="K9349" t="n">
        <v>0</v>
      </c>
      <c r="L9349" t="n">
        <v>0</v>
      </c>
      <c r="M9349" t="n">
        <v>0</v>
      </c>
      <c r="N9349" t="n">
        <v>0</v>
      </c>
      <c r="O9349" t="n">
        <v>0</v>
      </c>
      <c r="P9349" t="n">
        <v>0</v>
      </c>
      <c r="Q9349" t="n">
        <v>0</v>
      </c>
      <c r="R9349" s="2" t="inlineStr"/>
    </row>
    <row r="9350" ht="15" customHeight="1">
      <c r="A9350" t="inlineStr">
        <is>
          <t>A 43380-2021</t>
        </is>
      </c>
      <c r="B9350" s="1" t="n">
        <v>44432.57885416667</v>
      </c>
      <c r="C9350" s="1" t="n">
        <v>45952</v>
      </c>
      <c r="D9350" t="inlineStr">
        <is>
          <t>VÄSTRA GÖTALANDS LÄN</t>
        </is>
      </c>
      <c r="E9350" t="inlineStr">
        <is>
          <t>DALS-ED</t>
        </is>
      </c>
      <c r="G9350" t="n">
        <v>3.2</v>
      </c>
      <c r="H9350" t="n">
        <v>0</v>
      </c>
      <c r="I9350" t="n">
        <v>0</v>
      </c>
      <c r="J9350" t="n">
        <v>0</v>
      </c>
      <c r="K9350" t="n">
        <v>0</v>
      </c>
      <c r="L9350" t="n">
        <v>0</v>
      </c>
      <c r="M9350" t="n">
        <v>0</v>
      </c>
      <c r="N9350" t="n">
        <v>0</v>
      </c>
      <c r="O9350" t="n">
        <v>0</v>
      </c>
      <c r="P9350" t="n">
        <v>0</v>
      </c>
      <c r="Q9350" t="n">
        <v>0</v>
      </c>
      <c r="R9350" s="2" t="inlineStr"/>
    </row>
    <row r="9351" ht="15" customHeight="1">
      <c r="A9351" t="inlineStr">
        <is>
          <t>A 48406-2025</t>
        </is>
      </c>
      <c r="B9351" s="1" t="n">
        <v>45934.38615740741</v>
      </c>
      <c r="C9351" s="1" t="n">
        <v>45952</v>
      </c>
      <c r="D9351" t="inlineStr">
        <is>
          <t>VÄSTRA GÖTALANDS LÄN</t>
        </is>
      </c>
      <c r="E9351" t="inlineStr">
        <is>
          <t>ULRICEHAMN</t>
        </is>
      </c>
      <c r="G9351" t="n">
        <v>2</v>
      </c>
      <c r="H9351" t="n">
        <v>0</v>
      </c>
      <c r="I9351" t="n">
        <v>0</v>
      </c>
      <c r="J9351" t="n">
        <v>0</v>
      </c>
      <c r="K9351" t="n">
        <v>0</v>
      </c>
      <c r="L9351" t="n">
        <v>0</v>
      </c>
      <c r="M9351" t="n">
        <v>0</v>
      </c>
      <c r="N9351" t="n">
        <v>0</v>
      </c>
      <c r="O9351" t="n">
        <v>0</v>
      </c>
      <c r="P9351" t="n">
        <v>0</v>
      </c>
      <c r="Q9351" t="n">
        <v>0</v>
      </c>
      <c r="R9351" s="2" t="inlineStr"/>
    </row>
    <row r="9352" ht="15" customHeight="1">
      <c r="A9352" t="inlineStr">
        <is>
          <t>A 50955-2022</t>
        </is>
      </c>
      <c r="B9352" s="1" t="n">
        <v>44866</v>
      </c>
      <c r="C9352" s="1" t="n">
        <v>45952</v>
      </c>
      <c r="D9352" t="inlineStr">
        <is>
          <t>VÄSTRA GÖTALANDS LÄN</t>
        </is>
      </c>
      <c r="E9352" t="inlineStr">
        <is>
          <t>HERRLJUNGA</t>
        </is>
      </c>
      <c r="G9352" t="n">
        <v>1.5</v>
      </c>
      <c r="H9352" t="n">
        <v>0</v>
      </c>
      <c r="I9352" t="n">
        <v>0</v>
      </c>
      <c r="J9352" t="n">
        <v>0</v>
      </c>
      <c r="K9352" t="n">
        <v>0</v>
      </c>
      <c r="L9352" t="n">
        <v>0</v>
      </c>
      <c r="M9352" t="n">
        <v>0</v>
      </c>
      <c r="N9352" t="n">
        <v>0</v>
      </c>
      <c r="O9352" t="n">
        <v>0</v>
      </c>
      <c r="P9352" t="n">
        <v>0</v>
      </c>
      <c r="Q9352" t="n">
        <v>0</v>
      </c>
      <c r="R9352" s="2" t="inlineStr"/>
    </row>
    <row r="9353" ht="15" customHeight="1">
      <c r="A9353" t="inlineStr">
        <is>
          <t>A 23166-2023</t>
        </is>
      </c>
      <c r="B9353" s="1" t="n">
        <v>45075</v>
      </c>
      <c r="C9353" s="1" t="n">
        <v>45952</v>
      </c>
      <c r="D9353" t="inlineStr">
        <is>
          <t>VÄSTRA GÖTALANDS LÄN</t>
        </is>
      </c>
      <c r="E9353" t="inlineStr">
        <is>
          <t>GULLSPÅNG</t>
        </is>
      </c>
      <c r="G9353" t="n">
        <v>8.800000000000001</v>
      </c>
      <c r="H9353" t="n">
        <v>0</v>
      </c>
      <c r="I9353" t="n">
        <v>0</v>
      </c>
      <c r="J9353" t="n">
        <v>0</v>
      </c>
      <c r="K9353" t="n">
        <v>0</v>
      </c>
      <c r="L9353" t="n">
        <v>0</v>
      </c>
      <c r="M9353" t="n">
        <v>0</v>
      </c>
      <c r="N9353" t="n">
        <v>0</v>
      </c>
      <c r="O9353" t="n">
        <v>0</v>
      </c>
      <c r="P9353" t="n">
        <v>0</v>
      </c>
      <c r="Q9353" t="n">
        <v>0</v>
      </c>
      <c r="R9353" s="2" t="inlineStr"/>
    </row>
    <row r="9354" ht="15" customHeight="1">
      <c r="A9354" t="inlineStr">
        <is>
          <t>A 23181-2023</t>
        </is>
      </c>
      <c r="B9354" s="1" t="n">
        <v>45075</v>
      </c>
      <c r="C9354" s="1" t="n">
        <v>45952</v>
      </c>
      <c r="D9354" t="inlineStr">
        <is>
          <t>VÄSTRA GÖTALANDS LÄN</t>
        </is>
      </c>
      <c r="E9354" t="inlineStr">
        <is>
          <t>ALINGSÅS</t>
        </is>
      </c>
      <c r="G9354" t="n">
        <v>13.1</v>
      </c>
      <c r="H9354" t="n">
        <v>0</v>
      </c>
      <c r="I9354" t="n">
        <v>0</v>
      </c>
      <c r="J9354" t="n">
        <v>0</v>
      </c>
      <c r="K9354" t="n">
        <v>0</v>
      </c>
      <c r="L9354" t="n">
        <v>0</v>
      </c>
      <c r="M9354" t="n">
        <v>0</v>
      </c>
      <c r="N9354" t="n">
        <v>0</v>
      </c>
      <c r="O9354" t="n">
        <v>0</v>
      </c>
      <c r="P9354" t="n">
        <v>0</v>
      </c>
      <c r="Q9354" t="n">
        <v>0</v>
      </c>
      <c r="R9354" s="2" t="inlineStr"/>
    </row>
    <row r="9355" ht="15" customHeight="1">
      <c r="A9355" t="inlineStr">
        <is>
          <t>A 8738-2024</t>
        </is>
      </c>
      <c r="B9355" s="1" t="n">
        <v>45356.47700231482</v>
      </c>
      <c r="C9355" s="1" t="n">
        <v>45952</v>
      </c>
      <c r="D9355" t="inlineStr">
        <is>
          <t>VÄSTRA GÖTALANDS LÄN</t>
        </is>
      </c>
      <c r="E9355" t="inlineStr">
        <is>
          <t>ULRICEHAMN</t>
        </is>
      </c>
      <c r="G9355" t="n">
        <v>5.6</v>
      </c>
      <c r="H9355" t="n">
        <v>0</v>
      </c>
      <c r="I9355" t="n">
        <v>0</v>
      </c>
      <c r="J9355" t="n">
        <v>0</v>
      </c>
      <c r="K9355" t="n">
        <v>0</v>
      </c>
      <c r="L9355" t="n">
        <v>0</v>
      </c>
      <c r="M9355" t="n">
        <v>0</v>
      </c>
      <c r="N9355" t="n">
        <v>0</v>
      </c>
      <c r="O9355" t="n">
        <v>0</v>
      </c>
      <c r="P9355" t="n">
        <v>0</v>
      </c>
      <c r="Q9355" t="n">
        <v>0</v>
      </c>
      <c r="R9355" s="2" t="inlineStr"/>
    </row>
    <row r="9356" ht="15" customHeight="1">
      <c r="A9356" t="inlineStr">
        <is>
          <t>A 37363-2022</t>
        </is>
      </c>
      <c r="B9356" s="1" t="n">
        <v>44809</v>
      </c>
      <c r="C9356" s="1" t="n">
        <v>45952</v>
      </c>
      <c r="D9356" t="inlineStr">
        <is>
          <t>VÄSTRA GÖTALANDS LÄN</t>
        </is>
      </c>
      <c r="E9356" t="inlineStr">
        <is>
          <t>KARLSBORG</t>
        </is>
      </c>
      <c r="F9356" t="inlineStr">
        <is>
          <t>Sveaskog</t>
        </is>
      </c>
      <c r="G9356" t="n">
        <v>4.4</v>
      </c>
      <c r="H9356" t="n">
        <v>0</v>
      </c>
      <c r="I9356" t="n">
        <v>0</v>
      </c>
      <c r="J9356" t="n">
        <v>0</v>
      </c>
      <c r="K9356" t="n">
        <v>0</v>
      </c>
      <c r="L9356" t="n">
        <v>0</v>
      </c>
      <c r="M9356" t="n">
        <v>0</v>
      </c>
      <c r="N9356" t="n">
        <v>0</v>
      </c>
      <c r="O9356" t="n">
        <v>0</v>
      </c>
      <c r="P9356" t="n">
        <v>0</v>
      </c>
      <c r="Q9356" t="n">
        <v>0</v>
      </c>
      <c r="R9356" s="2" t="inlineStr"/>
    </row>
    <row r="9357" ht="15" customHeight="1">
      <c r="A9357" t="inlineStr">
        <is>
          <t>A 8781-2024</t>
        </is>
      </c>
      <c r="B9357" s="1" t="n">
        <v>45356</v>
      </c>
      <c r="C9357" s="1" t="n">
        <v>45952</v>
      </c>
      <c r="D9357" t="inlineStr">
        <is>
          <t>VÄSTRA GÖTALANDS LÄN</t>
        </is>
      </c>
      <c r="E9357" t="inlineStr">
        <is>
          <t>SKARA</t>
        </is>
      </c>
      <c r="G9357" t="n">
        <v>0.8</v>
      </c>
      <c r="H9357" t="n">
        <v>0</v>
      </c>
      <c r="I9357" t="n">
        <v>0</v>
      </c>
      <c r="J9357" t="n">
        <v>0</v>
      </c>
      <c r="K9357" t="n">
        <v>0</v>
      </c>
      <c r="L9357" t="n">
        <v>0</v>
      </c>
      <c r="M9357" t="n">
        <v>0</v>
      </c>
      <c r="N9357" t="n">
        <v>0</v>
      </c>
      <c r="O9357" t="n">
        <v>0</v>
      </c>
      <c r="P9357" t="n">
        <v>0</v>
      </c>
      <c r="Q9357" t="n">
        <v>0</v>
      </c>
      <c r="R9357" s="2" t="inlineStr"/>
    </row>
    <row r="9358" ht="15" customHeight="1">
      <c r="A9358" t="inlineStr">
        <is>
          <t>A 6197-2023</t>
        </is>
      </c>
      <c r="B9358" s="1" t="n">
        <v>44964</v>
      </c>
      <c r="C9358" s="1" t="n">
        <v>45952</v>
      </c>
      <c r="D9358" t="inlineStr">
        <is>
          <t>VÄSTRA GÖTALANDS LÄN</t>
        </is>
      </c>
      <c r="E9358" t="inlineStr">
        <is>
          <t>MUNKEDAL</t>
        </is>
      </c>
      <c r="G9358" t="n">
        <v>1.7</v>
      </c>
      <c r="H9358" t="n">
        <v>0</v>
      </c>
      <c r="I9358" t="n">
        <v>0</v>
      </c>
      <c r="J9358" t="n">
        <v>0</v>
      </c>
      <c r="K9358" t="n">
        <v>0</v>
      </c>
      <c r="L9358" t="n">
        <v>0</v>
      </c>
      <c r="M9358" t="n">
        <v>0</v>
      </c>
      <c r="N9358" t="n">
        <v>0</v>
      </c>
      <c r="O9358" t="n">
        <v>0</v>
      </c>
      <c r="P9358" t="n">
        <v>0</v>
      </c>
      <c r="Q9358" t="n">
        <v>0</v>
      </c>
      <c r="R9358" s="2" t="inlineStr"/>
    </row>
    <row r="9359" ht="15" customHeight="1">
      <c r="A9359" t="inlineStr">
        <is>
          <t>A 7179-2023</t>
        </is>
      </c>
      <c r="B9359" s="1" t="n">
        <v>44965</v>
      </c>
      <c r="C9359" s="1" t="n">
        <v>45952</v>
      </c>
      <c r="D9359" t="inlineStr">
        <is>
          <t>VÄSTRA GÖTALANDS LÄN</t>
        </is>
      </c>
      <c r="E9359" t="inlineStr">
        <is>
          <t>TIBRO</t>
        </is>
      </c>
      <c r="G9359" t="n">
        <v>1.7</v>
      </c>
      <c r="H9359" t="n">
        <v>0</v>
      </c>
      <c r="I9359" t="n">
        <v>0</v>
      </c>
      <c r="J9359" t="n">
        <v>0</v>
      </c>
      <c r="K9359" t="n">
        <v>0</v>
      </c>
      <c r="L9359" t="n">
        <v>0</v>
      </c>
      <c r="M9359" t="n">
        <v>0</v>
      </c>
      <c r="N9359" t="n">
        <v>0</v>
      </c>
      <c r="O9359" t="n">
        <v>0</v>
      </c>
      <c r="P9359" t="n">
        <v>0</v>
      </c>
      <c r="Q9359" t="n">
        <v>0</v>
      </c>
      <c r="R9359" s="2" t="inlineStr"/>
    </row>
    <row r="9360" ht="15" customHeight="1">
      <c r="A9360" t="inlineStr">
        <is>
          <t>A 17567-2021</t>
        </is>
      </c>
      <c r="B9360" s="1" t="n">
        <v>44299.65976851852</v>
      </c>
      <c r="C9360" s="1" t="n">
        <v>45952</v>
      </c>
      <c r="D9360" t="inlineStr">
        <is>
          <t>VÄSTRA GÖTALANDS LÄN</t>
        </is>
      </c>
      <c r="E9360" t="inlineStr">
        <is>
          <t>TROLLHÄTTAN</t>
        </is>
      </c>
      <c r="G9360" t="n">
        <v>6.2</v>
      </c>
      <c r="H9360" t="n">
        <v>0</v>
      </c>
      <c r="I9360" t="n">
        <v>0</v>
      </c>
      <c r="J9360" t="n">
        <v>0</v>
      </c>
      <c r="K9360" t="n">
        <v>0</v>
      </c>
      <c r="L9360" t="n">
        <v>0</v>
      </c>
      <c r="M9360" t="n">
        <v>0</v>
      </c>
      <c r="N9360" t="n">
        <v>0</v>
      </c>
      <c r="O9360" t="n">
        <v>0</v>
      </c>
      <c r="P9360" t="n">
        <v>0</v>
      </c>
      <c r="Q9360" t="n">
        <v>0</v>
      </c>
      <c r="R9360" s="2" t="inlineStr"/>
    </row>
    <row r="9361" ht="15" customHeight="1">
      <c r="A9361" t="inlineStr">
        <is>
          <t>A 54796-2022</t>
        </is>
      </c>
      <c r="B9361" s="1" t="n">
        <v>44883</v>
      </c>
      <c r="C9361" s="1" t="n">
        <v>45952</v>
      </c>
      <c r="D9361" t="inlineStr">
        <is>
          <t>VÄSTRA GÖTALANDS LÄN</t>
        </is>
      </c>
      <c r="E9361" t="inlineStr">
        <is>
          <t>MELLERUD</t>
        </is>
      </c>
      <c r="G9361" t="n">
        <v>1.5</v>
      </c>
      <c r="H9361" t="n">
        <v>0</v>
      </c>
      <c r="I9361" t="n">
        <v>0</v>
      </c>
      <c r="J9361" t="n">
        <v>0</v>
      </c>
      <c r="K9361" t="n">
        <v>0</v>
      </c>
      <c r="L9361" t="n">
        <v>0</v>
      </c>
      <c r="M9361" t="n">
        <v>0</v>
      </c>
      <c r="N9361" t="n">
        <v>0</v>
      </c>
      <c r="O9361" t="n">
        <v>0</v>
      </c>
      <c r="P9361" t="n">
        <v>0</v>
      </c>
      <c r="Q9361" t="n">
        <v>0</v>
      </c>
      <c r="R9361" s="2" t="inlineStr"/>
    </row>
    <row r="9362" ht="15" customHeight="1">
      <c r="A9362" t="inlineStr">
        <is>
          <t>A 16551-2024</t>
        </is>
      </c>
      <c r="B9362" s="1" t="n">
        <v>45408</v>
      </c>
      <c r="C9362" s="1" t="n">
        <v>45952</v>
      </c>
      <c r="D9362" t="inlineStr">
        <is>
          <t>VÄSTRA GÖTALANDS LÄN</t>
        </is>
      </c>
      <c r="E9362" t="inlineStr">
        <is>
          <t>VÄNERSBORG</t>
        </is>
      </c>
      <c r="G9362" t="n">
        <v>6.6</v>
      </c>
      <c r="H9362" t="n">
        <v>0</v>
      </c>
      <c r="I9362" t="n">
        <v>0</v>
      </c>
      <c r="J9362" t="n">
        <v>0</v>
      </c>
      <c r="K9362" t="n">
        <v>0</v>
      </c>
      <c r="L9362" t="n">
        <v>0</v>
      </c>
      <c r="M9362" t="n">
        <v>0</v>
      </c>
      <c r="N9362" t="n">
        <v>0</v>
      </c>
      <c r="O9362" t="n">
        <v>0</v>
      </c>
      <c r="P9362" t="n">
        <v>0</v>
      </c>
      <c r="Q9362" t="n">
        <v>0</v>
      </c>
      <c r="R9362" s="2" t="inlineStr"/>
    </row>
    <row r="9363" ht="15" customHeight="1">
      <c r="A9363" t="inlineStr">
        <is>
          <t>A 30159-2021</t>
        </is>
      </c>
      <c r="B9363" s="1" t="n">
        <v>44363</v>
      </c>
      <c r="C9363" s="1" t="n">
        <v>45952</v>
      </c>
      <c r="D9363" t="inlineStr">
        <is>
          <t>VÄSTRA GÖTALANDS LÄN</t>
        </is>
      </c>
      <c r="E9363" t="inlineStr">
        <is>
          <t>MARK</t>
        </is>
      </c>
      <c r="F9363" t="inlineStr">
        <is>
          <t>Kyrkan</t>
        </is>
      </c>
      <c r="G9363" t="n">
        <v>13.2</v>
      </c>
      <c r="H9363" t="n">
        <v>0</v>
      </c>
      <c r="I9363" t="n">
        <v>0</v>
      </c>
      <c r="J9363" t="n">
        <v>0</v>
      </c>
      <c r="K9363" t="n">
        <v>0</v>
      </c>
      <c r="L9363" t="n">
        <v>0</v>
      </c>
      <c r="M9363" t="n">
        <v>0</v>
      </c>
      <c r="N9363" t="n">
        <v>0</v>
      </c>
      <c r="O9363" t="n">
        <v>0</v>
      </c>
      <c r="P9363" t="n">
        <v>0</v>
      </c>
      <c r="Q9363" t="n">
        <v>0</v>
      </c>
      <c r="R9363" s="2" t="inlineStr"/>
    </row>
    <row r="9364" ht="15" customHeight="1">
      <c r="A9364" t="inlineStr">
        <is>
          <t>A 62647-2023</t>
        </is>
      </c>
      <c r="B9364" s="1" t="n">
        <v>45271</v>
      </c>
      <c r="C9364" s="1" t="n">
        <v>45952</v>
      </c>
      <c r="D9364" t="inlineStr">
        <is>
          <t>VÄSTRA GÖTALANDS LÄN</t>
        </is>
      </c>
      <c r="E9364" t="inlineStr">
        <is>
          <t>ULRICEHAMN</t>
        </is>
      </c>
      <c r="F9364" t="inlineStr">
        <is>
          <t>Kyrkan</t>
        </is>
      </c>
      <c r="G9364" t="n">
        <v>2.1</v>
      </c>
      <c r="H9364" t="n">
        <v>0</v>
      </c>
      <c r="I9364" t="n">
        <v>0</v>
      </c>
      <c r="J9364" t="n">
        <v>0</v>
      </c>
      <c r="K9364" t="n">
        <v>0</v>
      </c>
      <c r="L9364" t="n">
        <v>0</v>
      </c>
      <c r="M9364" t="n">
        <v>0</v>
      </c>
      <c r="N9364" t="n">
        <v>0</v>
      </c>
      <c r="O9364" t="n">
        <v>0</v>
      </c>
      <c r="P9364" t="n">
        <v>0</v>
      </c>
      <c r="Q9364" t="n">
        <v>0</v>
      </c>
      <c r="R9364" s="2" t="inlineStr"/>
    </row>
    <row r="9365" ht="15" customHeight="1">
      <c r="A9365" t="inlineStr">
        <is>
          <t>A 6092-2024</t>
        </is>
      </c>
      <c r="B9365" s="1" t="n">
        <v>45337</v>
      </c>
      <c r="C9365" s="1" t="n">
        <v>45952</v>
      </c>
      <c r="D9365" t="inlineStr">
        <is>
          <t>VÄSTRA GÖTALANDS LÄN</t>
        </is>
      </c>
      <c r="E9365" t="inlineStr">
        <is>
          <t>GÖTENE</t>
        </is>
      </c>
      <c r="G9365" t="n">
        <v>1.5</v>
      </c>
      <c r="H9365" t="n">
        <v>0</v>
      </c>
      <c r="I9365" t="n">
        <v>0</v>
      </c>
      <c r="J9365" t="n">
        <v>0</v>
      </c>
      <c r="K9365" t="n">
        <v>0</v>
      </c>
      <c r="L9365" t="n">
        <v>0</v>
      </c>
      <c r="M9365" t="n">
        <v>0</v>
      </c>
      <c r="N9365" t="n">
        <v>0</v>
      </c>
      <c r="O9365" t="n">
        <v>0</v>
      </c>
      <c r="P9365" t="n">
        <v>0</v>
      </c>
      <c r="Q9365" t="n">
        <v>0</v>
      </c>
      <c r="R9365" s="2" t="inlineStr"/>
    </row>
    <row r="9366" ht="15" customHeight="1">
      <c r="A9366" t="inlineStr">
        <is>
          <t>A 26550-2024</t>
        </is>
      </c>
      <c r="B9366" s="1" t="n">
        <v>45469</v>
      </c>
      <c r="C9366" s="1" t="n">
        <v>45952</v>
      </c>
      <c r="D9366" t="inlineStr">
        <is>
          <t>VÄSTRA GÖTALANDS LÄN</t>
        </is>
      </c>
      <c r="E9366" t="inlineStr">
        <is>
          <t>TIDAHOLM</t>
        </is>
      </c>
      <c r="F9366" t="inlineStr">
        <is>
          <t>Sveaskog</t>
        </is>
      </c>
      <c r="G9366" t="n">
        <v>1</v>
      </c>
      <c r="H9366" t="n">
        <v>0</v>
      </c>
      <c r="I9366" t="n">
        <v>0</v>
      </c>
      <c r="J9366" t="n">
        <v>0</v>
      </c>
      <c r="K9366" t="n">
        <v>0</v>
      </c>
      <c r="L9366" t="n">
        <v>0</v>
      </c>
      <c r="M9366" t="n">
        <v>0</v>
      </c>
      <c r="N9366" t="n">
        <v>0</v>
      </c>
      <c r="O9366" t="n">
        <v>0</v>
      </c>
      <c r="P9366" t="n">
        <v>0</v>
      </c>
      <c r="Q9366" t="n">
        <v>0</v>
      </c>
      <c r="R9366" s="2" t="inlineStr"/>
    </row>
    <row r="9367" ht="15" customHeight="1">
      <c r="A9367" t="inlineStr">
        <is>
          <t>A 26570-2024</t>
        </is>
      </c>
      <c r="B9367" s="1" t="n">
        <v>45469</v>
      </c>
      <c r="C9367" s="1" t="n">
        <v>45952</v>
      </c>
      <c r="D9367" t="inlineStr">
        <is>
          <t>VÄSTRA GÖTALANDS LÄN</t>
        </is>
      </c>
      <c r="E9367" t="inlineStr">
        <is>
          <t>SKARA</t>
        </is>
      </c>
      <c r="G9367" t="n">
        <v>1.1</v>
      </c>
      <c r="H9367" t="n">
        <v>0</v>
      </c>
      <c r="I9367" t="n">
        <v>0</v>
      </c>
      <c r="J9367" t="n">
        <v>0</v>
      </c>
      <c r="K9367" t="n">
        <v>0</v>
      </c>
      <c r="L9367" t="n">
        <v>0</v>
      </c>
      <c r="M9367" t="n">
        <v>0</v>
      </c>
      <c r="N9367" t="n">
        <v>0</v>
      </c>
      <c r="O9367" t="n">
        <v>0</v>
      </c>
      <c r="P9367" t="n">
        <v>0</v>
      </c>
      <c r="Q9367" t="n">
        <v>0</v>
      </c>
      <c r="R9367" s="2" t="inlineStr"/>
    </row>
    <row r="9368" ht="15" customHeight="1">
      <c r="A9368" t="inlineStr">
        <is>
          <t>A 62697-2023</t>
        </is>
      </c>
      <c r="B9368" s="1" t="n">
        <v>45271.53695601852</v>
      </c>
      <c r="C9368" s="1" t="n">
        <v>45952</v>
      </c>
      <c r="D9368" t="inlineStr">
        <is>
          <t>VÄSTRA GÖTALANDS LÄN</t>
        </is>
      </c>
      <c r="E9368" t="inlineStr">
        <is>
          <t>TANUM</t>
        </is>
      </c>
      <c r="G9368" t="n">
        <v>2.1</v>
      </c>
      <c r="H9368" t="n">
        <v>0</v>
      </c>
      <c r="I9368" t="n">
        <v>0</v>
      </c>
      <c r="J9368" t="n">
        <v>0</v>
      </c>
      <c r="K9368" t="n">
        <v>0</v>
      </c>
      <c r="L9368" t="n">
        <v>0</v>
      </c>
      <c r="M9368" t="n">
        <v>0</v>
      </c>
      <c r="N9368" t="n">
        <v>0</v>
      </c>
      <c r="O9368" t="n">
        <v>0</v>
      </c>
      <c r="P9368" t="n">
        <v>0</v>
      </c>
      <c r="Q9368" t="n">
        <v>0</v>
      </c>
      <c r="R9368" s="2" t="inlineStr"/>
    </row>
    <row r="9369" ht="15" customHeight="1">
      <c r="A9369" t="inlineStr">
        <is>
          <t>A 20022-2025</t>
        </is>
      </c>
      <c r="B9369" s="1" t="n">
        <v>45772.34013888889</v>
      </c>
      <c r="C9369" s="1" t="n">
        <v>45952</v>
      </c>
      <c r="D9369" t="inlineStr">
        <is>
          <t>VÄSTRA GÖTALANDS LÄN</t>
        </is>
      </c>
      <c r="E9369" t="inlineStr">
        <is>
          <t>VÅRGÅRDA</t>
        </is>
      </c>
      <c r="G9369" t="n">
        <v>2</v>
      </c>
      <c r="H9369" t="n">
        <v>0</v>
      </c>
      <c r="I9369" t="n">
        <v>0</v>
      </c>
      <c r="J9369" t="n">
        <v>0</v>
      </c>
      <c r="K9369" t="n">
        <v>0</v>
      </c>
      <c r="L9369" t="n">
        <v>0</v>
      </c>
      <c r="M9369" t="n">
        <v>0</v>
      </c>
      <c r="N9369" t="n">
        <v>0</v>
      </c>
      <c r="O9369" t="n">
        <v>0</v>
      </c>
      <c r="P9369" t="n">
        <v>0</v>
      </c>
      <c r="Q9369" t="n">
        <v>0</v>
      </c>
      <c r="R9369" s="2" t="inlineStr"/>
    </row>
    <row r="9370" ht="15" customHeight="1">
      <c r="A9370" t="inlineStr">
        <is>
          <t>A 2202-2023</t>
        </is>
      </c>
      <c r="B9370" s="1" t="n">
        <v>44942.38057870371</v>
      </c>
      <c r="C9370" s="1" t="n">
        <v>45952</v>
      </c>
      <c r="D9370" t="inlineStr">
        <is>
          <t>VÄSTRA GÖTALANDS LÄN</t>
        </is>
      </c>
      <c r="E9370" t="inlineStr">
        <is>
          <t>HERRLJUNGA</t>
        </is>
      </c>
      <c r="G9370" t="n">
        <v>4.4</v>
      </c>
      <c r="H9370" t="n">
        <v>0</v>
      </c>
      <c r="I9370" t="n">
        <v>0</v>
      </c>
      <c r="J9370" t="n">
        <v>0</v>
      </c>
      <c r="K9370" t="n">
        <v>0</v>
      </c>
      <c r="L9370" t="n">
        <v>0</v>
      </c>
      <c r="M9370" t="n">
        <v>0</v>
      </c>
      <c r="N9370" t="n">
        <v>0</v>
      </c>
      <c r="O9370" t="n">
        <v>0</v>
      </c>
      <c r="P9370" t="n">
        <v>0</v>
      </c>
      <c r="Q9370" t="n">
        <v>0</v>
      </c>
      <c r="R9370" s="2" t="inlineStr"/>
    </row>
    <row r="9371" ht="15" customHeight="1">
      <c r="A9371" t="inlineStr">
        <is>
          <t>A 27815-2024</t>
        </is>
      </c>
      <c r="B9371" s="1" t="n">
        <v>45475.59787037037</v>
      </c>
      <c r="C9371" s="1" t="n">
        <v>45952</v>
      </c>
      <c r="D9371" t="inlineStr">
        <is>
          <t>VÄSTRA GÖTALANDS LÄN</t>
        </is>
      </c>
      <c r="E9371" t="inlineStr">
        <is>
          <t>VÄNERSBORG</t>
        </is>
      </c>
      <c r="G9371" t="n">
        <v>0.6</v>
      </c>
      <c r="H9371" t="n">
        <v>0</v>
      </c>
      <c r="I9371" t="n">
        <v>0</v>
      </c>
      <c r="J9371" t="n">
        <v>0</v>
      </c>
      <c r="K9371" t="n">
        <v>0</v>
      </c>
      <c r="L9371" t="n">
        <v>0</v>
      </c>
      <c r="M9371" t="n">
        <v>0</v>
      </c>
      <c r="N9371" t="n">
        <v>0</v>
      </c>
      <c r="O9371" t="n">
        <v>0</v>
      </c>
      <c r="P9371" t="n">
        <v>0</v>
      </c>
      <c r="Q9371" t="n">
        <v>0</v>
      </c>
      <c r="R9371" s="2" t="inlineStr"/>
    </row>
    <row r="9372" ht="15" customHeight="1">
      <c r="A9372" t="inlineStr">
        <is>
          <t>A 58426-2020</t>
        </is>
      </c>
      <c r="B9372" s="1" t="n">
        <v>44145</v>
      </c>
      <c r="C9372" s="1" t="n">
        <v>45952</v>
      </c>
      <c r="D9372" t="inlineStr">
        <is>
          <t>VÄSTRA GÖTALANDS LÄN</t>
        </is>
      </c>
      <c r="E9372" t="inlineStr">
        <is>
          <t>FÄRGELANDA</t>
        </is>
      </c>
      <c r="G9372" t="n">
        <v>0.6</v>
      </c>
      <c r="H9372" t="n">
        <v>0</v>
      </c>
      <c r="I9372" t="n">
        <v>0</v>
      </c>
      <c r="J9372" t="n">
        <v>0</v>
      </c>
      <c r="K9372" t="n">
        <v>0</v>
      </c>
      <c r="L9372" t="n">
        <v>0</v>
      </c>
      <c r="M9372" t="n">
        <v>0</v>
      </c>
      <c r="N9372" t="n">
        <v>0</v>
      </c>
      <c r="O9372" t="n">
        <v>0</v>
      </c>
      <c r="P9372" t="n">
        <v>0</v>
      </c>
      <c r="Q9372" t="n">
        <v>0</v>
      </c>
      <c r="R9372" s="2" t="inlineStr"/>
    </row>
    <row r="9373" ht="15" customHeight="1">
      <c r="A9373" t="inlineStr">
        <is>
          <t>A 53819-2024</t>
        </is>
      </c>
      <c r="B9373" s="1" t="n">
        <v>45615.60525462963</v>
      </c>
      <c r="C9373" s="1" t="n">
        <v>45952</v>
      </c>
      <c r="D9373" t="inlineStr">
        <is>
          <t>VÄSTRA GÖTALANDS LÄN</t>
        </is>
      </c>
      <c r="E9373" t="inlineStr">
        <is>
          <t>DALS-ED</t>
        </is>
      </c>
      <c r="G9373" t="n">
        <v>1.1</v>
      </c>
      <c r="H9373" t="n">
        <v>0</v>
      </c>
      <c r="I9373" t="n">
        <v>0</v>
      </c>
      <c r="J9373" t="n">
        <v>0</v>
      </c>
      <c r="K9373" t="n">
        <v>0</v>
      </c>
      <c r="L9373" t="n">
        <v>0</v>
      </c>
      <c r="M9373" t="n">
        <v>0</v>
      </c>
      <c r="N9373" t="n">
        <v>0</v>
      </c>
      <c r="O9373" t="n">
        <v>0</v>
      </c>
      <c r="P9373" t="n">
        <v>0</v>
      </c>
      <c r="Q9373" t="n">
        <v>0</v>
      </c>
      <c r="R9373" s="2" t="inlineStr"/>
    </row>
    <row r="9374" ht="15" customHeight="1">
      <c r="A9374" t="inlineStr">
        <is>
          <t>A 53839-2024</t>
        </is>
      </c>
      <c r="B9374" s="1" t="n">
        <v>45615.62634259259</v>
      </c>
      <c r="C9374" s="1" t="n">
        <v>45952</v>
      </c>
      <c r="D9374" t="inlineStr">
        <is>
          <t>VÄSTRA GÖTALANDS LÄN</t>
        </is>
      </c>
      <c r="E9374" t="inlineStr">
        <is>
          <t>HJO</t>
        </is>
      </c>
      <c r="G9374" t="n">
        <v>0.6</v>
      </c>
      <c r="H9374" t="n">
        <v>0</v>
      </c>
      <c r="I9374" t="n">
        <v>0</v>
      </c>
      <c r="J9374" t="n">
        <v>0</v>
      </c>
      <c r="K9374" t="n">
        <v>0</v>
      </c>
      <c r="L9374" t="n">
        <v>0</v>
      </c>
      <c r="M9374" t="n">
        <v>0</v>
      </c>
      <c r="N9374" t="n">
        <v>0</v>
      </c>
      <c r="O9374" t="n">
        <v>0</v>
      </c>
      <c r="P9374" t="n">
        <v>0</v>
      </c>
      <c r="Q9374" t="n">
        <v>0</v>
      </c>
      <c r="R9374" s="2" t="inlineStr"/>
    </row>
    <row r="9375" ht="15" customHeight="1">
      <c r="A9375" t="inlineStr">
        <is>
          <t>A 39980-2025</t>
        </is>
      </c>
      <c r="B9375" s="1" t="n">
        <v>45893.77959490741</v>
      </c>
      <c r="C9375" s="1" t="n">
        <v>45952</v>
      </c>
      <c r="D9375" t="inlineStr">
        <is>
          <t>VÄSTRA GÖTALANDS LÄN</t>
        </is>
      </c>
      <c r="E9375" t="inlineStr">
        <is>
          <t>TIDAHOLM</t>
        </is>
      </c>
      <c r="G9375" t="n">
        <v>0.7</v>
      </c>
      <c r="H9375" t="n">
        <v>0</v>
      </c>
      <c r="I9375" t="n">
        <v>0</v>
      </c>
      <c r="J9375" t="n">
        <v>0</v>
      </c>
      <c r="K9375" t="n">
        <v>0</v>
      </c>
      <c r="L9375" t="n">
        <v>0</v>
      </c>
      <c r="M9375" t="n">
        <v>0</v>
      </c>
      <c r="N9375" t="n">
        <v>0</v>
      </c>
      <c r="O9375" t="n">
        <v>0</v>
      </c>
      <c r="P9375" t="n">
        <v>0</v>
      </c>
      <c r="Q9375" t="n">
        <v>0</v>
      </c>
      <c r="R9375" s="2" t="inlineStr"/>
    </row>
    <row r="9376" ht="15" customHeight="1">
      <c r="A9376" t="inlineStr">
        <is>
          <t>A 39988-2025</t>
        </is>
      </c>
      <c r="B9376" s="1" t="n">
        <v>45893.88939814815</v>
      </c>
      <c r="C9376" s="1" t="n">
        <v>45952</v>
      </c>
      <c r="D9376" t="inlineStr">
        <is>
          <t>VÄSTRA GÖTALANDS LÄN</t>
        </is>
      </c>
      <c r="E9376" t="inlineStr">
        <is>
          <t>TRANEMO</t>
        </is>
      </c>
      <c r="G9376" t="n">
        <v>2.5</v>
      </c>
      <c r="H9376" t="n">
        <v>0</v>
      </c>
      <c r="I9376" t="n">
        <v>0</v>
      </c>
      <c r="J9376" t="n">
        <v>0</v>
      </c>
      <c r="K9376" t="n">
        <v>0</v>
      </c>
      <c r="L9376" t="n">
        <v>0</v>
      </c>
      <c r="M9376" t="n">
        <v>0</v>
      </c>
      <c r="N9376" t="n">
        <v>0</v>
      </c>
      <c r="O9376" t="n">
        <v>0</v>
      </c>
      <c r="P9376" t="n">
        <v>0</v>
      </c>
      <c r="Q9376" t="n">
        <v>0</v>
      </c>
      <c r="R9376" s="2" t="inlineStr"/>
    </row>
    <row r="9377" ht="15" customHeight="1">
      <c r="A9377" t="inlineStr">
        <is>
          <t>A 2284-2023</t>
        </is>
      </c>
      <c r="B9377" s="1" t="n">
        <v>44942.52454861111</v>
      </c>
      <c r="C9377" s="1" t="n">
        <v>45952</v>
      </c>
      <c r="D9377" t="inlineStr">
        <is>
          <t>VÄSTRA GÖTALANDS LÄN</t>
        </is>
      </c>
      <c r="E9377" t="inlineStr">
        <is>
          <t>DALS-ED</t>
        </is>
      </c>
      <c r="G9377" t="n">
        <v>6.9</v>
      </c>
      <c r="H9377" t="n">
        <v>0</v>
      </c>
      <c r="I9377" t="n">
        <v>0</v>
      </c>
      <c r="J9377" t="n">
        <v>0</v>
      </c>
      <c r="K9377" t="n">
        <v>0</v>
      </c>
      <c r="L9377" t="n">
        <v>0</v>
      </c>
      <c r="M9377" t="n">
        <v>0</v>
      </c>
      <c r="N9377" t="n">
        <v>0</v>
      </c>
      <c r="O9377" t="n">
        <v>0</v>
      </c>
      <c r="P9377" t="n">
        <v>0</v>
      </c>
      <c r="Q9377" t="n">
        <v>0</v>
      </c>
      <c r="R9377" s="2" t="inlineStr"/>
    </row>
    <row r="9378" ht="15" customHeight="1">
      <c r="A9378" t="inlineStr">
        <is>
          <t>A 48759-2025</t>
        </is>
      </c>
      <c r="B9378" s="1" t="n">
        <v>45936.76261574074</v>
      </c>
      <c r="C9378" s="1" t="n">
        <v>45952</v>
      </c>
      <c r="D9378" t="inlineStr">
        <is>
          <t>VÄSTRA GÖTALANDS LÄN</t>
        </is>
      </c>
      <c r="E9378" t="inlineStr">
        <is>
          <t>MARK</t>
        </is>
      </c>
      <c r="G9378" t="n">
        <v>1.7</v>
      </c>
      <c r="H9378" t="n">
        <v>0</v>
      </c>
      <c r="I9378" t="n">
        <v>0</v>
      </c>
      <c r="J9378" t="n">
        <v>0</v>
      </c>
      <c r="K9378" t="n">
        <v>0</v>
      </c>
      <c r="L9378" t="n">
        <v>0</v>
      </c>
      <c r="M9378" t="n">
        <v>0</v>
      </c>
      <c r="N9378" t="n">
        <v>0</v>
      </c>
      <c r="O9378" t="n">
        <v>0</v>
      </c>
      <c r="P9378" t="n">
        <v>0</v>
      </c>
      <c r="Q9378" t="n">
        <v>0</v>
      </c>
      <c r="R9378" s="2" t="inlineStr"/>
    </row>
    <row r="9379" ht="15" customHeight="1">
      <c r="A9379" t="inlineStr">
        <is>
          <t>A 49072-2025</t>
        </is>
      </c>
      <c r="B9379" s="1" t="n">
        <v>45937.65501157408</v>
      </c>
      <c r="C9379" s="1" t="n">
        <v>45952</v>
      </c>
      <c r="D9379" t="inlineStr">
        <is>
          <t>VÄSTRA GÖTALANDS LÄN</t>
        </is>
      </c>
      <c r="E9379" t="inlineStr">
        <is>
          <t>ORUST</t>
        </is>
      </c>
      <c r="G9379" t="n">
        <v>1.4</v>
      </c>
      <c r="H9379" t="n">
        <v>0</v>
      </c>
      <c r="I9379" t="n">
        <v>0</v>
      </c>
      <c r="J9379" t="n">
        <v>0</v>
      </c>
      <c r="K9379" t="n">
        <v>0</v>
      </c>
      <c r="L9379" t="n">
        <v>0</v>
      </c>
      <c r="M9379" t="n">
        <v>0</v>
      </c>
      <c r="N9379" t="n">
        <v>0</v>
      </c>
      <c r="O9379" t="n">
        <v>0</v>
      </c>
      <c r="P9379" t="n">
        <v>0</v>
      </c>
      <c r="Q9379" t="n">
        <v>0</v>
      </c>
      <c r="R9379" s="2" t="inlineStr"/>
    </row>
    <row r="9380" ht="15" customHeight="1">
      <c r="A9380" t="inlineStr">
        <is>
          <t>A 49078-2025</t>
        </is>
      </c>
      <c r="B9380" s="1" t="n">
        <v>45937.66010416667</v>
      </c>
      <c r="C9380" s="1" t="n">
        <v>45952</v>
      </c>
      <c r="D9380" t="inlineStr">
        <is>
          <t>VÄSTRA GÖTALANDS LÄN</t>
        </is>
      </c>
      <c r="E9380" t="inlineStr">
        <is>
          <t>BORÅS</t>
        </is>
      </c>
      <c r="G9380" t="n">
        <v>5.3</v>
      </c>
      <c r="H9380" t="n">
        <v>0</v>
      </c>
      <c r="I9380" t="n">
        <v>0</v>
      </c>
      <c r="J9380" t="n">
        <v>0</v>
      </c>
      <c r="K9380" t="n">
        <v>0</v>
      </c>
      <c r="L9380" t="n">
        <v>0</v>
      </c>
      <c r="M9380" t="n">
        <v>0</v>
      </c>
      <c r="N9380" t="n">
        <v>0</v>
      </c>
      <c r="O9380" t="n">
        <v>0</v>
      </c>
      <c r="P9380" t="n">
        <v>0</v>
      </c>
      <c r="Q9380" t="n">
        <v>0</v>
      </c>
      <c r="R9380" s="2" t="inlineStr"/>
    </row>
    <row r="9381" ht="15" customHeight="1">
      <c r="A9381" t="inlineStr">
        <is>
          <t>A 15009-2023</t>
        </is>
      </c>
      <c r="B9381" s="1" t="n">
        <v>45015.59582175926</v>
      </c>
      <c r="C9381" s="1" t="n">
        <v>45952</v>
      </c>
      <c r="D9381" t="inlineStr">
        <is>
          <t>VÄSTRA GÖTALANDS LÄN</t>
        </is>
      </c>
      <c r="E9381" t="inlineStr">
        <is>
          <t>DALS-ED</t>
        </is>
      </c>
      <c r="G9381" t="n">
        <v>2.2</v>
      </c>
      <c r="H9381" t="n">
        <v>0</v>
      </c>
      <c r="I9381" t="n">
        <v>0</v>
      </c>
      <c r="J9381" t="n">
        <v>0</v>
      </c>
      <c r="K9381" t="n">
        <v>0</v>
      </c>
      <c r="L9381" t="n">
        <v>0</v>
      </c>
      <c r="M9381" t="n">
        <v>0</v>
      </c>
      <c r="N9381" t="n">
        <v>0</v>
      </c>
      <c r="O9381" t="n">
        <v>0</v>
      </c>
      <c r="P9381" t="n">
        <v>0</v>
      </c>
      <c r="Q9381" t="n">
        <v>0</v>
      </c>
      <c r="R9381" s="2" t="inlineStr"/>
    </row>
    <row r="9382" ht="15" customHeight="1">
      <c r="A9382" t="inlineStr">
        <is>
          <t>A 49097-2025</t>
        </is>
      </c>
      <c r="B9382" s="1" t="n">
        <v>45937.6962037037</v>
      </c>
      <c r="C9382" s="1" t="n">
        <v>45952</v>
      </c>
      <c r="D9382" t="inlineStr">
        <is>
          <t>VÄSTRA GÖTALANDS LÄN</t>
        </is>
      </c>
      <c r="E9382" t="inlineStr">
        <is>
          <t>FÄRGELANDA</t>
        </is>
      </c>
      <c r="G9382" t="n">
        <v>3.4</v>
      </c>
      <c r="H9382" t="n">
        <v>0</v>
      </c>
      <c r="I9382" t="n">
        <v>0</v>
      </c>
      <c r="J9382" t="n">
        <v>0</v>
      </c>
      <c r="K9382" t="n">
        <v>0</v>
      </c>
      <c r="L9382" t="n">
        <v>0</v>
      </c>
      <c r="M9382" t="n">
        <v>0</v>
      </c>
      <c r="N9382" t="n">
        <v>0</v>
      </c>
      <c r="O9382" t="n">
        <v>0</v>
      </c>
      <c r="P9382" t="n">
        <v>0</v>
      </c>
      <c r="Q9382" t="n">
        <v>0</v>
      </c>
      <c r="R9382" s="2" t="inlineStr"/>
    </row>
    <row r="9383" ht="15" customHeight="1">
      <c r="A9383" t="inlineStr">
        <is>
          <t>A 49101-2025</t>
        </is>
      </c>
      <c r="B9383" s="1" t="n">
        <v>45937.72148148148</v>
      </c>
      <c r="C9383" s="1" t="n">
        <v>45952</v>
      </c>
      <c r="D9383" t="inlineStr">
        <is>
          <t>VÄSTRA GÖTALANDS LÄN</t>
        </is>
      </c>
      <c r="E9383" t="inlineStr">
        <is>
          <t>MUNKEDAL</t>
        </is>
      </c>
      <c r="G9383" t="n">
        <v>7.8</v>
      </c>
      <c r="H9383" t="n">
        <v>0</v>
      </c>
      <c r="I9383" t="n">
        <v>0</v>
      </c>
      <c r="J9383" t="n">
        <v>0</v>
      </c>
      <c r="K9383" t="n">
        <v>0</v>
      </c>
      <c r="L9383" t="n">
        <v>0</v>
      </c>
      <c r="M9383" t="n">
        <v>0</v>
      </c>
      <c r="N9383" t="n">
        <v>0</v>
      </c>
      <c r="O9383" t="n">
        <v>0</v>
      </c>
      <c r="P9383" t="n">
        <v>0</v>
      </c>
      <c r="Q9383" t="n">
        <v>0</v>
      </c>
      <c r="R9383" s="2" t="inlineStr"/>
    </row>
    <row r="9384" ht="15" customHeight="1">
      <c r="A9384" t="inlineStr">
        <is>
          <t>A 15043-2023</t>
        </is>
      </c>
      <c r="B9384" s="1" t="n">
        <v>45015</v>
      </c>
      <c r="C9384" s="1" t="n">
        <v>45952</v>
      </c>
      <c r="D9384" t="inlineStr">
        <is>
          <t>VÄSTRA GÖTALANDS LÄN</t>
        </is>
      </c>
      <c r="E9384" t="inlineStr">
        <is>
          <t>FÄRGELANDA</t>
        </is>
      </c>
      <c r="G9384" t="n">
        <v>5.7</v>
      </c>
      <c r="H9384" t="n">
        <v>0</v>
      </c>
      <c r="I9384" t="n">
        <v>0</v>
      </c>
      <c r="J9384" t="n">
        <v>0</v>
      </c>
      <c r="K9384" t="n">
        <v>0</v>
      </c>
      <c r="L9384" t="n">
        <v>0</v>
      </c>
      <c r="M9384" t="n">
        <v>0</v>
      </c>
      <c r="N9384" t="n">
        <v>0</v>
      </c>
      <c r="O9384" t="n">
        <v>0</v>
      </c>
      <c r="P9384" t="n">
        <v>0</v>
      </c>
      <c r="Q9384" t="n">
        <v>0</v>
      </c>
      <c r="R9384" s="2" t="inlineStr"/>
    </row>
    <row r="9385" ht="15" customHeight="1">
      <c r="A9385" t="inlineStr">
        <is>
          <t>A 4734-2023</t>
        </is>
      </c>
      <c r="B9385" s="1" t="n">
        <v>44957</v>
      </c>
      <c r="C9385" s="1" t="n">
        <v>45952</v>
      </c>
      <c r="D9385" t="inlineStr">
        <is>
          <t>VÄSTRA GÖTALANDS LÄN</t>
        </is>
      </c>
      <c r="E9385" t="inlineStr">
        <is>
          <t>STENUNGSUND</t>
        </is>
      </c>
      <c r="G9385" t="n">
        <v>1.1</v>
      </c>
      <c r="H9385" t="n">
        <v>0</v>
      </c>
      <c r="I9385" t="n">
        <v>0</v>
      </c>
      <c r="J9385" t="n">
        <v>0</v>
      </c>
      <c r="K9385" t="n">
        <v>0</v>
      </c>
      <c r="L9385" t="n">
        <v>0</v>
      </c>
      <c r="M9385" t="n">
        <v>0</v>
      </c>
      <c r="N9385" t="n">
        <v>0</v>
      </c>
      <c r="O9385" t="n">
        <v>0</v>
      </c>
      <c r="P9385" t="n">
        <v>0</v>
      </c>
      <c r="Q9385" t="n">
        <v>0</v>
      </c>
      <c r="R9385" s="2" t="inlineStr"/>
    </row>
    <row r="9386" ht="15" customHeight="1">
      <c r="A9386" t="inlineStr">
        <is>
          <t>A 51605-2024</t>
        </is>
      </c>
      <c r="B9386" s="1" t="n">
        <v>45604.67737268518</v>
      </c>
      <c r="C9386" s="1" t="n">
        <v>45952</v>
      </c>
      <c r="D9386" t="inlineStr">
        <is>
          <t>VÄSTRA GÖTALANDS LÄN</t>
        </is>
      </c>
      <c r="E9386" t="inlineStr">
        <is>
          <t>TROLLHÄTTAN</t>
        </is>
      </c>
      <c r="G9386" t="n">
        <v>1</v>
      </c>
      <c r="H9386" t="n">
        <v>0</v>
      </c>
      <c r="I9386" t="n">
        <v>0</v>
      </c>
      <c r="J9386" t="n">
        <v>0</v>
      </c>
      <c r="K9386" t="n">
        <v>0</v>
      </c>
      <c r="L9386" t="n">
        <v>0</v>
      </c>
      <c r="M9386" t="n">
        <v>0</v>
      </c>
      <c r="N9386" t="n">
        <v>0</v>
      </c>
      <c r="O9386" t="n">
        <v>0</v>
      </c>
      <c r="P9386" t="n">
        <v>0</v>
      </c>
      <c r="Q9386" t="n">
        <v>0</v>
      </c>
      <c r="R9386" s="2" t="inlineStr"/>
    </row>
    <row r="9387" ht="15" customHeight="1">
      <c r="A9387" t="inlineStr">
        <is>
          <t>A 51659-2024</t>
        </is>
      </c>
      <c r="B9387" s="1" t="n">
        <v>45606.7063425926</v>
      </c>
      <c r="C9387" s="1" t="n">
        <v>45952</v>
      </c>
      <c r="D9387" t="inlineStr">
        <is>
          <t>VÄSTRA GÖTALANDS LÄN</t>
        </is>
      </c>
      <c r="E9387" t="inlineStr">
        <is>
          <t>ULRICEHAMN</t>
        </is>
      </c>
      <c r="G9387" t="n">
        <v>0.6</v>
      </c>
      <c r="H9387" t="n">
        <v>0</v>
      </c>
      <c r="I9387" t="n">
        <v>0</v>
      </c>
      <c r="J9387" t="n">
        <v>0</v>
      </c>
      <c r="K9387" t="n">
        <v>0</v>
      </c>
      <c r="L9387" t="n">
        <v>0</v>
      </c>
      <c r="M9387" t="n">
        <v>0</v>
      </c>
      <c r="N9387" t="n">
        <v>0</v>
      </c>
      <c r="O9387" t="n">
        <v>0</v>
      </c>
      <c r="P9387" t="n">
        <v>0</v>
      </c>
      <c r="Q9387" t="n">
        <v>0</v>
      </c>
      <c r="R9387" s="2" t="inlineStr"/>
    </row>
    <row r="9388" ht="15" customHeight="1">
      <c r="A9388" t="inlineStr">
        <is>
          <t>A 51664-2024</t>
        </is>
      </c>
      <c r="B9388" s="1" t="n">
        <v>45606.81386574074</v>
      </c>
      <c r="C9388" s="1" t="n">
        <v>45952</v>
      </c>
      <c r="D9388" t="inlineStr">
        <is>
          <t>VÄSTRA GÖTALANDS LÄN</t>
        </is>
      </c>
      <c r="E9388" t="inlineStr">
        <is>
          <t>FALKÖPING</t>
        </is>
      </c>
      <c r="G9388" t="n">
        <v>1.1</v>
      </c>
      <c r="H9388" t="n">
        <v>0</v>
      </c>
      <c r="I9388" t="n">
        <v>0</v>
      </c>
      <c r="J9388" t="n">
        <v>0</v>
      </c>
      <c r="K9388" t="n">
        <v>0</v>
      </c>
      <c r="L9388" t="n">
        <v>0</v>
      </c>
      <c r="M9388" t="n">
        <v>0</v>
      </c>
      <c r="N9388" t="n">
        <v>0</v>
      </c>
      <c r="O9388" t="n">
        <v>0</v>
      </c>
      <c r="P9388" t="n">
        <v>0</v>
      </c>
      <c r="Q9388" t="n">
        <v>0</v>
      </c>
      <c r="R9388" s="2" t="inlineStr"/>
    </row>
    <row r="9389" ht="15" customHeight="1">
      <c r="A9389" t="inlineStr">
        <is>
          <t>A 7428-2022</t>
        </is>
      </c>
      <c r="B9389" s="1" t="n">
        <v>44606.89891203704</v>
      </c>
      <c r="C9389" s="1" t="n">
        <v>45952</v>
      </c>
      <c r="D9389" t="inlineStr">
        <is>
          <t>VÄSTRA GÖTALANDS LÄN</t>
        </is>
      </c>
      <c r="E9389" t="inlineStr">
        <is>
          <t>ULRICEHAMN</t>
        </is>
      </c>
      <c r="G9389" t="n">
        <v>3.6</v>
      </c>
      <c r="H9389" t="n">
        <v>0</v>
      </c>
      <c r="I9389" t="n">
        <v>0</v>
      </c>
      <c r="J9389" t="n">
        <v>0</v>
      </c>
      <c r="K9389" t="n">
        <v>0</v>
      </c>
      <c r="L9389" t="n">
        <v>0</v>
      </c>
      <c r="M9389" t="n">
        <v>0</v>
      </c>
      <c r="N9389" t="n">
        <v>0</v>
      </c>
      <c r="O9389" t="n">
        <v>0</v>
      </c>
      <c r="P9389" t="n">
        <v>0</v>
      </c>
      <c r="Q9389" t="n">
        <v>0</v>
      </c>
      <c r="R9389" s="2" t="inlineStr"/>
    </row>
    <row r="9390" ht="15" customHeight="1">
      <c r="A9390" t="inlineStr">
        <is>
          <t>A 22223-2022</t>
        </is>
      </c>
      <c r="B9390" s="1" t="n">
        <v>44712</v>
      </c>
      <c r="C9390" s="1" t="n">
        <v>45952</v>
      </c>
      <c r="D9390" t="inlineStr">
        <is>
          <t>VÄSTRA GÖTALANDS LÄN</t>
        </is>
      </c>
      <c r="E9390" t="inlineStr">
        <is>
          <t>LERUM</t>
        </is>
      </c>
      <c r="G9390" t="n">
        <v>1.3</v>
      </c>
      <c r="H9390" t="n">
        <v>0</v>
      </c>
      <c r="I9390" t="n">
        <v>0</v>
      </c>
      <c r="J9390" t="n">
        <v>0</v>
      </c>
      <c r="K9390" t="n">
        <v>0</v>
      </c>
      <c r="L9390" t="n">
        <v>0</v>
      </c>
      <c r="M9390" t="n">
        <v>0</v>
      </c>
      <c r="N9390" t="n">
        <v>0</v>
      </c>
      <c r="O9390" t="n">
        <v>0</v>
      </c>
      <c r="P9390" t="n">
        <v>0</v>
      </c>
      <c r="Q9390" t="n">
        <v>0</v>
      </c>
      <c r="R9390" s="2" t="inlineStr"/>
    </row>
    <row r="9391" ht="15" customHeight="1">
      <c r="A9391" t="inlineStr">
        <is>
          <t>A 40476-2025</t>
        </is>
      </c>
      <c r="B9391" s="1" t="n">
        <v>45895.6833449074</v>
      </c>
      <c r="C9391" s="1" t="n">
        <v>45952</v>
      </c>
      <c r="D9391" t="inlineStr">
        <is>
          <t>VÄSTRA GÖTALANDS LÄN</t>
        </is>
      </c>
      <c r="E9391" t="inlineStr">
        <is>
          <t>MUNKEDAL</t>
        </is>
      </c>
      <c r="G9391" t="n">
        <v>1.9</v>
      </c>
      <c r="H9391" t="n">
        <v>0</v>
      </c>
      <c r="I9391" t="n">
        <v>0</v>
      </c>
      <c r="J9391" t="n">
        <v>0</v>
      </c>
      <c r="K9391" t="n">
        <v>0</v>
      </c>
      <c r="L9391" t="n">
        <v>0</v>
      </c>
      <c r="M9391" t="n">
        <v>0</v>
      </c>
      <c r="N9391" t="n">
        <v>0</v>
      </c>
      <c r="O9391" t="n">
        <v>0</v>
      </c>
      <c r="P9391" t="n">
        <v>0</v>
      </c>
      <c r="Q9391" t="n">
        <v>0</v>
      </c>
      <c r="R9391" s="2" t="inlineStr"/>
    </row>
    <row r="9392" ht="15" customHeight="1">
      <c r="A9392" t="inlineStr">
        <is>
          <t>A 40352-2025</t>
        </is>
      </c>
      <c r="B9392" s="1" t="n">
        <v>45895</v>
      </c>
      <c r="C9392" s="1" t="n">
        <v>45952</v>
      </c>
      <c r="D9392" t="inlineStr">
        <is>
          <t>VÄSTRA GÖTALANDS LÄN</t>
        </is>
      </c>
      <c r="E9392" t="inlineStr">
        <is>
          <t>TANUM</t>
        </is>
      </c>
      <c r="G9392" t="n">
        <v>1.4</v>
      </c>
      <c r="H9392" t="n">
        <v>0</v>
      </c>
      <c r="I9392" t="n">
        <v>0</v>
      </c>
      <c r="J9392" t="n">
        <v>0</v>
      </c>
      <c r="K9392" t="n">
        <v>0</v>
      </c>
      <c r="L9392" t="n">
        <v>0</v>
      </c>
      <c r="M9392" t="n">
        <v>0</v>
      </c>
      <c r="N9392" t="n">
        <v>0</v>
      </c>
      <c r="O9392" t="n">
        <v>0</v>
      </c>
      <c r="P9392" t="n">
        <v>0</v>
      </c>
      <c r="Q9392" t="n">
        <v>0</v>
      </c>
      <c r="R9392" s="2" t="inlineStr"/>
    </row>
    <row r="9393" ht="15" customHeight="1">
      <c r="A9393" t="inlineStr">
        <is>
          <t>A 48415-2025</t>
        </is>
      </c>
      <c r="B9393" s="1" t="n">
        <v>45934.50327546296</v>
      </c>
      <c r="C9393" s="1" t="n">
        <v>45952</v>
      </c>
      <c r="D9393" t="inlineStr">
        <is>
          <t>VÄSTRA GÖTALANDS LÄN</t>
        </is>
      </c>
      <c r="E9393" t="inlineStr">
        <is>
          <t>FALKÖPING</t>
        </is>
      </c>
      <c r="G9393" t="n">
        <v>1.6</v>
      </c>
      <c r="H9393" t="n">
        <v>0</v>
      </c>
      <c r="I9393" t="n">
        <v>0</v>
      </c>
      <c r="J9393" t="n">
        <v>0</v>
      </c>
      <c r="K9393" t="n">
        <v>0</v>
      </c>
      <c r="L9393" t="n">
        <v>0</v>
      </c>
      <c r="M9393" t="n">
        <v>0</v>
      </c>
      <c r="N9393" t="n">
        <v>0</v>
      </c>
      <c r="O9393" t="n">
        <v>0</v>
      </c>
      <c r="P9393" t="n">
        <v>0</v>
      </c>
      <c r="Q9393" t="n">
        <v>0</v>
      </c>
      <c r="R9393" s="2" t="inlineStr"/>
    </row>
    <row r="9394" ht="15" customHeight="1">
      <c r="A9394" t="inlineStr">
        <is>
          <t>A 48444-2025</t>
        </is>
      </c>
      <c r="B9394" s="1" t="n">
        <v>45935.58040509259</v>
      </c>
      <c r="C9394" s="1" t="n">
        <v>45952</v>
      </c>
      <c r="D9394" t="inlineStr">
        <is>
          <t>VÄSTRA GÖTALANDS LÄN</t>
        </is>
      </c>
      <c r="E9394" t="inlineStr">
        <is>
          <t>BORÅS</t>
        </is>
      </c>
      <c r="G9394" t="n">
        <v>0.8</v>
      </c>
      <c r="H9394" t="n">
        <v>0</v>
      </c>
      <c r="I9394" t="n">
        <v>0</v>
      </c>
      <c r="J9394" t="n">
        <v>0</v>
      </c>
      <c r="K9394" t="n">
        <v>0</v>
      </c>
      <c r="L9394" t="n">
        <v>0</v>
      </c>
      <c r="M9394" t="n">
        <v>0</v>
      </c>
      <c r="N9394" t="n">
        <v>0</v>
      </c>
      <c r="O9394" t="n">
        <v>0</v>
      </c>
      <c r="P9394" t="n">
        <v>0</v>
      </c>
      <c r="Q9394" t="n">
        <v>0</v>
      </c>
      <c r="R9394" s="2" t="inlineStr"/>
    </row>
    <row r="9395" ht="15" customHeight="1">
      <c r="A9395" t="inlineStr">
        <is>
          <t>A 48450-2025</t>
        </is>
      </c>
      <c r="B9395" s="1" t="n">
        <v>45935.78211805555</v>
      </c>
      <c r="C9395" s="1" t="n">
        <v>45952</v>
      </c>
      <c r="D9395" t="inlineStr">
        <is>
          <t>VÄSTRA GÖTALANDS LÄN</t>
        </is>
      </c>
      <c r="E9395" t="inlineStr">
        <is>
          <t>ULRICEHAMN</t>
        </is>
      </c>
      <c r="G9395" t="n">
        <v>0.6</v>
      </c>
      <c r="H9395" t="n">
        <v>0</v>
      </c>
      <c r="I9395" t="n">
        <v>0</v>
      </c>
      <c r="J9395" t="n">
        <v>0</v>
      </c>
      <c r="K9395" t="n">
        <v>0</v>
      </c>
      <c r="L9395" t="n">
        <v>0</v>
      </c>
      <c r="M9395" t="n">
        <v>0</v>
      </c>
      <c r="N9395" t="n">
        <v>0</v>
      </c>
      <c r="O9395" t="n">
        <v>0</v>
      </c>
      <c r="P9395" t="n">
        <v>0</v>
      </c>
      <c r="Q9395" t="n">
        <v>0</v>
      </c>
      <c r="R9395" s="2" t="inlineStr"/>
    </row>
    <row r="9396" ht="15" customHeight="1">
      <c r="A9396" t="inlineStr">
        <is>
          <t>A 40273-2025</t>
        </is>
      </c>
      <c r="B9396" s="1" t="n">
        <v>45895.34994212963</v>
      </c>
      <c r="C9396" s="1" t="n">
        <v>45952</v>
      </c>
      <c r="D9396" t="inlineStr">
        <is>
          <t>VÄSTRA GÖTALANDS LÄN</t>
        </is>
      </c>
      <c r="E9396" t="inlineStr">
        <is>
          <t>HÄRRYDA</t>
        </is>
      </c>
      <c r="F9396" t="inlineStr">
        <is>
          <t>Sveaskog</t>
        </is>
      </c>
      <c r="G9396" t="n">
        <v>0.6</v>
      </c>
      <c r="H9396" t="n">
        <v>0</v>
      </c>
      <c r="I9396" t="n">
        <v>0</v>
      </c>
      <c r="J9396" t="n">
        <v>0</v>
      </c>
      <c r="K9396" t="n">
        <v>0</v>
      </c>
      <c r="L9396" t="n">
        <v>0</v>
      </c>
      <c r="M9396" t="n">
        <v>0</v>
      </c>
      <c r="N9396" t="n">
        <v>0</v>
      </c>
      <c r="O9396" t="n">
        <v>0</v>
      </c>
      <c r="P9396" t="n">
        <v>0</v>
      </c>
      <c r="Q9396" t="n">
        <v>0</v>
      </c>
      <c r="R9396" s="2" t="inlineStr"/>
    </row>
    <row r="9397" ht="15" customHeight="1">
      <c r="A9397" t="inlineStr">
        <is>
          <t>A 5177-2021</t>
        </is>
      </c>
      <c r="B9397" s="1" t="n">
        <v>44228</v>
      </c>
      <c r="C9397" s="1" t="n">
        <v>45952</v>
      </c>
      <c r="D9397" t="inlineStr">
        <is>
          <t>VÄSTRA GÖTALANDS LÄN</t>
        </is>
      </c>
      <c r="E9397" t="inlineStr">
        <is>
          <t>FÄRGELANDA</t>
        </is>
      </c>
      <c r="G9397" t="n">
        <v>2.9</v>
      </c>
      <c r="H9397" t="n">
        <v>0</v>
      </c>
      <c r="I9397" t="n">
        <v>0</v>
      </c>
      <c r="J9397" t="n">
        <v>0</v>
      </c>
      <c r="K9397" t="n">
        <v>0</v>
      </c>
      <c r="L9397" t="n">
        <v>0</v>
      </c>
      <c r="M9397" t="n">
        <v>0</v>
      </c>
      <c r="N9397" t="n">
        <v>0</v>
      </c>
      <c r="O9397" t="n">
        <v>0</v>
      </c>
      <c r="P9397" t="n">
        <v>0</v>
      </c>
      <c r="Q9397" t="n">
        <v>0</v>
      </c>
      <c r="R9397" s="2" t="inlineStr"/>
    </row>
    <row r="9398" ht="15" customHeight="1">
      <c r="A9398" t="inlineStr">
        <is>
          <t>A 12747-2024</t>
        </is>
      </c>
      <c r="B9398" s="1" t="n">
        <v>45384.54314814815</v>
      </c>
      <c r="C9398" s="1" t="n">
        <v>45952</v>
      </c>
      <c r="D9398" t="inlineStr">
        <is>
          <t>VÄSTRA GÖTALANDS LÄN</t>
        </is>
      </c>
      <c r="E9398" t="inlineStr">
        <is>
          <t>SKARA</t>
        </is>
      </c>
      <c r="G9398" t="n">
        <v>1.4</v>
      </c>
      <c r="H9398" t="n">
        <v>0</v>
      </c>
      <c r="I9398" t="n">
        <v>0</v>
      </c>
      <c r="J9398" t="n">
        <v>0</v>
      </c>
      <c r="K9398" t="n">
        <v>0</v>
      </c>
      <c r="L9398" t="n">
        <v>0</v>
      </c>
      <c r="M9398" t="n">
        <v>0</v>
      </c>
      <c r="N9398" t="n">
        <v>0</v>
      </c>
      <c r="O9398" t="n">
        <v>0</v>
      </c>
      <c r="P9398" t="n">
        <v>0</v>
      </c>
      <c r="Q9398" t="n">
        <v>0</v>
      </c>
      <c r="R9398" s="2" t="inlineStr"/>
    </row>
    <row r="9399" ht="15" customHeight="1">
      <c r="A9399" t="inlineStr">
        <is>
          <t>A 12774-2024</t>
        </is>
      </c>
      <c r="B9399" s="1" t="n">
        <v>45384.59219907408</v>
      </c>
      <c r="C9399" s="1" t="n">
        <v>45952</v>
      </c>
      <c r="D9399" t="inlineStr">
        <is>
          <t>VÄSTRA GÖTALANDS LÄN</t>
        </is>
      </c>
      <c r="E9399" t="inlineStr">
        <is>
          <t>FALKÖPING</t>
        </is>
      </c>
      <c r="G9399" t="n">
        <v>0.5</v>
      </c>
      <c r="H9399" t="n">
        <v>0</v>
      </c>
      <c r="I9399" t="n">
        <v>0</v>
      </c>
      <c r="J9399" t="n">
        <v>0</v>
      </c>
      <c r="K9399" t="n">
        <v>0</v>
      </c>
      <c r="L9399" t="n">
        <v>0</v>
      </c>
      <c r="M9399" t="n">
        <v>0</v>
      </c>
      <c r="N9399" t="n">
        <v>0</v>
      </c>
      <c r="O9399" t="n">
        <v>0</v>
      </c>
      <c r="P9399" t="n">
        <v>0</v>
      </c>
      <c r="Q9399" t="n">
        <v>0</v>
      </c>
      <c r="R9399" s="2" t="inlineStr"/>
    </row>
    <row r="9400" ht="15" customHeight="1">
      <c r="A9400" t="inlineStr">
        <is>
          <t>A 50665-2024</t>
        </is>
      </c>
      <c r="B9400" s="1" t="n">
        <v>45601.76715277778</v>
      </c>
      <c r="C9400" s="1" t="n">
        <v>45952</v>
      </c>
      <c r="D9400" t="inlineStr">
        <is>
          <t>VÄSTRA GÖTALANDS LÄN</t>
        </is>
      </c>
      <c r="E9400" t="inlineStr">
        <is>
          <t>ULRICEHAMN</t>
        </is>
      </c>
      <c r="G9400" t="n">
        <v>2.3</v>
      </c>
      <c r="H9400" t="n">
        <v>0</v>
      </c>
      <c r="I9400" t="n">
        <v>0</v>
      </c>
      <c r="J9400" t="n">
        <v>0</v>
      </c>
      <c r="K9400" t="n">
        <v>0</v>
      </c>
      <c r="L9400" t="n">
        <v>0</v>
      </c>
      <c r="M9400" t="n">
        <v>0</v>
      </c>
      <c r="N9400" t="n">
        <v>0</v>
      </c>
      <c r="O9400" t="n">
        <v>0</v>
      </c>
      <c r="P9400" t="n">
        <v>0</v>
      </c>
      <c r="Q9400" t="n">
        <v>0</v>
      </c>
      <c r="R9400" s="2" t="inlineStr"/>
    </row>
    <row r="9401" ht="15" customHeight="1">
      <c r="A9401" t="inlineStr">
        <is>
          <t>A 48452-2025</t>
        </is>
      </c>
      <c r="B9401" s="1" t="n">
        <v>45935.79104166666</v>
      </c>
      <c r="C9401" s="1" t="n">
        <v>45952</v>
      </c>
      <c r="D9401" t="inlineStr">
        <is>
          <t>VÄSTRA GÖTALANDS LÄN</t>
        </is>
      </c>
      <c r="E9401" t="inlineStr">
        <is>
          <t>VÅRGÅRDA</t>
        </is>
      </c>
      <c r="G9401" t="n">
        <v>3.4</v>
      </c>
      <c r="H9401" t="n">
        <v>0</v>
      </c>
      <c r="I9401" t="n">
        <v>0</v>
      </c>
      <c r="J9401" t="n">
        <v>0</v>
      </c>
      <c r="K9401" t="n">
        <v>0</v>
      </c>
      <c r="L9401" t="n">
        <v>0</v>
      </c>
      <c r="M9401" t="n">
        <v>0</v>
      </c>
      <c r="N9401" t="n">
        <v>0</v>
      </c>
      <c r="O9401" t="n">
        <v>0</v>
      </c>
      <c r="P9401" t="n">
        <v>0</v>
      </c>
      <c r="Q9401" t="n">
        <v>0</v>
      </c>
      <c r="R9401" s="2" t="inlineStr"/>
    </row>
    <row r="9402" ht="15" customHeight="1">
      <c r="A9402" t="inlineStr">
        <is>
          <t>A 54206-2024</t>
        </is>
      </c>
      <c r="B9402" s="1" t="n">
        <v>45616.65384259259</v>
      </c>
      <c r="C9402" s="1" t="n">
        <v>45952</v>
      </c>
      <c r="D9402" t="inlineStr">
        <is>
          <t>VÄSTRA GÖTALANDS LÄN</t>
        </is>
      </c>
      <c r="E9402" t="inlineStr">
        <is>
          <t>DALS-ED</t>
        </is>
      </c>
      <c r="G9402" t="n">
        <v>5</v>
      </c>
      <c r="H9402" t="n">
        <v>0</v>
      </c>
      <c r="I9402" t="n">
        <v>0</v>
      </c>
      <c r="J9402" t="n">
        <v>0</v>
      </c>
      <c r="K9402" t="n">
        <v>0</v>
      </c>
      <c r="L9402" t="n">
        <v>0</v>
      </c>
      <c r="M9402" t="n">
        <v>0</v>
      </c>
      <c r="N9402" t="n">
        <v>0</v>
      </c>
      <c r="O9402" t="n">
        <v>0</v>
      </c>
      <c r="P9402" t="n">
        <v>0</v>
      </c>
      <c r="Q9402" t="n">
        <v>0</v>
      </c>
      <c r="R9402" s="2" t="inlineStr"/>
    </row>
    <row r="9403" ht="15" customHeight="1">
      <c r="A9403" t="inlineStr">
        <is>
          <t>A 4685-2023</t>
        </is>
      </c>
      <c r="B9403" s="1" t="n">
        <v>44957</v>
      </c>
      <c r="C9403" s="1" t="n">
        <v>45952</v>
      </c>
      <c r="D9403" t="inlineStr">
        <is>
          <t>VÄSTRA GÖTALANDS LÄN</t>
        </is>
      </c>
      <c r="E9403" t="inlineStr">
        <is>
          <t>MARIESTAD</t>
        </is>
      </c>
      <c r="G9403" t="n">
        <v>1.2</v>
      </c>
      <c r="H9403" t="n">
        <v>0</v>
      </c>
      <c r="I9403" t="n">
        <v>0</v>
      </c>
      <c r="J9403" t="n">
        <v>0</v>
      </c>
      <c r="K9403" t="n">
        <v>0</v>
      </c>
      <c r="L9403" t="n">
        <v>0</v>
      </c>
      <c r="M9403" t="n">
        <v>0</v>
      </c>
      <c r="N9403" t="n">
        <v>0</v>
      </c>
      <c r="O9403" t="n">
        <v>0</v>
      </c>
      <c r="P9403" t="n">
        <v>0</v>
      </c>
      <c r="Q9403" t="n">
        <v>0</v>
      </c>
      <c r="R9403" s="2" t="inlineStr"/>
    </row>
    <row r="9404" ht="15" customHeight="1">
      <c r="A9404" t="inlineStr">
        <is>
          <t>A 48942-2025</t>
        </is>
      </c>
      <c r="B9404" s="1" t="n">
        <v>45937</v>
      </c>
      <c r="C9404" s="1" t="n">
        <v>45952</v>
      </c>
      <c r="D9404" t="inlineStr">
        <is>
          <t>VÄSTRA GÖTALANDS LÄN</t>
        </is>
      </c>
      <c r="E9404" t="inlineStr">
        <is>
          <t>ALINGSÅS</t>
        </is>
      </c>
      <c r="G9404" t="n">
        <v>8.199999999999999</v>
      </c>
      <c r="H9404" t="n">
        <v>0</v>
      </c>
      <c r="I9404" t="n">
        <v>0</v>
      </c>
      <c r="J9404" t="n">
        <v>0</v>
      </c>
      <c r="K9404" t="n">
        <v>0</v>
      </c>
      <c r="L9404" t="n">
        <v>0</v>
      </c>
      <c r="M9404" t="n">
        <v>0</v>
      </c>
      <c r="N9404" t="n">
        <v>0</v>
      </c>
      <c r="O9404" t="n">
        <v>0</v>
      </c>
      <c r="P9404" t="n">
        <v>0</v>
      </c>
      <c r="Q9404" t="n">
        <v>0</v>
      </c>
      <c r="R9404" s="2" t="inlineStr"/>
    </row>
    <row r="9405" ht="15" customHeight="1">
      <c r="A9405" t="inlineStr">
        <is>
          <t>A 48952-2025</t>
        </is>
      </c>
      <c r="B9405" s="1" t="n">
        <v>45937.54668981482</v>
      </c>
      <c r="C9405" s="1" t="n">
        <v>45952</v>
      </c>
      <c r="D9405" t="inlineStr">
        <is>
          <t>VÄSTRA GÖTALANDS LÄN</t>
        </is>
      </c>
      <c r="E9405" t="inlineStr">
        <is>
          <t>MARK</t>
        </is>
      </c>
      <c r="G9405" t="n">
        <v>3</v>
      </c>
      <c r="H9405" t="n">
        <v>0</v>
      </c>
      <c r="I9405" t="n">
        <v>0</v>
      </c>
      <c r="J9405" t="n">
        <v>0</v>
      </c>
      <c r="K9405" t="n">
        <v>0</v>
      </c>
      <c r="L9405" t="n">
        <v>0</v>
      </c>
      <c r="M9405" t="n">
        <v>0</v>
      </c>
      <c r="N9405" t="n">
        <v>0</v>
      </c>
      <c r="O9405" t="n">
        <v>0</v>
      </c>
      <c r="P9405" t="n">
        <v>0</v>
      </c>
      <c r="Q9405" t="n">
        <v>0</v>
      </c>
      <c r="R9405" s="2" t="inlineStr"/>
    </row>
    <row r="9406" ht="15" customHeight="1">
      <c r="A9406" t="inlineStr">
        <is>
          <t>A 13660-2025</t>
        </is>
      </c>
      <c r="B9406" s="1" t="n">
        <v>45736</v>
      </c>
      <c r="C9406" s="1" t="n">
        <v>45952</v>
      </c>
      <c r="D9406" t="inlineStr">
        <is>
          <t>VÄSTRA GÖTALANDS LÄN</t>
        </is>
      </c>
      <c r="E9406" t="inlineStr">
        <is>
          <t>MUNKEDAL</t>
        </is>
      </c>
      <c r="F9406" t="inlineStr">
        <is>
          <t>Övriga Aktiebolag</t>
        </is>
      </c>
      <c r="G9406" t="n">
        <v>3.2</v>
      </c>
      <c r="H9406" t="n">
        <v>0</v>
      </c>
      <c r="I9406" t="n">
        <v>0</v>
      </c>
      <c r="J9406" t="n">
        <v>0</v>
      </c>
      <c r="K9406" t="n">
        <v>0</v>
      </c>
      <c r="L9406" t="n">
        <v>0</v>
      </c>
      <c r="M9406" t="n">
        <v>0</v>
      </c>
      <c r="N9406" t="n">
        <v>0</v>
      </c>
      <c r="O9406" t="n">
        <v>0</v>
      </c>
      <c r="P9406" t="n">
        <v>0</v>
      </c>
      <c r="Q9406" t="n">
        <v>0</v>
      </c>
      <c r="R9406" s="2" t="inlineStr"/>
    </row>
    <row r="9407" ht="15" customHeight="1">
      <c r="A9407" t="inlineStr">
        <is>
          <t>A 29317-2024</t>
        </is>
      </c>
      <c r="B9407" s="1" t="n">
        <v>45483.41152777777</v>
      </c>
      <c r="C9407" s="1" t="n">
        <v>45952</v>
      </c>
      <c r="D9407" t="inlineStr">
        <is>
          <t>VÄSTRA GÖTALANDS LÄN</t>
        </is>
      </c>
      <c r="E9407" t="inlineStr">
        <is>
          <t>BORÅS</t>
        </is>
      </c>
      <c r="G9407" t="n">
        <v>5</v>
      </c>
      <c r="H9407" t="n">
        <v>0</v>
      </c>
      <c r="I9407" t="n">
        <v>0</v>
      </c>
      <c r="J9407" t="n">
        <v>0</v>
      </c>
      <c r="K9407" t="n">
        <v>0</v>
      </c>
      <c r="L9407" t="n">
        <v>0</v>
      </c>
      <c r="M9407" t="n">
        <v>0</v>
      </c>
      <c r="N9407" t="n">
        <v>0</v>
      </c>
      <c r="O9407" t="n">
        <v>0</v>
      </c>
      <c r="P9407" t="n">
        <v>0</v>
      </c>
      <c r="Q9407" t="n">
        <v>0</v>
      </c>
      <c r="R9407" s="2" t="inlineStr"/>
    </row>
    <row r="9408" ht="15" customHeight="1">
      <c r="A9408" t="inlineStr">
        <is>
          <t>A 29318-2024</t>
        </is>
      </c>
      <c r="B9408" s="1" t="n">
        <v>45483.41474537037</v>
      </c>
      <c r="C9408" s="1" t="n">
        <v>45952</v>
      </c>
      <c r="D9408" t="inlineStr">
        <is>
          <t>VÄSTRA GÖTALANDS LÄN</t>
        </is>
      </c>
      <c r="E9408" t="inlineStr">
        <is>
          <t>BORÅS</t>
        </is>
      </c>
      <c r="G9408" t="n">
        <v>2</v>
      </c>
      <c r="H9408" t="n">
        <v>0</v>
      </c>
      <c r="I9408" t="n">
        <v>0</v>
      </c>
      <c r="J9408" t="n">
        <v>0</v>
      </c>
      <c r="K9408" t="n">
        <v>0</v>
      </c>
      <c r="L9408" t="n">
        <v>0</v>
      </c>
      <c r="M9408" t="n">
        <v>0</v>
      </c>
      <c r="N9408" t="n">
        <v>0</v>
      </c>
      <c r="O9408" t="n">
        <v>0</v>
      </c>
      <c r="P9408" t="n">
        <v>0</v>
      </c>
      <c r="Q9408" t="n">
        <v>0</v>
      </c>
      <c r="R9408" s="2" t="inlineStr"/>
    </row>
    <row r="9409" ht="15" customHeight="1">
      <c r="A9409" t="inlineStr">
        <is>
          <t>A 23669-2025</t>
        </is>
      </c>
      <c r="B9409" s="1" t="n">
        <v>45792.93181712963</v>
      </c>
      <c r="C9409" s="1" t="n">
        <v>45952</v>
      </c>
      <c r="D9409" t="inlineStr">
        <is>
          <t>VÄSTRA GÖTALANDS LÄN</t>
        </is>
      </c>
      <c r="E9409" t="inlineStr">
        <is>
          <t>VARA</t>
        </is>
      </c>
      <c r="G9409" t="n">
        <v>1.2</v>
      </c>
      <c r="H9409" t="n">
        <v>0</v>
      </c>
      <c r="I9409" t="n">
        <v>0</v>
      </c>
      <c r="J9409" t="n">
        <v>0</v>
      </c>
      <c r="K9409" t="n">
        <v>0</v>
      </c>
      <c r="L9409" t="n">
        <v>0</v>
      </c>
      <c r="M9409" t="n">
        <v>0</v>
      </c>
      <c r="N9409" t="n">
        <v>0</v>
      </c>
      <c r="O9409" t="n">
        <v>0</v>
      </c>
      <c r="P9409" t="n">
        <v>0</v>
      </c>
      <c r="Q9409" t="n">
        <v>0</v>
      </c>
      <c r="R9409" s="2" t="inlineStr"/>
    </row>
    <row r="9410" ht="15" customHeight="1">
      <c r="A9410" t="inlineStr">
        <is>
          <t>A 23536-2025</t>
        </is>
      </c>
      <c r="B9410" s="1" t="n">
        <v>45792.54550925926</v>
      </c>
      <c r="C9410" s="1" t="n">
        <v>45952</v>
      </c>
      <c r="D9410" t="inlineStr">
        <is>
          <t>VÄSTRA GÖTALANDS LÄN</t>
        </is>
      </c>
      <c r="E9410" t="inlineStr">
        <is>
          <t>MARK</t>
        </is>
      </c>
      <c r="G9410" t="n">
        <v>3.9</v>
      </c>
      <c r="H9410" t="n">
        <v>0</v>
      </c>
      <c r="I9410" t="n">
        <v>0</v>
      </c>
      <c r="J9410" t="n">
        <v>0</v>
      </c>
      <c r="K9410" t="n">
        <v>0</v>
      </c>
      <c r="L9410" t="n">
        <v>0</v>
      </c>
      <c r="M9410" t="n">
        <v>0</v>
      </c>
      <c r="N9410" t="n">
        <v>0</v>
      </c>
      <c r="O9410" t="n">
        <v>0</v>
      </c>
      <c r="P9410" t="n">
        <v>0</v>
      </c>
      <c r="Q9410" t="n">
        <v>0</v>
      </c>
      <c r="R9410" s="2" t="inlineStr"/>
    </row>
    <row r="9411" ht="15" customHeight="1">
      <c r="A9411" t="inlineStr">
        <is>
          <t>A 39995-2025</t>
        </is>
      </c>
      <c r="B9411" s="1" t="n">
        <v>45894.31888888889</v>
      </c>
      <c r="C9411" s="1" t="n">
        <v>45952</v>
      </c>
      <c r="D9411" t="inlineStr">
        <is>
          <t>VÄSTRA GÖTALANDS LÄN</t>
        </is>
      </c>
      <c r="E9411" t="inlineStr">
        <is>
          <t>GÖTENE</t>
        </is>
      </c>
      <c r="G9411" t="n">
        <v>1.5</v>
      </c>
      <c r="H9411" t="n">
        <v>0</v>
      </c>
      <c r="I9411" t="n">
        <v>0</v>
      </c>
      <c r="J9411" t="n">
        <v>0</v>
      </c>
      <c r="K9411" t="n">
        <v>0</v>
      </c>
      <c r="L9411" t="n">
        <v>0</v>
      </c>
      <c r="M9411" t="n">
        <v>0</v>
      </c>
      <c r="N9411" t="n">
        <v>0</v>
      </c>
      <c r="O9411" t="n">
        <v>0</v>
      </c>
      <c r="P9411" t="n">
        <v>0</v>
      </c>
      <c r="Q9411" t="n">
        <v>0</v>
      </c>
      <c r="R9411" s="2" t="inlineStr"/>
    </row>
    <row r="9412" ht="15" customHeight="1">
      <c r="A9412" t="inlineStr">
        <is>
          <t>A 40229-2025</t>
        </is>
      </c>
      <c r="B9412" s="1" t="n">
        <v>45894.70920138889</v>
      </c>
      <c r="C9412" s="1" t="n">
        <v>45952</v>
      </c>
      <c r="D9412" t="inlineStr">
        <is>
          <t>VÄSTRA GÖTALANDS LÄN</t>
        </is>
      </c>
      <c r="E9412" t="inlineStr">
        <is>
          <t>TRANEMO</t>
        </is>
      </c>
      <c r="G9412" t="n">
        <v>1.4</v>
      </c>
      <c r="H9412" t="n">
        <v>0</v>
      </c>
      <c r="I9412" t="n">
        <v>0</v>
      </c>
      <c r="J9412" t="n">
        <v>0</v>
      </c>
      <c r="K9412" t="n">
        <v>0</v>
      </c>
      <c r="L9412" t="n">
        <v>0</v>
      </c>
      <c r="M9412" t="n">
        <v>0</v>
      </c>
      <c r="N9412" t="n">
        <v>0</v>
      </c>
      <c r="O9412" t="n">
        <v>0</v>
      </c>
      <c r="P9412" t="n">
        <v>0</v>
      </c>
      <c r="Q9412" t="n">
        <v>0</v>
      </c>
      <c r="R9412" s="2" t="inlineStr"/>
    </row>
    <row r="9413" ht="15" customHeight="1">
      <c r="A9413" t="inlineStr">
        <is>
          <t>A 40239-2025</t>
        </is>
      </c>
      <c r="B9413" s="1" t="n">
        <v>45894.84497685185</v>
      </c>
      <c r="C9413" s="1" t="n">
        <v>45952</v>
      </c>
      <c r="D9413" t="inlineStr">
        <is>
          <t>VÄSTRA GÖTALANDS LÄN</t>
        </is>
      </c>
      <c r="E9413" t="inlineStr">
        <is>
          <t>VÅRGÅRDA</t>
        </is>
      </c>
      <c r="G9413" t="n">
        <v>0.8</v>
      </c>
      <c r="H9413" t="n">
        <v>0</v>
      </c>
      <c r="I9413" t="n">
        <v>0</v>
      </c>
      <c r="J9413" t="n">
        <v>0</v>
      </c>
      <c r="K9413" t="n">
        <v>0</v>
      </c>
      <c r="L9413" t="n">
        <v>0</v>
      </c>
      <c r="M9413" t="n">
        <v>0</v>
      </c>
      <c r="N9413" t="n">
        <v>0</v>
      </c>
      <c r="O9413" t="n">
        <v>0</v>
      </c>
      <c r="P9413" t="n">
        <v>0</v>
      </c>
      <c r="Q9413" t="n">
        <v>0</v>
      </c>
      <c r="R9413" s="2" t="inlineStr"/>
    </row>
    <row r="9414" ht="15" customHeight="1">
      <c r="A9414" t="inlineStr">
        <is>
          <t>A 40258-2025</t>
        </is>
      </c>
      <c r="B9414" s="1" t="n">
        <v>45895.32802083333</v>
      </c>
      <c r="C9414" s="1" t="n">
        <v>45952</v>
      </c>
      <c r="D9414" t="inlineStr">
        <is>
          <t>VÄSTRA GÖTALANDS LÄN</t>
        </is>
      </c>
      <c r="E9414" t="inlineStr">
        <is>
          <t>MARK</t>
        </is>
      </c>
      <c r="G9414" t="n">
        <v>3.4</v>
      </c>
      <c r="H9414" t="n">
        <v>0</v>
      </c>
      <c r="I9414" t="n">
        <v>0</v>
      </c>
      <c r="J9414" t="n">
        <v>0</v>
      </c>
      <c r="K9414" t="n">
        <v>0</v>
      </c>
      <c r="L9414" t="n">
        <v>0</v>
      </c>
      <c r="M9414" t="n">
        <v>0</v>
      </c>
      <c r="N9414" t="n">
        <v>0</v>
      </c>
      <c r="O9414" t="n">
        <v>0</v>
      </c>
      <c r="P9414" t="n">
        <v>0</v>
      </c>
      <c r="Q9414" t="n">
        <v>0</v>
      </c>
      <c r="R9414" s="2" t="inlineStr"/>
    </row>
    <row r="9415" ht="15" customHeight="1">
      <c r="A9415" t="inlineStr">
        <is>
          <t>A 17911-2024</t>
        </is>
      </c>
      <c r="B9415" s="1" t="n">
        <v>45419.51291666667</v>
      </c>
      <c r="C9415" s="1" t="n">
        <v>45952</v>
      </c>
      <c r="D9415" t="inlineStr">
        <is>
          <t>VÄSTRA GÖTALANDS LÄN</t>
        </is>
      </c>
      <c r="E9415" t="inlineStr">
        <is>
          <t>FÄRGELANDA</t>
        </is>
      </c>
      <c r="F9415" t="inlineStr">
        <is>
          <t>Kommuner</t>
        </is>
      </c>
      <c r="G9415" t="n">
        <v>1</v>
      </c>
      <c r="H9415" t="n">
        <v>0</v>
      </c>
      <c r="I9415" t="n">
        <v>0</v>
      </c>
      <c r="J9415" t="n">
        <v>0</v>
      </c>
      <c r="K9415" t="n">
        <v>0</v>
      </c>
      <c r="L9415" t="n">
        <v>0</v>
      </c>
      <c r="M9415" t="n">
        <v>0</v>
      </c>
      <c r="N9415" t="n">
        <v>0</v>
      </c>
      <c r="O9415" t="n">
        <v>0</v>
      </c>
      <c r="P9415" t="n">
        <v>0</v>
      </c>
      <c r="Q9415" t="n">
        <v>0</v>
      </c>
      <c r="R9415" s="2" t="inlineStr"/>
    </row>
    <row r="9416" ht="15" customHeight="1">
      <c r="A9416" t="inlineStr">
        <is>
          <t>A 48955-2025</t>
        </is>
      </c>
      <c r="B9416" s="1" t="n">
        <v>45937</v>
      </c>
      <c r="C9416" s="1" t="n">
        <v>45952</v>
      </c>
      <c r="D9416" t="inlineStr">
        <is>
          <t>VÄSTRA GÖTALANDS LÄN</t>
        </is>
      </c>
      <c r="E9416" t="inlineStr">
        <is>
          <t>VÅRGÅRDA</t>
        </is>
      </c>
      <c r="G9416" t="n">
        <v>7</v>
      </c>
      <c r="H9416" t="n">
        <v>0</v>
      </c>
      <c r="I9416" t="n">
        <v>0</v>
      </c>
      <c r="J9416" t="n">
        <v>0</v>
      </c>
      <c r="K9416" t="n">
        <v>0</v>
      </c>
      <c r="L9416" t="n">
        <v>0</v>
      </c>
      <c r="M9416" t="n">
        <v>0</v>
      </c>
      <c r="N9416" t="n">
        <v>0</v>
      </c>
      <c r="O9416" t="n">
        <v>0</v>
      </c>
      <c r="P9416" t="n">
        <v>0</v>
      </c>
      <c r="Q9416" t="n">
        <v>0</v>
      </c>
      <c r="R9416" s="2" t="inlineStr"/>
    </row>
    <row r="9417" ht="15" customHeight="1">
      <c r="A9417" t="inlineStr">
        <is>
          <t>A 60241-2024</t>
        </is>
      </c>
      <c r="B9417" s="1" t="n">
        <v>45642</v>
      </c>
      <c r="C9417" s="1" t="n">
        <v>45952</v>
      </c>
      <c r="D9417" t="inlineStr">
        <is>
          <t>VÄSTRA GÖTALANDS LÄN</t>
        </is>
      </c>
      <c r="E9417" t="inlineStr">
        <is>
          <t>UDDEVALLA</t>
        </is>
      </c>
      <c r="G9417" t="n">
        <v>1.6</v>
      </c>
      <c r="H9417" t="n">
        <v>0</v>
      </c>
      <c r="I9417" t="n">
        <v>0</v>
      </c>
      <c r="J9417" t="n">
        <v>0</v>
      </c>
      <c r="K9417" t="n">
        <v>0</v>
      </c>
      <c r="L9417" t="n">
        <v>0</v>
      </c>
      <c r="M9417" t="n">
        <v>0</v>
      </c>
      <c r="N9417" t="n">
        <v>0</v>
      </c>
      <c r="O9417" t="n">
        <v>0</v>
      </c>
      <c r="P9417" t="n">
        <v>0</v>
      </c>
      <c r="Q9417" t="n">
        <v>0</v>
      </c>
      <c r="R9417" s="2" t="inlineStr"/>
    </row>
    <row r="9418" ht="15" customHeight="1">
      <c r="A9418" t="inlineStr">
        <is>
          <t>A 48788-2025</t>
        </is>
      </c>
      <c r="B9418" s="1" t="n">
        <v>45937.32173611111</v>
      </c>
      <c r="C9418" s="1" t="n">
        <v>45952</v>
      </c>
      <c r="D9418" t="inlineStr">
        <is>
          <t>VÄSTRA GÖTALANDS LÄN</t>
        </is>
      </c>
      <c r="E9418" t="inlineStr">
        <is>
          <t>TROLLHÄTTAN</t>
        </is>
      </c>
      <c r="G9418" t="n">
        <v>4.5</v>
      </c>
      <c r="H9418" t="n">
        <v>0</v>
      </c>
      <c r="I9418" t="n">
        <v>0</v>
      </c>
      <c r="J9418" t="n">
        <v>0</v>
      </c>
      <c r="K9418" t="n">
        <v>0</v>
      </c>
      <c r="L9418" t="n">
        <v>0</v>
      </c>
      <c r="M9418" t="n">
        <v>0</v>
      </c>
      <c r="N9418" t="n">
        <v>0</v>
      </c>
      <c r="O9418" t="n">
        <v>0</v>
      </c>
      <c r="P9418" t="n">
        <v>0</v>
      </c>
      <c r="Q9418" t="n">
        <v>0</v>
      </c>
      <c r="R9418" s="2" t="inlineStr"/>
    </row>
    <row r="9419" ht="15" customHeight="1">
      <c r="A9419" t="inlineStr">
        <is>
          <t>A 29357-2024</t>
        </is>
      </c>
      <c r="B9419" s="1" t="n">
        <v>45483</v>
      </c>
      <c r="C9419" s="1" t="n">
        <v>45952</v>
      </c>
      <c r="D9419" t="inlineStr">
        <is>
          <t>VÄSTRA GÖTALANDS LÄN</t>
        </is>
      </c>
      <c r="E9419" t="inlineStr">
        <is>
          <t>KARLSBORG</t>
        </is>
      </c>
      <c r="F9419" t="inlineStr">
        <is>
          <t>Sveaskog</t>
        </is>
      </c>
      <c r="G9419" t="n">
        <v>2.9</v>
      </c>
      <c r="H9419" t="n">
        <v>0</v>
      </c>
      <c r="I9419" t="n">
        <v>0</v>
      </c>
      <c r="J9419" t="n">
        <v>0</v>
      </c>
      <c r="K9419" t="n">
        <v>0</v>
      </c>
      <c r="L9419" t="n">
        <v>0</v>
      </c>
      <c r="M9419" t="n">
        <v>0</v>
      </c>
      <c r="N9419" t="n">
        <v>0</v>
      </c>
      <c r="O9419" t="n">
        <v>0</v>
      </c>
      <c r="P9419" t="n">
        <v>0</v>
      </c>
      <c r="Q9419" t="n">
        <v>0</v>
      </c>
      <c r="R9419" s="2" t="inlineStr"/>
    </row>
    <row r="9420" ht="15" customHeight="1">
      <c r="A9420" t="inlineStr">
        <is>
          <t>A 23470-2025</t>
        </is>
      </c>
      <c r="B9420" s="1" t="n">
        <v>45792.44034722223</v>
      </c>
      <c r="C9420" s="1" t="n">
        <v>45952</v>
      </c>
      <c r="D9420" t="inlineStr">
        <is>
          <t>VÄSTRA GÖTALANDS LÄN</t>
        </is>
      </c>
      <c r="E9420" t="inlineStr">
        <is>
          <t>BENGTSFORS</t>
        </is>
      </c>
      <c r="G9420" t="n">
        <v>3.3</v>
      </c>
      <c r="H9420" t="n">
        <v>0</v>
      </c>
      <c r="I9420" t="n">
        <v>0</v>
      </c>
      <c r="J9420" t="n">
        <v>0</v>
      </c>
      <c r="K9420" t="n">
        <v>0</v>
      </c>
      <c r="L9420" t="n">
        <v>0</v>
      </c>
      <c r="M9420" t="n">
        <v>0</v>
      </c>
      <c r="N9420" t="n">
        <v>0</v>
      </c>
      <c r="O9420" t="n">
        <v>0</v>
      </c>
      <c r="P9420" t="n">
        <v>0</v>
      </c>
      <c r="Q9420" t="n">
        <v>0</v>
      </c>
      <c r="R9420" s="2" t="inlineStr"/>
    </row>
    <row r="9421" ht="15" customHeight="1">
      <c r="A9421" t="inlineStr">
        <is>
          <t>A 41382-2024</t>
        </is>
      </c>
      <c r="B9421" s="1" t="n">
        <v>45560.27940972222</v>
      </c>
      <c r="C9421" s="1" t="n">
        <v>45952</v>
      </c>
      <c r="D9421" t="inlineStr">
        <is>
          <t>VÄSTRA GÖTALANDS LÄN</t>
        </is>
      </c>
      <c r="E9421" t="inlineStr">
        <is>
          <t>SVENLJUNGA</t>
        </is>
      </c>
      <c r="G9421" t="n">
        <v>2.9</v>
      </c>
      <c r="H9421" t="n">
        <v>0</v>
      </c>
      <c r="I9421" t="n">
        <v>0</v>
      </c>
      <c r="J9421" t="n">
        <v>0</v>
      </c>
      <c r="K9421" t="n">
        <v>0</v>
      </c>
      <c r="L9421" t="n">
        <v>0</v>
      </c>
      <c r="M9421" t="n">
        <v>0</v>
      </c>
      <c r="N9421" t="n">
        <v>0</v>
      </c>
      <c r="O9421" t="n">
        <v>0</v>
      </c>
      <c r="P9421" t="n">
        <v>0</v>
      </c>
      <c r="Q9421" t="n">
        <v>0</v>
      </c>
      <c r="R9421" s="2" t="inlineStr"/>
    </row>
    <row r="9422" ht="15" customHeight="1">
      <c r="A9422" t="inlineStr">
        <is>
          <t>A 62643-2020</t>
        </is>
      </c>
      <c r="B9422" s="1" t="n">
        <v>44161</v>
      </c>
      <c r="C9422" s="1" t="n">
        <v>45952</v>
      </c>
      <c r="D9422" t="inlineStr">
        <is>
          <t>VÄSTRA GÖTALANDS LÄN</t>
        </is>
      </c>
      <c r="E9422" t="inlineStr">
        <is>
          <t>UDDEVALLA</t>
        </is>
      </c>
      <c r="G9422" t="n">
        <v>1</v>
      </c>
      <c r="H9422" t="n">
        <v>0</v>
      </c>
      <c r="I9422" t="n">
        <v>0</v>
      </c>
      <c r="J9422" t="n">
        <v>0</v>
      </c>
      <c r="K9422" t="n">
        <v>0</v>
      </c>
      <c r="L9422" t="n">
        <v>0</v>
      </c>
      <c r="M9422" t="n">
        <v>0</v>
      </c>
      <c r="N9422" t="n">
        <v>0</v>
      </c>
      <c r="O9422" t="n">
        <v>0</v>
      </c>
      <c r="P9422" t="n">
        <v>0</v>
      </c>
      <c r="Q9422" t="n">
        <v>0</v>
      </c>
      <c r="R9422" s="2" t="inlineStr"/>
    </row>
    <row r="9423" ht="15" customHeight="1">
      <c r="A9423" t="inlineStr">
        <is>
          <t>A 23668-2025</t>
        </is>
      </c>
      <c r="B9423" s="1" t="n">
        <v>45792.90586805555</v>
      </c>
      <c r="C9423" s="1" t="n">
        <v>45952</v>
      </c>
      <c r="D9423" t="inlineStr">
        <is>
          <t>VÄSTRA GÖTALANDS LÄN</t>
        </is>
      </c>
      <c r="E9423" t="inlineStr">
        <is>
          <t>VARA</t>
        </is>
      </c>
      <c r="G9423" t="n">
        <v>1</v>
      </c>
      <c r="H9423" t="n">
        <v>0</v>
      </c>
      <c r="I9423" t="n">
        <v>0</v>
      </c>
      <c r="J9423" t="n">
        <v>0</v>
      </c>
      <c r="K9423" t="n">
        <v>0</v>
      </c>
      <c r="L9423" t="n">
        <v>0</v>
      </c>
      <c r="M9423" t="n">
        <v>0</v>
      </c>
      <c r="N9423" t="n">
        <v>0</v>
      </c>
      <c r="O9423" t="n">
        <v>0</v>
      </c>
      <c r="P9423" t="n">
        <v>0</v>
      </c>
      <c r="Q9423" t="n">
        <v>0</v>
      </c>
      <c r="R9423" s="2" t="inlineStr"/>
    </row>
    <row r="9424" ht="15" customHeight="1">
      <c r="A9424" t="inlineStr">
        <is>
          <t>A 62743-2020</t>
        </is>
      </c>
      <c r="B9424" s="1" t="n">
        <v>44161</v>
      </c>
      <c r="C9424" s="1" t="n">
        <v>45952</v>
      </c>
      <c r="D9424" t="inlineStr">
        <is>
          <t>VÄSTRA GÖTALANDS LÄN</t>
        </is>
      </c>
      <c r="E9424" t="inlineStr">
        <is>
          <t>ULRICEHAMN</t>
        </is>
      </c>
      <c r="F9424" t="inlineStr">
        <is>
          <t>Kommuner</t>
        </is>
      </c>
      <c r="G9424" t="n">
        <v>1.6</v>
      </c>
      <c r="H9424" t="n">
        <v>0</v>
      </c>
      <c r="I9424" t="n">
        <v>0</v>
      </c>
      <c r="J9424" t="n">
        <v>0</v>
      </c>
      <c r="K9424" t="n">
        <v>0</v>
      </c>
      <c r="L9424" t="n">
        <v>0</v>
      </c>
      <c r="M9424" t="n">
        <v>0</v>
      </c>
      <c r="N9424" t="n">
        <v>0</v>
      </c>
      <c r="O9424" t="n">
        <v>0</v>
      </c>
      <c r="P9424" t="n">
        <v>0</v>
      </c>
      <c r="Q9424" t="n">
        <v>0</v>
      </c>
      <c r="R9424" s="2" t="inlineStr"/>
    </row>
    <row r="9425" ht="15" customHeight="1">
      <c r="A9425" t="inlineStr">
        <is>
          <t>A 5811-2025</t>
        </is>
      </c>
      <c r="B9425" s="1" t="n">
        <v>45694.7127662037</v>
      </c>
      <c r="C9425" s="1" t="n">
        <v>45952</v>
      </c>
      <c r="D9425" t="inlineStr">
        <is>
          <t>VÄSTRA GÖTALANDS LÄN</t>
        </is>
      </c>
      <c r="E9425" t="inlineStr">
        <is>
          <t>LILLA EDET</t>
        </is>
      </c>
      <c r="G9425" t="n">
        <v>1.1</v>
      </c>
      <c r="H9425" t="n">
        <v>0</v>
      </c>
      <c r="I9425" t="n">
        <v>0</v>
      </c>
      <c r="J9425" t="n">
        <v>0</v>
      </c>
      <c r="K9425" t="n">
        <v>0</v>
      </c>
      <c r="L9425" t="n">
        <v>0</v>
      </c>
      <c r="M9425" t="n">
        <v>0</v>
      </c>
      <c r="N9425" t="n">
        <v>0</v>
      </c>
      <c r="O9425" t="n">
        <v>0</v>
      </c>
      <c r="P9425" t="n">
        <v>0</v>
      </c>
      <c r="Q9425" t="n">
        <v>0</v>
      </c>
      <c r="R9425" s="2" t="inlineStr"/>
    </row>
    <row r="9426" ht="15" customHeight="1">
      <c r="A9426" t="inlineStr">
        <is>
          <t>A 5819-2025</t>
        </is>
      </c>
      <c r="B9426" s="1" t="n">
        <v>45694.76770833333</v>
      </c>
      <c r="C9426" s="1" t="n">
        <v>45952</v>
      </c>
      <c r="D9426" t="inlineStr">
        <is>
          <t>VÄSTRA GÖTALANDS LÄN</t>
        </is>
      </c>
      <c r="E9426" t="inlineStr">
        <is>
          <t>TÖREBODA</t>
        </is>
      </c>
      <c r="G9426" t="n">
        <v>0.7</v>
      </c>
      <c r="H9426" t="n">
        <v>0</v>
      </c>
      <c r="I9426" t="n">
        <v>0</v>
      </c>
      <c r="J9426" t="n">
        <v>0</v>
      </c>
      <c r="K9426" t="n">
        <v>0</v>
      </c>
      <c r="L9426" t="n">
        <v>0</v>
      </c>
      <c r="M9426" t="n">
        <v>0</v>
      </c>
      <c r="N9426" t="n">
        <v>0</v>
      </c>
      <c r="O9426" t="n">
        <v>0</v>
      </c>
      <c r="P9426" t="n">
        <v>0</v>
      </c>
      <c r="Q9426" t="n">
        <v>0</v>
      </c>
      <c r="R9426" s="2" t="inlineStr"/>
    </row>
    <row r="9427" ht="15" customHeight="1">
      <c r="A9427" t="inlineStr">
        <is>
          <t>A 62744-2020</t>
        </is>
      </c>
      <c r="B9427" s="1" t="n">
        <v>44161</v>
      </c>
      <c r="C9427" s="1" t="n">
        <v>45952</v>
      </c>
      <c r="D9427" t="inlineStr">
        <is>
          <t>VÄSTRA GÖTALANDS LÄN</t>
        </is>
      </c>
      <c r="E9427" t="inlineStr">
        <is>
          <t>ULRICEHAMN</t>
        </is>
      </c>
      <c r="F9427" t="inlineStr">
        <is>
          <t>Kommuner</t>
        </is>
      </c>
      <c r="G9427" t="n">
        <v>1.5</v>
      </c>
      <c r="H9427" t="n">
        <v>0</v>
      </c>
      <c r="I9427" t="n">
        <v>0</v>
      </c>
      <c r="J9427" t="n">
        <v>0</v>
      </c>
      <c r="K9427" t="n">
        <v>0</v>
      </c>
      <c r="L9427" t="n">
        <v>0</v>
      </c>
      <c r="M9427" t="n">
        <v>0</v>
      </c>
      <c r="N9427" t="n">
        <v>0</v>
      </c>
      <c r="O9427" t="n">
        <v>0</v>
      </c>
      <c r="P9427" t="n">
        <v>0</v>
      </c>
      <c r="Q9427" t="n">
        <v>0</v>
      </c>
      <c r="R9427" s="2" t="inlineStr"/>
    </row>
    <row r="9428" ht="15" customHeight="1">
      <c r="A9428" t="inlineStr">
        <is>
          <t>A 23865-2025</t>
        </is>
      </c>
      <c r="B9428" s="1" t="n">
        <v>45793.67059027778</v>
      </c>
      <c r="C9428" s="1" t="n">
        <v>45952</v>
      </c>
      <c r="D9428" t="inlineStr">
        <is>
          <t>VÄSTRA GÖTALANDS LÄN</t>
        </is>
      </c>
      <c r="E9428" t="inlineStr">
        <is>
          <t>VARA</t>
        </is>
      </c>
      <c r="G9428" t="n">
        <v>1.2</v>
      </c>
      <c r="H9428" t="n">
        <v>0</v>
      </c>
      <c r="I9428" t="n">
        <v>0</v>
      </c>
      <c r="J9428" t="n">
        <v>0</v>
      </c>
      <c r="K9428" t="n">
        <v>0</v>
      </c>
      <c r="L9428" t="n">
        <v>0</v>
      </c>
      <c r="M9428" t="n">
        <v>0</v>
      </c>
      <c r="N9428" t="n">
        <v>0</v>
      </c>
      <c r="O9428" t="n">
        <v>0</v>
      </c>
      <c r="P9428" t="n">
        <v>0</v>
      </c>
      <c r="Q9428" t="n">
        <v>0</v>
      </c>
      <c r="R9428" s="2" t="inlineStr"/>
    </row>
    <row r="9429" ht="15" customHeight="1">
      <c r="A9429" t="inlineStr">
        <is>
          <t>A 40135-2025</t>
        </is>
      </c>
      <c r="B9429" s="1" t="n">
        <v>45894</v>
      </c>
      <c r="C9429" s="1" t="n">
        <v>45952</v>
      </c>
      <c r="D9429" t="inlineStr">
        <is>
          <t>VÄSTRA GÖTALANDS LÄN</t>
        </is>
      </c>
      <c r="E9429" t="inlineStr">
        <is>
          <t>UDDEVALLA</t>
        </is>
      </c>
      <c r="G9429" t="n">
        <v>0.9</v>
      </c>
      <c r="H9429" t="n">
        <v>0</v>
      </c>
      <c r="I9429" t="n">
        <v>0</v>
      </c>
      <c r="J9429" t="n">
        <v>0</v>
      </c>
      <c r="K9429" t="n">
        <v>0</v>
      </c>
      <c r="L9429" t="n">
        <v>0</v>
      </c>
      <c r="M9429" t="n">
        <v>0</v>
      </c>
      <c r="N9429" t="n">
        <v>0</v>
      </c>
      <c r="O9429" t="n">
        <v>0</v>
      </c>
      <c r="P9429" t="n">
        <v>0</v>
      </c>
      <c r="Q9429" t="n">
        <v>0</v>
      </c>
      <c r="R9429" s="2" t="inlineStr"/>
    </row>
    <row r="9430" ht="15" customHeight="1">
      <c r="A9430" t="inlineStr">
        <is>
          <t>A 48899-2025</t>
        </is>
      </c>
      <c r="B9430" s="1" t="n">
        <v>45937.48063657407</v>
      </c>
      <c r="C9430" s="1" t="n">
        <v>45952</v>
      </c>
      <c r="D9430" t="inlineStr">
        <is>
          <t>VÄSTRA GÖTALANDS LÄN</t>
        </is>
      </c>
      <c r="E9430" t="inlineStr">
        <is>
          <t>TIDAHOLM</t>
        </is>
      </c>
      <c r="G9430" t="n">
        <v>3.5</v>
      </c>
      <c r="H9430" t="n">
        <v>0</v>
      </c>
      <c r="I9430" t="n">
        <v>0</v>
      </c>
      <c r="J9430" t="n">
        <v>0</v>
      </c>
      <c r="K9430" t="n">
        <v>0</v>
      </c>
      <c r="L9430" t="n">
        <v>0</v>
      </c>
      <c r="M9430" t="n">
        <v>0</v>
      </c>
      <c r="N9430" t="n">
        <v>0</v>
      </c>
      <c r="O9430" t="n">
        <v>0</v>
      </c>
      <c r="P9430" t="n">
        <v>0</v>
      </c>
      <c r="Q9430" t="n">
        <v>0</v>
      </c>
      <c r="R9430" s="2" t="inlineStr"/>
    </row>
    <row r="9431" ht="15" customHeight="1">
      <c r="A9431" t="inlineStr">
        <is>
          <t>A 48903-2025</t>
        </is>
      </c>
      <c r="B9431" s="1" t="n">
        <v>45937.48201388889</v>
      </c>
      <c r="C9431" s="1" t="n">
        <v>45952</v>
      </c>
      <c r="D9431" t="inlineStr">
        <is>
          <t>VÄSTRA GÖTALANDS LÄN</t>
        </is>
      </c>
      <c r="E9431" t="inlineStr">
        <is>
          <t>TIDAHOLM</t>
        </is>
      </c>
      <c r="G9431" t="n">
        <v>3.5</v>
      </c>
      <c r="H9431" t="n">
        <v>0</v>
      </c>
      <c r="I9431" t="n">
        <v>0</v>
      </c>
      <c r="J9431" t="n">
        <v>0</v>
      </c>
      <c r="K9431" t="n">
        <v>0</v>
      </c>
      <c r="L9431" t="n">
        <v>0</v>
      </c>
      <c r="M9431" t="n">
        <v>0</v>
      </c>
      <c r="N9431" t="n">
        <v>0</v>
      </c>
      <c r="O9431" t="n">
        <v>0</v>
      </c>
      <c r="P9431" t="n">
        <v>0</v>
      </c>
      <c r="Q9431" t="n">
        <v>0</v>
      </c>
      <c r="R9431" s="2" t="inlineStr"/>
    </row>
    <row r="9432" ht="15" customHeight="1">
      <c r="A9432" t="inlineStr">
        <is>
          <t>A 23375-2025</t>
        </is>
      </c>
      <c r="B9432" s="1" t="n">
        <v>45791.78855324074</v>
      </c>
      <c r="C9432" s="1" t="n">
        <v>45952</v>
      </c>
      <c r="D9432" t="inlineStr">
        <is>
          <t>VÄSTRA GÖTALANDS LÄN</t>
        </is>
      </c>
      <c r="E9432" t="inlineStr">
        <is>
          <t>DALS-ED</t>
        </is>
      </c>
      <c r="F9432" t="inlineStr">
        <is>
          <t>Övriga Aktiebolag</t>
        </is>
      </c>
      <c r="G9432" t="n">
        <v>2.1</v>
      </c>
      <c r="H9432" t="n">
        <v>0</v>
      </c>
      <c r="I9432" t="n">
        <v>0</v>
      </c>
      <c r="J9432" t="n">
        <v>0</v>
      </c>
      <c r="K9432" t="n">
        <v>0</v>
      </c>
      <c r="L9432" t="n">
        <v>0</v>
      </c>
      <c r="M9432" t="n">
        <v>0</v>
      </c>
      <c r="N9432" t="n">
        <v>0</v>
      </c>
      <c r="O9432" t="n">
        <v>0</v>
      </c>
      <c r="P9432" t="n">
        <v>0</v>
      </c>
      <c r="Q9432" t="n">
        <v>0</v>
      </c>
      <c r="R9432" s="2" t="inlineStr"/>
    </row>
    <row r="9433" ht="15" customHeight="1">
      <c r="A9433" t="inlineStr">
        <is>
          <t>A 5415-2021</t>
        </is>
      </c>
      <c r="B9433" s="1" t="n">
        <v>44228</v>
      </c>
      <c r="C9433" s="1" t="n">
        <v>45952</v>
      </c>
      <c r="D9433" t="inlineStr">
        <is>
          <t>VÄSTRA GÖTALANDS LÄN</t>
        </is>
      </c>
      <c r="E9433" t="inlineStr">
        <is>
          <t>TANUM</t>
        </is>
      </c>
      <c r="G9433" t="n">
        <v>2.4</v>
      </c>
      <c r="H9433" t="n">
        <v>0</v>
      </c>
      <c r="I9433" t="n">
        <v>0</v>
      </c>
      <c r="J9433" t="n">
        <v>0</v>
      </c>
      <c r="K9433" t="n">
        <v>0</v>
      </c>
      <c r="L9433" t="n">
        <v>0</v>
      </c>
      <c r="M9433" t="n">
        <v>0</v>
      </c>
      <c r="N9433" t="n">
        <v>0</v>
      </c>
      <c r="O9433" t="n">
        <v>0</v>
      </c>
      <c r="P9433" t="n">
        <v>0</v>
      </c>
      <c r="Q9433" t="n">
        <v>0</v>
      </c>
      <c r="R9433" s="2" t="inlineStr"/>
    </row>
    <row r="9434" ht="15" customHeight="1">
      <c r="A9434" t="inlineStr">
        <is>
          <t>A 23480-2025</t>
        </is>
      </c>
      <c r="B9434" s="1" t="n">
        <v>45792.45846064815</v>
      </c>
      <c r="C9434" s="1" t="n">
        <v>45952</v>
      </c>
      <c r="D9434" t="inlineStr">
        <is>
          <t>VÄSTRA GÖTALANDS LÄN</t>
        </is>
      </c>
      <c r="E9434" t="inlineStr">
        <is>
          <t>MARK</t>
        </is>
      </c>
      <c r="G9434" t="n">
        <v>1.1</v>
      </c>
      <c r="H9434" t="n">
        <v>0</v>
      </c>
      <c r="I9434" t="n">
        <v>0</v>
      </c>
      <c r="J9434" t="n">
        <v>0</v>
      </c>
      <c r="K9434" t="n">
        <v>0</v>
      </c>
      <c r="L9434" t="n">
        <v>0</v>
      </c>
      <c r="M9434" t="n">
        <v>0</v>
      </c>
      <c r="N9434" t="n">
        <v>0</v>
      </c>
      <c r="O9434" t="n">
        <v>0</v>
      </c>
      <c r="P9434" t="n">
        <v>0</v>
      </c>
      <c r="Q9434" t="n">
        <v>0</v>
      </c>
      <c r="R9434" s="2" t="inlineStr"/>
    </row>
    <row r="9435" ht="15" customHeight="1">
      <c r="A9435" t="inlineStr">
        <is>
          <t>A 23486-2025</t>
        </is>
      </c>
      <c r="B9435" s="1" t="n">
        <v>45792.46371527778</v>
      </c>
      <c r="C9435" s="1" t="n">
        <v>45952</v>
      </c>
      <c r="D9435" t="inlineStr">
        <is>
          <t>VÄSTRA GÖTALANDS LÄN</t>
        </is>
      </c>
      <c r="E9435" t="inlineStr">
        <is>
          <t>MARK</t>
        </is>
      </c>
      <c r="G9435" t="n">
        <v>0.6</v>
      </c>
      <c r="H9435" t="n">
        <v>0</v>
      </c>
      <c r="I9435" t="n">
        <v>0</v>
      </c>
      <c r="J9435" t="n">
        <v>0</v>
      </c>
      <c r="K9435" t="n">
        <v>0</v>
      </c>
      <c r="L9435" t="n">
        <v>0</v>
      </c>
      <c r="M9435" t="n">
        <v>0</v>
      </c>
      <c r="N9435" t="n">
        <v>0</v>
      </c>
      <c r="O9435" t="n">
        <v>0</v>
      </c>
      <c r="P9435" t="n">
        <v>0</v>
      </c>
      <c r="Q9435" t="n">
        <v>0</v>
      </c>
      <c r="R9435" s="2" t="inlineStr"/>
    </row>
    <row r="9436" ht="15" customHeight="1">
      <c r="A9436" t="inlineStr">
        <is>
          <t>A 40154-2025</t>
        </is>
      </c>
      <c r="B9436" s="1" t="n">
        <v>45894.5980787037</v>
      </c>
      <c r="C9436" s="1" t="n">
        <v>45952</v>
      </c>
      <c r="D9436" t="inlineStr">
        <is>
          <t>VÄSTRA GÖTALANDS LÄN</t>
        </is>
      </c>
      <c r="E9436" t="inlineStr">
        <is>
          <t>LYSEKIL</t>
        </is>
      </c>
      <c r="G9436" t="n">
        <v>1.7</v>
      </c>
      <c r="H9436" t="n">
        <v>0</v>
      </c>
      <c r="I9436" t="n">
        <v>0</v>
      </c>
      <c r="J9436" t="n">
        <v>0</v>
      </c>
      <c r="K9436" t="n">
        <v>0</v>
      </c>
      <c r="L9436" t="n">
        <v>0</v>
      </c>
      <c r="M9436" t="n">
        <v>0</v>
      </c>
      <c r="N9436" t="n">
        <v>0</v>
      </c>
      <c r="O9436" t="n">
        <v>0</v>
      </c>
      <c r="P9436" t="n">
        <v>0</v>
      </c>
      <c r="Q9436" t="n">
        <v>0</v>
      </c>
      <c r="R9436" s="2" t="inlineStr"/>
    </row>
    <row r="9437" ht="15" customHeight="1">
      <c r="A9437" t="inlineStr">
        <is>
          <t>A 48912-2025</t>
        </is>
      </c>
      <c r="B9437" s="1" t="n">
        <v>45937.4890625</v>
      </c>
      <c r="C9437" s="1" t="n">
        <v>45952</v>
      </c>
      <c r="D9437" t="inlineStr">
        <is>
          <t>VÄSTRA GÖTALANDS LÄN</t>
        </is>
      </c>
      <c r="E9437" t="inlineStr">
        <is>
          <t>MARK</t>
        </is>
      </c>
      <c r="G9437" t="n">
        <v>7.4</v>
      </c>
      <c r="H9437" t="n">
        <v>0</v>
      </c>
      <c r="I9437" t="n">
        <v>0</v>
      </c>
      <c r="J9437" t="n">
        <v>0</v>
      </c>
      <c r="K9437" t="n">
        <v>0</v>
      </c>
      <c r="L9437" t="n">
        <v>0</v>
      </c>
      <c r="M9437" t="n">
        <v>0</v>
      </c>
      <c r="N9437" t="n">
        <v>0</v>
      </c>
      <c r="O9437" t="n">
        <v>0</v>
      </c>
      <c r="P9437" t="n">
        <v>0</v>
      </c>
      <c r="Q9437" t="n">
        <v>0</v>
      </c>
      <c r="R9437" s="2" t="inlineStr"/>
    </row>
    <row r="9438" ht="15" customHeight="1">
      <c r="A9438" t="inlineStr">
        <is>
          <t>A 33747-2023</t>
        </is>
      </c>
      <c r="B9438" s="1" t="n">
        <v>45133.39594907407</v>
      </c>
      <c r="C9438" s="1" t="n">
        <v>45952</v>
      </c>
      <c r="D9438" t="inlineStr">
        <is>
          <t>VÄSTRA GÖTALANDS LÄN</t>
        </is>
      </c>
      <c r="E9438" t="inlineStr">
        <is>
          <t>STRÖMSTAD</t>
        </is>
      </c>
      <c r="G9438" t="n">
        <v>0.6</v>
      </c>
      <c r="H9438" t="n">
        <v>0</v>
      </c>
      <c r="I9438" t="n">
        <v>0</v>
      </c>
      <c r="J9438" t="n">
        <v>0</v>
      </c>
      <c r="K9438" t="n">
        <v>0</v>
      </c>
      <c r="L9438" t="n">
        <v>0</v>
      </c>
      <c r="M9438" t="n">
        <v>0</v>
      </c>
      <c r="N9438" t="n">
        <v>0</v>
      </c>
      <c r="O9438" t="n">
        <v>0</v>
      </c>
      <c r="P9438" t="n">
        <v>0</v>
      </c>
      <c r="Q9438" t="n">
        <v>0</v>
      </c>
      <c r="R9438" s="2" t="inlineStr"/>
    </row>
    <row r="9439" ht="15" customHeight="1">
      <c r="A9439" t="inlineStr">
        <is>
          <t>A 33754-2023</t>
        </is>
      </c>
      <c r="B9439" s="1" t="n">
        <v>45133.41232638889</v>
      </c>
      <c r="C9439" s="1" t="n">
        <v>45952</v>
      </c>
      <c r="D9439" t="inlineStr">
        <is>
          <t>VÄSTRA GÖTALANDS LÄN</t>
        </is>
      </c>
      <c r="E9439" t="inlineStr">
        <is>
          <t>TÖREBODA</t>
        </is>
      </c>
      <c r="G9439" t="n">
        <v>3.9</v>
      </c>
      <c r="H9439" t="n">
        <v>0</v>
      </c>
      <c r="I9439" t="n">
        <v>0</v>
      </c>
      <c r="J9439" t="n">
        <v>0</v>
      </c>
      <c r="K9439" t="n">
        <v>0</v>
      </c>
      <c r="L9439" t="n">
        <v>0</v>
      </c>
      <c r="M9439" t="n">
        <v>0</v>
      </c>
      <c r="N9439" t="n">
        <v>0</v>
      </c>
      <c r="O9439" t="n">
        <v>0</v>
      </c>
      <c r="P9439" t="n">
        <v>0</v>
      </c>
      <c r="Q9439" t="n">
        <v>0</v>
      </c>
      <c r="R9439" s="2" t="inlineStr"/>
    </row>
    <row r="9440" ht="15" customHeight="1">
      <c r="A9440" t="inlineStr">
        <is>
          <t>A 33761-2023</t>
        </is>
      </c>
      <c r="B9440" s="1" t="n">
        <v>45133</v>
      </c>
      <c r="C9440" s="1" t="n">
        <v>45952</v>
      </c>
      <c r="D9440" t="inlineStr">
        <is>
          <t>VÄSTRA GÖTALANDS LÄN</t>
        </is>
      </c>
      <c r="E9440" t="inlineStr">
        <is>
          <t>UDDEVALLA</t>
        </is>
      </c>
      <c r="G9440" t="n">
        <v>0.4</v>
      </c>
      <c r="H9440" t="n">
        <v>0</v>
      </c>
      <c r="I9440" t="n">
        <v>0</v>
      </c>
      <c r="J9440" t="n">
        <v>0</v>
      </c>
      <c r="K9440" t="n">
        <v>0</v>
      </c>
      <c r="L9440" t="n">
        <v>0</v>
      </c>
      <c r="M9440" t="n">
        <v>0</v>
      </c>
      <c r="N9440" t="n">
        <v>0</v>
      </c>
      <c r="O9440" t="n">
        <v>0</v>
      </c>
      <c r="P9440" t="n">
        <v>0</v>
      </c>
      <c r="Q9440" t="n">
        <v>0</v>
      </c>
      <c r="R9440" s="2" t="inlineStr"/>
    </row>
    <row r="9441" ht="15" customHeight="1">
      <c r="A9441" t="inlineStr">
        <is>
          <t>A 48990-2025</t>
        </is>
      </c>
      <c r="B9441" s="1" t="n">
        <v>45937</v>
      </c>
      <c r="C9441" s="1" t="n">
        <v>45952</v>
      </c>
      <c r="D9441" t="inlineStr">
        <is>
          <t>VÄSTRA GÖTALANDS LÄN</t>
        </is>
      </c>
      <c r="E9441" t="inlineStr">
        <is>
          <t>ULRICEHAMN</t>
        </is>
      </c>
      <c r="G9441" t="n">
        <v>1.6</v>
      </c>
      <c r="H9441" t="n">
        <v>0</v>
      </c>
      <c r="I9441" t="n">
        <v>0</v>
      </c>
      <c r="J9441" t="n">
        <v>0</v>
      </c>
      <c r="K9441" t="n">
        <v>0</v>
      </c>
      <c r="L9441" t="n">
        <v>0</v>
      </c>
      <c r="M9441" t="n">
        <v>0</v>
      </c>
      <c r="N9441" t="n">
        <v>0</v>
      </c>
      <c r="O9441" t="n">
        <v>0</v>
      </c>
      <c r="P9441" t="n">
        <v>0</v>
      </c>
      <c r="Q9441" t="n">
        <v>0</v>
      </c>
      <c r="R9441" s="2" t="inlineStr"/>
    </row>
    <row r="9442" ht="15" customHeight="1">
      <c r="A9442" t="inlineStr">
        <is>
          <t>A 33817-2023</t>
        </is>
      </c>
      <c r="B9442" s="1" t="n">
        <v>45133.59908564815</v>
      </c>
      <c r="C9442" s="1" t="n">
        <v>45952</v>
      </c>
      <c r="D9442" t="inlineStr">
        <is>
          <t>VÄSTRA GÖTALANDS LÄN</t>
        </is>
      </c>
      <c r="E9442" t="inlineStr">
        <is>
          <t>ESSUNGA</t>
        </is>
      </c>
      <c r="G9442" t="n">
        <v>0.8</v>
      </c>
      <c r="H9442" t="n">
        <v>0</v>
      </c>
      <c r="I9442" t="n">
        <v>0</v>
      </c>
      <c r="J9442" t="n">
        <v>0</v>
      </c>
      <c r="K9442" t="n">
        <v>0</v>
      </c>
      <c r="L9442" t="n">
        <v>0</v>
      </c>
      <c r="M9442" t="n">
        <v>0</v>
      </c>
      <c r="N9442" t="n">
        <v>0</v>
      </c>
      <c r="O9442" t="n">
        <v>0</v>
      </c>
      <c r="P9442" t="n">
        <v>0</v>
      </c>
      <c r="Q9442" t="n">
        <v>0</v>
      </c>
      <c r="R9442" s="2" t="inlineStr"/>
    </row>
    <row r="9443" ht="15" customHeight="1">
      <c r="A9443" t="inlineStr">
        <is>
          <t>A 57625-2024</t>
        </is>
      </c>
      <c r="B9443" s="1" t="n">
        <v>45630.55434027778</v>
      </c>
      <c r="C9443" s="1" t="n">
        <v>45952</v>
      </c>
      <c r="D9443" t="inlineStr">
        <is>
          <t>VÄSTRA GÖTALANDS LÄN</t>
        </is>
      </c>
      <c r="E9443" t="inlineStr">
        <is>
          <t>MUNKEDAL</t>
        </is>
      </c>
      <c r="G9443" t="n">
        <v>1.1</v>
      </c>
      <c r="H9443" t="n">
        <v>0</v>
      </c>
      <c r="I9443" t="n">
        <v>0</v>
      </c>
      <c r="J9443" t="n">
        <v>0</v>
      </c>
      <c r="K9443" t="n">
        <v>0</v>
      </c>
      <c r="L9443" t="n">
        <v>0</v>
      </c>
      <c r="M9443" t="n">
        <v>0</v>
      </c>
      <c r="N9443" t="n">
        <v>0</v>
      </c>
      <c r="O9443" t="n">
        <v>0</v>
      </c>
      <c r="P9443" t="n">
        <v>0</v>
      </c>
      <c r="Q9443" t="n">
        <v>0</v>
      </c>
      <c r="R9443" s="2" t="inlineStr"/>
    </row>
    <row r="9444" ht="15" customHeight="1">
      <c r="A9444" t="inlineStr">
        <is>
          <t>A 57630-2024</t>
        </is>
      </c>
      <c r="B9444" s="1" t="n">
        <v>45630.56054398148</v>
      </c>
      <c r="C9444" s="1" t="n">
        <v>45952</v>
      </c>
      <c r="D9444" t="inlineStr">
        <is>
          <t>VÄSTRA GÖTALANDS LÄN</t>
        </is>
      </c>
      <c r="E9444" t="inlineStr">
        <is>
          <t>MUNKEDAL</t>
        </is>
      </c>
      <c r="G9444" t="n">
        <v>2.1</v>
      </c>
      <c r="H9444" t="n">
        <v>0</v>
      </c>
      <c r="I9444" t="n">
        <v>0</v>
      </c>
      <c r="J9444" t="n">
        <v>0</v>
      </c>
      <c r="K9444" t="n">
        <v>0</v>
      </c>
      <c r="L9444" t="n">
        <v>0</v>
      </c>
      <c r="M9444" t="n">
        <v>0</v>
      </c>
      <c r="N9444" t="n">
        <v>0</v>
      </c>
      <c r="O9444" t="n">
        <v>0</v>
      </c>
      <c r="P9444" t="n">
        <v>0</v>
      </c>
      <c r="Q9444" t="n">
        <v>0</v>
      </c>
      <c r="R9444" s="2" t="inlineStr"/>
    </row>
    <row r="9445" ht="15" customHeight="1">
      <c r="A9445" t="inlineStr">
        <is>
          <t>A 40321-2025</t>
        </is>
      </c>
      <c r="B9445" s="1" t="n">
        <v>45895.44291666667</v>
      </c>
      <c r="C9445" s="1" t="n">
        <v>45952</v>
      </c>
      <c r="D9445" t="inlineStr">
        <is>
          <t>VÄSTRA GÖTALANDS LÄN</t>
        </is>
      </c>
      <c r="E9445" t="inlineStr">
        <is>
          <t>BORÅS</t>
        </is>
      </c>
      <c r="G9445" t="n">
        <v>2.2</v>
      </c>
      <c r="H9445" t="n">
        <v>0</v>
      </c>
      <c r="I9445" t="n">
        <v>0</v>
      </c>
      <c r="J9445" t="n">
        <v>0</v>
      </c>
      <c r="K9445" t="n">
        <v>0</v>
      </c>
      <c r="L9445" t="n">
        <v>0</v>
      </c>
      <c r="M9445" t="n">
        <v>0</v>
      </c>
      <c r="N9445" t="n">
        <v>0</v>
      </c>
      <c r="O9445" t="n">
        <v>0</v>
      </c>
      <c r="P9445" t="n">
        <v>0</v>
      </c>
      <c r="Q9445" t="n">
        <v>0</v>
      </c>
      <c r="R9445" s="2" t="inlineStr"/>
    </row>
    <row r="9446" ht="15" customHeight="1">
      <c r="A9446" t="inlineStr">
        <is>
          <t>A 40328-2025</t>
        </is>
      </c>
      <c r="B9446" s="1" t="n">
        <v>45895</v>
      </c>
      <c r="C9446" s="1" t="n">
        <v>45952</v>
      </c>
      <c r="D9446" t="inlineStr">
        <is>
          <t>VÄSTRA GÖTALANDS LÄN</t>
        </is>
      </c>
      <c r="E9446" t="inlineStr">
        <is>
          <t>ORUST</t>
        </is>
      </c>
      <c r="G9446" t="n">
        <v>3.7</v>
      </c>
      <c r="H9446" t="n">
        <v>0</v>
      </c>
      <c r="I9446" t="n">
        <v>0</v>
      </c>
      <c r="J9446" t="n">
        <v>0</v>
      </c>
      <c r="K9446" t="n">
        <v>0</v>
      </c>
      <c r="L9446" t="n">
        <v>0</v>
      </c>
      <c r="M9446" t="n">
        <v>0</v>
      </c>
      <c r="N9446" t="n">
        <v>0</v>
      </c>
      <c r="O9446" t="n">
        <v>0</v>
      </c>
      <c r="P9446" t="n">
        <v>0</v>
      </c>
      <c r="Q9446" t="n">
        <v>0</v>
      </c>
      <c r="R9446" s="2" t="inlineStr"/>
    </row>
    <row r="9447" ht="15" customHeight="1">
      <c r="A9447" t="inlineStr">
        <is>
          <t>A 39993-2025</t>
        </is>
      </c>
      <c r="B9447" s="1" t="n">
        <v>45894.31541666666</v>
      </c>
      <c r="C9447" s="1" t="n">
        <v>45952</v>
      </c>
      <c r="D9447" t="inlineStr">
        <is>
          <t>VÄSTRA GÖTALANDS LÄN</t>
        </is>
      </c>
      <c r="E9447" t="inlineStr">
        <is>
          <t>SKÖVDE</t>
        </is>
      </c>
      <c r="G9447" t="n">
        <v>1.5</v>
      </c>
      <c r="H9447" t="n">
        <v>0</v>
      </c>
      <c r="I9447" t="n">
        <v>0</v>
      </c>
      <c r="J9447" t="n">
        <v>0</v>
      </c>
      <c r="K9447" t="n">
        <v>0</v>
      </c>
      <c r="L9447" t="n">
        <v>0</v>
      </c>
      <c r="M9447" t="n">
        <v>0</v>
      </c>
      <c r="N9447" t="n">
        <v>0</v>
      </c>
      <c r="O9447" t="n">
        <v>0</v>
      </c>
      <c r="P9447" t="n">
        <v>0</v>
      </c>
      <c r="Q9447" t="n">
        <v>0</v>
      </c>
      <c r="R9447" s="2" t="inlineStr"/>
    </row>
    <row r="9448" ht="15" customHeight="1">
      <c r="A9448" t="inlineStr">
        <is>
          <t>A 48938-2025</t>
        </is>
      </c>
      <c r="B9448" s="1" t="n">
        <v>45937</v>
      </c>
      <c r="C9448" s="1" t="n">
        <v>45952</v>
      </c>
      <c r="D9448" t="inlineStr">
        <is>
          <t>VÄSTRA GÖTALANDS LÄN</t>
        </is>
      </c>
      <c r="E9448" t="inlineStr">
        <is>
          <t>MARK</t>
        </is>
      </c>
      <c r="G9448" t="n">
        <v>3.6</v>
      </c>
      <c r="H9448" t="n">
        <v>0</v>
      </c>
      <c r="I9448" t="n">
        <v>0</v>
      </c>
      <c r="J9448" t="n">
        <v>0</v>
      </c>
      <c r="K9448" t="n">
        <v>0</v>
      </c>
      <c r="L9448" t="n">
        <v>0</v>
      </c>
      <c r="M9448" t="n">
        <v>0</v>
      </c>
      <c r="N9448" t="n">
        <v>0</v>
      </c>
      <c r="O9448" t="n">
        <v>0</v>
      </c>
      <c r="P9448" t="n">
        <v>0</v>
      </c>
      <c r="Q9448" t="n">
        <v>0</v>
      </c>
      <c r="R9448" s="2" t="inlineStr"/>
    </row>
    <row r="9449" ht="15" customHeight="1">
      <c r="A9449" t="inlineStr">
        <is>
          <t>A 49010-2025</t>
        </is>
      </c>
      <c r="B9449" s="1" t="n">
        <v>45937.60804398148</v>
      </c>
      <c r="C9449" s="1" t="n">
        <v>45952</v>
      </c>
      <c r="D9449" t="inlineStr">
        <is>
          <t>VÄSTRA GÖTALANDS LÄN</t>
        </is>
      </c>
      <c r="E9449" t="inlineStr">
        <is>
          <t>DALS-ED</t>
        </is>
      </c>
      <c r="G9449" t="n">
        <v>10.1</v>
      </c>
      <c r="H9449" t="n">
        <v>0</v>
      </c>
      <c r="I9449" t="n">
        <v>0</v>
      </c>
      <c r="J9449" t="n">
        <v>0</v>
      </c>
      <c r="K9449" t="n">
        <v>0</v>
      </c>
      <c r="L9449" t="n">
        <v>0</v>
      </c>
      <c r="M9449" t="n">
        <v>0</v>
      </c>
      <c r="N9449" t="n">
        <v>0</v>
      </c>
      <c r="O9449" t="n">
        <v>0</v>
      </c>
      <c r="P9449" t="n">
        <v>0</v>
      </c>
      <c r="Q9449" t="n">
        <v>0</v>
      </c>
      <c r="R9449" s="2" t="inlineStr"/>
    </row>
    <row r="9450" ht="15" customHeight="1">
      <c r="A9450" t="inlineStr">
        <is>
          <t>A 39601-2024</t>
        </is>
      </c>
      <c r="B9450" s="1" t="n">
        <v>45552.38377314815</v>
      </c>
      <c r="C9450" s="1" t="n">
        <v>45952</v>
      </c>
      <c r="D9450" t="inlineStr">
        <is>
          <t>VÄSTRA GÖTALANDS LÄN</t>
        </is>
      </c>
      <c r="E9450" t="inlineStr">
        <is>
          <t>MARK</t>
        </is>
      </c>
      <c r="G9450" t="n">
        <v>0.9</v>
      </c>
      <c r="H9450" t="n">
        <v>0</v>
      </c>
      <c r="I9450" t="n">
        <v>0</v>
      </c>
      <c r="J9450" t="n">
        <v>0</v>
      </c>
      <c r="K9450" t="n">
        <v>0</v>
      </c>
      <c r="L9450" t="n">
        <v>0</v>
      </c>
      <c r="M9450" t="n">
        <v>0</v>
      </c>
      <c r="N9450" t="n">
        <v>0</v>
      </c>
      <c r="O9450" t="n">
        <v>0</v>
      </c>
      <c r="P9450" t="n">
        <v>0</v>
      </c>
      <c r="Q9450" t="n">
        <v>0</v>
      </c>
      <c r="R9450" s="2" t="inlineStr"/>
    </row>
    <row r="9451" ht="15" customHeight="1">
      <c r="A9451" t="inlineStr">
        <is>
          <t>A 5321-2024</t>
        </is>
      </c>
      <c r="B9451" s="1" t="n">
        <v>45331.4083912037</v>
      </c>
      <c r="C9451" s="1" t="n">
        <v>45952</v>
      </c>
      <c r="D9451" t="inlineStr">
        <is>
          <t>VÄSTRA GÖTALANDS LÄN</t>
        </is>
      </c>
      <c r="E9451" t="inlineStr">
        <is>
          <t>MARIESTAD</t>
        </is>
      </c>
      <c r="G9451" t="n">
        <v>0.9</v>
      </c>
      <c r="H9451" t="n">
        <v>0</v>
      </c>
      <c r="I9451" t="n">
        <v>0</v>
      </c>
      <c r="J9451" t="n">
        <v>0</v>
      </c>
      <c r="K9451" t="n">
        <v>0</v>
      </c>
      <c r="L9451" t="n">
        <v>0</v>
      </c>
      <c r="M9451" t="n">
        <v>0</v>
      </c>
      <c r="N9451" t="n">
        <v>0</v>
      </c>
      <c r="O9451" t="n">
        <v>0</v>
      </c>
      <c r="P9451" t="n">
        <v>0</v>
      </c>
      <c r="Q9451" t="n">
        <v>0</v>
      </c>
      <c r="R9451" s="2" t="inlineStr"/>
    </row>
    <row r="9452" ht="15" customHeight="1">
      <c r="A9452" t="inlineStr">
        <is>
          <t>A 48405-2025</t>
        </is>
      </c>
      <c r="B9452" s="1" t="n">
        <v>45934.35324074074</v>
      </c>
      <c r="C9452" s="1" t="n">
        <v>45952</v>
      </c>
      <c r="D9452" t="inlineStr">
        <is>
          <t>VÄSTRA GÖTALANDS LÄN</t>
        </is>
      </c>
      <c r="E9452" t="inlineStr">
        <is>
          <t>ULRICEHAMN</t>
        </is>
      </c>
      <c r="G9452" t="n">
        <v>2.8</v>
      </c>
      <c r="H9452" t="n">
        <v>0</v>
      </c>
      <c r="I9452" t="n">
        <v>0</v>
      </c>
      <c r="J9452" t="n">
        <v>0</v>
      </c>
      <c r="K9452" t="n">
        <v>0</v>
      </c>
      <c r="L9452" t="n">
        <v>0</v>
      </c>
      <c r="M9452" t="n">
        <v>0</v>
      </c>
      <c r="N9452" t="n">
        <v>0</v>
      </c>
      <c r="O9452" t="n">
        <v>0</v>
      </c>
      <c r="P9452" t="n">
        <v>0</v>
      </c>
      <c r="Q9452" t="n">
        <v>0</v>
      </c>
      <c r="R9452" s="2" t="inlineStr"/>
    </row>
    <row r="9453" ht="15" customHeight="1">
      <c r="A9453" t="inlineStr">
        <is>
          <t>A 48414-2025</t>
        </is>
      </c>
      <c r="B9453" s="1" t="n">
        <v>45934.49616898148</v>
      </c>
      <c r="C9453" s="1" t="n">
        <v>45952</v>
      </c>
      <c r="D9453" t="inlineStr">
        <is>
          <t>VÄSTRA GÖTALANDS LÄN</t>
        </is>
      </c>
      <c r="E9453" t="inlineStr">
        <is>
          <t>FALKÖPING</t>
        </is>
      </c>
      <c r="G9453" t="n">
        <v>1.8</v>
      </c>
      <c r="H9453" t="n">
        <v>0</v>
      </c>
      <c r="I9453" t="n">
        <v>0</v>
      </c>
      <c r="J9453" t="n">
        <v>0</v>
      </c>
      <c r="K9453" t="n">
        <v>0</v>
      </c>
      <c r="L9453" t="n">
        <v>0</v>
      </c>
      <c r="M9453" t="n">
        <v>0</v>
      </c>
      <c r="N9453" t="n">
        <v>0</v>
      </c>
      <c r="O9453" t="n">
        <v>0</v>
      </c>
      <c r="P9453" t="n">
        <v>0</v>
      </c>
      <c r="Q9453" t="n">
        <v>0</v>
      </c>
      <c r="R9453" s="2" t="inlineStr"/>
    </row>
    <row r="9454" ht="15" customHeight="1">
      <c r="A9454" t="inlineStr">
        <is>
          <t>A 48416-2025</t>
        </is>
      </c>
      <c r="B9454" s="1" t="n">
        <v>45934.52469907407</v>
      </c>
      <c r="C9454" s="1" t="n">
        <v>45952</v>
      </c>
      <c r="D9454" t="inlineStr">
        <is>
          <t>VÄSTRA GÖTALANDS LÄN</t>
        </is>
      </c>
      <c r="E9454" t="inlineStr">
        <is>
          <t>ULRICEHAMN</t>
        </is>
      </c>
      <c r="G9454" t="n">
        <v>0.9</v>
      </c>
      <c r="H9454" t="n">
        <v>0</v>
      </c>
      <c r="I9454" t="n">
        <v>0</v>
      </c>
      <c r="J9454" t="n">
        <v>0</v>
      </c>
      <c r="K9454" t="n">
        <v>0</v>
      </c>
      <c r="L9454" t="n">
        <v>0</v>
      </c>
      <c r="M9454" t="n">
        <v>0</v>
      </c>
      <c r="N9454" t="n">
        <v>0</v>
      </c>
      <c r="O9454" t="n">
        <v>0</v>
      </c>
      <c r="P9454" t="n">
        <v>0</v>
      </c>
      <c r="Q9454" t="n">
        <v>0</v>
      </c>
      <c r="R9454" s="2" t="inlineStr"/>
    </row>
    <row r="9455" ht="15" customHeight="1">
      <c r="A9455" t="inlineStr">
        <is>
          <t>A 5472-2025</t>
        </is>
      </c>
      <c r="B9455" s="1" t="n">
        <v>45693.32910879629</v>
      </c>
      <c r="C9455" s="1" t="n">
        <v>45952</v>
      </c>
      <c r="D9455" t="inlineStr">
        <is>
          <t>VÄSTRA GÖTALANDS LÄN</t>
        </is>
      </c>
      <c r="E9455" t="inlineStr">
        <is>
          <t>SKÖVDE</t>
        </is>
      </c>
      <c r="G9455" t="n">
        <v>2.1</v>
      </c>
      <c r="H9455" t="n">
        <v>0</v>
      </c>
      <c r="I9455" t="n">
        <v>0</v>
      </c>
      <c r="J9455" t="n">
        <v>0</v>
      </c>
      <c r="K9455" t="n">
        <v>0</v>
      </c>
      <c r="L9455" t="n">
        <v>0</v>
      </c>
      <c r="M9455" t="n">
        <v>0</v>
      </c>
      <c r="N9455" t="n">
        <v>0</v>
      </c>
      <c r="O9455" t="n">
        <v>0</v>
      </c>
      <c r="P9455" t="n">
        <v>0</v>
      </c>
      <c r="Q9455" t="n">
        <v>0</v>
      </c>
      <c r="R9455" s="2" t="inlineStr"/>
    </row>
    <row r="9456" ht="15" customHeight="1">
      <c r="A9456" t="inlineStr">
        <is>
          <t>A 5476-2025</t>
        </is>
      </c>
      <c r="B9456" s="1" t="n">
        <v>45693.33128472222</v>
      </c>
      <c r="C9456" s="1" t="n">
        <v>45952</v>
      </c>
      <c r="D9456" t="inlineStr">
        <is>
          <t>VÄSTRA GÖTALANDS LÄN</t>
        </is>
      </c>
      <c r="E9456" t="inlineStr">
        <is>
          <t>SKÖVDE</t>
        </is>
      </c>
      <c r="G9456" t="n">
        <v>1.5</v>
      </c>
      <c r="H9456" t="n">
        <v>0</v>
      </c>
      <c r="I9456" t="n">
        <v>0</v>
      </c>
      <c r="J9456" t="n">
        <v>0</v>
      </c>
      <c r="K9456" t="n">
        <v>0</v>
      </c>
      <c r="L9456" t="n">
        <v>0</v>
      </c>
      <c r="M9456" t="n">
        <v>0</v>
      </c>
      <c r="N9456" t="n">
        <v>0</v>
      </c>
      <c r="O9456" t="n">
        <v>0</v>
      </c>
      <c r="P9456" t="n">
        <v>0</v>
      </c>
      <c r="Q9456" t="n">
        <v>0</v>
      </c>
      <c r="R9456" s="2" t="inlineStr"/>
    </row>
    <row r="9457" ht="15" customHeight="1">
      <c r="A9457" t="inlineStr">
        <is>
          <t>A 18842-2025</t>
        </is>
      </c>
      <c r="B9457" s="1" t="n">
        <v>45764.40886574074</v>
      </c>
      <c r="C9457" s="1" t="n">
        <v>45952</v>
      </c>
      <c r="D9457" t="inlineStr">
        <is>
          <t>VÄSTRA GÖTALANDS LÄN</t>
        </is>
      </c>
      <c r="E9457" t="inlineStr">
        <is>
          <t>FÄRGELANDA</t>
        </is>
      </c>
      <c r="G9457" t="n">
        <v>1.8</v>
      </c>
      <c r="H9457" t="n">
        <v>0</v>
      </c>
      <c r="I9457" t="n">
        <v>0</v>
      </c>
      <c r="J9457" t="n">
        <v>0</v>
      </c>
      <c r="K9457" t="n">
        <v>0</v>
      </c>
      <c r="L9457" t="n">
        <v>0</v>
      </c>
      <c r="M9457" t="n">
        <v>0</v>
      </c>
      <c r="N9457" t="n">
        <v>0</v>
      </c>
      <c r="O9457" t="n">
        <v>0</v>
      </c>
      <c r="P9457" t="n">
        <v>0</v>
      </c>
      <c r="Q9457" t="n">
        <v>0</v>
      </c>
      <c r="R9457" s="2" t="inlineStr"/>
    </row>
    <row r="9458" ht="15" customHeight="1">
      <c r="A9458" t="inlineStr">
        <is>
          <t>A 18855-2025</t>
        </is>
      </c>
      <c r="B9458" s="1" t="n">
        <v>45764.42244212963</v>
      </c>
      <c r="C9458" s="1" t="n">
        <v>45952</v>
      </c>
      <c r="D9458" t="inlineStr">
        <is>
          <t>VÄSTRA GÖTALANDS LÄN</t>
        </is>
      </c>
      <c r="E9458" t="inlineStr">
        <is>
          <t>VÄNERSBORG</t>
        </is>
      </c>
      <c r="G9458" t="n">
        <v>0.8</v>
      </c>
      <c r="H9458" t="n">
        <v>0</v>
      </c>
      <c r="I9458" t="n">
        <v>0</v>
      </c>
      <c r="J9458" t="n">
        <v>0</v>
      </c>
      <c r="K9458" t="n">
        <v>0</v>
      </c>
      <c r="L9458" t="n">
        <v>0</v>
      </c>
      <c r="M9458" t="n">
        <v>0</v>
      </c>
      <c r="N9458" t="n">
        <v>0</v>
      </c>
      <c r="O9458" t="n">
        <v>0</v>
      </c>
      <c r="P9458" t="n">
        <v>0</v>
      </c>
      <c r="Q9458" t="n">
        <v>0</v>
      </c>
      <c r="R9458" s="2" t="inlineStr"/>
    </row>
    <row r="9459" ht="15" customHeight="1">
      <c r="A9459" t="inlineStr">
        <is>
          <t>A 19115-2025</t>
        </is>
      </c>
      <c r="B9459" s="1" t="n">
        <v>45768.72082175926</v>
      </c>
      <c r="C9459" s="1" t="n">
        <v>45952</v>
      </c>
      <c r="D9459" t="inlineStr">
        <is>
          <t>VÄSTRA GÖTALANDS LÄN</t>
        </is>
      </c>
      <c r="E9459" t="inlineStr">
        <is>
          <t>GÖTENE</t>
        </is>
      </c>
      <c r="G9459" t="n">
        <v>0.6</v>
      </c>
      <c r="H9459" t="n">
        <v>0</v>
      </c>
      <c r="I9459" t="n">
        <v>0</v>
      </c>
      <c r="J9459" t="n">
        <v>0</v>
      </c>
      <c r="K9459" t="n">
        <v>0</v>
      </c>
      <c r="L9459" t="n">
        <v>0</v>
      </c>
      <c r="M9459" t="n">
        <v>0</v>
      </c>
      <c r="N9459" t="n">
        <v>0</v>
      </c>
      <c r="O9459" t="n">
        <v>0</v>
      </c>
      <c r="P9459" t="n">
        <v>0</v>
      </c>
      <c r="Q9459" t="n">
        <v>0</v>
      </c>
      <c r="R9459" s="2" t="inlineStr"/>
    </row>
    <row r="9460" ht="15" customHeight="1">
      <c r="A9460" t="inlineStr">
        <is>
          <t>A 23019-2025</t>
        </is>
      </c>
      <c r="B9460" s="1" t="n">
        <v>45790</v>
      </c>
      <c r="C9460" s="1" t="n">
        <v>45952</v>
      </c>
      <c r="D9460" t="inlineStr">
        <is>
          <t>VÄSTRA GÖTALANDS LÄN</t>
        </is>
      </c>
      <c r="E9460" t="inlineStr">
        <is>
          <t>GULLSPÅNG</t>
        </is>
      </c>
      <c r="G9460" t="n">
        <v>3.5</v>
      </c>
      <c r="H9460" t="n">
        <v>0</v>
      </c>
      <c r="I9460" t="n">
        <v>0</v>
      </c>
      <c r="J9460" t="n">
        <v>0</v>
      </c>
      <c r="K9460" t="n">
        <v>0</v>
      </c>
      <c r="L9460" t="n">
        <v>0</v>
      </c>
      <c r="M9460" t="n">
        <v>0</v>
      </c>
      <c r="N9460" t="n">
        <v>0</v>
      </c>
      <c r="O9460" t="n">
        <v>0</v>
      </c>
      <c r="P9460" t="n">
        <v>0</v>
      </c>
      <c r="Q9460" t="n">
        <v>0</v>
      </c>
      <c r="R9460" s="2" t="inlineStr"/>
    </row>
    <row r="9461" ht="15" customHeight="1">
      <c r="A9461" t="inlineStr">
        <is>
          <t>A 7898-2024</t>
        </is>
      </c>
      <c r="B9461" s="1" t="n">
        <v>45350</v>
      </c>
      <c r="C9461" s="1" t="n">
        <v>45952</v>
      </c>
      <c r="D9461" t="inlineStr">
        <is>
          <t>VÄSTRA GÖTALANDS LÄN</t>
        </is>
      </c>
      <c r="E9461" t="inlineStr">
        <is>
          <t>BORÅS</t>
        </is>
      </c>
      <c r="G9461" t="n">
        <v>6.3</v>
      </c>
      <c r="H9461" t="n">
        <v>0</v>
      </c>
      <c r="I9461" t="n">
        <v>0</v>
      </c>
      <c r="J9461" t="n">
        <v>0</v>
      </c>
      <c r="K9461" t="n">
        <v>0</v>
      </c>
      <c r="L9461" t="n">
        <v>0</v>
      </c>
      <c r="M9461" t="n">
        <v>0</v>
      </c>
      <c r="N9461" t="n">
        <v>0</v>
      </c>
      <c r="O9461" t="n">
        <v>0</v>
      </c>
      <c r="P9461" t="n">
        <v>0</v>
      </c>
      <c r="Q9461" t="n">
        <v>0</v>
      </c>
      <c r="R9461" s="2" t="inlineStr"/>
    </row>
    <row r="9462" ht="15" customHeight="1">
      <c r="A9462" t="inlineStr">
        <is>
          <t>A 7900-2024</t>
        </is>
      </c>
      <c r="B9462" s="1" t="n">
        <v>45350.42491898148</v>
      </c>
      <c r="C9462" s="1" t="n">
        <v>45952</v>
      </c>
      <c r="D9462" t="inlineStr">
        <is>
          <t>VÄSTRA GÖTALANDS LÄN</t>
        </is>
      </c>
      <c r="E9462" t="inlineStr">
        <is>
          <t>TANUM</t>
        </is>
      </c>
      <c r="G9462" t="n">
        <v>2.4</v>
      </c>
      <c r="H9462" t="n">
        <v>0</v>
      </c>
      <c r="I9462" t="n">
        <v>0</v>
      </c>
      <c r="J9462" t="n">
        <v>0</v>
      </c>
      <c r="K9462" t="n">
        <v>0</v>
      </c>
      <c r="L9462" t="n">
        <v>0</v>
      </c>
      <c r="M9462" t="n">
        <v>0</v>
      </c>
      <c r="N9462" t="n">
        <v>0</v>
      </c>
      <c r="O9462" t="n">
        <v>0</v>
      </c>
      <c r="P9462" t="n">
        <v>0</v>
      </c>
      <c r="Q9462" t="n">
        <v>0</v>
      </c>
      <c r="R9462" s="2" t="inlineStr"/>
    </row>
    <row r="9463" ht="15" customHeight="1">
      <c r="A9463" t="inlineStr">
        <is>
          <t>A 3080-2024</t>
        </is>
      </c>
      <c r="B9463" s="1" t="n">
        <v>45316</v>
      </c>
      <c r="C9463" s="1" t="n">
        <v>45952</v>
      </c>
      <c r="D9463" t="inlineStr">
        <is>
          <t>VÄSTRA GÖTALANDS LÄN</t>
        </is>
      </c>
      <c r="E9463" t="inlineStr">
        <is>
          <t>BOLLEBYGD</t>
        </is>
      </c>
      <c r="G9463" t="n">
        <v>1.3</v>
      </c>
      <c r="H9463" t="n">
        <v>0</v>
      </c>
      <c r="I9463" t="n">
        <v>0</v>
      </c>
      <c r="J9463" t="n">
        <v>0</v>
      </c>
      <c r="K9463" t="n">
        <v>0</v>
      </c>
      <c r="L9463" t="n">
        <v>0</v>
      </c>
      <c r="M9463" t="n">
        <v>0</v>
      </c>
      <c r="N9463" t="n">
        <v>0</v>
      </c>
      <c r="O9463" t="n">
        <v>0</v>
      </c>
      <c r="P9463" t="n">
        <v>0</v>
      </c>
      <c r="Q9463" t="n">
        <v>0</v>
      </c>
      <c r="R9463" s="2" t="inlineStr"/>
    </row>
    <row r="9464" ht="15" customHeight="1">
      <c r="A9464" t="inlineStr">
        <is>
          <t>A 48708-2025</t>
        </is>
      </c>
      <c r="B9464" s="1" t="n">
        <v>45936.6285300926</v>
      </c>
      <c r="C9464" s="1" t="n">
        <v>45952</v>
      </c>
      <c r="D9464" t="inlineStr">
        <is>
          <t>VÄSTRA GÖTALANDS LÄN</t>
        </is>
      </c>
      <c r="E9464" t="inlineStr">
        <is>
          <t>FALKÖPING</t>
        </is>
      </c>
      <c r="G9464" t="n">
        <v>1.5</v>
      </c>
      <c r="H9464" t="n">
        <v>0</v>
      </c>
      <c r="I9464" t="n">
        <v>0</v>
      </c>
      <c r="J9464" t="n">
        <v>0</v>
      </c>
      <c r="K9464" t="n">
        <v>0</v>
      </c>
      <c r="L9464" t="n">
        <v>0</v>
      </c>
      <c r="M9464" t="n">
        <v>0</v>
      </c>
      <c r="N9464" t="n">
        <v>0</v>
      </c>
      <c r="O9464" t="n">
        <v>0</v>
      </c>
      <c r="P9464" t="n">
        <v>0</v>
      </c>
      <c r="Q9464" t="n">
        <v>0</v>
      </c>
      <c r="R9464" s="2" t="inlineStr"/>
    </row>
    <row r="9465" ht="15" customHeight="1">
      <c r="A9465" t="inlineStr">
        <is>
          <t>A 18932-2025</t>
        </is>
      </c>
      <c r="B9465" s="1" t="n">
        <v>45764.48844907407</v>
      </c>
      <c r="C9465" s="1" t="n">
        <v>45952</v>
      </c>
      <c r="D9465" t="inlineStr">
        <is>
          <t>VÄSTRA GÖTALANDS LÄN</t>
        </is>
      </c>
      <c r="E9465" t="inlineStr">
        <is>
          <t>SVENLJUNGA</t>
        </is>
      </c>
      <c r="G9465" t="n">
        <v>2</v>
      </c>
      <c r="H9465" t="n">
        <v>0</v>
      </c>
      <c r="I9465" t="n">
        <v>0</v>
      </c>
      <c r="J9465" t="n">
        <v>0</v>
      </c>
      <c r="K9465" t="n">
        <v>0</v>
      </c>
      <c r="L9465" t="n">
        <v>0</v>
      </c>
      <c r="M9465" t="n">
        <v>0</v>
      </c>
      <c r="N9465" t="n">
        <v>0</v>
      </c>
      <c r="O9465" t="n">
        <v>0</v>
      </c>
      <c r="P9465" t="n">
        <v>0</v>
      </c>
      <c r="Q9465" t="n">
        <v>0</v>
      </c>
      <c r="R9465" s="2" t="inlineStr"/>
    </row>
    <row r="9466" ht="15" customHeight="1">
      <c r="A9466" t="inlineStr">
        <is>
          <t>A 48790-2025</t>
        </is>
      </c>
      <c r="B9466" s="1" t="n">
        <v>45937.3239699074</v>
      </c>
      <c r="C9466" s="1" t="n">
        <v>45952</v>
      </c>
      <c r="D9466" t="inlineStr">
        <is>
          <t>VÄSTRA GÖTALANDS LÄN</t>
        </is>
      </c>
      <c r="E9466" t="inlineStr">
        <is>
          <t>TROLLHÄTTAN</t>
        </is>
      </c>
      <c r="G9466" t="n">
        <v>1.7</v>
      </c>
      <c r="H9466" t="n">
        <v>0</v>
      </c>
      <c r="I9466" t="n">
        <v>0</v>
      </c>
      <c r="J9466" t="n">
        <v>0</v>
      </c>
      <c r="K9466" t="n">
        <v>0</v>
      </c>
      <c r="L9466" t="n">
        <v>0</v>
      </c>
      <c r="M9466" t="n">
        <v>0</v>
      </c>
      <c r="N9466" t="n">
        <v>0</v>
      </c>
      <c r="O9466" t="n">
        <v>0</v>
      </c>
      <c r="P9466" t="n">
        <v>0</v>
      </c>
      <c r="Q9466" t="n">
        <v>0</v>
      </c>
      <c r="R9466" s="2" t="inlineStr"/>
    </row>
    <row r="9467" ht="15" customHeight="1">
      <c r="A9467" t="inlineStr">
        <is>
          <t>A 48482-2025</t>
        </is>
      </c>
      <c r="B9467" s="1" t="n">
        <v>45936.35365740741</v>
      </c>
      <c r="C9467" s="1" t="n">
        <v>45952</v>
      </c>
      <c r="D9467" t="inlineStr">
        <is>
          <t>VÄSTRA GÖTALANDS LÄN</t>
        </is>
      </c>
      <c r="E9467" t="inlineStr">
        <is>
          <t>SVENLJUNGA</t>
        </is>
      </c>
      <c r="G9467" t="n">
        <v>1.3</v>
      </c>
      <c r="H9467" t="n">
        <v>0</v>
      </c>
      <c r="I9467" t="n">
        <v>0</v>
      </c>
      <c r="J9467" t="n">
        <v>0</v>
      </c>
      <c r="K9467" t="n">
        <v>0</v>
      </c>
      <c r="L9467" t="n">
        <v>0</v>
      </c>
      <c r="M9467" t="n">
        <v>0</v>
      </c>
      <c r="N9467" t="n">
        <v>0</v>
      </c>
      <c r="O9467" t="n">
        <v>0</v>
      </c>
      <c r="P9467" t="n">
        <v>0</v>
      </c>
      <c r="Q9467" t="n">
        <v>0</v>
      </c>
      <c r="R9467" s="2" t="inlineStr"/>
    </row>
    <row r="9468" ht="15" customHeight="1">
      <c r="A9468" t="inlineStr">
        <is>
          <t>A 48484-2025</t>
        </is>
      </c>
      <c r="B9468" s="1" t="n">
        <v>45936.35686342593</v>
      </c>
      <c r="C9468" s="1" t="n">
        <v>45952</v>
      </c>
      <c r="D9468" t="inlineStr">
        <is>
          <t>VÄSTRA GÖTALANDS LÄN</t>
        </is>
      </c>
      <c r="E9468" t="inlineStr">
        <is>
          <t>TRANEMO</t>
        </is>
      </c>
      <c r="G9468" t="n">
        <v>2.2</v>
      </c>
      <c r="H9468" t="n">
        <v>0</v>
      </c>
      <c r="I9468" t="n">
        <v>0</v>
      </c>
      <c r="J9468" t="n">
        <v>0</v>
      </c>
      <c r="K9468" t="n">
        <v>0</v>
      </c>
      <c r="L9468" t="n">
        <v>0</v>
      </c>
      <c r="M9468" t="n">
        <v>0</v>
      </c>
      <c r="N9468" t="n">
        <v>0</v>
      </c>
      <c r="O9468" t="n">
        <v>0</v>
      </c>
      <c r="P9468" t="n">
        <v>0</v>
      </c>
      <c r="Q9468" t="n">
        <v>0</v>
      </c>
      <c r="R9468" s="2" t="inlineStr"/>
    </row>
    <row r="9469" ht="15" customHeight="1">
      <c r="A9469" t="inlineStr">
        <is>
          <t>A 30593-2024</t>
        </is>
      </c>
      <c r="B9469" s="1" t="n">
        <v>45493.34775462963</v>
      </c>
      <c r="C9469" s="1" t="n">
        <v>45952</v>
      </c>
      <c r="D9469" t="inlineStr">
        <is>
          <t>VÄSTRA GÖTALANDS LÄN</t>
        </is>
      </c>
      <c r="E9469" t="inlineStr">
        <is>
          <t>TÖREBODA</t>
        </is>
      </c>
      <c r="G9469" t="n">
        <v>2.6</v>
      </c>
      <c r="H9469" t="n">
        <v>0</v>
      </c>
      <c r="I9469" t="n">
        <v>0</v>
      </c>
      <c r="J9469" t="n">
        <v>0</v>
      </c>
      <c r="K9469" t="n">
        <v>0</v>
      </c>
      <c r="L9469" t="n">
        <v>0</v>
      </c>
      <c r="M9469" t="n">
        <v>0</v>
      </c>
      <c r="N9469" t="n">
        <v>0</v>
      </c>
      <c r="O9469" t="n">
        <v>0</v>
      </c>
      <c r="P9469" t="n">
        <v>0</v>
      </c>
      <c r="Q9469" t="n">
        <v>0</v>
      </c>
      <c r="R9469" s="2" t="inlineStr"/>
    </row>
    <row r="9470" ht="15" customHeight="1">
      <c r="A9470" t="inlineStr">
        <is>
          <t>A 8145-2024</t>
        </is>
      </c>
      <c r="B9470" s="1" t="n">
        <v>45351</v>
      </c>
      <c r="C9470" s="1" t="n">
        <v>45952</v>
      </c>
      <c r="D9470" t="inlineStr">
        <is>
          <t>VÄSTRA GÖTALANDS LÄN</t>
        </is>
      </c>
      <c r="E9470" t="inlineStr">
        <is>
          <t>HJO</t>
        </is>
      </c>
      <c r="G9470" t="n">
        <v>7.3</v>
      </c>
      <c r="H9470" t="n">
        <v>0</v>
      </c>
      <c r="I9470" t="n">
        <v>0</v>
      </c>
      <c r="J9470" t="n">
        <v>0</v>
      </c>
      <c r="K9470" t="n">
        <v>0</v>
      </c>
      <c r="L9470" t="n">
        <v>0</v>
      </c>
      <c r="M9470" t="n">
        <v>0</v>
      </c>
      <c r="N9470" t="n">
        <v>0</v>
      </c>
      <c r="O9470" t="n">
        <v>0</v>
      </c>
      <c r="P9470" t="n">
        <v>0</v>
      </c>
      <c r="Q9470" t="n">
        <v>0</v>
      </c>
      <c r="R9470" s="2" t="inlineStr"/>
    </row>
    <row r="9471" ht="15" customHeight="1">
      <c r="A9471" t="inlineStr">
        <is>
          <t>A 48890-2025</t>
        </is>
      </c>
      <c r="B9471" s="1" t="n">
        <v>45937.46953703704</v>
      </c>
      <c r="C9471" s="1" t="n">
        <v>45952</v>
      </c>
      <c r="D9471" t="inlineStr">
        <is>
          <t>VÄSTRA GÖTALANDS LÄN</t>
        </is>
      </c>
      <c r="E9471" t="inlineStr">
        <is>
          <t>SKÖVDE</t>
        </is>
      </c>
      <c r="G9471" t="n">
        <v>2.4</v>
      </c>
      <c r="H9471" t="n">
        <v>0</v>
      </c>
      <c r="I9471" t="n">
        <v>0</v>
      </c>
      <c r="J9471" t="n">
        <v>0</v>
      </c>
      <c r="K9471" t="n">
        <v>0</v>
      </c>
      <c r="L9471" t="n">
        <v>0</v>
      </c>
      <c r="M9471" t="n">
        <v>0</v>
      </c>
      <c r="N9471" t="n">
        <v>0</v>
      </c>
      <c r="O9471" t="n">
        <v>0</v>
      </c>
      <c r="P9471" t="n">
        <v>0</v>
      </c>
      <c r="Q9471" t="n">
        <v>0</v>
      </c>
      <c r="R9471" s="2" t="inlineStr"/>
    </row>
    <row r="9472" ht="15" customHeight="1">
      <c r="A9472" t="inlineStr">
        <is>
          <t>A 40430-2025</t>
        </is>
      </c>
      <c r="B9472" s="1" t="n">
        <v>45895</v>
      </c>
      <c r="C9472" s="1" t="n">
        <v>45952</v>
      </c>
      <c r="D9472" t="inlineStr">
        <is>
          <t>VÄSTRA GÖTALANDS LÄN</t>
        </is>
      </c>
      <c r="E9472" t="inlineStr">
        <is>
          <t>STRÖMSTAD</t>
        </is>
      </c>
      <c r="G9472" t="n">
        <v>1.7</v>
      </c>
      <c r="H9472" t="n">
        <v>0</v>
      </c>
      <c r="I9472" t="n">
        <v>0</v>
      </c>
      <c r="J9472" t="n">
        <v>0</v>
      </c>
      <c r="K9472" t="n">
        <v>0</v>
      </c>
      <c r="L9472" t="n">
        <v>0</v>
      </c>
      <c r="M9472" t="n">
        <v>0</v>
      </c>
      <c r="N9472" t="n">
        <v>0</v>
      </c>
      <c r="O9472" t="n">
        <v>0</v>
      </c>
      <c r="P9472" t="n">
        <v>0</v>
      </c>
      <c r="Q9472" t="n">
        <v>0</v>
      </c>
      <c r="R9472" s="2" t="inlineStr"/>
    </row>
    <row r="9473" ht="15" customHeight="1">
      <c r="A9473" t="inlineStr">
        <is>
          <t>A 40431-2025</t>
        </is>
      </c>
      <c r="B9473" s="1" t="n">
        <v>45895.6096412037</v>
      </c>
      <c r="C9473" s="1" t="n">
        <v>45952</v>
      </c>
      <c r="D9473" t="inlineStr">
        <is>
          <t>VÄSTRA GÖTALANDS LÄN</t>
        </is>
      </c>
      <c r="E9473" t="inlineStr">
        <is>
          <t>MUNKEDAL</t>
        </is>
      </c>
      <c r="G9473" t="n">
        <v>3.5</v>
      </c>
      <c r="H9473" t="n">
        <v>0</v>
      </c>
      <c r="I9473" t="n">
        <v>0</v>
      </c>
      <c r="J9473" t="n">
        <v>0</v>
      </c>
      <c r="K9473" t="n">
        <v>0</v>
      </c>
      <c r="L9473" t="n">
        <v>0</v>
      </c>
      <c r="M9473" t="n">
        <v>0</v>
      </c>
      <c r="N9473" t="n">
        <v>0</v>
      </c>
      <c r="O9473" t="n">
        <v>0</v>
      </c>
      <c r="P9473" t="n">
        <v>0</v>
      </c>
      <c r="Q9473" t="n">
        <v>0</v>
      </c>
      <c r="R9473" s="2" t="inlineStr"/>
    </row>
    <row r="9474" ht="15" customHeight="1">
      <c r="A9474" t="inlineStr">
        <is>
          <t>A 11835-2025</t>
        </is>
      </c>
      <c r="B9474" s="1" t="n">
        <v>45728.35657407407</v>
      </c>
      <c r="C9474" s="1" t="n">
        <v>45952</v>
      </c>
      <c r="D9474" t="inlineStr">
        <is>
          <t>VÄSTRA GÖTALANDS LÄN</t>
        </is>
      </c>
      <c r="E9474" t="inlineStr">
        <is>
          <t>TIDAHOLM</t>
        </is>
      </c>
      <c r="G9474" t="n">
        <v>2.3</v>
      </c>
      <c r="H9474" t="n">
        <v>0</v>
      </c>
      <c r="I9474" t="n">
        <v>0</v>
      </c>
      <c r="J9474" t="n">
        <v>0</v>
      </c>
      <c r="K9474" t="n">
        <v>0</v>
      </c>
      <c r="L9474" t="n">
        <v>0</v>
      </c>
      <c r="M9474" t="n">
        <v>0</v>
      </c>
      <c r="N9474" t="n">
        <v>0</v>
      </c>
      <c r="O9474" t="n">
        <v>0</v>
      </c>
      <c r="P9474" t="n">
        <v>0</v>
      </c>
      <c r="Q9474" t="n">
        <v>0</v>
      </c>
      <c r="R9474" s="2" t="inlineStr"/>
    </row>
    <row r="9475" ht="15" customHeight="1">
      <c r="A9475" t="inlineStr">
        <is>
          <t>A 48538-2025</t>
        </is>
      </c>
      <c r="B9475" s="1" t="n">
        <v>45936.41079861111</v>
      </c>
      <c r="C9475" s="1" t="n">
        <v>45952</v>
      </c>
      <c r="D9475" t="inlineStr">
        <is>
          <t>VÄSTRA GÖTALANDS LÄN</t>
        </is>
      </c>
      <c r="E9475" t="inlineStr">
        <is>
          <t>HÄRRYDA</t>
        </is>
      </c>
      <c r="G9475" t="n">
        <v>0.6</v>
      </c>
      <c r="H9475" t="n">
        <v>0</v>
      </c>
      <c r="I9475" t="n">
        <v>0</v>
      </c>
      <c r="J9475" t="n">
        <v>0</v>
      </c>
      <c r="K9475" t="n">
        <v>0</v>
      </c>
      <c r="L9475" t="n">
        <v>0</v>
      </c>
      <c r="M9475" t="n">
        <v>0</v>
      </c>
      <c r="N9475" t="n">
        <v>0</v>
      </c>
      <c r="O9475" t="n">
        <v>0</v>
      </c>
      <c r="P9475" t="n">
        <v>0</v>
      </c>
      <c r="Q9475" t="n">
        <v>0</v>
      </c>
      <c r="R9475" s="2" t="inlineStr"/>
    </row>
    <row r="9476" ht="15" customHeight="1">
      <c r="A9476" t="inlineStr">
        <is>
          <t>A 57782-2022</t>
        </is>
      </c>
      <c r="B9476" s="1" t="n">
        <v>44897</v>
      </c>
      <c r="C9476" s="1" t="n">
        <v>45952</v>
      </c>
      <c r="D9476" t="inlineStr">
        <is>
          <t>VÄSTRA GÖTALANDS LÄN</t>
        </is>
      </c>
      <c r="E9476" t="inlineStr">
        <is>
          <t>BORÅS</t>
        </is>
      </c>
      <c r="G9476" t="n">
        <v>5.6</v>
      </c>
      <c r="H9476" t="n">
        <v>0</v>
      </c>
      <c r="I9476" t="n">
        <v>0</v>
      </c>
      <c r="J9476" t="n">
        <v>0</v>
      </c>
      <c r="K9476" t="n">
        <v>0</v>
      </c>
      <c r="L9476" t="n">
        <v>0</v>
      </c>
      <c r="M9476" t="n">
        <v>0</v>
      </c>
      <c r="N9476" t="n">
        <v>0</v>
      </c>
      <c r="O9476" t="n">
        <v>0</v>
      </c>
      <c r="P9476" t="n">
        <v>0</v>
      </c>
      <c r="Q9476" t="n">
        <v>0</v>
      </c>
      <c r="R9476" s="2" t="inlineStr"/>
    </row>
    <row r="9477" ht="15" customHeight="1">
      <c r="A9477" t="inlineStr">
        <is>
          <t>A 56957-2024</t>
        </is>
      </c>
      <c r="B9477" s="1" t="n">
        <v>45628.64818287037</v>
      </c>
      <c r="C9477" s="1" t="n">
        <v>45952</v>
      </c>
      <c r="D9477" t="inlineStr">
        <is>
          <t>VÄSTRA GÖTALANDS LÄN</t>
        </is>
      </c>
      <c r="E9477" t="inlineStr">
        <is>
          <t>ALINGSÅS</t>
        </is>
      </c>
      <c r="G9477" t="n">
        <v>1.9</v>
      </c>
      <c r="H9477" t="n">
        <v>0</v>
      </c>
      <c r="I9477" t="n">
        <v>0</v>
      </c>
      <c r="J9477" t="n">
        <v>0</v>
      </c>
      <c r="K9477" t="n">
        <v>0</v>
      </c>
      <c r="L9477" t="n">
        <v>0</v>
      </c>
      <c r="M9477" t="n">
        <v>0</v>
      </c>
      <c r="N9477" t="n">
        <v>0</v>
      </c>
      <c r="O9477" t="n">
        <v>0</v>
      </c>
      <c r="P9477" t="n">
        <v>0</v>
      </c>
      <c r="Q9477" t="n">
        <v>0</v>
      </c>
      <c r="R9477" s="2" t="inlineStr"/>
    </row>
    <row r="9478" ht="15" customHeight="1">
      <c r="A9478" t="inlineStr">
        <is>
          <t>A 56960-2024</t>
        </is>
      </c>
      <c r="B9478" s="1" t="n">
        <v>45628.65630787037</v>
      </c>
      <c r="C9478" s="1" t="n">
        <v>45952</v>
      </c>
      <c r="D9478" t="inlineStr">
        <is>
          <t>VÄSTRA GÖTALANDS LÄN</t>
        </is>
      </c>
      <c r="E9478" t="inlineStr">
        <is>
          <t>BENGTSFORS</t>
        </is>
      </c>
      <c r="G9478" t="n">
        <v>3.1</v>
      </c>
      <c r="H9478" t="n">
        <v>0</v>
      </c>
      <c r="I9478" t="n">
        <v>0</v>
      </c>
      <c r="J9478" t="n">
        <v>0</v>
      </c>
      <c r="K9478" t="n">
        <v>0</v>
      </c>
      <c r="L9478" t="n">
        <v>0</v>
      </c>
      <c r="M9478" t="n">
        <v>0</v>
      </c>
      <c r="N9478" t="n">
        <v>0</v>
      </c>
      <c r="O9478" t="n">
        <v>0</v>
      </c>
      <c r="P9478" t="n">
        <v>0</v>
      </c>
      <c r="Q9478" t="n">
        <v>0</v>
      </c>
      <c r="R9478" s="2" t="inlineStr"/>
    </row>
    <row r="9479" ht="15" customHeight="1">
      <c r="A9479" t="inlineStr">
        <is>
          <t>A 35888-2024</t>
        </is>
      </c>
      <c r="B9479" s="1" t="n">
        <v>45533.36006944445</v>
      </c>
      <c r="C9479" s="1" t="n">
        <v>45952</v>
      </c>
      <c r="D9479" t="inlineStr">
        <is>
          <t>VÄSTRA GÖTALANDS LÄN</t>
        </is>
      </c>
      <c r="E9479" t="inlineStr">
        <is>
          <t>GULLSPÅNG</t>
        </is>
      </c>
      <c r="G9479" t="n">
        <v>4.3</v>
      </c>
      <c r="H9479" t="n">
        <v>0</v>
      </c>
      <c r="I9479" t="n">
        <v>0</v>
      </c>
      <c r="J9479" t="n">
        <v>0</v>
      </c>
      <c r="K9479" t="n">
        <v>0</v>
      </c>
      <c r="L9479" t="n">
        <v>0</v>
      </c>
      <c r="M9479" t="n">
        <v>0</v>
      </c>
      <c r="N9479" t="n">
        <v>0</v>
      </c>
      <c r="O9479" t="n">
        <v>0</v>
      </c>
      <c r="P9479" t="n">
        <v>0</v>
      </c>
      <c r="Q9479" t="n">
        <v>0</v>
      </c>
      <c r="R9479" s="2" t="inlineStr"/>
    </row>
    <row r="9480" ht="15" customHeight="1">
      <c r="A9480" t="inlineStr">
        <is>
          <t>A 40221-2025</t>
        </is>
      </c>
      <c r="B9480" s="1" t="n">
        <v>45894.69376157408</v>
      </c>
      <c r="C9480" s="1" t="n">
        <v>45952</v>
      </c>
      <c r="D9480" t="inlineStr">
        <is>
          <t>VÄSTRA GÖTALANDS LÄN</t>
        </is>
      </c>
      <c r="E9480" t="inlineStr">
        <is>
          <t>FÄRGELANDA</t>
        </is>
      </c>
      <c r="G9480" t="n">
        <v>3.1</v>
      </c>
      <c r="H9480" t="n">
        <v>0</v>
      </c>
      <c r="I9480" t="n">
        <v>0</v>
      </c>
      <c r="J9480" t="n">
        <v>0</v>
      </c>
      <c r="K9480" t="n">
        <v>0</v>
      </c>
      <c r="L9480" t="n">
        <v>0</v>
      </c>
      <c r="M9480" t="n">
        <v>0</v>
      </c>
      <c r="N9480" t="n">
        <v>0</v>
      </c>
      <c r="O9480" t="n">
        <v>0</v>
      </c>
      <c r="P9480" t="n">
        <v>0</v>
      </c>
      <c r="Q9480" t="n">
        <v>0</v>
      </c>
      <c r="R9480" s="2" t="inlineStr"/>
    </row>
    <row r="9481" ht="15" customHeight="1">
      <c r="A9481" t="inlineStr">
        <is>
          <t>A 40222-2025</t>
        </is>
      </c>
      <c r="B9481" s="1" t="n">
        <v>45894.69791666666</v>
      </c>
      <c r="C9481" s="1" t="n">
        <v>45952</v>
      </c>
      <c r="D9481" t="inlineStr">
        <is>
          <t>VÄSTRA GÖTALANDS LÄN</t>
        </is>
      </c>
      <c r="E9481" t="inlineStr">
        <is>
          <t>FÄRGELANDA</t>
        </is>
      </c>
      <c r="G9481" t="n">
        <v>1.3</v>
      </c>
      <c r="H9481" t="n">
        <v>0</v>
      </c>
      <c r="I9481" t="n">
        <v>0</v>
      </c>
      <c r="J9481" t="n">
        <v>0</v>
      </c>
      <c r="K9481" t="n">
        <v>0</v>
      </c>
      <c r="L9481" t="n">
        <v>0</v>
      </c>
      <c r="M9481" t="n">
        <v>0</v>
      </c>
      <c r="N9481" t="n">
        <v>0</v>
      </c>
      <c r="O9481" t="n">
        <v>0</v>
      </c>
      <c r="P9481" t="n">
        <v>0</v>
      </c>
      <c r="Q9481" t="n">
        <v>0</v>
      </c>
      <c r="R9481" s="2" t="inlineStr"/>
    </row>
    <row r="9482" ht="15" customHeight="1">
      <c r="A9482" t="inlineStr">
        <is>
          <t>A 49184-2021</t>
        </is>
      </c>
      <c r="B9482" s="1" t="n">
        <v>44454.32413194444</v>
      </c>
      <c r="C9482" s="1" t="n">
        <v>45952</v>
      </c>
      <c r="D9482" t="inlineStr">
        <is>
          <t>VÄSTRA GÖTALANDS LÄN</t>
        </is>
      </c>
      <c r="E9482" t="inlineStr">
        <is>
          <t>SVENLJUNGA</t>
        </is>
      </c>
      <c r="G9482" t="n">
        <v>1.1</v>
      </c>
      <c r="H9482" t="n">
        <v>0</v>
      </c>
      <c r="I9482" t="n">
        <v>0</v>
      </c>
      <c r="J9482" t="n">
        <v>0</v>
      </c>
      <c r="K9482" t="n">
        <v>0</v>
      </c>
      <c r="L9482" t="n">
        <v>0</v>
      </c>
      <c r="M9482" t="n">
        <v>0</v>
      </c>
      <c r="N9482" t="n">
        <v>0</v>
      </c>
      <c r="O9482" t="n">
        <v>0</v>
      </c>
      <c r="P9482" t="n">
        <v>0</v>
      </c>
      <c r="Q9482" t="n">
        <v>0</v>
      </c>
      <c r="R9482" s="2" t="inlineStr"/>
    </row>
    <row r="9483" ht="15" customHeight="1">
      <c r="A9483" t="inlineStr">
        <is>
          <t>A 48861-2025</t>
        </is>
      </c>
      <c r="B9483" s="1" t="n">
        <v>45937.44197916667</v>
      </c>
      <c r="C9483" s="1" t="n">
        <v>45952</v>
      </c>
      <c r="D9483" t="inlineStr">
        <is>
          <t>VÄSTRA GÖTALANDS LÄN</t>
        </is>
      </c>
      <c r="E9483" t="inlineStr">
        <is>
          <t>ULRICEHAMN</t>
        </is>
      </c>
      <c r="G9483" t="n">
        <v>5</v>
      </c>
      <c r="H9483" t="n">
        <v>0</v>
      </c>
      <c r="I9483" t="n">
        <v>0</v>
      </c>
      <c r="J9483" t="n">
        <v>0</v>
      </c>
      <c r="K9483" t="n">
        <v>0</v>
      </c>
      <c r="L9483" t="n">
        <v>0</v>
      </c>
      <c r="M9483" t="n">
        <v>0</v>
      </c>
      <c r="N9483" t="n">
        <v>0</v>
      </c>
      <c r="O9483" t="n">
        <v>0</v>
      </c>
      <c r="P9483" t="n">
        <v>0</v>
      </c>
      <c r="Q9483" t="n">
        <v>0</v>
      </c>
      <c r="R9483" s="2" t="inlineStr"/>
    </row>
    <row r="9484" ht="15" customHeight="1">
      <c r="A9484" t="inlineStr">
        <is>
          <t>A 33244-2021</t>
        </is>
      </c>
      <c r="B9484" s="1" t="n">
        <v>44377</v>
      </c>
      <c r="C9484" s="1" t="n">
        <v>45952</v>
      </c>
      <c r="D9484" t="inlineStr">
        <is>
          <t>VÄSTRA GÖTALANDS LÄN</t>
        </is>
      </c>
      <c r="E9484" t="inlineStr">
        <is>
          <t>KUNGÄLV</t>
        </is>
      </c>
      <c r="G9484" t="n">
        <v>0.7</v>
      </c>
      <c r="H9484" t="n">
        <v>0</v>
      </c>
      <c r="I9484" t="n">
        <v>0</v>
      </c>
      <c r="J9484" t="n">
        <v>0</v>
      </c>
      <c r="K9484" t="n">
        <v>0</v>
      </c>
      <c r="L9484" t="n">
        <v>0</v>
      </c>
      <c r="M9484" t="n">
        <v>0</v>
      </c>
      <c r="N9484" t="n">
        <v>0</v>
      </c>
      <c r="O9484" t="n">
        <v>0</v>
      </c>
      <c r="P9484" t="n">
        <v>0</v>
      </c>
      <c r="Q9484" t="n">
        <v>0</v>
      </c>
      <c r="R9484" s="2" t="inlineStr"/>
    </row>
    <row r="9485" ht="15" customHeight="1">
      <c r="A9485" t="inlineStr">
        <is>
          <t>A 40671-2024</t>
        </is>
      </c>
      <c r="B9485" s="1" t="n">
        <v>45558.36265046296</v>
      </c>
      <c r="C9485" s="1" t="n">
        <v>45952</v>
      </c>
      <c r="D9485" t="inlineStr">
        <is>
          <t>VÄSTRA GÖTALANDS LÄN</t>
        </is>
      </c>
      <c r="E9485" t="inlineStr">
        <is>
          <t>TIBRO</t>
        </is>
      </c>
      <c r="G9485" t="n">
        <v>2.1</v>
      </c>
      <c r="H9485" t="n">
        <v>0</v>
      </c>
      <c r="I9485" t="n">
        <v>0</v>
      </c>
      <c r="J9485" t="n">
        <v>0</v>
      </c>
      <c r="K9485" t="n">
        <v>0</v>
      </c>
      <c r="L9485" t="n">
        <v>0</v>
      </c>
      <c r="M9485" t="n">
        <v>0</v>
      </c>
      <c r="N9485" t="n">
        <v>0</v>
      </c>
      <c r="O9485" t="n">
        <v>0</v>
      </c>
      <c r="P9485" t="n">
        <v>0</v>
      </c>
      <c r="Q9485" t="n">
        <v>0</v>
      </c>
      <c r="R9485" s="2" t="inlineStr"/>
    </row>
    <row r="9486" ht="15" customHeight="1">
      <c r="A9486" t="inlineStr">
        <is>
          <t>A 26631-2021</t>
        </is>
      </c>
      <c r="B9486" s="1" t="n">
        <v>44348.67560185185</v>
      </c>
      <c r="C9486" s="1" t="n">
        <v>45952</v>
      </c>
      <c r="D9486" t="inlineStr">
        <is>
          <t>VÄSTRA GÖTALANDS LÄN</t>
        </is>
      </c>
      <c r="E9486" t="inlineStr">
        <is>
          <t>VARA</t>
        </is>
      </c>
      <c r="G9486" t="n">
        <v>1.5</v>
      </c>
      <c r="H9486" t="n">
        <v>0</v>
      </c>
      <c r="I9486" t="n">
        <v>0</v>
      </c>
      <c r="J9486" t="n">
        <v>0</v>
      </c>
      <c r="K9486" t="n">
        <v>0</v>
      </c>
      <c r="L9486" t="n">
        <v>0</v>
      </c>
      <c r="M9486" t="n">
        <v>0</v>
      </c>
      <c r="N9486" t="n">
        <v>0</v>
      </c>
      <c r="O9486" t="n">
        <v>0</v>
      </c>
      <c r="P9486" t="n">
        <v>0</v>
      </c>
      <c r="Q9486" t="n">
        <v>0</v>
      </c>
      <c r="R9486" s="2" t="inlineStr"/>
    </row>
    <row r="9487" ht="15" customHeight="1">
      <c r="A9487" t="inlineStr">
        <is>
          <t>A 72683-2021</t>
        </is>
      </c>
      <c r="B9487" s="1" t="n">
        <v>44546.65107638889</v>
      </c>
      <c r="C9487" s="1" t="n">
        <v>45952</v>
      </c>
      <c r="D9487" t="inlineStr">
        <is>
          <t>VÄSTRA GÖTALANDS LÄN</t>
        </is>
      </c>
      <c r="E9487" t="inlineStr">
        <is>
          <t>TIDAHOLM</t>
        </is>
      </c>
      <c r="G9487" t="n">
        <v>1</v>
      </c>
      <c r="H9487" t="n">
        <v>0</v>
      </c>
      <c r="I9487" t="n">
        <v>0</v>
      </c>
      <c r="J9487" t="n">
        <v>0</v>
      </c>
      <c r="K9487" t="n">
        <v>0</v>
      </c>
      <c r="L9487" t="n">
        <v>0</v>
      </c>
      <c r="M9487" t="n">
        <v>0</v>
      </c>
      <c r="N9487" t="n">
        <v>0</v>
      </c>
      <c r="O9487" t="n">
        <v>0</v>
      </c>
      <c r="P9487" t="n">
        <v>0</v>
      </c>
      <c r="Q9487" t="n">
        <v>0</v>
      </c>
      <c r="R9487" s="2" t="inlineStr"/>
    </row>
    <row r="9488" ht="15" customHeight="1">
      <c r="A9488" t="inlineStr">
        <is>
          <t>A 48909-2025</t>
        </is>
      </c>
      <c r="B9488" s="1" t="n">
        <v>45937</v>
      </c>
      <c r="C9488" s="1" t="n">
        <v>45952</v>
      </c>
      <c r="D9488" t="inlineStr">
        <is>
          <t>VÄSTRA GÖTALANDS LÄN</t>
        </is>
      </c>
      <c r="E9488" t="inlineStr">
        <is>
          <t>MARK</t>
        </is>
      </c>
      <c r="G9488" t="n">
        <v>3.1</v>
      </c>
      <c r="H9488" t="n">
        <v>0</v>
      </c>
      <c r="I9488" t="n">
        <v>0</v>
      </c>
      <c r="J9488" t="n">
        <v>0</v>
      </c>
      <c r="K9488" t="n">
        <v>0</v>
      </c>
      <c r="L9488" t="n">
        <v>0</v>
      </c>
      <c r="M9488" t="n">
        <v>0</v>
      </c>
      <c r="N9488" t="n">
        <v>0</v>
      </c>
      <c r="O9488" t="n">
        <v>0</v>
      </c>
      <c r="P9488" t="n">
        <v>0</v>
      </c>
      <c r="Q9488" t="n">
        <v>0</v>
      </c>
      <c r="R9488" s="2" t="inlineStr"/>
    </row>
    <row r="9489" ht="15" customHeight="1">
      <c r="A9489" t="inlineStr">
        <is>
          <t>A 2165-2024</t>
        </is>
      </c>
      <c r="B9489" s="1" t="n">
        <v>45309.60811342593</v>
      </c>
      <c r="C9489" s="1" t="n">
        <v>45952</v>
      </c>
      <c r="D9489" t="inlineStr">
        <is>
          <t>VÄSTRA GÖTALANDS LÄN</t>
        </is>
      </c>
      <c r="E9489" t="inlineStr">
        <is>
          <t>BENGTSFORS</t>
        </is>
      </c>
      <c r="G9489" t="n">
        <v>5</v>
      </c>
      <c r="H9489" t="n">
        <v>0</v>
      </c>
      <c r="I9489" t="n">
        <v>0</v>
      </c>
      <c r="J9489" t="n">
        <v>0</v>
      </c>
      <c r="K9489" t="n">
        <v>0</v>
      </c>
      <c r="L9489" t="n">
        <v>0</v>
      </c>
      <c r="M9489" t="n">
        <v>0</v>
      </c>
      <c r="N9489" t="n">
        <v>0</v>
      </c>
      <c r="O9489" t="n">
        <v>0</v>
      </c>
      <c r="P9489" t="n">
        <v>0</v>
      </c>
      <c r="Q9489" t="n">
        <v>0</v>
      </c>
      <c r="R9489" s="2" t="inlineStr"/>
    </row>
    <row r="9490" ht="15" customHeight="1">
      <c r="A9490" t="inlineStr">
        <is>
          <t>A 48760-2025</t>
        </is>
      </c>
      <c r="B9490" s="1" t="n">
        <v>45936.77475694445</v>
      </c>
      <c r="C9490" s="1" t="n">
        <v>45952</v>
      </c>
      <c r="D9490" t="inlineStr">
        <is>
          <t>VÄSTRA GÖTALANDS LÄN</t>
        </is>
      </c>
      <c r="E9490" t="inlineStr">
        <is>
          <t>VÅRGÅRDA</t>
        </is>
      </c>
      <c r="G9490" t="n">
        <v>1.2</v>
      </c>
      <c r="H9490" t="n">
        <v>0</v>
      </c>
      <c r="I9490" t="n">
        <v>0</v>
      </c>
      <c r="J9490" t="n">
        <v>0</v>
      </c>
      <c r="K9490" t="n">
        <v>0</v>
      </c>
      <c r="L9490" t="n">
        <v>0</v>
      </c>
      <c r="M9490" t="n">
        <v>0</v>
      </c>
      <c r="N9490" t="n">
        <v>0</v>
      </c>
      <c r="O9490" t="n">
        <v>0</v>
      </c>
      <c r="P9490" t="n">
        <v>0</v>
      </c>
      <c r="Q9490" t="n">
        <v>0</v>
      </c>
      <c r="R9490" s="2" t="inlineStr"/>
    </row>
    <row r="9491" ht="15" customHeight="1">
      <c r="A9491" t="inlineStr">
        <is>
          <t>A 2263-2024</t>
        </is>
      </c>
      <c r="B9491" s="1" t="n">
        <v>45310.33078703703</v>
      </c>
      <c r="C9491" s="1" t="n">
        <v>45952</v>
      </c>
      <c r="D9491" t="inlineStr">
        <is>
          <t>VÄSTRA GÖTALANDS LÄN</t>
        </is>
      </c>
      <c r="E9491" t="inlineStr">
        <is>
          <t>TROLLHÄTTAN</t>
        </is>
      </c>
      <c r="F9491" t="inlineStr">
        <is>
          <t>Kommuner</t>
        </is>
      </c>
      <c r="G9491" t="n">
        <v>0.6</v>
      </c>
      <c r="H9491" t="n">
        <v>0</v>
      </c>
      <c r="I9491" t="n">
        <v>0</v>
      </c>
      <c r="J9491" t="n">
        <v>0</v>
      </c>
      <c r="K9491" t="n">
        <v>0</v>
      </c>
      <c r="L9491" t="n">
        <v>0</v>
      </c>
      <c r="M9491" t="n">
        <v>0</v>
      </c>
      <c r="N9491" t="n">
        <v>0</v>
      </c>
      <c r="O9491" t="n">
        <v>0</v>
      </c>
      <c r="P9491" t="n">
        <v>0</v>
      </c>
      <c r="Q9491" t="n">
        <v>0</v>
      </c>
      <c r="R9491" s="2" t="inlineStr"/>
    </row>
    <row r="9492" ht="15" customHeight="1">
      <c r="A9492" t="inlineStr">
        <is>
          <t>A 40743-2024</t>
        </is>
      </c>
      <c r="B9492" s="1" t="n">
        <v>45558.45</v>
      </c>
      <c r="C9492" s="1" t="n">
        <v>45952</v>
      </c>
      <c r="D9492" t="inlineStr">
        <is>
          <t>VÄSTRA GÖTALANDS LÄN</t>
        </is>
      </c>
      <c r="E9492" t="inlineStr">
        <is>
          <t>ORUST</t>
        </is>
      </c>
      <c r="G9492" t="n">
        <v>1.2</v>
      </c>
      <c r="H9492" t="n">
        <v>0</v>
      </c>
      <c r="I9492" t="n">
        <v>0</v>
      </c>
      <c r="J9492" t="n">
        <v>0</v>
      </c>
      <c r="K9492" t="n">
        <v>0</v>
      </c>
      <c r="L9492" t="n">
        <v>0</v>
      </c>
      <c r="M9492" t="n">
        <v>0</v>
      </c>
      <c r="N9492" t="n">
        <v>0</v>
      </c>
      <c r="O9492" t="n">
        <v>0</v>
      </c>
      <c r="P9492" t="n">
        <v>0</v>
      </c>
      <c r="Q9492" t="n">
        <v>0</v>
      </c>
      <c r="R9492" s="2" t="inlineStr"/>
    </row>
    <row r="9493" ht="15" customHeight="1">
      <c r="A9493" t="inlineStr">
        <is>
          <t>A 48787-2025</t>
        </is>
      </c>
      <c r="B9493" s="1" t="n">
        <v>45937.31791666667</v>
      </c>
      <c r="C9493" s="1" t="n">
        <v>45952</v>
      </c>
      <c r="D9493" t="inlineStr">
        <is>
          <t>VÄSTRA GÖTALANDS LÄN</t>
        </is>
      </c>
      <c r="E9493" t="inlineStr">
        <is>
          <t>TROLLHÄTTAN</t>
        </is>
      </c>
      <c r="G9493" t="n">
        <v>3.6</v>
      </c>
      <c r="H9493" t="n">
        <v>0</v>
      </c>
      <c r="I9493" t="n">
        <v>0</v>
      </c>
      <c r="J9493" t="n">
        <v>0</v>
      </c>
      <c r="K9493" t="n">
        <v>0</v>
      </c>
      <c r="L9493" t="n">
        <v>0</v>
      </c>
      <c r="M9493" t="n">
        <v>0</v>
      </c>
      <c r="N9493" t="n">
        <v>0</v>
      </c>
      <c r="O9493" t="n">
        <v>0</v>
      </c>
      <c r="P9493" t="n">
        <v>0</v>
      </c>
      <c r="Q9493" t="n">
        <v>0</v>
      </c>
      <c r="R9493" s="2" t="inlineStr"/>
    </row>
    <row r="9494" ht="15" customHeight="1">
      <c r="A9494" t="inlineStr">
        <is>
          <t>A 48792-2025</t>
        </is>
      </c>
      <c r="B9494" s="1" t="n">
        <v>45937.32658564814</v>
      </c>
      <c r="C9494" s="1" t="n">
        <v>45952</v>
      </c>
      <c r="D9494" t="inlineStr">
        <is>
          <t>VÄSTRA GÖTALANDS LÄN</t>
        </is>
      </c>
      <c r="E9494" t="inlineStr">
        <is>
          <t>TRANEMO</t>
        </is>
      </c>
      <c r="G9494" t="n">
        <v>2.4</v>
      </c>
      <c r="H9494" t="n">
        <v>0</v>
      </c>
      <c r="I9494" t="n">
        <v>0</v>
      </c>
      <c r="J9494" t="n">
        <v>0</v>
      </c>
      <c r="K9494" t="n">
        <v>0</v>
      </c>
      <c r="L9494" t="n">
        <v>0</v>
      </c>
      <c r="M9494" t="n">
        <v>0</v>
      </c>
      <c r="N9494" t="n">
        <v>0</v>
      </c>
      <c r="O9494" t="n">
        <v>0</v>
      </c>
      <c r="P9494" t="n">
        <v>0</v>
      </c>
      <c r="Q9494" t="n">
        <v>0</v>
      </c>
      <c r="R9494" s="2" t="inlineStr"/>
    </row>
    <row r="9495" ht="15" customHeight="1">
      <c r="A9495" t="inlineStr">
        <is>
          <t>A 14505-2024</t>
        </is>
      </c>
      <c r="B9495" s="1" t="n">
        <v>45394</v>
      </c>
      <c r="C9495" s="1" t="n">
        <v>45952</v>
      </c>
      <c r="D9495" t="inlineStr">
        <is>
          <t>VÄSTRA GÖTALANDS LÄN</t>
        </is>
      </c>
      <c r="E9495" t="inlineStr">
        <is>
          <t>TÖREBODA</t>
        </is>
      </c>
      <c r="G9495" t="n">
        <v>2.6</v>
      </c>
      <c r="H9495" t="n">
        <v>0</v>
      </c>
      <c r="I9495" t="n">
        <v>0</v>
      </c>
      <c r="J9495" t="n">
        <v>0</v>
      </c>
      <c r="K9495" t="n">
        <v>0</v>
      </c>
      <c r="L9495" t="n">
        <v>0</v>
      </c>
      <c r="M9495" t="n">
        <v>0</v>
      </c>
      <c r="N9495" t="n">
        <v>0</v>
      </c>
      <c r="O9495" t="n">
        <v>0</v>
      </c>
      <c r="P9495" t="n">
        <v>0</v>
      </c>
      <c r="Q9495" t="n">
        <v>0</v>
      </c>
      <c r="R9495" s="2" t="inlineStr"/>
    </row>
    <row r="9496" ht="15" customHeight="1">
      <c r="A9496" t="inlineStr">
        <is>
          <t>A 54400-2022</t>
        </is>
      </c>
      <c r="B9496" s="1" t="n">
        <v>44882.53457175926</v>
      </c>
      <c r="C9496" s="1" t="n">
        <v>45952</v>
      </c>
      <c r="D9496" t="inlineStr">
        <is>
          <t>VÄSTRA GÖTALANDS LÄN</t>
        </is>
      </c>
      <c r="E9496" t="inlineStr">
        <is>
          <t>TRANEMO</t>
        </is>
      </c>
      <c r="G9496" t="n">
        <v>1.4</v>
      </c>
      <c r="H9496" t="n">
        <v>0</v>
      </c>
      <c r="I9496" t="n">
        <v>0</v>
      </c>
      <c r="J9496" t="n">
        <v>0</v>
      </c>
      <c r="K9496" t="n">
        <v>0</v>
      </c>
      <c r="L9496" t="n">
        <v>0</v>
      </c>
      <c r="M9496" t="n">
        <v>0</v>
      </c>
      <c r="N9496" t="n">
        <v>0</v>
      </c>
      <c r="O9496" t="n">
        <v>0</v>
      </c>
      <c r="P9496" t="n">
        <v>0</v>
      </c>
      <c r="Q9496" t="n">
        <v>0</v>
      </c>
      <c r="R9496" s="2" t="inlineStr"/>
    </row>
    <row r="9497" ht="15" customHeight="1">
      <c r="A9497" t="inlineStr">
        <is>
          <t>A 55378-2024</t>
        </is>
      </c>
      <c r="B9497" s="1" t="n">
        <v>45622.25892361111</v>
      </c>
      <c r="C9497" s="1" t="n">
        <v>45952</v>
      </c>
      <c r="D9497" t="inlineStr">
        <is>
          <t>VÄSTRA GÖTALANDS LÄN</t>
        </is>
      </c>
      <c r="E9497" t="inlineStr">
        <is>
          <t>BORÅS</t>
        </is>
      </c>
      <c r="G9497" t="n">
        <v>5.4</v>
      </c>
      <c r="H9497" t="n">
        <v>0</v>
      </c>
      <c r="I9497" t="n">
        <v>0</v>
      </c>
      <c r="J9497" t="n">
        <v>0</v>
      </c>
      <c r="K9497" t="n">
        <v>0</v>
      </c>
      <c r="L9497" t="n">
        <v>0</v>
      </c>
      <c r="M9497" t="n">
        <v>0</v>
      </c>
      <c r="N9497" t="n">
        <v>0</v>
      </c>
      <c r="O9497" t="n">
        <v>0</v>
      </c>
      <c r="P9497" t="n">
        <v>0</v>
      </c>
      <c r="Q9497" t="n">
        <v>0</v>
      </c>
      <c r="R9497" s="2" t="inlineStr"/>
    </row>
    <row r="9498" ht="15" customHeight="1">
      <c r="A9498" t="inlineStr">
        <is>
          <t>A 16011-2023</t>
        </is>
      </c>
      <c r="B9498" s="1" t="n">
        <v>45026</v>
      </c>
      <c r="C9498" s="1" t="n">
        <v>45952</v>
      </c>
      <c r="D9498" t="inlineStr">
        <is>
          <t>VÄSTRA GÖTALANDS LÄN</t>
        </is>
      </c>
      <c r="E9498" t="inlineStr">
        <is>
          <t>GRÄSTORP</t>
        </is>
      </c>
      <c r="G9498" t="n">
        <v>4</v>
      </c>
      <c r="H9498" t="n">
        <v>0</v>
      </c>
      <c r="I9498" t="n">
        <v>0</v>
      </c>
      <c r="J9498" t="n">
        <v>0</v>
      </c>
      <c r="K9498" t="n">
        <v>0</v>
      </c>
      <c r="L9498" t="n">
        <v>0</v>
      </c>
      <c r="M9498" t="n">
        <v>0</v>
      </c>
      <c r="N9498" t="n">
        <v>0</v>
      </c>
      <c r="O9498" t="n">
        <v>0</v>
      </c>
      <c r="P9498" t="n">
        <v>0</v>
      </c>
      <c r="Q9498" t="n">
        <v>0</v>
      </c>
      <c r="R9498" s="2" t="inlineStr"/>
    </row>
    <row r="9499" ht="15" customHeight="1">
      <c r="A9499" t="inlineStr">
        <is>
          <t>A 48906-2025</t>
        </is>
      </c>
      <c r="B9499" s="1" t="n">
        <v>45937.48306712963</v>
      </c>
      <c r="C9499" s="1" t="n">
        <v>45952</v>
      </c>
      <c r="D9499" t="inlineStr">
        <is>
          <t>VÄSTRA GÖTALANDS LÄN</t>
        </is>
      </c>
      <c r="E9499" t="inlineStr">
        <is>
          <t>TIDAHOLM</t>
        </is>
      </c>
      <c r="G9499" t="n">
        <v>5.4</v>
      </c>
      <c r="H9499" t="n">
        <v>0</v>
      </c>
      <c r="I9499" t="n">
        <v>0</v>
      </c>
      <c r="J9499" t="n">
        <v>0</v>
      </c>
      <c r="K9499" t="n">
        <v>0</v>
      </c>
      <c r="L9499" t="n">
        <v>0</v>
      </c>
      <c r="M9499" t="n">
        <v>0</v>
      </c>
      <c r="N9499" t="n">
        <v>0</v>
      </c>
      <c r="O9499" t="n">
        <v>0</v>
      </c>
      <c r="P9499" t="n">
        <v>0</v>
      </c>
      <c r="Q9499" t="n">
        <v>0</v>
      </c>
      <c r="R9499" s="2" t="inlineStr"/>
    </row>
    <row r="9500" ht="15" customHeight="1">
      <c r="A9500" t="inlineStr">
        <is>
          <t>A 48907-2025</t>
        </is>
      </c>
      <c r="B9500" s="1" t="n">
        <v>45937.48375</v>
      </c>
      <c r="C9500" s="1" t="n">
        <v>45952</v>
      </c>
      <c r="D9500" t="inlineStr">
        <is>
          <t>VÄSTRA GÖTALANDS LÄN</t>
        </is>
      </c>
      <c r="E9500" t="inlineStr">
        <is>
          <t>TIDAHOLM</t>
        </is>
      </c>
      <c r="G9500" t="n">
        <v>1.5</v>
      </c>
      <c r="H9500" t="n">
        <v>0</v>
      </c>
      <c r="I9500" t="n">
        <v>0</v>
      </c>
      <c r="J9500" t="n">
        <v>0</v>
      </c>
      <c r="K9500" t="n">
        <v>0</v>
      </c>
      <c r="L9500" t="n">
        <v>0</v>
      </c>
      <c r="M9500" t="n">
        <v>0</v>
      </c>
      <c r="N9500" t="n">
        <v>0</v>
      </c>
      <c r="O9500" t="n">
        <v>0</v>
      </c>
      <c r="P9500" t="n">
        <v>0</v>
      </c>
      <c r="Q9500" t="n">
        <v>0</v>
      </c>
      <c r="R9500" s="2" t="inlineStr"/>
    </row>
    <row r="9501" ht="15" customHeight="1">
      <c r="A9501" t="inlineStr">
        <is>
          <t>A 40442-2025</t>
        </is>
      </c>
      <c r="B9501" s="1" t="n">
        <v>45895</v>
      </c>
      <c r="C9501" s="1" t="n">
        <v>45952</v>
      </c>
      <c r="D9501" t="inlineStr">
        <is>
          <t>VÄSTRA GÖTALANDS LÄN</t>
        </is>
      </c>
      <c r="E9501" t="inlineStr">
        <is>
          <t>ORUST</t>
        </is>
      </c>
      <c r="G9501" t="n">
        <v>3.4</v>
      </c>
      <c r="H9501" t="n">
        <v>0</v>
      </c>
      <c r="I9501" t="n">
        <v>0</v>
      </c>
      <c r="J9501" t="n">
        <v>0</v>
      </c>
      <c r="K9501" t="n">
        <v>0</v>
      </c>
      <c r="L9501" t="n">
        <v>0</v>
      </c>
      <c r="M9501" t="n">
        <v>0</v>
      </c>
      <c r="N9501" t="n">
        <v>0</v>
      </c>
      <c r="O9501" t="n">
        <v>0</v>
      </c>
      <c r="P9501" t="n">
        <v>0</v>
      </c>
      <c r="Q9501" t="n">
        <v>0</v>
      </c>
      <c r="R9501" s="2" t="inlineStr"/>
    </row>
    <row r="9502" ht="15" customHeight="1">
      <c r="A9502" t="inlineStr">
        <is>
          <t>A 14309-2022</t>
        </is>
      </c>
      <c r="B9502" s="1" t="n">
        <v>44652</v>
      </c>
      <c r="C9502" s="1" t="n">
        <v>45952</v>
      </c>
      <c r="D9502" t="inlineStr">
        <is>
          <t>VÄSTRA GÖTALANDS LÄN</t>
        </is>
      </c>
      <c r="E9502" t="inlineStr">
        <is>
          <t>BORÅS</t>
        </is>
      </c>
      <c r="G9502" t="n">
        <v>1.5</v>
      </c>
      <c r="H9502" t="n">
        <v>0</v>
      </c>
      <c r="I9502" t="n">
        <v>0</v>
      </c>
      <c r="J9502" t="n">
        <v>0</v>
      </c>
      <c r="K9502" t="n">
        <v>0</v>
      </c>
      <c r="L9502" t="n">
        <v>0</v>
      </c>
      <c r="M9502" t="n">
        <v>0</v>
      </c>
      <c r="N9502" t="n">
        <v>0</v>
      </c>
      <c r="O9502" t="n">
        <v>0</v>
      </c>
      <c r="P9502" t="n">
        <v>0</v>
      </c>
      <c r="Q9502" t="n">
        <v>0</v>
      </c>
      <c r="R9502" s="2" t="inlineStr"/>
    </row>
    <row r="9503" ht="15" customHeight="1">
      <c r="A9503" t="inlineStr">
        <is>
          <t>A 39656-2024</t>
        </is>
      </c>
      <c r="B9503" s="1" t="n">
        <v>45552.49091435185</v>
      </c>
      <c r="C9503" s="1" t="n">
        <v>45952</v>
      </c>
      <c r="D9503" t="inlineStr">
        <is>
          <t>VÄSTRA GÖTALANDS LÄN</t>
        </is>
      </c>
      <c r="E9503" t="inlineStr">
        <is>
          <t>TÖREBODA</t>
        </is>
      </c>
      <c r="G9503" t="n">
        <v>3.3</v>
      </c>
      <c r="H9503" t="n">
        <v>0</v>
      </c>
      <c r="I9503" t="n">
        <v>0</v>
      </c>
      <c r="J9503" t="n">
        <v>0</v>
      </c>
      <c r="K9503" t="n">
        <v>0</v>
      </c>
      <c r="L9503" t="n">
        <v>0</v>
      </c>
      <c r="M9503" t="n">
        <v>0</v>
      </c>
      <c r="N9503" t="n">
        <v>0</v>
      </c>
      <c r="O9503" t="n">
        <v>0</v>
      </c>
      <c r="P9503" t="n">
        <v>0</v>
      </c>
      <c r="Q9503" t="n">
        <v>0</v>
      </c>
      <c r="R9503" s="2" t="inlineStr"/>
    </row>
    <row r="9504" ht="15" customHeight="1">
      <c r="A9504" t="inlineStr">
        <is>
          <t>A 11265-2022</t>
        </is>
      </c>
      <c r="B9504" s="1" t="n">
        <v>44629.68885416666</v>
      </c>
      <c r="C9504" s="1" t="n">
        <v>45952</v>
      </c>
      <c r="D9504" t="inlineStr">
        <is>
          <t>VÄSTRA GÖTALANDS LÄN</t>
        </is>
      </c>
      <c r="E9504" t="inlineStr">
        <is>
          <t>BENGTSFORS</t>
        </is>
      </c>
      <c r="G9504" t="n">
        <v>1.7</v>
      </c>
      <c r="H9504" t="n">
        <v>0</v>
      </c>
      <c r="I9504" t="n">
        <v>0</v>
      </c>
      <c r="J9504" t="n">
        <v>0</v>
      </c>
      <c r="K9504" t="n">
        <v>0</v>
      </c>
      <c r="L9504" t="n">
        <v>0</v>
      </c>
      <c r="M9504" t="n">
        <v>0</v>
      </c>
      <c r="N9504" t="n">
        <v>0</v>
      </c>
      <c r="O9504" t="n">
        <v>0</v>
      </c>
      <c r="P9504" t="n">
        <v>0</v>
      </c>
      <c r="Q9504" t="n">
        <v>0</v>
      </c>
      <c r="R9504" s="2" t="inlineStr"/>
    </row>
    <row r="9505" ht="15" customHeight="1">
      <c r="A9505" t="inlineStr">
        <is>
          <t>A 30515-2024</t>
        </is>
      </c>
      <c r="B9505" s="1" t="n">
        <v>45492.47263888889</v>
      </c>
      <c r="C9505" s="1" t="n">
        <v>45952</v>
      </c>
      <c r="D9505" t="inlineStr">
        <is>
          <t>VÄSTRA GÖTALANDS LÄN</t>
        </is>
      </c>
      <c r="E9505" t="inlineStr">
        <is>
          <t>SKARA</t>
        </is>
      </c>
      <c r="G9505" t="n">
        <v>1.3</v>
      </c>
      <c r="H9505" t="n">
        <v>0</v>
      </c>
      <c r="I9505" t="n">
        <v>0</v>
      </c>
      <c r="J9505" t="n">
        <v>0</v>
      </c>
      <c r="K9505" t="n">
        <v>0</v>
      </c>
      <c r="L9505" t="n">
        <v>0</v>
      </c>
      <c r="M9505" t="n">
        <v>0</v>
      </c>
      <c r="N9505" t="n">
        <v>0</v>
      </c>
      <c r="O9505" t="n">
        <v>0</v>
      </c>
      <c r="P9505" t="n">
        <v>0</v>
      </c>
      <c r="Q9505" t="n">
        <v>0</v>
      </c>
      <c r="R9505" s="2" t="inlineStr"/>
    </row>
    <row r="9506" ht="15" customHeight="1">
      <c r="A9506" t="inlineStr">
        <is>
          <t>A 40473-2025</t>
        </is>
      </c>
      <c r="B9506" s="1" t="n">
        <v>45895</v>
      </c>
      <c r="C9506" s="1" t="n">
        <v>45952</v>
      </c>
      <c r="D9506" t="inlineStr">
        <is>
          <t>VÄSTRA GÖTALANDS LÄN</t>
        </is>
      </c>
      <c r="E9506" t="inlineStr">
        <is>
          <t>BENGTSFORS</t>
        </is>
      </c>
      <c r="G9506" t="n">
        <v>2.4</v>
      </c>
      <c r="H9506" t="n">
        <v>0</v>
      </c>
      <c r="I9506" t="n">
        <v>0</v>
      </c>
      <c r="J9506" t="n">
        <v>0</v>
      </c>
      <c r="K9506" t="n">
        <v>0</v>
      </c>
      <c r="L9506" t="n">
        <v>0</v>
      </c>
      <c r="M9506" t="n">
        <v>0</v>
      </c>
      <c r="N9506" t="n">
        <v>0</v>
      </c>
      <c r="O9506" t="n">
        <v>0</v>
      </c>
      <c r="P9506" t="n">
        <v>0</v>
      </c>
      <c r="Q9506" t="n">
        <v>0</v>
      </c>
      <c r="R9506" s="2" t="inlineStr"/>
    </row>
    <row r="9507" ht="15" customHeight="1">
      <c r="A9507" t="inlineStr">
        <is>
          <t>A 40129-2025</t>
        </is>
      </c>
      <c r="B9507" s="1" t="n">
        <v>45894.54315972222</v>
      </c>
      <c r="C9507" s="1" t="n">
        <v>45952</v>
      </c>
      <c r="D9507" t="inlineStr">
        <is>
          <t>VÄSTRA GÖTALANDS LÄN</t>
        </is>
      </c>
      <c r="E9507" t="inlineStr">
        <is>
          <t>MUNKEDAL</t>
        </is>
      </c>
      <c r="G9507" t="n">
        <v>0.9</v>
      </c>
      <c r="H9507" t="n">
        <v>0</v>
      </c>
      <c r="I9507" t="n">
        <v>0</v>
      </c>
      <c r="J9507" t="n">
        <v>0</v>
      </c>
      <c r="K9507" t="n">
        <v>0</v>
      </c>
      <c r="L9507" t="n">
        <v>0</v>
      </c>
      <c r="M9507" t="n">
        <v>0</v>
      </c>
      <c r="N9507" t="n">
        <v>0</v>
      </c>
      <c r="O9507" t="n">
        <v>0</v>
      </c>
      <c r="P9507" t="n">
        <v>0</v>
      </c>
      <c r="Q9507" t="n">
        <v>0</v>
      </c>
      <c r="R9507" s="2" t="inlineStr"/>
    </row>
    <row r="9508" ht="15" customHeight="1">
      <c r="A9508" t="inlineStr">
        <is>
          <t>A 48683-2025</t>
        </is>
      </c>
      <c r="B9508" s="1" t="n">
        <v>45935</v>
      </c>
      <c r="C9508" s="1" t="n">
        <v>45952</v>
      </c>
      <c r="D9508" t="inlineStr">
        <is>
          <t>VÄSTRA GÖTALANDS LÄN</t>
        </is>
      </c>
      <c r="E9508" t="inlineStr">
        <is>
          <t>TANUM</t>
        </is>
      </c>
      <c r="G9508" t="n">
        <v>0.6</v>
      </c>
      <c r="H9508" t="n">
        <v>0</v>
      </c>
      <c r="I9508" t="n">
        <v>0</v>
      </c>
      <c r="J9508" t="n">
        <v>0</v>
      </c>
      <c r="K9508" t="n">
        <v>0</v>
      </c>
      <c r="L9508" t="n">
        <v>0</v>
      </c>
      <c r="M9508" t="n">
        <v>0</v>
      </c>
      <c r="N9508" t="n">
        <v>0</v>
      </c>
      <c r="O9508" t="n">
        <v>0</v>
      </c>
      <c r="P9508" t="n">
        <v>0</v>
      </c>
      <c r="Q9508" t="n">
        <v>0</v>
      </c>
      <c r="R9508" s="2" t="inlineStr"/>
    </row>
    <row r="9509" ht="15" customHeight="1">
      <c r="A9509" t="inlineStr">
        <is>
          <t>A 48730-2025</t>
        </is>
      </c>
      <c r="B9509" s="1" t="n">
        <v>45936.65984953703</v>
      </c>
      <c r="C9509" s="1" t="n">
        <v>45952</v>
      </c>
      <c r="D9509" t="inlineStr">
        <is>
          <t>VÄSTRA GÖTALANDS LÄN</t>
        </is>
      </c>
      <c r="E9509" t="inlineStr">
        <is>
          <t>LILLA EDET</t>
        </is>
      </c>
      <c r="G9509" t="n">
        <v>4</v>
      </c>
      <c r="H9509" t="n">
        <v>0</v>
      </c>
      <c r="I9509" t="n">
        <v>0</v>
      </c>
      <c r="J9509" t="n">
        <v>0</v>
      </c>
      <c r="K9509" t="n">
        <v>0</v>
      </c>
      <c r="L9509" t="n">
        <v>0</v>
      </c>
      <c r="M9509" t="n">
        <v>0</v>
      </c>
      <c r="N9509" t="n">
        <v>0</v>
      </c>
      <c r="O9509" t="n">
        <v>0</v>
      </c>
      <c r="P9509" t="n">
        <v>0</v>
      </c>
      <c r="Q9509" t="n">
        <v>0</v>
      </c>
      <c r="R9509" s="2" t="inlineStr"/>
    </row>
    <row r="9510" ht="15" customHeight="1">
      <c r="A9510" t="inlineStr">
        <is>
          <t>A 14196-2023</t>
        </is>
      </c>
      <c r="B9510" s="1" t="n">
        <v>45009</v>
      </c>
      <c r="C9510" s="1" t="n">
        <v>45952</v>
      </c>
      <c r="D9510" t="inlineStr">
        <is>
          <t>VÄSTRA GÖTALANDS LÄN</t>
        </is>
      </c>
      <c r="E9510" t="inlineStr">
        <is>
          <t>HJO</t>
        </is>
      </c>
      <c r="G9510" t="n">
        <v>3.5</v>
      </c>
      <c r="H9510" t="n">
        <v>0</v>
      </c>
      <c r="I9510" t="n">
        <v>0</v>
      </c>
      <c r="J9510" t="n">
        <v>0</v>
      </c>
      <c r="K9510" t="n">
        <v>0</v>
      </c>
      <c r="L9510" t="n">
        <v>0</v>
      </c>
      <c r="M9510" t="n">
        <v>0</v>
      </c>
      <c r="N9510" t="n">
        <v>0</v>
      </c>
      <c r="O9510" t="n">
        <v>0</v>
      </c>
      <c r="P9510" t="n">
        <v>0</v>
      </c>
      <c r="Q9510" t="n">
        <v>0</v>
      </c>
      <c r="R9510" s="2" t="inlineStr"/>
    </row>
    <row r="9511" ht="15" customHeight="1">
      <c r="A9511" t="inlineStr">
        <is>
          <t>A 50981-2023</t>
        </is>
      </c>
      <c r="B9511" s="1" t="n">
        <v>45218.52822916667</v>
      </c>
      <c r="C9511" s="1" t="n">
        <v>45952</v>
      </c>
      <c r="D9511" t="inlineStr">
        <is>
          <t>VÄSTRA GÖTALANDS LÄN</t>
        </is>
      </c>
      <c r="E9511" t="inlineStr">
        <is>
          <t>BOLLEBYGD</t>
        </is>
      </c>
      <c r="F9511" t="inlineStr">
        <is>
          <t>Sveaskog</t>
        </is>
      </c>
      <c r="G9511" t="n">
        <v>1.9</v>
      </c>
      <c r="H9511" t="n">
        <v>0</v>
      </c>
      <c r="I9511" t="n">
        <v>0</v>
      </c>
      <c r="J9511" t="n">
        <v>0</v>
      </c>
      <c r="K9511" t="n">
        <v>0</v>
      </c>
      <c r="L9511" t="n">
        <v>0</v>
      </c>
      <c r="M9511" t="n">
        <v>0</v>
      </c>
      <c r="N9511" t="n">
        <v>0</v>
      </c>
      <c r="O9511" t="n">
        <v>0</v>
      </c>
      <c r="P9511" t="n">
        <v>0</v>
      </c>
      <c r="Q9511" t="n">
        <v>0</v>
      </c>
      <c r="R9511" s="2" t="inlineStr"/>
    </row>
    <row r="9512" ht="15" customHeight="1">
      <c r="A9512" t="inlineStr">
        <is>
          <t>A 42359-2023</t>
        </is>
      </c>
      <c r="B9512" s="1" t="n">
        <v>45180.52940972222</v>
      </c>
      <c r="C9512" s="1" t="n">
        <v>45952</v>
      </c>
      <c r="D9512" t="inlineStr">
        <is>
          <t>VÄSTRA GÖTALANDS LÄN</t>
        </is>
      </c>
      <c r="E9512" t="inlineStr">
        <is>
          <t>VÅRGÅRDA</t>
        </is>
      </c>
      <c r="G9512" t="n">
        <v>1.6</v>
      </c>
      <c r="H9512" t="n">
        <v>0</v>
      </c>
      <c r="I9512" t="n">
        <v>0</v>
      </c>
      <c r="J9512" t="n">
        <v>0</v>
      </c>
      <c r="K9512" t="n">
        <v>0</v>
      </c>
      <c r="L9512" t="n">
        <v>0</v>
      </c>
      <c r="M9512" t="n">
        <v>0</v>
      </c>
      <c r="N9512" t="n">
        <v>0</v>
      </c>
      <c r="O9512" t="n">
        <v>0</v>
      </c>
      <c r="P9512" t="n">
        <v>0</v>
      </c>
      <c r="Q9512" t="n">
        <v>0</v>
      </c>
      <c r="R9512" s="2" t="inlineStr"/>
    </row>
    <row r="9513" ht="15" customHeight="1">
      <c r="A9513" t="inlineStr">
        <is>
          <t>A 45523-2023</t>
        </is>
      </c>
      <c r="B9513" s="1" t="n">
        <v>45194.50590277778</v>
      </c>
      <c r="C9513" s="1" t="n">
        <v>45952</v>
      </c>
      <c r="D9513" t="inlineStr">
        <is>
          <t>VÄSTRA GÖTALANDS LÄN</t>
        </is>
      </c>
      <c r="E9513" t="inlineStr">
        <is>
          <t>SVENLJUNGA</t>
        </is>
      </c>
      <c r="G9513" t="n">
        <v>1.6</v>
      </c>
      <c r="H9513" t="n">
        <v>0</v>
      </c>
      <c r="I9513" t="n">
        <v>0</v>
      </c>
      <c r="J9513" t="n">
        <v>0</v>
      </c>
      <c r="K9513" t="n">
        <v>0</v>
      </c>
      <c r="L9513" t="n">
        <v>0</v>
      </c>
      <c r="M9513" t="n">
        <v>0</v>
      </c>
      <c r="N9513" t="n">
        <v>0</v>
      </c>
      <c r="O9513" t="n">
        <v>0</v>
      </c>
      <c r="P9513" t="n">
        <v>0</v>
      </c>
      <c r="Q9513" t="n">
        <v>0</v>
      </c>
      <c r="R9513" s="2" t="inlineStr"/>
    </row>
    <row r="9514" ht="15" customHeight="1">
      <c r="A9514" t="inlineStr">
        <is>
          <t>A 49826-2024</t>
        </is>
      </c>
      <c r="B9514" s="1" t="n">
        <v>45597.40923611111</v>
      </c>
      <c r="C9514" s="1" t="n">
        <v>45952</v>
      </c>
      <c r="D9514" t="inlineStr">
        <is>
          <t>VÄSTRA GÖTALANDS LÄN</t>
        </is>
      </c>
      <c r="E9514" t="inlineStr">
        <is>
          <t>FÄRGELANDA</t>
        </is>
      </c>
      <c r="G9514" t="n">
        <v>1.2</v>
      </c>
      <c r="H9514" t="n">
        <v>0</v>
      </c>
      <c r="I9514" t="n">
        <v>0</v>
      </c>
      <c r="J9514" t="n">
        <v>0</v>
      </c>
      <c r="K9514" t="n">
        <v>0</v>
      </c>
      <c r="L9514" t="n">
        <v>0</v>
      </c>
      <c r="M9514" t="n">
        <v>0</v>
      </c>
      <c r="N9514" t="n">
        <v>0</v>
      </c>
      <c r="O9514" t="n">
        <v>0</v>
      </c>
      <c r="P9514" t="n">
        <v>0</v>
      </c>
      <c r="Q9514" t="n">
        <v>0</v>
      </c>
      <c r="R9514" s="2" t="inlineStr"/>
    </row>
    <row r="9515" ht="15" customHeight="1">
      <c r="A9515" t="inlineStr">
        <is>
          <t>A 54804-2022</t>
        </is>
      </c>
      <c r="B9515" s="1" t="n">
        <v>44883</v>
      </c>
      <c r="C9515" s="1" t="n">
        <v>45952</v>
      </c>
      <c r="D9515" t="inlineStr">
        <is>
          <t>VÄSTRA GÖTALANDS LÄN</t>
        </is>
      </c>
      <c r="E9515" t="inlineStr">
        <is>
          <t>LILLA EDET</t>
        </is>
      </c>
      <c r="G9515" t="n">
        <v>22.6</v>
      </c>
      <c r="H9515" t="n">
        <v>0</v>
      </c>
      <c r="I9515" t="n">
        <v>0</v>
      </c>
      <c r="J9515" t="n">
        <v>0</v>
      </c>
      <c r="K9515" t="n">
        <v>0</v>
      </c>
      <c r="L9515" t="n">
        <v>0</v>
      </c>
      <c r="M9515" t="n">
        <v>0</v>
      </c>
      <c r="N9515" t="n">
        <v>0</v>
      </c>
      <c r="O9515" t="n">
        <v>0</v>
      </c>
      <c r="P9515" t="n">
        <v>0</v>
      </c>
      <c r="Q9515" t="n">
        <v>0</v>
      </c>
      <c r="R9515" s="2" t="inlineStr"/>
    </row>
    <row r="9516" ht="15" customHeight="1">
      <c r="A9516" t="inlineStr">
        <is>
          <t>A 49081-2025</t>
        </is>
      </c>
      <c r="B9516" s="1" t="n">
        <v>45937.66361111111</v>
      </c>
      <c r="C9516" s="1" t="n">
        <v>45952</v>
      </c>
      <c r="D9516" t="inlineStr">
        <is>
          <t>VÄSTRA GÖTALANDS LÄN</t>
        </is>
      </c>
      <c r="E9516" t="inlineStr">
        <is>
          <t>BORÅS</t>
        </is>
      </c>
      <c r="G9516" t="n">
        <v>1.5</v>
      </c>
      <c r="H9516" t="n">
        <v>0</v>
      </c>
      <c r="I9516" t="n">
        <v>0</v>
      </c>
      <c r="J9516" t="n">
        <v>0</v>
      </c>
      <c r="K9516" t="n">
        <v>0</v>
      </c>
      <c r="L9516" t="n">
        <v>0</v>
      </c>
      <c r="M9516" t="n">
        <v>0</v>
      </c>
      <c r="N9516" t="n">
        <v>0</v>
      </c>
      <c r="O9516" t="n">
        <v>0</v>
      </c>
      <c r="P9516" t="n">
        <v>0</v>
      </c>
      <c r="Q9516" t="n">
        <v>0</v>
      </c>
      <c r="R9516" s="2" t="inlineStr"/>
    </row>
    <row r="9517" ht="15" customHeight="1">
      <c r="A9517" t="inlineStr">
        <is>
          <t>A 46945-2023</t>
        </is>
      </c>
      <c r="B9517" s="1" t="n">
        <v>45201</v>
      </c>
      <c r="C9517" s="1" t="n">
        <v>45952</v>
      </c>
      <c r="D9517" t="inlineStr">
        <is>
          <t>VÄSTRA GÖTALANDS LÄN</t>
        </is>
      </c>
      <c r="E9517" t="inlineStr">
        <is>
          <t>MARIESTAD</t>
        </is>
      </c>
      <c r="G9517" t="n">
        <v>1.5</v>
      </c>
      <c r="H9517" t="n">
        <v>0</v>
      </c>
      <c r="I9517" t="n">
        <v>0</v>
      </c>
      <c r="J9517" t="n">
        <v>0</v>
      </c>
      <c r="K9517" t="n">
        <v>0</v>
      </c>
      <c r="L9517" t="n">
        <v>0</v>
      </c>
      <c r="M9517" t="n">
        <v>0</v>
      </c>
      <c r="N9517" t="n">
        <v>0</v>
      </c>
      <c r="O9517" t="n">
        <v>0</v>
      </c>
      <c r="P9517" t="n">
        <v>0</v>
      </c>
      <c r="Q9517" t="n">
        <v>0</v>
      </c>
      <c r="R9517" s="2" t="inlineStr"/>
    </row>
    <row r="9518" ht="15" customHeight="1">
      <c r="A9518" t="inlineStr">
        <is>
          <t>A 10007-2025</t>
        </is>
      </c>
      <c r="B9518" s="1" t="n">
        <v>45719.45627314815</v>
      </c>
      <c r="C9518" s="1" t="n">
        <v>45952</v>
      </c>
      <c r="D9518" t="inlineStr">
        <is>
          <t>VÄSTRA GÖTALANDS LÄN</t>
        </is>
      </c>
      <c r="E9518" t="inlineStr">
        <is>
          <t>KARLSBORG</t>
        </is>
      </c>
      <c r="G9518" t="n">
        <v>1.2</v>
      </c>
      <c r="H9518" t="n">
        <v>0</v>
      </c>
      <c r="I9518" t="n">
        <v>0</v>
      </c>
      <c r="J9518" t="n">
        <v>0</v>
      </c>
      <c r="K9518" t="n">
        <v>0</v>
      </c>
      <c r="L9518" t="n">
        <v>0</v>
      </c>
      <c r="M9518" t="n">
        <v>0</v>
      </c>
      <c r="N9518" t="n">
        <v>0</v>
      </c>
      <c r="O9518" t="n">
        <v>0</v>
      </c>
      <c r="P9518" t="n">
        <v>0</v>
      </c>
      <c r="Q9518" t="n">
        <v>0</v>
      </c>
      <c r="R9518" s="2" t="inlineStr"/>
    </row>
    <row r="9519" ht="15" customHeight="1">
      <c r="A9519" t="inlineStr">
        <is>
          <t>A 1576-2024</t>
        </is>
      </c>
      <c r="B9519" s="1" t="n">
        <v>45306.5512037037</v>
      </c>
      <c r="C9519" s="1" t="n">
        <v>45952</v>
      </c>
      <c r="D9519" t="inlineStr">
        <is>
          <t>VÄSTRA GÖTALANDS LÄN</t>
        </is>
      </c>
      <c r="E9519" t="inlineStr">
        <is>
          <t>MUNKEDAL</t>
        </is>
      </c>
      <c r="G9519" t="n">
        <v>25.2</v>
      </c>
      <c r="H9519" t="n">
        <v>0</v>
      </c>
      <c r="I9519" t="n">
        <v>0</v>
      </c>
      <c r="J9519" t="n">
        <v>0</v>
      </c>
      <c r="K9519" t="n">
        <v>0</v>
      </c>
      <c r="L9519" t="n">
        <v>0</v>
      </c>
      <c r="M9519" t="n">
        <v>0</v>
      </c>
      <c r="N9519" t="n">
        <v>0</v>
      </c>
      <c r="O9519" t="n">
        <v>0</v>
      </c>
      <c r="P9519" t="n">
        <v>0</v>
      </c>
      <c r="Q9519" t="n">
        <v>0</v>
      </c>
      <c r="R9519" s="2" t="inlineStr"/>
    </row>
    <row r="9520" ht="15" customHeight="1">
      <c r="A9520" t="inlineStr">
        <is>
          <t>A 19739-2025</t>
        </is>
      </c>
      <c r="B9520" s="1" t="n">
        <v>45771.36829861111</v>
      </c>
      <c r="C9520" s="1" t="n">
        <v>45952</v>
      </c>
      <c r="D9520" t="inlineStr">
        <is>
          <t>VÄSTRA GÖTALANDS LÄN</t>
        </is>
      </c>
      <c r="E9520" t="inlineStr">
        <is>
          <t>ALINGSÅS</t>
        </is>
      </c>
      <c r="G9520" t="n">
        <v>1.8</v>
      </c>
      <c r="H9520" t="n">
        <v>0</v>
      </c>
      <c r="I9520" t="n">
        <v>0</v>
      </c>
      <c r="J9520" t="n">
        <v>0</v>
      </c>
      <c r="K9520" t="n">
        <v>0</v>
      </c>
      <c r="L9520" t="n">
        <v>0</v>
      </c>
      <c r="M9520" t="n">
        <v>0</v>
      </c>
      <c r="N9520" t="n">
        <v>0</v>
      </c>
      <c r="O9520" t="n">
        <v>0</v>
      </c>
      <c r="P9520" t="n">
        <v>0</v>
      </c>
      <c r="Q9520" t="n">
        <v>0</v>
      </c>
      <c r="R9520" s="2" t="inlineStr"/>
    </row>
    <row r="9521" ht="15" customHeight="1">
      <c r="A9521" t="inlineStr">
        <is>
          <t>A 40043-2025</t>
        </is>
      </c>
      <c r="B9521" s="1" t="n">
        <v>45893</v>
      </c>
      <c r="C9521" s="1" t="n">
        <v>45952</v>
      </c>
      <c r="D9521" t="inlineStr">
        <is>
          <t>VÄSTRA GÖTALANDS LÄN</t>
        </is>
      </c>
      <c r="E9521" t="inlineStr">
        <is>
          <t>ÅMÅL</t>
        </is>
      </c>
      <c r="G9521" t="n">
        <v>3.4</v>
      </c>
      <c r="H9521" t="n">
        <v>0</v>
      </c>
      <c r="I9521" t="n">
        <v>0</v>
      </c>
      <c r="J9521" t="n">
        <v>0</v>
      </c>
      <c r="K9521" t="n">
        <v>0</v>
      </c>
      <c r="L9521" t="n">
        <v>0</v>
      </c>
      <c r="M9521" t="n">
        <v>0</v>
      </c>
      <c r="N9521" t="n">
        <v>0</v>
      </c>
      <c r="O9521" t="n">
        <v>0</v>
      </c>
      <c r="P9521" t="n">
        <v>0</v>
      </c>
      <c r="Q9521" t="n">
        <v>0</v>
      </c>
      <c r="R9521" s="2" t="inlineStr"/>
    </row>
    <row r="9522" ht="15" customHeight="1">
      <c r="A9522" t="inlineStr">
        <is>
          <t>A 67554-2020</t>
        </is>
      </c>
      <c r="B9522" s="1" t="n">
        <v>44181</v>
      </c>
      <c r="C9522" s="1" t="n">
        <v>45952</v>
      </c>
      <c r="D9522" t="inlineStr">
        <is>
          <t>VÄSTRA GÖTALANDS LÄN</t>
        </is>
      </c>
      <c r="E9522" t="inlineStr">
        <is>
          <t>KARLSBORG</t>
        </is>
      </c>
      <c r="G9522" t="n">
        <v>3.3</v>
      </c>
      <c r="H9522" t="n">
        <v>0</v>
      </c>
      <c r="I9522" t="n">
        <v>0</v>
      </c>
      <c r="J9522" t="n">
        <v>0</v>
      </c>
      <c r="K9522" t="n">
        <v>0</v>
      </c>
      <c r="L9522" t="n">
        <v>0</v>
      </c>
      <c r="M9522" t="n">
        <v>0</v>
      </c>
      <c r="N9522" t="n">
        <v>0</v>
      </c>
      <c r="O9522" t="n">
        <v>0</v>
      </c>
      <c r="P9522" t="n">
        <v>0</v>
      </c>
      <c r="Q9522" t="n">
        <v>0</v>
      </c>
      <c r="R9522" s="2" t="inlineStr"/>
    </row>
    <row r="9523" ht="15" customHeight="1">
      <c r="A9523" t="inlineStr">
        <is>
          <t>A 66104-2021</t>
        </is>
      </c>
      <c r="B9523" s="1" t="n">
        <v>44517</v>
      </c>
      <c r="C9523" s="1" t="n">
        <v>45952</v>
      </c>
      <c r="D9523" t="inlineStr">
        <is>
          <t>VÄSTRA GÖTALANDS LÄN</t>
        </is>
      </c>
      <c r="E9523" t="inlineStr">
        <is>
          <t>LERUM</t>
        </is>
      </c>
      <c r="G9523" t="n">
        <v>2.2</v>
      </c>
      <c r="H9523" t="n">
        <v>0</v>
      </c>
      <c r="I9523" t="n">
        <v>0</v>
      </c>
      <c r="J9523" t="n">
        <v>0</v>
      </c>
      <c r="K9523" t="n">
        <v>0</v>
      </c>
      <c r="L9523" t="n">
        <v>0</v>
      </c>
      <c r="M9523" t="n">
        <v>0</v>
      </c>
      <c r="N9523" t="n">
        <v>0</v>
      </c>
      <c r="O9523" t="n">
        <v>0</v>
      </c>
      <c r="P9523" t="n">
        <v>0</v>
      </c>
      <c r="Q9523" t="n">
        <v>0</v>
      </c>
      <c r="R9523" s="2" t="inlineStr"/>
    </row>
    <row r="9524" ht="15" customHeight="1">
      <c r="A9524" t="inlineStr">
        <is>
          <t>A 5743-2025</t>
        </is>
      </c>
      <c r="B9524" s="1" t="n">
        <v>45694.52391203704</v>
      </c>
      <c r="C9524" s="1" t="n">
        <v>45952</v>
      </c>
      <c r="D9524" t="inlineStr">
        <is>
          <t>VÄSTRA GÖTALANDS LÄN</t>
        </is>
      </c>
      <c r="E9524" t="inlineStr">
        <is>
          <t>LILLA EDET</t>
        </is>
      </c>
      <c r="G9524" t="n">
        <v>0.8</v>
      </c>
      <c r="H9524" t="n">
        <v>0</v>
      </c>
      <c r="I9524" t="n">
        <v>0</v>
      </c>
      <c r="J9524" t="n">
        <v>0</v>
      </c>
      <c r="K9524" t="n">
        <v>0</v>
      </c>
      <c r="L9524" t="n">
        <v>0</v>
      </c>
      <c r="M9524" t="n">
        <v>0</v>
      </c>
      <c r="N9524" t="n">
        <v>0</v>
      </c>
      <c r="O9524" t="n">
        <v>0</v>
      </c>
      <c r="P9524" t="n">
        <v>0</v>
      </c>
      <c r="Q9524" t="n">
        <v>0</v>
      </c>
      <c r="R9524" s="2" t="inlineStr"/>
    </row>
    <row r="9525" ht="15" customHeight="1">
      <c r="A9525" t="inlineStr">
        <is>
          <t>A 13732-2025</t>
        </is>
      </c>
      <c r="B9525" s="1" t="n">
        <v>45737.39055555555</v>
      </c>
      <c r="C9525" s="1" t="n">
        <v>45952</v>
      </c>
      <c r="D9525" t="inlineStr">
        <is>
          <t>VÄSTRA GÖTALANDS LÄN</t>
        </is>
      </c>
      <c r="E9525" t="inlineStr">
        <is>
          <t>BENGTSFORS</t>
        </is>
      </c>
      <c r="G9525" t="n">
        <v>3.7</v>
      </c>
      <c r="H9525" t="n">
        <v>0</v>
      </c>
      <c r="I9525" t="n">
        <v>0</v>
      </c>
      <c r="J9525" t="n">
        <v>0</v>
      </c>
      <c r="K9525" t="n">
        <v>0</v>
      </c>
      <c r="L9525" t="n">
        <v>0</v>
      </c>
      <c r="M9525" t="n">
        <v>0</v>
      </c>
      <c r="N9525" t="n">
        <v>0</v>
      </c>
      <c r="O9525" t="n">
        <v>0</v>
      </c>
      <c r="P9525" t="n">
        <v>0</v>
      </c>
      <c r="Q9525" t="n">
        <v>0</v>
      </c>
      <c r="R9525" s="2" t="inlineStr"/>
    </row>
    <row r="9526" ht="15" customHeight="1">
      <c r="A9526" t="inlineStr">
        <is>
          <t>A 6379-2025</t>
        </is>
      </c>
      <c r="B9526" s="1" t="n">
        <v>45699.41542824074</v>
      </c>
      <c r="C9526" s="1" t="n">
        <v>45952</v>
      </c>
      <c r="D9526" t="inlineStr">
        <is>
          <t>VÄSTRA GÖTALANDS LÄN</t>
        </is>
      </c>
      <c r="E9526" t="inlineStr">
        <is>
          <t>BORÅS</t>
        </is>
      </c>
      <c r="G9526" t="n">
        <v>3.6</v>
      </c>
      <c r="H9526" t="n">
        <v>0</v>
      </c>
      <c r="I9526" t="n">
        <v>0</v>
      </c>
      <c r="J9526" t="n">
        <v>0</v>
      </c>
      <c r="K9526" t="n">
        <v>0</v>
      </c>
      <c r="L9526" t="n">
        <v>0</v>
      </c>
      <c r="M9526" t="n">
        <v>0</v>
      </c>
      <c r="N9526" t="n">
        <v>0</v>
      </c>
      <c r="O9526" t="n">
        <v>0</v>
      </c>
      <c r="P9526" t="n">
        <v>0</v>
      </c>
      <c r="Q9526" t="n">
        <v>0</v>
      </c>
      <c r="R9526" s="2" t="inlineStr"/>
    </row>
    <row r="9527" ht="15" customHeight="1">
      <c r="A9527" t="inlineStr">
        <is>
          <t>A 13346-2025</t>
        </is>
      </c>
      <c r="B9527" s="1" t="n">
        <v>45735.6306712963</v>
      </c>
      <c r="C9527" s="1" t="n">
        <v>45952</v>
      </c>
      <c r="D9527" t="inlineStr">
        <is>
          <t>VÄSTRA GÖTALANDS LÄN</t>
        </is>
      </c>
      <c r="E9527" t="inlineStr">
        <is>
          <t>GULLSPÅNG</t>
        </is>
      </c>
      <c r="G9527" t="n">
        <v>3.2</v>
      </c>
      <c r="H9527" t="n">
        <v>0</v>
      </c>
      <c r="I9527" t="n">
        <v>0</v>
      </c>
      <c r="J9527" t="n">
        <v>0</v>
      </c>
      <c r="K9527" t="n">
        <v>0</v>
      </c>
      <c r="L9527" t="n">
        <v>0</v>
      </c>
      <c r="M9527" t="n">
        <v>0</v>
      </c>
      <c r="N9527" t="n">
        <v>0</v>
      </c>
      <c r="O9527" t="n">
        <v>0</v>
      </c>
      <c r="P9527" t="n">
        <v>0</v>
      </c>
      <c r="Q9527" t="n">
        <v>0</v>
      </c>
      <c r="R9527" s="2" t="inlineStr"/>
    </row>
    <row r="9528" ht="15" customHeight="1">
      <c r="A9528" t="inlineStr">
        <is>
          <t>A 11525-2023</t>
        </is>
      </c>
      <c r="B9528" s="1" t="n">
        <v>44993</v>
      </c>
      <c r="C9528" s="1" t="n">
        <v>45952</v>
      </c>
      <c r="D9528" t="inlineStr">
        <is>
          <t>VÄSTRA GÖTALANDS LÄN</t>
        </is>
      </c>
      <c r="E9528" t="inlineStr">
        <is>
          <t>MUNKEDAL</t>
        </is>
      </c>
      <c r="G9528" t="n">
        <v>3.6</v>
      </c>
      <c r="H9528" t="n">
        <v>0</v>
      </c>
      <c r="I9528" t="n">
        <v>0</v>
      </c>
      <c r="J9528" t="n">
        <v>0</v>
      </c>
      <c r="K9528" t="n">
        <v>0</v>
      </c>
      <c r="L9528" t="n">
        <v>0</v>
      </c>
      <c r="M9528" t="n">
        <v>0</v>
      </c>
      <c r="N9528" t="n">
        <v>0</v>
      </c>
      <c r="O9528" t="n">
        <v>0</v>
      </c>
      <c r="P9528" t="n">
        <v>0</v>
      </c>
      <c r="Q9528" t="n">
        <v>0</v>
      </c>
      <c r="R9528" s="2" t="inlineStr"/>
    </row>
    <row r="9529" ht="15" customHeight="1">
      <c r="A9529" t="inlineStr">
        <is>
          <t>A 11527-2023</t>
        </is>
      </c>
      <c r="B9529" s="1" t="n">
        <v>44993.76420138889</v>
      </c>
      <c r="C9529" s="1" t="n">
        <v>45952</v>
      </c>
      <c r="D9529" t="inlineStr">
        <is>
          <t>VÄSTRA GÖTALANDS LÄN</t>
        </is>
      </c>
      <c r="E9529" t="inlineStr">
        <is>
          <t>BORÅS</t>
        </is>
      </c>
      <c r="G9529" t="n">
        <v>1.8</v>
      </c>
      <c r="H9529" t="n">
        <v>0</v>
      </c>
      <c r="I9529" t="n">
        <v>0</v>
      </c>
      <c r="J9529" t="n">
        <v>0</v>
      </c>
      <c r="K9529" t="n">
        <v>0</v>
      </c>
      <c r="L9529" t="n">
        <v>0</v>
      </c>
      <c r="M9529" t="n">
        <v>0</v>
      </c>
      <c r="N9529" t="n">
        <v>0</v>
      </c>
      <c r="O9529" t="n">
        <v>0</v>
      </c>
      <c r="P9529" t="n">
        <v>0</v>
      </c>
      <c r="Q9529" t="n">
        <v>0</v>
      </c>
      <c r="R9529" s="2" t="inlineStr"/>
    </row>
    <row r="9530" ht="15" customHeight="1">
      <c r="A9530" t="inlineStr">
        <is>
          <t>A 29697-2023</t>
        </is>
      </c>
      <c r="B9530" s="1" t="n">
        <v>45107</v>
      </c>
      <c r="C9530" s="1" t="n">
        <v>45952</v>
      </c>
      <c r="D9530" t="inlineStr">
        <is>
          <t>VÄSTRA GÖTALANDS LÄN</t>
        </is>
      </c>
      <c r="E9530" t="inlineStr">
        <is>
          <t>HÄRRYDA</t>
        </is>
      </c>
      <c r="G9530" t="n">
        <v>5.8</v>
      </c>
      <c r="H9530" t="n">
        <v>0</v>
      </c>
      <c r="I9530" t="n">
        <v>0</v>
      </c>
      <c r="J9530" t="n">
        <v>0</v>
      </c>
      <c r="K9530" t="n">
        <v>0</v>
      </c>
      <c r="L9530" t="n">
        <v>0</v>
      </c>
      <c r="M9530" t="n">
        <v>0</v>
      </c>
      <c r="N9530" t="n">
        <v>0</v>
      </c>
      <c r="O9530" t="n">
        <v>0</v>
      </c>
      <c r="P9530" t="n">
        <v>0</v>
      </c>
      <c r="Q9530" t="n">
        <v>0</v>
      </c>
      <c r="R9530" s="2" t="inlineStr"/>
    </row>
    <row r="9531" ht="15" customHeight="1">
      <c r="A9531" t="inlineStr">
        <is>
          <t>A 19781-2025</t>
        </is>
      </c>
      <c r="B9531" s="1" t="n">
        <v>45771.42873842592</v>
      </c>
      <c r="C9531" s="1" t="n">
        <v>45952</v>
      </c>
      <c r="D9531" t="inlineStr">
        <is>
          <t>VÄSTRA GÖTALANDS LÄN</t>
        </is>
      </c>
      <c r="E9531" t="inlineStr">
        <is>
          <t>TROLLHÄTTAN</t>
        </is>
      </c>
      <c r="G9531" t="n">
        <v>6.1</v>
      </c>
      <c r="H9531" t="n">
        <v>0</v>
      </c>
      <c r="I9531" t="n">
        <v>0</v>
      </c>
      <c r="J9531" t="n">
        <v>0</v>
      </c>
      <c r="K9531" t="n">
        <v>0</v>
      </c>
      <c r="L9531" t="n">
        <v>0</v>
      </c>
      <c r="M9531" t="n">
        <v>0</v>
      </c>
      <c r="N9531" t="n">
        <v>0</v>
      </c>
      <c r="O9531" t="n">
        <v>0</v>
      </c>
      <c r="P9531" t="n">
        <v>0</v>
      </c>
      <c r="Q9531" t="n">
        <v>0</v>
      </c>
      <c r="R9531" s="2" t="inlineStr"/>
    </row>
    <row r="9532" ht="15" customHeight="1">
      <c r="A9532" t="inlineStr">
        <is>
          <t>A 23950-2025</t>
        </is>
      </c>
      <c r="B9532" s="1" t="n">
        <v>45796.35803240741</v>
      </c>
      <c r="C9532" s="1" t="n">
        <v>45952</v>
      </c>
      <c r="D9532" t="inlineStr">
        <is>
          <t>VÄSTRA GÖTALANDS LÄN</t>
        </is>
      </c>
      <c r="E9532" t="inlineStr">
        <is>
          <t>VÅRGÅRDA</t>
        </is>
      </c>
      <c r="G9532" t="n">
        <v>0.6</v>
      </c>
      <c r="H9532" t="n">
        <v>0</v>
      </c>
      <c r="I9532" t="n">
        <v>0</v>
      </c>
      <c r="J9532" t="n">
        <v>0</v>
      </c>
      <c r="K9532" t="n">
        <v>0</v>
      </c>
      <c r="L9532" t="n">
        <v>0</v>
      </c>
      <c r="M9532" t="n">
        <v>0</v>
      </c>
      <c r="N9532" t="n">
        <v>0</v>
      </c>
      <c r="O9532" t="n">
        <v>0</v>
      </c>
      <c r="P9532" t="n">
        <v>0</v>
      </c>
      <c r="Q9532" t="n">
        <v>0</v>
      </c>
      <c r="R9532" s="2" t="inlineStr"/>
    </row>
    <row r="9533" ht="15" customHeight="1">
      <c r="A9533" t="inlineStr">
        <is>
          <t>A 37077-2023</t>
        </is>
      </c>
      <c r="B9533" s="1" t="n">
        <v>45155.48460648148</v>
      </c>
      <c r="C9533" s="1" t="n">
        <v>45952</v>
      </c>
      <c r="D9533" t="inlineStr">
        <is>
          <t>VÄSTRA GÖTALANDS LÄN</t>
        </is>
      </c>
      <c r="E9533" t="inlineStr">
        <is>
          <t>LYSEKIL</t>
        </is>
      </c>
      <c r="G9533" t="n">
        <v>0.4</v>
      </c>
      <c r="H9533" t="n">
        <v>0</v>
      </c>
      <c r="I9533" t="n">
        <v>0</v>
      </c>
      <c r="J9533" t="n">
        <v>0</v>
      </c>
      <c r="K9533" t="n">
        <v>0</v>
      </c>
      <c r="L9533" t="n">
        <v>0</v>
      </c>
      <c r="M9533" t="n">
        <v>0</v>
      </c>
      <c r="N9533" t="n">
        <v>0</v>
      </c>
      <c r="O9533" t="n">
        <v>0</v>
      </c>
      <c r="P9533" t="n">
        <v>0</v>
      </c>
      <c r="Q9533" t="n">
        <v>0</v>
      </c>
      <c r="R9533" s="2" t="inlineStr"/>
    </row>
    <row r="9534" ht="15" customHeight="1">
      <c r="A9534" t="inlineStr">
        <is>
          <t>A 37099-2023</t>
        </is>
      </c>
      <c r="B9534" s="1" t="n">
        <v>45155</v>
      </c>
      <c r="C9534" s="1" t="n">
        <v>45952</v>
      </c>
      <c r="D9534" t="inlineStr">
        <is>
          <t>VÄSTRA GÖTALANDS LÄN</t>
        </is>
      </c>
      <c r="E9534" t="inlineStr">
        <is>
          <t>TANUM</t>
        </is>
      </c>
      <c r="G9534" t="n">
        <v>0.4</v>
      </c>
      <c r="H9534" t="n">
        <v>0</v>
      </c>
      <c r="I9534" t="n">
        <v>0</v>
      </c>
      <c r="J9534" t="n">
        <v>0</v>
      </c>
      <c r="K9534" t="n">
        <v>0</v>
      </c>
      <c r="L9534" t="n">
        <v>0</v>
      </c>
      <c r="M9534" t="n">
        <v>0</v>
      </c>
      <c r="N9534" t="n">
        <v>0</v>
      </c>
      <c r="O9534" t="n">
        <v>0</v>
      </c>
      <c r="P9534" t="n">
        <v>0</v>
      </c>
      <c r="Q9534" t="n">
        <v>0</v>
      </c>
      <c r="R9534" s="2" t="inlineStr"/>
    </row>
    <row r="9535" ht="15" customHeight="1">
      <c r="A9535" t="inlineStr">
        <is>
          <t>A 37102-2023</t>
        </is>
      </c>
      <c r="B9535" s="1" t="n">
        <v>45155.54638888889</v>
      </c>
      <c r="C9535" s="1" t="n">
        <v>45952</v>
      </c>
      <c r="D9535" t="inlineStr">
        <is>
          <t>VÄSTRA GÖTALANDS LÄN</t>
        </is>
      </c>
      <c r="E9535" t="inlineStr">
        <is>
          <t>HERRLJUNGA</t>
        </is>
      </c>
      <c r="G9535" t="n">
        <v>1.5</v>
      </c>
      <c r="H9535" t="n">
        <v>0</v>
      </c>
      <c r="I9535" t="n">
        <v>0</v>
      </c>
      <c r="J9535" t="n">
        <v>0</v>
      </c>
      <c r="K9535" t="n">
        <v>0</v>
      </c>
      <c r="L9535" t="n">
        <v>0</v>
      </c>
      <c r="M9535" t="n">
        <v>0</v>
      </c>
      <c r="N9535" t="n">
        <v>0</v>
      </c>
      <c r="O9535" t="n">
        <v>0</v>
      </c>
      <c r="P9535" t="n">
        <v>0</v>
      </c>
      <c r="Q9535" t="n">
        <v>0</v>
      </c>
      <c r="R9535" s="2" t="inlineStr"/>
    </row>
    <row r="9536" ht="15" customHeight="1">
      <c r="A9536" t="inlineStr">
        <is>
          <t>A 37112-2023</t>
        </is>
      </c>
      <c r="B9536" s="1" t="n">
        <v>45155.55584490741</v>
      </c>
      <c r="C9536" s="1" t="n">
        <v>45952</v>
      </c>
      <c r="D9536" t="inlineStr">
        <is>
          <t>VÄSTRA GÖTALANDS LÄN</t>
        </is>
      </c>
      <c r="E9536" t="inlineStr">
        <is>
          <t>HERRLJUNGA</t>
        </is>
      </c>
      <c r="G9536" t="n">
        <v>1.5</v>
      </c>
      <c r="H9536" t="n">
        <v>0</v>
      </c>
      <c r="I9536" t="n">
        <v>0</v>
      </c>
      <c r="J9536" t="n">
        <v>0</v>
      </c>
      <c r="K9536" t="n">
        <v>0</v>
      </c>
      <c r="L9536" t="n">
        <v>0</v>
      </c>
      <c r="M9536" t="n">
        <v>0</v>
      </c>
      <c r="N9536" t="n">
        <v>0</v>
      </c>
      <c r="O9536" t="n">
        <v>0</v>
      </c>
      <c r="P9536" t="n">
        <v>0</v>
      </c>
      <c r="Q9536" t="n">
        <v>0</v>
      </c>
      <c r="R9536" s="2" t="inlineStr"/>
    </row>
    <row r="9537" ht="15" customHeight="1">
      <c r="A9537" t="inlineStr">
        <is>
          <t>A 50829-2022</t>
        </is>
      </c>
      <c r="B9537" s="1" t="n">
        <v>44862</v>
      </c>
      <c r="C9537" s="1" t="n">
        <v>45952</v>
      </c>
      <c r="D9537" t="inlineStr">
        <is>
          <t>VÄSTRA GÖTALANDS LÄN</t>
        </is>
      </c>
      <c r="E9537" t="inlineStr">
        <is>
          <t>SKÖVDE</t>
        </is>
      </c>
      <c r="G9537" t="n">
        <v>2.3</v>
      </c>
      <c r="H9537" t="n">
        <v>0</v>
      </c>
      <c r="I9537" t="n">
        <v>0</v>
      </c>
      <c r="J9537" t="n">
        <v>0</v>
      </c>
      <c r="K9537" t="n">
        <v>0</v>
      </c>
      <c r="L9537" t="n">
        <v>0</v>
      </c>
      <c r="M9537" t="n">
        <v>0</v>
      </c>
      <c r="N9537" t="n">
        <v>0</v>
      </c>
      <c r="O9537" t="n">
        <v>0</v>
      </c>
      <c r="P9537" t="n">
        <v>0</v>
      </c>
      <c r="Q9537" t="n">
        <v>0</v>
      </c>
      <c r="R9537" s="2" t="inlineStr"/>
    </row>
    <row r="9538" ht="15" customHeight="1">
      <c r="A9538" t="inlineStr">
        <is>
          <t>A 40084-2025</t>
        </is>
      </c>
      <c r="B9538" s="1" t="n">
        <v>45894.47168981482</v>
      </c>
      <c r="C9538" s="1" t="n">
        <v>45952</v>
      </c>
      <c r="D9538" t="inlineStr">
        <is>
          <t>VÄSTRA GÖTALANDS LÄN</t>
        </is>
      </c>
      <c r="E9538" t="inlineStr">
        <is>
          <t>HERRLJUNGA</t>
        </is>
      </c>
      <c r="G9538" t="n">
        <v>1.5</v>
      </c>
      <c r="H9538" t="n">
        <v>0</v>
      </c>
      <c r="I9538" t="n">
        <v>0</v>
      </c>
      <c r="J9538" t="n">
        <v>0</v>
      </c>
      <c r="K9538" t="n">
        <v>0</v>
      </c>
      <c r="L9538" t="n">
        <v>0</v>
      </c>
      <c r="M9538" t="n">
        <v>0</v>
      </c>
      <c r="N9538" t="n">
        <v>0</v>
      </c>
      <c r="O9538" t="n">
        <v>0</v>
      </c>
      <c r="P9538" t="n">
        <v>0</v>
      </c>
      <c r="Q9538" t="n">
        <v>0</v>
      </c>
      <c r="R9538" s="2" t="inlineStr"/>
    </row>
    <row r="9539" ht="15" customHeight="1">
      <c r="A9539" t="inlineStr">
        <is>
          <t>A 1551-2022</t>
        </is>
      </c>
      <c r="B9539" s="1" t="n">
        <v>44573.61799768519</v>
      </c>
      <c r="C9539" s="1" t="n">
        <v>45952</v>
      </c>
      <c r="D9539" t="inlineStr">
        <is>
          <t>VÄSTRA GÖTALANDS LÄN</t>
        </is>
      </c>
      <c r="E9539" t="inlineStr">
        <is>
          <t>HÄRRYDA</t>
        </is>
      </c>
      <c r="G9539" t="n">
        <v>4</v>
      </c>
      <c r="H9539" t="n">
        <v>0</v>
      </c>
      <c r="I9539" t="n">
        <v>0</v>
      </c>
      <c r="J9539" t="n">
        <v>0</v>
      </c>
      <c r="K9539" t="n">
        <v>0</v>
      </c>
      <c r="L9539" t="n">
        <v>0</v>
      </c>
      <c r="M9539" t="n">
        <v>0</v>
      </c>
      <c r="N9539" t="n">
        <v>0</v>
      </c>
      <c r="O9539" t="n">
        <v>0</v>
      </c>
      <c r="P9539" t="n">
        <v>0</v>
      </c>
      <c r="Q9539" t="n">
        <v>0</v>
      </c>
      <c r="R9539" s="2" t="inlineStr"/>
    </row>
    <row r="9540" ht="15" customHeight="1">
      <c r="A9540" t="inlineStr">
        <is>
          <t>A 1198-2025</t>
        </is>
      </c>
      <c r="B9540" s="1" t="n">
        <v>45667.3833912037</v>
      </c>
      <c r="C9540" s="1" t="n">
        <v>45952</v>
      </c>
      <c r="D9540" t="inlineStr">
        <is>
          <t>VÄSTRA GÖTALANDS LÄN</t>
        </is>
      </c>
      <c r="E9540" t="inlineStr">
        <is>
          <t>SKARA</t>
        </is>
      </c>
      <c r="F9540" t="inlineStr">
        <is>
          <t>Sveaskog</t>
        </is>
      </c>
      <c r="G9540" t="n">
        <v>3.5</v>
      </c>
      <c r="H9540" t="n">
        <v>0</v>
      </c>
      <c r="I9540" t="n">
        <v>0</v>
      </c>
      <c r="J9540" t="n">
        <v>0</v>
      </c>
      <c r="K9540" t="n">
        <v>0</v>
      </c>
      <c r="L9540" t="n">
        <v>0</v>
      </c>
      <c r="M9540" t="n">
        <v>0</v>
      </c>
      <c r="N9540" t="n">
        <v>0</v>
      </c>
      <c r="O9540" t="n">
        <v>0</v>
      </c>
      <c r="P9540" t="n">
        <v>0</v>
      </c>
      <c r="Q9540" t="n">
        <v>0</v>
      </c>
      <c r="R9540" s="2" t="inlineStr"/>
    </row>
    <row r="9541" ht="15" customHeight="1">
      <c r="A9541" t="inlineStr">
        <is>
          <t>A 19823-2025</t>
        </is>
      </c>
      <c r="B9541" s="1" t="n">
        <v>45771.46571759259</v>
      </c>
      <c r="C9541" s="1" t="n">
        <v>45952</v>
      </c>
      <c r="D9541" t="inlineStr">
        <is>
          <t>VÄSTRA GÖTALANDS LÄN</t>
        </is>
      </c>
      <c r="E9541" t="inlineStr">
        <is>
          <t>ULRICEHAMN</t>
        </is>
      </c>
      <c r="G9541" t="n">
        <v>6.8</v>
      </c>
      <c r="H9541" t="n">
        <v>0</v>
      </c>
      <c r="I9541" t="n">
        <v>0</v>
      </c>
      <c r="J9541" t="n">
        <v>0</v>
      </c>
      <c r="K9541" t="n">
        <v>0</v>
      </c>
      <c r="L9541" t="n">
        <v>0</v>
      </c>
      <c r="M9541" t="n">
        <v>0</v>
      </c>
      <c r="N9541" t="n">
        <v>0</v>
      </c>
      <c r="O9541" t="n">
        <v>0</v>
      </c>
      <c r="P9541" t="n">
        <v>0</v>
      </c>
      <c r="Q9541" t="n">
        <v>0</v>
      </c>
      <c r="R9541" s="2" t="inlineStr"/>
    </row>
    <row r="9542" ht="15" customHeight="1">
      <c r="A9542" t="inlineStr">
        <is>
          <t>A 42772-2023</t>
        </is>
      </c>
      <c r="B9542" s="1" t="n">
        <v>45181.73866898148</v>
      </c>
      <c r="C9542" s="1" t="n">
        <v>45952</v>
      </c>
      <c r="D9542" t="inlineStr">
        <is>
          <t>VÄSTRA GÖTALANDS LÄN</t>
        </is>
      </c>
      <c r="E9542" t="inlineStr">
        <is>
          <t>TANUM</t>
        </is>
      </c>
      <c r="G9542" t="n">
        <v>7.9</v>
      </c>
      <c r="H9542" t="n">
        <v>0</v>
      </c>
      <c r="I9542" t="n">
        <v>0</v>
      </c>
      <c r="J9542" t="n">
        <v>0</v>
      </c>
      <c r="K9542" t="n">
        <v>0</v>
      </c>
      <c r="L9542" t="n">
        <v>0</v>
      </c>
      <c r="M9542" t="n">
        <v>0</v>
      </c>
      <c r="N9542" t="n">
        <v>0</v>
      </c>
      <c r="O9542" t="n">
        <v>0</v>
      </c>
      <c r="P9542" t="n">
        <v>0</v>
      </c>
      <c r="Q9542" t="n">
        <v>0</v>
      </c>
      <c r="R9542" s="2" t="inlineStr"/>
    </row>
    <row r="9543" ht="15" customHeight="1">
      <c r="A9543" t="inlineStr">
        <is>
          <t>A 9697-2024</t>
        </is>
      </c>
      <c r="B9543" s="1" t="n">
        <v>45362</v>
      </c>
      <c r="C9543" s="1" t="n">
        <v>45952</v>
      </c>
      <c r="D9543" t="inlineStr">
        <is>
          <t>VÄSTRA GÖTALANDS LÄN</t>
        </is>
      </c>
      <c r="E9543" t="inlineStr">
        <is>
          <t>TANUM</t>
        </is>
      </c>
      <c r="F9543" t="inlineStr">
        <is>
          <t>Kyrkan</t>
        </is>
      </c>
      <c r="G9543" t="n">
        <v>1.9</v>
      </c>
      <c r="H9543" t="n">
        <v>0</v>
      </c>
      <c r="I9543" t="n">
        <v>0</v>
      </c>
      <c r="J9543" t="n">
        <v>0</v>
      </c>
      <c r="K9543" t="n">
        <v>0</v>
      </c>
      <c r="L9543" t="n">
        <v>0</v>
      </c>
      <c r="M9543" t="n">
        <v>0</v>
      </c>
      <c r="N9543" t="n">
        <v>0</v>
      </c>
      <c r="O9543" t="n">
        <v>0</v>
      </c>
      <c r="P9543" t="n">
        <v>0</v>
      </c>
      <c r="Q9543" t="n">
        <v>0</v>
      </c>
      <c r="R9543" s="2" t="inlineStr"/>
    </row>
    <row r="9544" ht="15" customHeight="1">
      <c r="A9544" t="inlineStr">
        <is>
          <t>A 32961-2025</t>
        </is>
      </c>
      <c r="B9544" s="1" t="n">
        <v>45839.71287037037</v>
      </c>
      <c r="C9544" s="1" t="n">
        <v>45952</v>
      </c>
      <c r="D9544" t="inlineStr">
        <is>
          <t>VÄSTRA GÖTALANDS LÄN</t>
        </is>
      </c>
      <c r="E9544" t="inlineStr">
        <is>
          <t>MARK</t>
        </is>
      </c>
      <c r="F9544" t="inlineStr">
        <is>
          <t>Sveaskog</t>
        </is>
      </c>
      <c r="G9544" t="n">
        <v>1.3</v>
      </c>
      <c r="H9544" t="n">
        <v>0</v>
      </c>
      <c r="I9544" t="n">
        <v>0</v>
      </c>
      <c r="J9544" t="n">
        <v>0</v>
      </c>
      <c r="K9544" t="n">
        <v>0</v>
      </c>
      <c r="L9544" t="n">
        <v>0</v>
      </c>
      <c r="M9544" t="n">
        <v>0</v>
      </c>
      <c r="N9544" t="n">
        <v>0</v>
      </c>
      <c r="O9544" t="n">
        <v>0</v>
      </c>
      <c r="P9544" t="n">
        <v>0</v>
      </c>
      <c r="Q9544" t="n">
        <v>0</v>
      </c>
      <c r="R9544" s="2" t="inlineStr"/>
    </row>
    <row r="9545" ht="15" customHeight="1">
      <c r="A9545" t="inlineStr">
        <is>
          <t>A 64282-2023</t>
        </is>
      </c>
      <c r="B9545" s="1" t="n">
        <v>45280.31978009259</v>
      </c>
      <c r="C9545" s="1" t="n">
        <v>45952</v>
      </c>
      <c r="D9545" t="inlineStr">
        <is>
          <t>VÄSTRA GÖTALANDS LÄN</t>
        </is>
      </c>
      <c r="E9545" t="inlineStr">
        <is>
          <t>ULRICEHAMN</t>
        </is>
      </c>
      <c r="G9545" t="n">
        <v>0.8</v>
      </c>
      <c r="H9545" t="n">
        <v>0</v>
      </c>
      <c r="I9545" t="n">
        <v>0</v>
      </c>
      <c r="J9545" t="n">
        <v>0</v>
      </c>
      <c r="K9545" t="n">
        <v>0</v>
      </c>
      <c r="L9545" t="n">
        <v>0</v>
      </c>
      <c r="M9545" t="n">
        <v>0</v>
      </c>
      <c r="N9545" t="n">
        <v>0</v>
      </c>
      <c r="O9545" t="n">
        <v>0</v>
      </c>
      <c r="P9545" t="n">
        <v>0</v>
      </c>
      <c r="Q9545" t="n">
        <v>0</v>
      </c>
      <c r="R9545" s="2" t="inlineStr"/>
    </row>
    <row r="9546" ht="15" customHeight="1">
      <c r="A9546" t="inlineStr">
        <is>
          <t>A 22848-2021</t>
        </is>
      </c>
      <c r="B9546" s="1" t="n">
        <v>44328.4183449074</v>
      </c>
      <c r="C9546" s="1" t="n">
        <v>45952</v>
      </c>
      <c r="D9546" t="inlineStr">
        <is>
          <t>VÄSTRA GÖTALANDS LÄN</t>
        </is>
      </c>
      <c r="E9546" t="inlineStr">
        <is>
          <t>FALKÖPING</t>
        </is>
      </c>
      <c r="G9546" t="n">
        <v>0.9</v>
      </c>
      <c r="H9546" t="n">
        <v>0</v>
      </c>
      <c r="I9546" t="n">
        <v>0</v>
      </c>
      <c r="J9546" t="n">
        <v>0</v>
      </c>
      <c r="K9546" t="n">
        <v>0</v>
      </c>
      <c r="L9546" t="n">
        <v>0</v>
      </c>
      <c r="M9546" t="n">
        <v>0</v>
      </c>
      <c r="N9546" t="n">
        <v>0</v>
      </c>
      <c r="O9546" t="n">
        <v>0</v>
      </c>
      <c r="P9546" t="n">
        <v>0</v>
      </c>
      <c r="Q9546" t="n">
        <v>0</v>
      </c>
      <c r="R9546" s="2" t="inlineStr"/>
    </row>
    <row r="9547" ht="15" customHeight="1">
      <c r="A9547" t="inlineStr">
        <is>
          <t>A 5820-2021</t>
        </is>
      </c>
      <c r="B9547" s="1" t="n">
        <v>44229</v>
      </c>
      <c r="C9547" s="1" t="n">
        <v>45952</v>
      </c>
      <c r="D9547" t="inlineStr">
        <is>
          <t>VÄSTRA GÖTALANDS LÄN</t>
        </is>
      </c>
      <c r="E9547" t="inlineStr">
        <is>
          <t>VÄNERSBORG</t>
        </is>
      </c>
      <c r="G9547" t="n">
        <v>0.9</v>
      </c>
      <c r="H9547" t="n">
        <v>0</v>
      </c>
      <c r="I9547" t="n">
        <v>0</v>
      </c>
      <c r="J9547" t="n">
        <v>0</v>
      </c>
      <c r="K9547" t="n">
        <v>0</v>
      </c>
      <c r="L9547" t="n">
        <v>0</v>
      </c>
      <c r="M9547" t="n">
        <v>0</v>
      </c>
      <c r="N9547" t="n">
        <v>0</v>
      </c>
      <c r="O9547" t="n">
        <v>0</v>
      </c>
      <c r="P9547" t="n">
        <v>0</v>
      </c>
      <c r="Q9547" t="n">
        <v>0</v>
      </c>
      <c r="R9547" s="2" t="inlineStr"/>
    </row>
    <row r="9548" ht="15" customHeight="1">
      <c r="A9548" t="inlineStr">
        <is>
          <t>A 39480-2024</t>
        </is>
      </c>
      <c r="B9548" s="1" t="n">
        <v>45551.64898148148</v>
      </c>
      <c r="C9548" s="1" t="n">
        <v>45952</v>
      </c>
      <c r="D9548" t="inlineStr">
        <is>
          <t>VÄSTRA GÖTALANDS LÄN</t>
        </is>
      </c>
      <c r="E9548" t="inlineStr">
        <is>
          <t>TANUM</t>
        </is>
      </c>
      <c r="G9548" t="n">
        <v>1.6</v>
      </c>
      <c r="H9548" t="n">
        <v>0</v>
      </c>
      <c r="I9548" t="n">
        <v>0</v>
      </c>
      <c r="J9548" t="n">
        <v>0</v>
      </c>
      <c r="K9548" t="n">
        <v>0</v>
      </c>
      <c r="L9548" t="n">
        <v>0</v>
      </c>
      <c r="M9548" t="n">
        <v>0</v>
      </c>
      <c r="N9548" t="n">
        <v>0</v>
      </c>
      <c r="O9548" t="n">
        <v>0</v>
      </c>
      <c r="P9548" t="n">
        <v>0</v>
      </c>
      <c r="Q9548" t="n">
        <v>0</v>
      </c>
      <c r="R9548" s="2" t="inlineStr"/>
    </row>
    <row r="9549" ht="15" customHeight="1">
      <c r="A9549" t="inlineStr">
        <is>
          <t>A 29658-2022</t>
        </is>
      </c>
      <c r="B9549" s="1" t="n">
        <v>44754.67859953704</v>
      </c>
      <c r="C9549" s="1" t="n">
        <v>45952</v>
      </c>
      <c r="D9549" t="inlineStr">
        <is>
          <t>VÄSTRA GÖTALANDS LÄN</t>
        </is>
      </c>
      <c r="E9549" t="inlineStr">
        <is>
          <t>BOLLEBYGD</t>
        </is>
      </c>
      <c r="G9549" t="n">
        <v>2.3</v>
      </c>
      <c r="H9549" t="n">
        <v>0</v>
      </c>
      <c r="I9549" t="n">
        <v>0</v>
      </c>
      <c r="J9549" t="n">
        <v>0</v>
      </c>
      <c r="K9549" t="n">
        <v>0</v>
      </c>
      <c r="L9549" t="n">
        <v>0</v>
      </c>
      <c r="M9549" t="n">
        <v>0</v>
      </c>
      <c r="N9549" t="n">
        <v>0</v>
      </c>
      <c r="O9549" t="n">
        <v>0</v>
      </c>
      <c r="P9549" t="n">
        <v>0</v>
      </c>
      <c r="Q9549" t="n">
        <v>0</v>
      </c>
      <c r="R9549" s="2" t="inlineStr"/>
    </row>
    <row r="9550" ht="15" customHeight="1">
      <c r="A9550" t="inlineStr">
        <is>
          <t>A 53573-2023</t>
        </is>
      </c>
      <c r="B9550" s="1" t="n">
        <v>45230.49935185185</v>
      </c>
      <c r="C9550" s="1" t="n">
        <v>45952</v>
      </c>
      <c r="D9550" t="inlineStr">
        <is>
          <t>VÄSTRA GÖTALANDS LÄN</t>
        </is>
      </c>
      <c r="E9550" t="inlineStr">
        <is>
          <t>MELLERUD</t>
        </is>
      </c>
      <c r="G9550" t="n">
        <v>3.8</v>
      </c>
      <c r="H9550" t="n">
        <v>0</v>
      </c>
      <c r="I9550" t="n">
        <v>0</v>
      </c>
      <c r="J9550" t="n">
        <v>0</v>
      </c>
      <c r="K9550" t="n">
        <v>0</v>
      </c>
      <c r="L9550" t="n">
        <v>0</v>
      </c>
      <c r="M9550" t="n">
        <v>0</v>
      </c>
      <c r="N9550" t="n">
        <v>0</v>
      </c>
      <c r="O9550" t="n">
        <v>0</v>
      </c>
      <c r="P9550" t="n">
        <v>0</v>
      </c>
      <c r="Q9550" t="n">
        <v>0</v>
      </c>
      <c r="R9550" s="2" t="inlineStr"/>
    </row>
    <row r="9551" ht="15" customHeight="1">
      <c r="A9551" t="inlineStr">
        <is>
          <t>A 5658-2024</t>
        </is>
      </c>
      <c r="B9551" s="1" t="n">
        <v>45334</v>
      </c>
      <c r="C9551" s="1" t="n">
        <v>45952</v>
      </c>
      <c r="D9551" t="inlineStr">
        <is>
          <t>VÄSTRA GÖTALANDS LÄN</t>
        </is>
      </c>
      <c r="E9551" t="inlineStr">
        <is>
          <t>SKÖVDE</t>
        </is>
      </c>
      <c r="G9551" t="n">
        <v>6</v>
      </c>
      <c r="H9551" t="n">
        <v>0</v>
      </c>
      <c r="I9551" t="n">
        <v>0</v>
      </c>
      <c r="J9551" t="n">
        <v>0</v>
      </c>
      <c r="K9551" t="n">
        <v>0</v>
      </c>
      <c r="L9551" t="n">
        <v>0</v>
      </c>
      <c r="M9551" t="n">
        <v>0</v>
      </c>
      <c r="N9551" t="n">
        <v>0</v>
      </c>
      <c r="O9551" t="n">
        <v>0</v>
      </c>
      <c r="P9551" t="n">
        <v>0</v>
      </c>
      <c r="Q9551" t="n">
        <v>0</v>
      </c>
      <c r="R9551" s="2" t="inlineStr"/>
    </row>
    <row r="9552" ht="15" customHeight="1">
      <c r="A9552" t="inlineStr">
        <is>
          <t>A 9512-2021</t>
        </is>
      </c>
      <c r="B9552" s="1" t="n">
        <v>44251</v>
      </c>
      <c r="C9552" s="1" t="n">
        <v>45952</v>
      </c>
      <c r="D9552" t="inlineStr">
        <is>
          <t>VÄSTRA GÖTALANDS LÄN</t>
        </is>
      </c>
      <c r="E9552" t="inlineStr">
        <is>
          <t>HÄRRYDA</t>
        </is>
      </c>
      <c r="G9552" t="n">
        <v>2.1</v>
      </c>
      <c r="H9552" t="n">
        <v>0</v>
      </c>
      <c r="I9552" t="n">
        <v>0</v>
      </c>
      <c r="J9552" t="n">
        <v>0</v>
      </c>
      <c r="K9552" t="n">
        <v>0</v>
      </c>
      <c r="L9552" t="n">
        <v>0</v>
      </c>
      <c r="M9552" t="n">
        <v>0</v>
      </c>
      <c r="N9552" t="n">
        <v>0</v>
      </c>
      <c r="O9552" t="n">
        <v>0</v>
      </c>
      <c r="P9552" t="n">
        <v>0</v>
      </c>
      <c r="Q9552" t="n">
        <v>0</v>
      </c>
      <c r="R9552" s="2" t="inlineStr"/>
    </row>
    <row r="9553" ht="15" customHeight="1">
      <c r="A9553" t="inlineStr">
        <is>
          <t>A 38412-2024</t>
        </is>
      </c>
      <c r="B9553" s="1" t="n">
        <v>45546.34902777777</v>
      </c>
      <c r="C9553" s="1" t="n">
        <v>45952</v>
      </c>
      <c r="D9553" t="inlineStr">
        <is>
          <t>VÄSTRA GÖTALANDS LÄN</t>
        </is>
      </c>
      <c r="E9553" t="inlineStr">
        <is>
          <t>DALS-ED</t>
        </is>
      </c>
      <c r="G9553" t="n">
        <v>3</v>
      </c>
      <c r="H9553" t="n">
        <v>0</v>
      </c>
      <c r="I9553" t="n">
        <v>0</v>
      </c>
      <c r="J9553" t="n">
        <v>0</v>
      </c>
      <c r="K9553" t="n">
        <v>0</v>
      </c>
      <c r="L9553" t="n">
        <v>0</v>
      </c>
      <c r="M9553" t="n">
        <v>0</v>
      </c>
      <c r="N9553" t="n">
        <v>0</v>
      </c>
      <c r="O9553" t="n">
        <v>0</v>
      </c>
      <c r="P9553" t="n">
        <v>0</v>
      </c>
      <c r="Q9553" t="n">
        <v>0</v>
      </c>
      <c r="R9553" s="2" t="inlineStr"/>
    </row>
    <row r="9554" ht="15" customHeight="1">
      <c r="A9554" t="inlineStr">
        <is>
          <t>A 38421-2024</t>
        </is>
      </c>
      <c r="B9554" s="1" t="n">
        <v>45546.36957175926</v>
      </c>
      <c r="C9554" s="1" t="n">
        <v>45952</v>
      </c>
      <c r="D9554" t="inlineStr">
        <is>
          <t>VÄSTRA GÖTALANDS LÄN</t>
        </is>
      </c>
      <c r="E9554" t="inlineStr">
        <is>
          <t>BORÅS</t>
        </is>
      </c>
      <c r="G9554" t="n">
        <v>1.6</v>
      </c>
      <c r="H9554" t="n">
        <v>0</v>
      </c>
      <c r="I9554" t="n">
        <v>0</v>
      </c>
      <c r="J9554" t="n">
        <v>0</v>
      </c>
      <c r="K9554" t="n">
        <v>0</v>
      </c>
      <c r="L9554" t="n">
        <v>0</v>
      </c>
      <c r="M9554" t="n">
        <v>0</v>
      </c>
      <c r="N9554" t="n">
        <v>0</v>
      </c>
      <c r="O9554" t="n">
        <v>0</v>
      </c>
      <c r="P9554" t="n">
        <v>0</v>
      </c>
      <c r="Q9554" t="n">
        <v>0</v>
      </c>
      <c r="R9554" s="2" t="inlineStr"/>
    </row>
    <row r="9555" ht="15" customHeight="1">
      <c r="A9555" t="inlineStr">
        <is>
          <t>A 30912-2024</t>
        </is>
      </c>
      <c r="B9555" s="1" t="n">
        <v>45498.6093287037</v>
      </c>
      <c r="C9555" s="1" t="n">
        <v>45952</v>
      </c>
      <c r="D9555" t="inlineStr">
        <is>
          <t>VÄSTRA GÖTALANDS LÄN</t>
        </is>
      </c>
      <c r="E9555" t="inlineStr">
        <is>
          <t>ULRICEHAMN</t>
        </is>
      </c>
      <c r="F9555" t="inlineStr">
        <is>
          <t>Kyrkan</t>
        </is>
      </c>
      <c r="G9555" t="n">
        <v>1</v>
      </c>
      <c r="H9555" t="n">
        <v>0</v>
      </c>
      <c r="I9555" t="n">
        <v>0</v>
      </c>
      <c r="J9555" t="n">
        <v>0</v>
      </c>
      <c r="K9555" t="n">
        <v>0</v>
      </c>
      <c r="L9555" t="n">
        <v>0</v>
      </c>
      <c r="M9555" t="n">
        <v>0</v>
      </c>
      <c r="N9555" t="n">
        <v>0</v>
      </c>
      <c r="O9555" t="n">
        <v>0</v>
      </c>
      <c r="P9555" t="n">
        <v>0</v>
      </c>
      <c r="Q9555" t="n">
        <v>0</v>
      </c>
      <c r="R9555" s="2" t="inlineStr"/>
    </row>
    <row r="9556" ht="15" customHeight="1">
      <c r="A9556" t="inlineStr">
        <is>
          <t>A 48918-2025</t>
        </is>
      </c>
      <c r="B9556" s="1" t="n">
        <v>45937.49298611111</v>
      </c>
      <c r="C9556" s="1" t="n">
        <v>45952</v>
      </c>
      <c r="D9556" t="inlineStr">
        <is>
          <t>VÄSTRA GÖTALANDS LÄN</t>
        </is>
      </c>
      <c r="E9556" t="inlineStr">
        <is>
          <t>ULRICEHAMN</t>
        </is>
      </c>
      <c r="G9556" t="n">
        <v>0.5</v>
      </c>
      <c r="H9556" t="n">
        <v>0</v>
      </c>
      <c r="I9556" t="n">
        <v>0</v>
      </c>
      <c r="J9556" t="n">
        <v>0</v>
      </c>
      <c r="K9556" t="n">
        <v>0</v>
      </c>
      <c r="L9556" t="n">
        <v>0</v>
      </c>
      <c r="M9556" t="n">
        <v>0</v>
      </c>
      <c r="N9556" t="n">
        <v>0</v>
      </c>
      <c r="O9556" t="n">
        <v>0</v>
      </c>
      <c r="P9556" t="n">
        <v>0</v>
      </c>
      <c r="Q9556" t="n">
        <v>0</v>
      </c>
      <c r="R9556" s="2" t="inlineStr"/>
    </row>
    <row r="9557" ht="15" customHeight="1">
      <c r="A9557" t="inlineStr">
        <is>
          <t>A 48966-2025</t>
        </is>
      </c>
      <c r="B9557" s="1" t="n">
        <v>45937</v>
      </c>
      <c r="C9557" s="1" t="n">
        <v>45952</v>
      </c>
      <c r="D9557" t="inlineStr">
        <is>
          <t>VÄSTRA GÖTALANDS LÄN</t>
        </is>
      </c>
      <c r="E9557" t="inlineStr">
        <is>
          <t>ALINGSÅS</t>
        </is>
      </c>
      <c r="G9557" t="n">
        <v>4.9</v>
      </c>
      <c r="H9557" t="n">
        <v>0</v>
      </c>
      <c r="I9557" t="n">
        <v>0</v>
      </c>
      <c r="J9557" t="n">
        <v>0</v>
      </c>
      <c r="K9557" t="n">
        <v>0</v>
      </c>
      <c r="L9557" t="n">
        <v>0</v>
      </c>
      <c r="M9557" t="n">
        <v>0</v>
      </c>
      <c r="N9557" t="n">
        <v>0</v>
      </c>
      <c r="O9557" t="n">
        <v>0</v>
      </c>
      <c r="P9557" t="n">
        <v>0</v>
      </c>
      <c r="Q9557" t="n">
        <v>0</v>
      </c>
      <c r="R9557" s="2" t="inlineStr"/>
    </row>
    <row r="9558" ht="15" customHeight="1">
      <c r="A9558" t="inlineStr">
        <is>
          <t>A 36041-2023</t>
        </is>
      </c>
      <c r="B9558" s="1" t="n">
        <v>45149.40692129629</v>
      </c>
      <c r="C9558" s="1" t="n">
        <v>45952</v>
      </c>
      <c r="D9558" t="inlineStr">
        <is>
          <t>VÄSTRA GÖTALANDS LÄN</t>
        </is>
      </c>
      <c r="E9558" t="inlineStr">
        <is>
          <t>SKARA</t>
        </is>
      </c>
      <c r="G9558" t="n">
        <v>3.1</v>
      </c>
      <c r="H9558" t="n">
        <v>0</v>
      </c>
      <c r="I9558" t="n">
        <v>0</v>
      </c>
      <c r="J9558" t="n">
        <v>0</v>
      </c>
      <c r="K9558" t="n">
        <v>0</v>
      </c>
      <c r="L9558" t="n">
        <v>0</v>
      </c>
      <c r="M9558" t="n">
        <v>0</v>
      </c>
      <c r="N9558" t="n">
        <v>0</v>
      </c>
      <c r="O9558" t="n">
        <v>0</v>
      </c>
      <c r="P9558" t="n">
        <v>0</v>
      </c>
      <c r="Q9558" t="n">
        <v>0</v>
      </c>
      <c r="R9558" s="2" t="inlineStr"/>
    </row>
    <row r="9559" ht="15" customHeight="1">
      <c r="A9559" t="inlineStr">
        <is>
          <t>A 36045-2023</t>
        </is>
      </c>
      <c r="B9559" s="1" t="n">
        <v>45149</v>
      </c>
      <c r="C9559" s="1" t="n">
        <v>45952</v>
      </c>
      <c r="D9559" t="inlineStr">
        <is>
          <t>VÄSTRA GÖTALANDS LÄN</t>
        </is>
      </c>
      <c r="E9559" t="inlineStr">
        <is>
          <t>SKARA</t>
        </is>
      </c>
      <c r="G9559" t="n">
        <v>0.4</v>
      </c>
      <c r="H9559" t="n">
        <v>0</v>
      </c>
      <c r="I9559" t="n">
        <v>0</v>
      </c>
      <c r="J9559" t="n">
        <v>0</v>
      </c>
      <c r="K9559" t="n">
        <v>0</v>
      </c>
      <c r="L9559" t="n">
        <v>0</v>
      </c>
      <c r="M9559" t="n">
        <v>0</v>
      </c>
      <c r="N9559" t="n">
        <v>0</v>
      </c>
      <c r="O9559" t="n">
        <v>0</v>
      </c>
      <c r="P9559" t="n">
        <v>0</v>
      </c>
      <c r="Q9559" t="n">
        <v>0</v>
      </c>
      <c r="R9559" s="2" t="inlineStr"/>
    </row>
    <row r="9560" ht="15" customHeight="1">
      <c r="A9560" t="inlineStr">
        <is>
          <t>A 23175-2023</t>
        </is>
      </c>
      <c r="B9560" s="1" t="n">
        <v>45075</v>
      </c>
      <c r="C9560" s="1" t="n">
        <v>45952</v>
      </c>
      <c r="D9560" t="inlineStr">
        <is>
          <t>VÄSTRA GÖTALANDS LÄN</t>
        </is>
      </c>
      <c r="E9560" t="inlineStr">
        <is>
          <t>TROLLHÄTTAN</t>
        </is>
      </c>
      <c r="G9560" t="n">
        <v>2.7</v>
      </c>
      <c r="H9560" t="n">
        <v>0</v>
      </c>
      <c r="I9560" t="n">
        <v>0</v>
      </c>
      <c r="J9560" t="n">
        <v>0</v>
      </c>
      <c r="K9560" t="n">
        <v>0</v>
      </c>
      <c r="L9560" t="n">
        <v>0</v>
      </c>
      <c r="M9560" t="n">
        <v>0</v>
      </c>
      <c r="N9560" t="n">
        <v>0</v>
      </c>
      <c r="O9560" t="n">
        <v>0</v>
      </c>
      <c r="P9560" t="n">
        <v>0</v>
      </c>
      <c r="Q9560" t="n">
        <v>0</v>
      </c>
      <c r="R9560" s="2" t="inlineStr"/>
    </row>
    <row r="9561" ht="15" customHeight="1">
      <c r="A9561" t="inlineStr">
        <is>
          <t>A 40331-2025</t>
        </is>
      </c>
      <c r="B9561" s="1" t="n">
        <v>45895</v>
      </c>
      <c r="C9561" s="1" t="n">
        <v>45952</v>
      </c>
      <c r="D9561" t="inlineStr">
        <is>
          <t>VÄSTRA GÖTALANDS LÄN</t>
        </is>
      </c>
      <c r="E9561" t="inlineStr">
        <is>
          <t>UDDEVALLA</t>
        </is>
      </c>
      <c r="G9561" t="n">
        <v>1.1</v>
      </c>
      <c r="H9561" t="n">
        <v>0</v>
      </c>
      <c r="I9561" t="n">
        <v>0</v>
      </c>
      <c r="J9561" t="n">
        <v>0</v>
      </c>
      <c r="K9561" t="n">
        <v>0</v>
      </c>
      <c r="L9561" t="n">
        <v>0</v>
      </c>
      <c r="M9561" t="n">
        <v>0</v>
      </c>
      <c r="N9561" t="n">
        <v>0</v>
      </c>
      <c r="O9561" t="n">
        <v>0</v>
      </c>
      <c r="P9561" t="n">
        <v>0</v>
      </c>
      <c r="Q9561" t="n">
        <v>0</v>
      </c>
      <c r="R9561" s="2" t="inlineStr"/>
    </row>
    <row r="9562" ht="15" customHeight="1">
      <c r="A9562" t="inlineStr">
        <is>
          <t>A 2954-2025</t>
        </is>
      </c>
      <c r="B9562" s="1" t="n">
        <v>45678.44070601852</v>
      </c>
      <c r="C9562" s="1" t="n">
        <v>45952</v>
      </c>
      <c r="D9562" t="inlineStr">
        <is>
          <t>VÄSTRA GÖTALANDS LÄN</t>
        </is>
      </c>
      <c r="E9562" t="inlineStr">
        <is>
          <t>MUNKEDAL</t>
        </is>
      </c>
      <c r="G9562" t="n">
        <v>4.2</v>
      </c>
      <c r="H9562" t="n">
        <v>0</v>
      </c>
      <c r="I9562" t="n">
        <v>0</v>
      </c>
      <c r="J9562" t="n">
        <v>0</v>
      </c>
      <c r="K9562" t="n">
        <v>0</v>
      </c>
      <c r="L9562" t="n">
        <v>0</v>
      </c>
      <c r="M9562" t="n">
        <v>0</v>
      </c>
      <c r="N9562" t="n">
        <v>0</v>
      </c>
      <c r="O9562" t="n">
        <v>0</v>
      </c>
      <c r="P9562" t="n">
        <v>0</v>
      </c>
      <c r="Q9562" t="n">
        <v>0</v>
      </c>
      <c r="R9562" s="2" t="inlineStr"/>
    </row>
    <row r="9563" ht="15" customHeight="1">
      <c r="A9563" t="inlineStr">
        <is>
          <t>A 35734-2023</t>
        </is>
      </c>
      <c r="B9563" s="1" t="n">
        <v>45147.89258101852</v>
      </c>
      <c r="C9563" s="1" t="n">
        <v>45952</v>
      </c>
      <c r="D9563" t="inlineStr">
        <is>
          <t>VÄSTRA GÖTALANDS LÄN</t>
        </is>
      </c>
      <c r="E9563" t="inlineStr">
        <is>
          <t>PARTILLE</t>
        </is>
      </c>
      <c r="G9563" t="n">
        <v>5.9</v>
      </c>
      <c r="H9563" t="n">
        <v>0</v>
      </c>
      <c r="I9563" t="n">
        <v>0</v>
      </c>
      <c r="J9563" t="n">
        <v>0</v>
      </c>
      <c r="K9563" t="n">
        <v>0</v>
      </c>
      <c r="L9563" t="n">
        <v>0</v>
      </c>
      <c r="M9563" t="n">
        <v>0</v>
      </c>
      <c r="N9563" t="n">
        <v>0</v>
      </c>
      <c r="O9563" t="n">
        <v>0</v>
      </c>
      <c r="P9563" t="n">
        <v>0</v>
      </c>
      <c r="Q9563" t="n">
        <v>0</v>
      </c>
      <c r="R9563" s="2" t="inlineStr"/>
    </row>
    <row r="9564" ht="15" customHeight="1">
      <c r="A9564" t="inlineStr">
        <is>
          <t>A 24355-2024</t>
        </is>
      </c>
      <c r="B9564" s="1" t="n">
        <v>45457.59540509259</v>
      </c>
      <c r="C9564" s="1" t="n">
        <v>45952</v>
      </c>
      <c r="D9564" t="inlineStr">
        <is>
          <t>VÄSTRA GÖTALANDS LÄN</t>
        </is>
      </c>
      <c r="E9564" t="inlineStr">
        <is>
          <t>TÖREBODA</t>
        </is>
      </c>
      <c r="F9564" t="inlineStr">
        <is>
          <t>Övriga statliga verk och myndigheter</t>
        </is>
      </c>
      <c r="G9564" t="n">
        <v>1.2</v>
      </c>
      <c r="H9564" t="n">
        <v>0</v>
      </c>
      <c r="I9564" t="n">
        <v>0</v>
      </c>
      <c r="J9564" t="n">
        <v>0</v>
      </c>
      <c r="K9564" t="n">
        <v>0</v>
      </c>
      <c r="L9564" t="n">
        <v>0</v>
      </c>
      <c r="M9564" t="n">
        <v>0</v>
      </c>
      <c r="N9564" t="n">
        <v>0</v>
      </c>
      <c r="O9564" t="n">
        <v>0</v>
      </c>
      <c r="P9564" t="n">
        <v>0</v>
      </c>
      <c r="Q9564" t="n">
        <v>0</v>
      </c>
      <c r="R9564" s="2" t="inlineStr"/>
    </row>
    <row r="9565" ht="15" customHeight="1">
      <c r="A9565" t="inlineStr">
        <is>
          <t>A 52415-2024</t>
        </is>
      </c>
      <c r="B9565" s="1" t="n">
        <v>45609.45824074074</v>
      </c>
      <c r="C9565" s="1" t="n">
        <v>45952</v>
      </c>
      <c r="D9565" t="inlineStr">
        <is>
          <t>VÄSTRA GÖTALANDS LÄN</t>
        </is>
      </c>
      <c r="E9565" t="inlineStr">
        <is>
          <t>SVENLJUNGA</t>
        </is>
      </c>
      <c r="G9565" t="n">
        <v>3.1</v>
      </c>
      <c r="H9565" t="n">
        <v>0</v>
      </c>
      <c r="I9565" t="n">
        <v>0</v>
      </c>
      <c r="J9565" t="n">
        <v>0</v>
      </c>
      <c r="K9565" t="n">
        <v>0</v>
      </c>
      <c r="L9565" t="n">
        <v>0</v>
      </c>
      <c r="M9565" t="n">
        <v>0</v>
      </c>
      <c r="N9565" t="n">
        <v>0</v>
      </c>
      <c r="O9565" t="n">
        <v>0</v>
      </c>
      <c r="P9565" t="n">
        <v>0</v>
      </c>
      <c r="Q9565" t="n">
        <v>0</v>
      </c>
      <c r="R9565" s="2" t="inlineStr"/>
    </row>
    <row r="9566" ht="15" customHeight="1">
      <c r="A9566" t="inlineStr">
        <is>
          <t>A 48477-2025</t>
        </is>
      </c>
      <c r="B9566" s="1" t="n">
        <v>45936.3486574074</v>
      </c>
      <c r="C9566" s="1" t="n">
        <v>45952</v>
      </c>
      <c r="D9566" t="inlineStr">
        <is>
          <t>VÄSTRA GÖTALANDS LÄN</t>
        </is>
      </c>
      <c r="E9566" t="inlineStr">
        <is>
          <t>SVENLJUNGA</t>
        </is>
      </c>
      <c r="G9566" t="n">
        <v>0.8</v>
      </c>
      <c r="H9566" t="n">
        <v>0</v>
      </c>
      <c r="I9566" t="n">
        <v>0</v>
      </c>
      <c r="J9566" t="n">
        <v>0</v>
      </c>
      <c r="K9566" t="n">
        <v>0</v>
      </c>
      <c r="L9566" t="n">
        <v>0</v>
      </c>
      <c r="M9566" t="n">
        <v>0</v>
      </c>
      <c r="N9566" t="n">
        <v>0</v>
      </c>
      <c r="O9566" t="n">
        <v>0</v>
      </c>
      <c r="P9566" t="n">
        <v>0</v>
      </c>
      <c r="Q9566" t="n">
        <v>0</v>
      </c>
      <c r="R9566" s="2" t="inlineStr"/>
    </row>
    <row r="9567" ht="15" customHeight="1">
      <c r="A9567" t="inlineStr">
        <is>
          <t>A 48483-2025</t>
        </is>
      </c>
      <c r="B9567" s="1" t="n">
        <v>45936.35569444444</v>
      </c>
      <c r="C9567" s="1" t="n">
        <v>45952</v>
      </c>
      <c r="D9567" t="inlineStr">
        <is>
          <t>VÄSTRA GÖTALANDS LÄN</t>
        </is>
      </c>
      <c r="E9567" t="inlineStr">
        <is>
          <t>FÄRGELANDA</t>
        </is>
      </c>
      <c r="F9567" t="inlineStr">
        <is>
          <t>Kommuner</t>
        </is>
      </c>
      <c r="G9567" t="n">
        <v>1.1</v>
      </c>
      <c r="H9567" t="n">
        <v>0</v>
      </c>
      <c r="I9567" t="n">
        <v>0</v>
      </c>
      <c r="J9567" t="n">
        <v>0</v>
      </c>
      <c r="K9567" t="n">
        <v>0</v>
      </c>
      <c r="L9567" t="n">
        <v>0</v>
      </c>
      <c r="M9567" t="n">
        <v>0</v>
      </c>
      <c r="N9567" t="n">
        <v>0</v>
      </c>
      <c r="O9567" t="n">
        <v>0</v>
      </c>
      <c r="P9567" t="n">
        <v>0</v>
      </c>
      <c r="Q9567" t="n">
        <v>0</v>
      </c>
      <c r="R9567" s="2" t="inlineStr"/>
    </row>
    <row r="9568" ht="15" customHeight="1">
      <c r="A9568" t="inlineStr">
        <is>
          <t>A 58702-2024</t>
        </is>
      </c>
      <c r="B9568" s="1" t="n">
        <v>45635.64003472222</v>
      </c>
      <c r="C9568" s="1" t="n">
        <v>45952</v>
      </c>
      <c r="D9568" t="inlineStr">
        <is>
          <t>VÄSTRA GÖTALANDS LÄN</t>
        </is>
      </c>
      <c r="E9568" t="inlineStr">
        <is>
          <t>FALKÖPING</t>
        </is>
      </c>
      <c r="G9568" t="n">
        <v>4.2</v>
      </c>
      <c r="H9568" t="n">
        <v>0</v>
      </c>
      <c r="I9568" t="n">
        <v>0</v>
      </c>
      <c r="J9568" t="n">
        <v>0</v>
      </c>
      <c r="K9568" t="n">
        <v>0</v>
      </c>
      <c r="L9568" t="n">
        <v>0</v>
      </c>
      <c r="M9568" t="n">
        <v>0</v>
      </c>
      <c r="N9568" t="n">
        <v>0</v>
      </c>
      <c r="O9568" t="n">
        <v>0</v>
      </c>
      <c r="P9568" t="n">
        <v>0</v>
      </c>
      <c r="Q9568" t="n">
        <v>0</v>
      </c>
      <c r="R9568" s="2" t="inlineStr"/>
    </row>
    <row r="9569" ht="15" customHeight="1">
      <c r="A9569" t="inlineStr">
        <is>
          <t>A 42080-2021</t>
        </is>
      </c>
      <c r="B9569" s="1" t="n">
        <v>44426</v>
      </c>
      <c r="C9569" s="1" t="n">
        <v>45952</v>
      </c>
      <c r="D9569" t="inlineStr">
        <is>
          <t>VÄSTRA GÖTALANDS LÄN</t>
        </is>
      </c>
      <c r="E9569" t="inlineStr">
        <is>
          <t>TANUM</t>
        </is>
      </c>
      <c r="F9569" t="inlineStr">
        <is>
          <t>Kyrkan</t>
        </is>
      </c>
      <c r="G9569" t="n">
        <v>1.6</v>
      </c>
      <c r="H9569" t="n">
        <v>0</v>
      </c>
      <c r="I9569" t="n">
        <v>0</v>
      </c>
      <c r="J9569" t="n">
        <v>0</v>
      </c>
      <c r="K9569" t="n">
        <v>0</v>
      </c>
      <c r="L9569" t="n">
        <v>0</v>
      </c>
      <c r="M9569" t="n">
        <v>0</v>
      </c>
      <c r="N9569" t="n">
        <v>0</v>
      </c>
      <c r="O9569" t="n">
        <v>0</v>
      </c>
      <c r="P9569" t="n">
        <v>0</v>
      </c>
      <c r="Q9569" t="n">
        <v>0</v>
      </c>
      <c r="R9569" s="2" t="inlineStr"/>
    </row>
    <row r="9570" ht="15" customHeight="1">
      <c r="A9570" t="inlineStr">
        <is>
          <t>A 12319-2025</t>
        </is>
      </c>
      <c r="B9570" s="1" t="n">
        <v>45729.97268518519</v>
      </c>
      <c r="C9570" s="1" t="n">
        <v>45952</v>
      </c>
      <c r="D9570" t="inlineStr">
        <is>
          <t>VÄSTRA GÖTALANDS LÄN</t>
        </is>
      </c>
      <c r="E9570" t="inlineStr">
        <is>
          <t>GÖTENE</t>
        </is>
      </c>
      <c r="G9570" t="n">
        <v>2.8</v>
      </c>
      <c r="H9570" t="n">
        <v>0</v>
      </c>
      <c r="I9570" t="n">
        <v>0</v>
      </c>
      <c r="J9570" t="n">
        <v>0</v>
      </c>
      <c r="K9570" t="n">
        <v>0</v>
      </c>
      <c r="L9570" t="n">
        <v>0</v>
      </c>
      <c r="M9570" t="n">
        <v>0</v>
      </c>
      <c r="N9570" t="n">
        <v>0</v>
      </c>
      <c r="O9570" t="n">
        <v>0</v>
      </c>
      <c r="P9570" t="n">
        <v>0</v>
      </c>
      <c r="Q9570" t="n">
        <v>0</v>
      </c>
      <c r="R9570" s="2" t="inlineStr"/>
    </row>
    <row r="9571" ht="15" customHeight="1">
      <c r="A9571" t="inlineStr">
        <is>
          <t>A 40753-2025</t>
        </is>
      </c>
      <c r="B9571" s="1" t="n">
        <v>45897</v>
      </c>
      <c r="C9571" s="1" t="n">
        <v>45952</v>
      </c>
      <c r="D9571" t="inlineStr">
        <is>
          <t>VÄSTRA GÖTALANDS LÄN</t>
        </is>
      </c>
      <c r="E9571" t="inlineStr">
        <is>
          <t>BENGTSFORS</t>
        </is>
      </c>
      <c r="G9571" t="n">
        <v>3.2</v>
      </c>
      <c r="H9571" t="n">
        <v>0</v>
      </c>
      <c r="I9571" t="n">
        <v>0</v>
      </c>
      <c r="J9571" t="n">
        <v>0</v>
      </c>
      <c r="K9571" t="n">
        <v>0</v>
      </c>
      <c r="L9571" t="n">
        <v>0</v>
      </c>
      <c r="M9571" t="n">
        <v>0</v>
      </c>
      <c r="N9571" t="n">
        <v>0</v>
      </c>
      <c r="O9571" t="n">
        <v>0</v>
      </c>
      <c r="P9571" t="n">
        <v>0</v>
      </c>
      <c r="Q9571" t="n">
        <v>0</v>
      </c>
      <c r="R9571" s="2" t="inlineStr"/>
    </row>
    <row r="9572" ht="15" customHeight="1">
      <c r="A9572" t="inlineStr">
        <is>
          <t>A 8180-2024</t>
        </is>
      </c>
      <c r="B9572" s="1" t="n">
        <v>45351.63478009259</v>
      </c>
      <c r="C9572" s="1" t="n">
        <v>45952</v>
      </c>
      <c r="D9572" t="inlineStr">
        <is>
          <t>VÄSTRA GÖTALANDS LÄN</t>
        </is>
      </c>
      <c r="E9572" t="inlineStr">
        <is>
          <t>DALS-ED</t>
        </is>
      </c>
      <c r="F9572" t="inlineStr">
        <is>
          <t>Övriga Aktiebolag</t>
        </is>
      </c>
      <c r="G9572" t="n">
        <v>3.2</v>
      </c>
      <c r="H9572" t="n">
        <v>0</v>
      </c>
      <c r="I9572" t="n">
        <v>0</v>
      </c>
      <c r="J9572" t="n">
        <v>0</v>
      </c>
      <c r="K9572" t="n">
        <v>0</v>
      </c>
      <c r="L9572" t="n">
        <v>0</v>
      </c>
      <c r="M9572" t="n">
        <v>0</v>
      </c>
      <c r="N9572" t="n">
        <v>0</v>
      </c>
      <c r="O9572" t="n">
        <v>0</v>
      </c>
      <c r="P9572" t="n">
        <v>0</v>
      </c>
      <c r="Q9572" t="n">
        <v>0</v>
      </c>
      <c r="R9572" s="2" t="inlineStr"/>
    </row>
    <row r="9573" ht="15" customHeight="1">
      <c r="A9573" t="inlineStr">
        <is>
          <t>A 50078-2023</t>
        </is>
      </c>
      <c r="B9573" s="1" t="n">
        <v>45215.58049768519</v>
      </c>
      <c r="C9573" s="1" t="n">
        <v>45952</v>
      </c>
      <c r="D9573" t="inlineStr">
        <is>
          <t>VÄSTRA GÖTALANDS LÄN</t>
        </is>
      </c>
      <c r="E9573" t="inlineStr">
        <is>
          <t>TIDAHOLM</t>
        </is>
      </c>
      <c r="G9573" t="n">
        <v>1.5</v>
      </c>
      <c r="H9573" t="n">
        <v>0</v>
      </c>
      <c r="I9573" t="n">
        <v>0</v>
      </c>
      <c r="J9573" t="n">
        <v>0</v>
      </c>
      <c r="K9573" t="n">
        <v>0</v>
      </c>
      <c r="L9573" t="n">
        <v>0</v>
      </c>
      <c r="M9573" t="n">
        <v>0</v>
      </c>
      <c r="N9573" t="n">
        <v>0</v>
      </c>
      <c r="O9573" t="n">
        <v>0</v>
      </c>
      <c r="P9573" t="n">
        <v>0</v>
      </c>
      <c r="Q9573" t="n">
        <v>0</v>
      </c>
      <c r="R9573" s="2" t="inlineStr"/>
    </row>
    <row r="9574" ht="15" customHeight="1">
      <c r="A9574" t="inlineStr">
        <is>
          <t>A 49233-2025</t>
        </is>
      </c>
      <c r="B9574" s="1" t="n">
        <v>45938.47579861111</v>
      </c>
      <c r="C9574" s="1" t="n">
        <v>45952</v>
      </c>
      <c r="D9574" t="inlineStr">
        <is>
          <t>VÄSTRA GÖTALANDS LÄN</t>
        </is>
      </c>
      <c r="E9574" t="inlineStr">
        <is>
          <t>TRANEMO</t>
        </is>
      </c>
      <c r="G9574" t="n">
        <v>0.9</v>
      </c>
      <c r="H9574" t="n">
        <v>0</v>
      </c>
      <c r="I9574" t="n">
        <v>0</v>
      </c>
      <c r="J9574" t="n">
        <v>0</v>
      </c>
      <c r="K9574" t="n">
        <v>0</v>
      </c>
      <c r="L9574" t="n">
        <v>0</v>
      </c>
      <c r="M9574" t="n">
        <v>0</v>
      </c>
      <c r="N9574" t="n">
        <v>0</v>
      </c>
      <c r="O9574" t="n">
        <v>0</v>
      </c>
      <c r="P9574" t="n">
        <v>0</v>
      </c>
      <c r="Q9574" t="n">
        <v>0</v>
      </c>
      <c r="R9574" s="2" t="inlineStr"/>
    </row>
    <row r="9575" ht="15" customHeight="1">
      <c r="A9575" t="inlineStr">
        <is>
          <t>A 11137-2024</t>
        </is>
      </c>
      <c r="B9575" s="1" t="n">
        <v>45371.44770833333</v>
      </c>
      <c r="C9575" s="1" t="n">
        <v>45952</v>
      </c>
      <c r="D9575" t="inlineStr">
        <is>
          <t>VÄSTRA GÖTALANDS LÄN</t>
        </is>
      </c>
      <c r="E9575" t="inlineStr">
        <is>
          <t>MARIESTAD</t>
        </is>
      </c>
      <c r="G9575" t="n">
        <v>1.1</v>
      </c>
      <c r="H9575" t="n">
        <v>0</v>
      </c>
      <c r="I9575" t="n">
        <v>0</v>
      </c>
      <c r="J9575" t="n">
        <v>0</v>
      </c>
      <c r="K9575" t="n">
        <v>0</v>
      </c>
      <c r="L9575" t="n">
        <v>0</v>
      </c>
      <c r="M9575" t="n">
        <v>0</v>
      </c>
      <c r="N9575" t="n">
        <v>0</v>
      </c>
      <c r="O9575" t="n">
        <v>0</v>
      </c>
      <c r="P9575" t="n">
        <v>0</v>
      </c>
      <c r="Q9575" t="n">
        <v>0</v>
      </c>
      <c r="R9575" s="2" t="inlineStr"/>
    </row>
    <row r="9576" ht="15" customHeight="1">
      <c r="A9576" t="inlineStr">
        <is>
          <t>A 11140-2024</t>
        </is>
      </c>
      <c r="B9576" s="1" t="n">
        <v>45371.45640046296</v>
      </c>
      <c r="C9576" s="1" t="n">
        <v>45952</v>
      </c>
      <c r="D9576" t="inlineStr">
        <is>
          <t>VÄSTRA GÖTALANDS LÄN</t>
        </is>
      </c>
      <c r="E9576" t="inlineStr">
        <is>
          <t>SVENLJUNGA</t>
        </is>
      </c>
      <c r="G9576" t="n">
        <v>3.3</v>
      </c>
      <c r="H9576" t="n">
        <v>0</v>
      </c>
      <c r="I9576" t="n">
        <v>0</v>
      </c>
      <c r="J9576" t="n">
        <v>0</v>
      </c>
      <c r="K9576" t="n">
        <v>0</v>
      </c>
      <c r="L9576" t="n">
        <v>0</v>
      </c>
      <c r="M9576" t="n">
        <v>0</v>
      </c>
      <c r="N9576" t="n">
        <v>0</v>
      </c>
      <c r="O9576" t="n">
        <v>0</v>
      </c>
      <c r="P9576" t="n">
        <v>0</v>
      </c>
      <c r="Q9576" t="n">
        <v>0</v>
      </c>
      <c r="R9576" s="2" t="inlineStr"/>
    </row>
    <row r="9577" ht="15" customHeight="1">
      <c r="A9577" t="inlineStr">
        <is>
          <t>A 39412-2024</t>
        </is>
      </c>
      <c r="B9577" s="1" t="n">
        <v>45551.56788194444</v>
      </c>
      <c r="C9577" s="1" t="n">
        <v>45952</v>
      </c>
      <c r="D9577" t="inlineStr">
        <is>
          <t>VÄSTRA GÖTALANDS LÄN</t>
        </is>
      </c>
      <c r="E9577" t="inlineStr">
        <is>
          <t>TRANEMO</t>
        </is>
      </c>
      <c r="G9577" t="n">
        <v>0.3</v>
      </c>
      <c r="H9577" t="n">
        <v>0</v>
      </c>
      <c r="I9577" t="n">
        <v>0</v>
      </c>
      <c r="J9577" t="n">
        <v>0</v>
      </c>
      <c r="K9577" t="n">
        <v>0</v>
      </c>
      <c r="L9577" t="n">
        <v>0</v>
      </c>
      <c r="M9577" t="n">
        <v>0</v>
      </c>
      <c r="N9577" t="n">
        <v>0</v>
      </c>
      <c r="O9577" t="n">
        <v>0</v>
      </c>
      <c r="P9577" t="n">
        <v>0</v>
      </c>
      <c r="Q9577" t="n">
        <v>0</v>
      </c>
      <c r="R9577" s="2" t="inlineStr"/>
    </row>
    <row r="9578" ht="15" customHeight="1">
      <c r="A9578" t="inlineStr">
        <is>
          <t>A 62272-2023</t>
        </is>
      </c>
      <c r="B9578" s="1" t="n">
        <v>45267.63773148148</v>
      </c>
      <c r="C9578" s="1" t="n">
        <v>45952</v>
      </c>
      <c r="D9578" t="inlineStr">
        <is>
          <t>VÄSTRA GÖTALANDS LÄN</t>
        </is>
      </c>
      <c r="E9578" t="inlineStr">
        <is>
          <t>SKÖVDE</t>
        </is>
      </c>
      <c r="G9578" t="n">
        <v>1.2</v>
      </c>
      <c r="H9578" t="n">
        <v>0</v>
      </c>
      <c r="I9578" t="n">
        <v>0</v>
      </c>
      <c r="J9578" t="n">
        <v>0</v>
      </c>
      <c r="K9578" t="n">
        <v>0</v>
      </c>
      <c r="L9578" t="n">
        <v>0</v>
      </c>
      <c r="M9578" t="n">
        <v>0</v>
      </c>
      <c r="N9578" t="n">
        <v>0</v>
      </c>
      <c r="O9578" t="n">
        <v>0</v>
      </c>
      <c r="P9578" t="n">
        <v>0</v>
      </c>
      <c r="Q9578" t="n">
        <v>0</v>
      </c>
      <c r="R9578" s="2" t="inlineStr"/>
    </row>
    <row r="9579" ht="15" customHeight="1">
      <c r="A9579" t="inlineStr">
        <is>
          <t>A 62313-2023</t>
        </is>
      </c>
      <c r="B9579" s="1" t="n">
        <v>45267</v>
      </c>
      <c r="C9579" s="1" t="n">
        <v>45952</v>
      </c>
      <c r="D9579" t="inlineStr">
        <is>
          <t>VÄSTRA GÖTALANDS LÄN</t>
        </is>
      </c>
      <c r="E9579" t="inlineStr">
        <is>
          <t>VARA</t>
        </is>
      </c>
      <c r="G9579" t="n">
        <v>1.2</v>
      </c>
      <c r="H9579" t="n">
        <v>0</v>
      </c>
      <c r="I9579" t="n">
        <v>0</v>
      </c>
      <c r="J9579" t="n">
        <v>0</v>
      </c>
      <c r="K9579" t="n">
        <v>0</v>
      </c>
      <c r="L9579" t="n">
        <v>0</v>
      </c>
      <c r="M9579" t="n">
        <v>0</v>
      </c>
      <c r="N9579" t="n">
        <v>0</v>
      </c>
      <c r="O9579" t="n">
        <v>0</v>
      </c>
      <c r="P9579" t="n">
        <v>0</v>
      </c>
      <c r="Q9579" t="n">
        <v>0</v>
      </c>
      <c r="R9579" s="2" t="inlineStr"/>
    </row>
    <row r="9580" ht="15" customHeight="1">
      <c r="A9580" t="inlineStr">
        <is>
          <t>A 40844-2025</t>
        </is>
      </c>
      <c r="B9580" s="1" t="n">
        <v>45897.53482638889</v>
      </c>
      <c r="C9580" s="1" t="n">
        <v>45952</v>
      </c>
      <c r="D9580" t="inlineStr">
        <is>
          <t>VÄSTRA GÖTALANDS LÄN</t>
        </is>
      </c>
      <c r="E9580" t="inlineStr">
        <is>
          <t>VÄNERSBORG</t>
        </is>
      </c>
      <c r="G9580" t="n">
        <v>0.4</v>
      </c>
      <c r="H9580" t="n">
        <v>0</v>
      </c>
      <c r="I9580" t="n">
        <v>0</v>
      </c>
      <c r="J9580" t="n">
        <v>0</v>
      </c>
      <c r="K9580" t="n">
        <v>0</v>
      </c>
      <c r="L9580" t="n">
        <v>0</v>
      </c>
      <c r="M9580" t="n">
        <v>0</v>
      </c>
      <c r="N9580" t="n">
        <v>0</v>
      </c>
      <c r="O9580" t="n">
        <v>0</v>
      </c>
      <c r="P9580" t="n">
        <v>0</v>
      </c>
      <c r="Q9580" t="n">
        <v>0</v>
      </c>
      <c r="R9580" s="2" t="inlineStr"/>
    </row>
    <row r="9581" ht="15" customHeight="1">
      <c r="A9581" t="inlineStr">
        <is>
          <t>A 24301-2025</t>
        </is>
      </c>
      <c r="B9581" s="1" t="n">
        <v>45797.4844212963</v>
      </c>
      <c r="C9581" s="1" t="n">
        <v>45952</v>
      </c>
      <c r="D9581" t="inlineStr">
        <is>
          <t>VÄSTRA GÖTALANDS LÄN</t>
        </is>
      </c>
      <c r="E9581" t="inlineStr">
        <is>
          <t>ULRICEHAMN</t>
        </is>
      </c>
      <c r="F9581" t="inlineStr">
        <is>
          <t>Sveaskog</t>
        </is>
      </c>
      <c r="G9581" t="n">
        <v>0.8</v>
      </c>
      <c r="H9581" t="n">
        <v>0</v>
      </c>
      <c r="I9581" t="n">
        <v>0</v>
      </c>
      <c r="J9581" t="n">
        <v>0</v>
      </c>
      <c r="K9581" t="n">
        <v>0</v>
      </c>
      <c r="L9581" t="n">
        <v>0</v>
      </c>
      <c r="M9581" t="n">
        <v>0</v>
      </c>
      <c r="N9581" t="n">
        <v>0</v>
      </c>
      <c r="O9581" t="n">
        <v>0</v>
      </c>
      <c r="P9581" t="n">
        <v>0</v>
      </c>
      <c r="Q9581" t="n">
        <v>0</v>
      </c>
      <c r="R9581" s="2" t="inlineStr"/>
    </row>
    <row r="9582" ht="15" customHeight="1">
      <c r="A9582" t="inlineStr">
        <is>
          <t>A 49431-2025</t>
        </is>
      </c>
      <c r="B9582" s="1" t="n">
        <v>45938.845</v>
      </c>
      <c r="C9582" s="1" t="n">
        <v>45952</v>
      </c>
      <c r="D9582" t="inlineStr">
        <is>
          <t>VÄSTRA GÖTALANDS LÄN</t>
        </is>
      </c>
      <c r="E9582" t="inlineStr">
        <is>
          <t>VÅRGÅRDA</t>
        </is>
      </c>
      <c r="G9582" t="n">
        <v>1.6</v>
      </c>
      <c r="H9582" t="n">
        <v>0</v>
      </c>
      <c r="I9582" t="n">
        <v>0</v>
      </c>
      <c r="J9582" t="n">
        <v>0</v>
      </c>
      <c r="K9582" t="n">
        <v>0</v>
      </c>
      <c r="L9582" t="n">
        <v>0</v>
      </c>
      <c r="M9582" t="n">
        <v>0</v>
      </c>
      <c r="N9582" t="n">
        <v>0</v>
      </c>
      <c r="O9582" t="n">
        <v>0</v>
      </c>
      <c r="P9582" t="n">
        <v>0</v>
      </c>
      <c r="Q9582" t="n">
        <v>0</v>
      </c>
      <c r="R9582" s="2" t="inlineStr"/>
    </row>
    <row r="9583" ht="15" customHeight="1">
      <c r="A9583" t="inlineStr">
        <is>
          <t>A 49350-2025</t>
        </is>
      </c>
      <c r="B9583" s="1" t="n">
        <v>45938.61125</v>
      </c>
      <c r="C9583" s="1" t="n">
        <v>45952</v>
      </c>
      <c r="D9583" t="inlineStr">
        <is>
          <t>VÄSTRA GÖTALANDS LÄN</t>
        </is>
      </c>
      <c r="E9583" t="inlineStr">
        <is>
          <t>MUNKEDAL</t>
        </is>
      </c>
      <c r="G9583" t="n">
        <v>1.2</v>
      </c>
      <c r="H9583" t="n">
        <v>0</v>
      </c>
      <c r="I9583" t="n">
        <v>0</v>
      </c>
      <c r="J9583" t="n">
        <v>0</v>
      </c>
      <c r="K9583" t="n">
        <v>0</v>
      </c>
      <c r="L9583" t="n">
        <v>0</v>
      </c>
      <c r="M9583" t="n">
        <v>0</v>
      </c>
      <c r="N9583" t="n">
        <v>0</v>
      </c>
      <c r="O9583" t="n">
        <v>0</v>
      </c>
      <c r="P9583" t="n">
        <v>0</v>
      </c>
      <c r="Q9583" t="n">
        <v>0</v>
      </c>
      <c r="R9583" s="2" t="inlineStr"/>
    </row>
    <row r="9584" ht="15" customHeight="1">
      <c r="A9584" t="inlineStr">
        <is>
          <t>A 40599-2025</t>
        </is>
      </c>
      <c r="B9584" s="1" t="n">
        <v>45896.55476851852</v>
      </c>
      <c r="C9584" s="1" t="n">
        <v>45952</v>
      </c>
      <c r="D9584" t="inlineStr">
        <is>
          <t>VÄSTRA GÖTALANDS LÄN</t>
        </is>
      </c>
      <c r="E9584" t="inlineStr">
        <is>
          <t>MARK</t>
        </is>
      </c>
      <c r="G9584" t="n">
        <v>2.1</v>
      </c>
      <c r="H9584" t="n">
        <v>0</v>
      </c>
      <c r="I9584" t="n">
        <v>0</v>
      </c>
      <c r="J9584" t="n">
        <v>0</v>
      </c>
      <c r="K9584" t="n">
        <v>0</v>
      </c>
      <c r="L9584" t="n">
        <v>0</v>
      </c>
      <c r="M9584" t="n">
        <v>0</v>
      </c>
      <c r="N9584" t="n">
        <v>0</v>
      </c>
      <c r="O9584" t="n">
        <v>0</v>
      </c>
      <c r="P9584" t="n">
        <v>0</v>
      </c>
      <c r="Q9584" t="n">
        <v>0</v>
      </c>
      <c r="R9584" s="2" t="inlineStr"/>
    </row>
    <row r="9585" ht="15" customHeight="1">
      <c r="A9585" t="inlineStr">
        <is>
          <t>A 62331-2023</t>
        </is>
      </c>
      <c r="B9585" s="1" t="n">
        <v>45267</v>
      </c>
      <c r="C9585" s="1" t="n">
        <v>45952</v>
      </c>
      <c r="D9585" t="inlineStr">
        <is>
          <t>VÄSTRA GÖTALANDS LÄN</t>
        </is>
      </c>
      <c r="E9585" t="inlineStr">
        <is>
          <t>MUNKEDAL</t>
        </is>
      </c>
      <c r="G9585" t="n">
        <v>5.2</v>
      </c>
      <c r="H9585" t="n">
        <v>0</v>
      </c>
      <c r="I9585" t="n">
        <v>0</v>
      </c>
      <c r="J9585" t="n">
        <v>0</v>
      </c>
      <c r="K9585" t="n">
        <v>0</v>
      </c>
      <c r="L9585" t="n">
        <v>0</v>
      </c>
      <c r="M9585" t="n">
        <v>0</v>
      </c>
      <c r="N9585" t="n">
        <v>0</v>
      </c>
      <c r="O9585" t="n">
        <v>0</v>
      </c>
      <c r="P9585" t="n">
        <v>0</v>
      </c>
      <c r="Q9585" t="n">
        <v>0</v>
      </c>
      <c r="R9585" s="2" t="inlineStr"/>
    </row>
    <row r="9586" ht="15" customHeight="1">
      <c r="A9586" t="inlineStr">
        <is>
          <t>A 3245-2021</t>
        </is>
      </c>
      <c r="B9586" s="1" t="n">
        <v>44217</v>
      </c>
      <c r="C9586" s="1" t="n">
        <v>45952</v>
      </c>
      <c r="D9586" t="inlineStr">
        <is>
          <t>VÄSTRA GÖTALANDS LÄN</t>
        </is>
      </c>
      <c r="E9586" t="inlineStr">
        <is>
          <t>MARK</t>
        </is>
      </c>
      <c r="G9586" t="n">
        <v>3.1</v>
      </c>
      <c r="H9586" t="n">
        <v>0</v>
      </c>
      <c r="I9586" t="n">
        <v>0</v>
      </c>
      <c r="J9586" t="n">
        <v>0</v>
      </c>
      <c r="K9586" t="n">
        <v>0</v>
      </c>
      <c r="L9586" t="n">
        <v>0</v>
      </c>
      <c r="M9586" t="n">
        <v>0</v>
      </c>
      <c r="N9586" t="n">
        <v>0</v>
      </c>
      <c r="O9586" t="n">
        <v>0</v>
      </c>
      <c r="P9586" t="n">
        <v>0</v>
      </c>
      <c r="Q9586" t="n">
        <v>0</v>
      </c>
      <c r="R9586" s="2" t="inlineStr"/>
    </row>
    <row r="9587" ht="15" customHeight="1">
      <c r="A9587" t="inlineStr">
        <is>
          <t>A 49786-2023</t>
        </is>
      </c>
      <c r="B9587" s="1" t="n">
        <v>45212.61490740741</v>
      </c>
      <c r="C9587" s="1" t="n">
        <v>45952</v>
      </c>
      <c r="D9587" t="inlineStr">
        <is>
          <t>VÄSTRA GÖTALANDS LÄN</t>
        </is>
      </c>
      <c r="E9587" t="inlineStr">
        <is>
          <t>TIDAHOLM</t>
        </is>
      </c>
      <c r="G9587" t="n">
        <v>1</v>
      </c>
      <c r="H9587" t="n">
        <v>0</v>
      </c>
      <c r="I9587" t="n">
        <v>0</v>
      </c>
      <c r="J9587" t="n">
        <v>0</v>
      </c>
      <c r="K9587" t="n">
        <v>0</v>
      </c>
      <c r="L9587" t="n">
        <v>0</v>
      </c>
      <c r="M9587" t="n">
        <v>0</v>
      </c>
      <c r="N9587" t="n">
        <v>0</v>
      </c>
      <c r="O9587" t="n">
        <v>0</v>
      </c>
      <c r="P9587" t="n">
        <v>0</v>
      </c>
      <c r="Q9587" t="n">
        <v>0</v>
      </c>
      <c r="R9587" s="2" t="inlineStr"/>
    </row>
    <row r="9588" ht="15" customHeight="1">
      <c r="A9588" t="inlineStr">
        <is>
          <t>A 24353-2025</t>
        </is>
      </c>
      <c r="B9588" s="1" t="n">
        <v>45797.58983796297</v>
      </c>
      <c r="C9588" s="1" t="n">
        <v>45952</v>
      </c>
      <c r="D9588" t="inlineStr">
        <is>
          <t>VÄSTRA GÖTALANDS LÄN</t>
        </is>
      </c>
      <c r="E9588" t="inlineStr">
        <is>
          <t>LIDKÖPING</t>
        </is>
      </c>
      <c r="G9588" t="n">
        <v>0.6</v>
      </c>
      <c r="H9588" t="n">
        <v>0</v>
      </c>
      <c r="I9588" t="n">
        <v>0</v>
      </c>
      <c r="J9588" t="n">
        <v>0</v>
      </c>
      <c r="K9588" t="n">
        <v>0</v>
      </c>
      <c r="L9588" t="n">
        <v>0</v>
      </c>
      <c r="M9588" t="n">
        <v>0</v>
      </c>
      <c r="N9588" t="n">
        <v>0</v>
      </c>
      <c r="O9588" t="n">
        <v>0</v>
      </c>
      <c r="P9588" t="n">
        <v>0</v>
      </c>
      <c r="Q9588" t="n">
        <v>0</v>
      </c>
      <c r="R9588" s="2" t="inlineStr"/>
    </row>
    <row r="9589" ht="15" customHeight="1">
      <c r="A9589" t="inlineStr">
        <is>
          <t>A 24383-2025</t>
        </is>
      </c>
      <c r="B9589" s="1" t="n">
        <v>45797.62940972222</v>
      </c>
      <c r="C9589" s="1" t="n">
        <v>45952</v>
      </c>
      <c r="D9589" t="inlineStr">
        <is>
          <t>VÄSTRA GÖTALANDS LÄN</t>
        </is>
      </c>
      <c r="E9589" t="inlineStr">
        <is>
          <t>SKÖVDE</t>
        </is>
      </c>
      <c r="F9589" t="inlineStr">
        <is>
          <t>Kommuner</t>
        </is>
      </c>
      <c r="G9589" t="n">
        <v>0.8</v>
      </c>
      <c r="H9589" t="n">
        <v>0</v>
      </c>
      <c r="I9589" t="n">
        <v>0</v>
      </c>
      <c r="J9589" t="n">
        <v>0</v>
      </c>
      <c r="K9589" t="n">
        <v>0</v>
      </c>
      <c r="L9589" t="n">
        <v>0</v>
      </c>
      <c r="M9589" t="n">
        <v>0</v>
      </c>
      <c r="N9589" t="n">
        <v>0</v>
      </c>
      <c r="O9589" t="n">
        <v>0</v>
      </c>
      <c r="P9589" t="n">
        <v>0</v>
      </c>
      <c r="Q9589" t="n">
        <v>0</v>
      </c>
      <c r="R9589" s="2" t="inlineStr"/>
    </row>
    <row r="9590" ht="15" customHeight="1">
      <c r="A9590" t="inlineStr">
        <is>
          <t>A 24384-2025</t>
        </is>
      </c>
      <c r="B9590" s="1" t="n">
        <v>45797.62946759259</v>
      </c>
      <c r="C9590" s="1" t="n">
        <v>45952</v>
      </c>
      <c r="D9590" t="inlineStr">
        <is>
          <t>VÄSTRA GÖTALANDS LÄN</t>
        </is>
      </c>
      <c r="E9590" t="inlineStr">
        <is>
          <t>FALKÖPING</t>
        </is>
      </c>
      <c r="G9590" t="n">
        <v>1.4</v>
      </c>
      <c r="H9590" t="n">
        <v>0</v>
      </c>
      <c r="I9590" t="n">
        <v>0</v>
      </c>
      <c r="J9590" t="n">
        <v>0</v>
      </c>
      <c r="K9590" t="n">
        <v>0</v>
      </c>
      <c r="L9590" t="n">
        <v>0</v>
      </c>
      <c r="M9590" t="n">
        <v>0</v>
      </c>
      <c r="N9590" t="n">
        <v>0</v>
      </c>
      <c r="O9590" t="n">
        <v>0</v>
      </c>
      <c r="P9590" t="n">
        <v>0</v>
      </c>
      <c r="Q9590" t="n">
        <v>0</v>
      </c>
      <c r="R9590" s="2" t="inlineStr"/>
    </row>
    <row r="9591" ht="15" customHeight="1">
      <c r="A9591" t="inlineStr">
        <is>
          <t>A 10161-2025</t>
        </is>
      </c>
      <c r="B9591" s="1" t="n">
        <v>45719</v>
      </c>
      <c r="C9591" s="1" t="n">
        <v>45952</v>
      </c>
      <c r="D9591" t="inlineStr">
        <is>
          <t>VÄSTRA GÖTALANDS LÄN</t>
        </is>
      </c>
      <c r="E9591" t="inlineStr">
        <is>
          <t>ESSUNGA</t>
        </is>
      </c>
      <c r="F9591" t="inlineStr">
        <is>
          <t>Kyrkan</t>
        </is>
      </c>
      <c r="G9591" t="n">
        <v>2.4</v>
      </c>
      <c r="H9591" t="n">
        <v>0</v>
      </c>
      <c r="I9591" t="n">
        <v>0</v>
      </c>
      <c r="J9591" t="n">
        <v>0</v>
      </c>
      <c r="K9591" t="n">
        <v>0</v>
      </c>
      <c r="L9591" t="n">
        <v>0</v>
      </c>
      <c r="M9591" t="n">
        <v>0</v>
      </c>
      <c r="N9591" t="n">
        <v>0</v>
      </c>
      <c r="O9591" t="n">
        <v>0</v>
      </c>
      <c r="P9591" t="n">
        <v>0</v>
      </c>
      <c r="Q9591" t="n">
        <v>0</v>
      </c>
      <c r="R9591" s="2" t="inlineStr"/>
    </row>
    <row r="9592" ht="15" customHeight="1">
      <c r="A9592" t="inlineStr">
        <is>
          <t>A 24388-2025</t>
        </is>
      </c>
      <c r="B9592" s="1" t="n">
        <v>45797.63533564815</v>
      </c>
      <c r="C9592" s="1" t="n">
        <v>45952</v>
      </c>
      <c r="D9592" t="inlineStr">
        <is>
          <t>VÄSTRA GÖTALANDS LÄN</t>
        </is>
      </c>
      <c r="E9592" t="inlineStr">
        <is>
          <t>HJO</t>
        </is>
      </c>
      <c r="G9592" t="n">
        <v>1.6</v>
      </c>
      <c r="H9592" t="n">
        <v>0</v>
      </c>
      <c r="I9592" t="n">
        <v>0</v>
      </c>
      <c r="J9592" t="n">
        <v>0</v>
      </c>
      <c r="K9592" t="n">
        <v>0</v>
      </c>
      <c r="L9592" t="n">
        <v>0</v>
      </c>
      <c r="M9592" t="n">
        <v>0</v>
      </c>
      <c r="N9592" t="n">
        <v>0</v>
      </c>
      <c r="O9592" t="n">
        <v>0</v>
      </c>
      <c r="P9592" t="n">
        <v>0</v>
      </c>
      <c r="Q9592" t="n">
        <v>0</v>
      </c>
      <c r="R9592" s="2" t="inlineStr"/>
    </row>
    <row r="9593" ht="15" customHeight="1">
      <c r="A9593" t="inlineStr">
        <is>
          <t>A 23994-2025</t>
        </is>
      </c>
      <c r="B9593" s="1" t="n">
        <v>45796.40887731482</v>
      </c>
      <c r="C9593" s="1" t="n">
        <v>45952</v>
      </c>
      <c r="D9593" t="inlineStr">
        <is>
          <t>VÄSTRA GÖTALANDS LÄN</t>
        </is>
      </c>
      <c r="E9593" t="inlineStr">
        <is>
          <t>FALKÖPING</t>
        </is>
      </c>
      <c r="G9593" t="n">
        <v>6.9</v>
      </c>
      <c r="H9593" t="n">
        <v>0</v>
      </c>
      <c r="I9593" t="n">
        <v>0</v>
      </c>
      <c r="J9593" t="n">
        <v>0</v>
      </c>
      <c r="K9593" t="n">
        <v>0</v>
      </c>
      <c r="L9593" t="n">
        <v>0</v>
      </c>
      <c r="M9593" t="n">
        <v>0</v>
      </c>
      <c r="N9593" t="n">
        <v>0</v>
      </c>
      <c r="O9593" t="n">
        <v>0</v>
      </c>
      <c r="P9593" t="n">
        <v>0</v>
      </c>
      <c r="Q9593" t="n">
        <v>0</v>
      </c>
      <c r="R9593" s="2" t="inlineStr"/>
    </row>
    <row r="9594" ht="15" customHeight="1">
      <c r="A9594" t="inlineStr">
        <is>
          <t>A 53254-2022</t>
        </is>
      </c>
      <c r="B9594" s="1" t="n">
        <v>44876.69381944444</v>
      </c>
      <c r="C9594" s="1" t="n">
        <v>45952</v>
      </c>
      <c r="D9594" t="inlineStr">
        <is>
          <t>VÄSTRA GÖTALANDS LÄN</t>
        </is>
      </c>
      <c r="E9594" t="inlineStr">
        <is>
          <t>MELLERUD</t>
        </is>
      </c>
      <c r="G9594" t="n">
        <v>1.8</v>
      </c>
      <c r="H9594" t="n">
        <v>0</v>
      </c>
      <c r="I9594" t="n">
        <v>0</v>
      </c>
      <c r="J9594" t="n">
        <v>0</v>
      </c>
      <c r="K9594" t="n">
        <v>0</v>
      </c>
      <c r="L9594" t="n">
        <v>0</v>
      </c>
      <c r="M9594" t="n">
        <v>0</v>
      </c>
      <c r="N9594" t="n">
        <v>0</v>
      </c>
      <c r="O9594" t="n">
        <v>0</v>
      </c>
      <c r="P9594" t="n">
        <v>0</v>
      </c>
      <c r="Q9594" t="n">
        <v>0</v>
      </c>
      <c r="R9594" s="2" t="inlineStr"/>
    </row>
    <row r="9595" ht="15" customHeight="1">
      <c r="A9595" t="inlineStr">
        <is>
          <t>A 18003-2025</t>
        </is>
      </c>
      <c r="B9595" s="1" t="n">
        <v>45761.41628472223</v>
      </c>
      <c r="C9595" s="1" t="n">
        <v>45952</v>
      </c>
      <c r="D9595" t="inlineStr">
        <is>
          <t>VÄSTRA GÖTALANDS LÄN</t>
        </is>
      </c>
      <c r="E9595" t="inlineStr">
        <is>
          <t>HÄRRYDA</t>
        </is>
      </c>
      <c r="G9595" t="n">
        <v>3.2</v>
      </c>
      <c r="H9595" t="n">
        <v>0</v>
      </c>
      <c r="I9595" t="n">
        <v>0</v>
      </c>
      <c r="J9595" t="n">
        <v>0</v>
      </c>
      <c r="K9595" t="n">
        <v>0</v>
      </c>
      <c r="L9595" t="n">
        <v>0</v>
      </c>
      <c r="M9595" t="n">
        <v>0</v>
      </c>
      <c r="N9595" t="n">
        <v>0</v>
      </c>
      <c r="O9595" t="n">
        <v>0</v>
      </c>
      <c r="P9595" t="n">
        <v>0</v>
      </c>
      <c r="Q9595" t="n">
        <v>0</v>
      </c>
      <c r="R9595" s="2" t="inlineStr"/>
    </row>
    <row r="9596" ht="15" customHeight="1">
      <c r="A9596" t="inlineStr">
        <is>
          <t>A 36106-2023</t>
        </is>
      </c>
      <c r="B9596" s="1" t="n">
        <v>45149</v>
      </c>
      <c r="C9596" s="1" t="n">
        <v>45952</v>
      </c>
      <c r="D9596" t="inlineStr">
        <is>
          <t>VÄSTRA GÖTALANDS LÄN</t>
        </is>
      </c>
      <c r="E9596" t="inlineStr">
        <is>
          <t>SVENLJUNGA</t>
        </is>
      </c>
      <c r="G9596" t="n">
        <v>3.2</v>
      </c>
      <c r="H9596" t="n">
        <v>0</v>
      </c>
      <c r="I9596" t="n">
        <v>0</v>
      </c>
      <c r="J9596" t="n">
        <v>0</v>
      </c>
      <c r="K9596" t="n">
        <v>0</v>
      </c>
      <c r="L9596" t="n">
        <v>0</v>
      </c>
      <c r="M9596" t="n">
        <v>0</v>
      </c>
      <c r="N9596" t="n">
        <v>0</v>
      </c>
      <c r="O9596" t="n">
        <v>0</v>
      </c>
      <c r="P9596" t="n">
        <v>0</v>
      </c>
      <c r="Q9596" t="n">
        <v>0</v>
      </c>
      <c r="R9596" s="2" t="inlineStr"/>
    </row>
    <row r="9597" ht="15" customHeight="1">
      <c r="A9597" t="inlineStr">
        <is>
          <t>A 57358-2024</t>
        </is>
      </c>
      <c r="B9597" s="1" t="n">
        <v>45629.65530092592</v>
      </c>
      <c r="C9597" s="1" t="n">
        <v>45952</v>
      </c>
      <c r="D9597" t="inlineStr">
        <is>
          <t>VÄSTRA GÖTALANDS LÄN</t>
        </is>
      </c>
      <c r="E9597" t="inlineStr">
        <is>
          <t>TANUM</t>
        </is>
      </c>
      <c r="G9597" t="n">
        <v>2</v>
      </c>
      <c r="H9597" t="n">
        <v>0</v>
      </c>
      <c r="I9597" t="n">
        <v>0</v>
      </c>
      <c r="J9597" t="n">
        <v>0</v>
      </c>
      <c r="K9597" t="n">
        <v>0</v>
      </c>
      <c r="L9597" t="n">
        <v>0</v>
      </c>
      <c r="M9597" t="n">
        <v>0</v>
      </c>
      <c r="N9597" t="n">
        <v>0</v>
      </c>
      <c r="O9597" t="n">
        <v>0</v>
      </c>
      <c r="P9597" t="n">
        <v>0</v>
      </c>
      <c r="Q9597" t="n">
        <v>0</v>
      </c>
      <c r="R9597" s="2" t="inlineStr"/>
    </row>
    <row r="9598" ht="15" customHeight="1">
      <c r="A9598" t="inlineStr">
        <is>
          <t>A 50397-2023</t>
        </is>
      </c>
      <c r="B9598" s="1" t="n">
        <v>45216.6400462963</v>
      </c>
      <c r="C9598" s="1" t="n">
        <v>45952</v>
      </c>
      <c r="D9598" t="inlineStr">
        <is>
          <t>VÄSTRA GÖTALANDS LÄN</t>
        </is>
      </c>
      <c r="E9598" t="inlineStr">
        <is>
          <t>LERUM</t>
        </is>
      </c>
      <c r="G9598" t="n">
        <v>2.4</v>
      </c>
      <c r="H9598" t="n">
        <v>0</v>
      </c>
      <c r="I9598" t="n">
        <v>0</v>
      </c>
      <c r="J9598" t="n">
        <v>0</v>
      </c>
      <c r="K9598" t="n">
        <v>0</v>
      </c>
      <c r="L9598" t="n">
        <v>0</v>
      </c>
      <c r="M9598" t="n">
        <v>0</v>
      </c>
      <c r="N9598" t="n">
        <v>0</v>
      </c>
      <c r="O9598" t="n">
        <v>0</v>
      </c>
      <c r="P9598" t="n">
        <v>0</v>
      </c>
      <c r="Q9598" t="n">
        <v>0</v>
      </c>
      <c r="R9598" s="2" t="inlineStr"/>
    </row>
    <row r="9599" ht="15" customHeight="1">
      <c r="A9599" t="inlineStr">
        <is>
          <t>A 46493-2023</t>
        </is>
      </c>
      <c r="B9599" s="1" t="n">
        <v>45197</v>
      </c>
      <c r="C9599" s="1" t="n">
        <v>45952</v>
      </c>
      <c r="D9599" t="inlineStr">
        <is>
          <t>VÄSTRA GÖTALANDS LÄN</t>
        </is>
      </c>
      <c r="E9599" t="inlineStr">
        <is>
          <t>ULRICEHAMN</t>
        </is>
      </c>
      <c r="F9599" t="inlineStr">
        <is>
          <t>Sveaskog</t>
        </is>
      </c>
      <c r="G9599" t="n">
        <v>2</v>
      </c>
      <c r="H9599" t="n">
        <v>0</v>
      </c>
      <c r="I9599" t="n">
        <v>0</v>
      </c>
      <c r="J9599" t="n">
        <v>0</v>
      </c>
      <c r="K9599" t="n">
        <v>0</v>
      </c>
      <c r="L9599" t="n">
        <v>0</v>
      </c>
      <c r="M9599" t="n">
        <v>0</v>
      </c>
      <c r="N9599" t="n">
        <v>0</v>
      </c>
      <c r="O9599" t="n">
        <v>0</v>
      </c>
      <c r="P9599" t="n">
        <v>0</v>
      </c>
      <c r="Q9599" t="n">
        <v>0</v>
      </c>
      <c r="R9599" s="2" t="inlineStr"/>
    </row>
    <row r="9600" ht="15" customHeight="1">
      <c r="A9600" t="inlineStr">
        <is>
          <t>A 36174-2023</t>
        </is>
      </c>
      <c r="B9600" s="1" t="n">
        <v>45149.65513888889</v>
      </c>
      <c r="C9600" s="1" t="n">
        <v>45952</v>
      </c>
      <c r="D9600" t="inlineStr">
        <is>
          <t>VÄSTRA GÖTALANDS LÄN</t>
        </is>
      </c>
      <c r="E9600" t="inlineStr">
        <is>
          <t>HERRLJUNGA</t>
        </is>
      </c>
      <c r="G9600" t="n">
        <v>1</v>
      </c>
      <c r="H9600" t="n">
        <v>0</v>
      </c>
      <c r="I9600" t="n">
        <v>0</v>
      </c>
      <c r="J9600" t="n">
        <v>0</v>
      </c>
      <c r="K9600" t="n">
        <v>0</v>
      </c>
      <c r="L9600" t="n">
        <v>0</v>
      </c>
      <c r="M9600" t="n">
        <v>0</v>
      </c>
      <c r="N9600" t="n">
        <v>0</v>
      </c>
      <c r="O9600" t="n">
        <v>0</v>
      </c>
      <c r="P9600" t="n">
        <v>0</v>
      </c>
      <c r="Q9600" t="n">
        <v>0</v>
      </c>
      <c r="R9600" s="2" t="inlineStr"/>
    </row>
    <row r="9601" ht="15" customHeight="1">
      <c r="A9601" t="inlineStr">
        <is>
          <t>A 48596-2023</t>
        </is>
      </c>
      <c r="B9601" s="1" t="n">
        <v>45208.49730324074</v>
      </c>
      <c r="C9601" s="1" t="n">
        <v>45952</v>
      </c>
      <c r="D9601" t="inlineStr">
        <is>
          <t>VÄSTRA GÖTALANDS LÄN</t>
        </is>
      </c>
      <c r="E9601" t="inlineStr">
        <is>
          <t>GRÄSTORP</t>
        </is>
      </c>
      <c r="G9601" t="n">
        <v>1</v>
      </c>
      <c r="H9601" t="n">
        <v>0</v>
      </c>
      <c r="I9601" t="n">
        <v>0</v>
      </c>
      <c r="J9601" t="n">
        <v>0</v>
      </c>
      <c r="K9601" t="n">
        <v>0</v>
      </c>
      <c r="L9601" t="n">
        <v>0</v>
      </c>
      <c r="M9601" t="n">
        <v>0</v>
      </c>
      <c r="N9601" t="n">
        <v>0</v>
      </c>
      <c r="O9601" t="n">
        <v>0</v>
      </c>
      <c r="P9601" t="n">
        <v>0</v>
      </c>
      <c r="Q9601" t="n">
        <v>0</v>
      </c>
      <c r="R9601" s="2" t="inlineStr"/>
    </row>
    <row r="9602" ht="15" customHeight="1">
      <c r="A9602" t="inlineStr">
        <is>
          <t>A 49531-2025</t>
        </is>
      </c>
      <c r="B9602" s="1" t="n">
        <v>45939.40844907407</v>
      </c>
      <c r="C9602" s="1" t="n">
        <v>45952</v>
      </c>
      <c r="D9602" t="inlineStr">
        <is>
          <t>VÄSTRA GÖTALANDS LÄN</t>
        </is>
      </c>
      <c r="E9602" t="inlineStr">
        <is>
          <t>ULRICEHAMN</t>
        </is>
      </c>
      <c r="G9602" t="n">
        <v>3</v>
      </c>
      <c r="H9602" t="n">
        <v>0</v>
      </c>
      <c r="I9602" t="n">
        <v>0</v>
      </c>
      <c r="J9602" t="n">
        <v>0</v>
      </c>
      <c r="K9602" t="n">
        <v>0</v>
      </c>
      <c r="L9602" t="n">
        <v>0</v>
      </c>
      <c r="M9602" t="n">
        <v>0</v>
      </c>
      <c r="N9602" t="n">
        <v>0</v>
      </c>
      <c r="O9602" t="n">
        <v>0</v>
      </c>
      <c r="P9602" t="n">
        <v>0</v>
      </c>
      <c r="Q9602" t="n">
        <v>0</v>
      </c>
      <c r="R9602" s="2" t="inlineStr"/>
    </row>
    <row r="9603" ht="15" customHeight="1">
      <c r="A9603" t="inlineStr">
        <is>
          <t>A 49621-2025</t>
        </is>
      </c>
      <c r="B9603" s="1" t="n">
        <v>45939.59266203704</v>
      </c>
      <c r="C9603" s="1" t="n">
        <v>45952</v>
      </c>
      <c r="D9603" t="inlineStr">
        <is>
          <t>VÄSTRA GÖTALANDS LÄN</t>
        </is>
      </c>
      <c r="E9603" t="inlineStr">
        <is>
          <t>STENUNGSUND</t>
        </is>
      </c>
      <c r="G9603" t="n">
        <v>3.3</v>
      </c>
      <c r="H9603" t="n">
        <v>0</v>
      </c>
      <c r="I9603" t="n">
        <v>0</v>
      </c>
      <c r="J9603" t="n">
        <v>0</v>
      </c>
      <c r="K9603" t="n">
        <v>0</v>
      </c>
      <c r="L9603" t="n">
        <v>0</v>
      </c>
      <c r="M9603" t="n">
        <v>0</v>
      </c>
      <c r="N9603" t="n">
        <v>0</v>
      </c>
      <c r="O9603" t="n">
        <v>0</v>
      </c>
      <c r="P9603" t="n">
        <v>0</v>
      </c>
      <c r="Q9603" t="n">
        <v>0</v>
      </c>
      <c r="R9603" s="2" t="inlineStr"/>
    </row>
    <row r="9604" ht="15" customHeight="1">
      <c r="A9604" t="inlineStr">
        <is>
          <t>A 7526-2022</t>
        </is>
      </c>
      <c r="B9604" s="1" t="n">
        <v>44607.50556712963</v>
      </c>
      <c r="C9604" s="1" t="n">
        <v>45952</v>
      </c>
      <c r="D9604" t="inlineStr">
        <is>
          <t>VÄSTRA GÖTALANDS LÄN</t>
        </is>
      </c>
      <c r="E9604" t="inlineStr">
        <is>
          <t>ULRICEHAMN</t>
        </is>
      </c>
      <c r="G9604" t="n">
        <v>0</v>
      </c>
      <c r="H9604" t="n">
        <v>0</v>
      </c>
      <c r="I9604" t="n">
        <v>0</v>
      </c>
      <c r="J9604" t="n">
        <v>0</v>
      </c>
      <c r="K9604" t="n">
        <v>0</v>
      </c>
      <c r="L9604" t="n">
        <v>0</v>
      </c>
      <c r="M9604" t="n">
        <v>0</v>
      </c>
      <c r="N9604" t="n">
        <v>0</v>
      </c>
      <c r="O9604" t="n">
        <v>0</v>
      </c>
      <c r="P9604" t="n">
        <v>0</v>
      </c>
      <c r="Q9604" t="n">
        <v>0</v>
      </c>
      <c r="R9604" s="2" t="inlineStr"/>
    </row>
    <row r="9605" ht="15" customHeight="1">
      <c r="A9605" t="inlineStr">
        <is>
          <t>A 7528-2022</t>
        </is>
      </c>
      <c r="B9605" s="1" t="n">
        <v>44607.50699074074</v>
      </c>
      <c r="C9605" s="1" t="n">
        <v>45952</v>
      </c>
      <c r="D9605" t="inlineStr">
        <is>
          <t>VÄSTRA GÖTALANDS LÄN</t>
        </is>
      </c>
      <c r="E9605" t="inlineStr">
        <is>
          <t>ULRICEHAMN</t>
        </is>
      </c>
      <c r="G9605" t="n">
        <v>0</v>
      </c>
      <c r="H9605" t="n">
        <v>0</v>
      </c>
      <c r="I9605" t="n">
        <v>0</v>
      </c>
      <c r="J9605" t="n">
        <v>0</v>
      </c>
      <c r="K9605" t="n">
        <v>0</v>
      </c>
      <c r="L9605" t="n">
        <v>0</v>
      </c>
      <c r="M9605" t="n">
        <v>0</v>
      </c>
      <c r="N9605" t="n">
        <v>0</v>
      </c>
      <c r="O9605" t="n">
        <v>0</v>
      </c>
      <c r="P9605" t="n">
        <v>0</v>
      </c>
      <c r="Q9605" t="n">
        <v>0</v>
      </c>
      <c r="R9605" s="2" t="inlineStr"/>
    </row>
    <row r="9606" ht="15" customHeight="1">
      <c r="A9606" t="inlineStr">
        <is>
          <t>A 39643-2023</t>
        </is>
      </c>
      <c r="B9606" s="1" t="n">
        <v>45167.54377314815</v>
      </c>
      <c r="C9606" s="1" t="n">
        <v>45952</v>
      </c>
      <c r="D9606" t="inlineStr">
        <is>
          <t>VÄSTRA GÖTALANDS LÄN</t>
        </is>
      </c>
      <c r="E9606" t="inlineStr">
        <is>
          <t>SVENLJUNGA</t>
        </is>
      </c>
      <c r="G9606" t="n">
        <v>1.5</v>
      </c>
      <c r="H9606" t="n">
        <v>0</v>
      </c>
      <c r="I9606" t="n">
        <v>0</v>
      </c>
      <c r="J9606" t="n">
        <v>0</v>
      </c>
      <c r="K9606" t="n">
        <v>0</v>
      </c>
      <c r="L9606" t="n">
        <v>0</v>
      </c>
      <c r="M9606" t="n">
        <v>0</v>
      </c>
      <c r="N9606" t="n">
        <v>0</v>
      </c>
      <c r="O9606" t="n">
        <v>0</v>
      </c>
      <c r="P9606" t="n">
        <v>0</v>
      </c>
      <c r="Q9606" t="n">
        <v>0</v>
      </c>
      <c r="R9606" s="2" t="inlineStr"/>
    </row>
    <row r="9607" ht="15" customHeight="1">
      <c r="A9607" t="inlineStr">
        <is>
          <t>A 2198-2024</t>
        </is>
      </c>
      <c r="B9607" s="1" t="n">
        <v>45309</v>
      </c>
      <c r="C9607" s="1" t="n">
        <v>45952</v>
      </c>
      <c r="D9607" t="inlineStr">
        <is>
          <t>VÄSTRA GÖTALANDS LÄN</t>
        </is>
      </c>
      <c r="E9607" t="inlineStr">
        <is>
          <t>BENGTSFORS</t>
        </is>
      </c>
      <c r="G9607" t="n">
        <v>4.7</v>
      </c>
      <c r="H9607" t="n">
        <v>0</v>
      </c>
      <c r="I9607" t="n">
        <v>0</v>
      </c>
      <c r="J9607" t="n">
        <v>0</v>
      </c>
      <c r="K9607" t="n">
        <v>0</v>
      </c>
      <c r="L9607" t="n">
        <v>0</v>
      </c>
      <c r="M9607" t="n">
        <v>0</v>
      </c>
      <c r="N9607" t="n">
        <v>0</v>
      </c>
      <c r="O9607" t="n">
        <v>0</v>
      </c>
      <c r="P9607" t="n">
        <v>0</v>
      </c>
      <c r="Q9607" t="n">
        <v>0</v>
      </c>
      <c r="R9607" s="2" t="inlineStr"/>
    </row>
    <row r="9608" ht="15" customHeight="1">
      <c r="A9608" t="inlineStr">
        <is>
          <t>A 17201-2025</t>
        </is>
      </c>
      <c r="B9608" s="1" t="n">
        <v>45756.42020833334</v>
      </c>
      <c r="C9608" s="1" t="n">
        <v>45952</v>
      </c>
      <c r="D9608" t="inlineStr">
        <is>
          <t>VÄSTRA GÖTALANDS LÄN</t>
        </is>
      </c>
      <c r="E9608" t="inlineStr">
        <is>
          <t>VÅRGÅRDA</t>
        </is>
      </c>
      <c r="G9608" t="n">
        <v>2.2</v>
      </c>
      <c r="H9608" t="n">
        <v>0</v>
      </c>
      <c r="I9608" t="n">
        <v>0</v>
      </c>
      <c r="J9608" t="n">
        <v>0</v>
      </c>
      <c r="K9608" t="n">
        <v>0</v>
      </c>
      <c r="L9608" t="n">
        <v>0</v>
      </c>
      <c r="M9608" t="n">
        <v>0</v>
      </c>
      <c r="N9608" t="n">
        <v>0</v>
      </c>
      <c r="O9608" t="n">
        <v>0</v>
      </c>
      <c r="P9608" t="n">
        <v>0</v>
      </c>
      <c r="Q9608" t="n">
        <v>0</v>
      </c>
      <c r="R9608" s="2" t="inlineStr"/>
    </row>
    <row r="9609" ht="15" customHeight="1">
      <c r="A9609" t="inlineStr">
        <is>
          <t>A 17219-2025</t>
        </is>
      </c>
      <c r="B9609" s="1" t="n">
        <v>45756.45190972222</v>
      </c>
      <c r="C9609" s="1" t="n">
        <v>45952</v>
      </c>
      <c r="D9609" t="inlineStr">
        <is>
          <t>VÄSTRA GÖTALANDS LÄN</t>
        </is>
      </c>
      <c r="E9609" t="inlineStr">
        <is>
          <t>GÖTENE</t>
        </is>
      </c>
      <c r="F9609" t="inlineStr">
        <is>
          <t>Sveaskog</t>
        </is>
      </c>
      <c r="G9609" t="n">
        <v>4.1</v>
      </c>
      <c r="H9609" t="n">
        <v>0</v>
      </c>
      <c r="I9609" t="n">
        <v>0</v>
      </c>
      <c r="J9609" t="n">
        <v>0</v>
      </c>
      <c r="K9609" t="n">
        <v>0</v>
      </c>
      <c r="L9609" t="n">
        <v>0</v>
      </c>
      <c r="M9609" t="n">
        <v>0</v>
      </c>
      <c r="N9609" t="n">
        <v>0</v>
      </c>
      <c r="O9609" t="n">
        <v>0</v>
      </c>
      <c r="P9609" t="n">
        <v>0</v>
      </c>
      <c r="Q9609" t="n">
        <v>0</v>
      </c>
      <c r="R9609" s="2" t="inlineStr"/>
    </row>
    <row r="9610" ht="15" customHeight="1">
      <c r="A9610" t="inlineStr">
        <is>
          <t>A 24242-2025</t>
        </is>
      </c>
      <c r="B9610" s="1" t="n">
        <v>45797.38863425926</v>
      </c>
      <c r="C9610" s="1" t="n">
        <v>45952</v>
      </c>
      <c r="D9610" t="inlineStr">
        <is>
          <t>VÄSTRA GÖTALANDS LÄN</t>
        </is>
      </c>
      <c r="E9610" t="inlineStr">
        <is>
          <t>LIDKÖPING</t>
        </is>
      </c>
      <c r="G9610" t="n">
        <v>3.9</v>
      </c>
      <c r="H9610" t="n">
        <v>0</v>
      </c>
      <c r="I9610" t="n">
        <v>0</v>
      </c>
      <c r="J9610" t="n">
        <v>0</v>
      </c>
      <c r="K9610" t="n">
        <v>0</v>
      </c>
      <c r="L9610" t="n">
        <v>0</v>
      </c>
      <c r="M9610" t="n">
        <v>0</v>
      </c>
      <c r="N9610" t="n">
        <v>0</v>
      </c>
      <c r="O9610" t="n">
        <v>0</v>
      </c>
      <c r="P9610" t="n">
        <v>0</v>
      </c>
      <c r="Q9610" t="n">
        <v>0</v>
      </c>
      <c r="R9610" s="2" t="inlineStr"/>
    </row>
    <row r="9611" ht="15" customHeight="1">
      <c r="A9611" t="inlineStr">
        <is>
          <t>A 24278-2025</t>
        </is>
      </c>
      <c r="B9611" s="1" t="n">
        <v>45797.4537037037</v>
      </c>
      <c r="C9611" s="1" t="n">
        <v>45952</v>
      </c>
      <c r="D9611" t="inlineStr">
        <is>
          <t>VÄSTRA GÖTALANDS LÄN</t>
        </is>
      </c>
      <c r="E9611" t="inlineStr">
        <is>
          <t>FALKÖPING</t>
        </is>
      </c>
      <c r="G9611" t="n">
        <v>1</v>
      </c>
      <c r="H9611" t="n">
        <v>0</v>
      </c>
      <c r="I9611" t="n">
        <v>0</v>
      </c>
      <c r="J9611" t="n">
        <v>0</v>
      </c>
      <c r="K9611" t="n">
        <v>0</v>
      </c>
      <c r="L9611" t="n">
        <v>0</v>
      </c>
      <c r="M9611" t="n">
        <v>0</v>
      </c>
      <c r="N9611" t="n">
        <v>0</v>
      </c>
      <c r="O9611" t="n">
        <v>0</v>
      </c>
      <c r="P9611" t="n">
        <v>0</v>
      </c>
      <c r="Q9611" t="n">
        <v>0</v>
      </c>
      <c r="R9611" s="2" t="inlineStr"/>
    </row>
    <row r="9612" ht="15" customHeight="1">
      <c r="A9612" t="inlineStr">
        <is>
          <t>A 24093-2025</t>
        </is>
      </c>
      <c r="B9612" s="1" t="n">
        <v>45796.57332175926</v>
      </c>
      <c r="C9612" s="1" t="n">
        <v>45952</v>
      </c>
      <c r="D9612" t="inlineStr">
        <is>
          <t>VÄSTRA GÖTALANDS LÄN</t>
        </is>
      </c>
      <c r="E9612" t="inlineStr">
        <is>
          <t>TRANEMO</t>
        </is>
      </c>
      <c r="G9612" t="n">
        <v>1.4</v>
      </c>
      <c r="H9612" t="n">
        <v>0</v>
      </c>
      <c r="I9612" t="n">
        <v>0</v>
      </c>
      <c r="J9612" t="n">
        <v>0</v>
      </c>
      <c r="K9612" t="n">
        <v>0</v>
      </c>
      <c r="L9612" t="n">
        <v>0</v>
      </c>
      <c r="M9612" t="n">
        <v>0</v>
      </c>
      <c r="N9612" t="n">
        <v>0</v>
      </c>
      <c r="O9612" t="n">
        <v>0</v>
      </c>
      <c r="P9612" t="n">
        <v>0</v>
      </c>
      <c r="Q9612" t="n">
        <v>0</v>
      </c>
      <c r="R9612" s="2" t="inlineStr"/>
    </row>
    <row r="9613" ht="15" customHeight="1">
      <c r="A9613" t="inlineStr">
        <is>
          <t>A 17491-2024</t>
        </is>
      </c>
      <c r="B9613" s="1" t="n">
        <v>45415.50266203703</v>
      </c>
      <c r="C9613" s="1" t="n">
        <v>45952</v>
      </c>
      <c r="D9613" t="inlineStr">
        <is>
          <t>VÄSTRA GÖTALANDS LÄN</t>
        </is>
      </c>
      <c r="E9613" t="inlineStr">
        <is>
          <t>SOTENÄS</t>
        </is>
      </c>
      <c r="G9613" t="n">
        <v>6.2</v>
      </c>
      <c r="H9613" t="n">
        <v>0</v>
      </c>
      <c r="I9613" t="n">
        <v>0</v>
      </c>
      <c r="J9613" t="n">
        <v>0</v>
      </c>
      <c r="K9613" t="n">
        <v>0</v>
      </c>
      <c r="L9613" t="n">
        <v>0</v>
      </c>
      <c r="M9613" t="n">
        <v>0</v>
      </c>
      <c r="N9613" t="n">
        <v>0</v>
      </c>
      <c r="O9613" t="n">
        <v>0</v>
      </c>
      <c r="P9613" t="n">
        <v>0</v>
      </c>
      <c r="Q9613" t="n">
        <v>0</v>
      </c>
      <c r="R9613" s="2" t="inlineStr"/>
    </row>
    <row r="9614" ht="15" customHeight="1">
      <c r="A9614" t="inlineStr">
        <is>
          <t>A 44878-2023</t>
        </is>
      </c>
      <c r="B9614" s="1" t="n">
        <v>45187</v>
      </c>
      <c r="C9614" s="1" t="n">
        <v>45952</v>
      </c>
      <c r="D9614" t="inlineStr">
        <is>
          <t>VÄSTRA GÖTALANDS LÄN</t>
        </is>
      </c>
      <c r="E9614" t="inlineStr">
        <is>
          <t>FALKÖPING</t>
        </is>
      </c>
      <c r="G9614" t="n">
        <v>1.5</v>
      </c>
      <c r="H9614" t="n">
        <v>0</v>
      </c>
      <c r="I9614" t="n">
        <v>0</v>
      </c>
      <c r="J9614" t="n">
        <v>0</v>
      </c>
      <c r="K9614" t="n">
        <v>0</v>
      </c>
      <c r="L9614" t="n">
        <v>0</v>
      </c>
      <c r="M9614" t="n">
        <v>0</v>
      </c>
      <c r="N9614" t="n">
        <v>0</v>
      </c>
      <c r="O9614" t="n">
        <v>0</v>
      </c>
      <c r="P9614" t="n">
        <v>0</v>
      </c>
      <c r="Q9614" t="n">
        <v>0</v>
      </c>
      <c r="R9614" s="2" t="inlineStr"/>
    </row>
    <row r="9615" ht="15" customHeight="1">
      <c r="A9615" t="inlineStr">
        <is>
          <t>A 39766-2023</t>
        </is>
      </c>
      <c r="B9615" s="1" t="n">
        <v>45167</v>
      </c>
      <c r="C9615" s="1" t="n">
        <v>45952</v>
      </c>
      <c r="D9615" t="inlineStr">
        <is>
          <t>VÄSTRA GÖTALANDS LÄN</t>
        </is>
      </c>
      <c r="E9615" t="inlineStr">
        <is>
          <t>MARIESTAD</t>
        </is>
      </c>
      <c r="G9615" t="n">
        <v>26.5</v>
      </c>
      <c r="H9615" t="n">
        <v>0</v>
      </c>
      <c r="I9615" t="n">
        <v>0</v>
      </c>
      <c r="J9615" t="n">
        <v>0</v>
      </c>
      <c r="K9615" t="n">
        <v>0</v>
      </c>
      <c r="L9615" t="n">
        <v>0</v>
      </c>
      <c r="M9615" t="n">
        <v>0</v>
      </c>
      <c r="N9615" t="n">
        <v>0</v>
      </c>
      <c r="O9615" t="n">
        <v>0</v>
      </c>
      <c r="P9615" t="n">
        <v>0</v>
      </c>
      <c r="Q9615" t="n">
        <v>0</v>
      </c>
      <c r="R9615" s="2" t="inlineStr"/>
    </row>
    <row r="9616" ht="15" customHeight="1">
      <c r="A9616" t="inlineStr">
        <is>
          <t>A 40433-2025</t>
        </is>
      </c>
      <c r="B9616" s="1" t="n">
        <v>45895</v>
      </c>
      <c r="C9616" s="1" t="n">
        <v>45952</v>
      </c>
      <c r="D9616" t="inlineStr">
        <is>
          <t>VÄSTRA GÖTALANDS LÄN</t>
        </is>
      </c>
      <c r="E9616" t="inlineStr">
        <is>
          <t>TANUM</t>
        </is>
      </c>
      <c r="G9616" t="n">
        <v>3</v>
      </c>
      <c r="H9616" t="n">
        <v>0</v>
      </c>
      <c r="I9616" t="n">
        <v>0</v>
      </c>
      <c r="J9616" t="n">
        <v>0</v>
      </c>
      <c r="K9616" t="n">
        <v>0</v>
      </c>
      <c r="L9616" t="n">
        <v>0</v>
      </c>
      <c r="M9616" t="n">
        <v>0</v>
      </c>
      <c r="N9616" t="n">
        <v>0</v>
      </c>
      <c r="O9616" t="n">
        <v>0</v>
      </c>
      <c r="P9616" t="n">
        <v>0</v>
      </c>
      <c r="Q9616" t="n">
        <v>0</v>
      </c>
      <c r="R9616" s="2" t="inlineStr"/>
    </row>
    <row r="9617" ht="15" customHeight="1">
      <c r="A9617" t="inlineStr">
        <is>
          <t>A 49262-2025</t>
        </is>
      </c>
      <c r="B9617" s="1" t="n">
        <v>45938.49927083333</v>
      </c>
      <c r="C9617" s="1" t="n">
        <v>45952</v>
      </c>
      <c r="D9617" t="inlineStr">
        <is>
          <t>VÄSTRA GÖTALANDS LÄN</t>
        </is>
      </c>
      <c r="E9617" t="inlineStr">
        <is>
          <t>BORÅS</t>
        </is>
      </c>
      <c r="G9617" t="n">
        <v>3.9</v>
      </c>
      <c r="H9617" t="n">
        <v>0</v>
      </c>
      <c r="I9617" t="n">
        <v>0</v>
      </c>
      <c r="J9617" t="n">
        <v>0</v>
      </c>
      <c r="K9617" t="n">
        <v>0</v>
      </c>
      <c r="L9617" t="n">
        <v>0</v>
      </c>
      <c r="M9617" t="n">
        <v>0</v>
      </c>
      <c r="N9617" t="n">
        <v>0</v>
      </c>
      <c r="O9617" t="n">
        <v>0</v>
      </c>
      <c r="P9617" t="n">
        <v>0</v>
      </c>
      <c r="Q9617" t="n">
        <v>0</v>
      </c>
      <c r="R9617" s="2" t="inlineStr"/>
    </row>
    <row r="9618" ht="15" customHeight="1">
      <c r="A9618" t="inlineStr">
        <is>
          <t>A 49277-2025</t>
        </is>
      </c>
      <c r="B9618" s="1" t="n">
        <v>45938.50756944445</v>
      </c>
      <c r="C9618" s="1" t="n">
        <v>45952</v>
      </c>
      <c r="D9618" t="inlineStr">
        <is>
          <t>VÄSTRA GÖTALANDS LÄN</t>
        </is>
      </c>
      <c r="E9618" t="inlineStr">
        <is>
          <t>BOLLEBYGD</t>
        </is>
      </c>
      <c r="G9618" t="n">
        <v>0.8</v>
      </c>
      <c r="H9618" t="n">
        <v>0</v>
      </c>
      <c r="I9618" t="n">
        <v>0</v>
      </c>
      <c r="J9618" t="n">
        <v>0</v>
      </c>
      <c r="K9618" t="n">
        <v>0</v>
      </c>
      <c r="L9618" t="n">
        <v>0</v>
      </c>
      <c r="M9618" t="n">
        <v>0</v>
      </c>
      <c r="N9618" t="n">
        <v>0</v>
      </c>
      <c r="O9618" t="n">
        <v>0</v>
      </c>
      <c r="P9618" t="n">
        <v>0</v>
      </c>
      <c r="Q9618" t="n">
        <v>0</v>
      </c>
      <c r="R9618" s="2" t="inlineStr"/>
    </row>
    <row r="9619" ht="15" customHeight="1">
      <c r="A9619" t="inlineStr">
        <is>
          <t>A 27231-2023</t>
        </is>
      </c>
      <c r="B9619" s="1" t="n">
        <v>45096.59550925926</v>
      </c>
      <c r="C9619" s="1" t="n">
        <v>45952</v>
      </c>
      <c r="D9619" t="inlineStr">
        <is>
          <t>VÄSTRA GÖTALANDS LÄN</t>
        </is>
      </c>
      <c r="E9619" t="inlineStr">
        <is>
          <t>TÖREBODA</t>
        </is>
      </c>
      <c r="F9619" t="inlineStr">
        <is>
          <t>Övriga statliga verk och myndigheter</t>
        </is>
      </c>
      <c r="G9619" t="n">
        <v>1</v>
      </c>
      <c r="H9619" t="n">
        <v>0</v>
      </c>
      <c r="I9619" t="n">
        <v>0</v>
      </c>
      <c r="J9619" t="n">
        <v>0</v>
      </c>
      <c r="K9619" t="n">
        <v>0</v>
      </c>
      <c r="L9619" t="n">
        <v>0</v>
      </c>
      <c r="M9619" t="n">
        <v>0</v>
      </c>
      <c r="N9619" t="n">
        <v>0</v>
      </c>
      <c r="O9619" t="n">
        <v>0</v>
      </c>
      <c r="P9619" t="n">
        <v>0</v>
      </c>
      <c r="Q9619" t="n">
        <v>0</v>
      </c>
      <c r="R9619" s="2" t="inlineStr"/>
    </row>
    <row r="9620" ht="15" customHeight="1">
      <c r="A9620" t="inlineStr">
        <is>
          <t>A 49687-2025</t>
        </is>
      </c>
      <c r="B9620" s="1" t="n">
        <v>45939.66118055556</v>
      </c>
      <c r="C9620" s="1" t="n">
        <v>45952</v>
      </c>
      <c r="D9620" t="inlineStr">
        <is>
          <t>VÄSTRA GÖTALANDS LÄN</t>
        </is>
      </c>
      <c r="E9620" t="inlineStr">
        <is>
          <t>TRANEMO</t>
        </is>
      </c>
      <c r="G9620" t="n">
        <v>0.6</v>
      </c>
      <c r="H9620" t="n">
        <v>0</v>
      </c>
      <c r="I9620" t="n">
        <v>0</v>
      </c>
      <c r="J9620" t="n">
        <v>0</v>
      </c>
      <c r="K9620" t="n">
        <v>0</v>
      </c>
      <c r="L9620" t="n">
        <v>0</v>
      </c>
      <c r="M9620" t="n">
        <v>0</v>
      </c>
      <c r="N9620" t="n">
        <v>0</v>
      </c>
      <c r="O9620" t="n">
        <v>0</v>
      </c>
      <c r="P9620" t="n">
        <v>0</v>
      </c>
      <c r="Q9620" t="n">
        <v>0</v>
      </c>
      <c r="R9620" s="2" t="inlineStr"/>
    </row>
    <row r="9621" ht="15" customHeight="1">
      <c r="A9621" t="inlineStr">
        <is>
          <t>A 44894-2023</t>
        </is>
      </c>
      <c r="B9621" s="1" t="n">
        <v>45190</v>
      </c>
      <c r="C9621" s="1" t="n">
        <v>45952</v>
      </c>
      <c r="D9621" t="inlineStr">
        <is>
          <t>VÄSTRA GÖTALANDS LÄN</t>
        </is>
      </c>
      <c r="E9621" t="inlineStr">
        <is>
          <t>TANUM</t>
        </is>
      </c>
      <c r="G9621" t="n">
        <v>3</v>
      </c>
      <c r="H9621" t="n">
        <v>0</v>
      </c>
      <c r="I9621" t="n">
        <v>0</v>
      </c>
      <c r="J9621" t="n">
        <v>0</v>
      </c>
      <c r="K9621" t="n">
        <v>0</v>
      </c>
      <c r="L9621" t="n">
        <v>0</v>
      </c>
      <c r="M9621" t="n">
        <v>0</v>
      </c>
      <c r="N9621" t="n">
        <v>0</v>
      </c>
      <c r="O9621" t="n">
        <v>0</v>
      </c>
      <c r="P9621" t="n">
        <v>0</v>
      </c>
      <c r="Q9621" t="n">
        <v>0</v>
      </c>
      <c r="R9621" s="2" t="inlineStr"/>
    </row>
    <row r="9622" ht="15" customHeight="1">
      <c r="A9622" t="inlineStr">
        <is>
          <t>A 24088-2024</t>
        </is>
      </c>
      <c r="B9622" s="1" t="n">
        <v>45456.58092592593</v>
      </c>
      <c r="C9622" s="1" t="n">
        <v>45952</v>
      </c>
      <c r="D9622" t="inlineStr">
        <is>
          <t>VÄSTRA GÖTALANDS LÄN</t>
        </is>
      </c>
      <c r="E9622" t="inlineStr">
        <is>
          <t>MUNKEDAL</t>
        </is>
      </c>
      <c r="G9622" t="n">
        <v>1.4</v>
      </c>
      <c r="H9622" t="n">
        <v>0</v>
      </c>
      <c r="I9622" t="n">
        <v>0</v>
      </c>
      <c r="J9622" t="n">
        <v>0</v>
      </c>
      <c r="K9622" t="n">
        <v>0</v>
      </c>
      <c r="L9622" t="n">
        <v>0</v>
      </c>
      <c r="M9622" t="n">
        <v>0</v>
      </c>
      <c r="N9622" t="n">
        <v>0</v>
      </c>
      <c r="O9622" t="n">
        <v>0</v>
      </c>
      <c r="P9622" t="n">
        <v>0</v>
      </c>
      <c r="Q9622" t="n">
        <v>0</v>
      </c>
      <c r="R9622" s="2" t="inlineStr"/>
    </row>
    <row r="9623" ht="15" customHeight="1">
      <c r="A9623" t="inlineStr">
        <is>
          <t>A 3110-2024</t>
        </is>
      </c>
      <c r="B9623" s="1" t="n">
        <v>45316</v>
      </c>
      <c r="C9623" s="1" t="n">
        <v>45952</v>
      </c>
      <c r="D9623" t="inlineStr">
        <is>
          <t>VÄSTRA GÖTALANDS LÄN</t>
        </is>
      </c>
      <c r="E9623" t="inlineStr">
        <is>
          <t>ULRICEHAMN</t>
        </is>
      </c>
      <c r="G9623" t="n">
        <v>0.6</v>
      </c>
      <c r="H9623" t="n">
        <v>0</v>
      </c>
      <c r="I9623" t="n">
        <v>0</v>
      </c>
      <c r="J9623" t="n">
        <v>0</v>
      </c>
      <c r="K9623" t="n">
        <v>0</v>
      </c>
      <c r="L9623" t="n">
        <v>0</v>
      </c>
      <c r="M9623" t="n">
        <v>0</v>
      </c>
      <c r="N9623" t="n">
        <v>0</v>
      </c>
      <c r="O9623" t="n">
        <v>0</v>
      </c>
      <c r="P9623" t="n">
        <v>0</v>
      </c>
      <c r="Q9623" t="n">
        <v>0</v>
      </c>
      <c r="R9623" s="2" t="inlineStr"/>
    </row>
    <row r="9624" ht="15" customHeight="1">
      <c r="A9624" t="inlineStr">
        <is>
          <t>A 49718-2025</t>
        </is>
      </c>
      <c r="B9624" s="1" t="n">
        <v>45939.76440972222</v>
      </c>
      <c r="C9624" s="1" t="n">
        <v>45952</v>
      </c>
      <c r="D9624" t="inlineStr">
        <is>
          <t>VÄSTRA GÖTALANDS LÄN</t>
        </is>
      </c>
      <c r="E9624" t="inlineStr">
        <is>
          <t>MELLERUD</t>
        </is>
      </c>
      <c r="G9624" t="n">
        <v>1.1</v>
      </c>
      <c r="H9624" t="n">
        <v>0</v>
      </c>
      <c r="I9624" t="n">
        <v>0</v>
      </c>
      <c r="J9624" t="n">
        <v>0</v>
      </c>
      <c r="K9624" t="n">
        <v>0</v>
      </c>
      <c r="L9624" t="n">
        <v>0</v>
      </c>
      <c r="M9624" t="n">
        <v>0</v>
      </c>
      <c r="N9624" t="n">
        <v>0</v>
      </c>
      <c r="O9624" t="n">
        <v>0</v>
      </c>
      <c r="P9624" t="n">
        <v>0</v>
      </c>
      <c r="Q9624" t="n">
        <v>0</v>
      </c>
      <c r="R9624" s="2" t="inlineStr"/>
    </row>
    <row r="9625" ht="15" customHeight="1">
      <c r="A9625" t="inlineStr">
        <is>
          <t>A 9756-2024</t>
        </is>
      </c>
      <c r="B9625" s="1" t="n">
        <v>45362</v>
      </c>
      <c r="C9625" s="1" t="n">
        <v>45952</v>
      </c>
      <c r="D9625" t="inlineStr">
        <is>
          <t>VÄSTRA GÖTALANDS LÄN</t>
        </is>
      </c>
      <c r="E9625" t="inlineStr">
        <is>
          <t>TRANEMO</t>
        </is>
      </c>
      <c r="G9625" t="n">
        <v>5.2</v>
      </c>
      <c r="H9625" t="n">
        <v>0</v>
      </c>
      <c r="I9625" t="n">
        <v>0</v>
      </c>
      <c r="J9625" t="n">
        <v>0</v>
      </c>
      <c r="K9625" t="n">
        <v>0</v>
      </c>
      <c r="L9625" t="n">
        <v>0</v>
      </c>
      <c r="M9625" t="n">
        <v>0</v>
      </c>
      <c r="N9625" t="n">
        <v>0</v>
      </c>
      <c r="O9625" t="n">
        <v>0</v>
      </c>
      <c r="P9625" t="n">
        <v>0</v>
      </c>
      <c r="Q9625" t="n">
        <v>0</v>
      </c>
      <c r="R9625" s="2" t="inlineStr"/>
    </row>
    <row r="9626" ht="15" customHeight="1">
      <c r="A9626" t="inlineStr">
        <is>
          <t>A 31384-2022</t>
        </is>
      </c>
      <c r="B9626" s="1" t="n">
        <v>44774</v>
      </c>
      <c r="C9626" s="1" t="n">
        <v>45952</v>
      </c>
      <c r="D9626" t="inlineStr">
        <is>
          <t>VÄSTRA GÖTALANDS LÄN</t>
        </is>
      </c>
      <c r="E9626" t="inlineStr">
        <is>
          <t>MARIESTAD</t>
        </is>
      </c>
      <c r="G9626" t="n">
        <v>1.8</v>
      </c>
      <c r="H9626" t="n">
        <v>0</v>
      </c>
      <c r="I9626" t="n">
        <v>0</v>
      </c>
      <c r="J9626" t="n">
        <v>0</v>
      </c>
      <c r="K9626" t="n">
        <v>0</v>
      </c>
      <c r="L9626" t="n">
        <v>0</v>
      </c>
      <c r="M9626" t="n">
        <v>0</v>
      </c>
      <c r="N9626" t="n">
        <v>0</v>
      </c>
      <c r="O9626" t="n">
        <v>0</v>
      </c>
      <c r="P9626" t="n">
        <v>0</v>
      </c>
      <c r="Q9626" t="n">
        <v>0</v>
      </c>
      <c r="R9626" s="2" t="inlineStr"/>
    </row>
    <row r="9627" ht="15" customHeight="1">
      <c r="A9627" t="inlineStr">
        <is>
          <t>A 74199-2021</t>
        </is>
      </c>
      <c r="B9627" s="1" t="n">
        <v>44558</v>
      </c>
      <c r="C9627" s="1" t="n">
        <v>45952</v>
      </c>
      <c r="D9627" t="inlineStr">
        <is>
          <t>VÄSTRA GÖTALANDS LÄN</t>
        </is>
      </c>
      <c r="E9627" t="inlineStr">
        <is>
          <t>ULRICEHAMN</t>
        </is>
      </c>
      <c r="G9627" t="n">
        <v>0.5</v>
      </c>
      <c r="H9627" t="n">
        <v>0</v>
      </c>
      <c r="I9627" t="n">
        <v>0</v>
      </c>
      <c r="J9627" t="n">
        <v>0</v>
      </c>
      <c r="K9627" t="n">
        <v>0</v>
      </c>
      <c r="L9627" t="n">
        <v>0</v>
      </c>
      <c r="M9627" t="n">
        <v>0</v>
      </c>
      <c r="N9627" t="n">
        <v>0</v>
      </c>
      <c r="O9627" t="n">
        <v>0</v>
      </c>
      <c r="P9627" t="n">
        <v>0</v>
      </c>
      <c r="Q9627" t="n">
        <v>0</v>
      </c>
      <c r="R9627" s="2" t="inlineStr"/>
    </row>
    <row r="9628" ht="15" customHeight="1">
      <c r="A9628" t="inlineStr">
        <is>
          <t>A 3162-2024</t>
        </is>
      </c>
      <c r="B9628" s="1" t="n">
        <v>45316.61636574074</v>
      </c>
      <c r="C9628" s="1" t="n">
        <v>45952</v>
      </c>
      <c r="D9628" t="inlineStr">
        <is>
          <t>VÄSTRA GÖTALANDS LÄN</t>
        </is>
      </c>
      <c r="E9628" t="inlineStr">
        <is>
          <t>TRANEMO</t>
        </is>
      </c>
      <c r="G9628" t="n">
        <v>3.7</v>
      </c>
      <c r="H9628" t="n">
        <v>0</v>
      </c>
      <c r="I9628" t="n">
        <v>0</v>
      </c>
      <c r="J9628" t="n">
        <v>0</v>
      </c>
      <c r="K9628" t="n">
        <v>0</v>
      </c>
      <c r="L9628" t="n">
        <v>0</v>
      </c>
      <c r="M9628" t="n">
        <v>0</v>
      </c>
      <c r="N9628" t="n">
        <v>0</v>
      </c>
      <c r="O9628" t="n">
        <v>0</v>
      </c>
      <c r="P9628" t="n">
        <v>0</v>
      </c>
      <c r="Q9628" t="n">
        <v>0</v>
      </c>
      <c r="R9628" s="2" t="inlineStr"/>
    </row>
    <row r="9629" ht="15" customHeight="1">
      <c r="A9629" t="inlineStr">
        <is>
          <t>A 48213-2025</t>
        </is>
      </c>
      <c r="B9629" s="1" t="n">
        <v>45933</v>
      </c>
      <c r="C9629" s="1" t="n">
        <v>45952</v>
      </c>
      <c r="D9629" t="inlineStr">
        <is>
          <t>VÄSTRA GÖTALANDS LÄN</t>
        </is>
      </c>
      <c r="E9629" t="inlineStr">
        <is>
          <t>ALE</t>
        </is>
      </c>
      <c r="G9629" t="n">
        <v>3.3</v>
      </c>
      <c r="H9629" t="n">
        <v>0</v>
      </c>
      <c r="I9629" t="n">
        <v>0</v>
      </c>
      <c r="J9629" t="n">
        <v>0</v>
      </c>
      <c r="K9629" t="n">
        <v>0</v>
      </c>
      <c r="L9629" t="n">
        <v>0</v>
      </c>
      <c r="M9629" t="n">
        <v>0</v>
      </c>
      <c r="N9629" t="n">
        <v>0</v>
      </c>
      <c r="O9629" t="n">
        <v>0</v>
      </c>
      <c r="P9629" t="n">
        <v>0</v>
      </c>
      <c r="Q9629" t="n">
        <v>0</v>
      </c>
      <c r="R9629" s="2" t="inlineStr"/>
    </row>
    <row r="9630" ht="15" customHeight="1">
      <c r="A9630" t="inlineStr">
        <is>
          <t>A 20391-2023</t>
        </is>
      </c>
      <c r="B9630" s="1" t="n">
        <v>45056.59340277778</v>
      </c>
      <c r="C9630" s="1" t="n">
        <v>45952</v>
      </c>
      <c r="D9630" t="inlineStr">
        <is>
          <t>VÄSTRA GÖTALANDS LÄN</t>
        </is>
      </c>
      <c r="E9630" t="inlineStr">
        <is>
          <t>TÖREBODA</t>
        </is>
      </c>
      <c r="G9630" t="n">
        <v>6.5</v>
      </c>
      <c r="H9630" t="n">
        <v>0</v>
      </c>
      <c r="I9630" t="n">
        <v>0</v>
      </c>
      <c r="J9630" t="n">
        <v>0</v>
      </c>
      <c r="K9630" t="n">
        <v>0</v>
      </c>
      <c r="L9630" t="n">
        <v>0</v>
      </c>
      <c r="M9630" t="n">
        <v>0</v>
      </c>
      <c r="N9630" t="n">
        <v>0</v>
      </c>
      <c r="O9630" t="n">
        <v>0</v>
      </c>
      <c r="P9630" t="n">
        <v>0</v>
      </c>
      <c r="Q9630" t="n">
        <v>0</v>
      </c>
      <c r="R9630" s="2" t="inlineStr"/>
    </row>
    <row r="9631" ht="15" customHeight="1">
      <c r="A9631" t="inlineStr">
        <is>
          <t>A 15458-2021</t>
        </is>
      </c>
      <c r="B9631" s="1" t="n">
        <v>44285</v>
      </c>
      <c r="C9631" s="1" t="n">
        <v>45952</v>
      </c>
      <c r="D9631" t="inlineStr">
        <is>
          <t>VÄSTRA GÖTALANDS LÄN</t>
        </is>
      </c>
      <c r="E9631" t="inlineStr">
        <is>
          <t>TANUM</t>
        </is>
      </c>
      <c r="G9631" t="n">
        <v>3.4</v>
      </c>
      <c r="H9631" t="n">
        <v>0</v>
      </c>
      <c r="I9631" t="n">
        <v>0</v>
      </c>
      <c r="J9631" t="n">
        <v>0</v>
      </c>
      <c r="K9631" t="n">
        <v>0</v>
      </c>
      <c r="L9631" t="n">
        <v>0</v>
      </c>
      <c r="M9631" t="n">
        <v>0</v>
      </c>
      <c r="N9631" t="n">
        <v>0</v>
      </c>
      <c r="O9631" t="n">
        <v>0</v>
      </c>
      <c r="P9631" t="n">
        <v>0</v>
      </c>
      <c r="Q9631" t="n">
        <v>0</v>
      </c>
      <c r="R9631" s="2" t="inlineStr"/>
    </row>
    <row r="9632" ht="15" customHeight="1">
      <c r="A9632" t="inlineStr">
        <is>
          <t>A 48218-2025</t>
        </is>
      </c>
      <c r="B9632" s="1" t="n">
        <v>45933</v>
      </c>
      <c r="C9632" s="1" t="n">
        <v>45952</v>
      </c>
      <c r="D9632" t="inlineStr">
        <is>
          <t>VÄSTRA GÖTALANDS LÄN</t>
        </is>
      </c>
      <c r="E9632" t="inlineStr">
        <is>
          <t>ALE</t>
        </is>
      </c>
      <c r="G9632" t="n">
        <v>1.4</v>
      </c>
      <c r="H9632" t="n">
        <v>0</v>
      </c>
      <c r="I9632" t="n">
        <v>0</v>
      </c>
      <c r="J9632" t="n">
        <v>0</v>
      </c>
      <c r="K9632" t="n">
        <v>0</v>
      </c>
      <c r="L9632" t="n">
        <v>0</v>
      </c>
      <c r="M9632" t="n">
        <v>0</v>
      </c>
      <c r="N9632" t="n">
        <v>0</v>
      </c>
      <c r="O9632" t="n">
        <v>0</v>
      </c>
      <c r="P9632" t="n">
        <v>0</v>
      </c>
      <c r="Q9632" t="n">
        <v>0</v>
      </c>
      <c r="R9632" s="2" t="inlineStr"/>
    </row>
    <row r="9633" ht="15" customHeight="1">
      <c r="A9633" t="inlineStr">
        <is>
          <t>A 19878-2024</t>
        </is>
      </c>
      <c r="B9633" s="1" t="n">
        <v>45433.47820601852</v>
      </c>
      <c r="C9633" s="1" t="n">
        <v>45952</v>
      </c>
      <c r="D9633" t="inlineStr">
        <is>
          <t>VÄSTRA GÖTALANDS LÄN</t>
        </is>
      </c>
      <c r="E9633" t="inlineStr">
        <is>
          <t>TRANEMO</t>
        </is>
      </c>
      <c r="G9633" t="n">
        <v>6.2</v>
      </c>
      <c r="H9633" t="n">
        <v>0</v>
      </c>
      <c r="I9633" t="n">
        <v>0</v>
      </c>
      <c r="J9633" t="n">
        <v>0</v>
      </c>
      <c r="K9633" t="n">
        <v>0</v>
      </c>
      <c r="L9633" t="n">
        <v>0</v>
      </c>
      <c r="M9633" t="n">
        <v>0</v>
      </c>
      <c r="N9633" t="n">
        <v>0</v>
      </c>
      <c r="O9633" t="n">
        <v>0</v>
      </c>
      <c r="P9633" t="n">
        <v>0</v>
      </c>
      <c r="Q9633" t="n">
        <v>0</v>
      </c>
      <c r="R9633" s="2" t="inlineStr"/>
    </row>
    <row r="9634" ht="15" customHeight="1">
      <c r="A9634" t="inlineStr">
        <is>
          <t>A 9374-2024</t>
        </is>
      </c>
      <c r="B9634" s="1" t="n">
        <v>45359</v>
      </c>
      <c r="C9634" s="1" t="n">
        <v>45952</v>
      </c>
      <c r="D9634" t="inlineStr">
        <is>
          <t>VÄSTRA GÖTALANDS LÄN</t>
        </is>
      </c>
      <c r="E9634" t="inlineStr">
        <is>
          <t>TIDAHOLM</t>
        </is>
      </c>
      <c r="G9634" t="n">
        <v>4.8</v>
      </c>
      <c r="H9634" t="n">
        <v>0</v>
      </c>
      <c r="I9634" t="n">
        <v>0</v>
      </c>
      <c r="J9634" t="n">
        <v>0</v>
      </c>
      <c r="K9634" t="n">
        <v>0</v>
      </c>
      <c r="L9634" t="n">
        <v>0</v>
      </c>
      <c r="M9634" t="n">
        <v>0</v>
      </c>
      <c r="N9634" t="n">
        <v>0</v>
      </c>
      <c r="O9634" t="n">
        <v>0</v>
      </c>
      <c r="P9634" t="n">
        <v>0</v>
      </c>
      <c r="Q9634" t="n">
        <v>0</v>
      </c>
      <c r="R9634" s="2" t="inlineStr"/>
    </row>
    <row r="9635" ht="15" customHeight="1">
      <c r="A9635" t="inlineStr">
        <is>
          <t>A 54740-2022</t>
        </is>
      </c>
      <c r="B9635" s="1" t="n">
        <v>44883</v>
      </c>
      <c r="C9635" s="1" t="n">
        <v>45952</v>
      </c>
      <c r="D9635" t="inlineStr">
        <is>
          <t>VÄSTRA GÖTALANDS LÄN</t>
        </is>
      </c>
      <c r="E9635" t="inlineStr">
        <is>
          <t>LYSEKIL</t>
        </is>
      </c>
      <c r="G9635" t="n">
        <v>5.1</v>
      </c>
      <c r="H9635" t="n">
        <v>0</v>
      </c>
      <c r="I9635" t="n">
        <v>0</v>
      </c>
      <c r="J9635" t="n">
        <v>0</v>
      </c>
      <c r="K9635" t="n">
        <v>0</v>
      </c>
      <c r="L9635" t="n">
        <v>0</v>
      </c>
      <c r="M9635" t="n">
        <v>0</v>
      </c>
      <c r="N9635" t="n">
        <v>0</v>
      </c>
      <c r="O9635" t="n">
        <v>0</v>
      </c>
      <c r="P9635" t="n">
        <v>0</v>
      </c>
      <c r="Q9635" t="n">
        <v>0</v>
      </c>
      <c r="R9635" s="2" t="inlineStr"/>
    </row>
    <row r="9636" ht="15" customHeight="1">
      <c r="A9636" t="inlineStr">
        <is>
          <t>A 9382-2024</t>
        </is>
      </c>
      <c r="B9636" s="1" t="n">
        <v>45359.37732638889</v>
      </c>
      <c r="C9636" s="1" t="n">
        <v>45952</v>
      </c>
      <c r="D9636" t="inlineStr">
        <is>
          <t>VÄSTRA GÖTALANDS LÄN</t>
        </is>
      </c>
      <c r="E9636" t="inlineStr">
        <is>
          <t>DALS-ED</t>
        </is>
      </c>
      <c r="G9636" t="n">
        <v>0.9</v>
      </c>
      <c r="H9636" t="n">
        <v>0</v>
      </c>
      <c r="I9636" t="n">
        <v>0</v>
      </c>
      <c r="J9636" t="n">
        <v>0</v>
      </c>
      <c r="K9636" t="n">
        <v>0</v>
      </c>
      <c r="L9636" t="n">
        <v>0</v>
      </c>
      <c r="M9636" t="n">
        <v>0</v>
      </c>
      <c r="N9636" t="n">
        <v>0</v>
      </c>
      <c r="O9636" t="n">
        <v>0</v>
      </c>
      <c r="P9636" t="n">
        <v>0</v>
      </c>
      <c r="Q9636" t="n">
        <v>0</v>
      </c>
      <c r="R9636" s="2" t="inlineStr"/>
    </row>
    <row r="9637" ht="15" customHeight="1">
      <c r="A9637" t="inlineStr">
        <is>
          <t>A 9411-2024</t>
        </is>
      </c>
      <c r="B9637" s="1" t="n">
        <v>45359.44168981481</v>
      </c>
      <c r="C9637" s="1" t="n">
        <v>45952</v>
      </c>
      <c r="D9637" t="inlineStr">
        <is>
          <t>VÄSTRA GÖTALANDS LÄN</t>
        </is>
      </c>
      <c r="E9637" t="inlineStr">
        <is>
          <t>VARA</t>
        </is>
      </c>
      <c r="G9637" t="n">
        <v>0.9</v>
      </c>
      <c r="H9637" t="n">
        <v>0</v>
      </c>
      <c r="I9637" t="n">
        <v>0</v>
      </c>
      <c r="J9637" t="n">
        <v>0</v>
      </c>
      <c r="K9637" t="n">
        <v>0</v>
      </c>
      <c r="L9637" t="n">
        <v>0</v>
      </c>
      <c r="M9637" t="n">
        <v>0</v>
      </c>
      <c r="N9637" t="n">
        <v>0</v>
      </c>
      <c r="O9637" t="n">
        <v>0</v>
      </c>
      <c r="P9637" t="n">
        <v>0</v>
      </c>
      <c r="Q9637" t="n">
        <v>0</v>
      </c>
      <c r="R9637" s="2" t="inlineStr"/>
    </row>
    <row r="9638" ht="15" customHeight="1">
      <c r="A9638" t="inlineStr">
        <is>
          <t>A 40887-2025</t>
        </is>
      </c>
      <c r="B9638" s="1" t="n">
        <v>45897.60409722223</v>
      </c>
      <c r="C9638" s="1" t="n">
        <v>45952</v>
      </c>
      <c r="D9638" t="inlineStr">
        <is>
          <t>VÄSTRA GÖTALANDS LÄN</t>
        </is>
      </c>
      <c r="E9638" t="inlineStr">
        <is>
          <t>TRANEMO</t>
        </is>
      </c>
      <c r="F9638" t="inlineStr">
        <is>
          <t>Sveaskog</t>
        </is>
      </c>
      <c r="G9638" t="n">
        <v>1</v>
      </c>
      <c r="H9638" t="n">
        <v>0</v>
      </c>
      <c r="I9638" t="n">
        <v>0</v>
      </c>
      <c r="J9638" t="n">
        <v>0</v>
      </c>
      <c r="K9638" t="n">
        <v>0</v>
      </c>
      <c r="L9638" t="n">
        <v>0</v>
      </c>
      <c r="M9638" t="n">
        <v>0</v>
      </c>
      <c r="N9638" t="n">
        <v>0</v>
      </c>
      <c r="O9638" t="n">
        <v>0</v>
      </c>
      <c r="P9638" t="n">
        <v>0</v>
      </c>
      <c r="Q9638" t="n">
        <v>0</v>
      </c>
      <c r="R9638" s="2" t="inlineStr"/>
    </row>
    <row r="9639" ht="15" customHeight="1">
      <c r="A9639" t="inlineStr">
        <is>
          <t>A 40929-2025</t>
        </is>
      </c>
      <c r="B9639" s="1" t="n">
        <v>45897.64601851852</v>
      </c>
      <c r="C9639" s="1" t="n">
        <v>45952</v>
      </c>
      <c r="D9639" t="inlineStr">
        <is>
          <t>VÄSTRA GÖTALANDS LÄN</t>
        </is>
      </c>
      <c r="E9639" t="inlineStr">
        <is>
          <t>HERRLJUNGA</t>
        </is>
      </c>
      <c r="G9639" t="n">
        <v>0.9</v>
      </c>
      <c r="H9639" t="n">
        <v>0</v>
      </c>
      <c r="I9639" t="n">
        <v>0</v>
      </c>
      <c r="J9639" t="n">
        <v>0</v>
      </c>
      <c r="K9639" t="n">
        <v>0</v>
      </c>
      <c r="L9639" t="n">
        <v>0</v>
      </c>
      <c r="M9639" t="n">
        <v>0</v>
      </c>
      <c r="N9639" t="n">
        <v>0</v>
      </c>
      <c r="O9639" t="n">
        <v>0</v>
      </c>
      <c r="P9639" t="n">
        <v>0</v>
      </c>
      <c r="Q9639" t="n">
        <v>0</v>
      </c>
      <c r="R9639" s="2" t="inlineStr"/>
    </row>
    <row r="9640" ht="15" customHeight="1">
      <c r="A9640" t="inlineStr">
        <is>
          <t>A 49269-2025</t>
        </is>
      </c>
      <c r="B9640" s="1" t="n">
        <v>45938.50247685185</v>
      </c>
      <c r="C9640" s="1" t="n">
        <v>45952</v>
      </c>
      <c r="D9640" t="inlineStr">
        <is>
          <t>VÄSTRA GÖTALANDS LÄN</t>
        </is>
      </c>
      <c r="E9640" t="inlineStr">
        <is>
          <t>BOLLEBYGD</t>
        </is>
      </c>
      <c r="G9640" t="n">
        <v>0.4</v>
      </c>
      <c r="H9640" t="n">
        <v>0</v>
      </c>
      <c r="I9640" t="n">
        <v>0</v>
      </c>
      <c r="J9640" t="n">
        <v>0</v>
      </c>
      <c r="K9640" t="n">
        <v>0</v>
      </c>
      <c r="L9640" t="n">
        <v>0</v>
      </c>
      <c r="M9640" t="n">
        <v>0</v>
      </c>
      <c r="N9640" t="n">
        <v>0</v>
      </c>
      <c r="O9640" t="n">
        <v>0</v>
      </c>
      <c r="P9640" t="n">
        <v>0</v>
      </c>
      <c r="Q9640" t="n">
        <v>0</v>
      </c>
      <c r="R9640" s="2" t="inlineStr"/>
    </row>
    <row r="9641" ht="15" customHeight="1">
      <c r="A9641" t="inlineStr">
        <is>
          <t>A 8893-2024</t>
        </is>
      </c>
      <c r="B9641" s="1" t="n">
        <v>45355</v>
      </c>
      <c r="C9641" s="1" t="n">
        <v>45952</v>
      </c>
      <c r="D9641" t="inlineStr">
        <is>
          <t>VÄSTRA GÖTALANDS LÄN</t>
        </is>
      </c>
      <c r="E9641" t="inlineStr">
        <is>
          <t>UDDEVALLA</t>
        </is>
      </c>
      <c r="F9641" t="inlineStr">
        <is>
          <t>Kyrkan</t>
        </is>
      </c>
      <c r="G9641" t="n">
        <v>1.6</v>
      </c>
      <c r="H9641" t="n">
        <v>0</v>
      </c>
      <c r="I9641" t="n">
        <v>0</v>
      </c>
      <c r="J9641" t="n">
        <v>0</v>
      </c>
      <c r="K9641" t="n">
        <v>0</v>
      </c>
      <c r="L9641" t="n">
        <v>0</v>
      </c>
      <c r="M9641" t="n">
        <v>0</v>
      </c>
      <c r="N9641" t="n">
        <v>0</v>
      </c>
      <c r="O9641" t="n">
        <v>0</v>
      </c>
      <c r="P9641" t="n">
        <v>0</v>
      </c>
      <c r="Q9641" t="n">
        <v>0</v>
      </c>
      <c r="R9641" s="2" t="inlineStr"/>
    </row>
    <row r="9642" ht="15" customHeight="1">
      <c r="A9642" t="inlineStr">
        <is>
          <t>A 19951-2024</t>
        </is>
      </c>
      <c r="B9642" s="1" t="n">
        <v>45433.62548611111</v>
      </c>
      <c r="C9642" s="1" t="n">
        <v>45952</v>
      </c>
      <c r="D9642" t="inlineStr">
        <is>
          <t>VÄSTRA GÖTALANDS LÄN</t>
        </is>
      </c>
      <c r="E9642" t="inlineStr">
        <is>
          <t>BENGTSFORS</t>
        </is>
      </c>
      <c r="G9642" t="n">
        <v>0</v>
      </c>
      <c r="H9642" t="n">
        <v>0</v>
      </c>
      <c r="I9642" t="n">
        <v>0</v>
      </c>
      <c r="J9642" t="n">
        <v>0</v>
      </c>
      <c r="K9642" t="n">
        <v>0</v>
      </c>
      <c r="L9642" t="n">
        <v>0</v>
      </c>
      <c r="M9642" t="n">
        <v>0</v>
      </c>
      <c r="N9642" t="n">
        <v>0</v>
      </c>
      <c r="O9642" t="n">
        <v>0</v>
      </c>
      <c r="P9642" t="n">
        <v>0</v>
      </c>
      <c r="Q9642" t="n">
        <v>0</v>
      </c>
      <c r="R9642" s="2" t="inlineStr"/>
    </row>
    <row r="9643" ht="15" customHeight="1">
      <c r="A9643" t="inlineStr">
        <is>
          <t>A 40535-2025</t>
        </is>
      </c>
      <c r="B9643" s="1" t="n">
        <v>45896</v>
      </c>
      <c r="C9643" s="1" t="n">
        <v>45952</v>
      </c>
      <c r="D9643" t="inlineStr">
        <is>
          <t>VÄSTRA GÖTALANDS LÄN</t>
        </is>
      </c>
      <c r="E9643" t="inlineStr">
        <is>
          <t>GULLSPÅNG</t>
        </is>
      </c>
      <c r="G9643" t="n">
        <v>3.1</v>
      </c>
      <c r="H9643" t="n">
        <v>0</v>
      </c>
      <c r="I9643" t="n">
        <v>0</v>
      </c>
      <c r="J9643" t="n">
        <v>0</v>
      </c>
      <c r="K9643" t="n">
        <v>0</v>
      </c>
      <c r="L9643" t="n">
        <v>0</v>
      </c>
      <c r="M9643" t="n">
        <v>0</v>
      </c>
      <c r="N9643" t="n">
        <v>0</v>
      </c>
      <c r="O9643" t="n">
        <v>0</v>
      </c>
      <c r="P9643" t="n">
        <v>0</v>
      </c>
      <c r="Q9643" t="n">
        <v>0</v>
      </c>
      <c r="R9643" s="2" t="inlineStr"/>
    </row>
    <row r="9644" ht="15" customHeight="1">
      <c r="A9644" t="inlineStr">
        <is>
          <t>A 49418-2025</t>
        </is>
      </c>
      <c r="B9644" s="1" t="n">
        <v>45938.69974537037</v>
      </c>
      <c r="C9644" s="1" t="n">
        <v>45952</v>
      </c>
      <c r="D9644" t="inlineStr">
        <is>
          <t>VÄSTRA GÖTALANDS LÄN</t>
        </is>
      </c>
      <c r="E9644" t="inlineStr">
        <is>
          <t>ALINGSÅS</t>
        </is>
      </c>
      <c r="G9644" t="n">
        <v>1</v>
      </c>
      <c r="H9644" t="n">
        <v>0</v>
      </c>
      <c r="I9644" t="n">
        <v>0</v>
      </c>
      <c r="J9644" t="n">
        <v>0</v>
      </c>
      <c r="K9644" t="n">
        <v>0</v>
      </c>
      <c r="L9644" t="n">
        <v>0</v>
      </c>
      <c r="M9644" t="n">
        <v>0</v>
      </c>
      <c r="N9644" t="n">
        <v>0</v>
      </c>
      <c r="O9644" t="n">
        <v>0</v>
      </c>
      <c r="P9644" t="n">
        <v>0</v>
      </c>
      <c r="Q9644" t="n">
        <v>0</v>
      </c>
      <c r="R9644" s="2" t="inlineStr"/>
    </row>
    <row r="9645" ht="15" customHeight="1">
      <c r="A9645" t="inlineStr">
        <is>
          <t>A 8977-2024</t>
        </is>
      </c>
      <c r="B9645" s="1" t="n">
        <v>45357.50591435185</v>
      </c>
      <c r="C9645" s="1" t="n">
        <v>45952</v>
      </c>
      <c r="D9645" t="inlineStr">
        <is>
          <t>VÄSTRA GÖTALANDS LÄN</t>
        </is>
      </c>
      <c r="E9645" t="inlineStr">
        <is>
          <t>ULRICEHAMN</t>
        </is>
      </c>
      <c r="F9645" t="inlineStr">
        <is>
          <t>Sveaskog</t>
        </is>
      </c>
      <c r="G9645" t="n">
        <v>2.5</v>
      </c>
      <c r="H9645" t="n">
        <v>0</v>
      </c>
      <c r="I9645" t="n">
        <v>0</v>
      </c>
      <c r="J9645" t="n">
        <v>0</v>
      </c>
      <c r="K9645" t="n">
        <v>0</v>
      </c>
      <c r="L9645" t="n">
        <v>0</v>
      </c>
      <c r="M9645" t="n">
        <v>0</v>
      </c>
      <c r="N9645" t="n">
        <v>0</v>
      </c>
      <c r="O9645" t="n">
        <v>0</v>
      </c>
      <c r="P9645" t="n">
        <v>0</v>
      </c>
      <c r="Q9645" t="n">
        <v>0</v>
      </c>
      <c r="R9645" s="2" t="inlineStr"/>
    </row>
    <row r="9646" ht="15" customHeight="1">
      <c r="A9646" t="inlineStr">
        <is>
          <t>A 52704-2023</t>
        </is>
      </c>
      <c r="B9646" s="1" t="n">
        <v>45225.81679398148</v>
      </c>
      <c r="C9646" s="1" t="n">
        <v>45952</v>
      </c>
      <c r="D9646" t="inlineStr">
        <is>
          <t>VÄSTRA GÖTALANDS LÄN</t>
        </is>
      </c>
      <c r="E9646" t="inlineStr">
        <is>
          <t>FALKÖPING</t>
        </is>
      </c>
      <c r="G9646" t="n">
        <v>2.2</v>
      </c>
      <c r="H9646" t="n">
        <v>0</v>
      </c>
      <c r="I9646" t="n">
        <v>0</v>
      </c>
      <c r="J9646" t="n">
        <v>0</v>
      </c>
      <c r="K9646" t="n">
        <v>0</v>
      </c>
      <c r="L9646" t="n">
        <v>0</v>
      </c>
      <c r="M9646" t="n">
        <v>0</v>
      </c>
      <c r="N9646" t="n">
        <v>0</v>
      </c>
      <c r="O9646" t="n">
        <v>0</v>
      </c>
      <c r="P9646" t="n">
        <v>0</v>
      </c>
      <c r="Q9646" t="n">
        <v>0</v>
      </c>
      <c r="R9646" s="2" t="inlineStr"/>
    </row>
    <row r="9647" ht="15" customHeight="1">
      <c r="A9647" t="inlineStr">
        <is>
          <t>A 35069-2023</t>
        </is>
      </c>
      <c r="B9647" s="1" t="n">
        <v>45142</v>
      </c>
      <c r="C9647" s="1" t="n">
        <v>45952</v>
      </c>
      <c r="D9647" t="inlineStr">
        <is>
          <t>VÄSTRA GÖTALANDS LÄN</t>
        </is>
      </c>
      <c r="E9647" t="inlineStr">
        <is>
          <t>SKÖVDE</t>
        </is>
      </c>
      <c r="G9647" t="n">
        <v>3.5</v>
      </c>
      <c r="H9647" t="n">
        <v>0</v>
      </c>
      <c r="I9647" t="n">
        <v>0</v>
      </c>
      <c r="J9647" t="n">
        <v>0</v>
      </c>
      <c r="K9647" t="n">
        <v>0</v>
      </c>
      <c r="L9647" t="n">
        <v>0</v>
      </c>
      <c r="M9647" t="n">
        <v>0</v>
      </c>
      <c r="N9647" t="n">
        <v>0</v>
      </c>
      <c r="O9647" t="n">
        <v>0</v>
      </c>
      <c r="P9647" t="n">
        <v>0</v>
      </c>
      <c r="Q9647" t="n">
        <v>0</v>
      </c>
      <c r="R9647" s="2" t="inlineStr"/>
    </row>
    <row r="9648" ht="15" customHeight="1">
      <c r="A9648" t="inlineStr">
        <is>
          <t>A 44033-2023</t>
        </is>
      </c>
      <c r="B9648" s="1" t="n">
        <v>45182</v>
      </c>
      <c r="C9648" s="1" t="n">
        <v>45952</v>
      </c>
      <c r="D9648" t="inlineStr">
        <is>
          <t>VÄSTRA GÖTALANDS LÄN</t>
        </is>
      </c>
      <c r="E9648" t="inlineStr">
        <is>
          <t>SVENLJUNGA</t>
        </is>
      </c>
      <c r="F9648" t="inlineStr">
        <is>
          <t>Kyrkan</t>
        </is>
      </c>
      <c r="G9648" t="n">
        <v>2</v>
      </c>
      <c r="H9648" t="n">
        <v>0</v>
      </c>
      <c r="I9648" t="n">
        <v>0</v>
      </c>
      <c r="J9648" t="n">
        <v>0</v>
      </c>
      <c r="K9648" t="n">
        <v>0</v>
      </c>
      <c r="L9648" t="n">
        <v>0</v>
      </c>
      <c r="M9648" t="n">
        <v>0</v>
      </c>
      <c r="N9648" t="n">
        <v>0</v>
      </c>
      <c r="O9648" t="n">
        <v>0</v>
      </c>
      <c r="P9648" t="n">
        <v>0</v>
      </c>
      <c r="Q9648" t="n">
        <v>0</v>
      </c>
      <c r="R9648" s="2" t="inlineStr"/>
    </row>
    <row r="9649" ht="15" customHeight="1">
      <c r="A9649" t="inlineStr">
        <is>
          <t>A 24306-2025</t>
        </is>
      </c>
      <c r="B9649" s="1" t="n">
        <v>45797.49297453704</v>
      </c>
      <c r="C9649" s="1" t="n">
        <v>45952</v>
      </c>
      <c r="D9649" t="inlineStr">
        <is>
          <t>VÄSTRA GÖTALANDS LÄN</t>
        </is>
      </c>
      <c r="E9649" t="inlineStr">
        <is>
          <t>ULRICEHAMN</t>
        </is>
      </c>
      <c r="F9649" t="inlineStr">
        <is>
          <t>Sveaskog</t>
        </is>
      </c>
      <c r="G9649" t="n">
        <v>1.1</v>
      </c>
      <c r="H9649" t="n">
        <v>0</v>
      </c>
      <c r="I9649" t="n">
        <v>0</v>
      </c>
      <c r="J9649" t="n">
        <v>0</v>
      </c>
      <c r="K9649" t="n">
        <v>0</v>
      </c>
      <c r="L9649" t="n">
        <v>0</v>
      </c>
      <c r="M9649" t="n">
        <v>0</v>
      </c>
      <c r="N9649" t="n">
        <v>0</v>
      </c>
      <c r="O9649" t="n">
        <v>0</v>
      </c>
      <c r="P9649" t="n">
        <v>0</v>
      </c>
      <c r="Q9649" t="n">
        <v>0</v>
      </c>
      <c r="R9649" s="2" t="inlineStr"/>
    </row>
    <row r="9650" ht="15" customHeight="1">
      <c r="A9650" t="inlineStr">
        <is>
          <t>A 49419-2025</t>
        </is>
      </c>
      <c r="B9650" s="1" t="n">
        <v>45938.70142361111</v>
      </c>
      <c r="C9650" s="1" t="n">
        <v>45952</v>
      </c>
      <c r="D9650" t="inlineStr">
        <is>
          <t>VÄSTRA GÖTALANDS LÄN</t>
        </is>
      </c>
      <c r="E9650" t="inlineStr">
        <is>
          <t>ALINGSÅS</t>
        </is>
      </c>
      <c r="G9650" t="n">
        <v>2.9</v>
      </c>
      <c r="H9650" t="n">
        <v>0</v>
      </c>
      <c r="I9650" t="n">
        <v>0</v>
      </c>
      <c r="J9650" t="n">
        <v>0</v>
      </c>
      <c r="K9650" t="n">
        <v>0</v>
      </c>
      <c r="L9650" t="n">
        <v>0</v>
      </c>
      <c r="M9650" t="n">
        <v>0</v>
      </c>
      <c r="N9650" t="n">
        <v>0</v>
      </c>
      <c r="O9650" t="n">
        <v>0</v>
      </c>
      <c r="P9650" t="n">
        <v>0</v>
      </c>
      <c r="Q9650" t="n">
        <v>0</v>
      </c>
      <c r="R9650" s="2" t="inlineStr"/>
    </row>
    <row r="9651" ht="15" customHeight="1">
      <c r="A9651" t="inlineStr">
        <is>
          <t>A 49429-2025</t>
        </is>
      </c>
      <c r="B9651" s="1" t="n">
        <v>45938.7903125</v>
      </c>
      <c r="C9651" s="1" t="n">
        <v>45952</v>
      </c>
      <c r="D9651" t="inlineStr">
        <is>
          <t>VÄSTRA GÖTALANDS LÄN</t>
        </is>
      </c>
      <c r="E9651" t="inlineStr">
        <is>
          <t>MELLERUD</t>
        </is>
      </c>
      <c r="G9651" t="n">
        <v>0.9</v>
      </c>
      <c r="H9651" t="n">
        <v>0</v>
      </c>
      <c r="I9651" t="n">
        <v>0</v>
      </c>
      <c r="J9651" t="n">
        <v>0</v>
      </c>
      <c r="K9651" t="n">
        <v>0</v>
      </c>
      <c r="L9651" t="n">
        <v>0</v>
      </c>
      <c r="M9651" t="n">
        <v>0</v>
      </c>
      <c r="N9651" t="n">
        <v>0</v>
      </c>
      <c r="O9651" t="n">
        <v>0</v>
      </c>
      <c r="P9651" t="n">
        <v>0</v>
      </c>
      <c r="Q9651" t="n">
        <v>0</v>
      </c>
      <c r="R9651" s="2" t="inlineStr"/>
    </row>
    <row r="9652" ht="15" customHeight="1">
      <c r="A9652" t="inlineStr">
        <is>
          <t>A 32286-2024</t>
        </is>
      </c>
      <c r="B9652" s="1" t="n">
        <v>45512.4183449074</v>
      </c>
      <c r="C9652" s="1" t="n">
        <v>45952</v>
      </c>
      <c r="D9652" t="inlineStr">
        <is>
          <t>VÄSTRA GÖTALANDS LÄN</t>
        </is>
      </c>
      <c r="E9652" t="inlineStr">
        <is>
          <t>ALINGSÅS</t>
        </is>
      </c>
      <c r="G9652" t="n">
        <v>2.3</v>
      </c>
      <c r="H9652" t="n">
        <v>0</v>
      </c>
      <c r="I9652" t="n">
        <v>0</v>
      </c>
      <c r="J9652" t="n">
        <v>0</v>
      </c>
      <c r="K9652" t="n">
        <v>0</v>
      </c>
      <c r="L9652" t="n">
        <v>0</v>
      </c>
      <c r="M9652" t="n">
        <v>0</v>
      </c>
      <c r="N9652" t="n">
        <v>0</v>
      </c>
      <c r="O9652" t="n">
        <v>0</v>
      </c>
      <c r="P9652" t="n">
        <v>0</v>
      </c>
      <c r="Q9652" t="n">
        <v>0</v>
      </c>
      <c r="R9652" s="2" t="inlineStr"/>
    </row>
    <row r="9653" ht="15" customHeight="1">
      <c r="A9653" t="inlineStr">
        <is>
          <t>A 20533-2024</t>
        </is>
      </c>
      <c r="B9653" s="1" t="n">
        <v>45436.29416666667</v>
      </c>
      <c r="C9653" s="1" t="n">
        <v>45952</v>
      </c>
      <c r="D9653" t="inlineStr">
        <is>
          <t>VÄSTRA GÖTALANDS LÄN</t>
        </is>
      </c>
      <c r="E9653" t="inlineStr">
        <is>
          <t>TRANEMO</t>
        </is>
      </c>
      <c r="G9653" t="n">
        <v>7.7</v>
      </c>
      <c r="H9653" t="n">
        <v>0</v>
      </c>
      <c r="I9653" t="n">
        <v>0</v>
      </c>
      <c r="J9653" t="n">
        <v>0</v>
      </c>
      <c r="K9653" t="n">
        <v>0</v>
      </c>
      <c r="L9653" t="n">
        <v>0</v>
      </c>
      <c r="M9653" t="n">
        <v>0</v>
      </c>
      <c r="N9653" t="n">
        <v>0</v>
      </c>
      <c r="O9653" t="n">
        <v>0</v>
      </c>
      <c r="P9653" t="n">
        <v>0</v>
      </c>
      <c r="Q9653" t="n">
        <v>0</v>
      </c>
      <c r="R9653" s="2" t="inlineStr"/>
    </row>
    <row r="9654" ht="15" customHeight="1">
      <c r="A9654" t="inlineStr">
        <is>
          <t>A 12972-2025</t>
        </is>
      </c>
      <c r="B9654" s="1" t="n">
        <v>45734.43846064815</v>
      </c>
      <c r="C9654" s="1" t="n">
        <v>45952</v>
      </c>
      <c r="D9654" t="inlineStr">
        <is>
          <t>VÄSTRA GÖTALANDS LÄN</t>
        </is>
      </c>
      <c r="E9654" t="inlineStr">
        <is>
          <t>SKÖVDE</t>
        </is>
      </c>
      <c r="F9654" t="inlineStr">
        <is>
          <t>Kommuner</t>
        </is>
      </c>
      <c r="G9654" t="n">
        <v>1.7</v>
      </c>
      <c r="H9654" t="n">
        <v>0</v>
      </c>
      <c r="I9654" t="n">
        <v>0</v>
      </c>
      <c r="J9654" t="n">
        <v>0</v>
      </c>
      <c r="K9654" t="n">
        <v>0</v>
      </c>
      <c r="L9654" t="n">
        <v>0</v>
      </c>
      <c r="M9654" t="n">
        <v>0</v>
      </c>
      <c r="N9654" t="n">
        <v>0</v>
      </c>
      <c r="O9654" t="n">
        <v>0</v>
      </c>
      <c r="P9654" t="n">
        <v>0</v>
      </c>
      <c r="Q9654" t="n">
        <v>0</v>
      </c>
      <c r="R9654" s="2" t="inlineStr"/>
    </row>
    <row r="9655" ht="15" customHeight="1">
      <c r="A9655" t="inlineStr">
        <is>
          <t>A 3048-2025</t>
        </is>
      </c>
      <c r="B9655" s="1" t="n">
        <v>45678</v>
      </c>
      <c r="C9655" s="1" t="n">
        <v>45952</v>
      </c>
      <c r="D9655" t="inlineStr">
        <is>
          <t>VÄSTRA GÖTALANDS LÄN</t>
        </is>
      </c>
      <c r="E9655" t="inlineStr">
        <is>
          <t>BORÅS</t>
        </is>
      </c>
      <c r="F9655" t="inlineStr">
        <is>
          <t>Kommuner</t>
        </is>
      </c>
      <c r="G9655" t="n">
        <v>2.1</v>
      </c>
      <c r="H9655" t="n">
        <v>0</v>
      </c>
      <c r="I9655" t="n">
        <v>0</v>
      </c>
      <c r="J9655" t="n">
        <v>0</v>
      </c>
      <c r="K9655" t="n">
        <v>0</v>
      </c>
      <c r="L9655" t="n">
        <v>0</v>
      </c>
      <c r="M9655" t="n">
        <v>0</v>
      </c>
      <c r="N9655" t="n">
        <v>0</v>
      </c>
      <c r="O9655" t="n">
        <v>0</v>
      </c>
      <c r="P9655" t="n">
        <v>0</v>
      </c>
      <c r="Q9655" t="n">
        <v>0</v>
      </c>
      <c r="R9655" s="2" t="inlineStr"/>
    </row>
    <row r="9656" ht="15" customHeight="1">
      <c r="A9656" t="inlineStr">
        <is>
          <t>A 24449-2023</t>
        </is>
      </c>
      <c r="B9656" s="1" t="n">
        <v>45076</v>
      </c>
      <c r="C9656" s="1" t="n">
        <v>45952</v>
      </c>
      <c r="D9656" t="inlineStr">
        <is>
          <t>VÄSTRA GÖTALANDS LÄN</t>
        </is>
      </c>
      <c r="E9656" t="inlineStr">
        <is>
          <t>MARK</t>
        </is>
      </c>
      <c r="G9656" t="n">
        <v>1.1</v>
      </c>
      <c r="H9656" t="n">
        <v>0</v>
      </c>
      <c r="I9656" t="n">
        <v>0</v>
      </c>
      <c r="J9656" t="n">
        <v>0</v>
      </c>
      <c r="K9656" t="n">
        <v>0</v>
      </c>
      <c r="L9656" t="n">
        <v>0</v>
      </c>
      <c r="M9656" t="n">
        <v>0</v>
      </c>
      <c r="N9656" t="n">
        <v>0</v>
      </c>
      <c r="O9656" t="n">
        <v>0</v>
      </c>
      <c r="P9656" t="n">
        <v>0</v>
      </c>
      <c r="Q9656" t="n">
        <v>0</v>
      </c>
      <c r="R9656" s="2" t="inlineStr"/>
    </row>
    <row r="9657" ht="15" customHeight="1">
      <c r="A9657" t="inlineStr">
        <is>
          <t>A 24475-2023</t>
        </is>
      </c>
      <c r="B9657" s="1" t="n">
        <v>45082</v>
      </c>
      <c r="C9657" s="1" t="n">
        <v>45952</v>
      </c>
      <c r="D9657" t="inlineStr">
        <is>
          <t>VÄSTRA GÖTALANDS LÄN</t>
        </is>
      </c>
      <c r="E9657" t="inlineStr">
        <is>
          <t>HERRLJUNGA</t>
        </is>
      </c>
      <c r="F9657" t="inlineStr">
        <is>
          <t>Sveaskog</t>
        </is>
      </c>
      <c r="G9657" t="n">
        <v>1.2</v>
      </c>
      <c r="H9657" t="n">
        <v>0</v>
      </c>
      <c r="I9657" t="n">
        <v>0</v>
      </c>
      <c r="J9657" t="n">
        <v>0</v>
      </c>
      <c r="K9657" t="n">
        <v>0</v>
      </c>
      <c r="L9657" t="n">
        <v>0</v>
      </c>
      <c r="M9657" t="n">
        <v>0</v>
      </c>
      <c r="N9657" t="n">
        <v>0</v>
      </c>
      <c r="O9657" t="n">
        <v>0</v>
      </c>
      <c r="P9657" t="n">
        <v>0</v>
      </c>
      <c r="Q9657" t="n">
        <v>0</v>
      </c>
      <c r="R9657" s="2" t="inlineStr"/>
    </row>
    <row r="9658" ht="15" customHeight="1">
      <c r="A9658" t="inlineStr">
        <is>
          <t>A 53943-2024</t>
        </is>
      </c>
      <c r="B9658" s="1" t="n">
        <v>45616.18262731482</v>
      </c>
      <c r="C9658" s="1" t="n">
        <v>45952</v>
      </c>
      <c r="D9658" t="inlineStr">
        <is>
          <t>VÄSTRA GÖTALANDS LÄN</t>
        </is>
      </c>
      <c r="E9658" t="inlineStr">
        <is>
          <t>GRÄSTORP</t>
        </is>
      </c>
      <c r="G9658" t="n">
        <v>0</v>
      </c>
      <c r="H9658" t="n">
        <v>0</v>
      </c>
      <c r="I9658" t="n">
        <v>0</v>
      </c>
      <c r="J9658" t="n">
        <v>0</v>
      </c>
      <c r="K9658" t="n">
        <v>0</v>
      </c>
      <c r="L9658" t="n">
        <v>0</v>
      </c>
      <c r="M9658" t="n">
        <v>0</v>
      </c>
      <c r="N9658" t="n">
        <v>0</v>
      </c>
      <c r="O9658" t="n">
        <v>0</v>
      </c>
      <c r="P9658" t="n">
        <v>0</v>
      </c>
      <c r="Q9658" t="n">
        <v>0</v>
      </c>
      <c r="R9658" s="2" t="inlineStr"/>
    </row>
    <row r="9659" ht="15" customHeight="1">
      <c r="A9659" t="inlineStr">
        <is>
          <t>A 21014-2024</t>
        </is>
      </c>
      <c r="B9659" s="1" t="n">
        <v>45439.63131944444</v>
      </c>
      <c r="C9659" s="1" t="n">
        <v>45952</v>
      </c>
      <c r="D9659" t="inlineStr">
        <is>
          <t>VÄSTRA GÖTALANDS LÄN</t>
        </is>
      </c>
      <c r="E9659" t="inlineStr">
        <is>
          <t>TÖREBODA</t>
        </is>
      </c>
      <c r="G9659" t="n">
        <v>0.8</v>
      </c>
      <c r="H9659" t="n">
        <v>0</v>
      </c>
      <c r="I9659" t="n">
        <v>0</v>
      </c>
      <c r="J9659" t="n">
        <v>0</v>
      </c>
      <c r="K9659" t="n">
        <v>0</v>
      </c>
      <c r="L9659" t="n">
        <v>0</v>
      </c>
      <c r="M9659" t="n">
        <v>0</v>
      </c>
      <c r="N9659" t="n">
        <v>0</v>
      </c>
      <c r="O9659" t="n">
        <v>0</v>
      </c>
      <c r="P9659" t="n">
        <v>0</v>
      </c>
      <c r="Q9659" t="n">
        <v>0</v>
      </c>
      <c r="R9659" s="2" t="inlineStr"/>
    </row>
    <row r="9660" ht="15" customHeight="1">
      <c r="A9660" t="inlineStr">
        <is>
          <t>A 50864-2022</t>
        </is>
      </c>
      <c r="B9660" s="1" t="n">
        <v>44867.56143518518</v>
      </c>
      <c r="C9660" s="1" t="n">
        <v>45952</v>
      </c>
      <c r="D9660" t="inlineStr">
        <is>
          <t>VÄSTRA GÖTALANDS LÄN</t>
        </is>
      </c>
      <c r="E9660" t="inlineStr">
        <is>
          <t>SOTENÄS</t>
        </is>
      </c>
      <c r="G9660" t="n">
        <v>3.3</v>
      </c>
      <c r="H9660" t="n">
        <v>0</v>
      </c>
      <c r="I9660" t="n">
        <v>0</v>
      </c>
      <c r="J9660" t="n">
        <v>0</v>
      </c>
      <c r="K9660" t="n">
        <v>0</v>
      </c>
      <c r="L9660" t="n">
        <v>0</v>
      </c>
      <c r="M9660" t="n">
        <v>0</v>
      </c>
      <c r="N9660" t="n">
        <v>0</v>
      </c>
      <c r="O9660" t="n">
        <v>0</v>
      </c>
      <c r="P9660" t="n">
        <v>0</v>
      </c>
      <c r="Q9660" t="n">
        <v>0</v>
      </c>
      <c r="R9660" s="2" t="inlineStr"/>
    </row>
    <row r="9661" ht="15" customHeight="1">
      <c r="A9661" t="inlineStr">
        <is>
          <t>A 53971-2024</t>
        </is>
      </c>
      <c r="B9661" s="1" t="n">
        <v>45615</v>
      </c>
      <c r="C9661" s="1" t="n">
        <v>45952</v>
      </c>
      <c r="D9661" t="inlineStr">
        <is>
          <t>VÄSTRA GÖTALANDS LÄN</t>
        </is>
      </c>
      <c r="E9661" t="inlineStr">
        <is>
          <t>BENGTSFORS</t>
        </is>
      </c>
      <c r="G9661" t="n">
        <v>0.9</v>
      </c>
      <c r="H9661" t="n">
        <v>0</v>
      </c>
      <c r="I9661" t="n">
        <v>0</v>
      </c>
      <c r="J9661" t="n">
        <v>0</v>
      </c>
      <c r="K9661" t="n">
        <v>0</v>
      </c>
      <c r="L9661" t="n">
        <v>0</v>
      </c>
      <c r="M9661" t="n">
        <v>0</v>
      </c>
      <c r="N9661" t="n">
        <v>0</v>
      </c>
      <c r="O9661" t="n">
        <v>0</v>
      </c>
      <c r="P9661" t="n">
        <v>0</v>
      </c>
      <c r="Q9661" t="n">
        <v>0</v>
      </c>
      <c r="R9661" s="2" t="inlineStr"/>
    </row>
    <row r="9662" ht="15" customHeight="1">
      <c r="A9662" t="inlineStr">
        <is>
          <t>A 18769-2021</t>
        </is>
      </c>
      <c r="B9662" s="1" t="n">
        <v>44307</v>
      </c>
      <c r="C9662" s="1" t="n">
        <v>45952</v>
      </c>
      <c r="D9662" t="inlineStr">
        <is>
          <t>VÄSTRA GÖTALANDS LÄN</t>
        </is>
      </c>
      <c r="E9662" t="inlineStr">
        <is>
          <t>MELLERUD</t>
        </is>
      </c>
      <c r="G9662" t="n">
        <v>1.4</v>
      </c>
      <c r="H9662" t="n">
        <v>0</v>
      </c>
      <c r="I9662" t="n">
        <v>0</v>
      </c>
      <c r="J9662" t="n">
        <v>0</v>
      </c>
      <c r="K9662" t="n">
        <v>0</v>
      </c>
      <c r="L9662" t="n">
        <v>0</v>
      </c>
      <c r="M9662" t="n">
        <v>0</v>
      </c>
      <c r="N9662" t="n">
        <v>0</v>
      </c>
      <c r="O9662" t="n">
        <v>0</v>
      </c>
      <c r="P9662" t="n">
        <v>0</v>
      </c>
      <c r="Q9662" t="n">
        <v>0</v>
      </c>
      <c r="R9662" s="2" t="inlineStr"/>
    </row>
    <row r="9663" ht="15" customHeight="1">
      <c r="A9663" t="inlineStr">
        <is>
          <t>A 40950-2023</t>
        </is>
      </c>
      <c r="B9663" s="1" t="n">
        <v>45173</v>
      </c>
      <c r="C9663" s="1" t="n">
        <v>45952</v>
      </c>
      <c r="D9663" t="inlineStr">
        <is>
          <t>VÄSTRA GÖTALANDS LÄN</t>
        </is>
      </c>
      <c r="E9663" t="inlineStr">
        <is>
          <t>STENUNGSUND</t>
        </is>
      </c>
      <c r="G9663" t="n">
        <v>6.3</v>
      </c>
      <c r="H9663" t="n">
        <v>0</v>
      </c>
      <c r="I9663" t="n">
        <v>0</v>
      </c>
      <c r="J9663" t="n">
        <v>0</v>
      </c>
      <c r="K9663" t="n">
        <v>0</v>
      </c>
      <c r="L9663" t="n">
        <v>0</v>
      </c>
      <c r="M9663" t="n">
        <v>0</v>
      </c>
      <c r="N9663" t="n">
        <v>0</v>
      </c>
      <c r="O9663" t="n">
        <v>0</v>
      </c>
      <c r="P9663" t="n">
        <v>0</v>
      </c>
      <c r="Q9663" t="n">
        <v>0</v>
      </c>
      <c r="R9663" s="2" t="inlineStr"/>
    </row>
    <row r="9664" ht="15" customHeight="1">
      <c r="A9664" t="inlineStr">
        <is>
          <t>A 40939-2025</t>
        </is>
      </c>
      <c r="B9664" s="1" t="n">
        <v>45897.65413194444</v>
      </c>
      <c r="C9664" s="1" t="n">
        <v>45952</v>
      </c>
      <c r="D9664" t="inlineStr">
        <is>
          <t>VÄSTRA GÖTALANDS LÄN</t>
        </is>
      </c>
      <c r="E9664" t="inlineStr">
        <is>
          <t>HERRLJUNGA</t>
        </is>
      </c>
      <c r="G9664" t="n">
        <v>2</v>
      </c>
      <c r="H9664" t="n">
        <v>0</v>
      </c>
      <c r="I9664" t="n">
        <v>0</v>
      </c>
      <c r="J9664" t="n">
        <v>0</v>
      </c>
      <c r="K9664" t="n">
        <v>0</v>
      </c>
      <c r="L9664" t="n">
        <v>0</v>
      </c>
      <c r="M9664" t="n">
        <v>0</v>
      </c>
      <c r="N9664" t="n">
        <v>0</v>
      </c>
      <c r="O9664" t="n">
        <v>0</v>
      </c>
      <c r="P9664" t="n">
        <v>0</v>
      </c>
      <c r="Q9664" t="n">
        <v>0</v>
      </c>
      <c r="R9664" s="2" t="inlineStr"/>
    </row>
    <row r="9665" ht="15" customHeight="1">
      <c r="A9665" t="inlineStr">
        <is>
          <t>A 40942-2025</t>
        </is>
      </c>
      <c r="B9665" s="1" t="n">
        <v>45897.65601851852</v>
      </c>
      <c r="C9665" s="1" t="n">
        <v>45952</v>
      </c>
      <c r="D9665" t="inlineStr">
        <is>
          <t>VÄSTRA GÖTALANDS LÄN</t>
        </is>
      </c>
      <c r="E9665" t="inlineStr">
        <is>
          <t>HERRLJUNGA</t>
        </is>
      </c>
      <c r="G9665" t="n">
        <v>1.2</v>
      </c>
      <c r="H9665" t="n">
        <v>0</v>
      </c>
      <c r="I9665" t="n">
        <v>0</v>
      </c>
      <c r="J9665" t="n">
        <v>0</v>
      </c>
      <c r="K9665" t="n">
        <v>0</v>
      </c>
      <c r="L9665" t="n">
        <v>0</v>
      </c>
      <c r="M9665" t="n">
        <v>0</v>
      </c>
      <c r="N9665" t="n">
        <v>0</v>
      </c>
      <c r="O9665" t="n">
        <v>0</v>
      </c>
      <c r="P9665" t="n">
        <v>0</v>
      </c>
      <c r="Q9665" t="n">
        <v>0</v>
      </c>
      <c r="R9665" s="2" t="inlineStr"/>
    </row>
    <row r="9666" ht="15" customHeight="1">
      <c r="A9666" t="inlineStr">
        <is>
          <t>A 40944-2025</t>
        </is>
      </c>
      <c r="B9666" s="1" t="n">
        <v>45897.65775462963</v>
      </c>
      <c r="C9666" s="1" t="n">
        <v>45952</v>
      </c>
      <c r="D9666" t="inlineStr">
        <is>
          <t>VÄSTRA GÖTALANDS LÄN</t>
        </is>
      </c>
      <c r="E9666" t="inlineStr">
        <is>
          <t>HERRLJUNGA</t>
        </is>
      </c>
      <c r="G9666" t="n">
        <v>2.1</v>
      </c>
      <c r="H9666" t="n">
        <v>0</v>
      </c>
      <c r="I9666" t="n">
        <v>0</v>
      </c>
      <c r="J9666" t="n">
        <v>0</v>
      </c>
      <c r="K9666" t="n">
        <v>0</v>
      </c>
      <c r="L9666" t="n">
        <v>0</v>
      </c>
      <c r="M9666" t="n">
        <v>0</v>
      </c>
      <c r="N9666" t="n">
        <v>0</v>
      </c>
      <c r="O9666" t="n">
        <v>0</v>
      </c>
      <c r="P9666" t="n">
        <v>0</v>
      </c>
      <c r="Q9666" t="n">
        <v>0</v>
      </c>
      <c r="R9666" s="2" t="inlineStr"/>
    </row>
    <row r="9667" ht="15" customHeight="1">
      <c r="A9667" t="inlineStr">
        <is>
          <t>A 15667-2024</t>
        </is>
      </c>
      <c r="B9667" s="1" t="n">
        <v>45404</v>
      </c>
      <c r="C9667" s="1" t="n">
        <v>45952</v>
      </c>
      <c r="D9667" t="inlineStr">
        <is>
          <t>VÄSTRA GÖTALANDS LÄN</t>
        </is>
      </c>
      <c r="E9667" t="inlineStr">
        <is>
          <t>STRÖMSTAD</t>
        </is>
      </c>
      <c r="G9667" t="n">
        <v>1.3</v>
      </c>
      <c r="H9667" t="n">
        <v>0</v>
      </c>
      <c r="I9667" t="n">
        <v>0</v>
      </c>
      <c r="J9667" t="n">
        <v>0</v>
      </c>
      <c r="K9667" t="n">
        <v>0</v>
      </c>
      <c r="L9667" t="n">
        <v>0</v>
      </c>
      <c r="M9667" t="n">
        <v>0</v>
      </c>
      <c r="N9667" t="n">
        <v>0</v>
      </c>
      <c r="O9667" t="n">
        <v>0</v>
      </c>
      <c r="P9667" t="n">
        <v>0</v>
      </c>
      <c r="Q9667" t="n">
        <v>0</v>
      </c>
      <c r="R9667" s="2" t="inlineStr"/>
    </row>
    <row r="9668" ht="15" customHeight="1">
      <c r="A9668" t="inlineStr">
        <is>
          <t>A 53421-2022</t>
        </is>
      </c>
      <c r="B9668" s="1" t="n">
        <v>44879</v>
      </c>
      <c r="C9668" s="1" t="n">
        <v>45952</v>
      </c>
      <c r="D9668" t="inlineStr">
        <is>
          <t>VÄSTRA GÖTALANDS LÄN</t>
        </is>
      </c>
      <c r="E9668" t="inlineStr">
        <is>
          <t>TANUM</t>
        </is>
      </c>
      <c r="G9668" t="n">
        <v>2.1</v>
      </c>
      <c r="H9668" t="n">
        <v>0</v>
      </c>
      <c r="I9668" t="n">
        <v>0</v>
      </c>
      <c r="J9668" t="n">
        <v>0</v>
      </c>
      <c r="K9668" t="n">
        <v>0</v>
      </c>
      <c r="L9668" t="n">
        <v>0</v>
      </c>
      <c r="M9668" t="n">
        <v>0</v>
      </c>
      <c r="N9668" t="n">
        <v>0</v>
      </c>
      <c r="O9668" t="n">
        <v>0</v>
      </c>
      <c r="P9668" t="n">
        <v>0</v>
      </c>
      <c r="Q9668" t="n">
        <v>0</v>
      </c>
      <c r="R9668" s="2" t="inlineStr"/>
    </row>
    <row r="9669" ht="15" customHeight="1">
      <c r="A9669" t="inlineStr">
        <is>
          <t>A 1030-2022</t>
        </is>
      </c>
      <c r="B9669" s="1" t="n">
        <v>44571</v>
      </c>
      <c r="C9669" s="1" t="n">
        <v>45952</v>
      </c>
      <c r="D9669" t="inlineStr">
        <is>
          <t>VÄSTRA GÖTALANDS LÄN</t>
        </is>
      </c>
      <c r="E9669" t="inlineStr">
        <is>
          <t>FÄRGELANDA</t>
        </is>
      </c>
      <c r="G9669" t="n">
        <v>0.7</v>
      </c>
      <c r="H9669" t="n">
        <v>0</v>
      </c>
      <c r="I9669" t="n">
        <v>0</v>
      </c>
      <c r="J9669" t="n">
        <v>0</v>
      </c>
      <c r="K9669" t="n">
        <v>0</v>
      </c>
      <c r="L9669" t="n">
        <v>0</v>
      </c>
      <c r="M9669" t="n">
        <v>0</v>
      </c>
      <c r="N9669" t="n">
        <v>0</v>
      </c>
      <c r="O9669" t="n">
        <v>0</v>
      </c>
      <c r="P9669" t="n">
        <v>0</v>
      </c>
      <c r="Q9669" t="n">
        <v>0</v>
      </c>
      <c r="R9669" s="2" t="inlineStr"/>
    </row>
    <row r="9670" ht="15" customHeight="1">
      <c r="A9670" t="inlineStr">
        <is>
          <t>A 57991-2023</t>
        </is>
      </c>
      <c r="B9670" s="1" t="n">
        <v>45247.6030787037</v>
      </c>
      <c r="C9670" s="1" t="n">
        <v>45952</v>
      </c>
      <c r="D9670" t="inlineStr">
        <is>
          <t>VÄSTRA GÖTALANDS LÄN</t>
        </is>
      </c>
      <c r="E9670" t="inlineStr">
        <is>
          <t>FÄRGELANDA</t>
        </is>
      </c>
      <c r="G9670" t="n">
        <v>3.5</v>
      </c>
      <c r="H9670" t="n">
        <v>0</v>
      </c>
      <c r="I9670" t="n">
        <v>0</v>
      </c>
      <c r="J9670" t="n">
        <v>0</v>
      </c>
      <c r="K9670" t="n">
        <v>0</v>
      </c>
      <c r="L9670" t="n">
        <v>0</v>
      </c>
      <c r="M9670" t="n">
        <v>0</v>
      </c>
      <c r="N9670" t="n">
        <v>0</v>
      </c>
      <c r="O9670" t="n">
        <v>0</v>
      </c>
      <c r="P9670" t="n">
        <v>0</v>
      </c>
      <c r="Q9670" t="n">
        <v>0</v>
      </c>
      <c r="R9670" s="2" t="inlineStr"/>
    </row>
    <row r="9671" ht="15" customHeight="1">
      <c r="A9671" t="inlineStr">
        <is>
          <t>A 39015-2024</t>
        </is>
      </c>
      <c r="B9671" s="1" t="n">
        <v>45548.44391203704</v>
      </c>
      <c r="C9671" s="1" t="n">
        <v>45952</v>
      </c>
      <c r="D9671" t="inlineStr">
        <is>
          <t>VÄSTRA GÖTALANDS LÄN</t>
        </is>
      </c>
      <c r="E9671" t="inlineStr">
        <is>
          <t>TIDAHOLM</t>
        </is>
      </c>
      <c r="G9671" t="n">
        <v>1.1</v>
      </c>
      <c r="H9671" t="n">
        <v>0</v>
      </c>
      <c r="I9671" t="n">
        <v>0</v>
      </c>
      <c r="J9671" t="n">
        <v>0</v>
      </c>
      <c r="K9671" t="n">
        <v>0</v>
      </c>
      <c r="L9671" t="n">
        <v>0</v>
      </c>
      <c r="M9671" t="n">
        <v>0</v>
      </c>
      <c r="N9671" t="n">
        <v>0</v>
      </c>
      <c r="O9671" t="n">
        <v>0</v>
      </c>
      <c r="P9671" t="n">
        <v>0</v>
      </c>
      <c r="Q9671" t="n">
        <v>0</v>
      </c>
      <c r="R9671" s="2" t="inlineStr"/>
    </row>
    <row r="9672" ht="15" customHeight="1">
      <c r="A9672" t="inlineStr">
        <is>
          <t>A 985-2024</t>
        </is>
      </c>
      <c r="B9672" s="1" t="n">
        <v>45301</v>
      </c>
      <c r="C9672" s="1" t="n">
        <v>45952</v>
      </c>
      <c r="D9672" t="inlineStr">
        <is>
          <t>VÄSTRA GÖTALANDS LÄN</t>
        </is>
      </c>
      <c r="E9672" t="inlineStr">
        <is>
          <t>TANUM</t>
        </is>
      </c>
      <c r="G9672" t="n">
        <v>1.5</v>
      </c>
      <c r="H9672" t="n">
        <v>0</v>
      </c>
      <c r="I9672" t="n">
        <v>0</v>
      </c>
      <c r="J9672" t="n">
        <v>0</v>
      </c>
      <c r="K9672" t="n">
        <v>0</v>
      </c>
      <c r="L9672" t="n">
        <v>0</v>
      </c>
      <c r="M9672" t="n">
        <v>0</v>
      </c>
      <c r="N9672" t="n">
        <v>0</v>
      </c>
      <c r="O9672" t="n">
        <v>0</v>
      </c>
      <c r="P9672" t="n">
        <v>0</v>
      </c>
      <c r="Q9672" t="n">
        <v>0</v>
      </c>
      <c r="R9672" s="2" t="inlineStr"/>
    </row>
    <row r="9673" ht="15" customHeight="1">
      <c r="A9673" t="inlineStr">
        <is>
          <t>A 28103-2022</t>
        </is>
      </c>
      <c r="B9673" s="1" t="n">
        <v>44746</v>
      </c>
      <c r="C9673" s="1" t="n">
        <v>45952</v>
      </c>
      <c r="D9673" t="inlineStr">
        <is>
          <t>VÄSTRA GÖTALANDS LÄN</t>
        </is>
      </c>
      <c r="E9673" t="inlineStr">
        <is>
          <t>LERUM</t>
        </is>
      </c>
      <c r="G9673" t="n">
        <v>6.6</v>
      </c>
      <c r="H9673" t="n">
        <v>0</v>
      </c>
      <c r="I9673" t="n">
        <v>0</v>
      </c>
      <c r="J9673" t="n">
        <v>0</v>
      </c>
      <c r="K9673" t="n">
        <v>0</v>
      </c>
      <c r="L9673" t="n">
        <v>0</v>
      </c>
      <c r="M9673" t="n">
        <v>0</v>
      </c>
      <c r="N9673" t="n">
        <v>0</v>
      </c>
      <c r="O9673" t="n">
        <v>0</v>
      </c>
      <c r="P9673" t="n">
        <v>0</v>
      </c>
      <c r="Q9673" t="n">
        <v>0</v>
      </c>
      <c r="R9673" s="2" t="inlineStr"/>
    </row>
    <row r="9674" ht="15" customHeight="1">
      <c r="A9674" t="inlineStr">
        <is>
          <t>A 28813-2025</t>
        </is>
      </c>
      <c r="B9674" s="1" t="n">
        <v>45820</v>
      </c>
      <c r="C9674" s="1" t="n">
        <v>45952</v>
      </c>
      <c r="D9674" t="inlineStr">
        <is>
          <t>VÄSTRA GÖTALANDS LÄN</t>
        </is>
      </c>
      <c r="E9674" t="inlineStr">
        <is>
          <t>ÅMÅL</t>
        </is>
      </c>
      <c r="G9674" t="n">
        <v>1.4</v>
      </c>
      <c r="H9674" t="n">
        <v>0</v>
      </c>
      <c r="I9674" t="n">
        <v>0</v>
      </c>
      <c r="J9674" t="n">
        <v>0</v>
      </c>
      <c r="K9674" t="n">
        <v>0</v>
      </c>
      <c r="L9674" t="n">
        <v>0</v>
      </c>
      <c r="M9674" t="n">
        <v>0</v>
      </c>
      <c r="N9674" t="n">
        <v>0</v>
      </c>
      <c r="O9674" t="n">
        <v>0</v>
      </c>
      <c r="P9674" t="n">
        <v>0</v>
      </c>
      <c r="Q9674" t="n">
        <v>0</v>
      </c>
      <c r="R9674" s="2" t="inlineStr"/>
    </row>
    <row r="9675" ht="15" customHeight="1">
      <c r="A9675" t="inlineStr">
        <is>
          <t>A 49466-2025</t>
        </is>
      </c>
      <c r="B9675" s="1" t="n">
        <v>45939.33797453704</v>
      </c>
      <c r="C9675" s="1" t="n">
        <v>45952</v>
      </c>
      <c r="D9675" t="inlineStr">
        <is>
          <t>VÄSTRA GÖTALANDS LÄN</t>
        </is>
      </c>
      <c r="E9675" t="inlineStr">
        <is>
          <t>ULRICEHAMN</t>
        </is>
      </c>
      <c r="G9675" t="n">
        <v>3.5</v>
      </c>
      <c r="H9675" t="n">
        <v>0</v>
      </c>
      <c r="I9675" t="n">
        <v>0</v>
      </c>
      <c r="J9675" t="n">
        <v>0</v>
      </c>
      <c r="K9675" t="n">
        <v>0</v>
      </c>
      <c r="L9675" t="n">
        <v>0</v>
      </c>
      <c r="M9675" t="n">
        <v>0</v>
      </c>
      <c r="N9675" t="n">
        <v>0</v>
      </c>
      <c r="O9675" t="n">
        <v>0</v>
      </c>
      <c r="P9675" t="n">
        <v>0</v>
      </c>
      <c r="Q9675" t="n">
        <v>0</v>
      </c>
      <c r="R9675" s="2" t="inlineStr"/>
    </row>
    <row r="9676" ht="15" customHeight="1">
      <c r="A9676" t="inlineStr">
        <is>
          <t>A 13098-2023</t>
        </is>
      </c>
      <c r="B9676" s="1" t="n">
        <v>45002.44510416667</v>
      </c>
      <c r="C9676" s="1" t="n">
        <v>45952</v>
      </c>
      <c r="D9676" t="inlineStr">
        <is>
          <t>VÄSTRA GÖTALANDS LÄN</t>
        </is>
      </c>
      <c r="E9676" t="inlineStr">
        <is>
          <t>ULRICEHAMN</t>
        </is>
      </c>
      <c r="G9676" t="n">
        <v>0.5</v>
      </c>
      <c r="H9676" t="n">
        <v>0</v>
      </c>
      <c r="I9676" t="n">
        <v>0</v>
      </c>
      <c r="J9676" t="n">
        <v>0</v>
      </c>
      <c r="K9676" t="n">
        <v>0</v>
      </c>
      <c r="L9676" t="n">
        <v>0</v>
      </c>
      <c r="M9676" t="n">
        <v>0</v>
      </c>
      <c r="N9676" t="n">
        <v>0</v>
      </c>
      <c r="O9676" t="n">
        <v>0</v>
      </c>
      <c r="P9676" t="n">
        <v>0</v>
      </c>
      <c r="Q9676" t="n">
        <v>0</v>
      </c>
      <c r="R9676" s="2" t="inlineStr"/>
    </row>
    <row r="9677" ht="15" customHeight="1">
      <c r="A9677" t="inlineStr">
        <is>
          <t>A 13108-2023</t>
        </is>
      </c>
      <c r="B9677" s="1" t="n">
        <v>45002</v>
      </c>
      <c r="C9677" s="1" t="n">
        <v>45952</v>
      </c>
      <c r="D9677" t="inlineStr">
        <is>
          <t>VÄSTRA GÖTALANDS LÄN</t>
        </is>
      </c>
      <c r="E9677" t="inlineStr">
        <is>
          <t>HÄRRYDA</t>
        </is>
      </c>
      <c r="G9677" t="n">
        <v>1.7</v>
      </c>
      <c r="H9677" t="n">
        <v>0</v>
      </c>
      <c r="I9677" t="n">
        <v>0</v>
      </c>
      <c r="J9677" t="n">
        <v>0</v>
      </c>
      <c r="K9677" t="n">
        <v>0</v>
      </c>
      <c r="L9677" t="n">
        <v>0</v>
      </c>
      <c r="M9677" t="n">
        <v>0</v>
      </c>
      <c r="N9677" t="n">
        <v>0</v>
      </c>
      <c r="O9677" t="n">
        <v>0</v>
      </c>
      <c r="P9677" t="n">
        <v>0</v>
      </c>
      <c r="Q9677" t="n">
        <v>0</v>
      </c>
      <c r="R9677" s="2" t="inlineStr"/>
    </row>
    <row r="9678" ht="15" customHeight="1">
      <c r="A9678" t="inlineStr">
        <is>
          <t>A 27465-2023</t>
        </is>
      </c>
      <c r="B9678" s="1" t="n">
        <v>45097</v>
      </c>
      <c r="C9678" s="1" t="n">
        <v>45952</v>
      </c>
      <c r="D9678" t="inlineStr">
        <is>
          <t>VÄSTRA GÖTALANDS LÄN</t>
        </is>
      </c>
      <c r="E9678" t="inlineStr">
        <is>
          <t>BORÅS</t>
        </is>
      </c>
      <c r="G9678" t="n">
        <v>0.7</v>
      </c>
      <c r="H9678" t="n">
        <v>0</v>
      </c>
      <c r="I9678" t="n">
        <v>0</v>
      </c>
      <c r="J9678" t="n">
        <v>0</v>
      </c>
      <c r="K9678" t="n">
        <v>0</v>
      </c>
      <c r="L9678" t="n">
        <v>0</v>
      </c>
      <c r="M9678" t="n">
        <v>0</v>
      </c>
      <c r="N9678" t="n">
        <v>0</v>
      </c>
      <c r="O9678" t="n">
        <v>0</v>
      </c>
      <c r="P9678" t="n">
        <v>0</v>
      </c>
      <c r="Q9678" t="n">
        <v>0</v>
      </c>
      <c r="R9678" s="2" t="inlineStr"/>
    </row>
    <row r="9679" ht="15" customHeight="1">
      <c r="A9679" t="inlineStr">
        <is>
          <t>A 49470-2025</t>
        </is>
      </c>
      <c r="B9679" s="1" t="n">
        <v>45939.34302083333</v>
      </c>
      <c r="C9679" s="1" t="n">
        <v>45952</v>
      </c>
      <c r="D9679" t="inlineStr">
        <is>
          <t>VÄSTRA GÖTALANDS LÄN</t>
        </is>
      </c>
      <c r="E9679" t="inlineStr">
        <is>
          <t>DALS-ED</t>
        </is>
      </c>
      <c r="G9679" t="n">
        <v>2</v>
      </c>
      <c r="H9679" t="n">
        <v>0</v>
      </c>
      <c r="I9679" t="n">
        <v>0</v>
      </c>
      <c r="J9679" t="n">
        <v>0</v>
      </c>
      <c r="K9679" t="n">
        <v>0</v>
      </c>
      <c r="L9679" t="n">
        <v>0</v>
      </c>
      <c r="M9679" t="n">
        <v>0</v>
      </c>
      <c r="N9679" t="n">
        <v>0</v>
      </c>
      <c r="O9679" t="n">
        <v>0</v>
      </c>
      <c r="P9679" t="n">
        <v>0</v>
      </c>
      <c r="Q9679" t="n">
        <v>0</v>
      </c>
      <c r="R9679" s="2" t="inlineStr"/>
    </row>
    <row r="9680" ht="15" customHeight="1">
      <c r="A9680" t="inlineStr">
        <is>
          <t>A 49485-2025</t>
        </is>
      </c>
      <c r="B9680" s="1" t="n">
        <v>45939.36217592593</v>
      </c>
      <c r="C9680" s="1" t="n">
        <v>45952</v>
      </c>
      <c r="D9680" t="inlineStr">
        <is>
          <t>VÄSTRA GÖTALANDS LÄN</t>
        </is>
      </c>
      <c r="E9680" t="inlineStr">
        <is>
          <t>ULRICEHAMN</t>
        </is>
      </c>
      <c r="G9680" t="n">
        <v>4.8</v>
      </c>
      <c r="H9680" t="n">
        <v>0</v>
      </c>
      <c r="I9680" t="n">
        <v>0</v>
      </c>
      <c r="J9680" t="n">
        <v>0</v>
      </c>
      <c r="K9680" t="n">
        <v>0</v>
      </c>
      <c r="L9680" t="n">
        <v>0</v>
      </c>
      <c r="M9680" t="n">
        <v>0</v>
      </c>
      <c r="N9680" t="n">
        <v>0</v>
      </c>
      <c r="O9680" t="n">
        <v>0</v>
      </c>
      <c r="P9680" t="n">
        <v>0</v>
      </c>
      <c r="Q9680" t="n">
        <v>0</v>
      </c>
      <c r="R9680" s="2" t="inlineStr"/>
    </row>
    <row r="9681" ht="15" customHeight="1">
      <c r="A9681" t="inlineStr">
        <is>
          <t>A 44456-2023</t>
        </is>
      </c>
      <c r="B9681" s="1" t="n">
        <v>45183</v>
      </c>
      <c r="C9681" s="1" t="n">
        <v>45952</v>
      </c>
      <c r="D9681" t="inlineStr">
        <is>
          <t>VÄSTRA GÖTALANDS LÄN</t>
        </is>
      </c>
      <c r="E9681" t="inlineStr">
        <is>
          <t>TIDAHOLM</t>
        </is>
      </c>
      <c r="F9681" t="inlineStr">
        <is>
          <t>Allmännings- och besparingsskogar</t>
        </is>
      </c>
      <c r="G9681" t="n">
        <v>6.7</v>
      </c>
      <c r="H9681" t="n">
        <v>0</v>
      </c>
      <c r="I9681" t="n">
        <v>0</v>
      </c>
      <c r="J9681" t="n">
        <v>0</v>
      </c>
      <c r="K9681" t="n">
        <v>0</v>
      </c>
      <c r="L9681" t="n">
        <v>0</v>
      </c>
      <c r="M9681" t="n">
        <v>0</v>
      </c>
      <c r="N9681" t="n">
        <v>0</v>
      </c>
      <c r="O9681" t="n">
        <v>0</v>
      </c>
      <c r="P9681" t="n">
        <v>0</v>
      </c>
      <c r="Q9681" t="n">
        <v>0</v>
      </c>
      <c r="R9681" s="2" t="inlineStr"/>
    </row>
    <row r="9682" ht="15" customHeight="1">
      <c r="A9682" t="inlineStr">
        <is>
          <t>A 24211-2025</t>
        </is>
      </c>
      <c r="B9682" s="1" t="n">
        <v>45797.34690972222</v>
      </c>
      <c r="C9682" s="1" t="n">
        <v>45952</v>
      </c>
      <c r="D9682" t="inlineStr">
        <is>
          <t>VÄSTRA GÖTALANDS LÄN</t>
        </is>
      </c>
      <c r="E9682" t="inlineStr">
        <is>
          <t>STENUNGSUND</t>
        </is>
      </c>
      <c r="G9682" t="n">
        <v>1.4</v>
      </c>
      <c r="H9682" t="n">
        <v>0</v>
      </c>
      <c r="I9682" t="n">
        <v>0</v>
      </c>
      <c r="J9682" t="n">
        <v>0</v>
      </c>
      <c r="K9682" t="n">
        <v>0</v>
      </c>
      <c r="L9682" t="n">
        <v>0</v>
      </c>
      <c r="M9682" t="n">
        <v>0</v>
      </c>
      <c r="N9682" t="n">
        <v>0</v>
      </c>
      <c r="O9682" t="n">
        <v>0</v>
      </c>
      <c r="P9682" t="n">
        <v>0</v>
      </c>
      <c r="Q9682" t="n">
        <v>0</v>
      </c>
      <c r="R9682" s="2" t="inlineStr"/>
    </row>
    <row r="9683" ht="15" customHeight="1">
      <c r="A9683" t="inlineStr">
        <is>
          <t>A 48969-2023</t>
        </is>
      </c>
      <c r="B9683" s="1" t="n">
        <v>45209</v>
      </c>
      <c r="C9683" s="1" t="n">
        <v>45952</v>
      </c>
      <c r="D9683" t="inlineStr">
        <is>
          <t>VÄSTRA GÖTALANDS LÄN</t>
        </is>
      </c>
      <c r="E9683" t="inlineStr">
        <is>
          <t>TÖREBODA</t>
        </is>
      </c>
      <c r="G9683" t="n">
        <v>1.4</v>
      </c>
      <c r="H9683" t="n">
        <v>0</v>
      </c>
      <c r="I9683" t="n">
        <v>0</v>
      </c>
      <c r="J9683" t="n">
        <v>0</v>
      </c>
      <c r="K9683" t="n">
        <v>0</v>
      </c>
      <c r="L9683" t="n">
        <v>0</v>
      </c>
      <c r="M9683" t="n">
        <v>0</v>
      </c>
      <c r="N9683" t="n">
        <v>0</v>
      </c>
      <c r="O9683" t="n">
        <v>0</v>
      </c>
      <c r="P9683" t="n">
        <v>0</v>
      </c>
      <c r="Q9683" t="n">
        <v>0</v>
      </c>
      <c r="R9683" s="2" t="inlineStr"/>
    </row>
    <row r="9684" ht="15" customHeight="1">
      <c r="A9684" t="inlineStr">
        <is>
          <t>A 58006-2024</t>
        </is>
      </c>
      <c r="B9684" s="1" t="n">
        <v>45631</v>
      </c>
      <c r="C9684" s="1" t="n">
        <v>45952</v>
      </c>
      <c r="D9684" t="inlineStr">
        <is>
          <t>VÄSTRA GÖTALANDS LÄN</t>
        </is>
      </c>
      <c r="E9684" t="inlineStr">
        <is>
          <t>TÖREBODA</t>
        </is>
      </c>
      <c r="G9684" t="n">
        <v>1.6</v>
      </c>
      <c r="H9684" t="n">
        <v>0</v>
      </c>
      <c r="I9684" t="n">
        <v>0</v>
      </c>
      <c r="J9684" t="n">
        <v>0</v>
      </c>
      <c r="K9684" t="n">
        <v>0</v>
      </c>
      <c r="L9684" t="n">
        <v>0</v>
      </c>
      <c r="M9684" t="n">
        <v>0</v>
      </c>
      <c r="N9684" t="n">
        <v>0</v>
      </c>
      <c r="O9684" t="n">
        <v>0</v>
      </c>
      <c r="P9684" t="n">
        <v>0</v>
      </c>
      <c r="Q9684" t="n">
        <v>0</v>
      </c>
      <c r="R9684" s="2" t="inlineStr"/>
    </row>
    <row r="9685" ht="15" customHeight="1">
      <c r="A9685" t="inlineStr">
        <is>
          <t>A 28460-2024</t>
        </is>
      </c>
      <c r="B9685" s="1" t="n">
        <v>45477</v>
      </c>
      <c r="C9685" s="1" t="n">
        <v>45952</v>
      </c>
      <c r="D9685" t="inlineStr">
        <is>
          <t>VÄSTRA GÖTALANDS LÄN</t>
        </is>
      </c>
      <c r="E9685" t="inlineStr">
        <is>
          <t>BENGTSFORS</t>
        </is>
      </c>
      <c r="G9685" t="n">
        <v>2.3</v>
      </c>
      <c r="H9685" t="n">
        <v>0</v>
      </c>
      <c r="I9685" t="n">
        <v>0</v>
      </c>
      <c r="J9685" t="n">
        <v>0</v>
      </c>
      <c r="K9685" t="n">
        <v>0</v>
      </c>
      <c r="L9685" t="n">
        <v>0</v>
      </c>
      <c r="M9685" t="n">
        <v>0</v>
      </c>
      <c r="N9685" t="n">
        <v>0</v>
      </c>
      <c r="O9685" t="n">
        <v>0</v>
      </c>
      <c r="P9685" t="n">
        <v>0</v>
      </c>
      <c r="Q9685" t="n">
        <v>0</v>
      </c>
      <c r="R9685" s="2" t="inlineStr"/>
    </row>
    <row r="9686" ht="15" customHeight="1">
      <c r="A9686" t="inlineStr">
        <is>
          <t>A 49441-2023</t>
        </is>
      </c>
      <c r="B9686" s="1" t="n">
        <v>45211</v>
      </c>
      <c r="C9686" s="1" t="n">
        <v>45952</v>
      </c>
      <c r="D9686" t="inlineStr">
        <is>
          <t>VÄSTRA GÖTALANDS LÄN</t>
        </is>
      </c>
      <c r="E9686" t="inlineStr">
        <is>
          <t>SVENLJUNGA</t>
        </is>
      </c>
      <c r="G9686" t="n">
        <v>2.4</v>
      </c>
      <c r="H9686" t="n">
        <v>0</v>
      </c>
      <c r="I9686" t="n">
        <v>0</v>
      </c>
      <c r="J9686" t="n">
        <v>0</v>
      </c>
      <c r="K9686" t="n">
        <v>0</v>
      </c>
      <c r="L9686" t="n">
        <v>0</v>
      </c>
      <c r="M9686" t="n">
        <v>0</v>
      </c>
      <c r="N9686" t="n">
        <v>0</v>
      </c>
      <c r="O9686" t="n">
        <v>0</v>
      </c>
      <c r="P9686" t="n">
        <v>0</v>
      </c>
      <c r="Q9686" t="n">
        <v>0</v>
      </c>
      <c r="R9686" s="2" t="inlineStr"/>
    </row>
    <row r="9687" ht="15" customHeight="1">
      <c r="A9687" t="inlineStr">
        <is>
          <t>A 24010-2025</t>
        </is>
      </c>
      <c r="B9687" s="1" t="n">
        <v>45796.44579861111</v>
      </c>
      <c r="C9687" s="1" t="n">
        <v>45952</v>
      </c>
      <c r="D9687" t="inlineStr">
        <is>
          <t>VÄSTRA GÖTALANDS LÄN</t>
        </is>
      </c>
      <c r="E9687" t="inlineStr">
        <is>
          <t>HERRLJUNGA</t>
        </is>
      </c>
      <c r="G9687" t="n">
        <v>1.2</v>
      </c>
      <c r="H9687" t="n">
        <v>0</v>
      </c>
      <c r="I9687" t="n">
        <v>0</v>
      </c>
      <c r="J9687" t="n">
        <v>0</v>
      </c>
      <c r="K9687" t="n">
        <v>0</v>
      </c>
      <c r="L9687" t="n">
        <v>0</v>
      </c>
      <c r="M9687" t="n">
        <v>0</v>
      </c>
      <c r="N9687" t="n">
        <v>0</v>
      </c>
      <c r="O9687" t="n">
        <v>0</v>
      </c>
      <c r="P9687" t="n">
        <v>0</v>
      </c>
      <c r="Q9687" t="n">
        <v>0</v>
      </c>
      <c r="R9687" s="2" t="inlineStr"/>
    </row>
    <row r="9688" ht="15" customHeight="1">
      <c r="A9688" t="inlineStr">
        <is>
          <t>A 74285-2021</t>
        </is>
      </c>
      <c r="B9688" s="1" t="n">
        <v>44558</v>
      </c>
      <c r="C9688" s="1" t="n">
        <v>45952</v>
      </c>
      <c r="D9688" t="inlineStr">
        <is>
          <t>VÄSTRA GÖTALANDS LÄN</t>
        </is>
      </c>
      <c r="E9688" t="inlineStr">
        <is>
          <t>KUNGÄLV</t>
        </is>
      </c>
      <c r="G9688" t="n">
        <v>1.1</v>
      </c>
      <c r="H9688" t="n">
        <v>0</v>
      </c>
      <c r="I9688" t="n">
        <v>0</v>
      </c>
      <c r="J9688" t="n">
        <v>0</v>
      </c>
      <c r="K9688" t="n">
        <v>0</v>
      </c>
      <c r="L9688" t="n">
        <v>0</v>
      </c>
      <c r="M9688" t="n">
        <v>0</v>
      </c>
      <c r="N9688" t="n">
        <v>0</v>
      </c>
      <c r="O9688" t="n">
        <v>0</v>
      </c>
      <c r="P9688" t="n">
        <v>0</v>
      </c>
      <c r="Q9688" t="n">
        <v>0</v>
      </c>
      <c r="R9688" s="2" t="inlineStr"/>
    </row>
    <row r="9689" ht="15" customHeight="1">
      <c r="A9689" t="inlineStr">
        <is>
          <t>A 8639-2023</t>
        </is>
      </c>
      <c r="B9689" s="1" t="n">
        <v>44977.95614583333</v>
      </c>
      <c r="C9689" s="1" t="n">
        <v>45952</v>
      </c>
      <c r="D9689" t="inlineStr">
        <is>
          <t>VÄSTRA GÖTALANDS LÄN</t>
        </is>
      </c>
      <c r="E9689" t="inlineStr">
        <is>
          <t>MÖLNDAL</t>
        </is>
      </c>
      <c r="G9689" t="n">
        <v>3.8</v>
      </c>
      <c r="H9689" t="n">
        <v>0</v>
      </c>
      <c r="I9689" t="n">
        <v>0</v>
      </c>
      <c r="J9689" t="n">
        <v>0</v>
      </c>
      <c r="K9689" t="n">
        <v>0</v>
      </c>
      <c r="L9689" t="n">
        <v>0</v>
      </c>
      <c r="M9689" t="n">
        <v>0</v>
      </c>
      <c r="N9689" t="n">
        <v>0</v>
      </c>
      <c r="O9689" t="n">
        <v>0</v>
      </c>
      <c r="P9689" t="n">
        <v>0</v>
      </c>
      <c r="Q9689" t="n">
        <v>0</v>
      </c>
      <c r="R9689" s="2" t="inlineStr"/>
    </row>
    <row r="9690" ht="15" customHeight="1">
      <c r="A9690" t="inlineStr">
        <is>
          <t>A 65471-2020</t>
        </is>
      </c>
      <c r="B9690" s="1" t="n">
        <v>44171</v>
      </c>
      <c r="C9690" s="1" t="n">
        <v>45952</v>
      </c>
      <c r="D9690" t="inlineStr">
        <is>
          <t>VÄSTRA GÖTALANDS LÄN</t>
        </is>
      </c>
      <c r="E9690" t="inlineStr">
        <is>
          <t>MUNKEDAL</t>
        </is>
      </c>
      <c r="G9690" t="n">
        <v>1.7</v>
      </c>
      <c r="H9690" t="n">
        <v>0</v>
      </c>
      <c r="I9690" t="n">
        <v>0</v>
      </c>
      <c r="J9690" t="n">
        <v>0</v>
      </c>
      <c r="K9690" t="n">
        <v>0</v>
      </c>
      <c r="L9690" t="n">
        <v>0</v>
      </c>
      <c r="M9690" t="n">
        <v>0</v>
      </c>
      <c r="N9690" t="n">
        <v>0</v>
      </c>
      <c r="O9690" t="n">
        <v>0</v>
      </c>
      <c r="P9690" t="n">
        <v>0</v>
      </c>
      <c r="Q9690" t="n">
        <v>0</v>
      </c>
      <c r="R9690" s="2" t="inlineStr"/>
    </row>
    <row r="9691" ht="15" customHeight="1">
      <c r="A9691" t="inlineStr">
        <is>
          <t>A 60274-2023</t>
        </is>
      </c>
      <c r="B9691" s="1" t="n">
        <v>45258.67806712963</v>
      </c>
      <c r="C9691" s="1" t="n">
        <v>45952</v>
      </c>
      <c r="D9691" t="inlineStr">
        <is>
          <t>VÄSTRA GÖTALANDS LÄN</t>
        </is>
      </c>
      <c r="E9691" t="inlineStr">
        <is>
          <t>ULRICEHAMN</t>
        </is>
      </c>
      <c r="G9691" t="n">
        <v>2</v>
      </c>
      <c r="H9691" t="n">
        <v>0</v>
      </c>
      <c r="I9691" t="n">
        <v>0</v>
      </c>
      <c r="J9691" t="n">
        <v>0</v>
      </c>
      <c r="K9691" t="n">
        <v>0</v>
      </c>
      <c r="L9691" t="n">
        <v>0</v>
      </c>
      <c r="M9691" t="n">
        <v>0</v>
      </c>
      <c r="N9691" t="n">
        <v>0</v>
      </c>
      <c r="O9691" t="n">
        <v>0</v>
      </c>
      <c r="P9691" t="n">
        <v>0</v>
      </c>
      <c r="Q9691" t="n">
        <v>0</v>
      </c>
      <c r="R9691" s="2" t="inlineStr"/>
    </row>
    <row r="9692" ht="15" customHeight="1">
      <c r="A9692" t="inlineStr">
        <is>
          <t>A 11751-2024</t>
        </is>
      </c>
      <c r="B9692" s="1" t="n">
        <v>45373</v>
      </c>
      <c r="C9692" s="1" t="n">
        <v>45952</v>
      </c>
      <c r="D9692" t="inlineStr">
        <is>
          <t>VÄSTRA GÖTALANDS LÄN</t>
        </is>
      </c>
      <c r="E9692" t="inlineStr">
        <is>
          <t>BENGTSFORS</t>
        </is>
      </c>
      <c r="G9692" t="n">
        <v>2.4</v>
      </c>
      <c r="H9692" t="n">
        <v>0</v>
      </c>
      <c r="I9692" t="n">
        <v>0</v>
      </c>
      <c r="J9692" t="n">
        <v>0</v>
      </c>
      <c r="K9692" t="n">
        <v>0</v>
      </c>
      <c r="L9692" t="n">
        <v>0</v>
      </c>
      <c r="M9692" t="n">
        <v>0</v>
      </c>
      <c r="N9692" t="n">
        <v>0</v>
      </c>
      <c r="O9692" t="n">
        <v>0</v>
      </c>
      <c r="P9692" t="n">
        <v>0</v>
      </c>
      <c r="Q9692" t="n">
        <v>0</v>
      </c>
      <c r="R9692" s="2" t="inlineStr"/>
    </row>
    <row r="9693" ht="15" customHeight="1">
      <c r="A9693" t="inlineStr">
        <is>
          <t>A 40739-2025</t>
        </is>
      </c>
      <c r="B9693" s="1" t="n">
        <v>45897.36733796296</v>
      </c>
      <c r="C9693" s="1" t="n">
        <v>45952</v>
      </c>
      <c r="D9693" t="inlineStr">
        <is>
          <t>VÄSTRA GÖTALANDS LÄN</t>
        </is>
      </c>
      <c r="E9693" t="inlineStr">
        <is>
          <t>BENGTSFORS</t>
        </is>
      </c>
      <c r="G9693" t="n">
        <v>1.3</v>
      </c>
      <c r="H9693" t="n">
        <v>0</v>
      </c>
      <c r="I9693" t="n">
        <v>0</v>
      </c>
      <c r="J9693" t="n">
        <v>0</v>
      </c>
      <c r="K9693" t="n">
        <v>0</v>
      </c>
      <c r="L9693" t="n">
        <v>0</v>
      </c>
      <c r="M9693" t="n">
        <v>0</v>
      </c>
      <c r="N9693" t="n">
        <v>0</v>
      </c>
      <c r="O9693" t="n">
        <v>0</v>
      </c>
      <c r="P9693" t="n">
        <v>0</v>
      </c>
      <c r="Q9693" t="n">
        <v>0</v>
      </c>
      <c r="R9693" s="2" t="inlineStr"/>
    </row>
    <row r="9694" ht="15" customHeight="1">
      <c r="A9694" t="inlineStr">
        <is>
          <t>A 19940-2025</t>
        </is>
      </c>
      <c r="B9694" s="1" t="n">
        <v>45771.6444212963</v>
      </c>
      <c r="C9694" s="1" t="n">
        <v>45952</v>
      </c>
      <c r="D9694" t="inlineStr">
        <is>
          <t>VÄSTRA GÖTALANDS LÄN</t>
        </is>
      </c>
      <c r="E9694" t="inlineStr">
        <is>
          <t>BENGTSFORS</t>
        </is>
      </c>
      <c r="G9694" t="n">
        <v>1.2</v>
      </c>
      <c r="H9694" t="n">
        <v>0</v>
      </c>
      <c r="I9694" t="n">
        <v>0</v>
      </c>
      <c r="J9694" t="n">
        <v>0</v>
      </c>
      <c r="K9694" t="n">
        <v>0</v>
      </c>
      <c r="L9694" t="n">
        <v>0</v>
      </c>
      <c r="M9694" t="n">
        <v>0</v>
      </c>
      <c r="N9694" t="n">
        <v>0</v>
      </c>
      <c r="O9694" t="n">
        <v>0</v>
      </c>
      <c r="P9694" t="n">
        <v>0</v>
      </c>
      <c r="Q9694" t="n">
        <v>0</v>
      </c>
      <c r="R9694" s="2" t="inlineStr"/>
    </row>
    <row r="9695" ht="15" customHeight="1">
      <c r="A9695" t="inlineStr">
        <is>
          <t>A 40774-2025</t>
        </is>
      </c>
      <c r="B9695" s="1" t="n">
        <v>45897.42164351852</v>
      </c>
      <c r="C9695" s="1" t="n">
        <v>45952</v>
      </c>
      <c r="D9695" t="inlineStr">
        <is>
          <t>VÄSTRA GÖTALANDS LÄN</t>
        </is>
      </c>
      <c r="E9695" t="inlineStr">
        <is>
          <t>BOLLEBYGD</t>
        </is>
      </c>
      <c r="G9695" t="n">
        <v>6.7</v>
      </c>
      <c r="H9695" t="n">
        <v>0</v>
      </c>
      <c r="I9695" t="n">
        <v>0</v>
      </c>
      <c r="J9695" t="n">
        <v>0</v>
      </c>
      <c r="K9695" t="n">
        <v>0</v>
      </c>
      <c r="L9695" t="n">
        <v>0</v>
      </c>
      <c r="M9695" t="n">
        <v>0</v>
      </c>
      <c r="N9695" t="n">
        <v>0</v>
      </c>
      <c r="O9695" t="n">
        <v>0</v>
      </c>
      <c r="P9695" t="n">
        <v>0</v>
      </c>
      <c r="Q9695" t="n">
        <v>0</v>
      </c>
      <c r="R9695" s="2" t="inlineStr"/>
    </row>
    <row r="9696" ht="15" customHeight="1">
      <c r="A9696" t="inlineStr">
        <is>
          <t>A 10355-2025</t>
        </is>
      </c>
      <c r="B9696" s="1" t="n">
        <v>45720</v>
      </c>
      <c r="C9696" s="1" t="n">
        <v>45952</v>
      </c>
      <c r="D9696" t="inlineStr">
        <is>
          <t>VÄSTRA GÖTALANDS LÄN</t>
        </is>
      </c>
      <c r="E9696" t="inlineStr">
        <is>
          <t>TÖREBODA</t>
        </is>
      </c>
      <c r="G9696" t="n">
        <v>0.9</v>
      </c>
      <c r="H9696" t="n">
        <v>0</v>
      </c>
      <c r="I9696" t="n">
        <v>0</v>
      </c>
      <c r="J9696" t="n">
        <v>0</v>
      </c>
      <c r="K9696" t="n">
        <v>0</v>
      </c>
      <c r="L9696" t="n">
        <v>0</v>
      </c>
      <c r="M9696" t="n">
        <v>0</v>
      </c>
      <c r="N9696" t="n">
        <v>0</v>
      </c>
      <c r="O9696" t="n">
        <v>0</v>
      </c>
      <c r="P9696" t="n">
        <v>0</v>
      </c>
      <c r="Q9696" t="n">
        <v>0</v>
      </c>
      <c r="R9696" s="2" t="inlineStr"/>
    </row>
    <row r="9697" ht="15" customHeight="1">
      <c r="A9697" t="inlineStr">
        <is>
          <t>A 4303-2025</t>
        </is>
      </c>
      <c r="B9697" s="1" t="n">
        <v>45685</v>
      </c>
      <c r="C9697" s="1" t="n">
        <v>45952</v>
      </c>
      <c r="D9697" t="inlineStr">
        <is>
          <t>VÄSTRA GÖTALANDS LÄN</t>
        </is>
      </c>
      <c r="E9697" t="inlineStr">
        <is>
          <t>VARA</t>
        </is>
      </c>
      <c r="G9697" t="n">
        <v>1.4</v>
      </c>
      <c r="H9697" t="n">
        <v>0</v>
      </c>
      <c r="I9697" t="n">
        <v>0</v>
      </c>
      <c r="J9697" t="n">
        <v>0</v>
      </c>
      <c r="K9697" t="n">
        <v>0</v>
      </c>
      <c r="L9697" t="n">
        <v>0</v>
      </c>
      <c r="M9697" t="n">
        <v>0</v>
      </c>
      <c r="N9697" t="n">
        <v>0</v>
      </c>
      <c r="O9697" t="n">
        <v>0</v>
      </c>
      <c r="P9697" t="n">
        <v>0</v>
      </c>
      <c r="Q9697" t="n">
        <v>0</v>
      </c>
      <c r="R9697" s="2" t="inlineStr"/>
    </row>
    <row r="9698" ht="15" customHeight="1">
      <c r="A9698" t="inlineStr">
        <is>
          <t>A 24697-2023</t>
        </is>
      </c>
      <c r="B9698" s="1" t="n">
        <v>45084</v>
      </c>
      <c r="C9698" s="1" t="n">
        <v>45952</v>
      </c>
      <c r="D9698" t="inlineStr">
        <is>
          <t>VÄSTRA GÖTALANDS LÄN</t>
        </is>
      </c>
      <c r="E9698" t="inlineStr">
        <is>
          <t>TANUM</t>
        </is>
      </c>
      <c r="G9698" t="n">
        <v>5.3</v>
      </c>
      <c r="H9698" t="n">
        <v>0</v>
      </c>
      <c r="I9698" t="n">
        <v>0</v>
      </c>
      <c r="J9698" t="n">
        <v>0</v>
      </c>
      <c r="K9698" t="n">
        <v>0</v>
      </c>
      <c r="L9698" t="n">
        <v>0</v>
      </c>
      <c r="M9698" t="n">
        <v>0</v>
      </c>
      <c r="N9698" t="n">
        <v>0</v>
      </c>
      <c r="O9698" t="n">
        <v>0</v>
      </c>
      <c r="P9698" t="n">
        <v>0</v>
      </c>
      <c r="Q9698" t="n">
        <v>0</v>
      </c>
      <c r="R9698" s="2" t="inlineStr"/>
    </row>
    <row r="9699" ht="15" customHeight="1">
      <c r="A9699" t="inlineStr">
        <is>
          <t>A 24396-2025</t>
        </is>
      </c>
      <c r="B9699" s="1" t="n">
        <v>45797.63988425926</v>
      </c>
      <c r="C9699" s="1" t="n">
        <v>45952</v>
      </c>
      <c r="D9699" t="inlineStr">
        <is>
          <t>VÄSTRA GÖTALANDS LÄN</t>
        </is>
      </c>
      <c r="E9699" t="inlineStr">
        <is>
          <t>MUNKEDAL</t>
        </is>
      </c>
      <c r="G9699" t="n">
        <v>2.4</v>
      </c>
      <c r="H9699" t="n">
        <v>0</v>
      </c>
      <c r="I9699" t="n">
        <v>0</v>
      </c>
      <c r="J9699" t="n">
        <v>0</v>
      </c>
      <c r="K9699" t="n">
        <v>0</v>
      </c>
      <c r="L9699" t="n">
        <v>0</v>
      </c>
      <c r="M9699" t="n">
        <v>0</v>
      </c>
      <c r="N9699" t="n">
        <v>0</v>
      </c>
      <c r="O9699" t="n">
        <v>0</v>
      </c>
      <c r="P9699" t="n">
        <v>0</v>
      </c>
      <c r="Q9699" t="n">
        <v>0</v>
      </c>
      <c r="R9699" s="2" t="inlineStr"/>
    </row>
    <row r="9700" ht="15" customHeight="1">
      <c r="A9700" t="inlineStr">
        <is>
          <t>A 24397-2025</t>
        </is>
      </c>
      <c r="B9700" s="1" t="n">
        <v>45797.64394675926</v>
      </c>
      <c r="C9700" s="1" t="n">
        <v>45952</v>
      </c>
      <c r="D9700" t="inlineStr">
        <is>
          <t>VÄSTRA GÖTALANDS LÄN</t>
        </is>
      </c>
      <c r="E9700" t="inlineStr">
        <is>
          <t>MUNKEDAL</t>
        </is>
      </c>
      <c r="G9700" t="n">
        <v>1.6</v>
      </c>
      <c r="H9700" t="n">
        <v>0</v>
      </c>
      <c r="I9700" t="n">
        <v>0</v>
      </c>
      <c r="J9700" t="n">
        <v>0</v>
      </c>
      <c r="K9700" t="n">
        <v>0</v>
      </c>
      <c r="L9700" t="n">
        <v>0</v>
      </c>
      <c r="M9700" t="n">
        <v>0</v>
      </c>
      <c r="N9700" t="n">
        <v>0</v>
      </c>
      <c r="O9700" t="n">
        <v>0</v>
      </c>
      <c r="P9700" t="n">
        <v>0</v>
      </c>
      <c r="Q9700" t="n">
        <v>0</v>
      </c>
      <c r="R9700" s="2" t="inlineStr"/>
    </row>
    <row r="9701" ht="15" customHeight="1">
      <c r="A9701" t="inlineStr">
        <is>
          <t>A 60414-2024</t>
        </is>
      </c>
      <c r="B9701" s="1" t="n">
        <v>45643.51864583333</v>
      </c>
      <c r="C9701" s="1" t="n">
        <v>45952</v>
      </c>
      <c r="D9701" t="inlineStr">
        <is>
          <t>VÄSTRA GÖTALANDS LÄN</t>
        </is>
      </c>
      <c r="E9701" t="inlineStr">
        <is>
          <t>HJO</t>
        </is>
      </c>
      <c r="G9701" t="n">
        <v>3.1</v>
      </c>
      <c r="H9701" t="n">
        <v>0</v>
      </c>
      <c r="I9701" t="n">
        <v>0</v>
      </c>
      <c r="J9701" t="n">
        <v>0</v>
      </c>
      <c r="K9701" t="n">
        <v>0</v>
      </c>
      <c r="L9701" t="n">
        <v>0</v>
      </c>
      <c r="M9701" t="n">
        <v>0</v>
      </c>
      <c r="N9701" t="n">
        <v>0</v>
      </c>
      <c r="O9701" t="n">
        <v>0</v>
      </c>
      <c r="P9701" t="n">
        <v>0</v>
      </c>
      <c r="Q9701" t="n">
        <v>0</v>
      </c>
      <c r="R9701" s="2" t="inlineStr"/>
    </row>
    <row r="9702" ht="15" customHeight="1">
      <c r="A9702" t="inlineStr">
        <is>
          <t>A 50964-2024</t>
        </is>
      </c>
      <c r="B9702" s="1" t="n">
        <v>45603.32528935185</v>
      </c>
      <c r="C9702" s="1" t="n">
        <v>45952</v>
      </c>
      <c r="D9702" t="inlineStr">
        <is>
          <t>VÄSTRA GÖTALANDS LÄN</t>
        </is>
      </c>
      <c r="E9702" t="inlineStr">
        <is>
          <t>FALKÖPING</t>
        </is>
      </c>
      <c r="G9702" t="n">
        <v>1.3</v>
      </c>
      <c r="H9702" t="n">
        <v>0</v>
      </c>
      <c r="I9702" t="n">
        <v>0</v>
      </c>
      <c r="J9702" t="n">
        <v>0</v>
      </c>
      <c r="K9702" t="n">
        <v>0</v>
      </c>
      <c r="L9702" t="n">
        <v>0</v>
      </c>
      <c r="M9702" t="n">
        <v>0</v>
      </c>
      <c r="N9702" t="n">
        <v>0</v>
      </c>
      <c r="O9702" t="n">
        <v>0</v>
      </c>
      <c r="P9702" t="n">
        <v>0</v>
      </c>
      <c r="Q9702" t="n">
        <v>0</v>
      </c>
      <c r="R9702" s="2" t="inlineStr"/>
    </row>
    <row r="9703" ht="15" customHeight="1">
      <c r="A9703" t="inlineStr">
        <is>
          <t>A 52102-2023</t>
        </is>
      </c>
      <c r="B9703" s="1" t="n">
        <v>45223</v>
      </c>
      <c r="C9703" s="1" t="n">
        <v>45952</v>
      </c>
      <c r="D9703" t="inlineStr">
        <is>
          <t>VÄSTRA GÖTALANDS LÄN</t>
        </is>
      </c>
      <c r="E9703" t="inlineStr">
        <is>
          <t>BOLLEBYGD</t>
        </is>
      </c>
      <c r="G9703" t="n">
        <v>1</v>
      </c>
      <c r="H9703" t="n">
        <v>0</v>
      </c>
      <c r="I9703" t="n">
        <v>0</v>
      </c>
      <c r="J9703" t="n">
        <v>0</v>
      </c>
      <c r="K9703" t="n">
        <v>0</v>
      </c>
      <c r="L9703" t="n">
        <v>0</v>
      </c>
      <c r="M9703" t="n">
        <v>0</v>
      </c>
      <c r="N9703" t="n">
        <v>0</v>
      </c>
      <c r="O9703" t="n">
        <v>0</v>
      </c>
      <c r="P9703" t="n">
        <v>0</v>
      </c>
      <c r="Q9703" t="n">
        <v>0</v>
      </c>
      <c r="R9703" s="2" t="inlineStr"/>
    </row>
    <row r="9704" ht="15" customHeight="1">
      <c r="A9704" t="inlineStr">
        <is>
          <t>A 18954-2025</t>
        </is>
      </c>
      <c r="B9704" s="1" t="n">
        <v>45764.51478009259</v>
      </c>
      <c r="C9704" s="1" t="n">
        <v>45952</v>
      </c>
      <c r="D9704" t="inlineStr">
        <is>
          <t>VÄSTRA GÖTALANDS LÄN</t>
        </is>
      </c>
      <c r="E9704" t="inlineStr">
        <is>
          <t>ORUST</t>
        </is>
      </c>
      <c r="G9704" t="n">
        <v>6.4</v>
      </c>
      <c r="H9704" t="n">
        <v>0</v>
      </c>
      <c r="I9704" t="n">
        <v>0</v>
      </c>
      <c r="J9704" t="n">
        <v>0</v>
      </c>
      <c r="K9704" t="n">
        <v>0</v>
      </c>
      <c r="L9704" t="n">
        <v>0</v>
      </c>
      <c r="M9704" t="n">
        <v>0</v>
      </c>
      <c r="N9704" t="n">
        <v>0</v>
      </c>
      <c r="O9704" t="n">
        <v>0</v>
      </c>
      <c r="P9704" t="n">
        <v>0</v>
      </c>
      <c r="Q9704" t="n">
        <v>0</v>
      </c>
      <c r="R9704" s="2" t="inlineStr"/>
    </row>
    <row r="9705" ht="15" customHeight="1">
      <c r="A9705" t="inlineStr">
        <is>
          <t>A 34167-2023</t>
        </is>
      </c>
      <c r="B9705" s="1" t="n">
        <v>45137</v>
      </c>
      <c r="C9705" s="1" t="n">
        <v>45952</v>
      </c>
      <c r="D9705" t="inlineStr">
        <is>
          <t>VÄSTRA GÖTALANDS LÄN</t>
        </is>
      </c>
      <c r="E9705" t="inlineStr">
        <is>
          <t>MARK</t>
        </is>
      </c>
      <c r="G9705" t="n">
        <v>12.2</v>
      </c>
      <c r="H9705" t="n">
        <v>0</v>
      </c>
      <c r="I9705" t="n">
        <v>0</v>
      </c>
      <c r="J9705" t="n">
        <v>0</v>
      </c>
      <c r="K9705" t="n">
        <v>0</v>
      </c>
      <c r="L9705" t="n">
        <v>0</v>
      </c>
      <c r="M9705" t="n">
        <v>0</v>
      </c>
      <c r="N9705" t="n">
        <v>0</v>
      </c>
      <c r="O9705" t="n">
        <v>0</v>
      </c>
      <c r="P9705" t="n">
        <v>0</v>
      </c>
      <c r="Q9705" t="n">
        <v>0</v>
      </c>
      <c r="R9705" s="2" t="inlineStr"/>
    </row>
    <row r="9706" ht="15" customHeight="1">
      <c r="A9706" t="inlineStr">
        <is>
          <t>A 7472-2023</t>
        </is>
      </c>
      <c r="B9706" s="1" t="n">
        <v>44971.65195601852</v>
      </c>
      <c r="C9706" s="1" t="n">
        <v>45952</v>
      </c>
      <c r="D9706" t="inlineStr">
        <is>
          <t>VÄSTRA GÖTALANDS LÄN</t>
        </is>
      </c>
      <c r="E9706" t="inlineStr">
        <is>
          <t>MARK</t>
        </is>
      </c>
      <c r="G9706" t="n">
        <v>1</v>
      </c>
      <c r="H9706" t="n">
        <v>0</v>
      </c>
      <c r="I9706" t="n">
        <v>0</v>
      </c>
      <c r="J9706" t="n">
        <v>0</v>
      </c>
      <c r="K9706" t="n">
        <v>0</v>
      </c>
      <c r="L9706" t="n">
        <v>0</v>
      </c>
      <c r="M9706" t="n">
        <v>0</v>
      </c>
      <c r="N9706" t="n">
        <v>0</v>
      </c>
      <c r="O9706" t="n">
        <v>0</v>
      </c>
      <c r="P9706" t="n">
        <v>0</v>
      </c>
      <c r="Q9706" t="n">
        <v>0</v>
      </c>
      <c r="R9706" s="2" t="inlineStr"/>
    </row>
    <row r="9707" ht="15" customHeight="1">
      <c r="A9707" t="inlineStr">
        <is>
          <t>A 24234-2025</t>
        </is>
      </c>
      <c r="B9707" s="1" t="n">
        <v>45797.3800462963</v>
      </c>
      <c r="C9707" s="1" t="n">
        <v>45952</v>
      </c>
      <c r="D9707" t="inlineStr">
        <is>
          <t>VÄSTRA GÖTALANDS LÄN</t>
        </is>
      </c>
      <c r="E9707" t="inlineStr">
        <is>
          <t>LIDKÖPING</t>
        </is>
      </c>
      <c r="G9707" t="n">
        <v>0.8</v>
      </c>
      <c r="H9707" t="n">
        <v>0</v>
      </c>
      <c r="I9707" t="n">
        <v>0</v>
      </c>
      <c r="J9707" t="n">
        <v>0</v>
      </c>
      <c r="K9707" t="n">
        <v>0</v>
      </c>
      <c r="L9707" t="n">
        <v>0</v>
      </c>
      <c r="M9707" t="n">
        <v>0</v>
      </c>
      <c r="N9707" t="n">
        <v>0</v>
      </c>
      <c r="O9707" t="n">
        <v>0</v>
      </c>
      <c r="P9707" t="n">
        <v>0</v>
      </c>
      <c r="Q9707" t="n">
        <v>0</v>
      </c>
      <c r="R9707" s="2" t="inlineStr"/>
    </row>
    <row r="9708" ht="15" customHeight="1">
      <c r="A9708" t="inlineStr">
        <is>
          <t>A 18957-2025</t>
        </is>
      </c>
      <c r="B9708" s="1" t="n">
        <v>45764.5202662037</v>
      </c>
      <c r="C9708" s="1" t="n">
        <v>45952</v>
      </c>
      <c r="D9708" t="inlineStr">
        <is>
          <t>VÄSTRA GÖTALANDS LÄN</t>
        </is>
      </c>
      <c r="E9708" t="inlineStr">
        <is>
          <t>TIDAHOLM</t>
        </is>
      </c>
      <c r="G9708" t="n">
        <v>8.800000000000001</v>
      </c>
      <c r="H9708" t="n">
        <v>0</v>
      </c>
      <c r="I9708" t="n">
        <v>0</v>
      </c>
      <c r="J9708" t="n">
        <v>0</v>
      </c>
      <c r="K9708" t="n">
        <v>0</v>
      </c>
      <c r="L9708" t="n">
        <v>0</v>
      </c>
      <c r="M9708" t="n">
        <v>0</v>
      </c>
      <c r="N9708" t="n">
        <v>0</v>
      </c>
      <c r="O9708" t="n">
        <v>0</v>
      </c>
      <c r="P9708" t="n">
        <v>0</v>
      </c>
      <c r="Q9708" t="n">
        <v>0</v>
      </c>
      <c r="R9708" s="2" t="inlineStr"/>
    </row>
    <row r="9709" ht="15" customHeight="1">
      <c r="A9709" t="inlineStr">
        <is>
          <t>A 23962-2025</t>
        </is>
      </c>
      <c r="B9709" s="1" t="n">
        <v>45796.36909722222</v>
      </c>
      <c r="C9709" s="1" t="n">
        <v>45952</v>
      </c>
      <c r="D9709" t="inlineStr">
        <is>
          <t>VÄSTRA GÖTALANDS LÄN</t>
        </is>
      </c>
      <c r="E9709" t="inlineStr">
        <is>
          <t>DALS-ED</t>
        </is>
      </c>
      <c r="G9709" t="n">
        <v>2.3</v>
      </c>
      <c r="H9709" t="n">
        <v>0</v>
      </c>
      <c r="I9709" t="n">
        <v>0</v>
      </c>
      <c r="J9709" t="n">
        <v>0</v>
      </c>
      <c r="K9709" t="n">
        <v>0</v>
      </c>
      <c r="L9709" t="n">
        <v>0</v>
      </c>
      <c r="M9709" t="n">
        <v>0</v>
      </c>
      <c r="N9709" t="n">
        <v>0</v>
      </c>
      <c r="O9709" t="n">
        <v>0</v>
      </c>
      <c r="P9709" t="n">
        <v>0</v>
      </c>
      <c r="Q9709" t="n">
        <v>0</v>
      </c>
      <c r="R9709" s="2" t="inlineStr"/>
    </row>
    <row r="9710" ht="15" customHeight="1">
      <c r="A9710" t="inlineStr">
        <is>
          <t>A 26157-2023</t>
        </is>
      </c>
      <c r="B9710" s="1" t="n">
        <v>45091.50479166667</v>
      </c>
      <c r="C9710" s="1" t="n">
        <v>45952</v>
      </c>
      <c r="D9710" t="inlineStr">
        <is>
          <t>VÄSTRA GÖTALANDS LÄN</t>
        </is>
      </c>
      <c r="E9710" t="inlineStr">
        <is>
          <t>ALE</t>
        </is>
      </c>
      <c r="G9710" t="n">
        <v>2.6</v>
      </c>
      <c r="H9710" t="n">
        <v>0</v>
      </c>
      <c r="I9710" t="n">
        <v>0</v>
      </c>
      <c r="J9710" t="n">
        <v>0</v>
      </c>
      <c r="K9710" t="n">
        <v>0</v>
      </c>
      <c r="L9710" t="n">
        <v>0</v>
      </c>
      <c r="M9710" t="n">
        <v>0</v>
      </c>
      <c r="N9710" t="n">
        <v>0</v>
      </c>
      <c r="O9710" t="n">
        <v>0</v>
      </c>
      <c r="P9710" t="n">
        <v>0</v>
      </c>
      <c r="Q9710" t="n">
        <v>0</v>
      </c>
      <c r="R9710" s="2" t="inlineStr"/>
    </row>
    <row r="9711" ht="15" customHeight="1">
      <c r="A9711" t="inlineStr">
        <is>
          <t>A 2784-2023</t>
        </is>
      </c>
      <c r="B9711" s="1" t="n">
        <v>44944.66162037037</v>
      </c>
      <c r="C9711" s="1" t="n">
        <v>45952</v>
      </c>
      <c r="D9711" t="inlineStr">
        <is>
          <t>VÄSTRA GÖTALANDS LÄN</t>
        </is>
      </c>
      <c r="E9711" t="inlineStr">
        <is>
          <t>KARLSBORG</t>
        </is>
      </c>
      <c r="F9711" t="inlineStr">
        <is>
          <t>Övriga Aktiebolag</t>
        </is>
      </c>
      <c r="G9711" t="n">
        <v>3.2</v>
      </c>
      <c r="H9711" t="n">
        <v>0</v>
      </c>
      <c r="I9711" t="n">
        <v>0</v>
      </c>
      <c r="J9711" t="n">
        <v>0</v>
      </c>
      <c r="K9711" t="n">
        <v>0</v>
      </c>
      <c r="L9711" t="n">
        <v>0</v>
      </c>
      <c r="M9711" t="n">
        <v>0</v>
      </c>
      <c r="N9711" t="n">
        <v>0</v>
      </c>
      <c r="O9711" t="n">
        <v>0</v>
      </c>
      <c r="P9711" t="n">
        <v>0</v>
      </c>
      <c r="Q9711" t="n">
        <v>0</v>
      </c>
      <c r="R9711" s="2" t="inlineStr"/>
    </row>
    <row r="9712" ht="15" customHeight="1">
      <c r="A9712" t="inlineStr">
        <is>
          <t>A 17172-2023</t>
        </is>
      </c>
      <c r="B9712" s="1" t="n">
        <v>45034.65365740741</v>
      </c>
      <c r="C9712" s="1" t="n">
        <v>45952</v>
      </c>
      <c r="D9712" t="inlineStr">
        <is>
          <t>VÄSTRA GÖTALANDS LÄN</t>
        </is>
      </c>
      <c r="E9712" t="inlineStr">
        <is>
          <t>VÄNERSBORG</t>
        </is>
      </c>
      <c r="G9712" t="n">
        <v>0.4</v>
      </c>
      <c r="H9712" t="n">
        <v>0</v>
      </c>
      <c r="I9712" t="n">
        <v>0</v>
      </c>
      <c r="J9712" t="n">
        <v>0</v>
      </c>
      <c r="K9712" t="n">
        <v>0</v>
      </c>
      <c r="L9712" t="n">
        <v>0</v>
      </c>
      <c r="M9712" t="n">
        <v>0</v>
      </c>
      <c r="N9712" t="n">
        <v>0</v>
      </c>
      <c r="O9712" t="n">
        <v>0</v>
      </c>
      <c r="P9712" t="n">
        <v>0</v>
      </c>
      <c r="Q9712" t="n">
        <v>0</v>
      </c>
      <c r="R9712" s="2" t="inlineStr"/>
    </row>
    <row r="9713" ht="15" customHeight="1">
      <c r="A9713" t="inlineStr">
        <is>
          <t>A 40915-2024</t>
        </is>
      </c>
      <c r="B9713" s="1" t="n">
        <v>45558.63273148148</v>
      </c>
      <c r="C9713" s="1" t="n">
        <v>45952</v>
      </c>
      <c r="D9713" t="inlineStr">
        <is>
          <t>VÄSTRA GÖTALANDS LÄN</t>
        </is>
      </c>
      <c r="E9713" t="inlineStr">
        <is>
          <t>BENGTSFORS</t>
        </is>
      </c>
      <c r="G9713" t="n">
        <v>4.5</v>
      </c>
      <c r="H9713" t="n">
        <v>0</v>
      </c>
      <c r="I9713" t="n">
        <v>0</v>
      </c>
      <c r="J9713" t="n">
        <v>0</v>
      </c>
      <c r="K9713" t="n">
        <v>0</v>
      </c>
      <c r="L9713" t="n">
        <v>0</v>
      </c>
      <c r="M9713" t="n">
        <v>0</v>
      </c>
      <c r="N9713" t="n">
        <v>0</v>
      </c>
      <c r="O9713" t="n">
        <v>0</v>
      </c>
      <c r="P9713" t="n">
        <v>0</v>
      </c>
      <c r="Q9713" t="n">
        <v>0</v>
      </c>
      <c r="R9713" s="2" t="inlineStr"/>
    </row>
    <row r="9714" ht="15" customHeight="1">
      <c r="A9714" t="inlineStr">
        <is>
          <t>A 56273-2022</t>
        </is>
      </c>
      <c r="B9714" s="1" t="n">
        <v>44890</v>
      </c>
      <c r="C9714" s="1" t="n">
        <v>45952</v>
      </c>
      <c r="D9714" t="inlineStr">
        <is>
          <t>VÄSTRA GÖTALANDS LÄN</t>
        </is>
      </c>
      <c r="E9714" t="inlineStr">
        <is>
          <t>TÖREBODA</t>
        </is>
      </c>
      <c r="F9714" t="inlineStr">
        <is>
          <t>Övriga statliga verk och myndigheter</t>
        </is>
      </c>
      <c r="G9714" t="n">
        <v>12.6</v>
      </c>
      <c r="H9714" t="n">
        <v>0</v>
      </c>
      <c r="I9714" t="n">
        <v>0</v>
      </c>
      <c r="J9714" t="n">
        <v>0</v>
      </c>
      <c r="K9714" t="n">
        <v>0</v>
      </c>
      <c r="L9714" t="n">
        <v>0</v>
      </c>
      <c r="M9714" t="n">
        <v>0</v>
      </c>
      <c r="N9714" t="n">
        <v>0</v>
      </c>
      <c r="O9714" t="n">
        <v>0</v>
      </c>
      <c r="P9714" t="n">
        <v>0</v>
      </c>
      <c r="Q9714" t="n">
        <v>0</v>
      </c>
      <c r="R9714" s="2" t="inlineStr"/>
    </row>
    <row r="9715" ht="15" customHeight="1">
      <c r="A9715" t="inlineStr">
        <is>
          <t>A 69563-2021</t>
        </is>
      </c>
      <c r="B9715" s="1" t="n">
        <v>44532</v>
      </c>
      <c r="C9715" s="1" t="n">
        <v>45952</v>
      </c>
      <c r="D9715" t="inlineStr">
        <is>
          <t>VÄSTRA GÖTALANDS LÄN</t>
        </is>
      </c>
      <c r="E9715" t="inlineStr">
        <is>
          <t>HÄRRYDA</t>
        </is>
      </c>
      <c r="G9715" t="n">
        <v>2.9</v>
      </c>
      <c r="H9715" t="n">
        <v>0</v>
      </c>
      <c r="I9715" t="n">
        <v>0</v>
      </c>
      <c r="J9715" t="n">
        <v>0</v>
      </c>
      <c r="K9715" t="n">
        <v>0</v>
      </c>
      <c r="L9715" t="n">
        <v>0</v>
      </c>
      <c r="M9715" t="n">
        <v>0</v>
      </c>
      <c r="N9715" t="n">
        <v>0</v>
      </c>
      <c r="O9715" t="n">
        <v>0</v>
      </c>
      <c r="P9715" t="n">
        <v>0</v>
      </c>
      <c r="Q9715" t="n">
        <v>0</v>
      </c>
      <c r="R9715" s="2" t="inlineStr"/>
    </row>
    <row r="9716" ht="15" customHeight="1">
      <c r="A9716" t="inlineStr">
        <is>
          <t>A 19332-2023</t>
        </is>
      </c>
      <c r="B9716" s="1" t="n">
        <v>45049</v>
      </c>
      <c r="C9716" s="1" t="n">
        <v>45952</v>
      </c>
      <c r="D9716" t="inlineStr">
        <is>
          <t>VÄSTRA GÖTALANDS LÄN</t>
        </is>
      </c>
      <c r="E9716" t="inlineStr">
        <is>
          <t>FÄRGELANDA</t>
        </is>
      </c>
      <c r="G9716" t="n">
        <v>4.7</v>
      </c>
      <c r="H9716" t="n">
        <v>0</v>
      </c>
      <c r="I9716" t="n">
        <v>0</v>
      </c>
      <c r="J9716" t="n">
        <v>0</v>
      </c>
      <c r="K9716" t="n">
        <v>0</v>
      </c>
      <c r="L9716" t="n">
        <v>0</v>
      </c>
      <c r="M9716" t="n">
        <v>0</v>
      </c>
      <c r="N9716" t="n">
        <v>0</v>
      </c>
      <c r="O9716" t="n">
        <v>0</v>
      </c>
      <c r="P9716" t="n">
        <v>0</v>
      </c>
      <c r="Q9716" t="n">
        <v>0</v>
      </c>
      <c r="R9716" s="2" t="inlineStr"/>
    </row>
    <row r="9717" ht="15" customHeight="1">
      <c r="A9717" t="inlineStr">
        <is>
          <t>A 19341-2023</t>
        </is>
      </c>
      <c r="B9717" s="1" t="n">
        <v>45049.58232638889</v>
      </c>
      <c r="C9717" s="1" t="n">
        <v>45952</v>
      </c>
      <c r="D9717" t="inlineStr">
        <is>
          <t>VÄSTRA GÖTALANDS LÄN</t>
        </is>
      </c>
      <c r="E9717" t="inlineStr">
        <is>
          <t>FALKÖPING</t>
        </is>
      </c>
      <c r="G9717" t="n">
        <v>1.6</v>
      </c>
      <c r="H9717" t="n">
        <v>0</v>
      </c>
      <c r="I9717" t="n">
        <v>0</v>
      </c>
      <c r="J9717" t="n">
        <v>0</v>
      </c>
      <c r="K9717" t="n">
        <v>0</v>
      </c>
      <c r="L9717" t="n">
        <v>0</v>
      </c>
      <c r="M9717" t="n">
        <v>0</v>
      </c>
      <c r="N9717" t="n">
        <v>0</v>
      </c>
      <c r="O9717" t="n">
        <v>0</v>
      </c>
      <c r="P9717" t="n">
        <v>0</v>
      </c>
      <c r="Q9717" t="n">
        <v>0</v>
      </c>
      <c r="R9717" s="2" t="inlineStr"/>
    </row>
    <row r="9718" ht="15" customHeight="1">
      <c r="A9718" t="inlineStr">
        <is>
          <t>A 19361-2023</t>
        </is>
      </c>
      <c r="B9718" s="1" t="n">
        <v>45049</v>
      </c>
      <c r="C9718" s="1" t="n">
        <v>45952</v>
      </c>
      <c r="D9718" t="inlineStr">
        <is>
          <t>VÄSTRA GÖTALANDS LÄN</t>
        </is>
      </c>
      <c r="E9718" t="inlineStr">
        <is>
          <t>MUNKEDAL</t>
        </is>
      </c>
      <c r="G9718" t="n">
        <v>4.1</v>
      </c>
      <c r="H9718" t="n">
        <v>0</v>
      </c>
      <c r="I9718" t="n">
        <v>0</v>
      </c>
      <c r="J9718" t="n">
        <v>0</v>
      </c>
      <c r="K9718" t="n">
        <v>0</v>
      </c>
      <c r="L9718" t="n">
        <v>0</v>
      </c>
      <c r="M9718" t="n">
        <v>0</v>
      </c>
      <c r="N9718" t="n">
        <v>0</v>
      </c>
      <c r="O9718" t="n">
        <v>0</v>
      </c>
      <c r="P9718" t="n">
        <v>0</v>
      </c>
      <c r="Q9718" t="n">
        <v>0</v>
      </c>
      <c r="R9718" s="2" t="inlineStr"/>
    </row>
    <row r="9719" ht="15" customHeight="1">
      <c r="A9719" t="inlineStr">
        <is>
          <t>A 49301-2025</t>
        </is>
      </c>
      <c r="B9719" s="1" t="n">
        <v>45938.55248842593</v>
      </c>
      <c r="C9719" s="1" t="n">
        <v>45952</v>
      </c>
      <c r="D9719" t="inlineStr">
        <is>
          <t>VÄSTRA GÖTALANDS LÄN</t>
        </is>
      </c>
      <c r="E9719" t="inlineStr">
        <is>
          <t>SVENLJUNGA</t>
        </is>
      </c>
      <c r="G9719" t="n">
        <v>1.6</v>
      </c>
      <c r="H9719" t="n">
        <v>0</v>
      </c>
      <c r="I9719" t="n">
        <v>0</v>
      </c>
      <c r="J9719" t="n">
        <v>0</v>
      </c>
      <c r="K9719" t="n">
        <v>0</v>
      </c>
      <c r="L9719" t="n">
        <v>0</v>
      </c>
      <c r="M9719" t="n">
        <v>0</v>
      </c>
      <c r="N9719" t="n">
        <v>0</v>
      </c>
      <c r="O9719" t="n">
        <v>0</v>
      </c>
      <c r="P9719" t="n">
        <v>0</v>
      </c>
      <c r="Q9719" t="n">
        <v>0</v>
      </c>
      <c r="R9719" s="2" t="inlineStr"/>
    </row>
    <row r="9720" ht="15" customHeight="1">
      <c r="A9720" t="inlineStr">
        <is>
          <t>A 24356-2025</t>
        </is>
      </c>
      <c r="B9720" s="1" t="n">
        <v>45797.59305555555</v>
      </c>
      <c r="C9720" s="1" t="n">
        <v>45952</v>
      </c>
      <c r="D9720" t="inlineStr">
        <is>
          <t>VÄSTRA GÖTALANDS LÄN</t>
        </is>
      </c>
      <c r="E9720" t="inlineStr">
        <is>
          <t>LIDKÖPING</t>
        </is>
      </c>
      <c r="G9720" t="n">
        <v>0.2</v>
      </c>
      <c r="H9720" t="n">
        <v>0</v>
      </c>
      <c r="I9720" t="n">
        <v>0</v>
      </c>
      <c r="J9720" t="n">
        <v>0</v>
      </c>
      <c r="K9720" t="n">
        <v>0</v>
      </c>
      <c r="L9720" t="n">
        <v>0</v>
      </c>
      <c r="M9720" t="n">
        <v>0</v>
      </c>
      <c r="N9720" t="n">
        <v>0</v>
      </c>
      <c r="O9720" t="n">
        <v>0</v>
      </c>
      <c r="P9720" t="n">
        <v>0</v>
      </c>
      <c r="Q9720" t="n">
        <v>0</v>
      </c>
      <c r="R9720" s="2" t="inlineStr"/>
    </row>
    <row r="9721" ht="15" customHeight="1">
      <c r="A9721" t="inlineStr">
        <is>
          <t>A 24380-2025</t>
        </is>
      </c>
      <c r="B9721" s="1" t="n">
        <v>45797.62638888889</v>
      </c>
      <c r="C9721" s="1" t="n">
        <v>45952</v>
      </c>
      <c r="D9721" t="inlineStr">
        <is>
          <t>VÄSTRA GÖTALANDS LÄN</t>
        </is>
      </c>
      <c r="E9721" t="inlineStr">
        <is>
          <t>FALKÖPING</t>
        </is>
      </c>
      <c r="G9721" t="n">
        <v>1.7</v>
      </c>
      <c r="H9721" t="n">
        <v>0</v>
      </c>
      <c r="I9721" t="n">
        <v>0</v>
      </c>
      <c r="J9721" t="n">
        <v>0</v>
      </c>
      <c r="K9721" t="n">
        <v>0</v>
      </c>
      <c r="L9721" t="n">
        <v>0</v>
      </c>
      <c r="M9721" t="n">
        <v>0</v>
      </c>
      <c r="N9721" t="n">
        <v>0</v>
      </c>
      <c r="O9721" t="n">
        <v>0</v>
      </c>
      <c r="P9721" t="n">
        <v>0</v>
      </c>
      <c r="Q9721" t="n">
        <v>0</v>
      </c>
      <c r="R9721" s="2" t="inlineStr"/>
    </row>
    <row r="9722" ht="15" customHeight="1">
      <c r="A9722" t="inlineStr">
        <is>
          <t>A 62097-2022</t>
        </is>
      </c>
      <c r="B9722" s="1" t="n">
        <v>44920</v>
      </c>
      <c r="C9722" s="1" t="n">
        <v>45952</v>
      </c>
      <c r="D9722" t="inlineStr">
        <is>
          <t>VÄSTRA GÖTALANDS LÄN</t>
        </is>
      </c>
      <c r="E9722" t="inlineStr">
        <is>
          <t>VÅRGÅRDA</t>
        </is>
      </c>
      <c r="G9722" t="n">
        <v>2.5</v>
      </c>
      <c r="H9722" t="n">
        <v>0</v>
      </c>
      <c r="I9722" t="n">
        <v>0</v>
      </c>
      <c r="J9722" t="n">
        <v>0</v>
      </c>
      <c r="K9722" t="n">
        <v>0</v>
      </c>
      <c r="L9722" t="n">
        <v>0</v>
      </c>
      <c r="M9722" t="n">
        <v>0</v>
      </c>
      <c r="N9722" t="n">
        <v>0</v>
      </c>
      <c r="O9722" t="n">
        <v>0</v>
      </c>
      <c r="P9722" t="n">
        <v>0</v>
      </c>
      <c r="Q9722" t="n">
        <v>0</v>
      </c>
      <c r="R9722" s="2" t="inlineStr"/>
    </row>
    <row r="9723" ht="15" customHeight="1">
      <c r="A9723" t="inlineStr">
        <is>
          <t>A 43430-2021</t>
        </is>
      </c>
      <c r="B9723" s="1" t="n">
        <v>44432</v>
      </c>
      <c r="C9723" s="1" t="n">
        <v>45952</v>
      </c>
      <c r="D9723" t="inlineStr">
        <is>
          <t>VÄSTRA GÖTALANDS LÄN</t>
        </is>
      </c>
      <c r="E9723" t="inlineStr">
        <is>
          <t>SVENLJUNGA</t>
        </is>
      </c>
      <c r="G9723" t="n">
        <v>1.3</v>
      </c>
      <c r="H9723" t="n">
        <v>0</v>
      </c>
      <c r="I9723" t="n">
        <v>0</v>
      </c>
      <c r="J9723" t="n">
        <v>0</v>
      </c>
      <c r="K9723" t="n">
        <v>0</v>
      </c>
      <c r="L9723" t="n">
        <v>0</v>
      </c>
      <c r="M9723" t="n">
        <v>0</v>
      </c>
      <c r="N9723" t="n">
        <v>0</v>
      </c>
      <c r="O9723" t="n">
        <v>0</v>
      </c>
      <c r="P9723" t="n">
        <v>0</v>
      </c>
      <c r="Q9723" t="n">
        <v>0</v>
      </c>
      <c r="R9723" s="2" t="inlineStr"/>
    </row>
    <row r="9724" ht="15" customHeight="1">
      <c r="A9724" t="inlineStr">
        <is>
          <t>A 53275-2023</t>
        </is>
      </c>
      <c r="B9724" s="1" t="n">
        <v>45229</v>
      </c>
      <c r="C9724" s="1" t="n">
        <v>45952</v>
      </c>
      <c r="D9724" t="inlineStr">
        <is>
          <t>VÄSTRA GÖTALANDS LÄN</t>
        </is>
      </c>
      <c r="E9724" t="inlineStr">
        <is>
          <t>LIDKÖPING</t>
        </is>
      </c>
      <c r="G9724" t="n">
        <v>8.5</v>
      </c>
      <c r="H9724" t="n">
        <v>0</v>
      </c>
      <c r="I9724" t="n">
        <v>0</v>
      </c>
      <c r="J9724" t="n">
        <v>0</v>
      </c>
      <c r="K9724" t="n">
        <v>0</v>
      </c>
      <c r="L9724" t="n">
        <v>0</v>
      </c>
      <c r="M9724" t="n">
        <v>0</v>
      </c>
      <c r="N9724" t="n">
        <v>0</v>
      </c>
      <c r="O9724" t="n">
        <v>0</v>
      </c>
      <c r="P9724" t="n">
        <v>0</v>
      </c>
      <c r="Q9724" t="n">
        <v>0</v>
      </c>
      <c r="R9724" s="2" t="inlineStr"/>
    </row>
    <row r="9725" ht="15" customHeight="1">
      <c r="A9725" t="inlineStr">
        <is>
          <t>A 59075-2024</t>
        </is>
      </c>
      <c r="B9725" s="1" t="n">
        <v>45637.24947916667</v>
      </c>
      <c r="C9725" s="1" t="n">
        <v>45952</v>
      </c>
      <c r="D9725" t="inlineStr">
        <is>
          <t>VÄSTRA GÖTALANDS LÄN</t>
        </is>
      </c>
      <c r="E9725" t="inlineStr">
        <is>
          <t>FALKÖPING</t>
        </is>
      </c>
      <c r="G9725" t="n">
        <v>6.6</v>
      </c>
      <c r="H9725" t="n">
        <v>0</v>
      </c>
      <c r="I9725" t="n">
        <v>0</v>
      </c>
      <c r="J9725" t="n">
        <v>0</v>
      </c>
      <c r="K9725" t="n">
        <v>0</v>
      </c>
      <c r="L9725" t="n">
        <v>0</v>
      </c>
      <c r="M9725" t="n">
        <v>0</v>
      </c>
      <c r="N9725" t="n">
        <v>0</v>
      </c>
      <c r="O9725" t="n">
        <v>0</v>
      </c>
      <c r="P9725" t="n">
        <v>0</v>
      </c>
      <c r="Q9725" t="n">
        <v>0</v>
      </c>
      <c r="R9725" s="2" t="inlineStr"/>
    </row>
    <row r="9726" ht="15" customHeight="1">
      <c r="A9726" t="inlineStr">
        <is>
          <t>A 24212-2023</t>
        </is>
      </c>
      <c r="B9726" s="1" t="n">
        <v>45076</v>
      </c>
      <c r="C9726" s="1" t="n">
        <v>45952</v>
      </c>
      <c r="D9726" t="inlineStr">
        <is>
          <t>VÄSTRA GÖTALANDS LÄN</t>
        </is>
      </c>
      <c r="E9726" t="inlineStr">
        <is>
          <t>SOTENÄS</t>
        </is>
      </c>
      <c r="G9726" t="n">
        <v>5.8</v>
      </c>
      <c r="H9726" t="n">
        <v>0</v>
      </c>
      <c r="I9726" t="n">
        <v>0</v>
      </c>
      <c r="J9726" t="n">
        <v>0</v>
      </c>
      <c r="K9726" t="n">
        <v>0</v>
      </c>
      <c r="L9726" t="n">
        <v>0</v>
      </c>
      <c r="M9726" t="n">
        <v>0</v>
      </c>
      <c r="N9726" t="n">
        <v>0</v>
      </c>
      <c r="O9726" t="n">
        <v>0</v>
      </c>
      <c r="P9726" t="n">
        <v>0</v>
      </c>
      <c r="Q9726" t="n">
        <v>0</v>
      </c>
      <c r="R9726" s="2" t="inlineStr"/>
    </row>
    <row r="9727" ht="15" customHeight="1">
      <c r="A9727" t="inlineStr">
        <is>
          <t>A 50401-2021</t>
        </is>
      </c>
      <c r="B9727" s="1" t="n">
        <v>44459</v>
      </c>
      <c r="C9727" s="1" t="n">
        <v>45952</v>
      </c>
      <c r="D9727" t="inlineStr">
        <is>
          <t>VÄSTRA GÖTALANDS LÄN</t>
        </is>
      </c>
      <c r="E9727" t="inlineStr">
        <is>
          <t>STRÖMSTAD</t>
        </is>
      </c>
      <c r="G9727" t="n">
        <v>1.2</v>
      </c>
      <c r="H9727" t="n">
        <v>0</v>
      </c>
      <c r="I9727" t="n">
        <v>0</v>
      </c>
      <c r="J9727" t="n">
        <v>0</v>
      </c>
      <c r="K9727" t="n">
        <v>0</v>
      </c>
      <c r="L9727" t="n">
        <v>0</v>
      </c>
      <c r="M9727" t="n">
        <v>0</v>
      </c>
      <c r="N9727" t="n">
        <v>0</v>
      </c>
      <c r="O9727" t="n">
        <v>0</v>
      </c>
      <c r="P9727" t="n">
        <v>0</v>
      </c>
      <c r="Q9727" t="n">
        <v>0</v>
      </c>
      <c r="R9727" s="2" t="inlineStr"/>
    </row>
    <row r="9728" ht="15" customHeight="1">
      <c r="A9728" t="inlineStr">
        <is>
          <t>A 49373-2025</t>
        </is>
      </c>
      <c r="B9728" s="1" t="n">
        <v>45938.63424768519</v>
      </c>
      <c r="C9728" s="1" t="n">
        <v>45952</v>
      </c>
      <c r="D9728" t="inlineStr">
        <is>
          <t>VÄSTRA GÖTALANDS LÄN</t>
        </is>
      </c>
      <c r="E9728" t="inlineStr">
        <is>
          <t>ÅMÅL</t>
        </is>
      </c>
      <c r="G9728" t="n">
        <v>8.199999999999999</v>
      </c>
      <c r="H9728" t="n">
        <v>0</v>
      </c>
      <c r="I9728" t="n">
        <v>0</v>
      </c>
      <c r="J9728" t="n">
        <v>0</v>
      </c>
      <c r="K9728" t="n">
        <v>0</v>
      </c>
      <c r="L9728" t="n">
        <v>0</v>
      </c>
      <c r="M9728" t="n">
        <v>0</v>
      </c>
      <c r="N9728" t="n">
        <v>0</v>
      </c>
      <c r="O9728" t="n">
        <v>0</v>
      </c>
      <c r="P9728" t="n">
        <v>0</v>
      </c>
      <c r="Q9728" t="n">
        <v>0</v>
      </c>
      <c r="R9728" s="2" t="inlineStr"/>
    </row>
    <row r="9729" ht="15" customHeight="1">
      <c r="A9729" t="inlineStr">
        <is>
          <t>A 40544-2025</t>
        </is>
      </c>
      <c r="B9729" s="1" t="n">
        <v>45896.43144675926</v>
      </c>
      <c r="C9729" s="1" t="n">
        <v>45952</v>
      </c>
      <c r="D9729" t="inlineStr">
        <is>
          <t>VÄSTRA GÖTALANDS LÄN</t>
        </is>
      </c>
      <c r="E9729" t="inlineStr">
        <is>
          <t>VÄNERSBORG</t>
        </is>
      </c>
      <c r="G9729" t="n">
        <v>2.2</v>
      </c>
      <c r="H9729" t="n">
        <v>0</v>
      </c>
      <c r="I9729" t="n">
        <v>0</v>
      </c>
      <c r="J9729" t="n">
        <v>0</v>
      </c>
      <c r="K9729" t="n">
        <v>0</v>
      </c>
      <c r="L9729" t="n">
        <v>0</v>
      </c>
      <c r="M9729" t="n">
        <v>0</v>
      </c>
      <c r="N9729" t="n">
        <v>0</v>
      </c>
      <c r="O9729" t="n">
        <v>0</v>
      </c>
      <c r="P9729" t="n">
        <v>0</v>
      </c>
      <c r="Q9729" t="n">
        <v>0</v>
      </c>
      <c r="R9729" s="2" t="inlineStr"/>
    </row>
    <row r="9730" ht="15" customHeight="1">
      <c r="A9730" t="inlineStr">
        <is>
          <t>A 40550-2025</t>
        </is>
      </c>
      <c r="B9730" s="1" t="n">
        <v>45896.44113425926</v>
      </c>
      <c r="C9730" s="1" t="n">
        <v>45952</v>
      </c>
      <c r="D9730" t="inlineStr">
        <is>
          <t>VÄSTRA GÖTALANDS LÄN</t>
        </is>
      </c>
      <c r="E9730" t="inlineStr">
        <is>
          <t>VÄNERSBORG</t>
        </is>
      </c>
      <c r="G9730" t="n">
        <v>2.2</v>
      </c>
      <c r="H9730" t="n">
        <v>0</v>
      </c>
      <c r="I9730" t="n">
        <v>0</v>
      </c>
      <c r="J9730" t="n">
        <v>0</v>
      </c>
      <c r="K9730" t="n">
        <v>0</v>
      </c>
      <c r="L9730" t="n">
        <v>0</v>
      </c>
      <c r="M9730" t="n">
        <v>0</v>
      </c>
      <c r="N9730" t="n">
        <v>0</v>
      </c>
      <c r="O9730" t="n">
        <v>0</v>
      </c>
      <c r="P9730" t="n">
        <v>0</v>
      </c>
      <c r="Q9730" t="n">
        <v>0</v>
      </c>
      <c r="R9730" s="2" t="inlineStr"/>
    </row>
    <row r="9731" ht="15" customHeight="1">
      <c r="A9731" t="inlineStr">
        <is>
          <t>A 40553-2025</t>
        </is>
      </c>
      <c r="B9731" s="1" t="n">
        <v>45896.44429398148</v>
      </c>
      <c r="C9731" s="1" t="n">
        <v>45952</v>
      </c>
      <c r="D9731" t="inlineStr">
        <is>
          <t>VÄSTRA GÖTALANDS LÄN</t>
        </is>
      </c>
      <c r="E9731" t="inlineStr">
        <is>
          <t>VÄNERSBORG</t>
        </is>
      </c>
      <c r="G9731" t="n">
        <v>0.4</v>
      </c>
      <c r="H9731" t="n">
        <v>0</v>
      </c>
      <c r="I9731" t="n">
        <v>0</v>
      </c>
      <c r="J9731" t="n">
        <v>0</v>
      </c>
      <c r="K9731" t="n">
        <v>0</v>
      </c>
      <c r="L9731" t="n">
        <v>0</v>
      </c>
      <c r="M9731" t="n">
        <v>0</v>
      </c>
      <c r="N9731" t="n">
        <v>0</v>
      </c>
      <c r="O9731" t="n">
        <v>0</v>
      </c>
      <c r="P9731" t="n">
        <v>0</v>
      </c>
      <c r="Q9731" t="n">
        <v>0</v>
      </c>
      <c r="R9731" s="2" t="inlineStr"/>
    </row>
    <row r="9732" ht="15" customHeight="1">
      <c r="A9732" t="inlineStr">
        <is>
          <t>A 47830-2025</t>
        </is>
      </c>
      <c r="B9732" s="1" t="n">
        <v>45931</v>
      </c>
      <c r="C9732" s="1" t="n">
        <v>45952</v>
      </c>
      <c r="D9732" t="inlineStr">
        <is>
          <t>VÄSTRA GÖTALANDS LÄN</t>
        </is>
      </c>
      <c r="E9732" t="inlineStr">
        <is>
          <t>MARK</t>
        </is>
      </c>
      <c r="G9732" t="n">
        <v>2</v>
      </c>
      <c r="H9732" t="n">
        <v>0</v>
      </c>
      <c r="I9732" t="n">
        <v>0</v>
      </c>
      <c r="J9732" t="n">
        <v>0</v>
      </c>
      <c r="K9732" t="n">
        <v>0</v>
      </c>
      <c r="L9732" t="n">
        <v>0</v>
      </c>
      <c r="M9732" t="n">
        <v>0</v>
      </c>
      <c r="N9732" t="n">
        <v>0</v>
      </c>
      <c r="O9732" t="n">
        <v>0</v>
      </c>
      <c r="P9732" t="n">
        <v>0</v>
      </c>
      <c r="Q9732" t="n">
        <v>0</v>
      </c>
      <c r="R9732" s="2" t="inlineStr"/>
    </row>
    <row r="9733" ht="15" customHeight="1">
      <c r="A9733" t="inlineStr">
        <is>
          <t>A 40645-2025</t>
        </is>
      </c>
      <c r="B9733" s="1" t="n">
        <v>45896.61844907407</v>
      </c>
      <c r="C9733" s="1" t="n">
        <v>45952</v>
      </c>
      <c r="D9733" t="inlineStr">
        <is>
          <t>VÄSTRA GÖTALANDS LÄN</t>
        </is>
      </c>
      <c r="E9733" t="inlineStr">
        <is>
          <t>MARK</t>
        </is>
      </c>
      <c r="G9733" t="n">
        <v>0.6</v>
      </c>
      <c r="H9733" t="n">
        <v>0</v>
      </c>
      <c r="I9733" t="n">
        <v>0</v>
      </c>
      <c r="J9733" t="n">
        <v>0</v>
      </c>
      <c r="K9733" t="n">
        <v>0</v>
      </c>
      <c r="L9733" t="n">
        <v>0</v>
      </c>
      <c r="M9733" t="n">
        <v>0</v>
      </c>
      <c r="N9733" t="n">
        <v>0</v>
      </c>
      <c r="O9733" t="n">
        <v>0</v>
      </c>
      <c r="P9733" t="n">
        <v>0</v>
      </c>
      <c r="Q9733" t="n">
        <v>0</v>
      </c>
      <c r="R9733" s="2" t="inlineStr"/>
    </row>
    <row r="9734" ht="15" customHeight="1">
      <c r="A9734" t="inlineStr">
        <is>
          <t>A 9356-2024</t>
        </is>
      </c>
      <c r="B9734" s="1" t="n">
        <v>45359</v>
      </c>
      <c r="C9734" s="1" t="n">
        <v>45952</v>
      </c>
      <c r="D9734" t="inlineStr">
        <is>
          <t>VÄSTRA GÖTALANDS LÄN</t>
        </is>
      </c>
      <c r="E9734" t="inlineStr">
        <is>
          <t>BENGTSFORS</t>
        </is>
      </c>
      <c r="G9734" t="n">
        <v>0.6</v>
      </c>
      <c r="H9734" t="n">
        <v>0</v>
      </c>
      <c r="I9734" t="n">
        <v>0</v>
      </c>
      <c r="J9734" t="n">
        <v>0</v>
      </c>
      <c r="K9734" t="n">
        <v>0</v>
      </c>
      <c r="L9734" t="n">
        <v>0</v>
      </c>
      <c r="M9734" t="n">
        <v>0</v>
      </c>
      <c r="N9734" t="n">
        <v>0</v>
      </c>
      <c r="O9734" t="n">
        <v>0</v>
      </c>
      <c r="P9734" t="n">
        <v>0</v>
      </c>
      <c r="Q9734" t="n">
        <v>0</v>
      </c>
      <c r="R9734" s="2" t="inlineStr"/>
    </row>
    <row r="9735" ht="15" customHeight="1">
      <c r="A9735" t="inlineStr">
        <is>
          <t>A 14149-2023</t>
        </is>
      </c>
      <c r="B9735" s="1" t="n">
        <v>45009.47876157407</v>
      </c>
      <c r="C9735" s="1" t="n">
        <v>45952</v>
      </c>
      <c r="D9735" t="inlineStr">
        <is>
          <t>VÄSTRA GÖTALANDS LÄN</t>
        </is>
      </c>
      <c r="E9735" t="inlineStr">
        <is>
          <t>ULRICEHAMN</t>
        </is>
      </c>
      <c r="G9735" t="n">
        <v>2.8</v>
      </c>
      <c r="H9735" t="n">
        <v>0</v>
      </c>
      <c r="I9735" t="n">
        <v>0</v>
      </c>
      <c r="J9735" t="n">
        <v>0</v>
      </c>
      <c r="K9735" t="n">
        <v>0</v>
      </c>
      <c r="L9735" t="n">
        <v>0</v>
      </c>
      <c r="M9735" t="n">
        <v>0</v>
      </c>
      <c r="N9735" t="n">
        <v>0</v>
      </c>
      <c r="O9735" t="n">
        <v>0</v>
      </c>
      <c r="P9735" t="n">
        <v>0</v>
      </c>
      <c r="Q9735" t="n">
        <v>0</v>
      </c>
      <c r="R9735" s="2" t="inlineStr"/>
    </row>
    <row r="9736" ht="15" customHeight="1">
      <c r="A9736" t="inlineStr">
        <is>
          <t>A 14167-2023</t>
        </is>
      </c>
      <c r="B9736" s="1" t="n">
        <v>45009.505625</v>
      </c>
      <c r="C9736" s="1" t="n">
        <v>45952</v>
      </c>
      <c r="D9736" t="inlineStr">
        <is>
          <t>VÄSTRA GÖTALANDS LÄN</t>
        </is>
      </c>
      <c r="E9736" t="inlineStr">
        <is>
          <t>HERRLJUNGA</t>
        </is>
      </c>
      <c r="G9736" t="n">
        <v>1.8</v>
      </c>
      <c r="H9736" t="n">
        <v>0</v>
      </c>
      <c r="I9736" t="n">
        <v>0</v>
      </c>
      <c r="J9736" t="n">
        <v>0</v>
      </c>
      <c r="K9736" t="n">
        <v>0</v>
      </c>
      <c r="L9736" t="n">
        <v>0</v>
      </c>
      <c r="M9736" t="n">
        <v>0</v>
      </c>
      <c r="N9736" t="n">
        <v>0</v>
      </c>
      <c r="O9736" t="n">
        <v>0</v>
      </c>
      <c r="P9736" t="n">
        <v>0</v>
      </c>
      <c r="Q9736" t="n">
        <v>0</v>
      </c>
      <c r="R9736" s="2" t="inlineStr"/>
    </row>
    <row r="9737" ht="15" customHeight="1">
      <c r="A9737" t="inlineStr">
        <is>
          <t>A 40683-2025</t>
        </is>
      </c>
      <c r="B9737" s="1" t="n">
        <v>45896</v>
      </c>
      <c r="C9737" s="1" t="n">
        <v>45952</v>
      </c>
      <c r="D9737" t="inlineStr">
        <is>
          <t>VÄSTRA GÖTALANDS LÄN</t>
        </is>
      </c>
      <c r="E9737" t="inlineStr">
        <is>
          <t>LYSEKIL</t>
        </is>
      </c>
      <c r="G9737" t="n">
        <v>0.9</v>
      </c>
      <c r="H9737" t="n">
        <v>0</v>
      </c>
      <c r="I9737" t="n">
        <v>0</v>
      </c>
      <c r="J9737" t="n">
        <v>0</v>
      </c>
      <c r="K9737" t="n">
        <v>0</v>
      </c>
      <c r="L9737" t="n">
        <v>0</v>
      </c>
      <c r="M9737" t="n">
        <v>0</v>
      </c>
      <c r="N9737" t="n">
        <v>0</v>
      </c>
      <c r="O9737" t="n">
        <v>0</v>
      </c>
      <c r="P9737" t="n">
        <v>0</v>
      </c>
      <c r="Q9737" t="n">
        <v>0</v>
      </c>
      <c r="R9737" s="2" t="inlineStr"/>
    </row>
    <row r="9738" ht="15" customHeight="1">
      <c r="A9738" t="inlineStr">
        <is>
          <t>A 40687-2025</t>
        </is>
      </c>
      <c r="B9738" s="1" t="n">
        <v>45896.87452546296</v>
      </c>
      <c r="C9738" s="1" t="n">
        <v>45952</v>
      </c>
      <c r="D9738" t="inlineStr">
        <is>
          <t>VÄSTRA GÖTALANDS LÄN</t>
        </is>
      </c>
      <c r="E9738" t="inlineStr">
        <is>
          <t>TIBRO</t>
        </is>
      </c>
      <c r="G9738" t="n">
        <v>3.3</v>
      </c>
      <c r="H9738" t="n">
        <v>0</v>
      </c>
      <c r="I9738" t="n">
        <v>0</v>
      </c>
      <c r="J9738" t="n">
        <v>0</v>
      </c>
      <c r="K9738" t="n">
        <v>0</v>
      </c>
      <c r="L9738" t="n">
        <v>0</v>
      </c>
      <c r="M9738" t="n">
        <v>0</v>
      </c>
      <c r="N9738" t="n">
        <v>0</v>
      </c>
      <c r="O9738" t="n">
        <v>0</v>
      </c>
      <c r="P9738" t="n">
        <v>0</v>
      </c>
      <c r="Q9738" t="n">
        <v>0</v>
      </c>
      <c r="R9738" s="2" t="inlineStr"/>
    </row>
    <row r="9739" ht="15" customHeight="1">
      <c r="A9739" t="inlineStr">
        <is>
          <t>A 49545-2025</t>
        </is>
      </c>
      <c r="B9739" s="1" t="n">
        <v>45939.43545138889</v>
      </c>
      <c r="C9739" s="1" t="n">
        <v>45952</v>
      </c>
      <c r="D9739" t="inlineStr">
        <is>
          <t>VÄSTRA GÖTALANDS LÄN</t>
        </is>
      </c>
      <c r="E9739" t="inlineStr">
        <is>
          <t>ULRICEHAMN</t>
        </is>
      </c>
      <c r="G9739" t="n">
        <v>5.5</v>
      </c>
      <c r="H9739" t="n">
        <v>0</v>
      </c>
      <c r="I9739" t="n">
        <v>0</v>
      </c>
      <c r="J9739" t="n">
        <v>0</v>
      </c>
      <c r="K9739" t="n">
        <v>0</v>
      </c>
      <c r="L9739" t="n">
        <v>0</v>
      </c>
      <c r="M9739" t="n">
        <v>0</v>
      </c>
      <c r="N9739" t="n">
        <v>0</v>
      </c>
      <c r="O9739" t="n">
        <v>0</v>
      </c>
      <c r="P9739" t="n">
        <v>0</v>
      </c>
      <c r="Q9739" t="n">
        <v>0</v>
      </c>
      <c r="R9739" s="2" t="inlineStr"/>
    </row>
    <row r="9740" ht="15" customHeight="1">
      <c r="A9740" t="inlineStr">
        <is>
          <t>A 40885-2025</t>
        </is>
      </c>
      <c r="B9740" s="1" t="n">
        <v>45897.6021412037</v>
      </c>
      <c r="C9740" s="1" t="n">
        <v>45952</v>
      </c>
      <c r="D9740" t="inlineStr">
        <is>
          <t>VÄSTRA GÖTALANDS LÄN</t>
        </is>
      </c>
      <c r="E9740" t="inlineStr">
        <is>
          <t>TRANEMO</t>
        </is>
      </c>
      <c r="F9740" t="inlineStr">
        <is>
          <t>Sveaskog</t>
        </is>
      </c>
      <c r="G9740" t="n">
        <v>1.3</v>
      </c>
      <c r="H9740" t="n">
        <v>0</v>
      </c>
      <c r="I9740" t="n">
        <v>0</v>
      </c>
      <c r="J9740" t="n">
        <v>0</v>
      </c>
      <c r="K9740" t="n">
        <v>0</v>
      </c>
      <c r="L9740" t="n">
        <v>0</v>
      </c>
      <c r="M9740" t="n">
        <v>0</v>
      </c>
      <c r="N9740" t="n">
        <v>0</v>
      </c>
      <c r="O9740" t="n">
        <v>0</v>
      </c>
      <c r="P9740" t="n">
        <v>0</v>
      </c>
      <c r="Q9740" t="n">
        <v>0</v>
      </c>
      <c r="R9740" s="2" t="inlineStr"/>
    </row>
    <row r="9741" ht="15" customHeight="1">
      <c r="A9741" t="inlineStr">
        <is>
          <t>A 40889-2025</t>
        </is>
      </c>
      <c r="B9741" s="1" t="n">
        <v>45897.60502314815</v>
      </c>
      <c r="C9741" s="1" t="n">
        <v>45952</v>
      </c>
      <c r="D9741" t="inlineStr">
        <is>
          <t>VÄSTRA GÖTALANDS LÄN</t>
        </is>
      </c>
      <c r="E9741" t="inlineStr">
        <is>
          <t>TRANEMO</t>
        </is>
      </c>
      <c r="F9741" t="inlineStr">
        <is>
          <t>Sveaskog</t>
        </is>
      </c>
      <c r="G9741" t="n">
        <v>6.2</v>
      </c>
      <c r="H9741" t="n">
        <v>0</v>
      </c>
      <c r="I9741" t="n">
        <v>0</v>
      </c>
      <c r="J9741" t="n">
        <v>0</v>
      </c>
      <c r="K9741" t="n">
        <v>0</v>
      </c>
      <c r="L9741" t="n">
        <v>0</v>
      </c>
      <c r="M9741" t="n">
        <v>0</v>
      </c>
      <c r="N9741" t="n">
        <v>0</v>
      </c>
      <c r="O9741" t="n">
        <v>0</v>
      </c>
      <c r="P9741" t="n">
        <v>0</v>
      </c>
      <c r="Q9741" t="n">
        <v>0</v>
      </c>
      <c r="R9741" s="2" t="inlineStr"/>
    </row>
    <row r="9742" ht="15" customHeight="1">
      <c r="A9742" t="inlineStr">
        <is>
          <t>A 49449-2025</t>
        </is>
      </c>
      <c r="B9742" s="1" t="n">
        <v>45938.96420138889</v>
      </c>
      <c r="C9742" s="1" t="n">
        <v>45952</v>
      </c>
      <c r="D9742" t="inlineStr">
        <is>
          <t>VÄSTRA GÖTALANDS LÄN</t>
        </is>
      </c>
      <c r="E9742" t="inlineStr">
        <is>
          <t>MELLERUD</t>
        </is>
      </c>
      <c r="G9742" t="n">
        <v>2</v>
      </c>
      <c r="H9742" t="n">
        <v>0</v>
      </c>
      <c r="I9742" t="n">
        <v>0</v>
      </c>
      <c r="J9742" t="n">
        <v>0</v>
      </c>
      <c r="K9742" t="n">
        <v>0</v>
      </c>
      <c r="L9742" t="n">
        <v>0</v>
      </c>
      <c r="M9742" t="n">
        <v>0</v>
      </c>
      <c r="N9742" t="n">
        <v>0</v>
      </c>
      <c r="O9742" t="n">
        <v>0</v>
      </c>
      <c r="P9742" t="n">
        <v>0</v>
      </c>
      <c r="Q9742" t="n">
        <v>0</v>
      </c>
      <c r="R9742" s="2" t="inlineStr"/>
    </row>
    <row r="9743" ht="15" customHeight="1">
      <c r="A9743" t="inlineStr">
        <is>
          <t>A 54018-2021</t>
        </is>
      </c>
      <c r="B9743" s="1" t="n">
        <v>44468</v>
      </c>
      <c r="C9743" s="1" t="n">
        <v>45952</v>
      </c>
      <c r="D9743" t="inlineStr">
        <is>
          <t>VÄSTRA GÖTALANDS LÄN</t>
        </is>
      </c>
      <c r="E9743" t="inlineStr">
        <is>
          <t>DALS-ED</t>
        </is>
      </c>
      <c r="G9743" t="n">
        <v>6</v>
      </c>
      <c r="H9743" t="n">
        <v>0</v>
      </c>
      <c r="I9743" t="n">
        <v>0</v>
      </c>
      <c r="J9743" t="n">
        <v>0</v>
      </c>
      <c r="K9743" t="n">
        <v>0</v>
      </c>
      <c r="L9743" t="n">
        <v>0</v>
      </c>
      <c r="M9743" t="n">
        <v>0</v>
      </c>
      <c r="N9743" t="n">
        <v>0</v>
      </c>
      <c r="O9743" t="n">
        <v>0</v>
      </c>
      <c r="P9743" t="n">
        <v>0</v>
      </c>
      <c r="Q9743" t="n">
        <v>0</v>
      </c>
      <c r="R9743" s="2" t="inlineStr"/>
    </row>
    <row r="9744" ht="15" customHeight="1">
      <c r="A9744" t="inlineStr">
        <is>
          <t>A 49460-2025</t>
        </is>
      </c>
      <c r="B9744" s="1" t="n">
        <v>45939.31943287037</v>
      </c>
      <c r="C9744" s="1" t="n">
        <v>45952</v>
      </c>
      <c r="D9744" t="inlineStr">
        <is>
          <t>VÄSTRA GÖTALANDS LÄN</t>
        </is>
      </c>
      <c r="E9744" t="inlineStr">
        <is>
          <t>BOLLEBYGD</t>
        </is>
      </c>
      <c r="G9744" t="n">
        <v>3.1</v>
      </c>
      <c r="H9744" t="n">
        <v>0</v>
      </c>
      <c r="I9744" t="n">
        <v>0</v>
      </c>
      <c r="J9744" t="n">
        <v>0</v>
      </c>
      <c r="K9744" t="n">
        <v>0</v>
      </c>
      <c r="L9744" t="n">
        <v>0</v>
      </c>
      <c r="M9744" t="n">
        <v>0</v>
      </c>
      <c r="N9744" t="n">
        <v>0</v>
      </c>
      <c r="O9744" t="n">
        <v>0</v>
      </c>
      <c r="P9744" t="n">
        <v>0</v>
      </c>
      <c r="Q9744" t="n">
        <v>0</v>
      </c>
      <c r="R9744" s="2" t="inlineStr"/>
    </row>
    <row r="9745" ht="15" customHeight="1">
      <c r="A9745" t="inlineStr">
        <is>
          <t>A 47835-2023</t>
        </is>
      </c>
      <c r="B9745" s="1" t="n">
        <v>45204.37236111111</v>
      </c>
      <c r="C9745" s="1" t="n">
        <v>45952</v>
      </c>
      <c r="D9745" t="inlineStr">
        <is>
          <t>VÄSTRA GÖTALANDS LÄN</t>
        </is>
      </c>
      <c r="E9745" t="inlineStr">
        <is>
          <t>BORÅS</t>
        </is>
      </c>
      <c r="G9745" t="n">
        <v>3.5</v>
      </c>
      <c r="H9745" t="n">
        <v>0</v>
      </c>
      <c r="I9745" t="n">
        <v>0</v>
      </c>
      <c r="J9745" t="n">
        <v>0</v>
      </c>
      <c r="K9745" t="n">
        <v>0</v>
      </c>
      <c r="L9745" t="n">
        <v>0</v>
      </c>
      <c r="M9745" t="n">
        <v>0</v>
      </c>
      <c r="N9745" t="n">
        <v>0</v>
      </c>
      <c r="O9745" t="n">
        <v>0</v>
      </c>
      <c r="P9745" t="n">
        <v>0</v>
      </c>
      <c r="Q9745" t="n">
        <v>0</v>
      </c>
      <c r="R9745" s="2" t="inlineStr"/>
    </row>
    <row r="9746" ht="15" customHeight="1">
      <c r="A9746" t="inlineStr">
        <is>
          <t>A 24275-2025</t>
        </is>
      </c>
      <c r="B9746" s="1" t="n">
        <v>45797.44449074074</v>
      </c>
      <c r="C9746" s="1" t="n">
        <v>45952</v>
      </c>
      <c r="D9746" t="inlineStr">
        <is>
          <t>VÄSTRA GÖTALANDS LÄN</t>
        </is>
      </c>
      <c r="E9746" t="inlineStr">
        <is>
          <t>TRANEMO</t>
        </is>
      </c>
      <c r="G9746" t="n">
        <v>6.9</v>
      </c>
      <c r="H9746" t="n">
        <v>0</v>
      </c>
      <c r="I9746" t="n">
        <v>0</v>
      </c>
      <c r="J9746" t="n">
        <v>0</v>
      </c>
      <c r="K9746" t="n">
        <v>0</v>
      </c>
      <c r="L9746" t="n">
        <v>0</v>
      </c>
      <c r="M9746" t="n">
        <v>0</v>
      </c>
      <c r="N9746" t="n">
        <v>0</v>
      </c>
      <c r="O9746" t="n">
        <v>0</v>
      </c>
      <c r="P9746" t="n">
        <v>0</v>
      </c>
      <c r="Q9746" t="n">
        <v>0</v>
      </c>
      <c r="R9746" s="2" t="inlineStr"/>
    </row>
    <row r="9747" ht="15" customHeight="1">
      <c r="A9747" t="inlineStr">
        <is>
          <t>A 57727-2024</t>
        </is>
      </c>
      <c r="B9747" s="1" t="n">
        <v>45630.70841435185</v>
      </c>
      <c r="C9747" s="1" t="n">
        <v>45952</v>
      </c>
      <c r="D9747" t="inlineStr">
        <is>
          <t>VÄSTRA GÖTALANDS LÄN</t>
        </is>
      </c>
      <c r="E9747" t="inlineStr">
        <is>
          <t>KARLSBORG</t>
        </is>
      </c>
      <c r="F9747" t="inlineStr">
        <is>
          <t>Övriga Aktiebolag</t>
        </is>
      </c>
      <c r="G9747" t="n">
        <v>1.5</v>
      </c>
      <c r="H9747" t="n">
        <v>0</v>
      </c>
      <c r="I9747" t="n">
        <v>0</v>
      </c>
      <c r="J9747" t="n">
        <v>0</v>
      </c>
      <c r="K9747" t="n">
        <v>0</v>
      </c>
      <c r="L9747" t="n">
        <v>0</v>
      </c>
      <c r="M9747" t="n">
        <v>0</v>
      </c>
      <c r="N9747" t="n">
        <v>0</v>
      </c>
      <c r="O9747" t="n">
        <v>0</v>
      </c>
      <c r="P9747" t="n">
        <v>0</v>
      </c>
      <c r="Q9747" t="n">
        <v>0</v>
      </c>
      <c r="R9747" s="2" t="inlineStr"/>
    </row>
    <row r="9748" ht="15" customHeight="1">
      <c r="A9748" t="inlineStr">
        <is>
          <t>A 49692-2025</t>
        </is>
      </c>
      <c r="B9748" s="1" t="n">
        <v>45939.66929398148</v>
      </c>
      <c r="C9748" s="1" t="n">
        <v>45952</v>
      </c>
      <c r="D9748" t="inlineStr">
        <is>
          <t>VÄSTRA GÖTALANDS LÄN</t>
        </is>
      </c>
      <c r="E9748" t="inlineStr">
        <is>
          <t>TRANEMO</t>
        </is>
      </c>
      <c r="G9748" t="n">
        <v>7.3</v>
      </c>
      <c r="H9748" t="n">
        <v>0</v>
      </c>
      <c r="I9748" t="n">
        <v>0</v>
      </c>
      <c r="J9748" t="n">
        <v>0</v>
      </c>
      <c r="K9748" t="n">
        <v>0</v>
      </c>
      <c r="L9748" t="n">
        <v>0</v>
      </c>
      <c r="M9748" t="n">
        <v>0</v>
      </c>
      <c r="N9748" t="n">
        <v>0</v>
      </c>
      <c r="O9748" t="n">
        <v>0</v>
      </c>
      <c r="P9748" t="n">
        <v>0</v>
      </c>
      <c r="Q9748" t="n">
        <v>0</v>
      </c>
      <c r="R9748" s="2" t="inlineStr"/>
    </row>
    <row r="9749" ht="15" customHeight="1">
      <c r="A9749" t="inlineStr">
        <is>
          <t>A 49693-2025</t>
        </is>
      </c>
      <c r="B9749" s="1" t="n">
        <v>45939.67203703704</v>
      </c>
      <c r="C9749" s="1" t="n">
        <v>45952</v>
      </c>
      <c r="D9749" t="inlineStr">
        <is>
          <t>VÄSTRA GÖTALANDS LÄN</t>
        </is>
      </c>
      <c r="E9749" t="inlineStr">
        <is>
          <t>ESSUNGA</t>
        </is>
      </c>
      <c r="G9749" t="n">
        <v>1</v>
      </c>
      <c r="H9749" t="n">
        <v>0</v>
      </c>
      <c r="I9749" t="n">
        <v>0</v>
      </c>
      <c r="J9749" t="n">
        <v>0</v>
      </c>
      <c r="K9749" t="n">
        <v>0</v>
      </c>
      <c r="L9749" t="n">
        <v>0</v>
      </c>
      <c r="M9749" t="n">
        <v>0</v>
      </c>
      <c r="N9749" t="n">
        <v>0</v>
      </c>
      <c r="O9749" t="n">
        <v>0</v>
      </c>
      <c r="P9749" t="n">
        <v>0</v>
      </c>
      <c r="Q9749" t="n">
        <v>0</v>
      </c>
      <c r="R9749" s="2" t="inlineStr"/>
    </row>
    <row r="9750" ht="15" customHeight="1">
      <c r="A9750" t="inlineStr">
        <is>
          <t>A 40758-2025</t>
        </is>
      </c>
      <c r="B9750" s="1" t="n">
        <v>45897</v>
      </c>
      <c r="C9750" s="1" t="n">
        <v>45952</v>
      </c>
      <c r="D9750" t="inlineStr">
        <is>
          <t>VÄSTRA GÖTALANDS LÄN</t>
        </is>
      </c>
      <c r="E9750" t="inlineStr">
        <is>
          <t>TIBRO</t>
        </is>
      </c>
      <c r="G9750" t="n">
        <v>5.1</v>
      </c>
      <c r="H9750" t="n">
        <v>0</v>
      </c>
      <c r="I9750" t="n">
        <v>0</v>
      </c>
      <c r="J9750" t="n">
        <v>0</v>
      </c>
      <c r="K9750" t="n">
        <v>0</v>
      </c>
      <c r="L9750" t="n">
        <v>0</v>
      </c>
      <c r="M9750" t="n">
        <v>0</v>
      </c>
      <c r="N9750" t="n">
        <v>0</v>
      </c>
      <c r="O9750" t="n">
        <v>0</v>
      </c>
      <c r="P9750" t="n">
        <v>0</v>
      </c>
      <c r="Q9750" t="n">
        <v>0</v>
      </c>
      <c r="R9750" s="2" t="inlineStr"/>
    </row>
    <row r="9751" ht="15" customHeight="1">
      <c r="A9751" t="inlineStr">
        <is>
          <t>A 23503-2025</t>
        </is>
      </c>
      <c r="B9751" s="1" t="n">
        <v>45795</v>
      </c>
      <c r="C9751" s="1" t="n">
        <v>45952</v>
      </c>
      <c r="D9751" t="inlineStr">
        <is>
          <t>VÄSTRA GÖTALANDS LÄN</t>
        </is>
      </c>
      <c r="E9751" t="inlineStr">
        <is>
          <t>SOTENÄS</t>
        </is>
      </c>
      <c r="G9751" t="n">
        <v>14.1</v>
      </c>
      <c r="H9751" t="n">
        <v>0</v>
      </c>
      <c r="I9751" t="n">
        <v>0</v>
      </c>
      <c r="J9751" t="n">
        <v>0</v>
      </c>
      <c r="K9751" t="n">
        <v>0</v>
      </c>
      <c r="L9751" t="n">
        <v>0</v>
      </c>
      <c r="M9751" t="n">
        <v>0</v>
      </c>
      <c r="N9751" t="n">
        <v>0</v>
      </c>
      <c r="O9751" t="n">
        <v>0</v>
      </c>
      <c r="P9751" t="n">
        <v>0</v>
      </c>
      <c r="Q9751" t="n">
        <v>0</v>
      </c>
      <c r="R9751" s="2" t="inlineStr"/>
    </row>
    <row r="9752" ht="15" customHeight="1">
      <c r="A9752" t="inlineStr">
        <is>
          <t>A 14895-2025</t>
        </is>
      </c>
      <c r="B9752" s="1" t="n">
        <v>45743.47871527778</v>
      </c>
      <c r="C9752" s="1" t="n">
        <v>45952</v>
      </c>
      <c r="D9752" t="inlineStr">
        <is>
          <t>VÄSTRA GÖTALANDS LÄN</t>
        </is>
      </c>
      <c r="E9752" t="inlineStr">
        <is>
          <t>TANUM</t>
        </is>
      </c>
      <c r="G9752" t="n">
        <v>1</v>
      </c>
      <c r="H9752" t="n">
        <v>0</v>
      </c>
      <c r="I9752" t="n">
        <v>0</v>
      </c>
      <c r="J9752" t="n">
        <v>0</v>
      </c>
      <c r="K9752" t="n">
        <v>0</v>
      </c>
      <c r="L9752" t="n">
        <v>0</v>
      </c>
      <c r="M9752" t="n">
        <v>0</v>
      </c>
      <c r="N9752" t="n">
        <v>0</v>
      </c>
      <c r="O9752" t="n">
        <v>0</v>
      </c>
      <c r="P9752" t="n">
        <v>0</v>
      </c>
      <c r="Q9752" t="n">
        <v>0</v>
      </c>
      <c r="R9752" s="2" t="inlineStr"/>
    </row>
    <row r="9753" ht="15" customHeight="1">
      <c r="A9753" t="inlineStr">
        <is>
          <t>A 64794-2023</t>
        </is>
      </c>
      <c r="B9753" s="1" t="n">
        <v>45282.36902777778</v>
      </c>
      <c r="C9753" s="1" t="n">
        <v>45952</v>
      </c>
      <c r="D9753" t="inlineStr">
        <is>
          <t>VÄSTRA GÖTALANDS LÄN</t>
        </is>
      </c>
      <c r="E9753" t="inlineStr">
        <is>
          <t>ULRICEHAMN</t>
        </is>
      </c>
      <c r="G9753" t="n">
        <v>0.5</v>
      </c>
      <c r="H9753" t="n">
        <v>0</v>
      </c>
      <c r="I9753" t="n">
        <v>0</v>
      </c>
      <c r="J9753" t="n">
        <v>0</v>
      </c>
      <c r="K9753" t="n">
        <v>0</v>
      </c>
      <c r="L9753" t="n">
        <v>0</v>
      </c>
      <c r="M9753" t="n">
        <v>0</v>
      </c>
      <c r="N9753" t="n">
        <v>0</v>
      </c>
      <c r="O9753" t="n">
        <v>0</v>
      </c>
      <c r="P9753" t="n">
        <v>0</v>
      </c>
      <c r="Q9753" t="n">
        <v>0</v>
      </c>
      <c r="R9753" s="2" t="inlineStr"/>
    </row>
    <row r="9754" ht="15" customHeight="1">
      <c r="A9754" t="inlineStr">
        <is>
          <t>A 49417-2025</t>
        </is>
      </c>
      <c r="B9754" s="1" t="n">
        <v>45938.69787037037</v>
      </c>
      <c r="C9754" s="1" t="n">
        <v>45952</v>
      </c>
      <c r="D9754" t="inlineStr">
        <is>
          <t>VÄSTRA GÖTALANDS LÄN</t>
        </is>
      </c>
      <c r="E9754" t="inlineStr">
        <is>
          <t>ALINGSÅS</t>
        </is>
      </c>
      <c r="G9754" t="n">
        <v>1.9</v>
      </c>
      <c r="H9754" t="n">
        <v>0</v>
      </c>
      <c r="I9754" t="n">
        <v>0</v>
      </c>
      <c r="J9754" t="n">
        <v>0</v>
      </c>
      <c r="K9754" t="n">
        <v>0</v>
      </c>
      <c r="L9754" t="n">
        <v>0</v>
      </c>
      <c r="M9754" t="n">
        <v>0</v>
      </c>
      <c r="N9754" t="n">
        <v>0</v>
      </c>
      <c r="O9754" t="n">
        <v>0</v>
      </c>
      <c r="P9754" t="n">
        <v>0</v>
      </c>
      <c r="Q9754" t="n">
        <v>0</v>
      </c>
      <c r="R9754" s="2" t="inlineStr"/>
    </row>
    <row r="9755" ht="15" customHeight="1">
      <c r="A9755" t="inlineStr">
        <is>
          <t>A 49420-2025</t>
        </is>
      </c>
      <c r="B9755" s="1" t="n">
        <v>45938.70332175926</v>
      </c>
      <c r="C9755" s="1" t="n">
        <v>45952</v>
      </c>
      <c r="D9755" t="inlineStr">
        <is>
          <t>VÄSTRA GÖTALANDS LÄN</t>
        </is>
      </c>
      <c r="E9755" t="inlineStr">
        <is>
          <t>ALINGSÅS</t>
        </is>
      </c>
      <c r="G9755" t="n">
        <v>5</v>
      </c>
      <c r="H9755" t="n">
        <v>0</v>
      </c>
      <c r="I9755" t="n">
        <v>0</v>
      </c>
      <c r="J9755" t="n">
        <v>0</v>
      </c>
      <c r="K9755" t="n">
        <v>0</v>
      </c>
      <c r="L9755" t="n">
        <v>0</v>
      </c>
      <c r="M9755" t="n">
        <v>0</v>
      </c>
      <c r="N9755" t="n">
        <v>0</v>
      </c>
      <c r="O9755" t="n">
        <v>0</v>
      </c>
      <c r="P9755" t="n">
        <v>0</v>
      </c>
      <c r="Q9755" t="n">
        <v>0</v>
      </c>
      <c r="R9755" s="2" t="inlineStr"/>
    </row>
    <row r="9756" ht="15" customHeight="1">
      <c r="A9756" t="inlineStr">
        <is>
          <t>A 40823-2025</t>
        </is>
      </c>
      <c r="B9756" s="1" t="n">
        <v>45897.49462962963</v>
      </c>
      <c r="C9756" s="1" t="n">
        <v>45952</v>
      </c>
      <c r="D9756" t="inlineStr">
        <is>
          <t>VÄSTRA GÖTALANDS LÄN</t>
        </is>
      </c>
      <c r="E9756" t="inlineStr">
        <is>
          <t>HERRLJUNGA</t>
        </is>
      </c>
      <c r="G9756" t="n">
        <v>1.4</v>
      </c>
      <c r="H9756" t="n">
        <v>0</v>
      </c>
      <c r="I9756" t="n">
        <v>0</v>
      </c>
      <c r="J9756" t="n">
        <v>0</v>
      </c>
      <c r="K9756" t="n">
        <v>0</v>
      </c>
      <c r="L9756" t="n">
        <v>0</v>
      </c>
      <c r="M9756" t="n">
        <v>0</v>
      </c>
      <c r="N9756" t="n">
        <v>0</v>
      </c>
      <c r="O9756" t="n">
        <v>0</v>
      </c>
      <c r="P9756" t="n">
        <v>0</v>
      </c>
      <c r="Q9756" t="n">
        <v>0</v>
      </c>
      <c r="R9756" s="2" t="inlineStr"/>
    </row>
    <row r="9757" ht="15" customHeight="1">
      <c r="A9757" t="inlineStr">
        <is>
          <t>A 35040-2024</t>
        </is>
      </c>
      <c r="B9757" s="1" t="n">
        <v>45527.61861111111</v>
      </c>
      <c r="C9757" s="1" t="n">
        <v>45952</v>
      </c>
      <c r="D9757" t="inlineStr">
        <is>
          <t>VÄSTRA GÖTALANDS LÄN</t>
        </is>
      </c>
      <c r="E9757" t="inlineStr">
        <is>
          <t>KARLSBORG</t>
        </is>
      </c>
      <c r="G9757" t="n">
        <v>3.9</v>
      </c>
      <c r="H9757" t="n">
        <v>0</v>
      </c>
      <c r="I9757" t="n">
        <v>0</v>
      </c>
      <c r="J9757" t="n">
        <v>0</v>
      </c>
      <c r="K9757" t="n">
        <v>0</v>
      </c>
      <c r="L9757" t="n">
        <v>0</v>
      </c>
      <c r="M9757" t="n">
        <v>0</v>
      </c>
      <c r="N9757" t="n">
        <v>0</v>
      </c>
      <c r="O9757" t="n">
        <v>0</v>
      </c>
      <c r="P9757" t="n">
        <v>0</v>
      </c>
      <c r="Q9757" t="n">
        <v>0</v>
      </c>
      <c r="R9757" s="2" t="inlineStr"/>
    </row>
    <row r="9758" ht="15" customHeight="1">
      <c r="A9758" t="inlineStr">
        <is>
          <t>A 49743-2023</t>
        </is>
      </c>
      <c r="B9758" s="1" t="n">
        <v>45212.49534722222</v>
      </c>
      <c r="C9758" s="1" t="n">
        <v>45952</v>
      </c>
      <c r="D9758" t="inlineStr">
        <is>
          <t>VÄSTRA GÖTALANDS LÄN</t>
        </is>
      </c>
      <c r="E9758" t="inlineStr">
        <is>
          <t>HERRLJUNGA</t>
        </is>
      </c>
      <c r="G9758" t="n">
        <v>1.9</v>
      </c>
      <c r="H9758" t="n">
        <v>0</v>
      </c>
      <c r="I9758" t="n">
        <v>0</v>
      </c>
      <c r="J9758" t="n">
        <v>0</v>
      </c>
      <c r="K9758" t="n">
        <v>0</v>
      </c>
      <c r="L9758" t="n">
        <v>0</v>
      </c>
      <c r="M9758" t="n">
        <v>0</v>
      </c>
      <c r="N9758" t="n">
        <v>0</v>
      </c>
      <c r="O9758" t="n">
        <v>0</v>
      </c>
      <c r="P9758" t="n">
        <v>0</v>
      </c>
      <c r="Q9758" t="n">
        <v>0</v>
      </c>
      <c r="R9758" s="2" t="inlineStr"/>
    </row>
    <row r="9759" ht="15" customHeight="1">
      <c r="A9759" t="inlineStr">
        <is>
          <t>A 52869-2024</t>
        </is>
      </c>
      <c r="B9759" s="1" t="n">
        <v>45610.62446759259</v>
      </c>
      <c r="C9759" s="1" t="n">
        <v>45952</v>
      </c>
      <c r="D9759" t="inlineStr">
        <is>
          <t>VÄSTRA GÖTALANDS LÄN</t>
        </is>
      </c>
      <c r="E9759" t="inlineStr">
        <is>
          <t>MARIESTAD</t>
        </is>
      </c>
      <c r="G9759" t="n">
        <v>4.9</v>
      </c>
      <c r="H9759" t="n">
        <v>0</v>
      </c>
      <c r="I9759" t="n">
        <v>0</v>
      </c>
      <c r="J9759" t="n">
        <v>0</v>
      </c>
      <c r="K9759" t="n">
        <v>0</v>
      </c>
      <c r="L9759" t="n">
        <v>0</v>
      </c>
      <c r="M9759" t="n">
        <v>0</v>
      </c>
      <c r="N9759" t="n">
        <v>0</v>
      </c>
      <c r="O9759" t="n">
        <v>0</v>
      </c>
      <c r="P9759" t="n">
        <v>0</v>
      </c>
      <c r="Q9759" t="n">
        <v>0</v>
      </c>
      <c r="R9759" s="2" t="inlineStr"/>
    </row>
    <row r="9760" ht="15" customHeight="1">
      <c r="A9760" t="inlineStr">
        <is>
          <t>A 49188-2025</t>
        </is>
      </c>
      <c r="B9760" s="1" t="n">
        <v>45938.40711805555</v>
      </c>
      <c r="C9760" s="1" t="n">
        <v>45952</v>
      </c>
      <c r="D9760" t="inlineStr">
        <is>
          <t>VÄSTRA GÖTALANDS LÄN</t>
        </is>
      </c>
      <c r="E9760" t="inlineStr">
        <is>
          <t>LILLA EDET</t>
        </is>
      </c>
      <c r="G9760" t="n">
        <v>1.7</v>
      </c>
      <c r="H9760" t="n">
        <v>0</v>
      </c>
      <c r="I9760" t="n">
        <v>0</v>
      </c>
      <c r="J9760" t="n">
        <v>0</v>
      </c>
      <c r="K9760" t="n">
        <v>0</v>
      </c>
      <c r="L9760" t="n">
        <v>0</v>
      </c>
      <c r="M9760" t="n">
        <v>0</v>
      </c>
      <c r="N9760" t="n">
        <v>0</v>
      </c>
      <c r="O9760" t="n">
        <v>0</v>
      </c>
      <c r="P9760" t="n">
        <v>0</v>
      </c>
      <c r="Q9760" t="n">
        <v>0</v>
      </c>
      <c r="R9760" s="2" t="inlineStr"/>
    </row>
    <row r="9761" ht="15" customHeight="1">
      <c r="A9761" t="inlineStr">
        <is>
          <t>A 50302-2023</t>
        </is>
      </c>
      <c r="B9761" s="1" t="n">
        <v>45216</v>
      </c>
      <c r="C9761" s="1" t="n">
        <v>45952</v>
      </c>
      <c r="D9761" t="inlineStr">
        <is>
          <t>VÄSTRA GÖTALANDS LÄN</t>
        </is>
      </c>
      <c r="E9761" t="inlineStr">
        <is>
          <t>BOLLEBYGD</t>
        </is>
      </c>
      <c r="G9761" t="n">
        <v>1.3</v>
      </c>
      <c r="H9761" t="n">
        <v>0</v>
      </c>
      <c r="I9761" t="n">
        <v>0</v>
      </c>
      <c r="J9761" t="n">
        <v>0</v>
      </c>
      <c r="K9761" t="n">
        <v>0</v>
      </c>
      <c r="L9761" t="n">
        <v>0</v>
      </c>
      <c r="M9761" t="n">
        <v>0</v>
      </c>
      <c r="N9761" t="n">
        <v>0</v>
      </c>
      <c r="O9761" t="n">
        <v>0</v>
      </c>
      <c r="P9761" t="n">
        <v>0</v>
      </c>
      <c r="Q9761" t="n">
        <v>0</v>
      </c>
      <c r="R9761" s="2" t="inlineStr"/>
    </row>
    <row r="9762" ht="15" customHeight="1">
      <c r="A9762" t="inlineStr">
        <is>
          <t>A 7967-2024</t>
        </is>
      </c>
      <c r="B9762" s="1" t="n">
        <v>45350.58181712963</v>
      </c>
      <c r="C9762" s="1" t="n">
        <v>45952</v>
      </c>
      <c r="D9762" t="inlineStr">
        <is>
          <t>VÄSTRA GÖTALANDS LÄN</t>
        </is>
      </c>
      <c r="E9762" t="inlineStr">
        <is>
          <t>HERRLJUNGA</t>
        </is>
      </c>
      <c r="G9762" t="n">
        <v>1.3</v>
      </c>
      <c r="H9762" t="n">
        <v>0</v>
      </c>
      <c r="I9762" t="n">
        <v>0</v>
      </c>
      <c r="J9762" t="n">
        <v>0</v>
      </c>
      <c r="K9762" t="n">
        <v>0</v>
      </c>
      <c r="L9762" t="n">
        <v>0</v>
      </c>
      <c r="M9762" t="n">
        <v>0</v>
      </c>
      <c r="N9762" t="n">
        <v>0</v>
      </c>
      <c r="O9762" t="n">
        <v>0</v>
      </c>
      <c r="P9762" t="n">
        <v>0</v>
      </c>
      <c r="Q9762" t="n">
        <v>0</v>
      </c>
      <c r="R9762" s="2" t="inlineStr"/>
    </row>
    <row r="9763" ht="15" customHeight="1">
      <c r="A9763" t="inlineStr">
        <is>
          <t>A 7989-2024</t>
        </is>
      </c>
      <c r="B9763" s="1" t="n">
        <v>45350</v>
      </c>
      <c r="C9763" s="1" t="n">
        <v>45952</v>
      </c>
      <c r="D9763" t="inlineStr">
        <is>
          <t>VÄSTRA GÖTALANDS LÄN</t>
        </is>
      </c>
      <c r="E9763" t="inlineStr">
        <is>
          <t>LERUM</t>
        </is>
      </c>
      <c r="G9763" t="n">
        <v>2.3</v>
      </c>
      <c r="H9763" t="n">
        <v>0</v>
      </c>
      <c r="I9763" t="n">
        <v>0</v>
      </c>
      <c r="J9763" t="n">
        <v>0</v>
      </c>
      <c r="K9763" t="n">
        <v>0</v>
      </c>
      <c r="L9763" t="n">
        <v>0</v>
      </c>
      <c r="M9763" t="n">
        <v>0</v>
      </c>
      <c r="N9763" t="n">
        <v>0</v>
      </c>
      <c r="O9763" t="n">
        <v>0</v>
      </c>
      <c r="P9763" t="n">
        <v>0</v>
      </c>
      <c r="Q9763" t="n">
        <v>0</v>
      </c>
      <c r="R9763" s="2" t="inlineStr"/>
    </row>
    <row r="9764" ht="15" customHeight="1">
      <c r="A9764" t="inlineStr">
        <is>
          <t>A 58158-2024</t>
        </is>
      </c>
      <c r="B9764" s="1" t="n">
        <v>45632.44810185185</v>
      </c>
      <c r="C9764" s="1" t="n">
        <v>45952</v>
      </c>
      <c r="D9764" t="inlineStr">
        <is>
          <t>VÄSTRA GÖTALANDS LÄN</t>
        </is>
      </c>
      <c r="E9764" t="inlineStr">
        <is>
          <t>BENGTSFORS</t>
        </is>
      </c>
      <c r="G9764" t="n">
        <v>1.4</v>
      </c>
      <c r="H9764" t="n">
        <v>0</v>
      </c>
      <c r="I9764" t="n">
        <v>0</v>
      </c>
      <c r="J9764" t="n">
        <v>0</v>
      </c>
      <c r="K9764" t="n">
        <v>0</v>
      </c>
      <c r="L9764" t="n">
        <v>0</v>
      </c>
      <c r="M9764" t="n">
        <v>0</v>
      </c>
      <c r="N9764" t="n">
        <v>0</v>
      </c>
      <c r="O9764" t="n">
        <v>0</v>
      </c>
      <c r="P9764" t="n">
        <v>0</v>
      </c>
      <c r="Q9764" t="n">
        <v>0</v>
      </c>
      <c r="R9764" s="2" t="inlineStr"/>
    </row>
    <row r="9765" ht="15" customHeight="1">
      <c r="A9765" t="inlineStr">
        <is>
          <t>A 49547-2025</t>
        </is>
      </c>
      <c r="B9765" s="1" t="n">
        <v>45939.4374537037</v>
      </c>
      <c r="C9765" s="1" t="n">
        <v>45952</v>
      </c>
      <c r="D9765" t="inlineStr">
        <is>
          <t>VÄSTRA GÖTALANDS LÄN</t>
        </is>
      </c>
      <c r="E9765" t="inlineStr">
        <is>
          <t>ULRICEHAMN</t>
        </is>
      </c>
      <c r="G9765" t="n">
        <v>1.6</v>
      </c>
      <c r="H9765" t="n">
        <v>0</v>
      </c>
      <c r="I9765" t="n">
        <v>0</v>
      </c>
      <c r="J9765" t="n">
        <v>0</v>
      </c>
      <c r="K9765" t="n">
        <v>0</v>
      </c>
      <c r="L9765" t="n">
        <v>0</v>
      </c>
      <c r="M9765" t="n">
        <v>0</v>
      </c>
      <c r="N9765" t="n">
        <v>0</v>
      </c>
      <c r="O9765" t="n">
        <v>0</v>
      </c>
      <c r="P9765" t="n">
        <v>0</v>
      </c>
      <c r="Q9765" t="n">
        <v>0</v>
      </c>
      <c r="R9765" s="2" t="inlineStr"/>
    </row>
    <row r="9766" ht="15" customHeight="1">
      <c r="A9766" t="inlineStr">
        <is>
          <t>A 35360-2022</t>
        </is>
      </c>
      <c r="B9766" s="1" t="n">
        <v>44798</v>
      </c>
      <c r="C9766" s="1" t="n">
        <v>45952</v>
      </c>
      <c r="D9766" t="inlineStr">
        <is>
          <t>VÄSTRA GÖTALANDS LÄN</t>
        </is>
      </c>
      <c r="E9766" t="inlineStr">
        <is>
          <t>TÖREBODA</t>
        </is>
      </c>
      <c r="G9766" t="n">
        <v>2.5</v>
      </c>
      <c r="H9766" t="n">
        <v>0</v>
      </c>
      <c r="I9766" t="n">
        <v>0</v>
      </c>
      <c r="J9766" t="n">
        <v>0</v>
      </c>
      <c r="K9766" t="n">
        <v>0</v>
      </c>
      <c r="L9766" t="n">
        <v>0</v>
      </c>
      <c r="M9766" t="n">
        <v>0</v>
      </c>
      <c r="N9766" t="n">
        <v>0</v>
      </c>
      <c r="O9766" t="n">
        <v>0</v>
      </c>
      <c r="P9766" t="n">
        <v>0</v>
      </c>
      <c r="Q9766" t="n">
        <v>0</v>
      </c>
      <c r="R9766" s="2" t="inlineStr"/>
    </row>
    <row r="9767" ht="15" customHeight="1">
      <c r="A9767" t="inlineStr">
        <is>
          <t>A 40848-2025</t>
        </is>
      </c>
      <c r="B9767" s="1" t="n">
        <v>45897</v>
      </c>
      <c r="C9767" s="1" t="n">
        <v>45952</v>
      </c>
      <c r="D9767" t="inlineStr">
        <is>
          <t>VÄSTRA GÖTALANDS LÄN</t>
        </is>
      </c>
      <c r="E9767" t="inlineStr">
        <is>
          <t>LERUM</t>
        </is>
      </c>
      <c r="G9767" t="n">
        <v>1.1</v>
      </c>
      <c r="H9767" t="n">
        <v>0</v>
      </c>
      <c r="I9767" t="n">
        <v>0</v>
      </c>
      <c r="J9767" t="n">
        <v>0</v>
      </c>
      <c r="K9767" t="n">
        <v>0</v>
      </c>
      <c r="L9767" t="n">
        <v>0</v>
      </c>
      <c r="M9767" t="n">
        <v>0</v>
      </c>
      <c r="N9767" t="n">
        <v>0</v>
      </c>
      <c r="O9767" t="n">
        <v>0</v>
      </c>
      <c r="P9767" t="n">
        <v>0</v>
      </c>
      <c r="Q9767" t="n">
        <v>0</v>
      </c>
      <c r="R9767" s="2" t="inlineStr"/>
    </row>
    <row r="9768" ht="15" customHeight="1">
      <c r="A9768" t="inlineStr">
        <is>
          <t>A 3476-2023</t>
        </is>
      </c>
      <c r="B9768" s="1" t="n">
        <v>44949</v>
      </c>
      <c r="C9768" s="1" t="n">
        <v>45952</v>
      </c>
      <c r="D9768" t="inlineStr">
        <is>
          <t>VÄSTRA GÖTALANDS LÄN</t>
        </is>
      </c>
      <c r="E9768" t="inlineStr">
        <is>
          <t>BORÅS</t>
        </is>
      </c>
      <c r="G9768" t="n">
        <v>3.4</v>
      </c>
      <c r="H9768" t="n">
        <v>0</v>
      </c>
      <c r="I9768" t="n">
        <v>0</v>
      </c>
      <c r="J9768" t="n">
        <v>0</v>
      </c>
      <c r="K9768" t="n">
        <v>0</v>
      </c>
      <c r="L9768" t="n">
        <v>0</v>
      </c>
      <c r="M9768" t="n">
        <v>0</v>
      </c>
      <c r="N9768" t="n">
        <v>0</v>
      </c>
      <c r="O9768" t="n">
        <v>0</v>
      </c>
      <c r="P9768" t="n">
        <v>0</v>
      </c>
      <c r="Q9768" t="n">
        <v>0</v>
      </c>
      <c r="R9768" s="2" t="inlineStr"/>
    </row>
    <row r="9769" ht="15" customHeight="1">
      <c r="A9769" t="inlineStr">
        <is>
          <t>A 40858-2025</t>
        </is>
      </c>
      <c r="B9769" s="1" t="n">
        <v>45897.56038194444</v>
      </c>
      <c r="C9769" s="1" t="n">
        <v>45952</v>
      </c>
      <c r="D9769" t="inlineStr">
        <is>
          <t>VÄSTRA GÖTALANDS LÄN</t>
        </is>
      </c>
      <c r="E9769" t="inlineStr">
        <is>
          <t>BENGTSFORS</t>
        </is>
      </c>
      <c r="G9769" t="n">
        <v>1.2</v>
      </c>
      <c r="H9769" t="n">
        <v>0</v>
      </c>
      <c r="I9769" t="n">
        <v>0</v>
      </c>
      <c r="J9769" t="n">
        <v>0</v>
      </c>
      <c r="K9769" t="n">
        <v>0</v>
      </c>
      <c r="L9769" t="n">
        <v>0</v>
      </c>
      <c r="M9769" t="n">
        <v>0</v>
      </c>
      <c r="N9769" t="n">
        <v>0</v>
      </c>
      <c r="O9769" t="n">
        <v>0</v>
      </c>
      <c r="P9769" t="n">
        <v>0</v>
      </c>
      <c r="Q9769" t="n">
        <v>0</v>
      </c>
      <c r="R9769" s="2" t="inlineStr"/>
    </row>
    <row r="9770" ht="15" customHeight="1">
      <c r="A9770" t="inlineStr">
        <is>
          <t>A 40859-2025</t>
        </is>
      </c>
      <c r="B9770" s="1" t="n">
        <v>45897.56069444444</v>
      </c>
      <c r="C9770" s="1" t="n">
        <v>45952</v>
      </c>
      <c r="D9770" t="inlineStr">
        <is>
          <t>VÄSTRA GÖTALANDS LÄN</t>
        </is>
      </c>
      <c r="E9770" t="inlineStr">
        <is>
          <t>HJO</t>
        </is>
      </c>
      <c r="G9770" t="n">
        <v>0.7</v>
      </c>
      <c r="H9770" t="n">
        <v>0</v>
      </c>
      <c r="I9770" t="n">
        <v>0</v>
      </c>
      <c r="J9770" t="n">
        <v>0</v>
      </c>
      <c r="K9770" t="n">
        <v>0</v>
      </c>
      <c r="L9770" t="n">
        <v>0</v>
      </c>
      <c r="M9770" t="n">
        <v>0</v>
      </c>
      <c r="N9770" t="n">
        <v>0</v>
      </c>
      <c r="O9770" t="n">
        <v>0</v>
      </c>
      <c r="P9770" t="n">
        <v>0</v>
      </c>
      <c r="Q9770" t="n">
        <v>0</v>
      </c>
      <c r="R9770" s="2" t="inlineStr"/>
    </row>
    <row r="9771" ht="15" customHeight="1">
      <c r="A9771" t="inlineStr">
        <is>
          <t>A 49171-2025</t>
        </is>
      </c>
      <c r="B9771" s="1" t="n">
        <v>45938.37202546297</v>
      </c>
      <c r="C9771" s="1" t="n">
        <v>45952</v>
      </c>
      <c r="D9771" t="inlineStr">
        <is>
          <t>VÄSTRA GÖTALANDS LÄN</t>
        </is>
      </c>
      <c r="E9771" t="inlineStr">
        <is>
          <t>TÖREBODA</t>
        </is>
      </c>
      <c r="G9771" t="n">
        <v>4.8</v>
      </c>
      <c r="H9771" t="n">
        <v>0</v>
      </c>
      <c r="I9771" t="n">
        <v>0</v>
      </c>
      <c r="J9771" t="n">
        <v>0</v>
      </c>
      <c r="K9771" t="n">
        <v>0</v>
      </c>
      <c r="L9771" t="n">
        <v>0</v>
      </c>
      <c r="M9771" t="n">
        <v>0</v>
      </c>
      <c r="N9771" t="n">
        <v>0</v>
      </c>
      <c r="O9771" t="n">
        <v>0</v>
      </c>
      <c r="P9771" t="n">
        <v>0</v>
      </c>
      <c r="Q9771" t="n">
        <v>0</v>
      </c>
      <c r="R9771" s="2" t="inlineStr"/>
    </row>
    <row r="9772" ht="15" customHeight="1">
      <c r="A9772" t="inlineStr">
        <is>
          <t>A 49177-2025</t>
        </is>
      </c>
      <c r="B9772" s="1" t="n">
        <v>45938.38199074074</v>
      </c>
      <c r="C9772" s="1" t="n">
        <v>45952</v>
      </c>
      <c r="D9772" t="inlineStr">
        <is>
          <t>VÄSTRA GÖTALANDS LÄN</t>
        </is>
      </c>
      <c r="E9772" t="inlineStr">
        <is>
          <t>TÖREBODA</t>
        </is>
      </c>
      <c r="G9772" t="n">
        <v>6.9</v>
      </c>
      <c r="H9772" t="n">
        <v>0</v>
      </c>
      <c r="I9772" t="n">
        <v>0</v>
      </c>
      <c r="J9772" t="n">
        <v>0</v>
      </c>
      <c r="K9772" t="n">
        <v>0</v>
      </c>
      <c r="L9772" t="n">
        <v>0</v>
      </c>
      <c r="M9772" t="n">
        <v>0</v>
      </c>
      <c r="N9772" t="n">
        <v>0</v>
      </c>
      <c r="O9772" t="n">
        <v>0</v>
      </c>
      <c r="P9772" t="n">
        <v>0</v>
      </c>
      <c r="Q9772" t="n">
        <v>0</v>
      </c>
      <c r="R9772" s="2" t="inlineStr"/>
    </row>
    <row r="9773" ht="15" customHeight="1">
      <c r="A9773" t="inlineStr">
        <is>
          <t>A 53273-2023</t>
        </is>
      </c>
      <c r="B9773" s="1" t="n">
        <v>45229</v>
      </c>
      <c r="C9773" s="1" t="n">
        <v>45952</v>
      </c>
      <c r="D9773" t="inlineStr">
        <is>
          <t>VÄSTRA GÖTALANDS LÄN</t>
        </is>
      </c>
      <c r="E9773" t="inlineStr">
        <is>
          <t>LIDKÖPING</t>
        </is>
      </c>
      <c r="G9773" t="n">
        <v>6.3</v>
      </c>
      <c r="H9773" t="n">
        <v>0</v>
      </c>
      <c r="I9773" t="n">
        <v>0</v>
      </c>
      <c r="J9773" t="n">
        <v>0</v>
      </c>
      <c r="K9773" t="n">
        <v>0</v>
      </c>
      <c r="L9773" t="n">
        <v>0</v>
      </c>
      <c r="M9773" t="n">
        <v>0</v>
      </c>
      <c r="N9773" t="n">
        <v>0</v>
      </c>
      <c r="O9773" t="n">
        <v>0</v>
      </c>
      <c r="P9773" t="n">
        <v>0</v>
      </c>
      <c r="Q9773" t="n">
        <v>0</v>
      </c>
      <c r="R9773" s="2" t="inlineStr"/>
    </row>
    <row r="9774" ht="15" customHeight="1">
      <c r="A9774" t="inlineStr">
        <is>
          <t>A 49399-2025</t>
        </is>
      </c>
      <c r="B9774" s="1" t="n">
        <v>45938.66871527778</v>
      </c>
      <c r="C9774" s="1" t="n">
        <v>45952</v>
      </c>
      <c r="D9774" t="inlineStr">
        <is>
          <t>VÄSTRA GÖTALANDS LÄN</t>
        </is>
      </c>
      <c r="E9774" t="inlineStr">
        <is>
          <t>BENGTSFORS</t>
        </is>
      </c>
      <c r="G9774" t="n">
        <v>1</v>
      </c>
      <c r="H9774" t="n">
        <v>0</v>
      </c>
      <c r="I9774" t="n">
        <v>0</v>
      </c>
      <c r="J9774" t="n">
        <v>0</v>
      </c>
      <c r="K9774" t="n">
        <v>0</v>
      </c>
      <c r="L9774" t="n">
        <v>0</v>
      </c>
      <c r="M9774" t="n">
        <v>0</v>
      </c>
      <c r="N9774" t="n">
        <v>0</v>
      </c>
      <c r="O9774" t="n">
        <v>0</v>
      </c>
      <c r="P9774" t="n">
        <v>0</v>
      </c>
      <c r="Q9774" t="n">
        <v>0</v>
      </c>
      <c r="R9774" s="2" t="inlineStr"/>
    </row>
    <row r="9775" ht="15" customHeight="1">
      <c r="A9775" t="inlineStr">
        <is>
          <t>A 3508-2023</t>
        </is>
      </c>
      <c r="B9775" s="1" t="n">
        <v>44950.31137731481</v>
      </c>
      <c r="C9775" s="1" t="n">
        <v>45952</v>
      </c>
      <c r="D9775" t="inlineStr">
        <is>
          <t>VÄSTRA GÖTALANDS LÄN</t>
        </is>
      </c>
      <c r="E9775" t="inlineStr">
        <is>
          <t>TÖREBODA</t>
        </is>
      </c>
      <c r="G9775" t="n">
        <v>2.1</v>
      </c>
      <c r="H9775" t="n">
        <v>0</v>
      </c>
      <c r="I9775" t="n">
        <v>0</v>
      </c>
      <c r="J9775" t="n">
        <v>0</v>
      </c>
      <c r="K9775" t="n">
        <v>0</v>
      </c>
      <c r="L9775" t="n">
        <v>0</v>
      </c>
      <c r="M9775" t="n">
        <v>0</v>
      </c>
      <c r="N9775" t="n">
        <v>0</v>
      </c>
      <c r="O9775" t="n">
        <v>0</v>
      </c>
      <c r="P9775" t="n">
        <v>0</v>
      </c>
      <c r="Q9775" t="n">
        <v>0</v>
      </c>
      <c r="R9775" s="2" t="inlineStr"/>
    </row>
    <row r="9776" ht="15" customHeight="1">
      <c r="A9776" t="inlineStr">
        <is>
          <t>A 39515-2024</t>
        </is>
      </c>
      <c r="B9776" s="1" t="n">
        <v>45551.69797453703</v>
      </c>
      <c r="C9776" s="1" t="n">
        <v>45952</v>
      </c>
      <c r="D9776" t="inlineStr">
        <is>
          <t>VÄSTRA GÖTALANDS LÄN</t>
        </is>
      </c>
      <c r="E9776" t="inlineStr">
        <is>
          <t>FALKÖPING</t>
        </is>
      </c>
      <c r="G9776" t="n">
        <v>0.3</v>
      </c>
      <c r="H9776" t="n">
        <v>0</v>
      </c>
      <c r="I9776" t="n">
        <v>0</v>
      </c>
      <c r="J9776" t="n">
        <v>0</v>
      </c>
      <c r="K9776" t="n">
        <v>0</v>
      </c>
      <c r="L9776" t="n">
        <v>0</v>
      </c>
      <c r="M9776" t="n">
        <v>0</v>
      </c>
      <c r="N9776" t="n">
        <v>0</v>
      </c>
      <c r="O9776" t="n">
        <v>0</v>
      </c>
      <c r="P9776" t="n">
        <v>0</v>
      </c>
      <c r="Q9776" t="n">
        <v>0</v>
      </c>
      <c r="R9776" s="2" t="inlineStr"/>
    </row>
    <row r="9777" ht="15" customHeight="1">
      <c r="A9777" t="inlineStr">
        <is>
          <t>A 24053-2025</t>
        </is>
      </c>
      <c r="B9777" s="1" t="n">
        <v>45796</v>
      </c>
      <c r="C9777" s="1" t="n">
        <v>45952</v>
      </c>
      <c r="D9777" t="inlineStr">
        <is>
          <t>VÄSTRA GÖTALANDS LÄN</t>
        </is>
      </c>
      <c r="E9777" t="inlineStr">
        <is>
          <t>LILLA EDET</t>
        </is>
      </c>
      <c r="G9777" t="n">
        <v>11.1</v>
      </c>
      <c r="H9777" t="n">
        <v>0</v>
      </c>
      <c r="I9777" t="n">
        <v>0</v>
      </c>
      <c r="J9777" t="n">
        <v>0</v>
      </c>
      <c r="K9777" t="n">
        <v>0</v>
      </c>
      <c r="L9777" t="n">
        <v>0</v>
      </c>
      <c r="M9777" t="n">
        <v>0</v>
      </c>
      <c r="N9777" t="n">
        <v>0</v>
      </c>
      <c r="O9777" t="n">
        <v>0</v>
      </c>
      <c r="P9777" t="n">
        <v>0</v>
      </c>
      <c r="Q9777" t="n">
        <v>0</v>
      </c>
      <c r="R9777" s="2" t="inlineStr"/>
    </row>
    <row r="9778" ht="15" customHeight="1">
      <c r="A9778" t="inlineStr">
        <is>
          <t>A 45147-2024</t>
        </is>
      </c>
      <c r="B9778" s="1" t="n">
        <v>45575</v>
      </c>
      <c r="C9778" s="1" t="n">
        <v>45952</v>
      </c>
      <c r="D9778" t="inlineStr">
        <is>
          <t>VÄSTRA GÖTALANDS LÄN</t>
        </is>
      </c>
      <c r="E9778" t="inlineStr">
        <is>
          <t>BENGTSFORS</t>
        </is>
      </c>
      <c r="G9778" t="n">
        <v>3.3</v>
      </c>
      <c r="H9778" t="n">
        <v>0</v>
      </c>
      <c r="I9778" t="n">
        <v>0</v>
      </c>
      <c r="J9778" t="n">
        <v>0</v>
      </c>
      <c r="K9778" t="n">
        <v>0</v>
      </c>
      <c r="L9778" t="n">
        <v>0</v>
      </c>
      <c r="M9778" t="n">
        <v>0</v>
      </c>
      <c r="N9778" t="n">
        <v>0</v>
      </c>
      <c r="O9778" t="n">
        <v>0</v>
      </c>
      <c r="P9778" t="n">
        <v>0</v>
      </c>
      <c r="Q9778" t="n">
        <v>0</v>
      </c>
      <c r="R9778" s="2" t="inlineStr"/>
    </row>
    <row r="9779" ht="15" customHeight="1">
      <c r="A9779" t="inlineStr">
        <is>
          <t>A 6750-2024</t>
        </is>
      </c>
      <c r="B9779" s="1" t="n">
        <v>45342.45185185185</v>
      </c>
      <c r="C9779" s="1" t="n">
        <v>45952</v>
      </c>
      <c r="D9779" t="inlineStr">
        <is>
          <t>VÄSTRA GÖTALANDS LÄN</t>
        </is>
      </c>
      <c r="E9779" t="inlineStr">
        <is>
          <t>FALKÖPING</t>
        </is>
      </c>
      <c r="G9779" t="n">
        <v>0.6</v>
      </c>
      <c r="H9779" t="n">
        <v>0</v>
      </c>
      <c r="I9779" t="n">
        <v>0</v>
      </c>
      <c r="J9779" t="n">
        <v>0</v>
      </c>
      <c r="K9779" t="n">
        <v>0</v>
      </c>
      <c r="L9779" t="n">
        <v>0</v>
      </c>
      <c r="M9779" t="n">
        <v>0</v>
      </c>
      <c r="N9779" t="n">
        <v>0</v>
      </c>
      <c r="O9779" t="n">
        <v>0</v>
      </c>
      <c r="P9779" t="n">
        <v>0</v>
      </c>
      <c r="Q9779" t="n">
        <v>0</v>
      </c>
      <c r="R9779" s="2" t="inlineStr"/>
    </row>
    <row r="9780" ht="15" customHeight="1">
      <c r="A9780" t="inlineStr">
        <is>
          <t>A 26759-2022</t>
        </is>
      </c>
      <c r="B9780" s="1" t="n">
        <v>44740.29990740741</v>
      </c>
      <c r="C9780" s="1" t="n">
        <v>45952</v>
      </c>
      <c r="D9780" t="inlineStr">
        <is>
          <t>VÄSTRA GÖTALANDS LÄN</t>
        </is>
      </c>
      <c r="E9780" t="inlineStr">
        <is>
          <t>TÖREBODA</t>
        </is>
      </c>
      <c r="G9780" t="n">
        <v>2.3</v>
      </c>
      <c r="H9780" t="n">
        <v>0</v>
      </c>
      <c r="I9780" t="n">
        <v>0</v>
      </c>
      <c r="J9780" t="n">
        <v>0</v>
      </c>
      <c r="K9780" t="n">
        <v>0</v>
      </c>
      <c r="L9780" t="n">
        <v>0</v>
      </c>
      <c r="M9780" t="n">
        <v>0</v>
      </c>
      <c r="N9780" t="n">
        <v>0</v>
      </c>
      <c r="O9780" t="n">
        <v>0</v>
      </c>
      <c r="P9780" t="n">
        <v>0</v>
      </c>
      <c r="Q9780" t="n">
        <v>0</v>
      </c>
      <c r="R9780" s="2" t="inlineStr"/>
    </row>
    <row r="9781" ht="15" customHeight="1">
      <c r="A9781" t="inlineStr">
        <is>
          <t>A 1356-2025</t>
        </is>
      </c>
      <c r="B9781" s="1" t="n">
        <v>45667.63302083333</v>
      </c>
      <c r="C9781" s="1" t="n">
        <v>45952</v>
      </c>
      <c r="D9781" t="inlineStr">
        <is>
          <t>VÄSTRA GÖTALANDS LÄN</t>
        </is>
      </c>
      <c r="E9781" t="inlineStr">
        <is>
          <t>MELLERUD</t>
        </is>
      </c>
      <c r="G9781" t="n">
        <v>0.8</v>
      </c>
      <c r="H9781" t="n">
        <v>0</v>
      </c>
      <c r="I9781" t="n">
        <v>0</v>
      </c>
      <c r="J9781" t="n">
        <v>0</v>
      </c>
      <c r="K9781" t="n">
        <v>0</v>
      </c>
      <c r="L9781" t="n">
        <v>0</v>
      </c>
      <c r="M9781" t="n">
        <v>0</v>
      </c>
      <c r="N9781" t="n">
        <v>0</v>
      </c>
      <c r="O9781" t="n">
        <v>0</v>
      </c>
      <c r="P9781" t="n">
        <v>0</v>
      </c>
      <c r="Q9781" t="n">
        <v>0</v>
      </c>
      <c r="R9781" s="2" t="inlineStr"/>
    </row>
    <row r="9782" ht="15" customHeight="1">
      <c r="A9782" t="inlineStr">
        <is>
          <t>A 37801-2024</t>
        </is>
      </c>
      <c r="B9782" s="1" t="n">
        <v>45543</v>
      </c>
      <c r="C9782" s="1" t="n">
        <v>45952</v>
      </c>
      <c r="D9782" t="inlineStr">
        <is>
          <t>VÄSTRA GÖTALANDS LÄN</t>
        </is>
      </c>
      <c r="E9782" t="inlineStr">
        <is>
          <t>TROLLHÄTTAN</t>
        </is>
      </c>
      <c r="G9782" t="n">
        <v>2</v>
      </c>
      <c r="H9782" t="n">
        <v>0</v>
      </c>
      <c r="I9782" t="n">
        <v>0</v>
      </c>
      <c r="J9782" t="n">
        <v>0</v>
      </c>
      <c r="K9782" t="n">
        <v>0</v>
      </c>
      <c r="L9782" t="n">
        <v>0</v>
      </c>
      <c r="M9782" t="n">
        <v>0</v>
      </c>
      <c r="N9782" t="n">
        <v>0</v>
      </c>
      <c r="O9782" t="n">
        <v>0</v>
      </c>
      <c r="P9782" t="n">
        <v>0</v>
      </c>
      <c r="Q9782" t="n">
        <v>0</v>
      </c>
      <c r="R9782" s="2" t="inlineStr"/>
    </row>
    <row r="9783" ht="15" customHeight="1">
      <c r="A9783" t="inlineStr">
        <is>
          <t>A 11936-2025</t>
        </is>
      </c>
      <c r="B9783" s="1" t="n">
        <v>45728.52953703704</v>
      </c>
      <c r="C9783" s="1" t="n">
        <v>45952</v>
      </c>
      <c r="D9783" t="inlineStr">
        <is>
          <t>VÄSTRA GÖTALANDS LÄN</t>
        </is>
      </c>
      <c r="E9783" t="inlineStr">
        <is>
          <t>TANUM</t>
        </is>
      </c>
      <c r="G9783" t="n">
        <v>2.3</v>
      </c>
      <c r="H9783" t="n">
        <v>0</v>
      </c>
      <c r="I9783" t="n">
        <v>0</v>
      </c>
      <c r="J9783" t="n">
        <v>0</v>
      </c>
      <c r="K9783" t="n">
        <v>0</v>
      </c>
      <c r="L9783" t="n">
        <v>0</v>
      </c>
      <c r="M9783" t="n">
        <v>0</v>
      </c>
      <c r="N9783" t="n">
        <v>0</v>
      </c>
      <c r="O9783" t="n">
        <v>0</v>
      </c>
      <c r="P9783" t="n">
        <v>0</v>
      </c>
      <c r="Q9783" t="n">
        <v>0</v>
      </c>
      <c r="R9783" s="2" t="inlineStr"/>
    </row>
    <row r="9784" ht="15" customHeight="1">
      <c r="A9784" t="inlineStr">
        <is>
          <t>A 23447-2023</t>
        </is>
      </c>
      <c r="B9784" s="1" t="n">
        <v>45076.59756944444</v>
      </c>
      <c r="C9784" s="1" t="n">
        <v>45952</v>
      </c>
      <c r="D9784" t="inlineStr">
        <is>
          <t>VÄSTRA GÖTALANDS LÄN</t>
        </is>
      </c>
      <c r="E9784" t="inlineStr">
        <is>
          <t>SKÖVDE</t>
        </is>
      </c>
      <c r="G9784" t="n">
        <v>1.3</v>
      </c>
      <c r="H9784" t="n">
        <v>0</v>
      </c>
      <c r="I9784" t="n">
        <v>0</v>
      </c>
      <c r="J9784" t="n">
        <v>0</v>
      </c>
      <c r="K9784" t="n">
        <v>0</v>
      </c>
      <c r="L9784" t="n">
        <v>0</v>
      </c>
      <c r="M9784" t="n">
        <v>0</v>
      </c>
      <c r="N9784" t="n">
        <v>0</v>
      </c>
      <c r="O9784" t="n">
        <v>0</v>
      </c>
      <c r="P9784" t="n">
        <v>0</v>
      </c>
      <c r="Q9784" t="n">
        <v>0</v>
      </c>
      <c r="R9784" s="2" t="inlineStr"/>
    </row>
    <row r="9785" ht="15" customHeight="1">
      <c r="A9785" t="inlineStr">
        <is>
          <t>A 23451-2023</t>
        </is>
      </c>
      <c r="B9785" s="1" t="n">
        <v>45076</v>
      </c>
      <c r="C9785" s="1" t="n">
        <v>45952</v>
      </c>
      <c r="D9785" t="inlineStr">
        <is>
          <t>VÄSTRA GÖTALANDS LÄN</t>
        </is>
      </c>
      <c r="E9785" t="inlineStr">
        <is>
          <t>TROLLHÄTTAN</t>
        </is>
      </c>
      <c r="F9785" t="inlineStr">
        <is>
          <t>Kommuner</t>
        </is>
      </c>
      <c r="G9785" t="n">
        <v>0.6</v>
      </c>
      <c r="H9785" t="n">
        <v>0</v>
      </c>
      <c r="I9785" t="n">
        <v>0</v>
      </c>
      <c r="J9785" t="n">
        <v>0</v>
      </c>
      <c r="K9785" t="n">
        <v>0</v>
      </c>
      <c r="L9785" t="n">
        <v>0</v>
      </c>
      <c r="M9785" t="n">
        <v>0</v>
      </c>
      <c r="N9785" t="n">
        <v>0</v>
      </c>
      <c r="O9785" t="n">
        <v>0</v>
      </c>
      <c r="P9785" t="n">
        <v>0</v>
      </c>
      <c r="Q9785" t="n">
        <v>0</v>
      </c>
      <c r="R9785" s="2" t="inlineStr"/>
    </row>
    <row r="9786" ht="15" customHeight="1">
      <c r="A9786" t="inlineStr">
        <is>
          <t>A 8609-2025</t>
        </is>
      </c>
      <c r="B9786" s="1" t="n">
        <v>45710.495</v>
      </c>
      <c r="C9786" s="1" t="n">
        <v>45952</v>
      </c>
      <c r="D9786" t="inlineStr">
        <is>
          <t>VÄSTRA GÖTALANDS LÄN</t>
        </is>
      </c>
      <c r="E9786" t="inlineStr">
        <is>
          <t>MARK</t>
        </is>
      </c>
      <c r="G9786" t="n">
        <v>5.2</v>
      </c>
      <c r="H9786" t="n">
        <v>0</v>
      </c>
      <c r="I9786" t="n">
        <v>0</v>
      </c>
      <c r="J9786" t="n">
        <v>0</v>
      </c>
      <c r="K9786" t="n">
        <v>0</v>
      </c>
      <c r="L9786" t="n">
        <v>0</v>
      </c>
      <c r="M9786" t="n">
        <v>0</v>
      </c>
      <c r="N9786" t="n">
        <v>0</v>
      </c>
      <c r="O9786" t="n">
        <v>0</v>
      </c>
      <c r="P9786" t="n">
        <v>0</v>
      </c>
      <c r="Q9786" t="n">
        <v>0</v>
      </c>
      <c r="R9786" s="2" t="inlineStr"/>
    </row>
    <row r="9787" ht="15" customHeight="1">
      <c r="A9787" t="inlineStr">
        <is>
          <t>A 40538-2025</t>
        </is>
      </c>
      <c r="B9787" s="1" t="n">
        <v>45896.41814814815</v>
      </c>
      <c r="C9787" s="1" t="n">
        <v>45952</v>
      </c>
      <c r="D9787" t="inlineStr">
        <is>
          <t>VÄSTRA GÖTALANDS LÄN</t>
        </is>
      </c>
      <c r="E9787" t="inlineStr">
        <is>
          <t>VÄNERSBORG</t>
        </is>
      </c>
      <c r="G9787" t="n">
        <v>2.7</v>
      </c>
      <c r="H9787" t="n">
        <v>0</v>
      </c>
      <c r="I9787" t="n">
        <v>0</v>
      </c>
      <c r="J9787" t="n">
        <v>0</v>
      </c>
      <c r="K9787" t="n">
        <v>0</v>
      </c>
      <c r="L9787" t="n">
        <v>0</v>
      </c>
      <c r="M9787" t="n">
        <v>0</v>
      </c>
      <c r="N9787" t="n">
        <v>0</v>
      </c>
      <c r="O9787" t="n">
        <v>0</v>
      </c>
      <c r="P9787" t="n">
        <v>0</v>
      </c>
      <c r="Q9787" t="n">
        <v>0</v>
      </c>
      <c r="R9787" s="2" t="inlineStr"/>
    </row>
    <row r="9788" ht="15" customHeight="1">
      <c r="A9788" t="inlineStr">
        <is>
          <t>A 40539-2025</t>
        </is>
      </c>
      <c r="B9788" s="1" t="n">
        <v>45896.41945601852</v>
      </c>
      <c r="C9788" s="1" t="n">
        <v>45952</v>
      </c>
      <c r="D9788" t="inlineStr">
        <is>
          <t>VÄSTRA GÖTALANDS LÄN</t>
        </is>
      </c>
      <c r="E9788" t="inlineStr">
        <is>
          <t>VÄNERSBORG</t>
        </is>
      </c>
      <c r="G9788" t="n">
        <v>4.3</v>
      </c>
      <c r="H9788" t="n">
        <v>0</v>
      </c>
      <c r="I9788" t="n">
        <v>0</v>
      </c>
      <c r="J9788" t="n">
        <v>0</v>
      </c>
      <c r="K9788" t="n">
        <v>0</v>
      </c>
      <c r="L9788" t="n">
        <v>0</v>
      </c>
      <c r="M9788" t="n">
        <v>0</v>
      </c>
      <c r="N9788" t="n">
        <v>0</v>
      </c>
      <c r="O9788" t="n">
        <v>0</v>
      </c>
      <c r="P9788" t="n">
        <v>0</v>
      </c>
      <c r="Q9788" t="n">
        <v>0</v>
      </c>
      <c r="R9788" s="2" t="inlineStr"/>
    </row>
    <row r="9789" ht="15" customHeight="1">
      <c r="A9789" t="inlineStr">
        <is>
          <t>A 49178-2025</t>
        </is>
      </c>
      <c r="B9789" s="1" t="n">
        <v>45938.3840625</v>
      </c>
      <c r="C9789" s="1" t="n">
        <v>45952</v>
      </c>
      <c r="D9789" t="inlineStr">
        <is>
          <t>VÄSTRA GÖTALANDS LÄN</t>
        </is>
      </c>
      <c r="E9789" t="inlineStr">
        <is>
          <t>MARIESTAD</t>
        </is>
      </c>
      <c r="G9789" t="n">
        <v>5.6</v>
      </c>
      <c r="H9789" t="n">
        <v>0</v>
      </c>
      <c r="I9789" t="n">
        <v>0</v>
      </c>
      <c r="J9789" t="n">
        <v>0</v>
      </c>
      <c r="K9789" t="n">
        <v>0</v>
      </c>
      <c r="L9789" t="n">
        <v>0</v>
      </c>
      <c r="M9789" t="n">
        <v>0</v>
      </c>
      <c r="N9789" t="n">
        <v>0</v>
      </c>
      <c r="O9789" t="n">
        <v>0</v>
      </c>
      <c r="P9789" t="n">
        <v>0</v>
      </c>
      <c r="Q9789" t="n">
        <v>0</v>
      </c>
      <c r="R9789" s="2" t="inlineStr"/>
    </row>
    <row r="9790" ht="15" customHeight="1">
      <c r="A9790" t="inlineStr">
        <is>
          <t>A 49180-2025</t>
        </is>
      </c>
      <c r="B9790" s="1" t="n">
        <v>45938.3859375</v>
      </c>
      <c r="C9790" s="1" t="n">
        <v>45952</v>
      </c>
      <c r="D9790" t="inlineStr">
        <is>
          <t>VÄSTRA GÖTALANDS LÄN</t>
        </is>
      </c>
      <c r="E9790" t="inlineStr">
        <is>
          <t>TÖREBODA</t>
        </is>
      </c>
      <c r="G9790" t="n">
        <v>0.8</v>
      </c>
      <c r="H9790" t="n">
        <v>0</v>
      </c>
      <c r="I9790" t="n">
        <v>0</v>
      </c>
      <c r="J9790" t="n">
        <v>0</v>
      </c>
      <c r="K9790" t="n">
        <v>0</v>
      </c>
      <c r="L9790" t="n">
        <v>0</v>
      </c>
      <c r="M9790" t="n">
        <v>0</v>
      </c>
      <c r="N9790" t="n">
        <v>0</v>
      </c>
      <c r="O9790" t="n">
        <v>0</v>
      </c>
      <c r="P9790" t="n">
        <v>0</v>
      </c>
      <c r="Q9790" t="n">
        <v>0</v>
      </c>
      <c r="R9790" s="2" t="inlineStr"/>
    </row>
    <row r="9791" ht="15" customHeight="1">
      <c r="A9791" t="inlineStr">
        <is>
          <t>A 40391-2025</t>
        </is>
      </c>
      <c r="B9791" s="1" t="n">
        <v>45895</v>
      </c>
      <c r="C9791" s="1" t="n">
        <v>45952</v>
      </c>
      <c r="D9791" t="inlineStr">
        <is>
          <t>VÄSTRA GÖTALANDS LÄN</t>
        </is>
      </c>
      <c r="E9791" t="inlineStr">
        <is>
          <t>TANUM</t>
        </is>
      </c>
      <c r="G9791" t="n">
        <v>0.9</v>
      </c>
      <c r="H9791" t="n">
        <v>0</v>
      </c>
      <c r="I9791" t="n">
        <v>0</v>
      </c>
      <c r="J9791" t="n">
        <v>0</v>
      </c>
      <c r="K9791" t="n">
        <v>0</v>
      </c>
      <c r="L9791" t="n">
        <v>0</v>
      </c>
      <c r="M9791" t="n">
        <v>0</v>
      </c>
      <c r="N9791" t="n">
        <v>0</v>
      </c>
      <c r="O9791" t="n">
        <v>0</v>
      </c>
      <c r="P9791" t="n">
        <v>0</v>
      </c>
      <c r="Q9791" t="n">
        <v>0</v>
      </c>
      <c r="R9791" s="2" t="inlineStr"/>
    </row>
    <row r="9792" ht="15" customHeight="1">
      <c r="A9792" t="inlineStr">
        <is>
          <t>A 13718-2025</t>
        </is>
      </c>
      <c r="B9792" s="1" t="n">
        <v>45737</v>
      </c>
      <c r="C9792" s="1" t="n">
        <v>45952</v>
      </c>
      <c r="D9792" t="inlineStr">
        <is>
          <t>VÄSTRA GÖTALANDS LÄN</t>
        </is>
      </c>
      <c r="E9792" t="inlineStr">
        <is>
          <t>GRÄSTORP</t>
        </is>
      </c>
      <c r="F9792" t="inlineStr">
        <is>
          <t>Kyrkan</t>
        </is>
      </c>
      <c r="G9792" t="n">
        <v>1</v>
      </c>
      <c r="H9792" t="n">
        <v>0</v>
      </c>
      <c r="I9792" t="n">
        <v>0</v>
      </c>
      <c r="J9792" t="n">
        <v>0</v>
      </c>
      <c r="K9792" t="n">
        <v>0</v>
      </c>
      <c r="L9792" t="n">
        <v>0</v>
      </c>
      <c r="M9792" t="n">
        <v>0</v>
      </c>
      <c r="N9792" t="n">
        <v>0</v>
      </c>
      <c r="O9792" t="n">
        <v>0</v>
      </c>
      <c r="P9792" t="n">
        <v>0</v>
      </c>
      <c r="Q9792" t="n">
        <v>0</v>
      </c>
      <c r="R9792" s="2" t="inlineStr"/>
    </row>
    <row r="9793" ht="15" customHeight="1">
      <c r="A9793" t="inlineStr">
        <is>
          <t>A 40821-2025</t>
        </is>
      </c>
      <c r="B9793" s="1" t="n">
        <v>45897.49334490741</v>
      </c>
      <c r="C9793" s="1" t="n">
        <v>45952</v>
      </c>
      <c r="D9793" t="inlineStr">
        <is>
          <t>VÄSTRA GÖTALANDS LÄN</t>
        </is>
      </c>
      <c r="E9793" t="inlineStr">
        <is>
          <t>BENGTSFORS</t>
        </is>
      </c>
      <c r="G9793" t="n">
        <v>0.8</v>
      </c>
      <c r="H9793" t="n">
        <v>0</v>
      </c>
      <c r="I9793" t="n">
        <v>0</v>
      </c>
      <c r="J9793" t="n">
        <v>0</v>
      </c>
      <c r="K9793" t="n">
        <v>0</v>
      </c>
      <c r="L9793" t="n">
        <v>0</v>
      </c>
      <c r="M9793" t="n">
        <v>0</v>
      </c>
      <c r="N9793" t="n">
        <v>0</v>
      </c>
      <c r="O9793" t="n">
        <v>0</v>
      </c>
      <c r="P9793" t="n">
        <v>0</v>
      </c>
      <c r="Q9793" t="n">
        <v>0</v>
      </c>
      <c r="R9793" s="2" t="inlineStr"/>
    </row>
    <row r="9794" ht="15" customHeight="1">
      <c r="A9794" t="inlineStr">
        <is>
          <t>A 40932-2025</t>
        </is>
      </c>
      <c r="B9794" s="1" t="n">
        <v>45897.64824074074</v>
      </c>
      <c r="C9794" s="1" t="n">
        <v>45952</v>
      </c>
      <c r="D9794" t="inlineStr">
        <is>
          <t>VÄSTRA GÖTALANDS LÄN</t>
        </is>
      </c>
      <c r="E9794" t="inlineStr">
        <is>
          <t>HERRLJUNGA</t>
        </is>
      </c>
      <c r="G9794" t="n">
        <v>2.2</v>
      </c>
      <c r="H9794" t="n">
        <v>0</v>
      </c>
      <c r="I9794" t="n">
        <v>0</v>
      </c>
      <c r="J9794" t="n">
        <v>0</v>
      </c>
      <c r="K9794" t="n">
        <v>0</v>
      </c>
      <c r="L9794" t="n">
        <v>0</v>
      </c>
      <c r="M9794" t="n">
        <v>0</v>
      </c>
      <c r="N9794" t="n">
        <v>0</v>
      </c>
      <c r="O9794" t="n">
        <v>0</v>
      </c>
      <c r="P9794" t="n">
        <v>0</v>
      </c>
      <c r="Q9794" t="n">
        <v>0</v>
      </c>
      <c r="R9794" s="2" t="inlineStr"/>
    </row>
    <row r="9795" ht="15" customHeight="1">
      <c r="A9795" t="inlineStr">
        <is>
          <t>A 40935-2025</t>
        </is>
      </c>
      <c r="B9795" s="1" t="n">
        <v>45897.64988425926</v>
      </c>
      <c r="C9795" s="1" t="n">
        <v>45952</v>
      </c>
      <c r="D9795" t="inlineStr">
        <is>
          <t>VÄSTRA GÖTALANDS LÄN</t>
        </is>
      </c>
      <c r="E9795" t="inlineStr">
        <is>
          <t>HERRLJUNGA</t>
        </is>
      </c>
      <c r="G9795" t="n">
        <v>1.2</v>
      </c>
      <c r="H9795" t="n">
        <v>0</v>
      </c>
      <c r="I9795" t="n">
        <v>0</v>
      </c>
      <c r="J9795" t="n">
        <v>0</v>
      </c>
      <c r="K9795" t="n">
        <v>0</v>
      </c>
      <c r="L9795" t="n">
        <v>0</v>
      </c>
      <c r="M9795" t="n">
        <v>0</v>
      </c>
      <c r="N9795" t="n">
        <v>0</v>
      </c>
      <c r="O9795" t="n">
        <v>0</v>
      </c>
      <c r="P9795" t="n">
        <v>0</v>
      </c>
      <c r="Q9795" t="n">
        <v>0</v>
      </c>
      <c r="R9795" s="2" t="inlineStr"/>
    </row>
    <row r="9796" ht="15" customHeight="1">
      <c r="A9796" t="inlineStr">
        <is>
          <t>A 40938-2025</t>
        </is>
      </c>
      <c r="B9796" s="1" t="n">
        <v>45897.65219907407</v>
      </c>
      <c r="C9796" s="1" t="n">
        <v>45952</v>
      </c>
      <c r="D9796" t="inlineStr">
        <is>
          <t>VÄSTRA GÖTALANDS LÄN</t>
        </is>
      </c>
      <c r="E9796" t="inlineStr">
        <is>
          <t>HERRLJUNGA</t>
        </is>
      </c>
      <c r="G9796" t="n">
        <v>0.7</v>
      </c>
      <c r="H9796" t="n">
        <v>0</v>
      </c>
      <c r="I9796" t="n">
        <v>0</v>
      </c>
      <c r="J9796" t="n">
        <v>0</v>
      </c>
      <c r="K9796" t="n">
        <v>0</v>
      </c>
      <c r="L9796" t="n">
        <v>0</v>
      </c>
      <c r="M9796" t="n">
        <v>0</v>
      </c>
      <c r="N9796" t="n">
        <v>0</v>
      </c>
      <c r="O9796" t="n">
        <v>0</v>
      </c>
      <c r="P9796" t="n">
        <v>0</v>
      </c>
      <c r="Q9796" t="n">
        <v>0</v>
      </c>
      <c r="R9796" s="2" t="inlineStr"/>
    </row>
    <row r="9797" ht="15" customHeight="1">
      <c r="A9797" t="inlineStr">
        <is>
          <t>A 18939-2024</t>
        </is>
      </c>
      <c r="B9797" s="1" t="n">
        <v>45427.46386574074</v>
      </c>
      <c r="C9797" s="1" t="n">
        <v>45952</v>
      </c>
      <c r="D9797" t="inlineStr">
        <is>
          <t>VÄSTRA GÖTALANDS LÄN</t>
        </is>
      </c>
      <c r="E9797" t="inlineStr">
        <is>
          <t>ÅMÅL</t>
        </is>
      </c>
      <c r="G9797" t="n">
        <v>1.6</v>
      </c>
      <c r="H9797" t="n">
        <v>0</v>
      </c>
      <c r="I9797" t="n">
        <v>0</v>
      </c>
      <c r="J9797" t="n">
        <v>0</v>
      </c>
      <c r="K9797" t="n">
        <v>0</v>
      </c>
      <c r="L9797" t="n">
        <v>0</v>
      </c>
      <c r="M9797" t="n">
        <v>0</v>
      </c>
      <c r="N9797" t="n">
        <v>0</v>
      </c>
      <c r="O9797" t="n">
        <v>0</v>
      </c>
      <c r="P9797" t="n">
        <v>0</v>
      </c>
      <c r="Q9797" t="n">
        <v>0</v>
      </c>
      <c r="R9797" s="2" t="inlineStr"/>
    </row>
    <row r="9798" ht="15" customHeight="1">
      <c r="A9798" t="inlineStr">
        <is>
          <t>A 7804-2024</t>
        </is>
      </c>
      <c r="B9798" s="1" t="n">
        <v>45349.63490740741</v>
      </c>
      <c r="C9798" s="1" t="n">
        <v>45952</v>
      </c>
      <c r="D9798" t="inlineStr">
        <is>
          <t>VÄSTRA GÖTALANDS LÄN</t>
        </is>
      </c>
      <c r="E9798" t="inlineStr">
        <is>
          <t>UDDEVALLA</t>
        </is>
      </c>
      <c r="G9798" t="n">
        <v>1.1</v>
      </c>
      <c r="H9798" t="n">
        <v>0</v>
      </c>
      <c r="I9798" t="n">
        <v>0</v>
      </c>
      <c r="J9798" t="n">
        <v>0</v>
      </c>
      <c r="K9798" t="n">
        <v>0</v>
      </c>
      <c r="L9798" t="n">
        <v>0</v>
      </c>
      <c r="M9798" t="n">
        <v>0</v>
      </c>
      <c r="N9798" t="n">
        <v>0</v>
      </c>
      <c r="O9798" t="n">
        <v>0</v>
      </c>
      <c r="P9798" t="n">
        <v>0</v>
      </c>
      <c r="Q9798" t="n">
        <v>0</v>
      </c>
      <c r="R9798" s="2" t="inlineStr"/>
    </row>
    <row r="9799" ht="15" customHeight="1">
      <c r="A9799" t="inlineStr">
        <is>
          <t>A 51051-2023</t>
        </is>
      </c>
      <c r="B9799" s="1" t="n">
        <v>45218.63770833334</v>
      </c>
      <c r="C9799" s="1" t="n">
        <v>45952</v>
      </c>
      <c r="D9799" t="inlineStr">
        <is>
          <t>VÄSTRA GÖTALANDS LÄN</t>
        </is>
      </c>
      <c r="E9799" t="inlineStr">
        <is>
          <t>ALINGSÅS</t>
        </is>
      </c>
      <c r="G9799" t="n">
        <v>1.6</v>
      </c>
      <c r="H9799" t="n">
        <v>0</v>
      </c>
      <c r="I9799" t="n">
        <v>0</v>
      </c>
      <c r="J9799" t="n">
        <v>0</v>
      </c>
      <c r="K9799" t="n">
        <v>0</v>
      </c>
      <c r="L9799" t="n">
        <v>0</v>
      </c>
      <c r="M9799" t="n">
        <v>0</v>
      </c>
      <c r="N9799" t="n">
        <v>0</v>
      </c>
      <c r="O9799" t="n">
        <v>0</v>
      </c>
      <c r="P9799" t="n">
        <v>0</v>
      </c>
      <c r="Q9799" t="n">
        <v>0</v>
      </c>
      <c r="R9799" s="2" t="inlineStr"/>
    </row>
    <row r="9800" ht="15" customHeight="1">
      <c r="A9800" t="inlineStr">
        <is>
          <t>A 49713-2025</t>
        </is>
      </c>
      <c r="B9800" s="1" t="n">
        <v>45939.70865740741</v>
      </c>
      <c r="C9800" s="1" t="n">
        <v>45952</v>
      </c>
      <c r="D9800" t="inlineStr">
        <is>
          <t>VÄSTRA GÖTALANDS LÄN</t>
        </is>
      </c>
      <c r="E9800" t="inlineStr">
        <is>
          <t>TRANEMO</t>
        </is>
      </c>
      <c r="G9800" t="n">
        <v>0.6</v>
      </c>
      <c r="H9800" t="n">
        <v>0</v>
      </c>
      <c r="I9800" t="n">
        <v>0</v>
      </c>
      <c r="J9800" t="n">
        <v>0</v>
      </c>
      <c r="K9800" t="n">
        <v>0</v>
      </c>
      <c r="L9800" t="n">
        <v>0</v>
      </c>
      <c r="M9800" t="n">
        <v>0</v>
      </c>
      <c r="N9800" t="n">
        <v>0</v>
      </c>
      <c r="O9800" t="n">
        <v>0</v>
      </c>
      <c r="P9800" t="n">
        <v>0</v>
      </c>
      <c r="Q9800" t="n">
        <v>0</v>
      </c>
      <c r="R9800" s="2" t="inlineStr"/>
    </row>
    <row r="9801" ht="15" customHeight="1">
      <c r="A9801" t="inlineStr">
        <is>
          <t>A 38697-2023</t>
        </is>
      </c>
      <c r="B9801" s="1" t="n">
        <v>45163.29509259259</v>
      </c>
      <c r="C9801" s="1" t="n">
        <v>45952</v>
      </c>
      <c r="D9801" t="inlineStr">
        <is>
          <t>VÄSTRA GÖTALANDS LÄN</t>
        </is>
      </c>
      <c r="E9801" t="inlineStr">
        <is>
          <t>ULRICEHAMN</t>
        </is>
      </c>
      <c r="G9801" t="n">
        <v>1.2</v>
      </c>
      <c r="H9801" t="n">
        <v>0</v>
      </c>
      <c r="I9801" t="n">
        <v>0</v>
      </c>
      <c r="J9801" t="n">
        <v>0</v>
      </c>
      <c r="K9801" t="n">
        <v>0</v>
      </c>
      <c r="L9801" t="n">
        <v>0</v>
      </c>
      <c r="M9801" t="n">
        <v>0</v>
      </c>
      <c r="N9801" t="n">
        <v>0</v>
      </c>
      <c r="O9801" t="n">
        <v>0</v>
      </c>
      <c r="P9801" t="n">
        <v>0</v>
      </c>
      <c r="Q9801" t="n">
        <v>0</v>
      </c>
      <c r="R9801" s="2" t="inlineStr"/>
    </row>
    <row r="9802" ht="15" customHeight="1">
      <c r="A9802" t="inlineStr">
        <is>
          <t>A 63004-2023</t>
        </is>
      </c>
      <c r="B9802" s="1" t="n">
        <v>45272</v>
      </c>
      <c r="C9802" s="1" t="n">
        <v>45952</v>
      </c>
      <c r="D9802" t="inlineStr">
        <is>
          <t>VÄSTRA GÖTALANDS LÄN</t>
        </is>
      </c>
      <c r="E9802" t="inlineStr">
        <is>
          <t>TANUM</t>
        </is>
      </c>
      <c r="G9802" t="n">
        <v>0.7</v>
      </c>
      <c r="H9802" t="n">
        <v>0</v>
      </c>
      <c r="I9802" t="n">
        <v>0</v>
      </c>
      <c r="J9802" t="n">
        <v>0</v>
      </c>
      <c r="K9802" t="n">
        <v>0</v>
      </c>
      <c r="L9802" t="n">
        <v>0</v>
      </c>
      <c r="M9802" t="n">
        <v>0</v>
      </c>
      <c r="N9802" t="n">
        <v>0</v>
      </c>
      <c r="O9802" t="n">
        <v>0</v>
      </c>
      <c r="P9802" t="n">
        <v>0</v>
      </c>
      <c r="Q9802" t="n">
        <v>0</v>
      </c>
      <c r="R9802" s="2" t="inlineStr"/>
    </row>
    <row r="9803" ht="15" customHeight="1">
      <c r="A9803" t="inlineStr">
        <is>
          <t>A 52893-2023</t>
        </is>
      </c>
      <c r="B9803" s="1" t="n">
        <v>45226.48465277778</v>
      </c>
      <c r="C9803" s="1" t="n">
        <v>45952</v>
      </c>
      <c r="D9803" t="inlineStr">
        <is>
          <t>VÄSTRA GÖTALANDS LÄN</t>
        </is>
      </c>
      <c r="E9803" t="inlineStr">
        <is>
          <t>FALKÖPING</t>
        </is>
      </c>
      <c r="G9803" t="n">
        <v>2</v>
      </c>
      <c r="H9803" t="n">
        <v>0</v>
      </c>
      <c r="I9803" t="n">
        <v>0</v>
      </c>
      <c r="J9803" t="n">
        <v>0</v>
      </c>
      <c r="K9803" t="n">
        <v>0</v>
      </c>
      <c r="L9803" t="n">
        <v>0</v>
      </c>
      <c r="M9803" t="n">
        <v>0</v>
      </c>
      <c r="N9803" t="n">
        <v>0</v>
      </c>
      <c r="O9803" t="n">
        <v>0</v>
      </c>
      <c r="P9803" t="n">
        <v>0</v>
      </c>
      <c r="Q9803" t="n">
        <v>0</v>
      </c>
      <c r="R9803" s="2" t="inlineStr"/>
    </row>
    <row r="9804" ht="15" customHeight="1">
      <c r="A9804" t="inlineStr">
        <is>
          <t>A 57036-2024</t>
        </is>
      </c>
      <c r="B9804" s="1" t="n">
        <v>45629.2527662037</v>
      </c>
      <c r="C9804" s="1" t="n">
        <v>45952</v>
      </c>
      <c r="D9804" t="inlineStr">
        <is>
          <t>VÄSTRA GÖTALANDS LÄN</t>
        </is>
      </c>
      <c r="E9804" t="inlineStr">
        <is>
          <t>BOLLEBYGD</t>
        </is>
      </c>
      <c r="G9804" t="n">
        <v>5.2</v>
      </c>
      <c r="H9804" t="n">
        <v>0</v>
      </c>
      <c r="I9804" t="n">
        <v>0</v>
      </c>
      <c r="J9804" t="n">
        <v>0</v>
      </c>
      <c r="K9804" t="n">
        <v>0</v>
      </c>
      <c r="L9804" t="n">
        <v>0</v>
      </c>
      <c r="M9804" t="n">
        <v>0</v>
      </c>
      <c r="N9804" t="n">
        <v>0</v>
      </c>
      <c r="O9804" t="n">
        <v>0</v>
      </c>
      <c r="P9804" t="n">
        <v>0</v>
      </c>
      <c r="Q9804" t="n">
        <v>0</v>
      </c>
      <c r="R9804" s="2" t="inlineStr"/>
    </row>
    <row r="9805" ht="15" customHeight="1">
      <c r="A9805" t="inlineStr">
        <is>
          <t>A 61379-2023</t>
        </is>
      </c>
      <c r="B9805" s="1" t="n">
        <v>45264.63784722222</v>
      </c>
      <c r="C9805" s="1" t="n">
        <v>45952</v>
      </c>
      <c r="D9805" t="inlineStr">
        <is>
          <t>VÄSTRA GÖTALANDS LÄN</t>
        </is>
      </c>
      <c r="E9805" t="inlineStr">
        <is>
          <t>MARK</t>
        </is>
      </c>
      <c r="G9805" t="n">
        <v>0.6</v>
      </c>
      <c r="H9805" t="n">
        <v>0</v>
      </c>
      <c r="I9805" t="n">
        <v>0</v>
      </c>
      <c r="J9805" t="n">
        <v>0</v>
      </c>
      <c r="K9805" t="n">
        <v>0</v>
      </c>
      <c r="L9805" t="n">
        <v>0</v>
      </c>
      <c r="M9805" t="n">
        <v>0</v>
      </c>
      <c r="N9805" t="n">
        <v>0</v>
      </c>
      <c r="O9805" t="n">
        <v>0</v>
      </c>
      <c r="P9805" t="n">
        <v>0</v>
      </c>
      <c r="Q9805" t="n">
        <v>0</v>
      </c>
      <c r="R9805" s="2" t="inlineStr"/>
    </row>
    <row r="9806" ht="15" customHeight="1">
      <c r="A9806" t="inlineStr">
        <is>
          <t>A 13819-2023</t>
        </is>
      </c>
      <c r="B9806" s="1" t="n">
        <v>45007.57650462963</v>
      </c>
      <c r="C9806" s="1" t="n">
        <v>45952</v>
      </c>
      <c r="D9806" t="inlineStr">
        <is>
          <t>VÄSTRA GÖTALANDS LÄN</t>
        </is>
      </c>
      <c r="E9806" t="inlineStr">
        <is>
          <t>ULRICEHAMN</t>
        </is>
      </c>
      <c r="G9806" t="n">
        <v>3.4</v>
      </c>
      <c r="H9806" t="n">
        <v>0</v>
      </c>
      <c r="I9806" t="n">
        <v>0</v>
      </c>
      <c r="J9806" t="n">
        <v>0</v>
      </c>
      <c r="K9806" t="n">
        <v>0</v>
      </c>
      <c r="L9806" t="n">
        <v>0</v>
      </c>
      <c r="M9806" t="n">
        <v>0</v>
      </c>
      <c r="N9806" t="n">
        <v>0</v>
      </c>
      <c r="O9806" t="n">
        <v>0</v>
      </c>
      <c r="P9806" t="n">
        <v>0</v>
      </c>
      <c r="Q9806" t="n">
        <v>0</v>
      </c>
      <c r="R9806" s="2" t="inlineStr"/>
    </row>
    <row r="9807" ht="15" customHeight="1">
      <c r="A9807" t="inlineStr">
        <is>
          <t>A 69114-2021</t>
        </is>
      </c>
      <c r="B9807" s="1" t="n">
        <v>44530</v>
      </c>
      <c r="C9807" s="1" t="n">
        <v>45952</v>
      </c>
      <c r="D9807" t="inlineStr">
        <is>
          <t>VÄSTRA GÖTALANDS LÄN</t>
        </is>
      </c>
      <c r="E9807" t="inlineStr">
        <is>
          <t>ULRICEHAMN</t>
        </is>
      </c>
      <c r="G9807" t="n">
        <v>5.8</v>
      </c>
      <c r="H9807" t="n">
        <v>0</v>
      </c>
      <c r="I9807" t="n">
        <v>0</v>
      </c>
      <c r="J9807" t="n">
        <v>0</v>
      </c>
      <c r="K9807" t="n">
        <v>0</v>
      </c>
      <c r="L9807" t="n">
        <v>0</v>
      </c>
      <c r="M9807" t="n">
        <v>0</v>
      </c>
      <c r="N9807" t="n">
        <v>0</v>
      </c>
      <c r="O9807" t="n">
        <v>0</v>
      </c>
      <c r="P9807" t="n">
        <v>0</v>
      </c>
      <c r="Q9807" t="n">
        <v>0</v>
      </c>
      <c r="R9807" s="2" t="inlineStr"/>
    </row>
    <row r="9808" ht="15" customHeight="1">
      <c r="A9808" t="inlineStr">
        <is>
          <t>A 49711-2025</t>
        </is>
      </c>
      <c r="B9808" s="1" t="n">
        <v>45939.69818287037</v>
      </c>
      <c r="C9808" s="1" t="n">
        <v>45952</v>
      </c>
      <c r="D9808" t="inlineStr">
        <is>
          <t>VÄSTRA GÖTALANDS LÄN</t>
        </is>
      </c>
      <c r="E9808" t="inlineStr">
        <is>
          <t>TRANEMO</t>
        </is>
      </c>
      <c r="G9808" t="n">
        <v>1.3</v>
      </c>
      <c r="H9808" t="n">
        <v>0</v>
      </c>
      <c r="I9808" t="n">
        <v>0</v>
      </c>
      <c r="J9808" t="n">
        <v>0</v>
      </c>
      <c r="K9808" t="n">
        <v>0</v>
      </c>
      <c r="L9808" t="n">
        <v>0</v>
      </c>
      <c r="M9808" t="n">
        <v>0</v>
      </c>
      <c r="N9808" t="n">
        <v>0</v>
      </c>
      <c r="O9808" t="n">
        <v>0</v>
      </c>
      <c r="P9808" t="n">
        <v>0</v>
      </c>
      <c r="Q9808" t="n">
        <v>0</v>
      </c>
      <c r="R9808" s="2" t="inlineStr"/>
    </row>
    <row r="9809" ht="15" customHeight="1">
      <c r="A9809" t="inlineStr">
        <is>
          <t>A 40672-2025</t>
        </is>
      </c>
      <c r="B9809" s="1" t="n">
        <v>45896.68271990741</v>
      </c>
      <c r="C9809" s="1" t="n">
        <v>45952</v>
      </c>
      <c r="D9809" t="inlineStr">
        <is>
          <t>VÄSTRA GÖTALANDS LÄN</t>
        </is>
      </c>
      <c r="E9809" t="inlineStr">
        <is>
          <t>HERRLJUNGA</t>
        </is>
      </c>
      <c r="G9809" t="n">
        <v>4.8</v>
      </c>
      <c r="H9809" t="n">
        <v>0</v>
      </c>
      <c r="I9809" t="n">
        <v>0</v>
      </c>
      <c r="J9809" t="n">
        <v>0</v>
      </c>
      <c r="K9809" t="n">
        <v>0</v>
      </c>
      <c r="L9809" t="n">
        <v>0</v>
      </c>
      <c r="M9809" t="n">
        <v>0</v>
      </c>
      <c r="N9809" t="n">
        <v>0</v>
      </c>
      <c r="O9809" t="n">
        <v>0</v>
      </c>
      <c r="P9809" t="n">
        <v>0</v>
      </c>
      <c r="Q9809" t="n">
        <v>0</v>
      </c>
      <c r="R9809" s="2" t="inlineStr"/>
    </row>
    <row r="9810" ht="15" customHeight="1">
      <c r="A9810" t="inlineStr">
        <is>
          <t>A 40681-2025</t>
        </is>
      </c>
      <c r="B9810" s="1" t="n">
        <v>45896.85623842593</v>
      </c>
      <c r="C9810" s="1" t="n">
        <v>45952</v>
      </c>
      <c r="D9810" t="inlineStr">
        <is>
          <t>VÄSTRA GÖTALANDS LÄN</t>
        </is>
      </c>
      <c r="E9810" t="inlineStr">
        <is>
          <t>ORUST</t>
        </is>
      </c>
      <c r="G9810" t="n">
        <v>0.9</v>
      </c>
      <c r="H9810" t="n">
        <v>0</v>
      </c>
      <c r="I9810" t="n">
        <v>0</v>
      </c>
      <c r="J9810" t="n">
        <v>0</v>
      </c>
      <c r="K9810" t="n">
        <v>0</v>
      </c>
      <c r="L9810" t="n">
        <v>0</v>
      </c>
      <c r="M9810" t="n">
        <v>0</v>
      </c>
      <c r="N9810" t="n">
        <v>0</v>
      </c>
      <c r="O9810" t="n">
        <v>0</v>
      </c>
      <c r="P9810" t="n">
        <v>0</v>
      </c>
      <c r="Q9810" t="n">
        <v>0</v>
      </c>
      <c r="R9810" s="2" t="inlineStr"/>
    </row>
    <row r="9811" ht="15" customHeight="1">
      <c r="A9811" t="inlineStr">
        <is>
          <t>A 21738-2023</t>
        </is>
      </c>
      <c r="B9811" s="1" t="n">
        <v>45063</v>
      </c>
      <c r="C9811" s="1" t="n">
        <v>45952</v>
      </c>
      <c r="D9811" t="inlineStr">
        <is>
          <t>VÄSTRA GÖTALANDS LÄN</t>
        </is>
      </c>
      <c r="E9811" t="inlineStr">
        <is>
          <t>TIBRO</t>
        </is>
      </c>
      <c r="G9811" t="n">
        <v>1.4</v>
      </c>
      <c r="H9811" t="n">
        <v>0</v>
      </c>
      <c r="I9811" t="n">
        <v>0</v>
      </c>
      <c r="J9811" t="n">
        <v>0</v>
      </c>
      <c r="K9811" t="n">
        <v>0</v>
      </c>
      <c r="L9811" t="n">
        <v>0</v>
      </c>
      <c r="M9811" t="n">
        <v>0</v>
      </c>
      <c r="N9811" t="n">
        <v>0</v>
      </c>
      <c r="O9811" t="n">
        <v>0</v>
      </c>
      <c r="P9811" t="n">
        <v>0</v>
      </c>
      <c r="Q9811" t="n">
        <v>0</v>
      </c>
      <c r="R9811" s="2" t="inlineStr"/>
    </row>
    <row r="9812" ht="15" customHeight="1">
      <c r="A9812" t="inlineStr">
        <is>
          <t>A 60344-2020</t>
        </is>
      </c>
      <c r="B9812" s="1" t="n">
        <v>44152</v>
      </c>
      <c r="C9812" s="1" t="n">
        <v>45952</v>
      </c>
      <c r="D9812" t="inlineStr">
        <is>
          <t>VÄSTRA GÖTALANDS LÄN</t>
        </is>
      </c>
      <c r="E9812" t="inlineStr">
        <is>
          <t>SKÖVDE</t>
        </is>
      </c>
      <c r="G9812" t="n">
        <v>1.9</v>
      </c>
      <c r="H9812" t="n">
        <v>0</v>
      </c>
      <c r="I9812" t="n">
        <v>0</v>
      </c>
      <c r="J9812" t="n">
        <v>0</v>
      </c>
      <c r="K9812" t="n">
        <v>0</v>
      </c>
      <c r="L9812" t="n">
        <v>0</v>
      </c>
      <c r="M9812" t="n">
        <v>0</v>
      </c>
      <c r="N9812" t="n">
        <v>0</v>
      </c>
      <c r="O9812" t="n">
        <v>0</v>
      </c>
      <c r="P9812" t="n">
        <v>0</v>
      </c>
      <c r="Q9812" t="n">
        <v>0</v>
      </c>
      <c r="R9812" s="2" t="inlineStr"/>
    </row>
    <row r="9813" ht="15" customHeight="1">
      <c r="A9813" t="inlineStr">
        <is>
          <t>A 48575-2024</t>
        </is>
      </c>
      <c r="B9813" s="1" t="n">
        <v>45593.41140046297</v>
      </c>
      <c r="C9813" s="1" t="n">
        <v>45952</v>
      </c>
      <c r="D9813" t="inlineStr">
        <is>
          <t>VÄSTRA GÖTALANDS LÄN</t>
        </is>
      </c>
      <c r="E9813" t="inlineStr">
        <is>
          <t>SKÖVDE</t>
        </is>
      </c>
      <c r="G9813" t="n">
        <v>1.9</v>
      </c>
      <c r="H9813" t="n">
        <v>0</v>
      </c>
      <c r="I9813" t="n">
        <v>0</v>
      </c>
      <c r="J9813" t="n">
        <v>0</v>
      </c>
      <c r="K9813" t="n">
        <v>0</v>
      </c>
      <c r="L9813" t="n">
        <v>0</v>
      </c>
      <c r="M9813" t="n">
        <v>0</v>
      </c>
      <c r="N9813" t="n">
        <v>0</v>
      </c>
      <c r="O9813" t="n">
        <v>0</v>
      </c>
      <c r="P9813" t="n">
        <v>0</v>
      </c>
      <c r="Q9813" t="n">
        <v>0</v>
      </c>
      <c r="R9813" s="2" t="inlineStr"/>
    </row>
    <row r="9814" ht="15" customHeight="1">
      <c r="A9814" t="inlineStr">
        <is>
          <t>A 36562-2024</t>
        </is>
      </c>
      <c r="B9814" s="1" t="n">
        <v>45537.4814699074</v>
      </c>
      <c r="C9814" s="1" t="n">
        <v>45952</v>
      </c>
      <c r="D9814" t="inlineStr">
        <is>
          <t>VÄSTRA GÖTALANDS LÄN</t>
        </is>
      </c>
      <c r="E9814" t="inlineStr">
        <is>
          <t>UDDEVALLA</t>
        </is>
      </c>
      <c r="G9814" t="n">
        <v>3.6</v>
      </c>
      <c r="H9814" t="n">
        <v>0</v>
      </c>
      <c r="I9814" t="n">
        <v>0</v>
      </c>
      <c r="J9814" t="n">
        <v>0</v>
      </c>
      <c r="K9814" t="n">
        <v>0</v>
      </c>
      <c r="L9814" t="n">
        <v>0</v>
      </c>
      <c r="M9814" t="n">
        <v>0</v>
      </c>
      <c r="N9814" t="n">
        <v>0</v>
      </c>
      <c r="O9814" t="n">
        <v>0</v>
      </c>
      <c r="P9814" t="n">
        <v>0</v>
      </c>
      <c r="Q9814" t="n">
        <v>0</v>
      </c>
      <c r="R9814" s="2" t="inlineStr"/>
    </row>
    <row r="9815" ht="15" customHeight="1">
      <c r="A9815" t="inlineStr">
        <is>
          <t>A 49670-2025</t>
        </is>
      </c>
      <c r="B9815" s="1" t="n">
        <v>45939.63877314814</v>
      </c>
      <c r="C9815" s="1" t="n">
        <v>45952</v>
      </c>
      <c r="D9815" t="inlineStr">
        <is>
          <t>VÄSTRA GÖTALANDS LÄN</t>
        </is>
      </c>
      <c r="E9815" t="inlineStr">
        <is>
          <t>TÖREBODA</t>
        </is>
      </c>
      <c r="F9815" t="inlineStr">
        <is>
          <t>Kyrkan</t>
        </is>
      </c>
      <c r="G9815" t="n">
        <v>8.1</v>
      </c>
      <c r="H9815" t="n">
        <v>0</v>
      </c>
      <c r="I9815" t="n">
        <v>0</v>
      </c>
      <c r="J9815" t="n">
        <v>0</v>
      </c>
      <c r="K9815" t="n">
        <v>0</v>
      </c>
      <c r="L9815" t="n">
        <v>0</v>
      </c>
      <c r="M9815" t="n">
        <v>0</v>
      </c>
      <c r="N9815" t="n">
        <v>0</v>
      </c>
      <c r="O9815" t="n">
        <v>0</v>
      </c>
      <c r="P9815" t="n">
        <v>0</v>
      </c>
      <c r="Q9815" t="n">
        <v>0</v>
      </c>
      <c r="R9815" s="2" t="inlineStr"/>
    </row>
    <row r="9816" ht="15" customHeight="1">
      <c r="A9816" t="inlineStr">
        <is>
          <t>A 43559-2024</t>
        </is>
      </c>
      <c r="B9816" s="1" t="n">
        <v>45569.39606481481</v>
      </c>
      <c r="C9816" s="1" t="n">
        <v>45952</v>
      </c>
      <c r="D9816" t="inlineStr">
        <is>
          <t>VÄSTRA GÖTALANDS LÄN</t>
        </is>
      </c>
      <c r="E9816" t="inlineStr">
        <is>
          <t>TÖREBODA</t>
        </is>
      </c>
      <c r="G9816" t="n">
        <v>1</v>
      </c>
      <c r="H9816" t="n">
        <v>0</v>
      </c>
      <c r="I9816" t="n">
        <v>0</v>
      </c>
      <c r="J9816" t="n">
        <v>0</v>
      </c>
      <c r="K9816" t="n">
        <v>0</v>
      </c>
      <c r="L9816" t="n">
        <v>0</v>
      </c>
      <c r="M9816" t="n">
        <v>0</v>
      </c>
      <c r="N9816" t="n">
        <v>0</v>
      </c>
      <c r="O9816" t="n">
        <v>0</v>
      </c>
      <c r="P9816" t="n">
        <v>0</v>
      </c>
      <c r="Q9816" t="n">
        <v>0</v>
      </c>
      <c r="R9816" s="2" t="inlineStr"/>
    </row>
    <row r="9817" ht="15" customHeight="1">
      <c r="A9817" t="inlineStr">
        <is>
          <t>A 24025-2025</t>
        </is>
      </c>
      <c r="B9817" s="1" t="n">
        <v>45796.46711805555</v>
      </c>
      <c r="C9817" s="1" t="n">
        <v>45952</v>
      </c>
      <c r="D9817" t="inlineStr">
        <is>
          <t>VÄSTRA GÖTALANDS LÄN</t>
        </is>
      </c>
      <c r="E9817" t="inlineStr">
        <is>
          <t>FALKÖPING</t>
        </is>
      </c>
      <c r="G9817" t="n">
        <v>4</v>
      </c>
      <c r="H9817" t="n">
        <v>0</v>
      </c>
      <c r="I9817" t="n">
        <v>0</v>
      </c>
      <c r="J9817" t="n">
        <v>0</v>
      </c>
      <c r="K9817" t="n">
        <v>0</v>
      </c>
      <c r="L9817" t="n">
        <v>0</v>
      </c>
      <c r="M9817" t="n">
        <v>0</v>
      </c>
      <c r="N9817" t="n">
        <v>0</v>
      </c>
      <c r="O9817" t="n">
        <v>0</v>
      </c>
      <c r="P9817" t="n">
        <v>0</v>
      </c>
      <c r="Q9817" t="n">
        <v>0</v>
      </c>
      <c r="R9817" s="2" t="inlineStr"/>
    </row>
    <row r="9818" ht="15" customHeight="1">
      <c r="A9818" t="inlineStr">
        <is>
          <t>A 24028-2025</t>
        </is>
      </c>
      <c r="B9818" s="1" t="n">
        <v>45796.47368055556</v>
      </c>
      <c r="C9818" s="1" t="n">
        <v>45952</v>
      </c>
      <c r="D9818" t="inlineStr">
        <is>
          <t>VÄSTRA GÖTALANDS LÄN</t>
        </is>
      </c>
      <c r="E9818" t="inlineStr">
        <is>
          <t>FALKÖPING</t>
        </is>
      </c>
      <c r="G9818" t="n">
        <v>8.300000000000001</v>
      </c>
      <c r="H9818" t="n">
        <v>0</v>
      </c>
      <c r="I9818" t="n">
        <v>0</v>
      </c>
      <c r="J9818" t="n">
        <v>0</v>
      </c>
      <c r="K9818" t="n">
        <v>0</v>
      </c>
      <c r="L9818" t="n">
        <v>0</v>
      </c>
      <c r="M9818" t="n">
        <v>0</v>
      </c>
      <c r="N9818" t="n">
        <v>0</v>
      </c>
      <c r="O9818" t="n">
        <v>0</v>
      </c>
      <c r="P9818" t="n">
        <v>0</v>
      </c>
      <c r="Q9818" t="n">
        <v>0</v>
      </c>
      <c r="R9818" s="2" t="inlineStr"/>
    </row>
    <row r="9819" ht="15" customHeight="1">
      <c r="A9819" t="inlineStr">
        <is>
          <t>A 20031-2025</t>
        </is>
      </c>
      <c r="B9819" s="1" t="n">
        <v>45772</v>
      </c>
      <c r="C9819" s="1" t="n">
        <v>45952</v>
      </c>
      <c r="D9819" t="inlineStr">
        <is>
          <t>VÄSTRA GÖTALANDS LÄN</t>
        </is>
      </c>
      <c r="E9819" t="inlineStr">
        <is>
          <t>LILLA EDET</t>
        </is>
      </c>
      <c r="G9819" t="n">
        <v>6.2</v>
      </c>
      <c r="H9819" t="n">
        <v>0</v>
      </c>
      <c r="I9819" t="n">
        <v>0</v>
      </c>
      <c r="J9819" t="n">
        <v>0</v>
      </c>
      <c r="K9819" t="n">
        <v>0</v>
      </c>
      <c r="L9819" t="n">
        <v>0</v>
      </c>
      <c r="M9819" t="n">
        <v>0</v>
      </c>
      <c r="N9819" t="n">
        <v>0</v>
      </c>
      <c r="O9819" t="n">
        <v>0</v>
      </c>
      <c r="P9819" t="n">
        <v>0</v>
      </c>
      <c r="Q9819" t="n">
        <v>0</v>
      </c>
      <c r="R9819" s="2" t="inlineStr"/>
    </row>
    <row r="9820" ht="15" customHeight="1">
      <c r="A9820" t="inlineStr">
        <is>
          <t>A 49201-2025</t>
        </is>
      </c>
      <c r="B9820" s="1" t="n">
        <v>45938.41451388889</v>
      </c>
      <c r="C9820" s="1" t="n">
        <v>45952</v>
      </c>
      <c r="D9820" t="inlineStr">
        <is>
          <t>VÄSTRA GÖTALANDS LÄN</t>
        </is>
      </c>
      <c r="E9820" t="inlineStr">
        <is>
          <t>VÄNERSBORG</t>
        </is>
      </c>
      <c r="G9820" t="n">
        <v>5.3</v>
      </c>
      <c r="H9820" t="n">
        <v>0</v>
      </c>
      <c r="I9820" t="n">
        <v>0</v>
      </c>
      <c r="J9820" t="n">
        <v>0</v>
      </c>
      <c r="K9820" t="n">
        <v>0</v>
      </c>
      <c r="L9820" t="n">
        <v>0</v>
      </c>
      <c r="M9820" t="n">
        <v>0</v>
      </c>
      <c r="N9820" t="n">
        <v>0</v>
      </c>
      <c r="O9820" t="n">
        <v>0</v>
      </c>
      <c r="P9820" t="n">
        <v>0</v>
      </c>
      <c r="Q9820" t="n">
        <v>0</v>
      </c>
      <c r="R9820" s="2" t="inlineStr"/>
    </row>
    <row r="9821" ht="15" customHeight="1">
      <c r="A9821" t="inlineStr">
        <is>
          <t>A 63886-2023</t>
        </is>
      </c>
      <c r="B9821" s="1" t="n">
        <v>45278</v>
      </c>
      <c r="C9821" s="1" t="n">
        <v>45952</v>
      </c>
      <c r="D9821" t="inlineStr">
        <is>
          <t>VÄSTRA GÖTALANDS LÄN</t>
        </is>
      </c>
      <c r="E9821" t="inlineStr">
        <is>
          <t>LYSEKIL</t>
        </is>
      </c>
      <c r="G9821" t="n">
        <v>3</v>
      </c>
      <c r="H9821" t="n">
        <v>0</v>
      </c>
      <c r="I9821" t="n">
        <v>0</v>
      </c>
      <c r="J9821" t="n">
        <v>0</v>
      </c>
      <c r="K9821" t="n">
        <v>0</v>
      </c>
      <c r="L9821" t="n">
        <v>0</v>
      </c>
      <c r="M9821" t="n">
        <v>0</v>
      </c>
      <c r="N9821" t="n">
        <v>0</v>
      </c>
      <c r="O9821" t="n">
        <v>0</v>
      </c>
      <c r="P9821" t="n">
        <v>0</v>
      </c>
      <c r="Q9821" t="n">
        <v>0</v>
      </c>
      <c r="R9821" s="2" t="inlineStr"/>
    </row>
    <row r="9822" ht="15" customHeight="1">
      <c r="A9822" t="inlineStr">
        <is>
          <t>A 20062-2025</t>
        </is>
      </c>
      <c r="B9822" s="1" t="n">
        <v>45772.42921296296</v>
      </c>
      <c r="C9822" s="1" t="n">
        <v>45952</v>
      </c>
      <c r="D9822" t="inlineStr">
        <is>
          <t>VÄSTRA GÖTALANDS LÄN</t>
        </is>
      </c>
      <c r="E9822" t="inlineStr">
        <is>
          <t>BORÅS</t>
        </is>
      </c>
      <c r="G9822" t="n">
        <v>0.4</v>
      </c>
      <c r="H9822" t="n">
        <v>0</v>
      </c>
      <c r="I9822" t="n">
        <v>0</v>
      </c>
      <c r="J9822" t="n">
        <v>0</v>
      </c>
      <c r="K9822" t="n">
        <v>0</v>
      </c>
      <c r="L9822" t="n">
        <v>0</v>
      </c>
      <c r="M9822" t="n">
        <v>0</v>
      </c>
      <c r="N9822" t="n">
        <v>0</v>
      </c>
      <c r="O9822" t="n">
        <v>0</v>
      </c>
      <c r="P9822" t="n">
        <v>0</v>
      </c>
      <c r="Q9822" t="n">
        <v>0</v>
      </c>
      <c r="R9822" s="2" t="inlineStr"/>
    </row>
    <row r="9823" ht="15" customHeight="1">
      <c r="A9823" t="inlineStr">
        <is>
          <t>A 23334-2021</t>
        </is>
      </c>
      <c r="B9823" s="1" t="n">
        <v>44333.52131944444</v>
      </c>
      <c r="C9823" s="1" t="n">
        <v>45952</v>
      </c>
      <c r="D9823" t="inlineStr">
        <is>
          <t>VÄSTRA GÖTALANDS LÄN</t>
        </is>
      </c>
      <c r="E9823" t="inlineStr">
        <is>
          <t>ULRICEHAMN</t>
        </is>
      </c>
      <c r="G9823" t="n">
        <v>0.2</v>
      </c>
      <c r="H9823" t="n">
        <v>0</v>
      </c>
      <c r="I9823" t="n">
        <v>0</v>
      </c>
      <c r="J9823" t="n">
        <v>0</v>
      </c>
      <c r="K9823" t="n">
        <v>0</v>
      </c>
      <c r="L9823" t="n">
        <v>0</v>
      </c>
      <c r="M9823" t="n">
        <v>0</v>
      </c>
      <c r="N9823" t="n">
        <v>0</v>
      </c>
      <c r="O9823" t="n">
        <v>0</v>
      </c>
      <c r="P9823" t="n">
        <v>0</v>
      </c>
      <c r="Q9823" t="n">
        <v>0</v>
      </c>
      <c r="R9823" s="2" t="inlineStr"/>
    </row>
    <row r="9824" ht="15" customHeight="1">
      <c r="A9824" t="inlineStr">
        <is>
          <t>A 23349-2021</t>
        </is>
      </c>
      <c r="B9824" s="1" t="n">
        <v>44333</v>
      </c>
      <c r="C9824" s="1" t="n">
        <v>45952</v>
      </c>
      <c r="D9824" t="inlineStr">
        <is>
          <t>VÄSTRA GÖTALANDS LÄN</t>
        </is>
      </c>
      <c r="E9824" t="inlineStr">
        <is>
          <t>LIDKÖPING</t>
        </is>
      </c>
      <c r="G9824" t="n">
        <v>0.9</v>
      </c>
      <c r="H9824" t="n">
        <v>0</v>
      </c>
      <c r="I9824" t="n">
        <v>0</v>
      </c>
      <c r="J9824" t="n">
        <v>0</v>
      </c>
      <c r="K9824" t="n">
        <v>0</v>
      </c>
      <c r="L9824" t="n">
        <v>0</v>
      </c>
      <c r="M9824" t="n">
        <v>0</v>
      </c>
      <c r="N9824" t="n">
        <v>0</v>
      </c>
      <c r="O9824" t="n">
        <v>0</v>
      </c>
      <c r="P9824" t="n">
        <v>0</v>
      </c>
      <c r="Q9824" t="n">
        <v>0</v>
      </c>
      <c r="R9824" s="2" t="inlineStr"/>
    </row>
    <row r="9825" ht="15" customHeight="1">
      <c r="A9825" t="inlineStr">
        <is>
          <t>A 55841-2020</t>
        </is>
      </c>
      <c r="B9825" s="1" t="n">
        <v>44132</v>
      </c>
      <c r="C9825" s="1" t="n">
        <v>45952</v>
      </c>
      <c r="D9825" t="inlineStr">
        <is>
          <t>VÄSTRA GÖTALANDS LÄN</t>
        </is>
      </c>
      <c r="E9825" t="inlineStr">
        <is>
          <t>SVENLJUNGA</t>
        </is>
      </c>
      <c r="G9825" t="n">
        <v>2.6</v>
      </c>
      <c r="H9825" t="n">
        <v>0</v>
      </c>
      <c r="I9825" t="n">
        <v>0</v>
      </c>
      <c r="J9825" t="n">
        <v>0</v>
      </c>
      <c r="K9825" t="n">
        <v>0</v>
      </c>
      <c r="L9825" t="n">
        <v>0</v>
      </c>
      <c r="M9825" t="n">
        <v>0</v>
      </c>
      <c r="N9825" t="n">
        <v>0</v>
      </c>
      <c r="O9825" t="n">
        <v>0</v>
      </c>
      <c r="P9825" t="n">
        <v>0</v>
      </c>
      <c r="Q9825" t="n">
        <v>0</v>
      </c>
      <c r="R9825" s="2" t="inlineStr"/>
    </row>
    <row r="9826" ht="15" customHeight="1">
      <c r="A9826" t="inlineStr">
        <is>
          <t>A 6222-2025</t>
        </is>
      </c>
      <c r="B9826" s="1" t="n">
        <v>45696</v>
      </c>
      <c r="C9826" s="1" t="n">
        <v>45952</v>
      </c>
      <c r="D9826" t="inlineStr">
        <is>
          <t>VÄSTRA GÖTALANDS LÄN</t>
        </is>
      </c>
      <c r="E9826" t="inlineStr">
        <is>
          <t>MUNKEDAL</t>
        </is>
      </c>
      <c r="G9826" t="n">
        <v>3.6</v>
      </c>
      <c r="H9826" t="n">
        <v>0</v>
      </c>
      <c r="I9826" t="n">
        <v>0</v>
      </c>
      <c r="J9826" t="n">
        <v>0</v>
      </c>
      <c r="K9826" t="n">
        <v>0</v>
      </c>
      <c r="L9826" t="n">
        <v>0</v>
      </c>
      <c r="M9826" t="n">
        <v>0</v>
      </c>
      <c r="N9826" t="n">
        <v>0</v>
      </c>
      <c r="O9826" t="n">
        <v>0</v>
      </c>
      <c r="P9826" t="n">
        <v>0</v>
      </c>
      <c r="Q9826" t="n">
        <v>0</v>
      </c>
      <c r="R9826" s="2" t="inlineStr"/>
    </row>
    <row r="9827" ht="15" customHeight="1">
      <c r="A9827" t="inlineStr">
        <is>
          <t>A 14012-2024</t>
        </is>
      </c>
      <c r="B9827" s="1" t="n">
        <v>45392.48451388889</v>
      </c>
      <c r="C9827" s="1" t="n">
        <v>45952</v>
      </c>
      <c r="D9827" t="inlineStr">
        <is>
          <t>VÄSTRA GÖTALANDS LÄN</t>
        </is>
      </c>
      <c r="E9827" t="inlineStr">
        <is>
          <t>TANUM</t>
        </is>
      </c>
      <c r="G9827" t="n">
        <v>3</v>
      </c>
      <c r="H9827" t="n">
        <v>0</v>
      </c>
      <c r="I9827" t="n">
        <v>0</v>
      </c>
      <c r="J9827" t="n">
        <v>0</v>
      </c>
      <c r="K9827" t="n">
        <v>0</v>
      </c>
      <c r="L9827" t="n">
        <v>0</v>
      </c>
      <c r="M9827" t="n">
        <v>0</v>
      </c>
      <c r="N9827" t="n">
        <v>0</v>
      </c>
      <c r="O9827" t="n">
        <v>0</v>
      </c>
      <c r="P9827" t="n">
        <v>0</v>
      </c>
      <c r="Q9827" t="n">
        <v>0</v>
      </c>
      <c r="R9827" s="2" t="inlineStr"/>
    </row>
    <row r="9828" ht="15" customHeight="1">
      <c r="A9828" t="inlineStr">
        <is>
          <t>A 11159-2023</t>
        </is>
      </c>
      <c r="B9828" s="1" t="n">
        <v>44987</v>
      </c>
      <c r="C9828" s="1" t="n">
        <v>45952</v>
      </c>
      <c r="D9828" t="inlineStr">
        <is>
          <t>VÄSTRA GÖTALANDS LÄN</t>
        </is>
      </c>
      <c r="E9828" t="inlineStr">
        <is>
          <t>TÖREBODA</t>
        </is>
      </c>
      <c r="G9828" t="n">
        <v>2.4</v>
      </c>
      <c r="H9828" t="n">
        <v>0</v>
      </c>
      <c r="I9828" t="n">
        <v>0</v>
      </c>
      <c r="J9828" t="n">
        <v>0</v>
      </c>
      <c r="K9828" t="n">
        <v>0</v>
      </c>
      <c r="L9828" t="n">
        <v>0</v>
      </c>
      <c r="M9828" t="n">
        <v>0</v>
      </c>
      <c r="N9828" t="n">
        <v>0</v>
      </c>
      <c r="O9828" t="n">
        <v>0</v>
      </c>
      <c r="P9828" t="n">
        <v>0</v>
      </c>
      <c r="Q9828" t="n">
        <v>0</v>
      </c>
      <c r="R9828" s="2" t="inlineStr"/>
    </row>
    <row r="9829" ht="15" customHeight="1">
      <c r="A9829" t="inlineStr">
        <is>
          <t>A 56024-2023</t>
        </is>
      </c>
      <c r="B9829" s="1" t="n">
        <v>45240</v>
      </c>
      <c r="C9829" s="1" t="n">
        <v>45952</v>
      </c>
      <c r="D9829" t="inlineStr">
        <is>
          <t>VÄSTRA GÖTALANDS LÄN</t>
        </is>
      </c>
      <c r="E9829" t="inlineStr">
        <is>
          <t>STRÖMSTAD</t>
        </is>
      </c>
      <c r="G9829" t="n">
        <v>3.8</v>
      </c>
      <c r="H9829" t="n">
        <v>0</v>
      </c>
      <c r="I9829" t="n">
        <v>0</v>
      </c>
      <c r="J9829" t="n">
        <v>0</v>
      </c>
      <c r="K9829" t="n">
        <v>0</v>
      </c>
      <c r="L9829" t="n">
        <v>0</v>
      </c>
      <c r="M9829" t="n">
        <v>0</v>
      </c>
      <c r="N9829" t="n">
        <v>0</v>
      </c>
      <c r="O9829" t="n">
        <v>0</v>
      </c>
      <c r="P9829" t="n">
        <v>0</v>
      </c>
      <c r="Q9829" t="n">
        <v>0</v>
      </c>
      <c r="R9829" s="2" t="inlineStr"/>
    </row>
    <row r="9830" ht="15" customHeight="1">
      <c r="A9830" t="inlineStr">
        <is>
          <t>A 56614-2024</t>
        </is>
      </c>
      <c r="B9830" s="1" t="n">
        <v>45625</v>
      </c>
      <c r="C9830" s="1" t="n">
        <v>45952</v>
      </c>
      <c r="D9830" t="inlineStr">
        <is>
          <t>VÄSTRA GÖTALANDS LÄN</t>
        </is>
      </c>
      <c r="E9830" t="inlineStr">
        <is>
          <t>TÖREBODA</t>
        </is>
      </c>
      <c r="G9830" t="n">
        <v>0.6</v>
      </c>
      <c r="H9830" t="n">
        <v>0</v>
      </c>
      <c r="I9830" t="n">
        <v>0</v>
      </c>
      <c r="J9830" t="n">
        <v>0</v>
      </c>
      <c r="K9830" t="n">
        <v>0</v>
      </c>
      <c r="L9830" t="n">
        <v>0</v>
      </c>
      <c r="M9830" t="n">
        <v>0</v>
      </c>
      <c r="N9830" t="n">
        <v>0</v>
      </c>
      <c r="O9830" t="n">
        <v>0</v>
      </c>
      <c r="P9830" t="n">
        <v>0</v>
      </c>
      <c r="Q9830" t="n">
        <v>0</v>
      </c>
      <c r="R9830" s="2" t="inlineStr"/>
    </row>
    <row r="9831" ht="15" customHeight="1">
      <c r="A9831" t="inlineStr">
        <is>
          <t>A 49385-2025</t>
        </is>
      </c>
      <c r="B9831" s="1" t="n">
        <v>45938.6440625</v>
      </c>
      <c r="C9831" s="1" t="n">
        <v>45952</v>
      </c>
      <c r="D9831" t="inlineStr">
        <is>
          <t>VÄSTRA GÖTALANDS LÄN</t>
        </is>
      </c>
      <c r="E9831" t="inlineStr">
        <is>
          <t>SVENLJUNGA</t>
        </is>
      </c>
      <c r="G9831" t="n">
        <v>1.7</v>
      </c>
      <c r="H9831" t="n">
        <v>0</v>
      </c>
      <c r="I9831" t="n">
        <v>0</v>
      </c>
      <c r="J9831" t="n">
        <v>0</v>
      </c>
      <c r="K9831" t="n">
        <v>0</v>
      </c>
      <c r="L9831" t="n">
        <v>0</v>
      </c>
      <c r="M9831" t="n">
        <v>0</v>
      </c>
      <c r="N9831" t="n">
        <v>0</v>
      </c>
      <c r="O9831" t="n">
        <v>0</v>
      </c>
      <c r="P9831" t="n">
        <v>0</v>
      </c>
      <c r="Q9831" t="n">
        <v>0</v>
      </c>
      <c r="R9831" s="2" t="inlineStr"/>
    </row>
    <row r="9832" ht="15" customHeight="1">
      <c r="A9832" t="inlineStr">
        <is>
          <t>A 10410-2022</t>
        </is>
      </c>
      <c r="B9832" s="1" t="n">
        <v>44623.45605324074</v>
      </c>
      <c r="C9832" s="1" t="n">
        <v>45952</v>
      </c>
      <c r="D9832" t="inlineStr">
        <is>
          <t>VÄSTRA GÖTALANDS LÄN</t>
        </is>
      </c>
      <c r="E9832" t="inlineStr">
        <is>
          <t>LERUM</t>
        </is>
      </c>
      <c r="G9832" t="n">
        <v>0.5</v>
      </c>
      <c r="H9832" t="n">
        <v>0</v>
      </c>
      <c r="I9832" t="n">
        <v>0</v>
      </c>
      <c r="J9832" t="n">
        <v>0</v>
      </c>
      <c r="K9832" t="n">
        <v>0</v>
      </c>
      <c r="L9832" t="n">
        <v>0</v>
      </c>
      <c r="M9832" t="n">
        <v>0</v>
      </c>
      <c r="N9832" t="n">
        <v>0</v>
      </c>
      <c r="O9832" t="n">
        <v>0</v>
      </c>
      <c r="P9832" t="n">
        <v>0</v>
      </c>
      <c r="Q9832" t="n">
        <v>0</v>
      </c>
      <c r="R9832" s="2" t="inlineStr"/>
    </row>
    <row r="9833" ht="15" customHeight="1">
      <c r="A9833" t="inlineStr">
        <is>
          <t>A 59419-2024</t>
        </is>
      </c>
      <c r="B9833" s="1" t="n">
        <v>45638.40734953704</v>
      </c>
      <c r="C9833" s="1" t="n">
        <v>45952</v>
      </c>
      <c r="D9833" t="inlineStr">
        <is>
          <t>VÄSTRA GÖTALANDS LÄN</t>
        </is>
      </c>
      <c r="E9833" t="inlineStr">
        <is>
          <t>MARK</t>
        </is>
      </c>
      <c r="G9833" t="n">
        <v>1.8</v>
      </c>
      <c r="H9833" t="n">
        <v>0</v>
      </c>
      <c r="I9833" t="n">
        <v>0</v>
      </c>
      <c r="J9833" t="n">
        <v>0</v>
      </c>
      <c r="K9833" t="n">
        <v>0</v>
      </c>
      <c r="L9833" t="n">
        <v>0</v>
      </c>
      <c r="M9833" t="n">
        <v>0</v>
      </c>
      <c r="N9833" t="n">
        <v>0</v>
      </c>
      <c r="O9833" t="n">
        <v>0</v>
      </c>
      <c r="P9833" t="n">
        <v>0</v>
      </c>
      <c r="Q9833" t="n">
        <v>0</v>
      </c>
      <c r="R9833" s="2" t="inlineStr"/>
    </row>
    <row r="9834" ht="15" customHeight="1">
      <c r="A9834" t="inlineStr">
        <is>
          <t>A 10082-2024</t>
        </is>
      </c>
      <c r="B9834" s="1" t="n">
        <v>45364.4331712963</v>
      </c>
      <c r="C9834" s="1" t="n">
        <v>45952</v>
      </c>
      <c r="D9834" t="inlineStr">
        <is>
          <t>VÄSTRA GÖTALANDS LÄN</t>
        </is>
      </c>
      <c r="E9834" t="inlineStr">
        <is>
          <t>SVENLJUNGA</t>
        </is>
      </c>
      <c r="G9834" t="n">
        <v>1.4</v>
      </c>
      <c r="H9834" t="n">
        <v>0</v>
      </c>
      <c r="I9834" t="n">
        <v>0</v>
      </c>
      <c r="J9834" t="n">
        <v>0</v>
      </c>
      <c r="K9834" t="n">
        <v>0</v>
      </c>
      <c r="L9834" t="n">
        <v>0</v>
      </c>
      <c r="M9834" t="n">
        <v>0</v>
      </c>
      <c r="N9834" t="n">
        <v>0</v>
      </c>
      <c r="O9834" t="n">
        <v>0</v>
      </c>
      <c r="P9834" t="n">
        <v>0</v>
      </c>
      <c r="Q9834" t="n">
        <v>0</v>
      </c>
      <c r="R9834" s="2" t="inlineStr"/>
    </row>
    <row r="9835" ht="15" customHeight="1">
      <c r="A9835" t="inlineStr">
        <is>
          <t>A 49397-2025</t>
        </is>
      </c>
      <c r="B9835" s="1" t="n">
        <v>45938.66553240741</v>
      </c>
      <c r="C9835" s="1" t="n">
        <v>45952</v>
      </c>
      <c r="D9835" t="inlineStr">
        <is>
          <t>VÄSTRA GÖTALANDS LÄN</t>
        </is>
      </c>
      <c r="E9835" t="inlineStr">
        <is>
          <t>ULRICEHAMN</t>
        </is>
      </c>
      <c r="G9835" t="n">
        <v>4.5</v>
      </c>
      <c r="H9835" t="n">
        <v>0</v>
      </c>
      <c r="I9835" t="n">
        <v>0</v>
      </c>
      <c r="J9835" t="n">
        <v>0</v>
      </c>
      <c r="K9835" t="n">
        <v>0</v>
      </c>
      <c r="L9835" t="n">
        <v>0</v>
      </c>
      <c r="M9835" t="n">
        <v>0</v>
      </c>
      <c r="N9835" t="n">
        <v>0</v>
      </c>
      <c r="O9835" t="n">
        <v>0</v>
      </c>
      <c r="P9835" t="n">
        <v>0</v>
      </c>
      <c r="Q9835" t="n">
        <v>0</v>
      </c>
      <c r="R9835" s="2" t="inlineStr"/>
    </row>
    <row r="9836" ht="15" customHeight="1">
      <c r="A9836" t="inlineStr">
        <is>
          <t>A 1545-2023</t>
        </is>
      </c>
      <c r="B9836" s="1" t="n">
        <v>44937</v>
      </c>
      <c r="C9836" s="1" t="n">
        <v>45952</v>
      </c>
      <c r="D9836" t="inlineStr">
        <is>
          <t>VÄSTRA GÖTALANDS LÄN</t>
        </is>
      </c>
      <c r="E9836" t="inlineStr">
        <is>
          <t>MARIESTAD</t>
        </is>
      </c>
      <c r="G9836" t="n">
        <v>0.5</v>
      </c>
      <c r="H9836" t="n">
        <v>0</v>
      </c>
      <c r="I9836" t="n">
        <v>0</v>
      </c>
      <c r="J9836" t="n">
        <v>0</v>
      </c>
      <c r="K9836" t="n">
        <v>0</v>
      </c>
      <c r="L9836" t="n">
        <v>0</v>
      </c>
      <c r="M9836" t="n">
        <v>0</v>
      </c>
      <c r="N9836" t="n">
        <v>0</v>
      </c>
      <c r="O9836" t="n">
        <v>0</v>
      </c>
      <c r="P9836" t="n">
        <v>0</v>
      </c>
      <c r="Q9836" t="n">
        <v>0</v>
      </c>
      <c r="R9836" s="2" t="inlineStr"/>
    </row>
    <row r="9837" ht="15" customHeight="1">
      <c r="A9837" t="inlineStr">
        <is>
          <t>A 49243-2025</t>
        </is>
      </c>
      <c r="B9837" s="1" t="n">
        <v>45938.48791666667</v>
      </c>
      <c r="C9837" s="1" t="n">
        <v>45952</v>
      </c>
      <c r="D9837" t="inlineStr">
        <is>
          <t>VÄSTRA GÖTALANDS LÄN</t>
        </is>
      </c>
      <c r="E9837" t="inlineStr">
        <is>
          <t>BORÅS</t>
        </is>
      </c>
      <c r="G9837" t="n">
        <v>2.6</v>
      </c>
      <c r="H9837" t="n">
        <v>0</v>
      </c>
      <c r="I9837" t="n">
        <v>0</v>
      </c>
      <c r="J9837" t="n">
        <v>0</v>
      </c>
      <c r="K9837" t="n">
        <v>0</v>
      </c>
      <c r="L9837" t="n">
        <v>0</v>
      </c>
      <c r="M9837" t="n">
        <v>0</v>
      </c>
      <c r="N9837" t="n">
        <v>0</v>
      </c>
      <c r="O9837" t="n">
        <v>0</v>
      </c>
      <c r="P9837" t="n">
        <v>0</v>
      </c>
      <c r="Q9837" t="n">
        <v>0</v>
      </c>
      <c r="R9837" s="2" t="inlineStr"/>
    </row>
    <row r="9838" ht="15" customHeight="1">
      <c r="A9838" t="inlineStr">
        <is>
          <t>A 4027-2023</t>
        </is>
      </c>
      <c r="B9838" s="1" t="n">
        <v>44952.56377314815</v>
      </c>
      <c r="C9838" s="1" t="n">
        <v>45952</v>
      </c>
      <c r="D9838" t="inlineStr">
        <is>
          <t>VÄSTRA GÖTALANDS LÄN</t>
        </is>
      </c>
      <c r="E9838" t="inlineStr">
        <is>
          <t>MARK</t>
        </is>
      </c>
      <c r="G9838" t="n">
        <v>7.9</v>
      </c>
      <c r="H9838" t="n">
        <v>0</v>
      </c>
      <c r="I9838" t="n">
        <v>0</v>
      </c>
      <c r="J9838" t="n">
        <v>0</v>
      </c>
      <c r="K9838" t="n">
        <v>0</v>
      </c>
      <c r="L9838" t="n">
        <v>0</v>
      </c>
      <c r="M9838" t="n">
        <v>0</v>
      </c>
      <c r="N9838" t="n">
        <v>0</v>
      </c>
      <c r="O9838" t="n">
        <v>0</v>
      </c>
      <c r="P9838" t="n">
        <v>0</v>
      </c>
      <c r="Q9838" t="n">
        <v>0</v>
      </c>
      <c r="R9838" s="2" t="inlineStr"/>
    </row>
    <row r="9839" ht="15" customHeight="1">
      <c r="A9839" t="inlineStr">
        <is>
          <t>A 49579-2025</t>
        </is>
      </c>
      <c r="B9839" s="1" t="n">
        <v>45939.49269675926</v>
      </c>
      <c r="C9839" s="1" t="n">
        <v>45952</v>
      </c>
      <c r="D9839" t="inlineStr">
        <is>
          <t>VÄSTRA GÖTALANDS LÄN</t>
        </is>
      </c>
      <c r="E9839" t="inlineStr">
        <is>
          <t>MARK</t>
        </is>
      </c>
      <c r="G9839" t="n">
        <v>5.6</v>
      </c>
      <c r="H9839" t="n">
        <v>0</v>
      </c>
      <c r="I9839" t="n">
        <v>0</v>
      </c>
      <c r="J9839" t="n">
        <v>0</v>
      </c>
      <c r="K9839" t="n">
        <v>0</v>
      </c>
      <c r="L9839" t="n">
        <v>0</v>
      </c>
      <c r="M9839" t="n">
        <v>0</v>
      </c>
      <c r="N9839" t="n">
        <v>0</v>
      </c>
      <c r="O9839" t="n">
        <v>0</v>
      </c>
      <c r="P9839" t="n">
        <v>0</v>
      </c>
      <c r="Q9839" t="n">
        <v>0</v>
      </c>
      <c r="R9839" s="2" t="inlineStr"/>
    </row>
    <row r="9840" ht="15" customHeight="1">
      <c r="A9840" t="inlineStr">
        <is>
          <t>A 40890-2025</t>
        </is>
      </c>
      <c r="B9840" s="1" t="n">
        <v>45897.60579861111</v>
      </c>
      <c r="C9840" s="1" t="n">
        <v>45952</v>
      </c>
      <c r="D9840" t="inlineStr">
        <is>
          <t>VÄSTRA GÖTALANDS LÄN</t>
        </is>
      </c>
      <c r="E9840" t="inlineStr">
        <is>
          <t>TRANEMO</t>
        </is>
      </c>
      <c r="F9840" t="inlineStr">
        <is>
          <t>Sveaskog</t>
        </is>
      </c>
      <c r="G9840" t="n">
        <v>2.8</v>
      </c>
      <c r="H9840" t="n">
        <v>0</v>
      </c>
      <c r="I9840" t="n">
        <v>0</v>
      </c>
      <c r="J9840" t="n">
        <v>0</v>
      </c>
      <c r="K9840" t="n">
        <v>0</v>
      </c>
      <c r="L9840" t="n">
        <v>0</v>
      </c>
      <c r="M9840" t="n">
        <v>0</v>
      </c>
      <c r="N9840" t="n">
        <v>0</v>
      </c>
      <c r="O9840" t="n">
        <v>0</v>
      </c>
      <c r="P9840" t="n">
        <v>0</v>
      </c>
      <c r="Q9840" t="n">
        <v>0</v>
      </c>
      <c r="R9840" s="2" t="inlineStr"/>
    </row>
    <row r="9841" ht="15" customHeight="1">
      <c r="A9841" t="inlineStr">
        <is>
          <t>A 45374-2025</t>
        </is>
      </c>
      <c r="B9841" s="1" t="n">
        <v>45922</v>
      </c>
      <c r="C9841" s="1" t="n">
        <v>45952</v>
      </c>
      <c r="D9841" t="inlineStr">
        <is>
          <t>VÄSTRA GÖTALANDS LÄN</t>
        </is>
      </c>
      <c r="E9841" t="inlineStr">
        <is>
          <t>TANUM</t>
        </is>
      </c>
      <c r="G9841" t="n">
        <v>3</v>
      </c>
      <c r="H9841" t="n">
        <v>0</v>
      </c>
      <c r="I9841" t="n">
        <v>0</v>
      </c>
      <c r="J9841" t="n">
        <v>0</v>
      </c>
      <c r="K9841" t="n">
        <v>0</v>
      </c>
      <c r="L9841" t="n">
        <v>0</v>
      </c>
      <c r="M9841" t="n">
        <v>0</v>
      </c>
      <c r="N9841" t="n">
        <v>0</v>
      </c>
      <c r="O9841" t="n">
        <v>0</v>
      </c>
      <c r="P9841" t="n">
        <v>0</v>
      </c>
      <c r="Q9841" t="n">
        <v>0</v>
      </c>
      <c r="R9841" s="2" t="inlineStr"/>
    </row>
    <row r="9842" ht="15" customHeight="1">
      <c r="A9842" t="inlineStr">
        <is>
          <t>A 4806-2023</t>
        </is>
      </c>
      <c r="B9842" s="1" t="n">
        <v>44957.62646990741</v>
      </c>
      <c r="C9842" s="1" t="n">
        <v>45952</v>
      </c>
      <c r="D9842" t="inlineStr">
        <is>
          <t>VÄSTRA GÖTALANDS LÄN</t>
        </is>
      </c>
      <c r="E9842" t="inlineStr">
        <is>
          <t>ALINGSÅS</t>
        </is>
      </c>
      <c r="G9842" t="n">
        <v>1.3</v>
      </c>
      <c r="H9842" t="n">
        <v>0</v>
      </c>
      <c r="I9842" t="n">
        <v>0</v>
      </c>
      <c r="J9842" t="n">
        <v>0</v>
      </c>
      <c r="K9842" t="n">
        <v>0</v>
      </c>
      <c r="L9842" t="n">
        <v>0</v>
      </c>
      <c r="M9842" t="n">
        <v>0</v>
      </c>
      <c r="N9842" t="n">
        <v>0</v>
      </c>
      <c r="O9842" t="n">
        <v>0</v>
      </c>
      <c r="P9842" t="n">
        <v>0</v>
      </c>
      <c r="Q9842" t="n">
        <v>0</v>
      </c>
      <c r="R9842" s="2" t="inlineStr"/>
    </row>
    <row r="9843" ht="15" customHeight="1">
      <c r="A9843" t="inlineStr">
        <is>
          <t>A 46121-2025</t>
        </is>
      </c>
      <c r="B9843" s="1" t="n">
        <v>45924</v>
      </c>
      <c r="C9843" s="1" t="n">
        <v>45952</v>
      </c>
      <c r="D9843" t="inlineStr">
        <is>
          <t>VÄSTRA GÖTALANDS LÄN</t>
        </is>
      </c>
      <c r="E9843" t="inlineStr">
        <is>
          <t>ORUST</t>
        </is>
      </c>
      <c r="G9843" t="n">
        <v>8.5</v>
      </c>
      <c r="H9843" t="n">
        <v>0</v>
      </c>
      <c r="I9843" t="n">
        <v>0</v>
      </c>
      <c r="J9843" t="n">
        <v>0</v>
      </c>
      <c r="K9843" t="n">
        <v>0</v>
      </c>
      <c r="L9843" t="n">
        <v>0</v>
      </c>
      <c r="M9843" t="n">
        <v>0</v>
      </c>
      <c r="N9843" t="n">
        <v>0</v>
      </c>
      <c r="O9843" t="n">
        <v>0</v>
      </c>
      <c r="P9843" t="n">
        <v>0</v>
      </c>
      <c r="Q9843" t="n">
        <v>0</v>
      </c>
      <c r="R9843" s="2" t="inlineStr"/>
    </row>
    <row r="9844" ht="15" customHeight="1">
      <c r="A9844" t="inlineStr">
        <is>
          <t>A 49310-2025</t>
        </is>
      </c>
      <c r="B9844" s="1" t="n">
        <v>45938.56295138889</v>
      </c>
      <c r="C9844" s="1" t="n">
        <v>45952</v>
      </c>
      <c r="D9844" t="inlineStr">
        <is>
          <t>VÄSTRA GÖTALANDS LÄN</t>
        </is>
      </c>
      <c r="E9844" t="inlineStr">
        <is>
          <t>ULRICEHAMN</t>
        </is>
      </c>
      <c r="G9844" t="n">
        <v>1.6</v>
      </c>
      <c r="H9844" t="n">
        <v>0</v>
      </c>
      <c r="I9844" t="n">
        <v>0</v>
      </c>
      <c r="J9844" t="n">
        <v>0</v>
      </c>
      <c r="K9844" t="n">
        <v>0</v>
      </c>
      <c r="L9844" t="n">
        <v>0</v>
      </c>
      <c r="M9844" t="n">
        <v>0</v>
      </c>
      <c r="N9844" t="n">
        <v>0</v>
      </c>
      <c r="O9844" t="n">
        <v>0</v>
      </c>
      <c r="P9844" t="n">
        <v>0</v>
      </c>
      <c r="Q9844" t="n">
        <v>0</v>
      </c>
      <c r="R9844" s="2" t="inlineStr"/>
    </row>
    <row r="9845" ht="15" customHeight="1">
      <c r="A9845" t="inlineStr">
        <is>
          <t>A 12633-2023</t>
        </is>
      </c>
      <c r="B9845" s="1" t="n">
        <v>45000.48731481482</v>
      </c>
      <c r="C9845" s="1" t="n">
        <v>45952</v>
      </c>
      <c r="D9845" t="inlineStr">
        <is>
          <t>VÄSTRA GÖTALANDS LÄN</t>
        </is>
      </c>
      <c r="E9845" t="inlineStr">
        <is>
          <t>SVENLJUNGA</t>
        </is>
      </c>
      <c r="G9845" t="n">
        <v>2.6</v>
      </c>
      <c r="H9845" t="n">
        <v>0</v>
      </c>
      <c r="I9845" t="n">
        <v>0</v>
      </c>
      <c r="J9845" t="n">
        <v>0</v>
      </c>
      <c r="K9845" t="n">
        <v>0</v>
      </c>
      <c r="L9845" t="n">
        <v>0</v>
      </c>
      <c r="M9845" t="n">
        <v>0</v>
      </c>
      <c r="N9845" t="n">
        <v>0</v>
      </c>
      <c r="O9845" t="n">
        <v>0</v>
      </c>
      <c r="P9845" t="n">
        <v>0</v>
      </c>
      <c r="Q9845" t="n">
        <v>0</v>
      </c>
      <c r="R9845" s="2" t="inlineStr"/>
    </row>
    <row r="9846" ht="15" customHeight="1">
      <c r="A9846" t="inlineStr">
        <is>
          <t>A 31206-2021</t>
        </is>
      </c>
      <c r="B9846" s="1" t="n">
        <v>44368</v>
      </c>
      <c r="C9846" s="1" t="n">
        <v>45952</v>
      </c>
      <c r="D9846" t="inlineStr">
        <is>
          <t>VÄSTRA GÖTALANDS LÄN</t>
        </is>
      </c>
      <c r="E9846" t="inlineStr">
        <is>
          <t>ULRICEHAMN</t>
        </is>
      </c>
      <c r="F9846" t="inlineStr">
        <is>
          <t>Sveaskog</t>
        </is>
      </c>
      <c r="G9846" t="n">
        <v>1.6</v>
      </c>
      <c r="H9846" t="n">
        <v>0</v>
      </c>
      <c r="I9846" t="n">
        <v>0</v>
      </c>
      <c r="J9846" t="n">
        <v>0</v>
      </c>
      <c r="K9846" t="n">
        <v>0</v>
      </c>
      <c r="L9846" t="n">
        <v>0</v>
      </c>
      <c r="M9846" t="n">
        <v>0</v>
      </c>
      <c r="N9846" t="n">
        <v>0</v>
      </c>
      <c r="O9846" t="n">
        <v>0</v>
      </c>
      <c r="P9846" t="n">
        <v>0</v>
      </c>
      <c r="Q9846" t="n">
        <v>0</v>
      </c>
      <c r="R9846" s="2" t="inlineStr"/>
    </row>
    <row r="9847" ht="15" customHeight="1">
      <c r="A9847" t="inlineStr">
        <is>
          <t>A 49316-2025</t>
        </is>
      </c>
      <c r="B9847" s="1" t="n">
        <v>45938.56658564815</v>
      </c>
      <c r="C9847" s="1" t="n">
        <v>45952</v>
      </c>
      <c r="D9847" t="inlineStr">
        <is>
          <t>VÄSTRA GÖTALANDS LÄN</t>
        </is>
      </c>
      <c r="E9847" t="inlineStr">
        <is>
          <t>ULRICEHAMN</t>
        </is>
      </c>
      <c r="G9847" t="n">
        <v>1.7</v>
      </c>
      <c r="H9847" t="n">
        <v>0</v>
      </c>
      <c r="I9847" t="n">
        <v>0</v>
      </c>
      <c r="J9847" t="n">
        <v>0</v>
      </c>
      <c r="K9847" t="n">
        <v>0</v>
      </c>
      <c r="L9847" t="n">
        <v>0</v>
      </c>
      <c r="M9847" t="n">
        <v>0</v>
      </c>
      <c r="N9847" t="n">
        <v>0</v>
      </c>
      <c r="O9847" t="n">
        <v>0</v>
      </c>
      <c r="P9847" t="n">
        <v>0</v>
      </c>
      <c r="Q9847" t="n">
        <v>0</v>
      </c>
      <c r="R9847" s="2" t="inlineStr"/>
    </row>
    <row r="9848" ht="15" customHeight="1">
      <c r="A9848" t="inlineStr">
        <is>
          <t>A 31218-2021</t>
        </is>
      </c>
      <c r="B9848" s="1" t="n">
        <v>44368</v>
      </c>
      <c r="C9848" s="1" t="n">
        <v>45952</v>
      </c>
      <c r="D9848" t="inlineStr">
        <is>
          <t>VÄSTRA GÖTALANDS LÄN</t>
        </is>
      </c>
      <c r="E9848" t="inlineStr">
        <is>
          <t>BENGTSFORS</t>
        </is>
      </c>
      <c r="G9848" t="n">
        <v>4.1</v>
      </c>
      <c r="H9848" t="n">
        <v>0</v>
      </c>
      <c r="I9848" t="n">
        <v>0</v>
      </c>
      <c r="J9848" t="n">
        <v>0</v>
      </c>
      <c r="K9848" t="n">
        <v>0</v>
      </c>
      <c r="L9848" t="n">
        <v>0</v>
      </c>
      <c r="M9848" t="n">
        <v>0</v>
      </c>
      <c r="N9848" t="n">
        <v>0</v>
      </c>
      <c r="O9848" t="n">
        <v>0</v>
      </c>
      <c r="P9848" t="n">
        <v>0</v>
      </c>
      <c r="Q9848" t="n">
        <v>0</v>
      </c>
      <c r="R9848" s="2" t="inlineStr"/>
    </row>
    <row r="9849" ht="15" customHeight="1">
      <c r="A9849" t="inlineStr">
        <is>
          <t>A 35709-2021</t>
        </is>
      </c>
      <c r="B9849" s="1" t="n">
        <v>44386.50672453704</v>
      </c>
      <c r="C9849" s="1" t="n">
        <v>45952</v>
      </c>
      <c r="D9849" t="inlineStr">
        <is>
          <t>VÄSTRA GÖTALANDS LÄN</t>
        </is>
      </c>
      <c r="E9849" t="inlineStr">
        <is>
          <t>MELLERUD</t>
        </is>
      </c>
      <c r="G9849" t="n">
        <v>2.5</v>
      </c>
      <c r="H9849" t="n">
        <v>0</v>
      </c>
      <c r="I9849" t="n">
        <v>0</v>
      </c>
      <c r="J9849" t="n">
        <v>0</v>
      </c>
      <c r="K9849" t="n">
        <v>0</v>
      </c>
      <c r="L9849" t="n">
        <v>0</v>
      </c>
      <c r="M9849" t="n">
        <v>0</v>
      </c>
      <c r="N9849" t="n">
        <v>0</v>
      </c>
      <c r="O9849" t="n">
        <v>0</v>
      </c>
      <c r="P9849" t="n">
        <v>0</v>
      </c>
      <c r="Q9849" t="n">
        <v>0</v>
      </c>
      <c r="R9849" s="2" t="inlineStr"/>
    </row>
    <row r="9850" ht="15" customHeight="1">
      <c r="A9850" t="inlineStr">
        <is>
          <t>A 35765-2021</t>
        </is>
      </c>
      <c r="B9850" s="1" t="n">
        <v>44386</v>
      </c>
      <c r="C9850" s="1" t="n">
        <v>45952</v>
      </c>
      <c r="D9850" t="inlineStr">
        <is>
          <t>VÄSTRA GÖTALANDS LÄN</t>
        </is>
      </c>
      <c r="E9850" t="inlineStr">
        <is>
          <t>SKARA</t>
        </is>
      </c>
      <c r="G9850" t="n">
        <v>0.7</v>
      </c>
      <c r="H9850" t="n">
        <v>0</v>
      </c>
      <c r="I9850" t="n">
        <v>0</v>
      </c>
      <c r="J9850" t="n">
        <v>0</v>
      </c>
      <c r="K9850" t="n">
        <v>0</v>
      </c>
      <c r="L9850" t="n">
        <v>0</v>
      </c>
      <c r="M9850" t="n">
        <v>0</v>
      </c>
      <c r="N9850" t="n">
        <v>0</v>
      </c>
      <c r="O9850" t="n">
        <v>0</v>
      </c>
      <c r="P9850" t="n">
        <v>0</v>
      </c>
      <c r="Q9850" t="n">
        <v>0</v>
      </c>
      <c r="R9850" s="2" t="inlineStr"/>
    </row>
    <row r="9851" ht="15" customHeight="1">
      <c r="A9851" t="inlineStr">
        <is>
          <t>A 10192-2022</t>
        </is>
      </c>
      <c r="B9851" s="1" t="n">
        <v>44622.43478009259</v>
      </c>
      <c r="C9851" s="1" t="n">
        <v>45952</v>
      </c>
      <c r="D9851" t="inlineStr">
        <is>
          <t>VÄSTRA GÖTALANDS LÄN</t>
        </is>
      </c>
      <c r="E9851" t="inlineStr">
        <is>
          <t>MARIESTAD</t>
        </is>
      </c>
      <c r="G9851" t="n">
        <v>1.2</v>
      </c>
      <c r="H9851" t="n">
        <v>0</v>
      </c>
      <c r="I9851" t="n">
        <v>0</v>
      </c>
      <c r="J9851" t="n">
        <v>0</v>
      </c>
      <c r="K9851" t="n">
        <v>0</v>
      </c>
      <c r="L9851" t="n">
        <v>0</v>
      </c>
      <c r="M9851" t="n">
        <v>0</v>
      </c>
      <c r="N9851" t="n">
        <v>0</v>
      </c>
      <c r="O9851" t="n">
        <v>0</v>
      </c>
      <c r="P9851" t="n">
        <v>0</v>
      </c>
      <c r="Q9851" t="n">
        <v>0</v>
      </c>
      <c r="R9851" s="2" t="inlineStr"/>
    </row>
    <row r="9852" ht="15" customHeight="1">
      <c r="A9852" t="inlineStr">
        <is>
          <t>A 1559-2023</t>
        </is>
      </c>
      <c r="B9852" s="1" t="n">
        <v>44937.60048611111</v>
      </c>
      <c r="C9852" s="1" t="n">
        <v>45952</v>
      </c>
      <c r="D9852" t="inlineStr">
        <is>
          <t>VÄSTRA GÖTALANDS LÄN</t>
        </is>
      </c>
      <c r="E9852" t="inlineStr">
        <is>
          <t>MUNKEDAL</t>
        </is>
      </c>
      <c r="G9852" t="n">
        <v>3</v>
      </c>
      <c r="H9852" t="n">
        <v>0</v>
      </c>
      <c r="I9852" t="n">
        <v>0</v>
      </c>
      <c r="J9852" t="n">
        <v>0</v>
      </c>
      <c r="K9852" t="n">
        <v>0</v>
      </c>
      <c r="L9852" t="n">
        <v>0</v>
      </c>
      <c r="M9852" t="n">
        <v>0</v>
      </c>
      <c r="N9852" t="n">
        <v>0</v>
      </c>
      <c r="O9852" t="n">
        <v>0</v>
      </c>
      <c r="P9852" t="n">
        <v>0</v>
      </c>
      <c r="Q9852" t="n">
        <v>0</v>
      </c>
      <c r="R9852" s="2" t="inlineStr"/>
    </row>
    <row r="9853" ht="15" customHeight="1">
      <c r="A9853" t="inlineStr">
        <is>
          <t>A 40952-2025</t>
        </is>
      </c>
      <c r="B9853" s="1" t="n">
        <v>45897.66349537037</v>
      </c>
      <c r="C9853" s="1" t="n">
        <v>45952</v>
      </c>
      <c r="D9853" t="inlineStr">
        <is>
          <t>VÄSTRA GÖTALANDS LÄN</t>
        </is>
      </c>
      <c r="E9853" t="inlineStr">
        <is>
          <t>MARIESTAD</t>
        </is>
      </c>
      <c r="G9853" t="n">
        <v>0.7</v>
      </c>
      <c r="H9853" t="n">
        <v>0</v>
      </c>
      <c r="I9853" t="n">
        <v>0</v>
      </c>
      <c r="J9853" t="n">
        <v>0</v>
      </c>
      <c r="K9853" t="n">
        <v>0</v>
      </c>
      <c r="L9853" t="n">
        <v>0</v>
      </c>
      <c r="M9853" t="n">
        <v>0</v>
      </c>
      <c r="N9853" t="n">
        <v>0</v>
      </c>
      <c r="O9853" t="n">
        <v>0</v>
      </c>
      <c r="P9853" t="n">
        <v>0</v>
      </c>
      <c r="Q9853" t="n">
        <v>0</v>
      </c>
      <c r="R9853" s="2" t="inlineStr"/>
    </row>
    <row r="9854" ht="15" customHeight="1">
      <c r="A9854" t="inlineStr">
        <is>
          <t>A 52298-2024</t>
        </is>
      </c>
      <c r="B9854" s="1" t="n">
        <v>45608.7362037037</v>
      </c>
      <c r="C9854" s="1" t="n">
        <v>45952</v>
      </c>
      <c r="D9854" t="inlineStr">
        <is>
          <t>VÄSTRA GÖTALANDS LÄN</t>
        </is>
      </c>
      <c r="E9854" t="inlineStr">
        <is>
          <t>ALINGSÅS</t>
        </is>
      </c>
      <c r="G9854" t="n">
        <v>1</v>
      </c>
      <c r="H9854" t="n">
        <v>0</v>
      </c>
      <c r="I9854" t="n">
        <v>0</v>
      </c>
      <c r="J9854" t="n">
        <v>0</v>
      </c>
      <c r="K9854" t="n">
        <v>0</v>
      </c>
      <c r="L9854" t="n">
        <v>0</v>
      </c>
      <c r="M9854" t="n">
        <v>0</v>
      </c>
      <c r="N9854" t="n">
        <v>0</v>
      </c>
      <c r="O9854" t="n">
        <v>0</v>
      </c>
      <c r="P9854" t="n">
        <v>0</v>
      </c>
      <c r="Q9854" t="n">
        <v>0</v>
      </c>
      <c r="R9854" s="2" t="inlineStr"/>
    </row>
    <row r="9855" ht="15" customHeight="1">
      <c r="A9855" t="inlineStr">
        <is>
          <t>A 49197-2025</t>
        </is>
      </c>
      <c r="B9855" s="1" t="n">
        <v>45937</v>
      </c>
      <c r="C9855" s="1" t="n">
        <v>45952</v>
      </c>
      <c r="D9855" t="inlineStr">
        <is>
          <t>VÄSTRA GÖTALANDS LÄN</t>
        </is>
      </c>
      <c r="E9855" t="inlineStr">
        <is>
          <t>TÖREBODA</t>
        </is>
      </c>
      <c r="G9855" t="n">
        <v>3.1</v>
      </c>
      <c r="H9855" t="n">
        <v>0</v>
      </c>
      <c r="I9855" t="n">
        <v>0</v>
      </c>
      <c r="J9855" t="n">
        <v>0</v>
      </c>
      <c r="K9855" t="n">
        <v>0</v>
      </c>
      <c r="L9855" t="n">
        <v>0</v>
      </c>
      <c r="M9855" t="n">
        <v>0</v>
      </c>
      <c r="N9855" t="n">
        <v>0</v>
      </c>
      <c r="O9855" t="n">
        <v>0</v>
      </c>
      <c r="P9855" t="n">
        <v>0</v>
      </c>
      <c r="Q9855" t="n">
        <v>0</v>
      </c>
      <c r="R9855" s="2" t="inlineStr"/>
    </row>
    <row r="9856" ht="15" customHeight="1">
      <c r="A9856" t="inlineStr">
        <is>
          <t>A 24297-2025</t>
        </is>
      </c>
      <c r="B9856" s="1" t="n">
        <v>45797.4727199074</v>
      </c>
      <c r="C9856" s="1" t="n">
        <v>45952</v>
      </c>
      <c r="D9856" t="inlineStr">
        <is>
          <t>VÄSTRA GÖTALANDS LÄN</t>
        </is>
      </c>
      <c r="E9856" t="inlineStr">
        <is>
          <t>SVENLJUNGA</t>
        </is>
      </c>
      <c r="G9856" t="n">
        <v>2.4</v>
      </c>
      <c r="H9856" t="n">
        <v>0</v>
      </c>
      <c r="I9856" t="n">
        <v>0</v>
      </c>
      <c r="J9856" t="n">
        <v>0</v>
      </c>
      <c r="K9856" t="n">
        <v>0</v>
      </c>
      <c r="L9856" t="n">
        <v>0</v>
      </c>
      <c r="M9856" t="n">
        <v>0</v>
      </c>
      <c r="N9856" t="n">
        <v>0</v>
      </c>
      <c r="O9856" t="n">
        <v>0</v>
      </c>
      <c r="P9856" t="n">
        <v>0</v>
      </c>
      <c r="Q9856" t="n">
        <v>0</v>
      </c>
      <c r="R9856" s="2" t="inlineStr"/>
    </row>
    <row r="9857" ht="15" customHeight="1">
      <c r="A9857" t="inlineStr">
        <is>
          <t>A 40563-2025</t>
        </is>
      </c>
      <c r="B9857" s="1" t="n">
        <v>45896.46121527778</v>
      </c>
      <c r="C9857" s="1" t="n">
        <v>45952</v>
      </c>
      <c r="D9857" t="inlineStr">
        <is>
          <t>VÄSTRA GÖTALANDS LÄN</t>
        </is>
      </c>
      <c r="E9857" t="inlineStr">
        <is>
          <t>ULRICEHAMN</t>
        </is>
      </c>
      <c r="G9857" t="n">
        <v>1.6</v>
      </c>
      <c r="H9857" t="n">
        <v>0</v>
      </c>
      <c r="I9857" t="n">
        <v>0</v>
      </c>
      <c r="J9857" t="n">
        <v>0</v>
      </c>
      <c r="K9857" t="n">
        <v>0</v>
      </c>
      <c r="L9857" t="n">
        <v>0</v>
      </c>
      <c r="M9857" t="n">
        <v>0</v>
      </c>
      <c r="N9857" t="n">
        <v>0</v>
      </c>
      <c r="O9857" t="n">
        <v>0</v>
      </c>
      <c r="P9857" t="n">
        <v>0</v>
      </c>
      <c r="Q9857" t="n">
        <v>0</v>
      </c>
      <c r="R9857" s="2" t="inlineStr"/>
    </row>
    <row r="9858" ht="15" customHeight="1">
      <c r="A9858" t="inlineStr">
        <is>
          <t>A 40592-2025</t>
        </is>
      </c>
      <c r="B9858" s="1" t="n">
        <v>45896.54557870371</v>
      </c>
      <c r="C9858" s="1" t="n">
        <v>45952</v>
      </c>
      <c r="D9858" t="inlineStr">
        <is>
          <t>VÄSTRA GÖTALANDS LÄN</t>
        </is>
      </c>
      <c r="E9858" t="inlineStr">
        <is>
          <t>LIDKÖPING</t>
        </is>
      </c>
      <c r="G9858" t="n">
        <v>0.7</v>
      </c>
      <c r="H9858" t="n">
        <v>0</v>
      </c>
      <c r="I9858" t="n">
        <v>0</v>
      </c>
      <c r="J9858" t="n">
        <v>0</v>
      </c>
      <c r="K9858" t="n">
        <v>0</v>
      </c>
      <c r="L9858" t="n">
        <v>0</v>
      </c>
      <c r="M9858" t="n">
        <v>0</v>
      </c>
      <c r="N9858" t="n">
        <v>0</v>
      </c>
      <c r="O9858" t="n">
        <v>0</v>
      </c>
      <c r="P9858" t="n">
        <v>0</v>
      </c>
      <c r="Q9858" t="n">
        <v>0</v>
      </c>
      <c r="R9858" s="2" t="inlineStr"/>
    </row>
    <row r="9859" ht="15" customHeight="1">
      <c r="A9859" t="inlineStr">
        <is>
          <t>A 57429-2024</t>
        </is>
      </c>
      <c r="B9859" s="1" t="n">
        <v>45629.84033564815</v>
      </c>
      <c r="C9859" s="1" t="n">
        <v>45952</v>
      </c>
      <c r="D9859" t="inlineStr">
        <is>
          <t>VÄSTRA GÖTALANDS LÄN</t>
        </is>
      </c>
      <c r="E9859" t="inlineStr">
        <is>
          <t>BORÅS</t>
        </is>
      </c>
      <c r="G9859" t="n">
        <v>1.5</v>
      </c>
      <c r="H9859" t="n">
        <v>0</v>
      </c>
      <c r="I9859" t="n">
        <v>0</v>
      </c>
      <c r="J9859" t="n">
        <v>0</v>
      </c>
      <c r="K9859" t="n">
        <v>0</v>
      </c>
      <c r="L9859" t="n">
        <v>0</v>
      </c>
      <c r="M9859" t="n">
        <v>0</v>
      </c>
      <c r="N9859" t="n">
        <v>0</v>
      </c>
      <c r="O9859" t="n">
        <v>0</v>
      </c>
      <c r="P9859" t="n">
        <v>0</v>
      </c>
      <c r="Q9859" t="n">
        <v>0</v>
      </c>
      <c r="R9859" s="2" t="inlineStr"/>
    </row>
    <row r="9860" ht="15" customHeight="1">
      <c r="A9860" t="inlineStr">
        <is>
          <t>A 49535-2025</t>
        </is>
      </c>
      <c r="B9860" s="1" t="n">
        <v>45939.41678240741</v>
      </c>
      <c r="C9860" s="1" t="n">
        <v>45952</v>
      </c>
      <c r="D9860" t="inlineStr">
        <is>
          <t>VÄSTRA GÖTALANDS LÄN</t>
        </is>
      </c>
      <c r="E9860" t="inlineStr">
        <is>
          <t>UDDEVALLA</t>
        </is>
      </c>
      <c r="G9860" t="n">
        <v>2.2</v>
      </c>
      <c r="H9860" t="n">
        <v>0</v>
      </c>
      <c r="I9860" t="n">
        <v>0</v>
      </c>
      <c r="J9860" t="n">
        <v>0</v>
      </c>
      <c r="K9860" t="n">
        <v>0</v>
      </c>
      <c r="L9860" t="n">
        <v>0</v>
      </c>
      <c r="M9860" t="n">
        <v>0</v>
      </c>
      <c r="N9860" t="n">
        <v>0</v>
      </c>
      <c r="O9860" t="n">
        <v>0</v>
      </c>
      <c r="P9860" t="n">
        <v>0</v>
      </c>
      <c r="Q9860" t="n">
        <v>0</v>
      </c>
      <c r="R9860" s="2" t="inlineStr"/>
    </row>
    <row r="9861" ht="15" customHeight="1">
      <c r="A9861" t="inlineStr">
        <is>
          <t>A 45395-2023</t>
        </is>
      </c>
      <c r="B9861" s="1" t="n">
        <v>45194</v>
      </c>
      <c r="C9861" s="1" t="n">
        <v>45952</v>
      </c>
      <c r="D9861" t="inlineStr">
        <is>
          <t>VÄSTRA GÖTALANDS LÄN</t>
        </is>
      </c>
      <c r="E9861" t="inlineStr">
        <is>
          <t>SVENLJUNGA</t>
        </is>
      </c>
      <c r="G9861" t="n">
        <v>2.4</v>
      </c>
      <c r="H9861" t="n">
        <v>0</v>
      </c>
      <c r="I9861" t="n">
        <v>0</v>
      </c>
      <c r="J9861" t="n">
        <v>0</v>
      </c>
      <c r="K9861" t="n">
        <v>0</v>
      </c>
      <c r="L9861" t="n">
        <v>0</v>
      </c>
      <c r="M9861" t="n">
        <v>0</v>
      </c>
      <c r="N9861" t="n">
        <v>0</v>
      </c>
      <c r="O9861" t="n">
        <v>0</v>
      </c>
      <c r="P9861" t="n">
        <v>0</v>
      </c>
      <c r="Q9861" t="n">
        <v>0</v>
      </c>
      <c r="R9861" s="2" t="inlineStr"/>
    </row>
    <row r="9862" ht="15" customHeight="1">
      <c r="A9862" t="inlineStr">
        <is>
          <t>A 45400-2023</t>
        </is>
      </c>
      <c r="B9862" s="1" t="n">
        <v>45194</v>
      </c>
      <c r="C9862" s="1" t="n">
        <v>45952</v>
      </c>
      <c r="D9862" t="inlineStr">
        <is>
          <t>VÄSTRA GÖTALANDS LÄN</t>
        </is>
      </c>
      <c r="E9862" t="inlineStr">
        <is>
          <t>SVENLJUNGA</t>
        </is>
      </c>
      <c r="G9862" t="n">
        <v>1.7</v>
      </c>
      <c r="H9862" t="n">
        <v>0</v>
      </c>
      <c r="I9862" t="n">
        <v>0</v>
      </c>
      <c r="J9862" t="n">
        <v>0</v>
      </c>
      <c r="K9862" t="n">
        <v>0</v>
      </c>
      <c r="L9862" t="n">
        <v>0</v>
      </c>
      <c r="M9862" t="n">
        <v>0</v>
      </c>
      <c r="N9862" t="n">
        <v>0</v>
      </c>
      <c r="O9862" t="n">
        <v>0</v>
      </c>
      <c r="P9862" t="n">
        <v>0</v>
      </c>
      <c r="Q9862" t="n">
        <v>0</v>
      </c>
      <c r="R9862" s="2" t="inlineStr"/>
    </row>
    <row r="9863" ht="15" customHeight="1">
      <c r="A9863" t="inlineStr">
        <is>
          <t>A 49563-2025</t>
        </is>
      </c>
      <c r="B9863" s="1" t="n">
        <v>45939.46600694444</v>
      </c>
      <c r="C9863" s="1" t="n">
        <v>45952</v>
      </c>
      <c r="D9863" t="inlineStr">
        <is>
          <t>VÄSTRA GÖTALANDS LÄN</t>
        </is>
      </c>
      <c r="E9863" t="inlineStr">
        <is>
          <t>TRANEMO</t>
        </is>
      </c>
      <c r="G9863" t="n">
        <v>0.7</v>
      </c>
      <c r="H9863" t="n">
        <v>0</v>
      </c>
      <c r="I9863" t="n">
        <v>0</v>
      </c>
      <c r="J9863" t="n">
        <v>0</v>
      </c>
      <c r="K9863" t="n">
        <v>0</v>
      </c>
      <c r="L9863" t="n">
        <v>0</v>
      </c>
      <c r="M9863" t="n">
        <v>0</v>
      </c>
      <c r="N9863" t="n">
        <v>0</v>
      </c>
      <c r="O9863" t="n">
        <v>0</v>
      </c>
      <c r="P9863" t="n">
        <v>0</v>
      </c>
      <c r="Q9863" t="n">
        <v>0</v>
      </c>
      <c r="R9863" s="2" t="inlineStr"/>
    </row>
    <row r="9864" ht="15" customHeight="1">
      <c r="A9864" t="inlineStr">
        <is>
          <t>A 24312-2025</t>
        </is>
      </c>
      <c r="B9864" s="1" t="n">
        <v>45797.51908564815</v>
      </c>
      <c r="C9864" s="1" t="n">
        <v>45952</v>
      </c>
      <c r="D9864" t="inlineStr">
        <is>
          <t>VÄSTRA GÖTALANDS LÄN</t>
        </is>
      </c>
      <c r="E9864" t="inlineStr">
        <is>
          <t>MELLERUD</t>
        </is>
      </c>
      <c r="G9864" t="n">
        <v>1</v>
      </c>
      <c r="H9864" t="n">
        <v>0</v>
      </c>
      <c r="I9864" t="n">
        <v>0</v>
      </c>
      <c r="J9864" t="n">
        <v>0</v>
      </c>
      <c r="K9864" t="n">
        <v>0</v>
      </c>
      <c r="L9864" t="n">
        <v>0</v>
      </c>
      <c r="M9864" t="n">
        <v>0</v>
      </c>
      <c r="N9864" t="n">
        <v>0</v>
      </c>
      <c r="O9864" t="n">
        <v>0</v>
      </c>
      <c r="P9864" t="n">
        <v>0</v>
      </c>
      <c r="Q9864" t="n">
        <v>0</v>
      </c>
      <c r="R9864" s="2" t="inlineStr"/>
    </row>
    <row r="9865" ht="15" customHeight="1">
      <c r="A9865" t="inlineStr">
        <is>
          <t>A 45479-2023</t>
        </is>
      </c>
      <c r="B9865" s="1" t="n">
        <v>45194.44847222222</v>
      </c>
      <c r="C9865" s="1" t="n">
        <v>45952</v>
      </c>
      <c r="D9865" t="inlineStr">
        <is>
          <t>VÄSTRA GÖTALANDS LÄN</t>
        </is>
      </c>
      <c r="E9865" t="inlineStr">
        <is>
          <t>ULRICEHAMN</t>
        </is>
      </c>
      <c r="G9865" t="n">
        <v>1.5</v>
      </c>
      <c r="H9865" t="n">
        <v>0</v>
      </c>
      <c r="I9865" t="n">
        <v>0</v>
      </c>
      <c r="J9865" t="n">
        <v>0</v>
      </c>
      <c r="K9865" t="n">
        <v>0</v>
      </c>
      <c r="L9865" t="n">
        <v>0</v>
      </c>
      <c r="M9865" t="n">
        <v>0</v>
      </c>
      <c r="N9865" t="n">
        <v>0</v>
      </c>
      <c r="O9865" t="n">
        <v>0</v>
      </c>
      <c r="P9865" t="n">
        <v>0</v>
      </c>
      <c r="Q9865" t="n">
        <v>0</v>
      </c>
      <c r="R9865" s="2" t="inlineStr"/>
    </row>
    <row r="9866" ht="15" customHeight="1">
      <c r="A9866" t="inlineStr">
        <is>
          <t>A 52350-2024</t>
        </is>
      </c>
      <c r="B9866" s="1" t="n">
        <v>45609.35231481482</v>
      </c>
      <c r="C9866" s="1" t="n">
        <v>45952</v>
      </c>
      <c r="D9866" t="inlineStr">
        <is>
          <t>VÄSTRA GÖTALANDS LÄN</t>
        </is>
      </c>
      <c r="E9866" t="inlineStr">
        <is>
          <t>DALS-ED</t>
        </is>
      </c>
      <c r="G9866" t="n">
        <v>1</v>
      </c>
      <c r="H9866" t="n">
        <v>0</v>
      </c>
      <c r="I9866" t="n">
        <v>0</v>
      </c>
      <c r="J9866" t="n">
        <v>0</v>
      </c>
      <c r="K9866" t="n">
        <v>0</v>
      </c>
      <c r="L9866" t="n">
        <v>0</v>
      </c>
      <c r="M9866" t="n">
        <v>0</v>
      </c>
      <c r="N9866" t="n">
        <v>0</v>
      </c>
      <c r="O9866" t="n">
        <v>0</v>
      </c>
      <c r="P9866" t="n">
        <v>0</v>
      </c>
      <c r="Q9866" t="n">
        <v>0</v>
      </c>
      <c r="R9866" s="2" t="inlineStr"/>
    </row>
    <row r="9867" ht="15" customHeight="1">
      <c r="A9867" t="inlineStr">
        <is>
          <t>A 33609-2023</t>
        </is>
      </c>
      <c r="B9867" s="1" t="n">
        <v>45132.33288194444</v>
      </c>
      <c r="C9867" s="1" t="n">
        <v>45952</v>
      </c>
      <c r="D9867" t="inlineStr">
        <is>
          <t>VÄSTRA GÖTALANDS LÄN</t>
        </is>
      </c>
      <c r="E9867" t="inlineStr">
        <is>
          <t>BENGTSFORS</t>
        </is>
      </c>
      <c r="G9867" t="n">
        <v>1.6</v>
      </c>
      <c r="H9867" t="n">
        <v>0</v>
      </c>
      <c r="I9867" t="n">
        <v>0</v>
      </c>
      <c r="J9867" t="n">
        <v>0</v>
      </c>
      <c r="K9867" t="n">
        <v>0</v>
      </c>
      <c r="L9867" t="n">
        <v>0</v>
      </c>
      <c r="M9867" t="n">
        <v>0</v>
      </c>
      <c r="N9867" t="n">
        <v>0</v>
      </c>
      <c r="O9867" t="n">
        <v>0</v>
      </c>
      <c r="P9867" t="n">
        <v>0</v>
      </c>
      <c r="Q9867" t="n">
        <v>0</v>
      </c>
      <c r="R9867" s="2" t="inlineStr"/>
    </row>
    <row r="9868" ht="15" customHeight="1">
      <c r="A9868" t="inlineStr">
        <is>
          <t>A 24321-2025</t>
        </is>
      </c>
      <c r="B9868" s="1" t="n">
        <v>45797</v>
      </c>
      <c r="C9868" s="1" t="n">
        <v>45952</v>
      </c>
      <c r="D9868" t="inlineStr">
        <is>
          <t>VÄSTRA GÖTALANDS LÄN</t>
        </is>
      </c>
      <c r="E9868" t="inlineStr">
        <is>
          <t>ORUST</t>
        </is>
      </c>
      <c r="G9868" t="n">
        <v>0.6</v>
      </c>
      <c r="H9868" t="n">
        <v>0</v>
      </c>
      <c r="I9868" t="n">
        <v>0</v>
      </c>
      <c r="J9868" t="n">
        <v>0</v>
      </c>
      <c r="K9868" t="n">
        <v>0</v>
      </c>
      <c r="L9868" t="n">
        <v>0</v>
      </c>
      <c r="M9868" t="n">
        <v>0</v>
      </c>
      <c r="N9868" t="n">
        <v>0</v>
      </c>
      <c r="O9868" t="n">
        <v>0</v>
      </c>
      <c r="P9868" t="n">
        <v>0</v>
      </c>
      <c r="Q9868" t="n">
        <v>0</v>
      </c>
      <c r="R9868" s="2" t="inlineStr"/>
    </row>
    <row r="9869" ht="15" customHeight="1">
      <c r="A9869" t="inlineStr">
        <is>
          <t>A 24352-2025</t>
        </is>
      </c>
      <c r="B9869" s="1" t="n">
        <v>45797.58431712963</v>
      </c>
      <c r="C9869" s="1" t="n">
        <v>45952</v>
      </c>
      <c r="D9869" t="inlineStr">
        <is>
          <t>VÄSTRA GÖTALANDS LÄN</t>
        </is>
      </c>
      <c r="E9869" t="inlineStr">
        <is>
          <t>LIDKÖPING</t>
        </is>
      </c>
      <c r="G9869" t="n">
        <v>1.1</v>
      </c>
      <c r="H9869" t="n">
        <v>0</v>
      </c>
      <c r="I9869" t="n">
        <v>0</v>
      </c>
      <c r="J9869" t="n">
        <v>0</v>
      </c>
      <c r="K9869" t="n">
        <v>0</v>
      </c>
      <c r="L9869" t="n">
        <v>0</v>
      </c>
      <c r="M9869" t="n">
        <v>0</v>
      </c>
      <c r="N9869" t="n">
        <v>0</v>
      </c>
      <c r="O9869" t="n">
        <v>0</v>
      </c>
      <c r="P9869" t="n">
        <v>0</v>
      </c>
      <c r="Q9869" t="n">
        <v>0</v>
      </c>
      <c r="R9869" s="2" t="inlineStr"/>
    </row>
    <row r="9870" ht="15" customHeight="1">
      <c r="A9870" t="inlineStr">
        <is>
          <t>A 18962-2025</t>
        </is>
      </c>
      <c r="B9870" s="1" t="n">
        <v>45764.52909722222</v>
      </c>
      <c r="C9870" s="1" t="n">
        <v>45952</v>
      </c>
      <c r="D9870" t="inlineStr">
        <is>
          <t>VÄSTRA GÖTALANDS LÄN</t>
        </is>
      </c>
      <c r="E9870" t="inlineStr">
        <is>
          <t>MARIESTAD</t>
        </is>
      </c>
      <c r="G9870" t="n">
        <v>0.6</v>
      </c>
      <c r="H9870" t="n">
        <v>0</v>
      </c>
      <c r="I9870" t="n">
        <v>0</v>
      </c>
      <c r="J9870" t="n">
        <v>0</v>
      </c>
      <c r="K9870" t="n">
        <v>0</v>
      </c>
      <c r="L9870" t="n">
        <v>0</v>
      </c>
      <c r="M9870" t="n">
        <v>0</v>
      </c>
      <c r="N9870" t="n">
        <v>0</v>
      </c>
      <c r="O9870" t="n">
        <v>0</v>
      </c>
      <c r="P9870" t="n">
        <v>0</v>
      </c>
      <c r="Q9870" t="n">
        <v>0</v>
      </c>
      <c r="R9870" s="2" t="inlineStr"/>
    </row>
    <row r="9871" ht="15" customHeight="1">
      <c r="A9871" t="inlineStr">
        <is>
          <t>A 56926-2024</t>
        </is>
      </c>
      <c r="B9871" s="1" t="n">
        <v>45628.60256944445</v>
      </c>
      <c r="C9871" s="1" t="n">
        <v>45952</v>
      </c>
      <c r="D9871" t="inlineStr">
        <is>
          <t>VÄSTRA GÖTALANDS LÄN</t>
        </is>
      </c>
      <c r="E9871" t="inlineStr">
        <is>
          <t>SVENLJUNGA</t>
        </is>
      </c>
      <c r="G9871" t="n">
        <v>0.7</v>
      </c>
      <c r="H9871" t="n">
        <v>0</v>
      </c>
      <c r="I9871" t="n">
        <v>0</v>
      </c>
      <c r="J9871" t="n">
        <v>0</v>
      </c>
      <c r="K9871" t="n">
        <v>0</v>
      </c>
      <c r="L9871" t="n">
        <v>0</v>
      </c>
      <c r="M9871" t="n">
        <v>0</v>
      </c>
      <c r="N9871" t="n">
        <v>0</v>
      </c>
      <c r="O9871" t="n">
        <v>0</v>
      </c>
      <c r="P9871" t="n">
        <v>0</v>
      </c>
      <c r="Q9871" t="n">
        <v>0</v>
      </c>
      <c r="R9871" s="2" t="inlineStr"/>
    </row>
    <row r="9872" ht="15" customHeight="1">
      <c r="A9872" t="inlineStr">
        <is>
          <t>A 24347-2025</t>
        </is>
      </c>
      <c r="B9872" s="1" t="n">
        <v>45797.58068287037</v>
      </c>
      <c r="C9872" s="1" t="n">
        <v>45952</v>
      </c>
      <c r="D9872" t="inlineStr">
        <is>
          <t>VÄSTRA GÖTALANDS LÄN</t>
        </is>
      </c>
      <c r="E9872" t="inlineStr">
        <is>
          <t>ULRICEHAMN</t>
        </is>
      </c>
      <c r="G9872" t="n">
        <v>0.4</v>
      </c>
      <c r="H9872" t="n">
        <v>0</v>
      </c>
      <c r="I9872" t="n">
        <v>0</v>
      </c>
      <c r="J9872" t="n">
        <v>0</v>
      </c>
      <c r="K9872" t="n">
        <v>0</v>
      </c>
      <c r="L9872" t="n">
        <v>0</v>
      </c>
      <c r="M9872" t="n">
        <v>0</v>
      </c>
      <c r="N9872" t="n">
        <v>0</v>
      </c>
      <c r="O9872" t="n">
        <v>0</v>
      </c>
      <c r="P9872" t="n">
        <v>0</v>
      </c>
      <c r="Q9872" t="n">
        <v>0</v>
      </c>
      <c r="R9872" s="2" t="inlineStr"/>
    </row>
    <row r="9873" ht="15" customHeight="1">
      <c r="A9873" t="inlineStr">
        <is>
          <t>A 18690-2025</t>
        </is>
      </c>
      <c r="B9873" s="1" t="n">
        <v>45763.6150462963</v>
      </c>
      <c r="C9873" s="1" t="n">
        <v>45952</v>
      </c>
      <c r="D9873" t="inlineStr">
        <is>
          <t>VÄSTRA GÖTALANDS LÄN</t>
        </is>
      </c>
      <c r="E9873" t="inlineStr">
        <is>
          <t>TÖREBODA</t>
        </is>
      </c>
      <c r="F9873" t="inlineStr">
        <is>
          <t>Kyrkan</t>
        </is>
      </c>
      <c r="G9873" t="n">
        <v>2.5</v>
      </c>
      <c r="H9873" t="n">
        <v>0</v>
      </c>
      <c r="I9873" t="n">
        <v>0</v>
      </c>
      <c r="J9873" t="n">
        <v>0</v>
      </c>
      <c r="K9873" t="n">
        <v>0</v>
      </c>
      <c r="L9873" t="n">
        <v>0</v>
      </c>
      <c r="M9873" t="n">
        <v>0</v>
      </c>
      <c r="N9873" t="n">
        <v>0</v>
      </c>
      <c r="O9873" t="n">
        <v>0</v>
      </c>
      <c r="P9873" t="n">
        <v>0</v>
      </c>
      <c r="Q9873" t="n">
        <v>0</v>
      </c>
      <c r="R9873" s="2" t="inlineStr"/>
    </row>
    <row r="9874" ht="15" customHeight="1">
      <c r="A9874" t="inlineStr">
        <is>
          <t>A 34046-2024</t>
        </is>
      </c>
      <c r="B9874" s="1" t="n">
        <v>45523.60449074074</v>
      </c>
      <c r="C9874" s="1" t="n">
        <v>45952</v>
      </c>
      <c r="D9874" t="inlineStr">
        <is>
          <t>VÄSTRA GÖTALANDS LÄN</t>
        </is>
      </c>
      <c r="E9874" t="inlineStr">
        <is>
          <t>ORUST</t>
        </is>
      </c>
      <c r="G9874" t="n">
        <v>4.2</v>
      </c>
      <c r="H9874" t="n">
        <v>0</v>
      </c>
      <c r="I9874" t="n">
        <v>0</v>
      </c>
      <c r="J9874" t="n">
        <v>0</v>
      </c>
      <c r="K9874" t="n">
        <v>0</v>
      </c>
      <c r="L9874" t="n">
        <v>0</v>
      </c>
      <c r="M9874" t="n">
        <v>0</v>
      </c>
      <c r="N9874" t="n">
        <v>0</v>
      </c>
      <c r="O9874" t="n">
        <v>0</v>
      </c>
      <c r="P9874" t="n">
        <v>0</v>
      </c>
      <c r="Q9874" t="n">
        <v>0</v>
      </c>
      <c r="R9874" s="2" t="inlineStr"/>
    </row>
    <row r="9875" ht="15" customHeight="1">
      <c r="A9875" t="inlineStr">
        <is>
          <t>A 10462-2025</t>
        </is>
      </c>
      <c r="B9875" s="1" t="n">
        <v>45720.7705787037</v>
      </c>
      <c r="C9875" s="1" t="n">
        <v>45952</v>
      </c>
      <c r="D9875" t="inlineStr">
        <is>
          <t>VÄSTRA GÖTALANDS LÄN</t>
        </is>
      </c>
      <c r="E9875" t="inlineStr">
        <is>
          <t>TIBRO</t>
        </is>
      </c>
      <c r="G9875" t="n">
        <v>2.4</v>
      </c>
      <c r="H9875" t="n">
        <v>0</v>
      </c>
      <c r="I9875" t="n">
        <v>0</v>
      </c>
      <c r="J9875" t="n">
        <v>0</v>
      </c>
      <c r="K9875" t="n">
        <v>0</v>
      </c>
      <c r="L9875" t="n">
        <v>0</v>
      </c>
      <c r="M9875" t="n">
        <v>0</v>
      </c>
      <c r="N9875" t="n">
        <v>0</v>
      </c>
      <c r="O9875" t="n">
        <v>0</v>
      </c>
      <c r="P9875" t="n">
        <v>0</v>
      </c>
      <c r="Q9875" t="n">
        <v>0</v>
      </c>
      <c r="R9875" s="2" t="inlineStr"/>
    </row>
    <row r="9876" ht="15" customHeight="1">
      <c r="A9876" t="inlineStr">
        <is>
          <t>A 22452-2021</t>
        </is>
      </c>
      <c r="B9876" s="1" t="n">
        <v>44326</v>
      </c>
      <c r="C9876" s="1" t="n">
        <v>45952</v>
      </c>
      <c r="D9876" t="inlineStr">
        <is>
          <t>VÄSTRA GÖTALANDS LÄN</t>
        </is>
      </c>
      <c r="E9876" t="inlineStr">
        <is>
          <t>ORUST</t>
        </is>
      </c>
      <c r="G9876" t="n">
        <v>2.5</v>
      </c>
      <c r="H9876" t="n">
        <v>0</v>
      </c>
      <c r="I9876" t="n">
        <v>0</v>
      </c>
      <c r="J9876" t="n">
        <v>0</v>
      </c>
      <c r="K9876" t="n">
        <v>0</v>
      </c>
      <c r="L9876" t="n">
        <v>0</v>
      </c>
      <c r="M9876" t="n">
        <v>0</v>
      </c>
      <c r="N9876" t="n">
        <v>0</v>
      </c>
      <c r="O9876" t="n">
        <v>0</v>
      </c>
      <c r="P9876" t="n">
        <v>0</v>
      </c>
      <c r="Q9876" t="n">
        <v>0</v>
      </c>
      <c r="R9876" s="2" t="inlineStr"/>
    </row>
    <row r="9877" ht="15" customHeight="1">
      <c r="A9877" t="inlineStr">
        <is>
          <t>A 49708-2025</t>
        </is>
      </c>
      <c r="B9877" s="1" t="n">
        <v>45939.68114583333</v>
      </c>
      <c r="C9877" s="1" t="n">
        <v>45952</v>
      </c>
      <c r="D9877" t="inlineStr">
        <is>
          <t>VÄSTRA GÖTALANDS LÄN</t>
        </is>
      </c>
      <c r="E9877" t="inlineStr">
        <is>
          <t>TRANEMO</t>
        </is>
      </c>
      <c r="G9877" t="n">
        <v>1.2</v>
      </c>
      <c r="H9877" t="n">
        <v>0</v>
      </c>
      <c r="I9877" t="n">
        <v>0</v>
      </c>
      <c r="J9877" t="n">
        <v>0</v>
      </c>
      <c r="K9877" t="n">
        <v>0</v>
      </c>
      <c r="L9877" t="n">
        <v>0</v>
      </c>
      <c r="M9877" t="n">
        <v>0</v>
      </c>
      <c r="N9877" t="n">
        <v>0</v>
      </c>
      <c r="O9877" t="n">
        <v>0</v>
      </c>
      <c r="P9877" t="n">
        <v>0</v>
      </c>
      <c r="Q9877" t="n">
        <v>0</v>
      </c>
      <c r="R9877" s="2" t="inlineStr"/>
    </row>
    <row r="9878" ht="15" customHeight="1">
      <c r="A9878" t="inlineStr">
        <is>
          <t>A 49712-2025</t>
        </is>
      </c>
      <c r="B9878" s="1" t="n">
        <v>45939.70425925926</v>
      </c>
      <c r="C9878" s="1" t="n">
        <v>45952</v>
      </c>
      <c r="D9878" t="inlineStr">
        <is>
          <t>VÄSTRA GÖTALANDS LÄN</t>
        </is>
      </c>
      <c r="E9878" t="inlineStr">
        <is>
          <t>TRANEMO</t>
        </is>
      </c>
      <c r="G9878" t="n">
        <v>2.1</v>
      </c>
      <c r="H9878" t="n">
        <v>0</v>
      </c>
      <c r="I9878" t="n">
        <v>0</v>
      </c>
      <c r="J9878" t="n">
        <v>0</v>
      </c>
      <c r="K9878" t="n">
        <v>0</v>
      </c>
      <c r="L9878" t="n">
        <v>0</v>
      </c>
      <c r="M9878" t="n">
        <v>0</v>
      </c>
      <c r="N9878" t="n">
        <v>0</v>
      </c>
      <c r="O9878" t="n">
        <v>0</v>
      </c>
      <c r="P9878" t="n">
        <v>0</v>
      </c>
      <c r="Q9878" t="n">
        <v>0</v>
      </c>
      <c r="R9878" s="2" t="inlineStr"/>
    </row>
    <row r="9879" ht="15" customHeight="1">
      <c r="A9879" t="inlineStr">
        <is>
          <t>A 49598-2025</t>
        </is>
      </c>
      <c r="B9879" s="1" t="n">
        <v>45939.53748842593</v>
      </c>
      <c r="C9879" s="1" t="n">
        <v>45952</v>
      </c>
      <c r="D9879" t="inlineStr">
        <is>
          <t>VÄSTRA GÖTALANDS LÄN</t>
        </is>
      </c>
      <c r="E9879" t="inlineStr">
        <is>
          <t>VÅRGÅRDA</t>
        </is>
      </c>
      <c r="G9879" t="n">
        <v>3.9</v>
      </c>
      <c r="H9879" t="n">
        <v>0</v>
      </c>
      <c r="I9879" t="n">
        <v>0</v>
      </c>
      <c r="J9879" t="n">
        <v>0</v>
      </c>
      <c r="K9879" t="n">
        <v>0</v>
      </c>
      <c r="L9879" t="n">
        <v>0</v>
      </c>
      <c r="M9879" t="n">
        <v>0</v>
      </c>
      <c r="N9879" t="n">
        <v>0</v>
      </c>
      <c r="O9879" t="n">
        <v>0</v>
      </c>
      <c r="P9879" t="n">
        <v>0</v>
      </c>
      <c r="Q9879" t="n">
        <v>0</v>
      </c>
      <c r="R9879" s="2" t="inlineStr"/>
    </row>
    <row r="9880" ht="15" customHeight="1">
      <c r="A9880" t="inlineStr">
        <is>
          <t>A 46113-2022</t>
        </is>
      </c>
      <c r="B9880" s="1" t="n">
        <v>44847</v>
      </c>
      <c r="C9880" s="1" t="n">
        <v>45952</v>
      </c>
      <c r="D9880" t="inlineStr">
        <is>
          <t>VÄSTRA GÖTALANDS LÄN</t>
        </is>
      </c>
      <c r="E9880" t="inlineStr">
        <is>
          <t>HERRLJUNGA</t>
        </is>
      </c>
      <c r="F9880" t="inlineStr">
        <is>
          <t>Sveaskog</t>
        </is>
      </c>
      <c r="G9880" t="n">
        <v>2</v>
      </c>
      <c r="H9880" t="n">
        <v>0</v>
      </c>
      <c r="I9880" t="n">
        <v>0</v>
      </c>
      <c r="J9880" t="n">
        <v>0</v>
      </c>
      <c r="K9880" t="n">
        <v>0</v>
      </c>
      <c r="L9880" t="n">
        <v>0</v>
      </c>
      <c r="M9880" t="n">
        <v>0</v>
      </c>
      <c r="N9880" t="n">
        <v>0</v>
      </c>
      <c r="O9880" t="n">
        <v>0</v>
      </c>
      <c r="P9880" t="n">
        <v>0</v>
      </c>
      <c r="Q9880" t="n">
        <v>0</v>
      </c>
      <c r="R9880" s="2" t="inlineStr"/>
    </row>
    <row r="9881" ht="15" customHeight="1">
      <c r="A9881" t="inlineStr">
        <is>
          <t>A 28530-2024</t>
        </is>
      </c>
      <c r="B9881" s="1" t="n">
        <v>45478.32665509259</v>
      </c>
      <c r="C9881" s="1" t="n">
        <v>45952</v>
      </c>
      <c r="D9881" t="inlineStr">
        <is>
          <t>VÄSTRA GÖTALANDS LÄN</t>
        </is>
      </c>
      <c r="E9881" t="inlineStr">
        <is>
          <t>FÄRGELANDA</t>
        </is>
      </c>
      <c r="G9881" t="n">
        <v>1.9</v>
      </c>
      <c r="H9881" t="n">
        <v>0</v>
      </c>
      <c r="I9881" t="n">
        <v>0</v>
      </c>
      <c r="J9881" t="n">
        <v>0</v>
      </c>
      <c r="K9881" t="n">
        <v>0</v>
      </c>
      <c r="L9881" t="n">
        <v>0</v>
      </c>
      <c r="M9881" t="n">
        <v>0</v>
      </c>
      <c r="N9881" t="n">
        <v>0</v>
      </c>
      <c r="O9881" t="n">
        <v>0</v>
      </c>
      <c r="P9881" t="n">
        <v>0</v>
      </c>
      <c r="Q9881" t="n">
        <v>0</v>
      </c>
      <c r="R9881" s="2" t="inlineStr"/>
    </row>
    <row r="9882" ht="15" customHeight="1">
      <c r="A9882" t="inlineStr">
        <is>
          <t>A 59076-2024</t>
        </is>
      </c>
      <c r="B9882" s="1" t="n">
        <v>45637</v>
      </c>
      <c r="C9882" s="1" t="n">
        <v>45952</v>
      </c>
      <c r="D9882" t="inlineStr">
        <is>
          <t>VÄSTRA GÖTALANDS LÄN</t>
        </is>
      </c>
      <c r="E9882" t="inlineStr">
        <is>
          <t>ULRICEHAMN</t>
        </is>
      </c>
      <c r="G9882" t="n">
        <v>4.3</v>
      </c>
      <c r="H9882" t="n">
        <v>0</v>
      </c>
      <c r="I9882" t="n">
        <v>0</v>
      </c>
      <c r="J9882" t="n">
        <v>0</v>
      </c>
      <c r="K9882" t="n">
        <v>0</v>
      </c>
      <c r="L9882" t="n">
        <v>0</v>
      </c>
      <c r="M9882" t="n">
        <v>0</v>
      </c>
      <c r="N9882" t="n">
        <v>0</v>
      </c>
      <c r="O9882" t="n">
        <v>0</v>
      </c>
      <c r="P9882" t="n">
        <v>0</v>
      </c>
      <c r="Q9882" t="n">
        <v>0</v>
      </c>
      <c r="R9882" s="2" t="inlineStr"/>
    </row>
    <row r="9883" ht="15" customHeight="1">
      <c r="A9883" t="inlineStr">
        <is>
          <t>A 22887-2025</t>
        </is>
      </c>
      <c r="B9883" s="1" t="n">
        <v>45790.38826388889</v>
      </c>
      <c r="C9883" s="1" t="n">
        <v>45952</v>
      </c>
      <c r="D9883" t="inlineStr">
        <is>
          <t>VÄSTRA GÖTALANDS LÄN</t>
        </is>
      </c>
      <c r="E9883" t="inlineStr">
        <is>
          <t>MELLERUD</t>
        </is>
      </c>
      <c r="G9883" t="n">
        <v>3.6</v>
      </c>
      <c r="H9883" t="n">
        <v>0</v>
      </c>
      <c r="I9883" t="n">
        <v>0</v>
      </c>
      <c r="J9883" t="n">
        <v>0</v>
      </c>
      <c r="K9883" t="n">
        <v>0</v>
      </c>
      <c r="L9883" t="n">
        <v>0</v>
      </c>
      <c r="M9883" t="n">
        <v>0</v>
      </c>
      <c r="N9883" t="n">
        <v>0</v>
      </c>
      <c r="O9883" t="n">
        <v>0</v>
      </c>
      <c r="P9883" t="n">
        <v>0</v>
      </c>
      <c r="Q9883" t="n">
        <v>0</v>
      </c>
      <c r="R9883" s="2" t="inlineStr"/>
    </row>
    <row r="9884" ht="15" customHeight="1">
      <c r="A9884" t="inlineStr">
        <is>
          <t>A 62219-2022</t>
        </is>
      </c>
      <c r="B9884" s="1" t="n">
        <v>44922.66564814815</v>
      </c>
      <c r="C9884" s="1" t="n">
        <v>45952</v>
      </c>
      <c r="D9884" t="inlineStr">
        <is>
          <t>VÄSTRA GÖTALANDS LÄN</t>
        </is>
      </c>
      <c r="E9884" t="inlineStr">
        <is>
          <t>TIBRO</t>
        </is>
      </c>
      <c r="G9884" t="n">
        <v>1.4</v>
      </c>
      <c r="H9884" t="n">
        <v>0</v>
      </c>
      <c r="I9884" t="n">
        <v>0</v>
      </c>
      <c r="J9884" t="n">
        <v>0</v>
      </c>
      <c r="K9884" t="n">
        <v>0</v>
      </c>
      <c r="L9884" t="n">
        <v>0</v>
      </c>
      <c r="M9884" t="n">
        <v>0</v>
      </c>
      <c r="N9884" t="n">
        <v>0</v>
      </c>
      <c r="O9884" t="n">
        <v>0</v>
      </c>
      <c r="P9884" t="n">
        <v>0</v>
      </c>
      <c r="Q9884" t="n">
        <v>0</v>
      </c>
      <c r="R9884" s="2" t="inlineStr"/>
    </row>
    <row r="9885" ht="15" customHeight="1">
      <c r="A9885" t="inlineStr">
        <is>
          <t>A 47056-2025</t>
        </is>
      </c>
      <c r="B9885" s="1" t="n">
        <v>45929.6240625</v>
      </c>
      <c r="C9885" s="1" t="n">
        <v>45952</v>
      </c>
      <c r="D9885" t="inlineStr">
        <is>
          <t>VÄSTRA GÖTALANDS LÄN</t>
        </is>
      </c>
      <c r="E9885" t="inlineStr">
        <is>
          <t>TANUM</t>
        </is>
      </c>
      <c r="G9885" t="n">
        <v>2.7</v>
      </c>
      <c r="H9885" t="n">
        <v>0</v>
      </c>
      <c r="I9885" t="n">
        <v>0</v>
      </c>
      <c r="J9885" t="n">
        <v>0</v>
      </c>
      <c r="K9885" t="n">
        <v>0</v>
      </c>
      <c r="L9885" t="n">
        <v>0</v>
      </c>
      <c r="M9885" t="n">
        <v>0</v>
      </c>
      <c r="N9885" t="n">
        <v>0</v>
      </c>
      <c r="O9885" t="n">
        <v>0</v>
      </c>
      <c r="P9885" t="n">
        <v>0</v>
      </c>
      <c r="Q9885" t="n">
        <v>0</v>
      </c>
      <c r="R9885" s="2" t="inlineStr"/>
    </row>
    <row r="9886" ht="15" customHeight="1">
      <c r="A9886" t="inlineStr">
        <is>
          <t>A 33721-2024</t>
        </is>
      </c>
      <c r="B9886" s="1" t="n">
        <v>45520.5412037037</v>
      </c>
      <c r="C9886" s="1" t="n">
        <v>45952</v>
      </c>
      <c r="D9886" t="inlineStr">
        <is>
          <t>VÄSTRA GÖTALANDS LÄN</t>
        </is>
      </c>
      <c r="E9886" t="inlineStr">
        <is>
          <t>ALINGSÅS</t>
        </is>
      </c>
      <c r="G9886" t="n">
        <v>0.6</v>
      </c>
      <c r="H9886" t="n">
        <v>0</v>
      </c>
      <c r="I9886" t="n">
        <v>0</v>
      </c>
      <c r="J9886" t="n">
        <v>0</v>
      </c>
      <c r="K9886" t="n">
        <v>0</v>
      </c>
      <c r="L9886" t="n">
        <v>0</v>
      </c>
      <c r="M9886" t="n">
        <v>0</v>
      </c>
      <c r="N9886" t="n">
        <v>0</v>
      </c>
      <c r="O9886" t="n">
        <v>0</v>
      </c>
      <c r="P9886" t="n">
        <v>0</v>
      </c>
      <c r="Q9886" t="n">
        <v>0</v>
      </c>
      <c r="R9886" s="2" t="inlineStr"/>
    </row>
    <row r="9887" ht="15" customHeight="1">
      <c r="A9887" t="inlineStr">
        <is>
          <t>A 40920-2025</t>
        </is>
      </c>
      <c r="B9887" s="1" t="n">
        <v>45897</v>
      </c>
      <c r="C9887" s="1" t="n">
        <v>45952</v>
      </c>
      <c r="D9887" t="inlineStr">
        <is>
          <t>VÄSTRA GÖTALANDS LÄN</t>
        </is>
      </c>
      <c r="E9887" t="inlineStr">
        <is>
          <t>TIDAHOLM</t>
        </is>
      </c>
      <c r="G9887" t="n">
        <v>2.2</v>
      </c>
      <c r="H9887" t="n">
        <v>0</v>
      </c>
      <c r="I9887" t="n">
        <v>0</v>
      </c>
      <c r="J9887" t="n">
        <v>0</v>
      </c>
      <c r="K9887" t="n">
        <v>0</v>
      </c>
      <c r="L9887" t="n">
        <v>0</v>
      </c>
      <c r="M9887" t="n">
        <v>0</v>
      </c>
      <c r="N9887" t="n">
        <v>0</v>
      </c>
      <c r="O9887" t="n">
        <v>0</v>
      </c>
      <c r="P9887" t="n">
        <v>0</v>
      </c>
      <c r="Q9887" t="n">
        <v>0</v>
      </c>
      <c r="R9887" s="2" t="inlineStr"/>
    </row>
    <row r="9888" ht="15" customHeight="1">
      <c r="A9888" t="inlineStr">
        <is>
          <t>A 40951-2025</t>
        </is>
      </c>
      <c r="B9888" s="1" t="n">
        <v>45897.66342592592</v>
      </c>
      <c r="C9888" s="1" t="n">
        <v>45952</v>
      </c>
      <c r="D9888" t="inlineStr">
        <is>
          <t>VÄSTRA GÖTALANDS LÄN</t>
        </is>
      </c>
      <c r="E9888" t="inlineStr">
        <is>
          <t>KUNGÄLV</t>
        </is>
      </c>
      <c r="G9888" t="n">
        <v>0.8</v>
      </c>
      <c r="H9888" t="n">
        <v>0</v>
      </c>
      <c r="I9888" t="n">
        <v>0</v>
      </c>
      <c r="J9888" t="n">
        <v>0</v>
      </c>
      <c r="K9888" t="n">
        <v>0</v>
      </c>
      <c r="L9888" t="n">
        <v>0</v>
      </c>
      <c r="M9888" t="n">
        <v>0</v>
      </c>
      <c r="N9888" t="n">
        <v>0</v>
      </c>
      <c r="O9888" t="n">
        <v>0</v>
      </c>
      <c r="P9888" t="n">
        <v>0</v>
      </c>
      <c r="Q9888" t="n">
        <v>0</v>
      </c>
      <c r="R9888" s="2" t="inlineStr"/>
    </row>
    <row r="9889" ht="15" customHeight="1">
      <c r="A9889" t="inlineStr">
        <is>
          <t>A 46459-2025</t>
        </is>
      </c>
      <c r="B9889" s="1" t="n">
        <v>45925.66380787037</v>
      </c>
      <c r="C9889" s="1" t="n">
        <v>45952</v>
      </c>
      <c r="D9889" t="inlineStr">
        <is>
          <t>VÄSTRA GÖTALANDS LÄN</t>
        </is>
      </c>
      <c r="E9889" t="inlineStr">
        <is>
          <t>MARK</t>
        </is>
      </c>
      <c r="G9889" t="n">
        <v>0.7</v>
      </c>
      <c r="H9889" t="n">
        <v>0</v>
      </c>
      <c r="I9889" t="n">
        <v>0</v>
      </c>
      <c r="J9889" t="n">
        <v>0</v>
      </c>
      <c r="K9889" t="n">
        <v>0</v>
      </c>
      <c r="L9889" t="n">
        <v>0</v>
      </c>
      <c r="M9889" t="n">
        <v>0</v>
      </c>
      <c r="N9889" t="n">
        <v>0</v>
      </c>
      <c r="O9889" t="n">
        <v>0</v>
      </c>
      <c r="P9889" t="n">
        <v>0</v>
      </c>
      <c r="Q9889" t="n">
        <v>0</v>
      </c>
      <c r="R9889" s="2" t="inlineStr"/>
    </row>
    <row r="9890" ht="15" customHeight="1">
      <c r="A9890" t="inlineStr">
        <is>
          <t>A 46487-2025</t>
        </is>
      </c>
      <c r="B9890" s="1" t="n">
        <v>45925.71373842593</v>
      </c>
      <c r="C9890" s="1" t="n">
        <v>45952</v>
      </c>
      <c r="D9890" t="inlineStr">
        <is>
          <t>VÄSTRA GÖTALANDS LÄN</t>
        </is>
      </c>
      <c r="E9890" t="inlineStr">
        <is>
          <t>HERRLJUNGA</t>
        </is>
      </c>
      <c r="G9890" t="n">
        <v>5.9</v>
      </c>
      <c r="H9890" t="n">
        <v>0</v>
      </c>
      <c r="I9890" t="n">
        <v>0</v>
      </c>
      <c r="J9890" t="n">
        <v>0</v>
      </c>
      <c r="K9890" t="n">
        <v>0</v>
      </c>
      <c r="L9890" t="n">
        <v>0</v>
      </c>
      <c r="M9890" t="n">
        <v>0</v>
      </c>
      <c r="N9890" t="n">
        <v>0</v>
      </c>
      <c r="O9890" t="n">
        <v>0</v>
      </c>
      <c r="P9890" t="n">
        <v>0</v>
      </c>
      <c r="Q9890" t="n">
        <v>0</v>
      </c>
      <c r="R9890" s="2" t="inlineStr"/>
    </row>
    <row r="9891" ht="15" customHeight="1">
      <c r="A9891" t="inlineStr">
        <is>
          <t>A 41521-2022</t>
        </is>
      </c>
      <c r="B9891" s="1" t="n">
        <v>44827.34412037037</v>
      </c>
      <c r="C9891" s="1" t="n">
        <v>45952</v>
      </c>
      <c r="D9891" t="inlineStr">
        <is>
          <t>VÄSTRA GÖTALANDS LÄN</t>
        </is>
      </c>
      <c r="E9891" t="inlineStr">
        <is>
          <t>BENGTSFORS</t>
        </is>
      </c>
      <c r="G9891" t="n">
        <v>2</v>
      </c>
      <c r="H9891" t="n">
        <v>0</v>
      </c>
      <c r="I9891" t="n">
        <v>0</v>
      </c>
      <c r="J9891" t="n">
        <v>0</v>
      </c>
      <c r="K9891" t="n">
        <v>0</v>
      </c>
      <c r="L9891" t="n">
        <v>0</v>
      </c>
      <c r="M9891" t="n">
        <v>0</v>
      </c>
      <c r="N9891" t="n">
        <v>0</v>
      </c>
      <c r="O9891" t="n">
        <v>0</v>
      </c>
      <c r="P9891" t="n">
        <v>0</v>
      </c>
      <c r="Q9891" t="n">
        <v>0</v>
      </c>
      <c r="R9891" s="2" t="inlineStr"/>
    </row>
    <row r="9892" ht="15" customHeight="1">
      <c r="A9892" t="inlineStr">
        <is>
          <t>A 56831-2022</t>
        </is>
      </c>
      <c r="B9892" s="1" t="n">
        <v>44894</v>
      </c>
      <c r="C9892" s="1" t="n">
        <v>45952</v>
      </c>
      <c r="D9892" t="inlineStr">
        <is>
          <t>VÄSTRA GÖTALANDS LÄN</t>
        </is>
      </c>
      <c r="E9892" t="inlineStr">
        <is>
          <t>TÖREBODA</t>
        </is>
      </c>
      <c r="G9892" t="n">
        <v>1</v>
      </c>
      <c r="H9892" t="n">
        <v>0</v>
      </c>
      <c r="I9892" t="n">
        <v>0</v>
      </c>
      <c r="J9892" t="n">
        <v>0</v>
      </c>
      <c r="K9892" t="n">
        <v>0</v>
      </c>
      <c r="L9892" t="n">
        <v>0</v>
      </c>
      <c r="M9892" t="n">
        <v>0</v>
      </c>
      <c r="N9892" t="n">
        <v>0</v>
      </c>
      <c r="O9892" t="n">
        <v>0</v>
      </c>
      <c r="P9892" t="n">
        <v>0</v>
      </c>
      <c r="Q9892" t="n">
        <v>0</v>
      </c>
      <c r="R9892" s="2" t="inlineStr"/>
    </row>
    <row r="9893" ht="15" customHeight="1">
      <c r="A9893" t="inlineStr">
        <is>
          <t>A 46119-2025</t>
        </is>
      </c>
      <c r="B9893" s="1" t="n">
        <v>45924</v>
      </c>
      <c r="C9893" s="1" t="n">
        <v>45952</v>
      </c>
      <c r="D9893" t="inlineStr">
        <is>
          <t>VÄSTRA GÖTALANDS LÄN</t>
        </is>
      </c>
      <c r="E9893" t="inlineStr">
        <is>
          <t>ORUST</t>
        </is>
      </c>
      <c r="G9893" t="n">
        <v>8.9</v>
      </c>
      <c r="H9893" t="n">
        <v>0</v>
      </c>
      <c r="I9893" t="n">
        <v>0</v>
      </c>
      <c r="J9893" t="n">
        <v>0</v>
      </c>
      <c r="K9893" t="n">
        <v>0</v>
      </c>
      <c r="L9893" t="n">
        <v>0</v>
      </c>
      <c r="M9893" t="n">
        <v>0</v>
      </c>
      <c r="N9893" t="n">
        <v>0</v>
      </c>
      <c r="O9893" t="n">
        <v>0</v>
      </c>
      <c r="P9893" t="n">
        <v>0</v>
      </c>
      <c r="Q9893" t="n">
        <v>0</v>
      </c>
      <c r="R9893" s="2" t="inlineStr"/>
    </row>
    <row r="9894" ht="15" customHeight="1">
      <c r="A9894" t="inlineStr">
        <is>
          <t>A 49278-2025</t>
        </is>
      </c>
      <c r="B9894" s="1" t="n">
        <v>45938.50790509259</v>
      </c>
      <c r="C9894" s="1" t="n">
        <v>45952</v>
      </c>
      <c r="D9894" t="inlineStr">
        <is>
          <t>VÄSTRA GÖTALANDS LÄN</t>
        </is>
      </c>
      <c r="E9894" t="inlineStr">
        <is>
          <t>HJO</t>
        </is>
      </c>
      <c r="G9894" t="n">
        <v>4.8</v>
      </c>
      <c r="H9894" t="n">
        <v>0</v>
      </c>
      <c r="I9894" t="n">
        <v>0</v>
      </c>
      <c r="J9894" t="n">
        <v>0</v>
      </c>
      <c r="K9894" t="n">
        <v>0</v>
      </c>
      <c r="L9894" t="n">
        <v>0</v>
      </c>
      <c r="M9894" t="n">
        <v>0</v>
      </c>
      <c r="N9894" t="n">
        <v>0</v>
      </c>
      <c r="O9894" t="n">
        <v>0</v>
      </c>
      <c r="P9894" t="n">
        <v>0</v>
      </c>
      <c r="Q9894" t="n">
        <v>0</v>
      </c>
      <c r="R9894" s="2" t="inlineStr"/>
    </row>
    <row r="9895" ht="15" customHeight="1">
      <c r="A9895" t="inlineStr">
        <is>
          <t>A 20908-2023</t>
        </is>
      </c>
      <c r="B9895" s="1" t="n">
        <v>45060</v>
      </c>
      <c r="C9895" s="1" t="n">
        <v>45952</v>
      </c>
      <c r="D9895" t="inlineStr">
        <is>
          <t>VÄSTRA GÖTALANDS LÄN</t>
        </is>
      </c>
      <c r="E9895" t="inlineStr">
        <is>
          <t>BENGTSFORS</t>
        </is>
      </c>
      <c r="G9895" t="n">
        <v>0.8</v>
      </c>
      <c r="H9895" t="n">
        <v>0</v>
      </c>
      <c r="I9895" t="n">
        <v>0</v>
      </c>
      <c r="J9895" t="n">
        <v>0</v>
      </c>
      <c r="K9895" t="n">
        <v>0</v>
      </c>
      <c r="L9895" t="n">
        <v>0</v>
      </c>
      <c r="M9895" t="n">
        <v>0</v>
      </c>
      <c r="N9895" t="n">
        <v>0</v>
      </c>
      <c r="O9895" t="n">
        <v>0</v>
      </c>
      <c r="P9895" t="n">
        <v>0</v>
      </c>
      <c r="Q9895" t="n">
        <v>0</v>
      </c>
      <c r="R9895" s="2" t="inlineStr"/>
    </row>
    <row r="9896" ht="15" customHeight="1">
      <c r="A9896" t="inlineStr">
        <is>
          <t>A 22448-2024</t>
        </is>
      </c>
      <c r="B9896" s="1" t="n">
        <v>45446.94362268518</v>
      </c>
      <c r="C9896" s="1" t="n">
        <v>45952</v>
      </c>
      <c r="D9896" t="inlineStr">
        <is>
          <t>VÄSTRA GÖTALANDS LÄN</t>
        </is>
      </c>
      <c r="E9896" t="inlineStr">
        <is>
          <t>DALS-ED</t>
        </is>
      </c>
      <c r="G9896" t="n">
        <v>0.5</v>
      </c>
      <c r="H9896" t="n">
        <v>0</v>
      </c>
      <c r="I9896" t="n">
        <v>0</v>
      </c>
      <c r="J9896" t="n">
        <v>0</v>
      </c>
      <c r="K9896" t="n">
        <v>0</v>
      </c>
      <c r="L9896" t="n">
        <v>0</v>
      </c>
      <c r="M9896" t="n">
        <v>0</v>
      </c>
      <c r="N9896" t="n">
        <v>0</v>
      </c>
      <c r="O9896" t="n">
        <v>0</v>
      </c>
      <c r="P9896" t="n">
        <v>0</v>
      </c>
      <c r="Q9896" t="n">
        <v>0</v>
      </c>
      <c r="R9896" s="2" t="inlineStr"/>
    </row>
    <row r="9897" ht="15" customHeight="1">
      <c r="A9897" t="inlineStr">
        <is>
          <t>A 58320-2021</t>
        </is>
      </c>
      <c r="B9897" s="1" t="n">
        <v>44488</v>
      </c>
      <c r="C9897" s="1" t="n">
        <v>45952</v>
      </c>
      <c r="D9897" t="inlineStr">
        <is>
          <t>VÄSTRA GÖTALANDS LÄN</t>
        </is>
      </c>
      <c r="E9897" t="inlineStr">
        <is>
          <t>BENGTSFORS</t>
        </is>
      </c>
      <c r="G9897" t="n">
        <v>8.199999999999999</v>
      </c>
      <c r="H9897" t="n">
        <v>0</v>
      </c>
      <c r="I9897" t="n">
        <v>0</v>
      </c>
      <c r="J9897" t="n">
        <v>0</v>
      </c>
      <c r="K9897" t="n">
        <v>0</v>
      </c>
      <c r="L9897" t="n">
        <v>0</v>
      </c>
      <c r="M9897" t="n">
        <v>0</v>
      </c>
      <c r="N9897" t="n">
        <v>0</v>
      </c>
      <c r="O9897" t="n">
        <v>0</v>
      </c>
      <c r="P9897" t="n">
        <v>0</v>
      </c>
      <c r="Q9897" t="n">
        <v>0</v>
      </c>
      <c r="R9897" s="2" t="inlineStr"/>
    </row>
    <row r="9898" ht="15" customHeight="1">
      <c r="A9898" t="inlineStr">
        <is>
          <t>A 6387-2023</t>
        </is>
      </c>
      <c r="B9898" s="1" t="n">
        <v>44965.64119212963</v>
      </c>
      <c r="C9898" s="1" t="n">
        <v>45952</v>
      </c>
      <c r="D9898" t="inlineStr">
        <is>
          <t>VÄSTRA GÖTALANDS LÄN</t>
        </is>
      </c>
      <c r="E9898" t="inlineStr">
        <is>
          <t>MARIESTAD</t>
        </is>
      </c>
      <c r="G9898" t="n">
        <v>0.9</v>
      </c>
      <c r="H9898" t="n">
        <v>0</v>
      </c>
      <c r="I9898" t="n">
        <v>0</v>
      </c>
      <c r="J9898" t="n">
        <v>0</v>
      </c>
      <c r="K9898" t="n">
        <v>0</v>
      </c>
      <c r="L9898" t="n">
        <v>0</v>
      </c>
      <c r="M9898" t="n">
        <v>0</v>
      </c>
      <c r="N9898" t="n">
        <v>0</v>
      </c>
      <c r="O9898" t="n">
        <v>0</v>
      </c>
      <c r="P9898" t="n">
        <v>0</v>
      </c>
      <c r="Q9898" t="n">
        <v>0</v>
      </c>
      <c r="R9898" s="2" t="inlineStr"/>
    </row>
    <row r="9899" ht="15" customHeight="1">
      <c r="A9899" t="inlineStr">
        <is>
          <t>A 49288-2025</t>
        </is>
      </c>
      <c r="B9899" s="1" t="n">
        <v>45938.52655092593</v>
      </c>
      <c r="C9899" s="1" t="n">
        <v>45952</v>
      </c>
      <c r="D9899" t="inlineStr">
        <is>
          <t>VÄSTRA GÖTALANDS LÄN</t>
        </is>
      </c>
      <c r="E9899" t="inlineStr">
        <is>
          <t>HERRLJUNGA</t>
        </is>
      </c>
      <c r="G9899" t="n">
        <v>1.4</v>
      </c>
      <c r="H9899" t="n">
        <v>0</v>
      </c>
      <c r="I9899" t="n">
        <v>0</v>
      </c>
      <c r="J9899" t="n">
        <v>0</v>
      </c>
      <c r="K9899" t="n">
        <v>0</v>
      </c>
      <c r="L9899" t="n">
        <v>0</v>
      </c>
      <c r="M9899" t="n">
        <v>0</v>
      </c>
      <c r="N9899" t="n">
        <v>0</v>
      </c>
      <c r="O9899" t="n">
        <v>0</v>
      </c>
      <c r="P9899" t="n">
        <v>0</v>
      </c>
      <c r="Q9899" t="n">
        <v>0</v>
      </c>
      <c r="R9899" s="2" t="inlineStr"/>
    </row>
    <row r="9900" ht="15" customHeight="1">
      <c r="A9900" t="inlineStr">
        <is>
          <t>A 49304-2025</t>
        </is>
      </c>
      <c r="B9900" s="1" t="n">
        <v>45938.55462962963</v>
      </c>
      <c r="C9900" s="1" t="n">
        <v>45952</v>
      </c>
      <c r="D9900" t="inlineStr">
        <is>
          <t>VÄSTRA GÖTALANDS LÄN</t>
        </is>
      </c>
      <c r="E9900" t="inlineStr">
        <is>
          <t>SVENLJUNGA</t>
        </is>
      </c>
      <c r="G9900" t="n">
        <v>1.1</v>
      </c>
      <c r="H9900" t="n">
        <v>0</v>
      </c>
      <c r="I9900" t="n">
        <v>0</v>
      </c>
      <c r="J9900" t="n">
        <v>0</v>
      </c>
      <c r="K9900" t="n">
        <v>0</v>
      </c>
      <c r="L9900" t="n">
        <v>0</v>
      </c>
      <c r="M9900" t="n">
        <v>0</v>
      </c>
      <c r="N9900" t="n">
        <v>0</v>
      </c>
      <c r="O9900" t="n">
        <v>0</v>
      </c>
      <c r="P9900" t="n">
        <v>0</v>
      </c>
      <c r="Q9900" t="n">
        <v>0</v>
      </c>
      <c r="R9900" s="2" t="inlineStr"/>
    </row>
    <row r="9901" ht="15" customHeight="1">
      <c r="A9901" t="inlineStr">
        <is>
          <t>A 40574-2025</t>
        </is>
      </c>
      <c r="B9901" s="1" t="n">
        <v>45896.50040509259</v>
      </c>
      <c r="C9901" s="1" t="n">
        <v>45952</v>
      </c>
      <c r="D9901" t="inlineStr">
        <is>
          <t>VÄSTRA GÖTALANDS LÄN</t>
        </is>
      </c>
      <c r="E9901" t="inlineStr">
        <is>
          <t>DALS-ED</t>
        </is>
      </c>
      <c r="G9901" t="n">
        <v>2.8</v>
      </c>
      <c r="H9901" t="n">
        <v>0</v>
      </c>
      <c r="I9901" t="n">
        <v>0</v>
      </c>
      <c r="J9901" t="n">
        <v>0</v>
      </c>
      <c r="K9901" t="n">
        <v>0</v>
      </c>
      <c r="L9901" t="n">
        <v>0</v>
      </c>
      <c r="M9901" t="n">
        <v>0</v>
      </c>
      <c r="N9901" t="n">
        <v>0</v>
      </c>
      <c r="O9901" t="n">
        <v>0</v>
      </c>
      <c r="P9901" t="n">
        <v>0</v>
      </c>
      <c r="Q9901" t="n">
        <v>0</v>
      </c>
      <c r="R9901" s="2" t="inlineStr"/>
    </row>
    <row r="9902" ht="15" customHeight="1">
      <c r="A9902" t="inlineStr">
        <is>
          <t>A 47057-2023</t>
        </is>
      </c>
      <c r="B9902" s="1" t="n">
        <v>45196</v>
      </c>
      <c r="C9902" s="1" t="n">
        <v>45952</v>
      </c>
      <c r="D9902" t="inlineStr">
        <is>
          <t>VÄSTRA GÖTALANDS LÄN</t>
        </is>
      </c>
      <c r="E9902" t="inlineStr">
        <is>
          <t>HERRLJUNGA</t>
        </is>
      </c>
      <c r="G9902" t="n">
        <v>0.7</v>
      </c>
      <c r="H9902" t="n">
        <v>0</v>
      </c>
      <c r="I9902" t="n">
        <v>0</v>
      </c>
      <c r="J9902" t="n">
        <v>0</v>
      </c>
      <c r="K9902" t="n">
        <v>0</v>
      </c>
      <c r="L9902" t="n">
        <v>0</v>
      </c>
      <c r="M9902" t="n">
        <v>0</v>
      </c>
      <c r="N9902" t="n">
        <v>0</v>
      </c>
      <c r="O9902" t="n">
        <v>0</v>
      </c>
      <c r="P9902" t="n">
        <v>0</v>
      </c>
      <c r="Q9902" t="n">
        <v>0</v>
      </c>
      <c r="R9902" s="2" t="inlineStr"/>
    </row>
    <row r="9903" ht="15" customHeight="1">
      <c r="A9903" t="inlineStr">
        <is>
          <t>A 20793-2023</t>
        </is>
      </c>
      <c r="B9903" s="1" t="n">
        <v>45058.60979166667</v>
      </c>
      <c r="C9903" s="1" t="n">
        <v>45952</v>
      </c>
      <c r="D9903" t="inlineStr">
        <is>
          <t>VÄSTRA GÖTALANDS LÄN</t>
        </is>
      </c>
      <c r="E9903" t="inlineStr">
        <is>
          <t>VÄNERSBORG</t>
        </is>
      </c>
      <c r="G9903" t="n">
        <v>3.3</v>
      </c>
      <c r="H9903" t="n">
        <v>0</v>
      </c>
      <c r="I9903" t="n">
        <v>0</v>
      </c>
      <c r="J9903" t="n">
        <v>0</v>
      </c>
      <c r="K9903" t="n">
        <v>0</v>
      </c>
      <c r="L9903" t="n">
        <v>0</v>
      </c>
      <c r="M9903" t="n">
        <v>0</v>
      </c>
      <c r="N9903" t="n">
        <v>0</v>
      </c>
      <c r="O9903" t="n">
        <v>0</v>
      </c>
      <c r="P9903" t="n">
        <v>0</v>
      </c>
      <c r="Q9903" t="n">
        <v>0</v>
      </c>
      <c r="R9903" s="2" t="inlineStr"/>
    </row>
    <row r="9904" ht="15" customHeight="1">
      <c r="A9904" t="inlineStr">
        <is>
          <t>A 7652-2025</t>
        </is>
      </c>
      <c r="B9904" s="1" t="n">
        <v>45705.90400462963</v>
      </c>
      <c r="C9904" s="1" t="n">
        <v>45952</v>
      </c>
      <c r="D9904" t="inlineStr">
        <is>
          <t>VÄSTRA GÖTALANDS LÄN</t>
        </is>
      </c>
      <c r="E9904" t="inlineStr">
        <is>
          <t>TRANEMO</t>
        </is>
      </c>
      <c r="G9904" t="n">
        <v>5.4</v>
      </c>
      <c r="H9904" t="n">
        <v>0</v>
      </c>
      <c r="I9904" t="n">
        <v>0</v>
      </c>
      <c r="J9904" t="n">
        <v>0</v>
      </c>
      <c r="K9904" t="n">
        <v>0</v>
      </c>
      <c r="L9904" t="n">
        <v>0</v>
      </c>
      <c r="M9904" t="n">
        <v>0</v>
      </c>
      <c r="N9904" t="n">
        <v>0</v>
      </c>
      <c r="O9904" t="n">
        <v>0</v>
      </c>
      <c r="P9904" t="n">
        <v>0</v>
      </c>
      <c r="Q9904" t="n">
        <v>0</v>
      </c>
      <c r="R9904" s="2" t="inlineStr"/>
    </row>
    <row r="9905" ht="15" customHeight="1">
      <c r="A9905" t="inlineStr">
        <is>
          <t>A 46040-2021</t>
        </is>
      </c>
      <c r="B9905" s="1" t="n">
        <v>44441</v>
      </c>
      <c r="C9905" s="1" t="n">
        <v>45952</v>
      </c>
      <c r="D9905" t="inlineStr">
        <is>
          <t>VÄSTRA GÖTALANDS LÄN</t>
        </is>
      </c>
      <c r="E9905" t="inlineStr">
        <is>
          <t>FÄRGELANDA</t>
        </is>
      </c>
      <c r="G9905" t="n">
        <v>4</v>
      </c>
      <c r="H9905" t="n">
        <v>0</v>
      </c>
      <c r="I9905" t="n">
        <v>0</v>
      </c>
      <c r="J9905" t="n">
        <v>0</v>
      </c>
      <c r="K9905" t="n">
        <v>0</v>
      </c>
      <c r="L9905" t="n">
        <v>0</v>
      </c>
      <c r="M9905" t="n">
        <v>0</v>
      </c>
      <c r="N9905" t="n">
        <v>0</v>
      </c>
      <c r="O9905" t="n">
        <v>0</v>
      </c>
      <c r="P9905" t="n">
        <v>0</v>
      </c>
      <c r="Q9905" t="n">
        <v>0</v>
      </c>
      <c r="R9905" s="2" t="inlineStr"/>
    </row>
    <row r="9906" ht="15" customHeight="1">
      <c r="A9906" t="inlineStr">
        <is>
          <t>A 63039-2023</t>
        </is>
      </c>
      <c r="B9906" s="1" t="n">
        <v>45272</v>
      </c>
      <c r="C9906" s="1" t="n">
        <v>45952</v>
      </c>
      <c r="D9906" t="inlineStr">
        <is>
          <t>VÄSTRA GÖTALANDS LÄN</t>
        </is>
      </c>
      <c r="E9906" t="inlineStr">
        <is>
          <t>GULLSPÅNG</t>
        </is>
      </c>
      <c r="G9906" t="n">
        <v>0.8</v>
      </c>
      <c r="H9906" t="n">
        <v>0</v>
      </c>
      <c r="I9906" t="n">
        <v>0</v>
      </c>
      <c r="J9906" t="n">
        <v>0</v>
      </c>
      <c r="K9906" t="n">
        <v>0</v>
      </c>
      <c r="L9906" t="n">
        <v>0</v>
      </c>
      <c r="M9906" t="n">
        <v>0</v>
      </c>
      <c r="N9906" t="n">
        <v>0</v>
      </c>
      <c r="O9906" t="n">
        <v>0</v>
      </c>
      <c r="P9906" t="n">
        <v>0</v>
      </c>
      <c r="Q9906" t="n">
        <v>0</v>
      </c>
      <c r="R9906" s="2" t="inlineStr"/>
    </row>
    <row r="9907" ht="15" customHeight="1">
      <c r="A9907" t="inlineStr">
        <is>
          <t>A 24348-2025</t>
        </is>
      </c>
      <c r="B9907" s="1" t="n">
        <v>45797</v>
      </c>
      <c r="C9907" s="1" t="n">
        <v>45952</v>
      </c>
      <c r="D9907" t="inlineStr">
        <is>
          <t>VÄSTRA GÖTALANDS LÄN</t>
        </is>
      </c>
      <c r="E9907" t="inlineStr">
        <is>
          <t>STRÖMSTAD</t>
        </is>
      </c>
      <c r="G9907" t="n">
        <v>2.4</v>
      </c>
      <c r="H9907" t="n">
        <v>0</v>
      </c>
      <c r="I9907" t="n">
        <v>0</v>
      </c>
      <c r="J9907" t="n">
        <v>0</v>
      </c>
      <c r="K9907" t="n">
        <v>0</v>
      </c>
      <c r="L9907" t="n">
        <v>0</v>
      </c>
      <c r="M9907" t="n">
        <v>0</v>
      </c>
      <c r="N9907" t="n">
        <v>0</v>
      </c>
      <c r="O9907" t="n">
        <v>0</v>
      </c>
      <c r="P9907" t="n">
        <v>0</v>
      </c>
      <c r="Q9907" t="n">
        <v>0</v>
      </c>
      <c r="R9907" s="2" t="inlineStr"/>
    </row>
    <row r="9908" ht="15" customHeight="1">
      <c r="A9908" t="inlineStr">
        <is>
          <t>A 50575-2024</t>
        </is>
      </c>
      <c r="B9908" s="1" t="n">
        <v>45600</v>
      </c>
      <c r="C9908" s="1" t="n">
        <v>45952</v>
      </c>
      <c r="D9908" t="inlineStr">
        <is>
          <t>VÄSTRA GÖTALANDS LÄN</t>
        </is>
      </c>
      <c r="E9908" t="inlineStr">
        <is>
          <t>MARIESTAD</t>
        </is>
      </c>
      <c r="G9908" t="n">
        <v>2.9</v>
      </c>
      <c r="H9908" t="n">
        <v>0</v>
      </c>
      <c r="I9908" t="n">
        <v>0</v>
      </c>
      <c r="J9908" t="n">
        <v>0</v>
      </c>
      <c r="K9908" t="n">
        <v>0</v>
      </c>
      <c r="L9908" t="n">
        <v>0</v>
      </c>
      <c r="M9908" t="n">
        <v>0</v>
      </c>
      <c r="N9908" t="n">
        <v>0</v>
      </c>
      <c r="O9908" t="n">
        <v>0</v>
      </c>
      <c r="P9908" t="n">
        <v>0</v>
      </c>
      <c r="Q9908" t="n">
        <v>0</v>
      </c>
      <c r="R9908" s="2" t="inlineStr"/>
    </row>
    <row r="9909" ht="15" customHeight="1">
      <c r="A9909" t="inlineStr">
        <is>
          <t>A 37461-2024</t>
        </is>
      </c>
      <c r="B9909" s="1" t="n">
        <v>45540.72516203704</v>
      </c>
      <c r="C9909" s="1" t="n">
        <v>45952</v>
      </c>
      <c r="D9909" t="inlineStr">
        <is>
          <t>VÄSTRA GÖTALANDS LÄN</t>
        </is>
      </c>
      <c r="E9909" t="inlineStr">
        <is>
          <t>ALE</t>
        </is>
      </c>
      <c r="G9909" t="n">
        <v>1.6</v>
      </c>
      <c r="H9909" t="n">
        <v>0</v>
      </c>
      <c r="I9909" t="n">
        <v>0</v>
      </c>
      <c r="J9909" t="n">
        <v>0</v>
      </c>
      <c r="K9909" t="n">
        <v>0</v>
      </c>
      <c r="L9909" t="n">
        <v>0</v>
      </c>
      <c r="M9909" t="n">
        <v>0</v>
      </c>
      <c r="N9909" t="n">
        <v>0</v>
      </c>
      <c r="O9909" t="n">
        <v>0</v>
      </c>
      <c r="P9909" t="n">
        <v>0</v>
      </c>
      <c r="Q9909" t="n">
        <v>0</v>
      </c>
      <c r="R9909" s="2" t="inlineStr"/>
    </row>
    <row r="9910" ht="15" customHeight="1">
      <c r="A9910" t="inlineStr">
        <is>
          <t>A 61975-2021</t>
        </is>
      </c>
      <c r="B9910" s="1" t="n">
        <v>44502</v>
      </c>
      <c r="C9910" s="1" t="n">
        <v>45952</v>
      </c>
      <c r="D9910" t="inlineStr">
        <is>
          <t>VÄSTRA GÖTALANDS LÄN</t>
        </is>
      </c>
      <c r="E9910" t="inlineStr">
        <is>
          <t>TIBRO</t>
        </is>
      </c>
      <c r="F9910" t="inlineStr">
        <is>
          <t>Kommuner</t>
        </is>
      </c>
      <c r="G9910" t="n">
        <v>4.2</v>
      </c>
      <c r="H9910" t="n">
        <v>0</v>
      </c>
      <c r="I9910" t="n">
        <v>0</v>
      </c>
      <c r="J9910" t="n">
        <v>0</v>
      </c>
      <c r="K9910" t="n">
        <v>0</v>
      </c>
      <c r="L9910" t="n">
        <v>0</v>
      </c>
      <c r="M9910" t="n">
        <v>0</v>
      </c>
      <c r="N9910" t="n">
        <v>0</v>
      </c>
      <c r="O9910" t="n">
        <v>0</v>
      </c>
      <c r="P9910" t="n">
        <v>0</v>
      </c>
      <c r="Q9910" t="n">
        <v>0</v>
      </c>
      <c r="R9910" s="2" t="inlineStr"/>
    </row>
    <row r="9911" ht="15" customHeight="1">
      <c r="A9911" t="inlineStr">
        <is>
          <t>A 44104-2024</t>
        </is>
      </c>
      <c r="B9911" s="1" t="n">
        <v>45572.62975694444</v>
      </c>
      <c r="C9911" s="1" t="n">
        <v>45952</v>
      </c>
      <c r="D9911" t="inlineStr">
        <is>
          <t>VÄSTRA GÖTALANDS LÄN</t>
        </is>
      </c>
      <c r="E9911" t="inlineStr">
        <is>
          <t>LIDKÖPING</t>
        </is>
      </c>
      <c r="G9911" t="n">
        <v>2.4</v>
      </c>
      <c r="H9911" t="n">
        <v>0</v>
      </c>
      <c r="I9911" t="n">
        <v>0</v>
      </c>
      <c r="J9911" t="n">
        <v>0</v>
      </c>
      <c r="K9911" t="n">
        <v>0</v>
      </c>
      <c r="L9911" t="n">
        <v>0</v>
      </c>
      <c r="M9911" t="n">
        <v>0</v>
      </c>
      <c r="N9911" t="n">
        <v>0</v>
      </c>
      <c r="O9911" t="n">
        <v>0</v>
      </c>
      <c r="P9911" t="n">
        <v>0</v>
      </c>
      <c r="Q9911" t="n">
        <v>0</v>
      </c>
      <c r="R9911" s="2" t="inlineStr"/>
    </row>
    <row r="9912" ht="15" customHeight="1">
      <c r="A9912" t="inlineStr">
        <is>
          <t>A 47087-2023</t>
        </is>
      </c>
      <c r="B9912" s="1" t="n">
        <v>45196</v>
      </c>
      <c r="C9912" s="1" t="n">
        <v>45952</v>
      </c>
      <c r="D9912" t="inlineStr">
        <is>
          <t>VÄSTRA GÖTALANDS LÄN</t>
        </is>
      </c>
      <c r="E9912" t="inlineStr">
        <is>
          <t>ALE</t>
        </is>
      </c>
      <c r="G9912" t="n">
        <v>1.6</v>
      </c>
      <c r="H9912" t="n">
        <v>0</v>
      </c>
      <c r="I9912" t="n">
        <v>0</v>
      </c>
      <c r="J9912" t="n">
        <v>0</v>
      </c>
      <c r="K9912" t="n">
        <v>0</v>
      </c>
      <c r="L9912" t="n">
        <v>0</v>
      </c>
      <c r="M9912" t="n">
        <v>0</v>
      </c>
      <c r="N9912" t="n">
        <v>0</v>
      </c>
      <c r="O9912" t="n">
        <v>0</v>
      </c>
      <c r="P9912" t="n">
        <v>0</v>
      </c>
      <c r="Q9912" t="n">
        <v>0</v>
      </c>
      <c r="R9912" s="2" t="inlineStr"/>
    </row>
    <row r="9913" ht="15" customHeight="1">
      <c r="A9913" t="inlineStr">
        <is>
          <t>A 47649-2023</t>
        </is>
      </c>
      <c r="B9913" s="1" t="n">
        <v>45203</v>
      </c>
      <c r="C9913" s="1" t="n">
        <v>45952</v>
      </c>
      <c r="D9913" t="inlineStr">
        <is>
          <t>VÄSTRA GÖTALANDS LÄN</t>
        </is>
      </c>
      <c r="E9913" t="inlineStr">
        <is>
          <t>TIBRO</t>
        </is>
      </c>
      <c r="G9913" t="n">
        <v>0.6</v>
      </c>
      <c r="H9913" t="n">
        <v>0</v>
      </c>
      <c r="I9913" t="n">
        <v>0</v>
      </c>
      <c r="J9913" t="n">
        <v>0</v>
      </c>
      <c r="K9913" t="n">
        <v>0</v>
      </c>
      <c r="L9913" t="n">
        <v>0</v>
      </c>
      <c r="M9913" t="n">
        <v>0</v>
      </c>
      <c r="N9913" t="n">
        <v>0</v>
      </c>
      <c r="O9913" t="n">
        <v>0</v>
      </c>
      <c r="P9913" t="n">
        <v>0</v>
      </c>
      <c r="Q9913" t="n">
        <v>0</v>
      </c>
      <c r="R9913" s="2" t="inlineStr"/>
    </row>
    <row r="9914" ht="15" customHeight="1">
      <c r="A9914" t="inlineStr">
        <is>
          <t>A 23936-2025</t>
        </is>
      </c>
      <c r="B9914" s="1" t="n">
        <v>45795.82481481481</v>
      </c>
      <c r="C9914" s="1" t="n">
        <v>45952</v>
      </c>
      <c r="D9914" t="inlineStr">
        <is>
          <t>VÄSTRA GÖTALANDS LÄN</t>
        </is>
      </c>
      <c r="E9914" t="inlineStr">
        <is>
          <t>FÄRGELANDA</t>
        </is>
      </c>
      <c r="G9914" t="n">
        <v>2.5</v>
      </c>
      <c r="H9914" t="n">
        <v>0</v>
      </c>
      <c r="I9914" t="n">
        <v>0</v>
      </c>
      <c r="J9914" t="n">
        <v>0</v>
      </c>
      <c r="K9914" t="n">
        <v>0</v>
      </c>
      <c r="L9914" t="n">
        <v>0</v>
      </c>
      <c r="M9914" t="n">
        <v>0</v>
      </c>
      <c r="N9914" t="n">
        <v>0</v>
      </c>
      <c r="O9914" t="n">
        <v>0</v>
      </c>
      <c r="P9914" t="n">
        <v>0</v>
      </c>
      <c r="Q9914" t="n">
        <v>0</v>
      </c>
      <c r="R9914" s="2" t="inlineStr"/>
    </row>
    <row r="9915" ht="15" customHeight="1">
      <c r="A9915" t="inlineStr">
        <is>
          <t>A 20722-2023</t>
        </is>
      </c>
      <c r="B9915" s="1" t="n">
        <v>45058</v>
      </c>
      <c r="C9915" s="1" t="n">
        <v>45952</v>
      </c>
      <c r="D9915" t="inlineStr">
        <is>
          <t>VÄSTRA GÖTALANDS LÄN</t>
        </is>
      </c>
      <c r="E9915" t="inlineStr">
        <is>
          <t>BORÅS</t>
        </is>
      </c>
      <c r="G9915" t="n">
        <v>1.3</v>
      </c>
      <c r="H9915" t="n">
        <v>0</v>
      </c>
      <c r="I9915" t="n">
        <v>0</v>
      </c>
      <c r="J9915" t="n">
        <v>0</v>
      </c>
      <c r="K9915" t="n">
        <v>0</v>
      </c>
      <c r="L9915" t="n">
        <v>0</v>
      </c>
      <c r="M9915" t="n">
        <v>0</v>
      </c>
      <c r="N9915" t="n">
        <v>0</v>
      </c>
      <c r="O9915" t="n">
        <v>0</v>
      </c>
      <c r="P9915" t="n">
        <v>0</v>
      </c>
      <c r="Q9915" t="n">
        <v>0</v>
      </c>
      <c r="R9915" s="2" t="inlineStr"/>
    </row>
    <row r="9916" ht="15" customHeight="1">
      <c r="A9916" t="inlineStr">
        <is>
          <t>A 1921-2025</t>
        </is>
      </c>
      <c r="B9916" s="1" t="n">
        <v>45671.67623842593</v>
      </c>
      <c r="C9916" s="1" t="n">
        <v>45952</v>
      </c>
      <c r="D9916" t="inlineStr">
        <is>
          <t>VÄSTRA GÖTALANDS LÄN</t>
        </is>
      </c>
      <c r="E9916" t="inlineStr">
        <is>
          <t>MELLERUD</t>
        </is>
      </c>
      <c r="G9916" t="n">
        <v>0.4</v>
      </c>
      <c r="H9916" t="n">
        <v>0</v>
      </c>
      <c r="I9916" t="n">
        <v>0</v>
      </c>
      <c r="J9916" t="n">
        <v>0</v>
      </c>
      <c r="K9916" t="n">
        <v>0</v>
      </c>
      <c r="L9916" t="n">
        <v>0</v>
      </c>
      <c r="M9916" t="n">
        <v>0</v>
      </c>
      <c r="N9916" t="n">
        <v>0</v>
      </c>
      <c r="O9916" t="n">
        <v>0</v>
      </c>
      <c r="P9916" t="n">
        <v>0</v>
      </c>
      <c r="Q9916" t="n">
        <v>0</v>
      </c>
      <c r="R9916" s="2" t="inlineStr"/>
    </row>
    <row r="9917" ht="15" customHeight="1">
      <c r="A9917" t="inlineStr">
        <is>
          <t>A 64506-2023</t>
        </is>
      </c>
      <c r="B9917" s="1" t="n">
        <v>45280.97847222222</v>
      </c>
      <c r="C9917" s="1" t="n">
        <v>45952</v>
      </c>
      <c r="D9917" t="inlineStr">
        <is>
          <t>VÄSTRA GÖTALANDS LÄN</t>
        </is>
      </c>
      <c r="E9917" t="inlineStr">
        <is>
          <t>LIDKÖPING</t>
        </is>
      </c>
      <c r="G9917" t="n">
        <v>0.9</v>
      </c>
      <c r="H9917" t="n">
        <v>0</v>
      </c>
      <c r="I9917" t="n">
        <v>0</v>
      </c>
      <c r="J9917" t="n">
        <v>0</v>
      </c>
      <c r="K9917" t="n">
        <v>0</v>
      </c>
      <c r="L9917" t="n">
        <v>0</v>
      </c>
      <c r="M9917" t="n">
        <v>0</v>
      </c>
      <c r="N9917" t="n">
        <v>0</v>
      </c>
      <c r="O9917" t="n">
        <v>0</v>
      </c>
      <c r="P9917" t="n">
        <v>0</v>
      </c>
      <c r="Q9917" t="n">
        <v>0</v>
      </c>
      <c r="R9917" s="2" t="inlineStr"/>
    </row>
    <row r="9918" ht="15" customHeight="1">
      <c r="A9918" t="inlineStr">
        <is>
          <t>A 18786-2025</t>
        </is>
      </c>
      <c r="B9918" s="1" t="n">
        <v>45764</v>
      </c>
      <c r="C9918" s="1" t="n">
        <v>45952</v>
      </c>
      <c r="D9918" t="inlineStr">
        <is>
          <t>VÄSTRA GÖTALANDS LÄN</t>
        </is>
      </c>
      <c r="E9918" t="inlineStr">
        <is>
          <t>TANUM</t>
        </is>
      </c>
      <c r="G9918" t="n">
        <v>5</v>
      </c>
      <c r="H9918" t="n">
        <v>0</v>
      </c>
      <c r="I9918" t="n">
        <v>0</v>
      </c>
      <c r="J9918" t="n">
        <v>0</v>
      </c>
      <c r="K9918" t="n">
        <v>0</v>
      </c>
      <c r="L9918" t="n">
        <v>0</v>
      </c>
      <c r="M9918" t="n">
        <v>0</v>
      </c>
      <c r="N9918" t="n">
        <v>0</v>
      </c>
      <c r="O9918" t="n">
        <v>0</v>
      </c>
      <c r="P9918" t="n">
        <v>0</v>
      </c>
      <c r="Q9918" t="n">
        <v>0</v>
      </c>
      <c r="R9918" s="2" t="inlineStr"/>
    </row>
    <row r="9919" ht="15" customHeight="1">
      <c r="A9919" t="inlineStr">
        <is>
          <t>A 3575-2025</t>
        </is>
      </c>
      <c r="B9919" s="1" t="n">
        <v>45680.72295138889</v>
      </c>
      <c r="C9919" s="1" t="n">
        <v>45952</v>
      </c>
      <c r="D9919" t="inlineStr">
        <is>
          <t>VÄSTRA GÖTALANDS LÄN</t>
        </is>
      </c>
      <c r="E9919" t="inlineStr">
        <is>
          <t>KARLSBORG</t>
        </is>
      </c>
      <c r="G9919" t="n">
        <v>2.3</v>
      </c>
      <c r="H9919" t="n">
        <v>0</v>
      </c>
      <c r="I9919" t="n">
        <v>0</v>
      </c>
      <c r="J9919" t="n">
        <v>0</v>
      </c>
      <c r="K9919" t="n">
        <v>0</v>
      </c>
      <c r="L9919" t="n">
        <v>0</v>
      </c>
      <c r="M9919" t="n">
        <v>0</v>
      </c>
      <c r="N9919" t="n">
        <v>0</v>
      </c>
      <c r="O9919" t="n">
        <v>0</v>
      </c>
      <c r="P9919" t="n">
        <v>0</v>
      </c>
      <c r="Q9919" t="n">
        <v>0</v>
      </c>
      <c r="R9919" s="2" t="inlineStr"/>
    </row>
    <row r="9920" ht="15" customHeight="1">
      <c r="A9920" t="inlineStr">
        <is>
          <t>A 15691-2024</t>
        </is>
      </c>
      <c r="B9920" s="1" t="n">
        <v>45404.45090277777</v>
      </c>
      <c r="C9920" s="1" t="n">
        <v>45952</v>
      </c>
      <c r="D9920" t="inlineStr">
        <is>
          <t>VÄSTRA GÖTALANDS LÄN</t>
        </is>
      </c>
      <c r="E9920" t="inlineStr">
        <is>
          <t>ÅMÅL</t>
        </is>
      </c>
      <c r="G9920" t="n">
        <v>8.199999999999999</v>
      </c>
      <c r="H9920" t="n">
        <v>0</v>
      </c>
      <c r="I9920" t="n">
        <v>0</v>
      </c>
      <c r="J9920" t="n">
        <v>0</v>
      </c>
      <c r="K9920" t="n">
        <v>0</v>
      </c>
      <c r="L9920" t="n">
        <v>0</v>
      </c>
      <c r="M9920" t="n">
        <v>0</v>
      </c>
      <c r="N9920" t="n">
        <v>0</v>
      </c>
      <c r="O9920" t="n">
        <v>0</v>
      </c>
      <c r="P9920" t="n">
        <v>0</v>
      </c>
      <c r="Q9920" t="n">
        <v>0</v>
      </c>
      <c r="R9920" s="2" t="inlineStr"/>
    </row>
    <row r="9921" ht="15" customHeight="1">
      <c r="A9921" t="inlineStr">
        <is>
          <t>A 22202-2024</t>
        </is>
      </c>
      <c r="B9921" s="1" t="n">
        <v>45446.37318287037</v>
      </c>
      <c r="C9921" s="1" t="n">
        <v>45952</v>
      </c>
      <c r="D9921" t="inlineStr">
        <is>
          <t>VÄSTRA GÖTALANDS LÄN</t>
        </is>
      </c>
      <c r="E9921" t="inlineStr">
        <is>
          <t>VÅRGÅRDA</t>
        </is>
      </c>
      <c r="G9921" t="n">
        <v>2.1</v>
      </c>
      <c r="H9921" t="n">
        <v>0</v>
      </c>
      <c r="I9921" t="n">
        <v>0</v>
      </c>
      <c r="J9921" t="n">
        <v>0</v>
      </c>
      <c r="K9921" t="n">
        <v>0</v>
      </c>
      <c r="L9921" t="n">
        <v>0</v>
      </c>
      <c r="M9921" t="n">
        <v>0</v>
      </c>
      <c r="N9921" t="n">
        <v>0</v>
      </c>
      <c r="O9921" t="n">
        <v>0</v>
      </c>
      <c r="P9921" t="n">
        <v>0</v>
      </c>
      <c r="Q9921" t="n">
        <v>0</v>
      </c>
      <c r="R9921" s="2" t="inlineStr"/>
    </row>
    <row r="9922" ht="15" customHeight="1">
      <c r="A9922" t="inlineStr">
        <is>
          <t>A 6464-2022</t>
        </is>
      </c>
      <c r="B9922" s="1" t="n">
        <v>44601.37392361111</v>
      </c>
      <c r="C9922" s="1" t="n">
        <v>45952</v>
      </c>
      <c r="D9922" t="inlineStr">
        <is>
          <t>VÄSTRA GÖTALANDS LÄN</t>
        </is>
      </c>
      <c r="E9922" t="inlineStr">
        <is>
          <t>DALS-ED</t>
        </is>
      </c>
      <c r="G9922" t="n">
        <v>2</v>
      </c>
      <c r="H9922" t="n">
        <v>0</v>
      </c>
      <c r="I9922" t="n">
        <v>0</v>
      </c>
      <c r="J9922" t="n">
        <v>0</v>
      </c>
      <c r="K9922" t="n">
        <v>0</v>
      </c>
      <c r="L9922" t="n">
        <v>0</v>
      </c>
      <c r="M9922" t="n">
        <v>0</v>
      </c>
      <c r="N9922" t="n">
        <v>0</v>
      </c>
      <c r="O9922" t="n">
        <v>0</v>
      </c>
      <c r="P9922" t="n">
        <v>0</v>
      </c>
      <c r="Q9922" t="n">
        <v>0</v>
      </c>
      <c r="R9922" s="2" t="inlineStr"/>
    </row>
    <row r="9923" ht="15" customHeight="1">
      <c r="A9923" t="inlineStr">
        <is>
          <t>A 24274-2025</t>
        </is>
      </c>
      <c r="B9923" s="1" t="n">
        <v>45797.44193287037</v>
      </c>
      <c r="C9923" s="1" t="n">
        <v>45952</v>
      </c>
      <c r="D9923" t="inlineStr">
        <is>
          <t>VÄSTRA GÖTALANDS LÄN</t>
        </is>
      </c>
      <c r="E9923" t="inlineStr">
        <is>
          <t>GULLSPÅNG</t>
        </is>
      </c>
      <c r="G9923" t="n">
        <v>3.6</v>
      </c>
      <c r="H9923" t="n">
        <v>0</v>
      </c>
      <c r="I9923" t="n">
        <v>0</v>
      </c>
      <c r="J9923" t="n">
        <v>0</v>
      </c>
      <c r="K9923" t="n">
        <v>0</v>
      </c>
      <c r="L9923" t="n">
        <v>0</v>
      </c>
      <c r="M9923" t="n">
        <v>0</v>
      </c>
      <c r="N9923" t="n">
        <v>0</v>
      </c>
      <c r="O9923" t="n">
        <v>0</v>
      </c>
      <c r="P9923" t="n">
        <v>0</v>
      </c>
      <c r="Q9923" t="n">
        <v>0</v>
      </c>
      <c r="R9923" s="2" t="inlineStr"/>
    </row>
    <row r="9924" ht="15" customHeight="1">
      <c r="A9924" t="inlineStr">
        <is>
          <t>A 24180-2025</t>
        </is>
      </c>
      <c r="B9924" s="1" t="n">
        <v>45796.75053240741</v>
      </c>
      <c r="C9924" s="1" t="n">
        <v>45952</v>
      </c>
      <c r="D9924" t="inlineStr">
        <is>
          <t>VÄSTRA GÖTALANDS LÄN</t>
        </is>
      </c>
      <c r="E9924" t="inlineStr">
        <is>
          <t>MUNKEDAL</t>
        </is>
      </c>
      <c r="G9924" t="n">
        <v>4.2</v>
      </c>
      <c r="H9924" t="n">
        <v>0</v>
      </c>
      <c r="I9924" t="n">
        <v>0</v>
      </c>
      <c r="J9924" t="n">
        <v>0</v>
      </c>
      <c r="K9924" t="n">
        <v>0</v>
      </c>
      <c r="L9924" t="n">
        <v>0</v>
      </c>
      <c r="M9924" t="n">
        <v>0</v>
      </c>
      <c r="N9924" t="n">
        <v>0</v>
      </c>
      <c r="O9924" t="n">
        <v>0</v>
      </c>
      <c r="P9924" t="n">
        <v>0</v>
      </c>
      <c r="Q9924" t="n">
        <v>0</v>
      </c>
      <c r="R9924" s="2" t="inlineStr"/>
    </row>
    <row r="9925" ht="15" customHeight="1">
      <c r="A9925" t="inlineStr">
        <is>
          <t>A 29177-2023</t>
        </is>
      </c>
      <c r="B9925" s="1" t="n">
        <v>45105</v>
      </c>
      <c r="C9925" s="1" t="n">
        <v>45952</v>
      </c>
      <c r="D9925" t="inlineStr">
        <is>
          <t>VÄSTRA GÖTALANDS LÄN</t>
        </is>
      </c>
      <c r="E9925" t="inlineStr">
        <is>
          <t>TIDAHOLM</t>
        </is>
      </c>
      <c r="F9925" t="inlineStr">
        <is>
          <t>Sveaskog</t>
        </is>
      </c>
      <c r="G9925" t="n">
        <v>2.1</v>
      </c>
      <c r="H9925" t="n">
        <v>0</v>
      </c>
      <c r="I9925" t="n">
        <v>0</v>
      </c>
      <c r="J9925" t="n">
        <v>0</v>
      </c>
      <c r="K9925" t="n">
        <v>0</v>
      </c>
      <c r="L9925" t="n">
        <v>0</v>
      </c>
      <c r="M9925" t="n">
        <v>0</v>
      </c>
      <c r="N9925" t="n">
        <v>0</v>
      </c>
      <c r="O9925" t="n">
        <v>0</v>
      </c>
      <c r="P9925" t="n">
        <v>0</v>
      </c>
      <c r="Q9925" t="n">
        <v>0</v>
      </c>
      <c r="R9925" s="2" t="inlineStr"/>
    </row>
    <row r="9926" ht="15" customHeight="1">
      <c r="A9926" t="inlineStr">
        <is>
          <t>A 42126-2023</t>
        </is>
      </c>
      <c r="B9926" s="1" t="n">
        <v>45177.67642361111</v>
      </c>
      <c r="C9926" s="1" t="n">
        <v>45952</v>
      </c>
      <c r="D9926" t="inlineStr">
        <is>
          <t>VÄSTRA GÖTALANDS LÄN</t>
        </is>
      </c>
      <c r="E9926" t="inlineStr">
        <is>
          <t>HERRLJUNGA</t>
        </is>
      </c>
      <c r="G9926" t="n">
        <v>2.2</v>
      </c>
      <c r="H9926" t="n">
        <v>0</v>
      </c>
      <c r="I9926" t="n">
        <v>0</v>
      </c>
      <c r="J9926" t="n">
        <v>0</v>
      </c>
      <c r="K9926" t="n">
        <v>0</v>
      </c>
      <c r="L9926" t="n">
        <v>0</v>
      </c>
      <c r="M9926" t="n">
        <v>0</v>
      </c>
      <c r="N9926" t="n">
        <v>0</v>
      </c>
      <c r="O9926" t="n">
        <v>0</v>
      </c>
      <c r="P9926" t="n">
        <v>0</v>
      </c>
      <c r="Q9926" t="n">
        <v>0</v>
      </c>
      <c r="R9926" s="2" t="inlineStr"/>
    </row>
    <row r="9927" ht="15" customHeight="1">
      <c r="A9927" t="inlineStr">
        <is>
          <t>A 43445-2023</t>
        </is>
      </c>
      <c r="B9927" s="1" t="n">
        <v>45184.35591435185</v>
      </c>
      <c r="C9927" s="1" t="n">
        <v>45952</v>
      </c>
      <c r="D9927" t="inlineStr">
        <is>
          <t>VÄSTRA GÖTALANDS LÄN</t>
        </is>
      </c>
      <c r="E9927" t="inlineStr">
        <is>
          <t>LIDKÖPING</t>
        </is>
      </c>
      <c r="G9927" t="n">
        <v>2.1</v>
      </c>
      <c r="H9927" t="n">
        <v>0</v>
      </c>
      <c r="I9927" t="n">
        <v>0</v>
      </c>
      <c r="J9927" t="n">
        <v>0</v>
      </c>
      <c r="K9927" t="n">
        <v>0</v>
      </c>
      <c r="L9927" t="n">
        <v>0</v>
      </c>
      <c r="M9927" t="n">
        <v>0</v>
      </c>
      <c r="N9927" t="n">
        <v>0</v>
      </c>
      <c r="O9927" t="n">
        <v>0</v>
      </c>
      <c r="P9927" t="n">
        <v>0</v>
      </c>
      <c r="Q9927" t="n">
        <v>0</v>
      </c>
      <c r="R9927" s="2" t="inlineStr"/>
    </row>
    <row r="9928" ht="15" customHeight="1">
      <c r="A9928" t="inlineStr">
        <is>
          <t>A 24082-2025</t>
        </is>
      </c>
      <c r="B9928" s="1" t="n">
        <v>45796.55890046297</v>
      </c>
      <c r="C9928" s="1" t="n">
        <v>45952</v>
      </c>
      <c r="D9928" t="inlineStr">
        <is>
          <t>VÄSTRA GÖTALANDS LÄN</t>
        </is>
      </c>
      <c r="E9928" t="inlineStr">
        <is>
          <t>FÄRGELANDA</t>
        </is>
      </c>
      <c r="G9928" t="n">
        <v>4.4</v>
      </c>
      <c r="H9928" t="n">
        <v>0</v>
      </c>
      <c r="I9928" t="n">
        <v>0</v>
      </c>
      <c r="J9928" t="n">
        <v>0</v>
      </c>
      <c r="K9928" t="n">
        <v>0</v>
      </c>
      <c r="L9928" t="n">
        <v>0</v>
      </c>
      <c r="M9928" t="n">
        <v>0</v>
      </c>
      <c r="N9928" t="n">
        <v>0</v>
      </c>
      <c r="O9928" t="n">
        <v>0</v>
      </c>
      <c r="P9928" t="n">
        <v>0</v>
      </c>
      <c r="Q9928" t="n">
        <v>0</v>
      </c>
      <c r="R9928" s="2" t="inlineStr"/>
    </row>
    <row r="9929" ht="15" customHeight="1">
      <c r="A9929" t="inlineStr">
        <is>
          <t>A 11563-2025</t>
        </is>
      </c>
      <c r="B9929" s="1" t="n">
        <v>45727</v>
      </c>
      <c r="C9929" s="1" t="n">
        <v>45952</v>
      </c>
      <c r="D9929" t="inlineStr">
        <is>
          <t>VÄSTRA GÖTALANDS LÄN</t>
        </is>
      </c>
      <c r="E9929" t="inlineStr">
        <is>
          <t>LIDKÖPING</t>
        </is>
      </c>
      <c r="F9929" t="inlineStr">
        <is>
          <t>Kommuner</t>
        </is>
      </c>
      <c r="G9929" t="n">
        <v>0.7</v>
      </c>
      <c r="H9929" t="n">
        <v>0</v>
      </c>
      <c r="I9929" t="n">
        <v>0</v>
      </c>
      <c r="J9929" t="n">
        <v>0</v>
      </c>
      <c r="K9929" t="n">
        <v>0</v>
      </c>
      <c r="L9929" t="n">
        <v>0</v>
      </c>
      <c r="M9929" t="n">
        <v>0</v>
      </c>
      <c r="N9929" t="n">
        <v>0</v>
      </c>
      <c r="O9929" t="n">
        <v>0</v>
      </c>
      <c r="P9929" t="n">
        <v>0</v>
      </c>
      <c r="Q9929" t="n">
        <v>0</v>
      </c>
      <c r="R9929" s="2" t="inlineStr"/>
    </row>
    <row r="9930" ht="15" customHeight="1">
      <c r="A9930" t="inlineStr">
        <is>
          <t>A 48734-2024</t>
        </is>
      </c>
      <c r="B9930" s="1" t="n">
        <v>45593</v>
      </c>
      <c r="C9930" s="1" t="n">
        <v>45952</v>
      </c>
      <c r="D9930" t="inlineStr">
        <is>
          <t>VÄSTRA GÖTALANDS LÄN</t>
        </is>
      </c>
      <c r="E9930" t="inlineStr">
        <is>
          <t>TÖREBODA</t>
        </is>
      </c>
      <c r="G9930" t="n">
        <v>1.9</v>
      </c>
      <c r="H9930" t="n">
        <v>0</v>
      </c>
      <c r="I9930" t="n">
        <v>0</v>
      </c>
      <c r="J9930" t="n">
        <v>0</v>
      </c>
      <c r="K9930" t="n">
        <v>0</v>
      </c>
      <c r="L9930" t="n">
        <v>0</v>
      </c>
      <c r="M9930" t="n">
        <v>0</v>
      </c>
      <c r="N9930" t="n">
        <v>0</v>
      </c>
      <c r="O9930" t="n">
        <v>0</v>
      </c>
      <c r="P9930" t="n">
        <v>0</v>
      </c>
      <c r="Q9930" t="n">
        <v>0</v>
      </c>
      <c r="R9930" s="2" t="inlineStr"/>
    </row>
    <row r="9931" ht="15" customHeight="1">
      <c r="A9931" t="inlineStr">
        <is>
          <t>A 3571-2025</t>
        </is>
      </c>
      <c r="B9931" s="1" t="n">
        <v>45680</v>
      </c>
      <c r="C9931" s="1" t="n">
        <v>45952</v>
      </c>
      <c r="D9931" t="inlineStr">
        <is>
          <t>VÄSTRA GÖTALANDS LÄN</t>
        </is>
      </c>
      <c r="E9931" t="inlineStr">
        <is>
          <t>ÅMÅL</t>
        </is>
      </c>
      <c r="G9931" t="n">
        <v>11.2</v>
      </c>
      <c r="H9931" t="n">
        <v>0</v>
      </c>
      <c r="I9931" t="n">
        <v>0</v>
      </c>
      <c r="J9931" t="n">
        <v>0</v>
      </c>
      <c r="K9931" t="n">
        <v>0</v>
      </c>
      <c r="L9931" t="n">
        <v>0</v>
      </c>
      <c r="M9931" t="n">
        <v>0</v>
      </c>
      <c r="N9931" t="n">
        <v>0</v>
      </c>
      <c r="O9931" t="n">
        <v>0</v>
      </c>
      <c r="P9931" t="n">
        <v>0</v>
      </c>
      <c r="Q9931" t="n">
        <v>0</v>
      </c>
      <c r="R9931" s="2" t="inlineStr"/>
    </row>
    <row r="9932" ht="15" customHeight="1">
      <c r="A9932" t="inlineStr">
        <is>
          <t>A 11837-2025</t>
        </is>
      </c>
      <c r="B9932" s="1" t="n">
        <v>45728.36346064815</v>
      </c>
      <c r="C9932" s="1" t="n">
        <v>45952</v>
      </c>
      <c r="D9932" t="inlineStr">
        <is>
          <t>VÄSTRA GÖTALANDS LÄN</t>
        </is>
      </c>
      <c r="E9932" t="inlineStr">
        <is>
          <t>TROLLHÄTTAN</t>
        </is>
      </c>
      <c r="G9932" t="n">
        <v>1.8</v>
      </c>
      <c r="H9932" t="n">
        <v>0</v>
      </c>
      <c r="I9932" t="n">
        <v>0</v>
      </c>
      <c r="J9932" t="n">
        <v>0</v>
      </c>
      <c r="K9932" t="n">
        <v>0</v>
      </c>
      <c r="L9932" t="n">
        <v>0</v>
      </c>
      <c r="M9932" t="n">
        <v>0</v>
      </c>
      <c r="N9932" t="n">
        <v>0</v>
      </c>
      <c r="O9932" t="n">
        <v>0</v>
      </c>
      <c r="P9932" t="n">
        <v>0</v>
      </c>
      <c r="Q9932" t="n">
        <v>0</v>
      </c>
      <c r="R9932" s="2" t="inlineStr"/>
    </row>
    <row r="9933" ht="15" customHeight="1">
      <c r="A9933" t="inlineStr">
        <is>
          <t>A 11883-2025</t>
        </is>
      </c>
      <c r="B9933" s="1" t="n">
        <v>45728</v>
      </c>
      <c r="C9933" s="1" t="n">
        <v>45952</v>
      </c>
      <c r="D9933" t="inlineStr">
        <is>
          <t>VÄSTRA GÖTALANDS LÄN</t>
        </is>
      </c>
      <c r="E9933" t="inlineStr">
        <is>
          <t>VÄNERSBORG</t>
        </is>
      </c>
      <c r="G9933" t="n">
        <v>4.2</v>
      </c>
      <c r="H9933" t="n">
        <v>0</v>
      </c>
      <c r="I9933" t="n">
        <v>0</v>
      </c>
      <c r="J9933" t="n">
        <v>0</v>
      </c>
      <c r="K9933" t="n">
        <v>0</v>
      </c>
      <c r="L9933" t="n">
        <v>0</v>
      </c>
      <c r="M9933" t="n">
        <v>0</v>
      </c>
      <c r="N9933" t="n">
        <v>0</v>
      </c>
      <c r="O9933" t="n">
        <v>0</v>
      </c>
      <c r="P9933" t="n">
        <v>0</v>
      </c>
      <c r="Q9933" t="n">
        <v>0</v>
      </c>
      <c r="R9933" s="2" t="inlineStr"/>
    </row>
    <row r="9934" ht="15" customHeight="1">
      <c r="A9934" t="inlineStr">
        <is>
          <t>A 11814-2023</t>
        </is>
      </c>
      <c r="B9934" s="1" t="n">
        <v>44994.8055787037</v>
      </c>
      <c r="C9934" s="1" t="n">
        <v>45952</v>
      </c>
      <c r="D9934" t="inlineStr">
        <is>
          <t>VÄSTRA GÖTALANDS LÄN</t>
        </is>
      </c>
      <c r="E9934" t="inlineStr">
        <is>
          <t>MARIESTAD</t>
        </is>
      </c>
      <c r="G9934" t="n">
        <v>1.1</v>
      </c>
      <c r="H9934" t="n">
        <v>0</v>
      </c>
      <c r="I9934" t="n">
        <v>0</v>
      </c>
      <c r="J9934" t="n">
        <v>0</v>
      </c>
      <c r="K9934" t="n">
        <v>0</v>
      </c>
      <c r="L9934" t="n">
        <v>0</v>
      </c>
      <c r="M9934" t="n">
        <v>0</v>
      </c>
      <c r="N9934" t="n">
        <v>0</v>
      </c>
      <c r="O9934" t="n">
        <v>0</v>
      </c>
      <c r="P9934" t="n">
        <v>0</v>
      </c>
      <c r="Q9934" t="n">
        <v>0</v>
      </c>
      <c r="R9934" s="2" t="inlineStr"/>
    </row>
    <row r="9935" ht="15" customHeight="1">
      <c r="A9935" t="inlineStr">
        <is>
          <t>A 34531-2024</t>
        </is>
      </c>
      <c r="B9935" s="1" t="n">
        <v>45525.70528935185</v>
      </c>
      <c r="C9935" s="1" t="n">
        <v>45952</v>
      </c>
      <c r="D9935" t="inlineStr">
        <is>
          <t>VÄSTRA GÖTALANDS LÄN</t>
        </is>
      </c>
      <c r="E9935" t="inlineStr">
        <is>
          <t>MARK</t>
        </is>
      </c>
      <c r="G9935" t="n">
        <v>3</v>
      </c>
      <c r="H9935" t="n">
        <v>0</v>
      </c>
      <c r="I9935" t="n">
        <v>0</v>
      </c>
      <c r="J9935" t="n">
        <v>0</v>
      </c>
      <c r="K9935" t="n">
        <v>0</v>
      </c>
      <c r="L9935" t="n">
        <v>0</v>
      </c>
      <c r="M9935" t="n">
        <v>0</v>
      </c>
      <c r="N9935" t="n">
        <v>0</v>
      </c>
      <c r="O9935" t="n">
        <v>0</v>
      </c>
      <c r="P9935" t="n">
        <v>0</v>
      </c>
      <c r="Q9935" t="n">
        <v>0</v>
      </c>
      <c r="R9935" s="2" t="inlineStr"/>
    </row>
    <row r="9936" ht="15" customHeight="1">
      <c r="A9936" t="inlineStr">
        <is>
          <t>A 13719-2025</t>
        </is>
      </c>
      <c r="B9936" s="1" t="n">
        <v>45737.36446759259</v>
      </c>
      <c r="C9936" s="1" t="n">
        <v>45952</v>
      </c>
      <c r="D9936" t="inlineStr">
        <is>
          <t>VÄSTRA GÖTALANDS LÄN</t>
        </is>
      </c>
      <c r="E9936" t="inlineStr">
        <is>
          <t>GULLSPÅNG</t>
        </is>
      </c>
      <c r="G9936" t="n">
        <v>1</v>
      </c>
      <c r="H9936" t="n">
        <v>0</v>
      </c>
      <c r="I9936" t="n">
        <v>0</v>
      </c>
      <c r="J9936" t="n">
        <v>0</v>
      </c>
      <c r="K9936" t="n">
        <v>0</v>
      </c>
      <c r="L9936" t="n">
        <v>0</v>
      </c>
      <c r="M9936" t="n">
        <v>0</v>
      </c>
      <c r="N9936" t="n">
        <v>0</v>
      </c>
      <c r="O9936" t="n">
        <v>0</v>
      </c>
      <c r="P9936" t="n">
        <v>0</v>
      </c>
      <c r="Q9936" t="n">
        <v>0</v>
      </c>
      <c r="R9936" s="2" t="inlineStr"/>
    </row>
    <row r="9937" ht="15" customHeight="1">
      <c r="A9937" t="inlineStr">
        <is>
          <t>A 24186-2025</t>
        </is>
      </c>
      <c r="B9937" s="1" t="n">
        <v>45796.82644675926</v>
      </c>
      <c r="C9937" s="1" t="n">
        <v>45952</v>
      </c>
      <c r="D9937" t="inlineStr">
        <is>
          <t>VÄSTRA GÖTALANDS LÄN</t>
        </is>
      </c>
      <c r="E9937" t="inlineStr">
        <is>
          <t>SKÖVDE</t>
        </is>
      </c>
      <c r="G9937" t="n">
        <v>2</v>
      </c>
      <c r="H9937" t="n">
        <v>0</v>
      </c>
      <c r="I9937" t="n">
        <v>0</v>
      </c>
      <c r="J9937" t="n">
        <v>0</v>
      </c>
      <c r="K9937" t="n">
        <v>0</v>
      </c>
      <c r="L9937" t="n">
        <v>0</v>
      </c>
      <c r="M9937" t="n">
        <v>0</v>
      </c>
      <c r="N9937" t="n">
        <v>0</v>
      </c>
      <c r="O9937" t="n">
        <v>0</v>
      </c>
      <c r="P9937" t="n">
        <v>0</v>
      </c>
      <c r="Q9937" t="n">
        <v>0</v>
      </c>
      <c r="R9937" s="2" t="inlineStr"/>
    </row>
    <row r="9938" ht="15" customHeight="1">
      <c r="A9938" t="inlineStr">
        <is>
          <t>A 24130-2023</t>
        </is>
      </c>
      <c r="B9938" s="1" t="n">
        <v>45079</v>
      </c>
      <c r="C9938" s="1" t="n">
        <v>45952</v>
      </c>
      <c r="D9938" t="inlineStr">
        <is>
          <t>VÄSTRA GÖTALANDS LÄN</t>
        </is>
      </c>
      <c r="E9938" t="inlineStr">
        <is>
          <t>TRANEMO</t>
        </is>
      </c>
      <c r="G9938" t="n">
        <v>0.8</v>
      </c>
      <c r="H9938" t="n">
        <v>0</v>
      </c>
      <c r="I9938" t="n">
        <v>0</v>
      </c>
      <c r="J9938" t="n">
        <v>0</v>
      </c>
      <c r="K9938" t="n">
        <v>0</v>
      </c>
      <c r="L9938" t="n">
        <v>0</v>
      </c>
      <c r="M9938" t="n">
        <v>0</v>
      </c>
      <c r="N9938" t="n">
        <v>0</v>
      </c>
      <c r="O9938" t="n">
        <v>0</v>
      </c>
      <c r="P9938" t="n">
        <v>0</v>
      </c>
      <c r="Q9938" t="n">
        <v>0</v>
      </c>
      <c r="R9938" s="2" t="inlineStr"/>
    </row>
    <row r="9939" ht="15" customHeight="1">
      <c r="A9939" t="inlineStr">
        <is>
          <t>A 12439-2024</t>
        </is>
      </c>
      <c r="B9939" s="1" t="n">
        <v>45379.44914351852</v>
      </c>
      <c r="C9939" s="1" t="n">
        <v>45952</v>
      </c>
      <c r="D9939" t="inlineStr">
        <is>
          <t>VÄSTRA GÖTALANDS LÄN</t>
        </is>
      </c>
      <c r="E9939" t="inlineStr">
        <is>
          <t>BORÅS</t>
        </is>
      </c>
      <c r="G9939" t="n">
        <v>0.7</v>
      </c>
      <c r="H9939" t="n">
        <v>0</v>
      </c>
      <c r="I9939" t="n">
        <v>0</v>
      </c>
      <c r="J9939" t="n">
        <v>0</v>
      </c>
      <c r="K9939" t="n">
        <v>0</v>
      </c>
      <c r="L9939" t="n">
        <v>0</v>
      </c>
      <c r="M9939" t="n">
        <v>0</v>
      </c>
      <c r="N9939" t="n">
        <v>0</v>
      </c>
      <c r="O9939" t="n">
        <v>0</v>
      </c>
      <c r="P9939" t="n">
        <v>0</v>
      </c>
      <c r="Q9939" t="n">
        <v>0</v>
      </c>
      <c r="R9939" s="2" t="inlineStr"/>
    </row>
    <row r="9940" ht="15" customHeight="1">
      <c r="A9940" t="inlineStr">
        <is>
          <t>A 61566-2024</t>
        </is>
      </c>
      <c r="B9940" s="1" t="n">
        <v>45646.61444444444</v>
      </c>
      <c r="C9940" s="1" t="n">
        <v>45952</v>
      </c>
      <c r="D9940" t="inlineStr">
        <is>
          <t>VÄSTRA GÖTALANDS LÄN</t>
        </is>
      </c>
      <c r="E9940" t="inlineStr">
        <is>
          <t>VÄNERSBORG</t>
        </is>
      </c>
      <c r="G9940" t="n">
        <v>1.4</v>
      </c>
      <c r="H9940" t="n">
        <v>0</v>
      </c>
      <c r="I9940" t="n">
        <v>0</v>
      </c>
      <c r="J9940" t="n">
        <v>0</v>
      </c>
      <c r="K9940" t="n">
        <v>0</v>
      </c>
      <c r="L9940" t="n">
        <v>0</v>
      </c>
      <c r="M9940" t="n">
        <v>0</v>
      </c>
      <c r="N9940" t="n">
        <v>0</v>
      </c>
      <c r="O9940" t="n">
        <v>0</v>
      </c>
      <c r="P9940" t="n">
        <v>0</v>
      </c>
      <c r="Q9940" t="n">
        <v>0</v>
      </c>
      <c r="R9940" s="2" t="inlineStr"/>
    </row>
    <row r="9941" ht="15" customHeight="1">
      <c r="A9941" t="inlineStr">
        <is>
          <t>A 1796-2024</t>
        </is>
      </c>
      <c r="B9941" s="1" t="n">
        <v>45307.58195601852</v>
      </c>
      <c r="C9941" s="1" t="n">
        <v>45952</v>
      </c>
      <c r="D9941" t="inlineStr">
        <is>
          <t>VÄSTRA GÖTALANDS LÄN</t>
        </is>
      </c>
      <c r="E9941" t="inlineStr">
        <is>
          <t>FALKÖPING</t>
        </is>
      </c>
      <c r="G9941" t="n">
        <v>2.2</v>
      </c>
      <c r="H9941" t="n">
        <v>0</v>
      </c>
      <c r="I9941" t="n">
        <v>0</v>
      </c>
      <c r="J9941" t="n">
        <v>0</v>
      </c>
      <c r="K9941" t="n">
        <v>0</v>
      </c>
      <c r="L9941" t="n">
        <v>0</v>
      </c>
      <c r="M9941" t="n">
        <v>0</v>
      </c>
      <c r="N9941" t="n">
        <v>0</v>
      </c>
      <c r="O9941" t="n">
        <v>0</v>
      </c>
      <c r="P9941" t="n">
        <v>0</v>
      </c>
      <c r="Q9941" t="n">
        <v>0</v>
      </c>
      <c r="R9941" s="2" t="inlineStr"/>
    </row>
    <row r="9942" ht="15" customHeight="1">
      <c r="A9942" t="inlineStr">
        <is>
          <t>A 29930-2023</t>
        </is>
      </c>
      <c r="B9942" s="1" t="n">
        <v>45107</v>
      </c>
      <c r="C9942" s="1" t="n">
        <v>45952</v>
      </c>
      <c r="D9942" t="inlineStr">
        <is>
          <t>VÄSTRA GÖTALANDS LÄN</t>
        </is>
      </c>
      <c r="E9942" t="inlineStr">
        <is>
          <t>TANUM</t>
        </is>
      </c>
      <c r="G9942" t="n">
        <v>6.5</v>
      </c>
      <c r="H9942" t="n">
        <v>0</v>
      </c>
      <c r="I9942" t="n">
        <v>0</v>
      </c>
      <c r="J9942" t="n">
        <v>0</v>
      </c>
      <c r="K9942" t="n">
        <v>0</v>
      </c>
      <c r="L9942" t="n">
        <v>0</v>
      </c>
      <c r="M9942" t="n">
        <v>0</v>
      </c>
      <c r="N9942" t="n">
        <v>0</v>
      </c>
      <c r="O9942" t="n">
        <v>0</v>
      </c>
      <c r="P9942" t="n">
        <v>0</v>
      </c>
      <c r="Q9942" t="n">
        <v>0</v>
      </c>
      <c r="R9942" s="2" t="inlineStr"/>
    </row>
    <row r="9943" ht="15" customHeight="1">
      <c r="A9943" t="inlineStr">
        <is>
          <t>A 51661-2023</t>
        </is>
      </c>
      <c r="B9943" s="1" t="n">
        <v>45215</v>
      </c>
      <c r="C9943" s="1" t="n">
        <v>45952</v>
      </c>
      <c r="D9943" t="inlineStr">
        <is>
          <t>VÄSTRA GÖTALANDS LÄN</t>
        </is>
      </c>
      <c r="E9943" t="inlineStr">
        <is>
          <t>STENUNGSUND</t>
        </is>
      </c>
      <c r="G9943" t="n">
        <v>9.1</v>
      </c>
      <c r="H9943" t="n">
        <v>0</v>
      </c>
      <c r="I9943" t="n">
        <v>0</v>
      </c>
      <c r="J9943" t="n">
        <v>0</v>
      </c>
      <c r="K9943" t="n">
        <v>0</v>
      </c>
      <c r="L9943" t="n">
        <v>0</v>
      </c>
      <c r="M9943" t="n">
        <v>0</v>
      </c>
      <c r="N9943" t="n">
        <v>0</v>
      </c>
      <c r="O9943" t="n">
        <v>0</v>
      </c>
      <c r="P9943" t="n">
        <v>0</v>
      </c>
      <c r="Q9943" t="n">
        <v>0</v>
      </c>
      <c r="R9943" s="2" t="inlineStr"/>
    </row>
    <row r="9944" ht="15" customHeight="1">
      <c r="A9944" t="inlineStr">
        <is>
          <t>A 7764-2025</t>
        </is>
      </c>
      <c r="B9944" s="1" t="n">
        <v>45706.54957175926</v>
      </c>
      <c r="C9944" s="1" t="n">
        <v>45952</v>
      </c>
      <c r="D9944" t="inlineStr">
        <is>
          <t>VÄSTRA GÖTALANDS LÄN</t>
        </is>
      </c>
      <c r="E9944" t="inlineStr">
        <is>
          <t>ÅMÅL</t>
        </is>
      </c>
      <c r="G9944" t="n">
        <v>2.7</v>
      </c>
      <c r="H9944" t="n">
        <v>0</v>
      </c>
      <c r="I9944" t="n">
        <v>0</v>
      </c>
      <c r="J9944" t="n">
        <v>0</v>
      </c>
      <c r="K9944" t="n">
        <v>0</v>
      </c>
      <c r="L9944" t="n">
        <v>0</v>
      </c>
      <c r="M9944" t="n">
        <v>0</v>
      </c>
      <c r="N9944" t="n">
        <v>0</v>
      </c>
      <c r="O9944" t="n">
        <v>0</v>
      </c>
      <c r="P9944" t="n">
        <v>0</v>
      </c>
      <c r="Q9944" t="n">
        <v>0</v>
      </c>
      <c r="R9944" s="2" t="inlineStr"/>
    </row>
    <row r="9945" ht="15" customHeight="1">
      <c r="A9945" t="inlineStr">
        <is>
          <t>A 2196-2025</t>
        </is>
      </c>
      <c r="B9945" s="1" t="n">
        <v>45673.38386574074</v>
      </c>
      <c r="C9945" s="1" t="n">
        <v>45952</v>
      </c>
      <c r="D9945" t="inlineStr">
        <is>
          <t>VÄSTRA GÖTALANDS LÄN</t>
        </is>
      </c>
      <c r="E9945" t="inlineStr">
        <is>
          <t>TANUM</t>
        </is>
      </c>
      <c r="G9945" t="n">
        <v>2.6</v>
      </c>
      <c r="H9945" t="n">
        <v>0</v>
      </c>
      <c r="I9945" t="n">
        <v>0</v>
      </c>
      <c r="J9945" t="n">
        <v>0</v>
      </c>
      <c r="K9945" t="n">
        <v>0</v>
      </c>
      <c r="L9945" t="n">
        <v>0</v>
      </c>
      <c r="M9945" t="n">
        <v>0</v>
      </c>
      <c r="N9945" t="n">
        <v>0</v>
      </c>
      <c r="O9945" t="n">
        <v>0</v>
      </c>
      <c r="P9945" t="n">
        <v>0</v>
      </c>
      <c r="Q9945" t="n">
        <v>0</v>
      </c>
      <c r="R9945" s="2" t="inlineStr"/>
    </row>
    <row r="9946" ht="15" customHeight="1">
      <c r="A9946" t="inlineStr">
        <is>
          <t>A 50601-2024</t>
        </is>
      </c>
      <c r="B9946" s="1" t="n">
        <v>45600</v>
      </c>
      <c r="C9946" s="1" t="n">
        <v>45952</v>
      </c>
      <c r="D9946" t="inlineStr">
        <is>
          <t>VÄSTRA GÖTALANDS LÄN</t>
        </is>
      </c>
      <c r="E9946" t="inlineStr">
        <is>
          <t>STRÖMSTAD</t>
        </is>
      </c>
      <c r="G9946" t="n">
        <v>1.5</v>
      </c>
      <c r="H9946" t="n">
        <v>0</v>
      </c>
      <c r="I9946" t="n">
        <v>0</v>
      </c>
      <c r="J9946" t="n">
        <v>0</v>
      </c>
      <c r="K9946" t="n">
        <v>0</v>
      </c>
      <c r="L9946" t="n">
        <v>0</v>
      </c>
      <c r="M9946" t="n">
        <v>0</v>
      </c>
      <c r="N9946" t="n">
        <v>0</v>
      </c>
      <c r="O9946" t="n">
        <v>0</v>
      </c>
      <c r="P9946" t="n">
        <v>0</v>
      </c>
      <c r="Q9946" t="n">
        <v>0</v>
      </c>
      <c r="R9946" s="2" t="inlineStr"/>
    </row>
    <row r="9947" ht="15" customHeight="1">
      <c r="A9947" t="inlineStr">
        <is>
          <t>A 57566-2023</t>
        </is>
      </c>
      <c r="B9947" s="1" t="n">
        <v>45246.4997337963</v>
      </c>
      <c r="C9947" s="1" t="n">
        <v>45952</v>
      </c>
      <c r="D9947" t="inlineStr">
        <is>
          <t>VÄSTRA GÖTALANDS LÄN</t>
        </is>
      </c>
      <c r="E9947" t="inlineStr">
        <is>
          <t>TANUM</t>
        </is>
      </c>
      <c r="G9947" t="n">
        <v>1.5</v>
      </c>
      <c r="H9947" t="n">
        <v>0</v>
      </c>
      <c r="I9947" t="n">
        <v>0</v>
      </c>
      <c r="J9947" t="n">
        <v>0</v>
      </c>
      <c r="K9947" t="n">
        <v>0</v>
      </c>
      <c r="L9947" t="n">
        <v>0</v>
      </c>
      <c r="M9947" t="n">
        <v>0</v>
      </c>
      <c r="N9947" t="n">
        <v>0</v>
      </c>
      <c r="O9947" t="n">
        <v>0</v>
      </c>
      <c r="P9947" t="n">
        <v>0</v>
      </c>
      <c r="Q9947" t="n">
        <v>0</v>
      </c>
      <c r="R9947" s="2" t="inlineStr"/>
    </row>
    <row r="9948" ht="15" customHeight="1">
      <c r="A9948" t="inlineStr">
        <is>
          <t>A 37069-2023</t>
        </is>
      </c>
      <c r="B9948" s="1" t="n">
        <v>45154</v>
      </c>
      <c r="C9948" s="1" t="n">
        <v>45952</v>
      </c>
      <c r="D9948" t="inlineStr">
        <is>
          <t>VÄSTRA GÖTALANDS LÄN</t>
        </is>
      </c>
      <c r="E9948" t="inlineStr">
        <is>
          <t>TANUM</t>
        </is>
      </c>
      <c r="G9948" t="n">
        <v>4.6</v>
      </c>
      <c r="H9948" t="n">
        <v>0</v>
      </c>
      <c r="I9948" t="n">
        <v>0</v>
      </c>
      <c r="J9948" t="n">
        <v>0</v>
      </c>
      <c r="K9948" t="n">
        <v>0</v>
      </c>
      <c r="L9948" t="n">
        <v>0</v>
      </c>
      <c r="M9948" t="n">
        <v>0</v>
      </c>
      <c r="N9948" t="n">
        <v>0</v>
      </c>
      <c r="O9948" t="n">
        <v>0</v>
      </c>
      <c r="P9948" t="n">
        <v>0</v>
      </c>
      <c r="Q9948" t="n">
        <v>0</v>
      </c>
      <c r="R9948" s="2" t="inlineStr"/>
    </row>
    <row r="9949" ht="15" customHeight="1">
      <c r="A9949" t="inlineStr">
        <is>
          <t>A 60996-2022</t>
        </is>
      </c>
      <c r="B9949" s="1" t="n">
        <v>44914</v>
      </c>
      <c r="C9949" s="1" t="n">
        <v>45952</v>
      </c>
      <c r="D9949" t="inlineStr">
        <is>
          <t>VÄSTRA GÖTALANDS LÄN</t>
        </is>
      </c>
      <c r="E9949" t="inlineStr">
        <is>
          <t>MELLERUD</t>
        </is>
      </c>
      <c r="G9949" t="n">
        <v>0.7</v>
      </c>
      <c r="H9949" t="n">
        <v>0</v>
      </c>
      <c r="I9949" t="n">
        <v>0</v>
      </c>
      <c r="J9949" t="n">
        <v>0</v>
      </c>
      <c r="K9949" t="n">
        <v>0</v>
      </c>
      <c r="L9949" t="n">
        <v>0</v>
      </c>
      <c r="M9949" t="n">
        <v>0</v>
      </c>
      <c r="N9949" t="n">
        <v>0</v>
      </c>
      <c r="O9949" t="n">
        <v>0</v>
      </c>
      <c r="P9949" t="n">
        <v>0</v>
      </c>
      <c r="Q9949" t="n">
        <v>0</v>
      </c>
      <c r="R9949" s="2" t="inlineStr"/>
    </row>
    <row r="9950" ht="15" customHeight="1">
      <c r="A9950" t="inlineStr">
        <is>
          <t>A 40511-2025</t>
        </is>
      </c>
      <c r="B9950" s="1" t="n">
        <v>45896</v>
      </c>
      <c r="C9950" s="1" t="n">
        <v>45952</v>
      </c>
      <c r="D9950" t="inlineStr">
        <is>
          <t>VÄSTRA GÖTALANDS LÄN</t>
        </is>
      </c>
      <c r="E9950" t="inlineStr">
        <is>
          <t>BENGTSFORS</t>
        </is>
      </c>
      <c r="G9950" t="n">
        <v>0.6</v>
      </c>
      <c r="H9950" t="n">
        <v>0</v>
      </c>
      <c r="I9950" t="n">
        <v>0</v>
      </c>
      <c r="J9950" t="n">
        <v>0</v>
      </c>
      <c r="K9950" t="n">
        <v>0</v>
      </c>
      <c r="L9950" t="n">
        <v>0</v>
      </c>
      <c r="M9950" t="n">
        <v>0</v>
      </c>
      <c r="N9950" t="n">
        <v>0</v>
      </c>
      <c r="O9950" t="n">
        <v>0</v>
      </c>
      <c r="P9950" t="n">
        <v>0</v>
      </c>
      <c r="Q9950" t="n">
        <v>0</v>
      </c>
      <c r="R9950" s="2" t="inlineStr"/>
    </row>
    <row r="9951" ht="15" customHeight="1">
      <c r="A9951" t="inlineStr">
        <is>
          <t>A 59965-2023</t>
        </is>
      </c>
      <c r="B9951" s="1" t="n">
        <v>45257.74469907407</v>
      </c>
      <c r="C9951" s="1" t="n">
        <v>45952</v>
      </c>
      <c r="D9951" t="inlineStr">
        <is>
          <t>VÄSTRA GÖTALANDS LÄN</t>
        </is>
      </c>
      <c r="E9951" t="inlineStr">
        <is>
          <t>GULLSPÅNG</t>
        </is>
      </c>
      <c r="G9951" t="n">
        <v>1</v>
      </c>
      <c r="H9951" t="n">
        <v>0</v>
      </c>
      <c r="I9951" t="n">
        <v>0</v>
      </c>
      <c r="J9951" t="n">
        <v>0</v>
      </c>
      <c r="K9951" t="n">
        <v>0</v>
      </c>
      <c r="L9951" t="n">
        <v>0</v>
      </c>
      <c r="M9951" t="n">
        <v>0</v>
      </c>
      <c r="N9951" t="n">
        <v>0</v>
      </c>
      <c r="O9951" t="n">
        <v>0</v>
      </c>
      <c r="P9951" t="n">
        <v>0</v>
      </c>
      <c r="Q9951" t="n">
        <v>0</v>
      </c>
      <c r="R9951" s="2" t="inlineStr"/>
    </row>
    <row r="9952" ht="15" customHeight="1">
      <c r="A9952" t="inlineStr">
        <is>
          <t>A 40589-2025</t>
        </is>
      </c>
      <c r="B9952" s="1" t="n">
        <v>45896.53821759259</v>
      </c>
      <c r="C9952" s="1" t="n">
        <v>45952</v>
      </c>
      <c r="D9952" t="inlineStr">
        <is>
          <t>VÄSTRA GÖTALANDS LÄN</t>
        </is>
      </c>
      <c r="E9952" t="inlineStr">
        <is>
          <t>FALKÖPING</t>
        </is>
      </c>
      <c r="G9952" t="n">
        <v>1.9</v>
      </c>
      <c r="H9952" t="n">
        <v>0</v>
      </c>
      <c r="I9952" t="n">
        <v>0</v>
      </c>
      <c r="J9952" t="n">
        <v>0</v>
      </c>
      <c r="K9952" t="n">
        <v>0</v>
      </c>
      <c r="L9952" t="n">
        <v>0</v>
      </c>
      <c r="M9952" t="n">
        <v>0</v>
      </c>
      <c r="N9952" t="n">
        <v>0</v>
      </c>
      <c r="O9952" t="n">
        <v>0</v>
      </c>
      <c r="P9952" t="n">
        <v>0</v>
      </c>
      <c r="Q9952" t="n">
        <v>0</v>
      </c>
      <c r="R9952" s="2" t="inlineStr"/>
    </row>
    <row r="9953" ht="15" customHeight="1">
      <c r="A9953" t="inlineStr">
        <is>
          <t>A 40609-2025</t>
        </is>
      </c>
      <c r="B9953" s="1" t="n">
        <v>45896.57364583333</v>
      </c>
      <c r="C9953" s="1" t="n">
        <v>45952</v>
      </c>
      <c r="D9953" t="inlineStr">
        <is>
          <t>VÄSTRA GÖTALANDS LÄN</t>
        </is>
      </c>
      <c r="E9953" t="inlineStr">
        <is>
          <t>MARK</t>
        </is>
      </c>
      <c r="G9953" t="n">
        <v>0</v>
      </c>
      <c r="H9953" t="n">
        <v>0</v>
      </c>
      <c r="I9953" t="n">
        <v>0</v>
      </c>
      <c r="J9953" t="n">
        <v>0</v>
      </c>
      <c r="K9953" t="n">
        <v>0</v>
      </c>
      <c r="L9953" t="n">
        <v>0</v>
      </c>
      <c r="M9953" t="n">
        <v>0</v>
      </c>
      <c r="N9953" t="n">
        <v>0</v>
      </c>
      <c r="O9953" t="n">
        <v>0</v>
      </c>
      <c r="P9953" t="n">
        <v>0</v>
      </c>
      <c r="Q9953" t="n">
        <v>0</v>
      </c>
      <c r="R9953" s="2" t="inlineStr"/>
    </row>
    <row r="9954" ht="15" customHeight="1">
      <c r="A9954" t="inlineStr">
        <is>
          <t>A 40631-2025</t>
        </is>
      </c>
      <c r="B9954" s="1" t="n">
        <v>45896.59461805555</v>
      </c>
      <c r="C9954" s="1" t="n">
        <v>45952</v>
      </c>
      <c r="D9954" t="inlineStr">
        <is>
          <t>VÄSTRA GÖTALANDS LÄN</t>
        </is>
      </c>
      <c r="E9954" t="inlineStr">
        <is>
          <t>MARK</t>
        </is>
      </c>
      <c r="G9954" t="n">
        <v>2.7</v>
      </c>
      <c r="H9954" t="n">
        <v>0</v>
      </c>
      <c r="I9954" t="n">
        <v>0</v>
      </c>
      <c r="J9954" t="n">
        <v>0</v>
      </c>
      <c r="K9954" t="n">
        <v>0</v>
      </c>
      <c r="L9954" t="n">
        <v>0</v>
      </c>
      <c r="M9954" t="n">
        <v>0</v>
      </c>
      <c r="N9954" t="n">
        <v>0</v>
      </c>
      <c r="O9954" t="n">
        <v>0</v>
      </c>
      <c r="P9954" t="n">
        <v>0</v>
      </c>
      <c r="Q9954" t="n">
        <v>0</v>
      </c>
      <c r="R9954" s="2" t="inlineStr"/>
    </row>
    <row r="9955" ht="15" customHeight="1">
      <c r="A9955" t="inlineStr">
        <is>
          <t>A 1454-2023</t>
        </is>
      </c>
      <c r="B9955" s="1" t="n">
        <v>44937</v>
      </c>
      <c r="C9955" s="1" t="n">
        <v>45952</v>
      </c>
      <c r="D9955" t="inlineStr">
        <is>
          <t>VÄSTRA GÖTALANDS LÄN</t>
        </is>
      </c>
      <c r="E9955" t="inlineStr">
        <is>
          <t>KARLSBORG</t>
        </is>
      </c>
      <c r="G9955" t="n">
        <v>6.8</v>
      </c>
      <c r="H9955" t="n">
        <v>0</v>
      </c>
      <c r="I9955" t="n">
        <v>0</v>
      </c>
      <c r="J9955" t="n">
        <v>0</v>
      </c>
      <c r="K9955" t="n">
        <v>0</v>
      </c>
      <c r="L9955" t="n">
        <v>0</v>
      </c>
      <c r="M9955" t="n">
        <v>0</v>
      </c>
      <c r="N9955" t="n">
        <v>0</v>
      </c>
      <c r="O9955" t="n">
        <v>0</v>
      </c>
      <c r="P9955" t="n">
        <v>0</v>
      </c>
      <c r="Q9955" t="n">
        <v>0</v>
      </c>
      <c r="R9955" s="2" t="inlineStr"/>
    </row>
    <row r="9956" ht="15" customHeight="1">
      <c r="A9956" t="inlineStr">
        <is>
          <t>A 22037-2024</t>
        </is>
      </c>
      <c r="B9956" s="1" t="n">
        <v>45443.60728009259</v>
      </c>
      <c r="C9956" s="1" t="n">
        <v>45952</v>
      </c>
      <c r="D9956" t="inlineStr">
        <is>
          <t>VÄSTRA GÖTALANDS LÄN</t>
        </is>
      </c>
      <c r="E9956" t="inlineStr">
        <is>
          <t>MARK</t>
        </is>
      </c>
      <c r="G9956" t="n">
        <v>2.2</v>
      </c>
      <c r="H9956" t="n">
        <v>0</v>
      </c>
      <c r="I9956" t="n">
        <v>0</v>
      </c>
      <c r="J9956" t="n">
        <v>0</v>
      </c>
      <c r="K9956" t="n">
        <v>0</v>
      </c>
      <c r="L9956" t="n">
        <v>0</v>
      </c>
      <c r="M9956" t="n">
        <v>0</v>
      </c>
      <c r="N9956" t="n">
        <v>0</v>
      </c>
      <c r="O9956" t="n">
        <v>0</v>
      </c>
      <c r="P9956" t="n">
        <v>0</v>
      </c>
      <c r="Q9956" t="n">
        <v>0</v>
      </c>
      <c r="R9956" s="2" t="inlineStr"/>
    </row>
    <row r="9957" ht="15" customHeight="1">
      <c r="A9957" t="inlineStr">
        <is>
          <t>A 47708-2025</t>
        </is>
      </c>
      <c r="B9957" s="1" t="n">
        <v>45931</v>
      </c>
      <c r="C9957" s="1" t="n">
        <v>45952</v>
      </c>
      <c r="D9957" t="inlineStr">
        <is>
          <t>VÄSTRA GÖTALANDS LÄN</t>
        </is>
      </c>
      <c r="E9957" t="inlineStr">
        <is>
          <t>TROLLHÄTTAN</t>
        </is>
      </c>
      <c r="G9957" t="n">
        <v>4.9</v>
      </c>
      <c r="H9957" t="n">
        <v>0</v>
      </c>
      <c r="I9957" t="n">
        <v>0</v>
      </c>
      <c r="J9957" t="n">
        <v>0</v>
      </c>
      <c r="K9957" t="n">
        <v>0</v>
      </c>
      <c r="L9957" t="n">
        <v>0</v>
      </c>
      <c r="M9957" t="n">
        <v>0</v>
      </c>
      <c r="N9957" t="n">
        <v>0</v>
      </c>
      <c r="O9957" t="n">
        <v>0</v>
      </c>
      <c r="P9957" t="n">
        <v>0</v>
      </c>
      <c r="Q9957" t="n">
        <v>0</v>
      </c>
      <c r="R9957" s="2" t="inlineStr"/>
    </row>
    <row r="9958" ht="15" customHeight="1">
      <c r="A9958" t="inlineStr">
        <is>
          <t>A 49169-2025</t>
        </is>
      </c>
      <c r="B9958" s="1" t="n">
        <v>45938.36971064815</v>
      </c>
      <c r="C9958" s="1" t="n">
        <v>45952</v>
      </c>
      <c r="D9958" t="inlineStr">
        <is>
          <t>VÄSTRA GÖTALANDS LÄN</t>
        </is>
      </c>
      <c r="E9958" t="inlineStr">
        <is>
          <t>TÖREBODA</t>
        </is>
      </c>
      <c r="G9958" t="n">
        <v>4.5</v>
      </c>
      <c r="H9958" t="n">
        <v>0</v>
      </c>
      <c r="I9958" t="n">
        <v>0</v>
      </c>
      <c r="J9958" t="n">
        <v>0</v>
      </c>
      <c r="K9958" t="n">
        <v>0</v>
      </c>
      <c r="L9958" t="n">
        <v>0</v>
      </c>
      <c r="M9958" t="n">
        <v>0</v>
      </c>
      <c r="N9958" t="n">
        <v>0</v>
      </c>
      <c r="O9958" t="n">
        <v>0</v>
      </c>
      <c r="P9958" t="n">
        <v>0</v>
      </c>
      <c r="Q9958" t="n">
        <v>0</v>
      </c>
      <c r="R9958" s="2" t="inlineStr"/>
    </row>
    <row r="9959" ht="15" customHeight="1">
      <c r="A9959" t="inlineStr">
        <is>
          <t>A 17685-2021</t>
        </is>
      </c>
      <c r="B9959" s="1" t="n">
        <v>44300</v>
      </c>
      <c r="C9959" s="1" t="n">
        <v>45952</v>
      </c>
      <c r="D9959" t="inlineStr">
        <is>
          <t>VÄSTRA GÖTALANDS LÄN</t>
        </is>
      </c>
      <c r="E9959" t="inlineStr">
        <is>
          <t>MARIESTAD</t>
        </is>
      </c>
      <c r="G9959" t="n">
        <v>0.3</v>
      </c>
      <c r="H9959" t="n">
        <v>0</v>
      </c>
      <c r="I9959" t="n">
        <v>0</v>
      </c>
      <c r="J9959" t="n">
        <v>0</v>
      </c>
      <c r="K9959" t="n">
        <v>0</v>
      </c>
      <c r="L9959" t="n">
        <v>0</v>
      </c>
      <c r="M9959" t="n">
        <v>0</v>
      </c>
      <c r="N9959" t="n">
        <v>0</v>
      </c>
      <c r="O9959" t="n">
        <v>0</v>
      </c>
      <c r="P9959" t="n">
        <v>0</v>
      </c>
      <c r="Q9959" t="n">
        <v>0</v>
      </c>
      <c r="R9959" s="2" t="inlineStr"/>
    </row>
    <row r="9960" ht="15" customHeight="1">
      <c r="A9960" t="inlineStr">
        <is>
          <t>A 24714-2023</t>
        </is>
      </c>
      <c r="B9960" s="1" t="n">
        <v>45084.56028935185</v>
      </c>
      <c r="C9960" s="1" t="n">
        <v>45952</v>
      </c>
      <c r="D9960" t="inlineStr">
        <is>
          <t>VÄSTRA GÖTALANDS LÄN</t>
        </is>
      </c>
      <c r="E9960" t="inlineStr">
        <is>
          <t>FALKÖPING</t>
        </is>
      </c>
      <c r="G9960" t="n">
        <v>5.7</v>
      </c>
      <c r="H9960" t="n">
        <v>0</v>
      </c>
      <c r="I9960" t="n">
        <v>0</v>
      </c>
      <c r="J9960" t="n">
        <v>0</v>
      </c>
      <c r="K9960" t="n">
        <v>0</v>
      </c>
      <c r="L9960" t="n">
        <v>0</v>
      </c>
      <c r="M9960" t="n">
        <v>0</v>
      </c>
      <c r="N9960" t="n">
        <v>0</v>
      </c>
      <c r="O9960" t="n">
        <v>0</v>
      </c>
      <c r="P9960" t="n">
        <v>0</v>
      </c>
      <c r="Q9960" t="n">
        <v>0</v>
      </c>
      <c r="R9960" s="2" t="inlineStr"/>
    </row>
    <row r="9961" ht="15" customHeight="1">
      <c r="A9961" t="inlineStr">
        <is>
          <t>A 56684-2024</t>
        </is>
      </c>
      <c r="B9961" s="1" t="n">
        <v>45627.58121527778</v>
      </c>
      <c r="C9961" s="1" t="n">
        <v>45952</v>
      </c>
      <c r="D9961" t="inlineStr">
        <is>
          <t>VÄSTRA GÖTALANDS LÄN</t>
        </is>
      </c>
      <c r="E9961" t="inlineStr">
        <is>
          <t>TÖREBODA</t>
        </is>
      </c>
      <c r="G9961" t="n">
        <v>0.4</v>
      </c>
      <c r="H9961" t="n">
        <v>0</v>
      </c>
      <c r="I9961" t="n">
        <v>0</v>
      </c>
      <c r="J9961" t="n">
        <v>0</v>
      </c>
      <c r="K9961" t="n">
        <v>0</v>
      </c>
      <c r="L9961" t="n">
        <v>0</v>
      </c>
      <c r="M9961" t="n">
        <v>0</v>
      </c>
      <c r="N9961" t="n">
        <v>0</v>
      </c>
      <c r="O9961" t="n">
        <v>0</v>
      </c>
      <c r="P9961" t="n">
        <v>0</v>
      </c>
      <c r="Q9961" t="n">
        <v>0</v>
      </c>
      <c r="R9961" s="2" t="inlineStr"/>
    </row>
    <row r="9962" ht="15" customHeight="1">
      <c r="A9962" t="inlineStr">
        <is>
          <t>A 59802-2023</t>
        </is>
      </c>
      <c r="B9962" s="1" t="n">
        <v>45257</v>
      </c>
      <c r="C9962" s="1" t="n">
        <v>45952</v>
      </c>
      <c r="D9962" t="inlineStr">
        <is>
          <t>VÄSTRA GÖTALANDS LÄN</t>
        </is>
      </c>
      <c r="E9962" t="inlineStr">
        <is>
          <t>ULRICEHAMN</t>
        </is>
      </c>
      <c r="G9962" t="n">
        <v>2</v>
      </c>
      <c r="H9962" t="n">
        <v>0</v>
      </c>
      <c r="I9962" t="n">
        <v>0</v>
      </c>
      <c r="J9962" t="n">
        <v>0</v>
      </c>
      <c r="K9962" t="n">
        <v>0</v>
      </c>
      <c r="L9962" t="n">
        <v>0</v>
      </c>
      <c r="M9962" t="n">
        <v>0</v>
      </c>
      <c r="N9962" t="n">
        <v>0</v>
      </c>
      <c r="O9962" t="n">
        <v>0</v>
      </c>
      <c r="P9962" t="n">
        <v>0</v>
      </c>
      <c r="Q9962" t="n">
        <v>0</v>
      </c>
      <c r="R9962" s="2" t="inlineStr"/>
    </row>
    <row r="9963" ht="15" customHeight="1">
      <c r="A9963" t="inlineStr">
        <is>
          <t>A 24759-2023</t>
        </is>
      </c>
      <c r="B9963" s="1" t="n">
        <v>45084.62170138889</v>
      </c>
      <c r="C9963" s="1" t="n">
        <v>45952</v>
      </c>
      <c r="D9963" t="inlineStr">
        <is>
          <t>VÄSTRA GÖTALANDS LÄN</t>
        </is>
      </c>
      <c r="E9963" t="inlineStr">
        <is>
          <t>LIDKÖPING</t>
        </is>
      </c>
      <c r="G9963" t="n">
        <v>2.9</v>
      </c>
      <c r="H9963" t="n">
        <v>0</v>
      </c>
      <c r="I9963" t="n">
        <v>0</v>
      </c>
      <c r="J9963" t="n">
        <v>0</v>
      </c>
      <c r="K9963" t="n">
        <v>0</v>
      </c>
      <c r="L9963" t="n">
        <v>0</v>
      </c>
      <c r="M9963" t="n">
        <v>0</v>
      </c>
      <c r="N9963" t="n">
        <v>0</v>
      </c>
      <c r="O9963" t="n">
        <v>0</v>
      </c>
      <c r="P9963" t="n">
        <v>0</v>
      </c>
      <c r="Q9963" t="n">
        <v>0</v>
      </c>
      <c r="R9963" s="2" t="inlineStr"/>
    </row>
    <row r="9964" ht="15" customHeight="1">
      <c r="A9964" t="inlineStr">
        <is>
          <t>A 7002-2025</t>
        </is>
      </c>
      <c r="B9964" s="1" t="n">
        <v>45701.59832175926</v>
      </c>
      <c r="C9964" s="1" t="n">
        <v>45952</v>
      </c>
      <c r="D9964" t="inlineStr">
        <is>
          <t>VÄSTRA GÖTALANDS LÄN</t>
        </is>
      </c>
      <c r="E9964" t="inlineStr">
        <is>
          <t>TRANEMO</t>
        </is>
      </c>
      <c r="G9964" t="n">
        <v>0.8</v>
      </c>
      <c r="H9964" t="n">
        <v>0</v>
      </c>
      <c r="I9964" t="n">
        <v>0</v>
      </c>
      <c r="J9964" t="n">
        <v>0</v>
      </c>
      <c r="K9964" t="n">
        <v>0</v>
      </c>
      <c r="L9964" t="n">
        <v>0</v>
      </c>
      <c r="M9964" t="n">
        <v>0</v>
      </c>
      <c r="N9964" t="n">
        <v>0</v>
      </c>
      <c r="O9964" t="n">
        <v>0</v>
      </c>
      <c r="P9964" t="n">
        <v>0</v>
      </c>
      <c r="Q9964" t="n">
        <v>0</v>
      </c>
      <c r="R9964" s="2" t="inlineStr"/>
    </row>
    <row r="9965" ht="15" customHeight="1">
      <c r="A9965" t="inlineStr">
        <is>
          <t>A 55022-2023</t>
        </is>
      </c>
      <c r="B9965" s="1" t="n">
        <v>45237.33038194444</v>
      </c>
      <c r="C9965" s="1" t="n">
        <v>45952</v>
      </c>
      <c r="D9965" t="inlineStr">
        <is>
          <t>VÄSTRA GÖTALANDS LÄN</t>
        </is>
      </c>
      <c r="E9965" t="inlineStr">
        <is>
          <t>TANUM</t>
        </is>
      </c>
      <c r="G9965" t="n">
        <v>0.6</v>
      </c>
      <c r="H9965" t="n">
        <v>0</v>
      </c>
      <c r="I9965" t="n">
        <v>0</v>
      </c>
      <c r="J9965" t="n">
        <v>0</v>
      </c>
      <c r="K9965" t="n">
        <v>0</v>
      </c>
      <c r="L9965" t="n">
        <v>0</v>
      </c>
      <c r="M9965" t="n">
        <v>0</v>
      </c>
      <c r="N9965" t="n">
        <v>0</v>
      </c>
      <c r="O9965" t="n">
        <v>0</v>
      </c>
      <c r="P9965" t="n">
        <v>0</v>
      </c>
      <c r="Q9965" t="n">
        <v>0</v>
      </c>
      <c r="R9965" s="2" t="inlineStr"/>
    </row>
    <row r="9966" ht="15" customHeight="1">
      <c r="A9966" t="inlineStr">
        <is>
          <t>A 27796-2022</t>
        </is>
      </c>
      <c r="B9966" s="1" t="n">
        <v>44743</v>
      </c>
      <c r="C9966" s="1" t="n">
        <v>45952</v>
      </c>
      <c r="D9966" t="inlineStr">
        <is>
          <t>VÄSTRA GÖTALANDS LÄN</t>
        </is>
      </c>
      <c r="E9966" t="inlineStr">
        <is>
          <t>DALS-ED</t>
        </is>
      </c>
      <c r="G9966" t="n">
        <v>5.1</v>
      </c>
      <c r="H9966" t="n">
        <v>0</v>
      </c>
      <c r="I9966" t="n">
        <v>0</v>
      </c>
      <c r="J9966" t="n">
        <v>0</v>
      </c>
      <c r="K9966" t="n">
        <v>0</v>
      </c>
      <c r="L9966" t="n">
        <v>0</v>
      </c>
      <c r="M9966" t="n">
        <v>0</v>
      </c>
      <c r="N9966" t="n">
        <v>0</v>
      </c>
      <c r="O9966" t="n">
        <v>0</v>
      </c>
      <c r="P9966" t="n">
        <v>0</v>
      </c>
      <c r="Q9966" t="n">
        <v>0</v>
      </c>
      <c r="R9966" s="2" t="inlineStr"/>
    </row>
    <row r="9967" ht="15" customHeight="1">
      <c r="A9967" t="inlineStr">
        <is>
          <t>A 66183-2020</t>
        </is>
      </c>
      <c r="B9967" s="1" t="n">
        <v>44175</v>
      </c>
      <c r="C9967" s="1" t="n">
        <v>45952</v>
      </c>
      <c r="D9967" t="inlineStr">
        <is>
          <t>VÄSTRA GÖTALANDS LÄN</t>
        </is>
      </c>
      <c r="E9967" t="inlineStr">
        <is>
          <t>TRANEMO</t>
        </is>
      </c>
      <c r="G9967" t="n">
        <v>2.3</v>
      </c>
      <c r="H9967" t="n">
        <v>0</v>
      </c>
      <c r="I9967" t="n">
        <v>0</v>
      </c>
      <c r="J9967" t="n">
        <v>0</v>
      </c>
      <c r="K9967" t="n">
        <v>0</v>
      </c>
      <c r="L9967" t="n">
        <v>0</v>
      </c>
      <c r="M9967" t="n">
        <v>0</v>
      </c>
      <c r="N9967" t="n">
        <v>0</v>
      </c>
      <c r="O9967" t="n">
        <v>0</v>
      </c>
      <c r="P9967" t="n">
        <v>0</v>
      </c>
      <c r="Q9967" t="n">
        <v>0</v>
      </c>
      <c r="R9967" s="2" t="inlineStr"/>
    </row>
    <row r="9968" ht="15" customHeight="1">
      <c r="A9968" t="inlineStr">
        <is>
          <t>A 23273-2021</t>
        </is>
      </c>
      <c r="B9968" s="1" t="n">
        <v>44333</v>
      </c>
      <c r="C9968" s="1" t="n">
        <v>45952</v>
      </c>
      <c r="D9968" t="inlineStr">
        <is>
          <t>VÄSTRA GÖTALANDS LÄN</t>
        </is>
      </c>
      <c r="E9968" t="inlineStr">
        <is>
          <t>ALINGSÅS</t>
        </is>
      </c>
      <c r="G9968" t="n">
        <v>1.1</v>
      </c>
      <c r="H9968" t="n">
        <v>0</v>
      </c>
      <c r="I9968" t="n">
        <v>0</v>
      </c>
      <c r="J9968" t="n">
        <v>0</v>
      </c>
      <c r="K9968" t="n">
        <v>0</v>
      </c>
      <c r="L9968" t="n">
        <v>0</v>
      </c>
      <c r="M9968" t="n">
        <v>0</v>
      </c>
      <c r="N9968" t="n">
        <v>0</v>
      </c>
      <c r="O9968" t="n">
        <v>0</v>
      </c>
      <c r="P9968" t="n">
        <v>0</v>
      </c>
      <c r="Q9968" t="n">
        <v>0</v>
      </c>
      <c r="R9968" s="2" t="inlineStr"/>
    </row>
    <row r="9969" ht="15" customHeight="1">
      <c r="A9969" t="inlineStr">
        <is>
          <t>A 7018-2025</t>
        </is>
      </c>
      <c r="B9969" s="1" t="n">
        <v>45701.6132175926</v>
      </c>
      <c r="C9969" s="1" t="n">
        <v>45952</v>
      </c>
      <c r="D9969" t="inlineStr">
        <is>
          <t>VÄSTRA GÖTALANDS LÄN</t>
        </is>
      </c>
      <c r="E9969" t="inlineStr">
        <is>
          <t>SVENLJUNGA</t>
        </is>
      </c>
      <c r="F9969" t="inlineStr">
        <is>
          <t>Sveaskog</t>
        </is>
      </c>
      <c r="G9969" t="n">
        <v>9.6</v>
      </c>
      <c r="H9969" t="n">
        <v>0</v>
      </c>
      <c r="I9969" t="n">
        <v>0</v>
      </c>
      <c r="J9969" t="n">
        <v>0</v>
      </c>
      <c r="K9969" t="n">
        <v>0</v>
      </c>
      <c r="L9969" t="n">
        <v>0</v>
      </c>
      <c r="M9969" t="n">
        <v>0</v>
      </c>
      <c r="N9969" t="n">
        <v>0</v>
      </c>
      <c r="O9969" t="n">
        <v>0</v>
      </c>
      <c r="P9969" t="n">
        <v>0</v>
      </c>
      <c r="Q9969" t="n">
        <v>0</v>
      </c>
      <c r="R9969" s="2" t="inlineStr"/>
    </row>
    <row r="9970" ht="15" customHeight="1">
      <c r="A9970" t="inlineStr">
        <is>
          <t>A 7020-2025</t>
        </is>
      </c>
      <c r="B9970" s="1" t="n">
        <v>45701.6150462963</v>
      </c>
      <c r="C9970" s="1" t="n">
        <v>45952</v>
      </c>
      <c r="D9970" t="inlineStr">
        <is>
          <t>VÄSTRA GÖTALANDS LÄN</t>
        </is>
      </c>
      <c r="E9970" t="inlineStr">
        <is>
          <t>ULRICEHAMN</t>
        </is>
      </c>
      <c r="F9970" t="inlineStr">
        <is>
          <t>Kyrkan</t>
        </is>
      </c>
      <c r="G9970" t="n">
        <v>0.7</v>
      </c>
      <c r="H9970" t="n">
        <v>0</v>
      </c>
      <c r="I9970" t="n">
        <v>0</v>
      </c>
      <c r="J9970" t="n">
        <v>0</v>
      </c>
      <c r="K9970" t="n">
        <v>0</v>
      </c>
      <c r="L9970" t="n">
        <v>0</v>
      </c>
      <c r="M9970" t="n">
        <v>0</v>
      </c>
      <c r="N9970" t="n">
        <v>0</v>
      </c>
      <c r="O9970" t="n">
        <v>0</v>
      </c>
      <c r="P9970" t="n">
        <v>0</v>
      </c>
      <c r="Q9970" t="n">
        <v>0</v>
      </c>
      <c r="R9970" s="2" t="inlineStr"/>
    </row>
    <row r="9971" ht="15" customHeight="1">
      <c r="A9971" t="inlineStr">
        <is>
          <t>A 9749-2023</t>
        </is>
      </c>
      <c r="B9971" s="1" t="n">
        <v>44984</v>
      </c>
      <c r="C9971" s="1" t="n">
        <v>45952</v>
      </c>
      <c r="D9971" t="inlineStr">
        <is>
          <t>VÄSTRA GÖTALANDS LÄN</t>
        </is>
      </c>
      <c r="E9971" t="inlineStr">
        <is>
          <t>VÅRGÅRDA</t>
        </is>
      </c>
      <c r="G9971" t="n">
        <v>3.3</v>
      </c>
      <c r="H9971" t="n">
        <v>0</v>
      </c>
      <c r="I9971" t="n">
        <v>0</v>
      </c>
      <c r="J9971" t="n">
        <v>0</v>
      </c>
      <c r="K9971" t="n">
        <v>0</v>
      </c>
      <c r="L9971" t="n">
        <v>0</v>
      </c>
      <c r="M9971" t="n">
        <v>0</v>
      </c>
      <c r="N9971" t="n">
        <v>0</v>
      </c>
      <c r="O9971" t="n">
        <v>0</v>
      </c>
      <c r="P9971" t="n">
        <v>0</v>
      </c>
      <c r="Q9971" t="n">
        <v>0</v>
      </c>
      <c r="R9971" s="2" t="inlineStr"/>
    </row>
    <row r="9972" ht="15" customHeight="1">
      <c r="A9972" t="inlineStr">
        <is>
          <t>A 3748-2025</t>
        </is>
      </c>
      <c r="B9972" s="1" t="n">
        <v>45681</v>
      </c>
      <c r="C9972" s="1" t="n">
        <v>45952</v>
      </c>
      <c r="D9972" t="inlineStr">
        <is>
          <t>VÄSTRA GÖTALANDS LÄN</t>
        </is>
      </c>
      <c r="E9972" t="inlineStr">
        <is>
          <t>ALINGSÅS</t>
        </is>
      </c>
      <c r="G9972" t="n">
        <v>4.2</v>
      </c>
      <c r="H9972" t="n">
        <v>0</v>
      </c>
      <c r="I9972" t="n">
        <v>0</v>
      </c>
      <c r="J9972" t="n">
        <v>0</v>
      </c>
      <c r="K9972" t="n">
        <v>0</v>
      </c>
      <c r="L9972" t="n">
        <v>0</v>
      </c>
      <c r="M9972" t="n">
        <v>0</v>
      </c>
      <c r="N9972" t="n">
        <v>0</v>
      </c>
      <c r="O9972" t="n">
        <v>0</v>
      </c>
      <c r="P9972" t="n">
        <v>0</v>
      </c>
      <c r="Q9972" t="n">
        <v>0</v>
      </c>
      <c r="R9972" s="2" t="inlineStr"/>
    </row>
    <row r="9973" ht="15" customHeight="1">
      <c r="A9973" t="inlineStr">
        <is>
          <t>A 48908-2024</t>
        </is>
      </c>
      <c r="B9973" s="1" t="n">
        <v>45594.36315972222</v>
      </c>
      <c r="C9973" s="1" t="n">
        <v>45952</v>
      </c>
      <c r="D9973" t="inlineStr">
        <is>
          <t>VÄSTRA GÖTALANDS LÄN</t>
        </is>
      </c>
      <c r="E9973" t="inlineStr">
        <is>
          <t>VARA</t>
        </is>
      </c>
      <c r="G9973" t="n">
        <v>1.8</v>
      </c>
      <c r="H9973" t="n">
        <v>0</v>
      </c>
      <c r="I9973" t="n">
        <v>0</v>
      </c>
      <c r="J9973" t="n">
        <v>0</v>
      </c>
      <c r="K9973" t="n">
        <v>0</v>
      </c>
      <c r="L9973" t="n">
        <v>0</v>
      </c>
      <c r="M9973" t="n">
        <v>0</v>
      </c>
      <c r="N9973" t="n">
        <v>0</v>
      </c>
      <c r="O9973" t="n">
        <v>0</v>
      </c>
      <c r="P9973" t="n">
        <v>0</v>
      </c>
      <c r="Q9973" t="n">
        <v>0</v>
      </c>
      <c r="R9973" s="2" t="inlineStr"/>
    </row>
    <row r="9974" ht="15" customHeight="1">
      <c r="A9974" t="inlineStr">
        <is>
          <t>A 61681-2023</t>
        </is>
      </c>
      <c r="B9974" s="1" t="n">
        <v>45264</v>
      </c>
      <c r="C9974" s="1" t="n">
        <v>45952</v>
      </c>
      <c r="D9974" t="inlineStr">
        <is>
          <t>VÄSTRA GÖTALANDS LÄN</t>
        </is>
      </c>
      <c r="E9974" t="inlineStr">
        <is>
          <t>BORÅS</t>
        </is>
      </c>
      <c r="G9974" t="n">
        <v>0.9</v>
      </c>
      <c r="H9974" t="n">
        <v>0</v>
      </c>
      <c r="I9974" t="n">
        <v>0</v>
      </c>
      <c r="J9974" t="n">
        <v>0</v>
      </c>
      <c r="K9974" t="n">
        <v>0</v>
      </c>
      <c r="L9974" t="n">
        <v>0</v>
      </c>
      <c r="M9974" t="n">
        <v>0</v>
      </c>
      <c r="N9974" t="n">
        <v>0</v>
      </c>
      <c r="O9974" t="n">
        <v>0</v>
      </c>
      <c r="P9974" t="n">
        <v>0</v>
      </c>
      <c r="Q9974" t="n">
        <v>0</v>
      </c>
      <c r="R9974" s="2" t="inlineStr"/>
    </row>
    <row r="9975" ht="15" customHeight="1">
      <c r="A9975" t="inlineStr">
        <is>
          <t>A 57128-2024</t>
        </is>
      </c>
      <c r="B9975" s="1" t="n">
        <v>45629.37820601852</v>
      </c>
      <c r="C9975" s="1" t="n">
        <v>45952</v>
      </c>
      <c r="D9975" t="inlineStr">
        <is>
          <t>VÄSTRA GÖTALANDS LÄN</t>
        </is>
      </c>
      <c r="E9975" t="inlineStr">
        <is>
          <t>MARK</t>
        </is>
      </c>
      <c r="G9975" t="n">
        <v>1.1</v>
      </c>
      <c r="H9975" t="n">
        <v>0</v>
      </c>
      <c r="I9975" t="n">
        <v>0</v>
      </c>
      <c r="J9975" t="n">
        <v>0</v>
      </c>
      <c r="K9975" t="n">
        <v>0</v>
      </c>
      <c r="L9975" t="n">
        <v>0</v>
      </c>
      <c r="M9975" t="n">
        <v>0</v>
      </c>
      <c r="N9975" t="n">
        <v>0</v>
      </c>
      <c r="O9975" t="n">
        <v>0</v>
      </c>
      <c r="P9975" t="n">
        <v>0</v>
      </c>
      <c r="Q9975" t="n">
        <v>0</v>
      </c>
      <c r="R9975" s="2" t="inlineStr"/>
    </row>
    <row r="9976" ht="15" customHeight="1">
      <c r="A9976" t="inlineStr">
        <is>
          <t>A 40682-2025</t>
        </is>
      </c>
      <c r="B9976" s="1" t="n">
        <v>45896.85864583333</v>
      </c>
      <c r="C9976" s="1" t="n">
        <v>45952</v>
      </c>
      <c r="D9976" t="inlineStr">
        <is>
          <t>VÄSTRA GÖTALANDS LÄN</t>
        </is>
      </c>
      <c r="E9976" t="inlineStr">
        <is>
          <t>TROLLHÄTTAN</t>
        </is>
      </c>
      <c r="G9976" t="n">
        <v>1</v>
      </c>
      <c r="H9976" t="n">
        <v>0</v>
      </c>
      <c r="I9976" t="n">
        <v>0</v>
      </c>
      <c r="J9976" t="n">
        <v>0</v>
      </c>
      <c r="K9976" t="n">
        <v>0</v>
      </c>
      <c r="L9976" t="n">
        <v>0</v>
      </c>
      <c r="M9976" t="n">
        <v>0</v>
      </c>
      <c r="N9976" t="n">
        <v>0</v>
      </c>
      <c r="O9976" t="n">
        <v>0</v>
      </c>
      <c r="P9976" t="n">
        <v>0</v>
      </c>
      <c r="Q9976" t="n">
        <v>0</v>
      </c>
      <c r="R9976" s="2" t="inlineStr"/>
    </row>
    <row r="9977" ht="15" customHeight="1">
      <c r="A9977" t="inlineStr">
        <is>
          <t>A 40685-2025</t>
        </is>
      </c>
      <c r="B9977" s="1" t="n">
        <v>45896.87293981481</v>
      </c>
      <c r="C9977" s="1" t="n">
        <v>45952</v>
      </c>
      <c r="D9977" t="inlineStr">
        <is>
          <t>VÄSTRA GÖTALANDS LÄN</t>
        </is>
      </c>
      <c r="E9977" t="inlineStr">
        <is>
          <t>TIBRO</t>
        </is>
      </c>
      <c r="G9977" t="n">
        <v>3.5</v>
      </c>
      <c r="H9977" t="n">
        <v>0</v>
      </c>
      <c r="I9977" t="n">
        <v>0</v>
      </c>
      <c r="J9977" t="n">
        <v>0</v>
      </c>
      <c r="K9977" t="n">
        <v>0</v>
      </c>
      <c r="L9977" t="n">
        <v>0</v>
      </c>
      <c r="M9977" t="n">
        <v>0</v>
      </c>
      <c r="N9977" t="n">
        <v>0</v>
      </c>
      <c r="O9977" t="n">
        <v>0</v>
      </c>
      <c r="P9977" t="n">
        <v>0</v>
      </c>
      <c r="Q9977" t="n">
        <v>0</v>
      </c>
      <c r="R9977" s="2" t="inlineStr"/>
    </row>
    <row r="9978" ht="15" customHeight="1">
      <c r="A9978" t="inlineStr">
        <is>
          <t>A 40686-2025</t>
        </is>
      </c>
      <c r="B9978" s="1" t="n">
        <v>45896.87371527778</v>
      </c>
      <c r="C9978" s="1" t="n">
        <v>45952</v>
      </c>
      <c r="D9978" t="inlineStr">
        <is>
          <t>VÄSTRA GÖTALANDS LÄN</t>
        </is>
      </c>
      <c r="E9978" t="inlineStr">
        <is>
          <t>TIBRO</t>
        </is>
      </c>
      <c r="G9978" t="n">
        <v>2</v>
      </c>
      <c r="H9978" t="n">
        <v>0</v>
      </c>
      <c r="I9978" t="n">
        <v>0</v>
      </c>
      <c r="J9978" t="n">
        <v>0</v>
      </c>
      <c r="K9978" t="n">
        <v>0</v>
      </c>
      <c r="L9978" t="n">
        <v>0</v>
      </c>
      <c r="M9978" t="n">
        <v>0</v>
      </c>
      <c r="N9978" t="n">
        <v>0</v>
      </c>
      <c r="O9978" t="n">
        <v>0</v>
      </c>
      <c r="P9978" t="n">
        <v>0</v>
      </c>
      <c r="Q9978" t="n">
        <v>0</v>
      </c>
      <c r="R9978" s="2" t="inlineStr"/>
    </row>
    <row r="9979" ht="15" customHeight="1">
      <c r="A9979" t="inlineStr">
        <is>
          <t>A 23956-2025</t>
        </is>
      </c>
      <c r="B9979" s="1" t="n">
        <v>45796.36421296297</v>
      </c>
      <c r="C9979" s="1" t="n">
        <v>45952</v>
      </c>
      <c r="D9979" t="inlineStr">
        <is>
          <t>VÄSTRA GÖTALANDS LÄN</t>
        </is>
      </c>
      <c r="E9979" t="inlineStr">
        <is>
          <t>DALS-ED</t>
        </is>
      </c>
      <c r="G9979" t="n">
        <v>0.9</v>
      </c>
      <c r="H9979" t="n">
        <v>0</v>
      </c>
      <c r="I9979" t="n">
        <v>0</v>
      </c>
      <c r="J9979" t="n">
        <v>0</v>
      </c>
      <c r="K9979" t="n">
        <v>0</v>
      </c>
      <c r="L9979" t="n">
        <v>0</v>
      </c>
      <c r="M9979" t="n">
        <v>0</v>
      </c>
      <c r="N9979" t="n">
        <v>0</v>
      </c>
      <c r="O9979" t="n">
        <v>0</v>
      </c>
      <c r="P9979" t="n">
        <v>0</v>
      </c>
      <c r="Q9979" t="n">
        <v>0</v>
      </c>
      <c r="R9979" s="2" t="inlineStr"/>
    </row>
    <row r="9980" ht="15" customHeight="1">
      <c r="A9980" t="inlineStr">
        <is>
          <t>A 45180-2024</t>
        </is>
      </c>
      <c r="B9980" s="1" t="n">
        <v>45575.66361111111</v>
      </c>
      <c r="C9980" s="1" t="n">
        <v>45952</v>
      </c>
      <c r="D9980" t="inlineStr">
        <is>
          <t>VÄSTRA GÖTALANDS LÄN</t>
        </is>
      </c>
      <c r="E9980" t="inlineStr">
        <is>
          <t>GÖTENE</t>
        </is>
      </c>
      <c r="G9980" t="n">
        <v>14.7</v>
      </c>
      <c r="H9980" t="n">
        <v>0</v>
      </c>
      <c r="I9980" t="n">
        <v>0</v>
      </c>
      <c r="J9980" t="n">
        <v>0</v>
      </c>
      <c r="K9980" t="n">
        <v>0</v>
      </c>
      <c r="L9980" t="n">
        <v>0</v>
      </c>
      <c r="M9980" t="n">
        <v>0</v>
      </c>
      <c r="N9980" t="n">
        <v>0</v>
      </c>
      <c r="O9980" t="n">
        <v>0</v>
      </c>
      <c r="P9980" t="n">
        <v>0</v>
      </c>
      <c r="Q9980" t="n">
        <v>0</v>
      </c>
      <c r="R9980" s="2" t="inlineStr"/>
    </row>
    <row r="9981" ht="15" customHeight="1">
      <c r="A9981" t="inlineStr">
        <is>
          <t>A 1005-2024</t>
        </is>
      </c>
      <c r="B9981" s="1" t="n">
        <v>45301</v>
      </c>
      <c r="C9981" s="1" t="n">
        <v>45952</v>
      </c>
      <c r="D9981" t="inlineStr">
        <is>
          <t>VÄSTRA GÖTALANDS LÄN</t>
        </is>
      </c>
      <c r="E9981" t="inlineStr">
        <is>
          <t>VÅRGÅRDA</t>
        </is>
      </c>
      <c r="G9981" t="n">
        <v>0.8</v>
      </c>
      <c r="H9981" t="n">
        <v>0</v>
      </c>
      <c r="I9981" t="n">
        <v>0</v>
      </c>
      <c r="J9981" t="n">
        <v>0</v>
      </c>
      <c r="K9981" t="n">
        <v>0</v>
      </c>
      <c r="L9981" t="n">
        <v>0</v>
      </c>
      <c r="M9981" t="n">
        <v>0</v>
      </c>
      <c r="N9981" t="n">
        <v>0</v>
      </c>
      <c r="O9981" t="n">
        <v>0</v>
      </c>
      <c r="P9981" t="n">
        <v>0</v>
      </c>
      <c r="Q9981" t="n">
        <v>0</v>
      </c>
      <c r="R9981" s="2" t="inlineStr"/>
    </row>
    <row r="9982" ht="15" customHeight="1">
      <c r="A9982" t="inlineStr">
        <is>
          <t>A 5467-2025</t>
        </is>
      </c>
      <c r="B9982" s="1" t="n">
        <v>45693.32645833334</v>
      </c>
      <c r="C9982" s="1" t="n">
        <v>45952</v>
      </c>
      <c r="D9982" t="inlineStr">
        <is>
          <t>VÄSTRA GÖTALANDS LÄN</t>
        </is>
      </c>
      <c r="E9982" t="inlineStr">
        <is>
          <t>SKÖVDE</t>
        </is>
      </c>
      <c r="G9982" t="n">
        <v>1.1</v>
      </c>
      <c r="H9982" t="n">
        <v>0</v>
      </c>
      <c r="I9982" t="n">
        <v>0</v>
      </c>
      <c r="J9982" t="n">
        <v>0</v>
      </c>
      <c r="K9982" t="n">
        <v>0</v>
      </c>
      <c r="L9982" t="n">
        <v>0</v>
      </c>
      <c r="M9982" t="n">
        <v>0</v>
      </c>
      <c r="N9982" t="n">
        <v>0</v>
      </c>
      <c r="O9982" t="n">
        <v>0</v>
      </c>
      <c r="P9982" t="n">
        <v>0</v>
      </c>
      <c r="Q9982" t="n">
        <v>0</v>
      </c>
      <c r="R9982" s="2" t="inlineStr"/>
    </row>
    <row r="9983" ht="15" customHeight="1">
      <c r="A9983" t="inlineStr">
        <is>
          <t>A 5471-2025</t>
        </is>
      </c>
      <c r="B9983" s="1" t="n">
        <v>45693.32864583333</v>
      </c>
      <c r="C9983" s="1" t="n">
        <v>45952</v>
      </c>
      <c r="D9983" t="inlineStr">
        <is>
          <t>VÄSTRA GÖTALANDS LÄN</t>
        </is>
      </c>
      <c r="E9983" t="inlineStr">
        <is>
          <t>SKÖVDE</t>
        </is>
      </c>
      <c r="G9983" t="n">
        <v>0.7</v>
      </c>
      <c r="H9983" t="n">
        <v>0</v>
      </c>
      <c r="I9983" t="n">
        <v>0</v>
      </c>
      <c r="J9983" t="n">
        <v>0</v>
      </c>
      <c r="K9983" t="n">
        <v>0</v>
      </c>
      <c r="L9983" t="n">
        <v>0</v>
      </c>
      <c r="M9983" t="n">
        <v>0</v>
      </c>
      <c r="N9983" t="n">
        <v>0</v>
      </c>
      <c r="O9983" t="n">
        <v>0</v>
      </c>
      <c r="P9983" t="n">
        <v>0</v>
      </c>
      <c r="Q9983" t="n">
        <v>0</v>
      </c>
      <c r="R9983" s="2" t="inlineStr"/>
    </row>
    <row r="9984" ht="15" customHeight="1">
      <c r="A9984" t="inlineStr">
        <is>
          <t>A 5474-2025</t>
        </is>
      </c>
      <c r="B9984" s="1" t="n">
        <v>45693.33061342593</v>
      </c>
      <c r="C9984" s="1" t="n">
        <v>45952</v>
      </c>
      <c r="D9984" t="inlineStr">
        <is>
          <t>VÄSTRA GÖTALANDS LÄN</t>
        </is>
      </c>
      <c r="E9984" t="inlineStr">
        <is>
          <t>SKÖVDE</t>
        </is>
      </c>
      <c r="G9984" t="n">
        <v>1.6</v>
      </c>
      <c r="H9984" t="n">
        <v>0</v>
      </c>
      <c r="I9984" t="n">
        <v>0</v>
      </c>
      <c r="J9984" t="n">
        <v>0</v>
      </c>
      <c r="K9984" t="n">
        <v>0</v>
      </c>
      <c r="L9984" t="n">
        <v>0</v>
      </c>
      <c r="M9984" t="n">
        <v>0</v>
      </c>
      <c r="N9984" t="n">
        <v>0</v>
      </c>
      <c r="O9984" t="n">
        <v>0</v>
      </c>
      <c r="P9984" t="n">
        <v>0</v>
      </c>
      <c r="Q9984" t="n">
        <v>0</v>
      </c>
      <c r="R9984" s="2" t="inlineStr"/>
    </row>
    <row r="9985" ht="15" customHeight="1">
      <c r="A9985" t="inlineStr">
        <is>
          <t>A 5478-2025</t>
        </is>
      </c>
      <c r="B9985" s="1" t="n">
        <v>45693.33496527778</v>
      </c>
      <c r="C9985" s="1" t="n">
        <v>45952</v>
      </c>
      <c r="D9985" t="inlineStr">
        <is>
          <t>VÄSTRA GÖTALANDS LÄN</t>
        </is>
      </c>
      <c r="E9985" t="inlineStr">
        <is>
          <t>SKÖVDE</t>
        </is>
      </c>
      <c r="G9985" t="n">
        <v>4.3</v>
      </c>
      <c r="H9985" t="n">
        <v>0</v>
      </c>
      <c r="I9985" t="n">
        <v>0</v>
      </c>
      <c r="J9985" t="n">
        <v>0</v>
      </c>
      <c r="K9985" t="n">
        <v>0</v>
      </c>
      <c r="L9985" t="n">
        <v>0</v>
      </c>
      <c r="M9985" t="n">
        <v>0</v>
      </c>
      <c r="N9985" t="n">
        <v>0</v>
      </c>
      <c r="O9985" t="n">
        <v>0</v>
      </c>
      <c r="P9985" t="n">
        <v>0</v>
      </c>
      <c r="Q9985" t="n">
        <v>0</v>
      </c>
      <c r="R9985" s="2" t="inlineStr"/>
    </row>
    <row r="9986" ht="15" customHeight="1">
      <c r="A9986" t="inlineStr">
        <is>
          <t>A 5479-2025</t>
        </is>
      </c>
      <c r="B9986" s="1" t="n">
        <v>45693.33540509259</v>
      </c>
      <c r="C9986" s="1" t="n">
        <v>45952</v>
      </c>
      <c r="D9986" t="inlineStr">
        <is>
          <t>VÄSTRA GÖTALANDS LÄN</t>
        </is>
      </c>
      <c r="E9986" t="inlineStr">
        <is>
          <t>SKÖVDE</t>
        </is>
      </c>
      <c r="G9986" t="n">
        <v>2.7</v>
      </c>
      <c r="H9986" t="n">
        <v>0</v>
      </c>
      <c r="I9986" t="n">
        <v>0</v>
      </c>
      <c r="J9986" t="n">
        <v>0</v>
      </c>
      <c r="K9986" t="n">
        <v>0</v>
      </c>
      <c r="L9986" t="n">
        <v>0</v>
      </c>
      <c r="M9986" t="n">
        <v>0</v>
      </c>
      <c r="N9986" t="n">
        <v>0</v>
      </c>
      <c r="O9986" t="n">
        <v>0</v>
      </c>
      <c r="P9986" t="n">
        <v>0</v>
      </c>
      <c r="Q9986" t="n">
        <v>0</v>
      </c>
      <c r="R9986" s="2" t="inlineStr"/>
    </row>
    <row r="9987" ht="15" customHeight="1">
      <c r="A9987" t="inlineStr">
        <is>
          <t>A 64394-2023</t>
        </is>
      </c>
      <c r="B9987" s="1" t="n">
        <v>45280.59799768519</v>
      </c>
      <c r="C9987" s="1" t="n">
        <v>45952</v>
      </c>
      <c r="D9987" t="inlineStr">
        <is>
          <t>VÄSTRA GÖTALANDS LÄN</t>
        </is>
      </c>
      <c r="E9987" t="inlineStr">
        <is>
          <t>TIDAHOLM</t>
        </is>
      </c>
      <c r="G9987" t="n">
        <v>6.4</v>
      </c>
      <c r="H9987" t="n">
        <v>0</v>
      </c>
      <c r="I9987" t="n">
        <v>0</v>
      </c>
      <c r="J9987" t="n">
        <v>0</v>
      </c>
      <c r="K9987" t="n">
        <v>0</v>
      </c>
      <c r="L9987" t="n">
        <v>0</v>
      </c>
      <c r="M9987" t="n">
        <v>0</v>
      </c>
      <c r="N9987" t="n">
        <v>0</v>
      </c>
      <c r="O9987" t="n">
        <v>0</v>
      </c>
      <c r="P9987" t="n">
        <v>0</v>
      </c>
      <c r="Q9987" t="n">
        <v>0</v>
      </c>
      <c r="R9987" s="2" t="inlineStr"/>
    </row>
    <row r="9988" ht="15" customHeight="1">
      <c r="A9988" t="inlineStr">
        <is>
          <t>A 40648-2025</t>
        </is>
      </c>
      <c r="B9988" s="1" t="n">
        <v>45896</v>
      </c>
      <c r="C9988" s="1" t="n">
        <v>45952</v>
      </c>
      <c r="D9988" t="inlineStr">
        <is>
          <t>VÄSTRA GÖTALANDS LÄN</t>
        </is>
      </c>
      <c r="E9988" t="inlineStr">
        <is>
          <t>GULLSPÅNG</t>
        </is>
      </c>
      <c r="G9988" t="n">
        <v>4.7</v>
      </c>
      <c r="H9988" t="n">
        <v>0</v>
      </c>
      <c r="I9988" t="n">
        <v>0</v>
      </c>
      <c r="J9988" t="n">
        <v>0</v>
      </c>
      <c r="K9988" t="n">
        <v>0</v>
      </c>
      <c r="L9988" t="n">
        <v>0</v>
      </c>
      <c r="M9988" t="n">
        <v>0</v>
      </c>
      <c r="N9988" t="n">
        <v>0</v>
      </c>
      <c r="O9988" t="n">
        <v>0</v>
      </c>
      <c r="P9988" t="n">
        <v>0</v>
      </c>
      <c r="Q9988" t="n">
        <v>0</v>
      </c>
      <c r="R9988" s="2" t="inlineStr"/>
    </row>
    <row r="9989" ht="15" customHeight="1">
      <c r="A9989" t="inlineStr">
        <is>
          <t>A 40650-2025</t>
        </is>
      </c>
      <c r="B9989" s="1" t="n">
        <v>45896.6321875</v>
      </c>
      <c r="C9989" s="1" t="n">
        <v>45952</v>
      </c>
      <c r="D9989" t="inlineStr">
        <is>
          <t>VÄSTRA GÖTALANDS LÄN</t>
        </is>
      </c>
      <c r="E9989" t="inlineStr">
        <is>
          <t>VÅRGÅRDA</t>
        </is>
      </c>
      <c r="G9989" t="n">
        <v>4.5</v>
      </c>
      <c r="H9989" t="n">
        <v>0</v>
      </c>
      <c r="I9989" t="n">
        <v>0</v>
      </c>
      <c r="J9989" t="n">
        <v>0</v>
      </c>
      <c r="K9989" t="n">
        <v>0</v>
      </c>
      <c r="L9989" t="n">
        <v>0</v>
      </c>
      <c r="M9989" t="n">
        <v>0</v>
      </c>
      <c r="N9989" t="n">
        <v>0</v>
      </c>
      <c r="O9989" t="n">
        <v>0</v>
      </c>
      <c r="P9989" t="n">
        <v>0</v>
      </c>
      <c r="Q9989" t="n">
        <v>0</v>
      </c>
      <c r="R9989" s="2" t="inlineStr"/>
    </row>
    <row r="9990" ht="15" customHeight="1">
      <c r="A9990" t="inlineStr">
        <is>
          <t>A 40707-2025</t>
        </is>
      </c>
      <c r="B9990" s="1" t="n">
        <v>45897.3319675926</v>
      </c>
      <c r="C9990" s="1" t="n">
        <v>45952</v>
      </c>
      <c r="D9990" t="inlineStr">
        <is>
          <t>VÄSTRA GÖTALANDS LÄN</t>
        </is>
      </c>
      <c r="E9990" t="inlineStr">
        <is>
          <t>MUNKEDAL</t>
        </is>
      </c>
      <c r="G9990" t="n">
        <v>0.7</v>
      </c>
      <c r="H9990" t="n">
        <v>0</v>
      </c>
      <c r="I9990" t="n">
        <v>0</v>
      </c>
      <c r="J9990" t="n">
        <v>0</v>
      </c>
      <c r="K9990" t="n">
        <v>0</v>
      </c>
      <c r="L9990" t="n">
        <v>0</v>
      </c>
      <c r="M9990" t="n">
        <v>0</v>
      </c>
      <c r="N9990" t="n">
        <v>0</v>
      </c>
      <c r="O9990" t="n">
        <v>0</v>
      </c>
      <c r="P9990" t="n">
        <v>0</v>
      </c>
      <c r="Q9990" t="n">
        <v>0</v>
      </c>
      <c r="R9990" s="2" t="inlineStr"/>
    </row>
    <row r="9991" ht="15" customHeight="1">
      <c r="A9991" t="inlineStr">
        <is>
          <t>A 40530-2024</t>
        </is>
      </c>
      <c r="B9991" s="1" t="n">
        <v>45555.60775462963</v>
      </c>
      <c r="C9991" s="1" t="n">
        <v>45952</v>
      </c>
      <c r="D9991" t="inlineStr">
        <is>
          <t>VÄSTRA GÖTALANDS LÄN</t>
        </is>
      </c>
      <c r="E9991" t="inlineStr">
        <is>
          <t>GULLSPÅNG</t>
        </is>
      </c>
      <c r="G9991" t="n">
        <v>5.5</v>
      </c>
      <c r="H9991" t="n">
        <v>0</v>
      </c>
      <c r="I9991" t="n">
        <v>0</v>
      </c>
      <c r="J9991" t="n">
        <v>0</v>
      </c>
      <c r="K9991" t="n">
        <v>0</v>
      </c>
      <c r="L9991" t="n">
        <v>0</v>
      </c>
      <c r="M9991" t="n">
        <v>0</v>
      </c>
      <c r="N9991" t="n">
        <v>0</v>
      </c>
      <c r="O9991" t="n">
        <v>0</v>
      </c>
      <c r="P9991" t="n">
        <v>0</v>
      </c>
      <c r="Q9991" t="n">
        <v>0</v>
      </c>
      <c r="R9991" s="2" t="inlineStr"/>
    </row>
    <row r="9992" ht="15" customHeight="1">
      <c r="A9992" t="inlineStr">
        <is>
          <t>A 23670-2025</t>
        </is>
      </c>
      <c r="B9992" s="1" t="n">
        <v>45792.94814814815</v>
      </c>
      <c r="C9992" s="1" t="n">
        <v>45952</v>
      </c>
      <c r="D9992" t="inlineStr">
        <is>
          <t>VÄSTRA GÖTALANDS LÄN</t>
        </is>
      </c>
      <c r="E9992" t="inlineStr">
        <is>
          <t>ÅMÅL</t>
        </is>
      </c>
      <c r="G9992" t="n">
        <v>2.5</v>
      </c>
      <c r="H9992" t="n">
        <v>0</v>
      </c>
      <c r="I9992" t="n">
        <v>0</v>
      </c>
      <c r="J9992" t="n">
        <v>0</v>
      </c>
      <c r="K9992" t="n">
        <v>0</v>
      </c>
      <c r="L9992" t="n">
        <v>0</v>
      </c>
      <c r="M9992" t="n">
        <v>0</v>
      </c>
      <c r="N9992" t="n">
        <v>0</v>
      </c>
      <c r="O9992" t="n">
        <v>0</v>
      </c>
      <c r="P9992" t="n">
        <v>0</v>
      </c>
      <c r="Q9992" t="n">
        <v>0</v>
      </c>
      <c r="R9992" s="2" t="inlineStr"/>
    </row>
    <row r="9993" ht="15" customHeight="1">
      <c r="A9993" t="inlineStr">
        <is>
          <t>A 58619-2024</t>
        </is>
      </c>
      <c r="B9993" s="1" t="n">
        <v>45635.56216435185</v>
      </c>
      <c r="C9993" s="1" t="n">
        <v>45952</v>
      </c>
      <c r="D9993" t="inlineStr">
        <is>
          <t>VÄSTRA GÖTALANDS LÄN</t>
        </is>
      </c>
      <c r="E9993" t="inlineStr">
        <is>
          <t>LYSEKIL</t>
        </is>
      </c>
      <c r="G9993" t="n">
        <v>2</v>
      </c>
      <c r="H9993" t="n">
        <v>0</v>
      </c>
      <c r="I9993" t="n">
        <v>0</v>
      </c>
      <c r="J9993" t="n">
        <v>0</v>
      </c>
      <c r="K9993" t="n">
        <v>0</v>
      </c>
      <c r="L9993" t="n">
        <v>0</v>
      </c>
      <c r="M9993" t="n">
        <v>0</v>
      </c>
      <c r="N9993" t="n">
        <v>0</v>
      </c>
      <c r="O9993" t="n">
        <v>0</v>
      </c>
      <c r="P9993" t="n">
        <v>0</v>
      </c>
      <c r="Q9993" t="n">
        <v>0</v>
      </c>
      <c r="R9993" s="2" t="inlineStr"/>
    </row>
    <row r="9994" ht="15" customHeight="1">
      <c r="A9994" t="inlineStr">
        <is>
          <t>A 3622-2025</t>
        </is>
      </c>
      <c r="B9994" s="1" t="n">
        <v>45681.37034722222</v>
      </c>
      <c r="C9994" s="1" t="n">
        <v>45952</v>
      </c>
      <c r="D9994" t="inlineStr">
        <is>
          <t>VÄSTRA GÖTALANDS LÄN</t>
        </is>
      </c>
      <c r="E9994" t="inlineStr">
        <is>
          <t>TANUM</t>
        </is>
      </c>
      <c r="G9994" t="n">
        <v>1.1</v>
      </c>
      <c r="H9994" t="n">
        <v>0</v>
      </c>
      <c r="I9994" t="n">
        <v>0</v>
      </c>
      <c r="J9994" t="n">
        <v>0</v>
      </c>
      <c r="K9994" t="n">
        <v>0</v>
      </c>
      <c r="L9994" t="n">
        <v>0</v>
      </c>
      <c r="M9994" t="n">
        <v>0</v>
      </c>
      <c r="N9994" t="n">
        <v>0</v>
      </c>
      <c r="O9994" t="n">
        <v>0</v>
      </c>
      <c r="P9994" t="n">
        <v>0</v>
      </c>
      <c r="Q9994" t="n">
        <v>0</v>
      </c>
      <c r="R9994" s="2" t="inlineStr"/>
    </row>
    <row r="9995" ht="15" customHeight="1">
      <c r="A9995" t="inlineStr">
        <is>
          <t>A 24044-2025</t>
        </is>
      </c>
      <c r="B9995" s="1" t="n">
        <v>45796.49045138889</v>
      </c>
      <c r="C9995" s="1" t="n">
        <v>45952</v>
      </c>
      <c r="D9995" t="inlineStr">
        <is>
          <t>VÄSTRA GÖTALANDS LÄN</t>
        </is>
      </c>
      <c r="E9995" t="inlineStr">
        <is>
          <t>MUNKEDAL</t>
        </is>
      </c>
      <c r="G9995" t="n">
        <v>0.9</v>
      </c>
      <c r="H9995" t="n">
        <v>0</v>
      </c>
      <c r="I9995" t="n">
        <v>0</v>
      </c>
      <c r="J9995" t="n">
        <v>0</v>
      </c>
      <c r="K9995" t="n">
        <v>0</v>
      </c>
      <c r="L9995" t="n">
        <v>0</v>
      </c>
      <c r="M9995" t="n">
        <v>0</v>
      </c>
      <c r="N9995" t="n">
        <v>0</v>
      </c>
      <c r="O9995" t="n">
        <v>0</v>
      </c>
      <c r="P9995" t="n">
        <v>0</v>
      </c>
      <c r="Q9995" t="n">
        <v>0</v>
      </c>
      <c r="R9995" s="2" t="inlineStr"/>
    </row>
    <row r="9996" ht="15" customHeight="1">
      <c r="A9996" t="inlineStr">
        <is>
          <t>A 60432-2022</t>
        </is>
      </c>
      <c r="B9996" s="1" t="n">
        <v>44911</v>
      </c>
      <c r="C9996" s="1" t="n">
        <v>45952</v>
      </c>
      <c r="D9996" t="inlineStr">
        <is>
          <t>VÄSTRA GÖTALANDS LÄN</t>
        </is>
      </c>
      <c r="E9996" t="inlineStr">
        <is>
          <t>HÄRRYDA</t>
        </is>
      </c>
      <c r="G9996" t="n">
        <v>0.9</v>
      </c>
      <c r="H9996" t="n">
        <v>0</v>
      </c>
      <c r="I9996" t="n">
        <v>0</v>
      </c>
      <c r="J9996" t="n">
        <v>0</v>
      </c>
      <c r="K9996" t="n">
        <v>0</v>
      </c>
      <c r="L9996" t="n">
        <v>0</v>
      </c>
      <c r="M9996" t="n">
        <v>0</v>
      </c>
      <c r="N9996" t="n">
        <v>0</v>
      </c>
      <c r="O9996" t="n">
        <v>0</v>
      </c>
      <c r="P9996" t="n">
        <v>0</v>
      </c>
      <c r="Q9996" t="n">
        <v>0</v>
      </c>
      <c r="R9996" s="2" t="inlineStr"/>
    </row>
    <row r="9997" ht="15" customHeight="1">
      <c r="A9997" t="inlineStr">
        <is>
          <t>A 16172-2024</t>
        </is>
      </c>
      <c r="B9997" s="1" t="n">
        <v>45406.62850694444</v>
      </c>
      <c r="C9997" s="1" t="n">
        <v>45952</v>
      </c>
      <c r="D9997" t="inlineStr">
        <is>
          <t>VÄSTRA GÖTALANDS LÄN</t>
        </is>
      </c>
      <c r="E9997" t="inlineStr">
        <is>
          <t>GRÄSTORP</t>
        </is>
      </c>
      <c r="G9997" t="n">
        <v>1.1</v>
      </c>
      <c r="H9997" t="n">
        <v>0</v>
      </c>
      <c r="I9997" t="n">
        <v>0</v>
      </c>
      <c r="J9997" t="n">
        <v>0</v>
      </c>
      <c r="K9997" t="n">
        <v>0</v>
      </c>
      <c r="L9997" t="n">
        <v>0</v>
      </c>
      <c r="M9997" t="n">
        <v>0</v>
      </c>
      <c r="N9997" t="n">
        <v>0</v>
      </c>
      <c r="O9997" t="n">
        <v>0</v>
      </c>
      <c r="P9997" t="n">
        <v>0</v>
      </c>
      <c r="Q9997" t="n">
        <v>0</v>
      </c>
      <c r="R9997" s="2" t="inlineStr"/>
    </row>
    <row r="9998" ht="15" customHeight="1">
      <c r="A9998" t="inlineStr">
        <is>
          <t>A 16173-2024</t>
        </is>
      </c>
      <c r="B9998" s="1" t="n">
        <v>45406.63146990741</v>
      </c>
      <c r="C9998" s="1" t="n">
        <v>45952</v>
      </c>
      <c r="D9998" t="inlineStr">
        <is>
          <t>VÄSTRA GÖTALANDS LÄN</t>
        </is>
      </c>
      <c r="E9998" t="inlineStr">
        <is>
          <t>GRÄSTORP</t>
        </is>
      </c>
      <c r="G9998" t="n">
        <v>3.3</v>
      </c>
      <c r="H9998" t="n">
        <v>0</v>
      </c>
      <c r="I9998" t="n">
        <v>0</v>
      </c>
      <c r="J9998" t="n">
        <v>0</v>
      </c>
      <c r="K9998" t="n">
        <v>0</v>
      </c>
      <c r="L9998" t="n">
        <v>0</v>
      </c>
      <c r="M9998" t="n">
        <v>0</v>
      </c>
      <c r="N9998" t="n">
        <v>0</v>
      </c>
      <c r="O9998" t="n">
        <v>0</v>
      </c>
      <c r="P9998" t="n">
        <v>0</v>
      </c>
      <c r="Q9998" t="n">
        <v>0</v>
      </c>
      <c r="R9998" s="2" t="inlineStr"/>
    </row>
    <row r="9999" ht="15" customHeight="1">
      <c r="A9999" t="inlineStr">
        <is>
          <t>A 16278-2024</t>
        </is>
      </c>
      <c r="B9999" s="1" t="n">
        <v>45407.35623842593</v>
      </c>
      <c r="C9999" s="1" t="n">
        <v>45952</v>
      </c>
      <c r="D9999" t="inlineStr">
        <is>
          <t>VÄSTRA GÖTALANDS LÄN</t>
        </is>
      </c>
      <c r="E9999" t="inlineStr">
        <is>
          <t>ULRICEHAMN</t>
        </is>
      </c>
      <c r="G9999" t="n">
        <v>0.7</v>
      </c>
      <c r="H9999" t="n">
        <v>0</v>
      </c>
      <c r="I9999" t="n">
        <v>0</v>
      </c>
      <c r="J9999" t="n">
        <v>0</v>
      </c>
      <c r="K9999" t="n">
        <v>0</v>
      </c>
      <c r="L9999" t="n">
        <v>0</v>
      </c>
      <c r="M9999" t="n">
        <v>0</v>
      </c>
      <c r="N9999" t="n">
        <v>0</v>
      </c>
      <c r="O9999" t="n">
        <v>0</v>
      </c>
      <c r="P9999" t="n">
        <v>0</v>
      </c>
      <c r="Q9999" t="n">
        <v>0</v>
      </c>
      <c r="R9999" s="2" t="inlineStr"/>
    </row>
    <row r="10000" ht="15" customHeight="1">
      <c r="A10000" t="inlineStr">
        <is>
          <t>A 24788-2025</t>
        </is>
      </c>
      <c r="B10000" s="1" t="n">
        <v>45799.42884259259</v>
      </c>
      <c r="C10000" s="1" t="n">
        <v>45952</v>
      </c>
      <c r="D10000" t="inlineStr">
        <is>
          <t>VÄSTRA GÖTALANDS LÄN</t>
        </is>
      </c>
      <c r="E10000" t="inlineStr">
        <is>
          <t>DALS-ED</t>
        </is>
      </c>
      <c r="G10000" t="n">
        <v>4.1</v>
      </c>
      <c r="H10000" t="n">
        <v>0</v>
      </c>
      <c r="I10000" t="n">
        <v>0</v>
      </c>
      <c r="J10000" t="n">
        <v>0</v>
      </c>
      <c r="K10000" t="n">
        <v>0</v>
      </c>
      <c r="L10000" t="n">
        <v>0</v>
      </c>
      <c r="M10000" t="n">
        <v>0</v>
      </c>
      <c r="N10000" t="n">
        <v>0</v>
      </c>
      <c r="O10000" t="n">
        <v>0</v>
      </c>
      <c r="P10000" t="n">
        <v>0</v>
      </c>
      <c r="Q10000" t="n">
        <v>0</v>
      </c>
      <c r="R10000" s="2" t="inlineStr"/>
    </row>
    <row r="10001" ht="15" customHeight="1">
      <c r="A10001" t="inlineStr">
        <is>
          <t>A 48403-2024</t>
        </is>
      </c>
      <c r="B10001" s="1" t="n">
        <v>45590.61787037037</v>
      </c>
      <c r="C10001" s="1" t="n">
        <v>45952</v>
      </c>
      <c r="D10001" t="inlineStr">
        <is>
          <t>VÄSTRA GÖTALANDS LÄN</t>
        </is>
      </c>
      <c r="E10001" t="inlineStr">
        <is>
          <t>LYSEKIL</t>
        </is>
      </c>
      <c r="G10001" t="n">
        <v>1.1</v>
      </c>
      <c r="H10001" t="n">
        <v>0</v>
      </c>
      <c r="I10001" t="n">
        <v>0</v>
      </c>
      <c r="J10001" t="n">
        <v>0</v>
      </c>
      <c r="K10001" t="n">
        <v>0</v>
      </c>
      <c r="L10001" t="n">
        <v>0</v>
      </c>
      <c r="M10001" t="n">
        <v>0</v>
      </c>
      <c r="N10001" t="n">
        <v>0</v>
      </c>
      <c r="O10001" t="n">
        <v>0</v>
      </c>
      <c r="P10001" t="n">
        <v>0</v>
      </c>
      <c r="Q10001" t="n">
        <v>0</v>
      </c>
      <c r="R10001" s="2" t="inlineStr"/>
    </row>
    <row r="10002" ht="15" customHeight="1">
      <c r="A10002" t="inlineStr">
        <is>
          <t>A 2440-2025</t>
        </is>
      </c>
      <c r="B10002" s="1" t="n">
        <v>45674.41945601852</v>
      </c>
      <c r="C10002" s="1" t="n">
        <v>45952</v>
      </c>
      <c r="D10002" t="inlineStr">
        <is>
          <t>VÄSTRA GÖTALANDS LÄN</t>
        </is>
      </c>
      <c r="E10002" t="inlineStr">
        <is>
          <t>ÅMÅL</t>
        </is>
      </c>
      <c r="G10002" t="n">
        <v>9.6</v>
      </c>
      <c r="H10002" t="n">
        <v>0</v>
      </c>
      <c r="I10002" t="n">
        <v>0</v>
      </c>
      <c r="J10002" t="n">
        <v>0</v>
      </c>
      <c r="K10002" t="n">
        <v>0</v>
      </c>
      <c r="L10002" t="n">
        <v>0</v>
      </c>
      <c r="M10002" t="n">
        <v>0</v>
      </c>
      <c r="N10002" t="n">
        <v>0</v>
      </c>
      <c r="O10002" t="n">
        <v>0</v>
      </c>
      <c r="P10002" t="n">
        <v>0</v>
      </c>
      <c r="Q10002" t="n">
        <v>0</v>
      </c>
      <c r="R10002" s="2" t="inlineStr"/>
    </row>
    <row r="10003" ht="15" customHeight="1">
      <c r="A10003" t="inlineStr">
        <is>
          <t>A 25066-2025</t>
        </is>
      </c>
      <c r="B10003" s="1" t="n">
        <v>45799.70711805556</v>
      </c>
      <c r="C10003" s="1" t="n">
        <v>45952</v>
      </c>
      <c r="D10003" t="inlineStr">
        <is>
          <t>VÄSTRA GÖTALANDS LÄN</t>
        </is>
      </c>
      <c r="E10003" t="inlineStr">
        <is>
          <t>SVENLJUNGA</t>
        </is>
      </c>
      <c r="F10003" t="inlineStr">
        <is>
          <t>Kyrkan</t>
        </is>
      </c>
      <c r="G10003" t="n">
        <v>4.6</v>
      </c>
      <c r="H10003" t="n">
        <v>0</v>
      </c>
      <c r="I10003" t="n">
        <v>0</v>
      </c>
      <c r="J10003" t="n">
        <v>0</v>
      </c>
      <c r="K10003" t="n">
        <v>0</v>
      </c>
      <c r="L10003" t="n">
        <v>0</v>
      </c>
      <c r="M10003" t="n">
        <v>0</v>
      </c>
      <c r="N10003" t="n">
        <v>0</v>
      </c>
      <c r="O10003" t="n">
        <v>0</v>
      </c>
      <c r="P10003" t="n">
        <v>0</v>
      </c>
      <c r="Q10003" t="n">
        <v>0</v>
      </c>
      <c r="R10003" s="2" t="inlineStr"/>
    </row>
    <row r="10004" ht="15" customHeight="1">
      <c r="A10004" t="inlineStr">
        <is>
          <t>A 24694-2025</t>
        </is>
      </c>
      <c r="B10004" s="1" t="n">
        <v>45798.68462962963</v>
      </c>
      <c r="C10004" s="1" t="n">
        <v>45952</v>
      </c>
      <c r="D10004" t="inlineStr">
        <is>
          <t>VÄSTRA GÖTALANDS LÄN</t>
        </is>
      </c>
      <c r="E10004" t="inlineStr">
        <is>
          <t>MARK</t>
        </is>
      </c>
      <c r="G10004" t="n">
        <v>2.4</v>
      </c>
      <c r="H10004" t="n">
        <v>0</v>
      </c>
      <c r="I10004" t="n">
        <v>0</v>
      </c>
      <c r="J10004" t="n">
        <v>0</v>
      </c>
      <c r="K10004" t="n">
        <v>0</v>
      </c>
      <c r="L10004" t="n">
        <v>0</v>
      </c>
      <c r="M10004" t="n">
        <v>0</v>
      </c>
      <c r="N10004" t="n">
        <v>0</v>
      </c>
      <c r="O10004" t="n">
        <v>0</v>
      </c>
      <c r="P10004" t="n">
        <v>0</v>
      </c>
      <c r="Q10004" t="n">
        <v>0</v>
      </c>
      <c r="R10004" s="2" t="inlineStr"/>
    </row>
    <row r="10005" ht="15" customHeight="1">
      <c r="A10005" t="inlineStr">
        <is>
          <t>A 24695-2025</t>
        </is>
      </c>
      <c r="B10005" s="1" t="n">
        <v>45798.68631944444</v>
      </c>
      <c r="C10005" s="1" t="n">
        <v>45952</v>
      </c>
      <c r="D10005" t="inlineStr">
        <is>
          <t>VÄSTRA GÖTALANDS LÄN</t>
        </is>
      </c>
      <c r="E10005" t="inlineStr">
        <is>
          <t>FALKÖPING</t>
        </is>
      </c>
      <c r="G10005" t="n">
        <v>1.9</v>
      </c>
      <c r="H10005" t="n">
        <v>0</v>
      </c>
      <c r="I10005" t="n">
        <v>0</v>
      </c>
      <c r="J10005" t="n">
        <v>0</v>
      </c>
      <c r="K10005" t="n">
        <v>0</v>
      </c>
      <c r="L10005" t="n">
        <v>0</v>
      </c>
      <c r="M10005" t="n">
        <v>0</v>
      </c>
      <c r="N10005" t="n">
        <v>0</v>
      </c>
      <c r="O10005" t="n">
        <v>0</v>
      </c>
      <c r="P10005" t="n">
        <v>0</v>
      </c>
      <c r="Q10005" t="n">
        <v>0</v>
      </c>
      <c r="R10005" s="2" t="inlineStr"/>
    </row>
    <row r="10006" ht="15" customHeight="1">
      <c r="A10006" t="inlineStr">
        <is>
          <t>A 49469-2025</t>
        </is>
      </c>
      <c r="B10006" s="1" t="n">
        <v>45939.34195601852</v>
      </c>
      <c r="C10006" s="1" t="n">
        <v>45952</v>
      </c>
      <c r="D10006" t="inlineStr">
        <is>
          <t>VÄSTRA GÖTALANDS LÄN</t>
        </is>
      </c>
      <c r="E10006" t="inlineStr">
        <is>
          <t>DALS-ED</t>
        </is>
      </c>
      <c r="G10006" t="n">
        <v>3.3</v>
      </c>
      <c r="H10006" t="n">
        <v>0</v>
      </c>
      <c r="I10006" t="n">
        <v>0</v>
      </c>
      <c r="J10006" t="n">
        <v>0</v>
      </c>
      <c r="K10006" t="n">
        <v>0</v>
      </c>
      <c r="L10006" t="n">
        <v>0</v>
      </c>
      <c r="M10006" t="n">
        <v>0</v>
      </c>
      <c r="N10006" t="n">
        <v>0</v>
      </c>
      <c r="O10006" t="n">
        <v>0</v>
      </c>
      <c r="P10006" t="n">
        <v>0</v>
      </c>
      <c r="Q10006" t="n">
        <v>0</v>
      </c>
      <c r="R10006" s="2" t="inlineStr"/>
    </row>
    <row r="10007" ht="15" customHeight="1">
      <c r="A10007" t="inlineStr">
        <is>
          <t>A 53542-2024</t>
        </is>
      </c>
      <c r="B10007" s="1" t="n">
        <v>45614.63621527778</v>
      </c>
      <c r="C10007" s="1" t="n">
        <v>45952</v>
      </c>
      <c r="D10007" t="inlineStr">
        <is>
          <t>VÄSTRA GÖTALANDS LÄN</t>
        </is>
      </c>
      <c r="E10007" t="inlineStr">
        <is>
          <t>HERRLJUNGA</t>
        </is>
      </c>
      <c r="G10007" t="n">
        <v>3.1</v>
      </c>
      <c r="H10007" t="n">
        <v>0</v>
      </c>
      <c r="I10007" t="n">
        <v>0</v>
      </c>
      <c r="J10007" t="n">
        <v>0</v>
      </c>
      <c r="K10007" t="n">
        <v>0</v>
      </c>
      <c r="L10007" t="n">
        <v>0</v>
      </c>
      <c r="M10007" t="n">
        <v>0</v>
      </c>
      <c r="N10007" t="n">
        <v>0</v>
      </c>
      <c r="O10007" t="n">
        <v>0</v>
      </c>
      <c r="P10007" t="n">
        <v>0</v>
      </c>
      <c r="Q10007" t="n">
        <v>0</v>
      </c>
      <c r="R10007" s="2" t="inlineStr"/>
    </row>
    <row r="10008" ht="15" customHeight="1">
      <c r="A10008" t="inlineStr">
        <is>
          <t>A 40955-2025</t>
        </is>
      </c>
      <c r="B10008" s="1" t="n">
        <v>45897.67510416666</v>
      </c>
      <c r="C10008" s="1" t="n">
        <v>45952</v>
      </c>
      <c r="D10008" t="inlineStr">
        <is>
          <t>VÄSTRA GÖTALANDS LÄN</t>
        </is>
      </c>
      <c r="E10008" t="inlineStr">
        <is>
          <t>VÅRGÅRDA</t>
        </is>
      </c>
      <c r="G10008" t="n">
        <v>2.6</v>
      </c>
      <c r="H10008" t="n">
        <v>0</v>
      </c>
      <c r="I10008" t="n">
        <v>0</v>
      </c>
      <c r="J10008" t="n">
        <v>0</v>
      </c>
      <c r="K10008" t="n">
        <v>0</v>
      </c>
      <c r="L10008" t="n">
        <v>0</v>
      </c>
      <c r="M10008" t="n">
        <v>0</v>
      </c>
      <c r="N10008" t="n">
        <v>0</v>
      </c>
      <c r="O10008" t="n">
        <v>0</v>
      </c>
      <c r="P10008" t="n">
        <v>0</v>
      </c>
      <c r="Q10008" t="n">
        <v>0</v>
      </c>
      <c r="R10008" s="2" t="inlineStr"/>
    </row>
    <row r="10009" ht="15" customHeight="1">
      <c r="A10009" t="inlineStr">
        <is>
          <t>A 61769-2022</t>
        </is>
      </c>
      <c r="B10009" s="1" t="n">
        <v>44917.51072916666</v>
      </c>
      <c r="C10009" s="1" t="n">
        <v>45952</v>
      </c>
      <c r="D10009" t="inlineStr">
        <is>
          <t>VÄSTRA GÖTALANDS LÄN</t>
        </is>
      </c>
      <c r="E10009" t="inlineStr">
        <is>
          <t>HERRLJUNGA</t>
        </is>
      </c>
      <c r="G10009" t="n">
        <v>0.5</v>
      </c>
      <c r="H10009" t="n">
        <v>0</v>
      </c>
      <c r="I10009" t="n">
        <v>0</v>
      </c>
      <c r="J10009" t="n">
        <v>0</v>
      </c>
      <c r="K10009" t="n">
        <v>0</v>
      </c>
      <c r="L10009" t="n">
        <v>0</v>
      </c>
      <c r="M10009" t="n">
        <v>0</v>
      </c>
      <c r="N10009" t="n">
        <v>0</v>
      </c>
      <c r="O10009" t="n">
        <v>0</v>
      </c>
      <c r="P10009" t="n">
        <v>0</v>
      </c>
      <c r="Q10009" t="n">
        <v>0</v>
      </c>
      <c r="R10009" s="2" t="inlineStr"/>
    </row>
    <row r="10010" ht="15" customHeight="1">
      <c r="A10010" t="inlineStr">
        <is>
          <t>A 53552-2024</t>
        </is>
      </c>
      <c r="B10010" s="1" t="n">
        <v>45614.64042824074</v>
      </c>
      <c r="C10010" s="1" t="n">
        <v>45952</v>
      </c>
      <c r="D10010" t="inlineStr">
        <is>
          <t>VÄSTRA GÖTALANDS LÄN</t>
        </is>
      </c>
      <c r="E10010" t="inlineStr">
        <is>
          <t>HERRLJUNGA</t>
        </is>
      </c>
      <c r="G10010" t="n">
        <v>1.6</v>
      </c>
      <c r="H10010" t="n">
        <v>0</v>
      </c>
      <c r="I10010" t="n">
        <v>0</v>
      </c>
      <c r="J10010" t="n">
        <v>0</v>
      </c>
      <c r="K10010" t="n">
        <v>0</v>
      </c>
      <c r="L10010" t="n">
        <v>0</v>
      </c>
      <c r="M10010" t="n">
        <v>0</v>
      </c>
      <c r="N10010" t="n">
        <v>0</v>
      </c>
      <c r="O10010" t="n">
        <v>0</v>
      </c>
      <c r="P10010" t="n">
        <v>0</v>
      </c>
      <c r="Q10010" t="n">
        <v>0</v>
      </c>
      <c r="R10010" s="2" t="inlineStr"/>
    </row>
    <row r="10011" ht="15" customHeight="1">
      <c r="A10011" t="inlineStr">
        <is>
          <t>A 4307-2025</t>
        </is>
      </c>
      <c r="B10011" s="1" t="n">
        <v>45685.68771990741</v>
      </c>
      <c r="C10011" s="1" t="n">
        <v>45952</v>
      </c>
      <c r="D10011" t="inlineStr">
        <is>
          <t>VÄSTRA GÖTALANDS LÄN</t>
        </is>
      </c>
      <c r="E10011" t="inlineStr">
        <is>
          <t>TROLLHÄTTAN</t>
        </is>
      </c>
      <c r="G10011" t="n">
        <v>1.1</v>
      </c>
      <c r="H10011" t="n">
        <v>0</v>
      </c>
      <c r="I10011" t="n">
        <v>0</v>
      </c>
      <c r="J10011" t="n">
        <v>0</v>
      </c>
      <c r="K10011" t="n">
        <v>0</v>
      </c>
      <c r="L10011" t="n">
        <v>0</v>
      </c>
      <c r="M10011" t="n">
        <v>0</v>
      </c>
      <c r="N10011" t="n">
        <v>0</v>
      </c>
      <c r="O10011" t="n">
        <v>0</v>
      </c>
      <c r="P10011" t="n">
        <v>0</v>
      </c>
      <c r="Q10011" t="n">
        <v>0</v>
      </c>
      <c r="R10011" s="2" t="inlineStr"/>
    </row>
    <row r="10012" ht="15" customHeight="1">
      <c r="A10012" t="inlineStr">
        <is>
          <t>A 53584-2024</t>
        </is>
      </c>
      <c r="B10012" s="1" t="n">
        <v>45614.66459490741</v>
      </c>
      <c r="C10012" s="1" t="n">
        <v>45952</v>
      </c>
      <c r="D10012" t="inlineStr">
        <is>
          <t>VÄSTRA GÖTALANDS LÄN</t>
        </is>
      </c>
      <c r="E10012" t="inlineStr">
        <is>
          <t>FÄRGELANDA</t>
        </is>
      </c>
      <c r="G10012" t="n">
        <v>2.7</v>
      </c>
      <c r="H10012" t="n">
        <v>0</v>
      </c>
      <c r="I10012" t="n">
        <v>0</v>
      </c>
      <c r="J10012" t="n">
        <v>0</v>
      </c>
      <c r="K10012" t="n">
        <v>0</v>
      </c>
      <c r="L10012" t="n">
        <v>0</v>
      </c>
      <c r="M10012" t="n">
        <v>0</v>
      </c>
      <c r="N10012" t="n">
        <v>0</v>
      </c>
      <c r="O10012" t="n">
        <v>0</v>
      </c>
      <c r="P10012" t="n">
        <v>0</v>
      </c>
      <c r="Q10012" t="n">
        <v>0</v>
      </c>
      <c r="R10012" s="2" t="inlineStr"/>
    </row>
    <row r="10013" ht="15" customHeight="1">
      <c r="A10013" t="inlineStr">
        <is>
          <t>A 24731-2025</t>
        </is>
      </c>
      <c r="B10013" s="1" t="n">
        <v>45799.34209490741</v>
      </c>
      <c r="C10013" s="1" t="n">
        <v>45952</v>
      </c>
      <c r="D10013" t="inlineStr">
        <is>
          <t>VÄSTRA GÖTALANDS LÄN</t>
        </is>
      </c>
      <c r="E10013" t="inlineStr">
        <is>
          <t>FÄRGELANDA</t>
        </is>
      </c>
      <c r="G10013" t="n">
        <v>6.5</v>
      </c>
      <c r="H10013" t="n">
        <v>0</v>
      </c>
      <c r="I10013" t="n">
        <v>0</v>
      </c>
      <c r="J10013" t="n">
        <v>0</v>
      </c>
      <c r="K10013" t="n">
        <v>0</v>
      </c>
      <c r="L10013" t="n">
        <v>0</v>
      </c>
      <c r="M10013" t="n">
        <v>0</v>
      </c>
      <c r="N10013" t="n">
        <v>0</v>
      </c>
      <c r="O10013" t="n">
        <v>0</v>
      </c>
      <c r="P10013" t="n">
        <v>0</v>
      </c>
      <c r="Q10013" t="n">
        <v>0</v>
      </c>
      <c r="R10013" s="2" t="inlineStr"/>
    </row>
    <row r="10014" ht="15" customHeight="1">
      <c r="A10014" t="inlineStr">
        <is>
          <t>A 24901-2025</t>
        </is>
      </c>
      <c r="B10014" s="1" t="n">
        <v>45799.52417824074</v>
      </c>
      <c r="C10014" s="1" t="n">
        <v>45952</v>
      </c>
      <c r="D10014" t="inlineStr">
        <is>
          <t>VÄSTRA GÖTALANDS LÄN</t>
        </is>
      </c>
      <c r="E10014" t="inlineStr">
        <is>
          <t>ULRICEHAMN</t>
        </is>
      </c>
      <c r="G10014" t="n">
        <v>3.8</v>
      </c>
      <c r="H10014" t="n">
        <v>0</v>
      </c>
      <c r="I10014" t="n">
        <v>0</v>
      </c>
      <c r="J10014" t="n">
        <v>0</v>
      </c>
      <c r="K10014" t="n">
        <v>0</v>
      </c>
      <c r="L10014" t="n">
        <v>0</v>
      </c>
      <c r="M10014" t="n">
        <v>0</v>
      </c>
      <c r="N10014" t="n">
        <v>0</v>
      </c>
      <c r="O10014" t="n">
        <v>0</v>
      </c>
      <c r="P10014" t="n">
        <v>0</v>
      </c>
      <c r="Q10014" t="n">
        <v>0</v>
      </c>
      <c r="R10014" s="2" t="inlineStr"/>
    </row>
    <row r="10015" ht="15" customHeight="1">
      <c r="A10015" t="inlineStr">
        <is>
          <t>A 40684-2024</t>
        </is>
      </c>
      <c r="B10015" s="1" t="n">
        <v>45558.37883101852</v>
      </c>
      <c r="C10015" s="1" t="n">
        <v>45952</v>
      </c>
      <c r="D10015" t="inlineStr">
        <is>
          <t>VÄSTRA GÖTALANDS LÄN</t>
        </is>
      </c>
      <c r="E10015" t="inlineStr">
        <is>
          <t>ULRICEHAMN</t>
        </is>
      </c>
      <c r="G10015" t="n">
        <v>2.7</v>
      </c>
      <c r="H10015" t="n">
        <v>0</v>
      </c>
      <c r="I10015" t="n">
        <v>0</v>
      </c>
      <c r="J10015" t="n">
        <v>0</v>
      </c>
      <c r="K10015" t="n">
        <v>0</v>
      </c>
      <c r="L10015" t="n">
        <v>0</v>
      </c>
      <c r="M10015" t="n">
        <v>0</v>
      </c>
      <c r="N10015" t="n">
        <v>0</v>
      </c>
      <c r="O10015" t="n">
        <v>0</v>
      </c>
      <c r="P10015" t="n">
        <v>0</v>
      </c>
      <c r="Q10015" t="n">
        <v>0</v>
      </c>
      <c r="R10015" s="2" t="inlineStr"/>
    </row>
    <row r="10016" ht="15" customHeight="1">
      <c r="A10016" t="inlineStr">
        <is>
          <t>A 27256-2024</t>
        </is>
      </c>
      <c r="B10016" s="1" t="n">
        <v>45471.74501157407</v>
      </c>
      <c r="C10016" s="1" t="n">
        <v>45952</v>
      </c>
      <c r="D10016" t="inlineStr">
        <is>
          <t>VÄSTRA GÖTALANDS LÄN</t>
        </is>
      </c>
      <c r="E10016" t="inlineStr">
        <is>
          <t>ULRICEHAMN</t>
        </is>
      </c>
      <c r="G10016" t="n">
        <v>1.1</v>
      </c>
      <c r="H10016" t="n">
        <v>0</v>
      </c>
      <c r="I10016" t="n">
        <v>0</v>
      </c>
      <c r="J10016" t="n">
        <v>0</v>
      </c>
      <c r="K10016" t="n">
        <v>0</v>
      </c>
      <c r="L10016" t="n">
        <v>0</v>
      </c>
      <c r="M10016" t="n">
        <v>0</v>
      </c>
      <c r="N10016" t="n">
        <v>0</v>
      </c>
      <c r="O10016" t="n">
        <v>0</v>
      </c>
      <c r="P10016" t="n">
        <v>0</v>
      </c>
      <c r="Q10016" t="n">
        <v>0</v>
      </c>
      <c r="R10016" s="2" t="inlineStr"/>
    </row>
    <row r="10017" ht="15" customHeight="1">
      <c r="A10017" t="inlineStr">
        <is>
          <t>A 24665-2025</t>
        </is>
      </c>
      <c r="B10017" s="1" t="n">
        <v>45798.64635416667</v>
      </c>
      <c r="C10017" s="1" t="n">
        <v>45952</v>
      </c>
      <c r="D10017" t="inlineStr">
        <is>
          <t>VÄSTRA GÖTALANDS LÄN</t>
        </is>
      </c>
      <c r="E10017" t="inlineStr">
        <is>
          <t>FALKÖPING</t>
        </is>
      </c>
      <c r="G10017" t="n">
        <v>1.8</v>
      </c>
      <c r="H10017" t="n">
        <v>0</v>
      </c>
      <c r="I10017" t="n">
        <v>0</v>
      </c>
      <c r="J10017" t="n">
        <v>0</v>
      </c>
      <c r="K10017" t="n">
        <v>0</v>
      </c>
      <c r="L10017" t="n">
        <v>0</v>
      </c>
      <c r="M10017" t="n">
        <v>0</v>
      </c>
      <c r="N10017" t="n">
        <v>0</v>
      </c>
      <c r="O10017" t="n">
        <v>0</v>
      </c>
      <c r="P10017" t="n">
        <v>0</v>
      </c>
      <c r="Q10017" t="n">
        <v>0</v>
      </c>
      <c r="R10017" s="2" t="inlineStr"/>
    </row>
    <row r="10018" ht="15" customHeight="1">
      <c r="A10018" t="inlineStr">
        <is>
          <t>A 3957-2025</t>
        </is>
      </c>
      <c r="B10018" s="1" t="n">
        <v>45684.49913194445</v>
      </c>
      <c r="C10018" s="1" t="n">
        <v>45952</v>
      </c>
      <c r="D10018" t="inlineStr">
        <is>
          <t>VÄSTRA GÖTALANDS LÄN</t>
        </is>
      </c>
      <c r="E10018" t="inlineStr">
        <is>
          <t>BENGTSFORS</t>
        </is>
      </c>
      <c r="G10018" t="n">
        <v>1.1</v>
      </c>
      <c r="H10018" t="n">
        <v>0</v>
      </c>
      <c r="I10018" t="n">
        <v>0</v>
      </c>
      <c r="J10018" t="n">
        <v>0</v>
      </c>
      <c r="K10018" t="n">
        <v>0</v>
      </c>
      <c r="L10018" t="n">
        <v>0</v>
      </c>
      <c r="M10018" t="n">
        <v>0</v>
      </c>
      <c r="N10018" t="n">
        <v>0</v>
      </c>
      <c r="O10018" t="n">
        <v>0</v>
      </c>
      <c r="P10018" t="n">
        <v>0</v>
      </c>
      <c r="Q10018" t="n">
        <v>0</v>
      </c>
      <c r="R10018" s="2" t="inlineStr"/>
    </row>
    <row r="10019" ht="15" customHeight="1">
      <c r="A10019" t="inlineStr">
        <is>
          <t>A 5951-2025</t>
        </is>
      </c>
      <c r="B10019" s="1" t="n">
        <v>45695</v>
      </c>
      <c r="C10019" s="1" t="n">
        <v>45952</v>
      </c>
      <c r="D10019" t="inlineStr">
        <is>
          <t>VÄSTRA GÖTALANDS LÄN</t>
        </is>
      </c>
      <c r="E10019" t="inlineStr">
        <is>
          <t>GULLSPÅNG</t>
        </is>
      </c>
      <c r="G10019" t="n">
        <v>0.9</v>
      </c>
      <c r="H10019" t="n">
        <v>0</v>
      </c>
      <c r="I10019" t="n">
        <v>0</v>
      </c>
      <c r="J10019" t="n">
        <v>0</v>
      </c>
      <c r="K10019" t="n">
        <v>0</v>
      </c>
      <c r="L10019" t="n">
        <v>0</v>
      </c>
      <c r="M10019" t="n">
        <v>0</v>
      </c>
      <c r="N10019" t="n">
        <v>0</v>
      </c>
      <c r="O10019" t="n">
        <v>0</v>
      </c>
      <c r="P10019" t="n">
        <v>0</v>
      </c>
      <c r="Q10019" t="n">
        <v>0</v>
      </c>
      <c r="R10019" s="2" t="inlineStr"/>
    </row>
    <row r="10020" ht="15" customHeight="1">
      <c r="A10020" t="inlineStr">
        <is>
          <t>A 19840-2025</t>
        </is>
      </c>
      <c r="B10020" s="1" t="n">
        <v>45771</v>
      </c>
      <c r="C10020" s="1" t="n">
        <v>45952</v>
      </c>
      <c r="D10020" t="inlineStr">
        <is>
          <t>VÄSTRA GÖTALANDS LÄN</t>
        </is>
      </c>
      <c r="E10020" t="inlineStr">
        <is>
          <t>LIDKÖPING</t>
        </is>
      </c>
      <c r="G10020" t="n">
        <v>0.2</v>
      </c>
      <c r="H10020" t="n">
        <v>0</v>
      </c>
      <c r="I10020" t="n">
        <v>0</v>
      </c>
      <c r="J10020" t="n">
        <v>0</v>
      </c>
      <c r="K10020" t="n">
        <v>0</v>
      </c>
      <c r="L10020" t="n">
        <v>0</v>
      </c>
      <c r="M10020" t="n">
        <v>0</v>
      </c>
      <c r="N10020" t="n">
        <v>0</v>
      </c>
      <c r="O10020" t="n">
        <v>0</v>
      </c>
      <c r="P10020" t="n">
        <v>0</v>
      </c>
      <c r="Q10020" t="n">
        <v>0</v>
      </c>
      <c r="R10020" s="2" t="inlineStr"/>
    </row>
    <row r="10021" ht="15" customHeight="1">
      <c r="A10021" t="inlineStr">
        <is>
          <t>A 20556-2025</t>
        </is>
      </c>
      <c r="B10021" s="1" t="n">
        <v>45775.6441087963</v>
      </c>
      <c r="C10021" s="1" t="n">
        <v>45952</v>
      </c>
      <c r="D10021" t="inlineStr">
        <is>
          <t>VÄSTRA GÖTALANDS LÄN</t>
        </is>
      </c>
      <c r="E10021" t="inlineStr">
        <is>
          <t>SVENLJUNGA</t>
        </is>
      </c>
      <c r="G10021" t="n">
        <v>1.2</v>
      </c>
      <c r="H10021" t="n">
        <v>0</v>
      </c>
      <c r="I10021" t="n">
        <v>0</v>
      </c>
      <c r="J10021" t="n">
        <v>0</v>
      </c>
      <c r="K10021" t="n">
        <v>0</v>
      </c>
      <c r="L10021" t="n">
        <v>0</v>
      </c>
      <c r="M10021" t="n">
        <v>0</v>
      </c>
      <c r="N10021" t="n">
        <v>0</v>
      </c>
      <c r="O10021" t="n">
        <v>0</v>
      </c>
      <c r="P10021" t="n">
        <v>0</v>
      </c>
      <c r="Q10021" t="n">
        <v>0</v>
      </c>
      <c r="R10021" s="2" t="inlineStr"/>
    </row>
    <row r="10022" ht="15" customHeight="1">
      <c r="A10022" t="inlineStr">
        <is>
          <t>A 20559-2025</t>
        </is>
      </c>
      <c r="B10022" s="1" t="n">
        <v>45775.64578703704</v>
      </c>
      <c r="C10022" s="1" t="n">
        <v>45952</v>
      </c>
      <c r="D10022" t="inlineStr">
        <is>
          <t>VÄSTRA GÖTALANDS LÄN</t>
        </is>
      </c>
      <c r="E10022" t="inlineStr">
        <is>
          <t>SVENLJUNGA</t>
        </is>
      </c>
      <c r="G10022" t="n">
        <v>1.6</v>
      </c>
      <c r="H10022" t="n">
        <v>0</v>
      </c>
      <c r="I10022" t="n">
        <v>0</v>
      </c>
      <c r="J10022" t="n">
        <v>0</v>
      </c>
      <c r="K10022" t="n">
        <v>0</v>
      </c>
      <c r="L10022" t="n">
        <v>0</v>
      </c>
      <c r="M10022" t="n">
        <v>0</v>
      </c>
      <c r="N10022" t="n">
        <v>0</v>
      </c>
      <c r="O10022" t="n">
        <v>0</v>
      </c>
      <c r="P10022" t="n">
        <v>0</v>
      </c>
      <c r="Q10022" t="n">
        <v>0</v>
      </c>
      <c r="R10022" s="2" t="inlineStr"/>
    </row>
    <row r="10023" ht="15" customHeight="1">
      <c r="A10023" t="inlineStr">
        <is>
          <t>A 20593-2025</t>
        </is>
      </c>
      <c r="B10023" s="1" t="n">
        <v>45775.73076388889</v>
      </c>
      <c r="C10023" s="1" t="n">
        <v>45952</v>
      </c>
      <c r="D10023" t="inlineStr">
        <is>
          <t>VÄSTRA GÖTALANDS LÄN</t>
        </is>
      </c>
      <c r="E10023" t="inlineStr">
        <is>
          <t>ULRICEHAMN</t>
        </is>
      </c>
      <c r="G10023" t="n">
        <v>0.7</v>
      </c>
      <c r="H10023" t="n">
        <v>0</v>
      </c>
      <c r="I10023" t="n">
        <v>0</v>
      </c>
      <c r="J10023" t="n">
        <v>0</v>
      </c>
      <c r="K10023" t="n">
        <v>0</v>
      </c>
      <c r="L10023" t="n">
        <v>0</v>
      </c>
      <c r="M10023" t="n">
        <v>0</v>
      </c>
      <c r="N10023" t="n">
        <v>0</v>
      </c>
      <c r="O10023" t="n">
        <v>0</v>
      </c>
      <c r="P10023" t="n">
        <v>0</v>
      </c>
      <c r="Q10023" t="n">
        <v>0</v>
      </c>
      <c r="R10023" s="2" t="inlineStr"/>
    </row>
    <row r="10024" ht="15" customHeight="1">
      <c r="A10024" t="inlineStr">
        <is>
          <t>A 52431-2023</t>
        </is>
      </c>
      <c r="B10024" s="1" t="n">
        <v>45225.33118055556</v>
      </c>
      <c r="C10024" s="1" t="n">
        <v>45952</v>
      </c>
      <c r="D10024" t="inlineStr">
        <is>
          <t>VÄSTRA GÖTALANDS LÄN</t>
        </is>
      </c>
      <c r="E10024" t="inlineStr">
        <is>
          <t>LILLA EDET</t>
        </is>
      </c>
      <c r="G10024" t="n">
        <v>0.6</v>
      </c>
      <c r="H10024" t="n">
        <v>0</v>
      </c>
      <c r="I10024" t="n">
        <v>0</v>
      </c>
      <c r="J10024" t="n">
        <v>0</v>
      </c>
      <c r="K10024" t="n">
        <v>0</v>
      </c>
      <c r="L10024" t="n">
        <v>0</v>
      </c>
      <c r="M10024" t="n">
        <v>0</v>
      </c>
      <c r="N10024" t="n">
        <v>0</v>
      </c>
      <c r="O10024" t="n">
        <v>0</v>
      </c>
      <c r="P10024" t="n">
        <v>0</v>
      </c>
      <c r="Q10024" t="n">
        <v>0</v>
      </c>
      <c r="R10024" s="2" t="inlineStr"/>
    </row>
    <row r="10025" ht="15" customHeight="1">
      <c r="A10025" t="inlineStr">
        <is>
          <t>A 24495-2025</t>
        </is>
      </c>
      <c r="B10025" s="1" t="n">
        <v>45798.39030092592</v>
      </c>
      <c r="C10025" s="1" t="n">
        <v>45952</v>
      </c>
      <c r="D10025" t="inlineStr">
        <is>
          <t>VÄSTRA GÖTALANDS LÄN</t>
        </is>
      </c>
      <c r="E10025" t="inlineStr">
        <is>
          <t>MARIESTAD</t>
        </is>
      </c>
      <c r="F10025" t="inlineStr">
        <is>
          <t>Sveaskog</t>
        </is>
      </c>
      <c r="G10025" t="n">
        <v>3.4</v>
      </c>
      <c r="H10025" t="n">
        <v>0</v>
      </c>
      <c r="I10025" t="n">
        <v>0</v>
      </c>
      <c r="J10025" t="n">
        <v>0</v>
      </c>
      <c r="K10025" t="n">
        <v>0</v>
      </c>
      <c r="L10025" t="n">
        <v>0</v>
      </c>
      <c r="M10025" t="n">
        <v>0</v>
      </c>
      <c r="N10025" t="n">
        <v>0</v>
      </c>
      <c r="O10025" t="n">
        <v>0</v>
      </c>
      <c r="P10025" t="n">
        <v>0</v>
      </c>
      <c r="Q10025" t="n">
        <v>0</v>
      </c>
      <c r="R10025" s="2" t="inlineStr"/>
    </row>
    <row r="10026" ht="15" customHeight="1">
      <c r="A10026" t="inlineStr">
        <is>
          <t>A 1738-2025</t>
        </is>
      </c>
      <c r="B10026" s="1" t="n">
        <v>45671.39305555556</v>
      </c>
      <c r="C10026" s="1" t="n">
        <v>45952</v>
      </c>
      <c r="D10026" t="inlineStr">
        <is>
          <t>VÄSTRA GÖTALANDS LÄN</t>
        </is>
      </c>
      <c r="E10026" t="inlineStr">
        <is>
          <t>DALS-ED</t>
        </is>
      </c>
      <c r="G10026" t="n">
        <v>3.5</v>
      </c>
      <c r="H10026" t="n">
        <v>0</v>
      </c>
      <c r="I10026" t="n">
        <v>0</v>
      </c>
      <c r="J10026" t="n">
        <v>0</v>
      </c>
      <c r="K10026" t="n">
        <v>0</v>
      </c>
      <c r="L10026" t="n">
        <v>0</v>
      </c>
      <c r="M10026" t="n">
        <v>0</v>
      </c>
      <c r="N10026" t="n">
        <v>0</v>
      </c>
      <c r="O10026" t="n">
        <v>0</v>
      </c>
      <c r="P10026" t="n">
        <v>0</v>
      </c>
      <c r="Q10026" t="n">
        <v>0</v>
      </c>
      <c r="R10026" s="2" t="inlineStr"/>
    </row>
    <row r="10027" ht="15" customHeight="1">
      <c r="A10027" t="inlineStr">
        <is>
          <t>A 24510-2025</t>
        </is>
      </c>
      <c r="B10027" s="1" t="n">
        <v>45798.40402777777</v>
      </c>
      <c r="C10027" s="1" t="n">
        <v>45952</v>
      </c>
      <c r="D10027" t="inlineStr">
        <is>
          <t>VÄSTRA GÖTALANDS LÄN</t>
        </is>
      </c>
      <c r="E10027" t="inlineStr">
        <is>
          <t>MARIESTAD</t>
        </is>
      </c>
      <c r="F10027" t="inlineStr">
        <is>
          <t>Sveaskog</t>
        </is>
      </c>
      <c r="G10027" t="n">
        <v>3.3</v>
      </c>
      <c r="H10027" t="n">
        <v>0</v>
      </c>
      <c r="I10027" t="n">
        <v>0</v>
      </c>
      <c r="J10027" t="n">
        <v>0</v>
      </c>
      <c r="K10027" t="n">
        <v>0</v>
      </c>
      <c r="L10027" t="n">
        <v>0</v>
      </c>
      <c r="M10027" t="n">
        <v>0</v>
      </c>
      <c r="N10027" t="n">
        <v>0</v>
      </c>
      <c r="O10027" t="n">
        <v>0</v>
      </c>
      <c r="P10027" t="n">
        <v>0</v>
      </c>
      <c r="Q10027" t="n">
        <v>0</v>
      </c>
      <c r="R10027" s="2" t="inlineStr"/>
    </row>
    <row r="10028" ht="15" customHeight="1">
      <c r="A10028" t="inlineStr">
        <is>
          <t>A 15645-2024</t>
        </is>
      </c>
      <c r="B10028" s="1" t="n">
        <v>45404.32452546297</v>
      </c>
      <c r="C10028" s="1" t="n">
        <v>45952</v>
      </c>
      <c r="D10028" t="inlineStr">
        <is>
          <t>VÄSTRA GÖTALANDS LÄN</t>
        </is>
      </c>
      <c r="E10028" t="inlineStr">
        <is>
          <t>TROLLHÄTTAN</t>
        </is>
      </c>
      <c r="G10028" t="n">
        <v>2.2</v>
      </c>
      <c r="H10028" t="n">
        <v>0</v>
      </c>
      <c r="I10028" t="n">
        <v>0</v>
      </c>
      <c r="J10028" t="n">
        <v>0</v>
      </c>
      <c r="K10028" t="n">
        <v>0</v>
      </c>
      <c r="L10028" t="n">
        <v>0</v>
      </c>
      <c r="M10028" t="n">
        <v>0</v>
      </c>
      <c r="N10028" t="n">
        <v>0</v>
      </c>
      <c r="O10028" t="n">
        <v>0</v>
      </c>
      <c r="P10028" t="n">
        <v>0</v>
      </c>
      <c r="Q10028" t="n">
        <v>0</v>
      </c>
      <c r="R10028" s="2" t="inlineStr"/>
    </row>
    <row r="10029" ht="15" customHeight="1">
      <c r="A10029" t="inlineStr">
        <is>
          <t>A 24659-2025</t>
        </is>
      </c>
      <c r="B10029" s="1" t="n">
        <v>45798.64138888889</v>
      </c>
      <c r="C10029" s="1" t="n">
        <v>45952</v>
      </c>
      <c r="D10029" t="inlineStr">
        <is>
          <t>VÄSTRA GÖTALANDS LÄN</t>
        </is>
      </c>
      <c r="E10029" t="inlineStr">
        <is>
          <t>BENGTSFORS</t>
        </is>
      </c>
      <c r="G10029" t="n">
        <v>2</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43105-2024</t>
        </is>
      </c>
      <c r="B10030" s="1" t="n">
        <v>45567</v>
      </c>
      <c r="C10030" s="1" t="n">
        <v>45952</v>
      </c>
      <c r="D10030" t="inlineStr">
        <is>
          <t>VÄSTRA GÖTALANDS LÄN</t>
        </is>
      </c>
      <c r="E10030" t="inlineStr">
        <is>
          <t>GULLSPÅNG</t>
        </is>
      </c>
      <c r="G10030" t="n">
        <v>5.5</v>
      </c>
      <c r="H10030" t="n">
        <v>0</v>
      </c>
      <c r="I10030" t="n">
        <v>0</v>
      </c>
      <c r="J10030" t="n">
        <v>0</v>
      </c>
      <c r="K10030" t="n">
        <v>0</v>
      </c>
      <c r="L10030" t="n">
        <v>0</v>
      </c>
      <c r="M10030" t="n">
        <v>0</v>
      </c>
      <c r="N10030" t="n">
        <v>0</v>
      </c>
      <c r="O10030" t="n">
        <v>0</v>
      </c>
      <c r="P10030" t="n">
        <v>0</v>
      </c>
      <c r="Q10030" t="n">
        <v>0</v>
      </c>
      <c r="R10030" s="2" t="inlineStr"/>
    </row>
    <row r="10031" ht="15" customHeight="1">
      <c r="A10031" t="inlineStr">
        <is>
          <t>A 4548-2024</t>
        </is>
      </c>
      <c r="B10031" s="1" t="n">
        <v>45327.7147800926</v>
      </c>
      <c r="C10031" s="1" t="n">
        <v>45952</v>
      </c>
      <c r="D10031" t="inlineStr">
        <is>
          <t>VÄSTRA GÖTALANDS LÄN</t>
        </is>
      </c>
      <c r="E10031" t="inlineStr">
        <is>
          <t>VÅRGÅRDA</t>
        </is>
      </c>
      <c r="G10031" t="n">
        <v>1.2</v>
      </c>
      <c r="H10031" t="n">
        <v>0</v>
      </c>
      <c r="I10031" t="n">
        <v>0</v>
      </c>
      <c r="J10031" t="n">
        <v>0</v>
      </c>
      <c r="K10031" t="n">
        <v>0</v>
      </c>
      <c r="L10031" t="n">
        <v>0</v>
      </c>
      <c r="M10031" t="n">
        <v>0</v>
      </c>
      <c r="N10031" t="n">
        <v>0</v>
      </c>
      <c r="O10031" t="n">
        <v>0</v>
      </c>
      <c r="P10031" t="n">
        <v>0</v>
      </c>
      <c r="Q10031" t="n">
        <v>0</v>
      </c>
      <c r="R10031" s="2" t="inlineStr"/>
    </row>
    <row r="10032" ht="15" customHeight="1">
      <c r="A10032" t="inlineStr">
        <is>
          <t>A 47758-2024</t>
        </is>
      </c>
      <c r="B10032" s="1" t="n">
        <v>45588.55344907408</v>
      </c>
      <c r="C10032" s="1" t="n">
        <v>45952</v>
      </c>
      <c r="D10032" t="inlineStr">
        <is>
          <t>VÄSTRA GÖTALANDS LÄN</t>
        </is>
      </c>
      <c r="E10032" t="inlineStr">
        <is>
          <t>MUNKEDAL</t>
        </is>
      </c>
      <c r="G10032" t="n">
        <v>1.2</v>
      </c>
      <c r="H10032" t="n">
        <v>0</v>
      </c>
      <c r="I10032" t="n">
        <v>0</v>
      </c>
      <c r="J10032" t="n">
        <v>0</v>
      </c>
      <c r="K10032" t="n">
        <v>0</v>
      </c>
      <c r="L10032" t="n">
        <v>0</v>
      </c>
      <c r="M10032" t="n">
        <v>0</v>
      </c>
      <c r="N10032" t="n">
        <v>0</v>
      </c>
      <c r="O10032" t="n">
        <v>0</v>
      </c>
      <c r="P10032" t="n">
        <v>0</v>
      </c>
      <c r="Q10032" t="n">
        <v>0</v>
      </c>
      <c r="R10032" s="2" t="inlineStr"/>
    </row>
    <row r="10033" ht="15" customHeight="1">
      <c r="A10033" t="inlineStr">
        <is>
          <t>A 49554-2024</t>
        </is>
      </c>
      <c r="B10033" s="1" t="n">
        <v>45596.4672337963</v>
      </c>
      <c r="C10033" s="1" t="n">
        <v>45952</v>
      </c>
      <c r="D10033" t="inlineStr">
        <is>
          <t>VÄSTRA GÖTALANDS LÄN</t>
        </is>
      </c>
      <c r="E10033" t="inlineStr">
        <is>
          <t>STRÖMSTAD</t>
        </is>
      </c>
      <c r="G10033" t="n">
        <v>2.3</v>
      </c>
      <c r="H10033" t="n">
        <v>0</v>
      </c>
      <c r="I10033" t="n">
        <v>0</v>
      </c>
      <c r="J10033" t="n">
        <v>0</v>
      </c>
      <c r="K10033" t="n">
        <v>0</v>
      </c>
      <c r="L10033" t="n">
        <v>0</v>
      </c>
      <c r="M10033" t="n">
        <v>0</v>
      </c>
      <c r="N10033" t="n">
        <v>0</v>
      </c>
      <c r="O10033" t="n">
        <v>0</v>
      </c>
      <c r="P10033" t="n">
        <v>0</v>
      </c>
      <c r="Q10033" t="n">
        <v>0</v>
      </c>
      <c r="R10033" s="2" t="inlineStr"/>
    </row>
    <row r="10034" ht="15" customHeight="1">
      <c r="A10034" t="inlineStr">
        <is>
          <t>A 32026-2024</t>
        </is>
      </c>
      <c r="B10034" s="1" t="n">
        <v>45510.65791666666</v>
      </c>
      <c r="C10034" s="1" t="n">
        <v>45952</v>
      </c>
      <c r="D10034" t="inlineStr">
        <is>
          <t>VÄSTRA GÖTALANDS LÄN</t>
        </is>
      </c>
      <c r="E10034" t="inlineStr">
        <is>
          <t>ALINGSÅS</t>
        </is>
      </c>
      <c r="G10034" t="n">
        <v>1.2</v>
      </c>
      <c r="H10034" t="n">
        <v>0</v>
      </c>
      <c r="I10034" t="n">
        <v>0</v>
      </c>
      <c r="J10034" t="n">
        <v>0</v>
      </c>
      <c r="K10034" t="n">
        <v>0</v>
      </c>
      <c r="L10034" t="n">
        <v>0</v>
      </c>
      <c r="M10034" t="n">
        <v>0</v>
      </c>
      <c r="N10034" t="n">
        <v>0</v>
      </c>
      <c r="O10034" t="n">
        <v>0</v>
      </c>
      <c r="P10034" t="n">
        <v>0</v>
      </c>
      <c r="Q10034" t="n">
        <v>0</v>
      </c>
      <c r="R10034" s="2" t="inlineStr"/>
    </row>
    <row r="10035" ht="15" customHeight="1">
      <c r="A10035" t="inlineStr">
        <is>
          <t>A 18984-2025</t>
        </is>
      </c>
      <c r="B10035" s="1" t="n">
        <v>45764.55996527777</v>
      </c>
      <c r="C10035" s="1" t="n">
        <v>45952</v>
      </c>
      <c r="D10035" t="inlineStr">
        <is>
          <t>VÄSTRA GÖTALANDS LÄN</t>
        </is>
      </c>
      <c r="E10035" t="inlineStr">
        <is>
          <t>FALKÖPING</t>
        </is>
      </c>
      <c r="G10035" t="n">
        <v>3.3</v>
      </c>
      <c r="H10035" t="n">
        <v>0</v>
      </c>
      <c r="I10035" t="n">
        <v>0</v>
      </c>
      <c r="J10035" t="n">
        <v>0</v>
      </c>
      <c r="K10035" t="n">
        <v>0</v>
      </c>
      <c r="L10035" t="n">
        <v>0</v>
      </c>
      <c r="M10035" t="n">
        <v>0</v>
      </c>
      <c r="N10035" t="n">
        <v>0</v>
      </c>
      <c r="O10035" t="n">
        <v>0</v>
      </c>
      <c r="P10035" t="n">
        <v>0</v>
      </c>
      <c r="Q10035" t="n">
        <v>0</v>
      </c>
      <c r="R10035" s="2" t="inlineStr"/>
    </row>
    <row r="10036" ht="15" customHeight="1">
      <c r="A10036" t="inlineStr">
        <is>
          <t>A 51909-2024</t>
        </is>
      </c>
      <c r="B10036" s="1" t="n">
        <v>45607.5986574074</v>
      </c>
      <c r="C10036" s="1" t="n">
        <v>45952</v>
      </c>
      <c r="D10036" t="inlineStr">
        <is>
          <t>VÄSTRA GÖTALANDS LÄN</t>
        </is>
      </c>
      <c r="E10036" t="inlineStr">
        <is>
          <t>ALINGSÅS</t>
        </is>
      </c>
      <c r="G10036" t="n">
        <v>2.5</v>
      </c>
      <c r="H10036" t="n">
        <v>0</v>
      </c>
      <c r="I10036" t="n">
        <v>0</v>
      </c>
      <c r="J10036" t="n">
        <v>0</v>
      </c>
      <c r="K10036" t="n">
        <v>0</v>
      </c>
      <c r="L10036" t="n">
        <v>0</v>
      </c>
      <c r="M10036" t="n">
        <v>0</v>
      </c>
      <c r="N10036" t="n">
        <v>0</v>
      </c>
      <c r="O10036" t="n">
        <v>0</v>
      </c>
      <c r="P10036" t="n">
        <v>0</v>
      </c>
      <c r="Q10036" t="n">
        <v>0</v>
      </c>
      <c r="R10036" s="2" t="inlineStr"/>
    </row>
    <row r="10037" ht="15" customHeight="1">
      <c r="A10037" t="inlineStr">
        <is>
          <t>A 5997-2024</t>
        </is>
      </c>
      <c r="B10037" s="1" t="n">
        <v>45336</v>
      </c>
      <c r="C10037" s="1" t="n">
        <v>45952</v>
      </c>
      <c r="D10037" t="inlineStr">
        <is>
          <t>VÄSTRA GÖTALANDS LÄN</t>
        </is>
      </c>
      <c r="E10037" t="inlineStr">
        <is>
          <t>TIDAHOLM</t>
        </is>
      </c>
      <c r="G10037" t="n">
        <v>1</v>
      </c>
      <c r="H10037" t="n">
        <v>0</v>
      </c>
      <c r="I10037" t="n">
        <v>0</v>
      </c>
      <c r="J10037" t="n">
        <v>0</v>
      </c>
      <c r="K10037" t="n">
        <v>0</v>
      </c>
      <c r="L10037" t="n">
        <v>0</v>
      </c>
      <c r="M10037" t="n">
        <v>0</v>
      </c>
      <c r="N10037" t="n">
        <v>0</v>
      </c>
      <c r="O10037" t="n">
        <v>0</v>
      </c>
      <c r="P10037" t="n">
        <v>0</v>
      </c>
      <c r="Q10037" t="n">
        <v>0</v>
      </c>
      <c r="R10037" s="2" t="inlineStr"/>
    </row>
    <row r="10038" ht="15" customHeight="1">
      <c r="A10038" t="inlineStr">
        <is>
          <t>A 2298-2022</t>
        </is>
      </c>
      <c r="B10038" s="1" t="n">
        <v>44578.70068287037</v>
      </c>
      <c r="C10038" s="1" t="n">
        <v>45952</v>
      </c>
      <c r="D10038" t="inlineStr">
        <is>
          <t>VÄSTRA GÖTALANDS LÄN</t>
        </is>
      </c>
      <c r="E10038" t="inlineStr">
        <is>
          <t>BENGTSFORS</t>
        </is>
      </c>
      <c r="G10038" t="n">
        <v>1.9</v>
      </c>
      <c r="H10038" t="n">
        <v>0</v>
      </c>
      <c r="I10038" t="n">
        <v>0</v>
      </c>
      <c r="J10038" t="n">
        <v>0</v>
      </c>
      <c r="K10038" t="n">
        <v>0</v>
      </c>
      <c r="L10038" t="n">
        <v>0</v>
      </c>
      <c r="M10038" t="n">
        <v>0</v>
      </c>
      <c r="N10038" t="n">
        <v>0</v>
      </c>
      <c r="O10038" t="n">
        <v>0</v>
      </c>
      <c r="P10038" t="n">
        <v>0</v>
      </c>
      <c r="Q10038" t="n">
        <v>0</v>
      </c>
      <c r="R10038" s="2" t="inlineStr"/>
    </row>
    <row r="10039" ht="15" customHeight="1">
      <c r="A10039" t="inlineStr">
        <is>
          <t>A 2761-2023</t>
        </is>
      </c>
      <c r="B10039" s="1" t="n">
        <v>44944.61564814814</v>
      </c>
      <c r="C10039" s="1" t="n">
        <v>45952</v>
      </c>
      <c r="D10039" t="inlineStr">
        <is>
          <t>VÄSTRA GÖTALANDS LÄN</t>
        </is>
      </c>
      <c r="E10039" t="inlineStr">
        <is>
          <t>TIBRO</t>
        </is>
      </c>
      <c r="G10039" t="n">
        <v>3.6</v>
      </c>
      <c r="H10039" t="n">
        <v>0</v>
      </c>
      <c r="I10039" t="n">
        <v>0</v>
      </c>
      <c r="J10039" t="n">
        <v>0</v>
      </c>
      <c r="K10039" t="n">
        <v>0</v>
      </c>
      <c r="L10039" t="n">
        <v>0</v>
      </c>
      <c r="M10039" t="n">
        <v>0</v>
      </c>
      <c r="N10039" t="n">
        <v>0</v>
      </c>
      <c r="O10039" t="n">
        <v>0</v>
      </c>
      <c r="P10039" t="n">
        <v>0</v>
      </c>
      <c r="Q10039" t="n">
        <v>0</v>
      </c>
      <c r="R10039" s="2" t="inlineStr"/>
    </row>
    <row r="10040" ht="15" customHeight="1">
      <c r="A10040" t="inlineStr">
        <is>
          <t>A 25065-2025</t>
        </is>
      </c>
      <c r="B10040" s="1" t="n">
        <v>45799.70430555556</v>
      </c>
      <c r="C10040" s="1" t="n">
        <v>45952</v>
      </c>
      <c r="D10040" t="inlineStr">
        <is>
          <t>VÄSTRA GÖTALANDS LÄN</t>
        </is>
      </c>
      <c r="E10040" t="inlineStr">
        <is>
          <t>TIBRO</t>
        </is>
      </c>
      <c r="G10040" t="n">
        <v>2.2</v>
      </c>
      <c r="H10040" t="n">
        <v>0</v>
      </c>
      <c r="I10040" t="n">
        <v>0</v>
      </c>
      <c r="J10040" t="n">
        <v>0</v>
      </c>
      <c r="K10040" t="n">
        <v>0</v>
      </c>
      <c r="L10040" t="n">
        <v>0</v>
      </c>
      <c r="M10040" t="n">
        <v>0</v>
      </c>
      <c r="N10040" t="n">
        <v>0</v>
      </c>
      <c r="O10040" t="n">
        <v>0</v>
      </c>
      <c r="P10040" t="n">
        <v>0</v>
      </c>
      <c r="Q10040" t="n">
        <v>0</v>
      </c>
      <c r="R10040" s="2" t="inlineStr"/>
    </row>
    <row r="10041" ht="15" customHeight="1">
      <c r="A10041" t="inlineStr">
        <is>
          <t>A 8724-2024</t>
        </is>
      </c>
      <c r="B10041" s="1" t="n">
        <v>45356.4206712963</v>
      </c>
      <c r="C10041" s="1" t="n">
        <v>45952</v>
      </c>
      <c r="D10041" t="inlineStr">
        <is>
          <t>VÄSTRA GÖTALANDS LÄN</t>
        </is>
      </c>
      <c r="E10041" t="inlineStr">
        <is>
          <t>TIDAHOLM</t>
        </is>
      </c>
      <c r="G10041" t="n">
        <v>1.1</v>
      </c>
      <c r="H10041" t="n">
        <v>0</v>
      </c>
      <c r="I10041" t="n">
        <v>0</v>
      </c>
      <c r="J10041" t="n">
        <v>0</v>
      </c>
      <c r="K10041" t="n">
        <v>0</v>
      </c>
      <c r="L10041" t="n">
        <v>0</v>
      </c>
      <c r="M10041" t="n">
        <v>0</v>
      </c>
      <c r="N10041" t="n">
        <v>0</v>
      </c>
      <c r="O10041" t="n">
        <v>0</v>
      </c>
      <c r="P10041" t="n">
        <v>0</v>
      </c>
      <c r="Q10041" t="n">
        <v>0</v>
      </c>
      <c r="R10041" s="2" t="inlineStr"/>
    </row>
    <row r="10042" ht="15" customHeight="1">
      <c r="A10042" t="inlineStr">
        <is>
          <t>A 21915-2024</t>
        </is>
      </c>
      <c r="B10042" s="1" t="n">
        <v>45443</v>
      </c>
      <c r="C10042" s="1" t="n">
        <v>45952</v>
      </c>
      <c r="D10042" t="inlineStr">
        <is>
          <t>VÄSTRA GÖTALANDS LÄN</t>
        </is>
      </c>
      <c r="E10042" t="inlineStr">
        <is>
          <t>DALS-ED</t>
        </is>
      </c>
      <c r="F10042" t="inlineStr">
        <is>
          <t>Kyrkan</t>
        </is>
      </c>
      <c r="G10042" t="n">
        <v>2.2</v>
      </c>
      <c r="H10042" t="n">
        <v>0</v>
      </c>
      <c r="I10042" t="n">
        <v>0</v>
      </c>
      <c r="J10042" t="n">
        <v>0</v>
      </c>
      <c r="K10042" t="n">
        <v>0</v>
      </c>
      <c r="L10042" t="n">
        <v>0</v>
      </c>
      <c r="M10042" t="n">
        <v>0</v>
      </c>
      <c r="N10042" t="n">
        <v>0</v>
      </c>
      <c r="O10042" t="n">
        <v>0</v>
      </c>
      <c r="P10042" t="n">
        <v>0</v>
      </c>
      <c r="Q10042" t="n">
        <v>0</v>
      </c>
      <c r="R10042" s="2" t="inlineStr"/>
    </row>
    <row r="10043" ht="15" customHeight="1">
      <c r="A10043" t="inlineStr">
        <is>
          <t>A 50713-2021</t>
        </is>
      </c>
      <c r="B10043" s="1" t="n">
        <v>44460.36797453704</v>
      </c>
      <c r="C10043" s="1" t="n">
        <v>45952</v>
      </c>
      <c r="D10043" t="inlineStr">
        <is>
          <t>VÄSTRA GÖTALANDS LÄN</t>
        </is>
      </c>
      <c r="E10043" t="inlineStr">
        <is>
          <t>VARA</t>
        </is>
      </c>
      <c r="G10043" t="n">
        <v>0.6</v>
      </c>
      <c r="H10043" t="n">
        <v>0</v>
      </c>
      <c r="I10043" t="n">
        <v>0</v>
      </c>
      <c r="J10043" t="n">
        <v>0</v>
      </c>
      <c r="K10043" t="n">
        <v>0</v>
      </c>
      <c r="L10043" t="n">
        <v>0</v>
      </c>
      <c r="M10043" t="n">
        <v>0</v>
      </c>
      <c r="N10043" t="n">
        <v>0</v>
      </c>
      <c r="O10043" t="n">
        <v>0</v>
      </c>
      <c r="P10043" t="n">
        <v>0</v>
      </c>
      <c r="Q10043" t="n">
        <v>0</v>
      </c>
      <c r="R10043" s="2" t="inlineStr"/>
    </row>
    <row r="10044" ht="15" customHeight="1">
      <c r="A10044" t="inlineStr">
        <is>
          <t>A 64317-2023</t>
        </is>
      </c>
      <c r="B10044" s="1" t="n">
        <v>45279</v>
      </c>
      <c r="C10044" s="1" t="n">
        <v>45952</v>
      </c>
      <c r="D10044" t="inlineStr">
        <is>
          <t>VÄSTRA GÖTALANDS LÄN</t>
        </is>
      </c>
      <c r="E10044" t="inlineStr">
        <is>
          <t>VARA</t>
        </is>
      </c>
      <c r="G10044" t="n">
        <v>0.7</v>
      </c>
      <c r="H10044" t="n">
        <v>0</v>
      </c>
      <c r="I10044" t="n">
        <v>0</v>
      </c>
      <c r="J10044" t="n">
        <v>0</v>
      </c>
      <c r="K10044" t="n">
        <v>0</v>
      </c>
      <c r="L10044" t="n">
        <v>0</v>
      </c>
      <c r="M10044" t="n">
        <v>0</v>
      </c>
      <c r="N10044" t="n">
        <v>0</v>
      </c>
      <c r="O10044" t="n">
        <v>0</v>
      </c>
      <c r="P10044" t="n">
        <v>0</v>
      </c>
      <c r="Q10044" t="n">
        <v>0</v>
      </c>
      <c r="R10044" s="2" t="inlineStr"/>
    </row>
    <row r="10045" ht="15" customHeight="1">
      <c r="A10045" t="inlineStr">
        <is>
          <t>A 64330-2023</t>
        </is>
      </c>
      <c r="B10045" s="1" t="n">
        <v>45279</v>
      </c>
      <c r="C10045" s="1" t="n">
        <v>45952</v>
      </c>
      <c r="D10045" t="inlineStr">
        <is>
          <t>VÄSTRA GÖTALANDS LÄN</t>
        </is>
      </c>
      <c r="E10045" t="inlineStr">
        <is>
          <t>VARA</t>
        </is>
      </c>
      <c r="G10045" t="n">
        <v>6.6</v>
      </c>
      <c r="H10045" t="n">
        <v>0</v>
      </c>
      <c r="I10045" t="n">
        <v>0</v>
      </c>
      <c r="J10045" t="n">
        <v>0</v>
      </c>
      <c r="K10045" t="n">
        <v>0</v>
      </c>
      <c r="L10045" t="n">
        <v>0</v>
      </c>
      <c r="M10045" t="n">
        <v>0</v>
      </c>
      <c r="N10045" t="n">
        <v>0</v>
      </c>
      <c r="O10045" t="n">
        <v>0</v>
      </c>
      <c r="P10045" t="n">
        <v>0</v>
      </c>
      <c r="Q10045" t="n">
        <v>0</v>
      </c>
      <c r="R10045" s="2" t="inlineStr"/>
    </row>
    <row r="10046" ht="15" customHeight="1">
      <c r="A10046" t="inlineStr">
        <is>
          <t>A 59204-2022</t>
        </is>
      </c>
      <c r="B10046" s="1" t="n">
        <v>44897</v>
      </c>
      <c r="C10046" s="1" t="n">
        <v>45952</v>
      </c>
      <c r="D10046" t="inlineStr">
        <is>
          <t>VÄSTRA GÖTALANDS LÄN</t>
        </is>
      </c>
      <c r="E10046" t="inlineStr">
        <is>
          <t>GULLSPÅNG</t>
        </is>
      </c>
      <c r="G10046" t="n">
        <v>3.2</v>
      </c>
      <c r="H10046" t="n">
        <v>0</v>
      </c>
      <c r="I10046" t="n">
        <v>0</v>
      </c>
      <c r="J10046" t="n">
        <v>0</v>
      </c>
      <c r="K10046" t="n">
        <v>0</v>
      </c>
      <c r="L10046" t="n">
        <v>0</v>
      </c>
      <c r="M10046" t="n">
        <v>0</v>
      </c>
      <c r="N10046" t="n">
        <v>0</v>
      </c>
      <c r="O10046" t="n">
        <v>0</v>
      </c>
      <c r="P10046" t="n">
        <v>0</v>
      </c>
      <c r="Q10046" t="n">
        <v>0</v>
      </c>
      <c r="R10046" s="2" t="inlineStr"/>
    </row>
    <row r="10047" ht="15" customHeight="1">
      <c r="A10047" t="inlineStr">
        <is>
          <t>A 515-2024</t>
        </is>
      </c>
      <c r="B10047" s="1" t="n">
        <v>45299.4187037037</v>
      </c>
      <c r="C10047" s="1" t="n">
        <v>45952</v>
      </c>
      <c r="D10047" t="inlineStr">
        <is>
          <t>VÄSTRA GÖTALANDS LÄN</t>
        </is>
      </c>
      <c r="E10047" t="inlineStr">
        <is>
          <t>SKARA</t>
        </is>
      </c>
      <c r="G10047" t="n">
        <v>0.7</v>
      </c>
      <c r="H10047" t="n">
        <v>0</v>
      </c>
      <c r="I10047" t="n">
        <v>0</v>
      </c>
      <c r="J10047" t="n">
        <v>0</v>
      </c>
      <c r="K10047" t="n">
        <v>0</v>
      </c>
      <c r="L10047" t="n">
        <v>0</v>
      </c>
      <c r="M10047" t="n">
        <v>0</v>
      </c>
      <c r="N10047" t="n">
        <v>0</v>
      </c>
      <c r="O10047" t="n">
        <v>0</v>
      </c>
      <c r="P10047" t="n">
        <v>0</v>
      </c>
      <c r="Q10047" t="n">
        <v>0</v>
      </c>
      <c r="R10047" s="2" t="inlineStr"/>
    </row>
    <row r="10048" ht="15" customHeight="1">
      <c r="A10048" t="inlineStr">
        <is>
          <t>A 531-2024</t>
        </is>
      </c>
      <c r="B10048" s="1" t="n">
        <v>45299</v>
      </c>
      <c r="C10048" s="1" t="n">
        <v>45952</v>
      </c>
      <c r="D10048" t="inlineStr">
        <is>
          <t>VÄSTRA GÖTALANDS LÄN</t>
        </is>
      </c>
      <c r="E10048" t="inlineStr">
        <is>
          <t>ULRICEHAMN</t>
        </is>
      </c>
      <c r="G10048" t="n">
        <v>0.8</v>
      </c>
      <c r="H10048" t="n">
        <v>0</v>
      </c>
      <c r="I10048" t="n">
        <v>0</v>
      </c>
      <c r="J10048" t="n">
        <v>0</v>
      </c>
      <c r="K10048" t="n">
        <v>0</v>
      </c>
      <c r="L10048" t="n">
        <v>0</v>
      </c>
      <c r="M10048" t="n">
        <v>0</v>
      </c>
      <c r="N10048" t="n">
        <v>0</v>
      </c>
      <c r="O10048" t="n">
        <v>0</v>
      </c>
      <c r="P10048" t="n">
        <v>0</v>
      </c>
      <c r="Q10048" t="n">
        <v>0</v>
      </c>
      <c r="R10048" s="2" t="inlineStr"/>
    </row>
    <row r="10049" ht="15" customHeight="1">
      <c r="A10049" t="inlineStr">
        <is>
          <t>A 30573-2023</t>
        </is>
      </c>
      <c r="B10049" s="1" t="n">
        <v>45111.96506944444</v>
      </c>
      <c r="C10049" s="1" t="n">
        <v>45952</v>
      </c>
      <c r="D10049" t="inlineStr">
        <is>
          <t>VÄSTRA GÖTALANDS LÄN</t>
        </is>
      </c>
      <c r="E10049" t="inlineStr">
        <is>
          <t>ÅMÅL</t>
        </is>
      </c>
      <c r="G10049" t="n">
        <v>6.5</v>
      </c>
      <c r="H10049" t="n">
        <v>0</v>
      </c>
      <c r="I10049" t="n">
        <v>0</v>
      </c>
      <c r="J10049" t="n">
        <v>0</v>
      </c>
      <c r="K10049" t="n">
        <v>0</v>
      </c>
      <c r="L10049" t="n">
        <v>0</v>
      </c>
      <c r="M10049" t="n">
        <v>0</v>
      </c>
      <c r="N10049" t="n">
        <v>0</v>
      </c>
      <c r="O10049" t="n">
        <v>0</v>
      </c>
      <c r="P10049" t="n">
        <v>0</v>
      </c>
      <c r="Q10049" t="n">
        <v>0</v>
      </c>
      <c r="R10049" s="2" t="inlineStr"/>
    </row>
    <row r="10050" ht="15" customHeight="1">
      <c r="A10050" t="inlineStr">
        <is>
          <t>A 19794-2023</t>
        </is>
      </c>
      <c r="B10050" s="1" t="n">
        <v>45051</v>
      </c>
      <c r="C10050" s="1" t="n">
        <v>45952</v>
      </c>
      <c r="D10050" t="inlineStr">
        <is>
          <t>VÄSTRA GÖTALANDS LÄN</t>
        </is>
      </c>
      <c r="E10050" t="inlineStr">
        <is>
          <t>LYSEKIL</t>
        </is>
      </c>
      <c r="G10050" t="n">
        <v>2.2</v>
      </c>
      <c r="H10050" t="n">
        <v>0</v>
      </c>
      <c r="I10050" t="n">
        <v>0</v>
      </c>
      <c r="J10050" t="n">
        <v>0</v>
      </c>
      <c r="K10050" t="n">
        <v>0</v>
      </c>
      <c r="L10050" t="n">
        <v>0</v>
      </c>
      <c r="M10050" t="n">
        <v>0</v>
      </c>
      <c r="N10050" t="n">
        <v>0</v>
      </c>
      <c r="O10050" t="n">
        <v>0</v>
      </c>
      <c r="P10050" t="n">
        <v>0</v>
      </c>
      <c r="Q10050" t="n">
        <v>0</v>
      </c>
      <c r="R10050" s="2" t="inlineStr"/>
    </row>
    <row r="10051" ht="15" customHeight="1">
      <c r="A10051" t="inlineStr">
        <is>
          <t>A 8761-2024</t>
        </is>
      </c>
      <c r="B10051" s="1" t="n">
        <v>45355</v>
      </c>
      <c r="C10051" s="1" t="n">
        <v>45952</v>
      </c>
      <c r="D10051" t="inlineStr">
        <is>
          <t>VÄSTRA GÖTALANDS LÄN</t>
        </is>
      </c>
      <c r="E10051" t="inlineStr">
        <is>
          <t>MUNKEDAL</t>
        </is>
      </c>
      <c r="G10051" t="n">
        <v>6.5</v>
      </c>
      <c r="H10051" t="n">
        <v>0</v>
      </c>
      <c r="I10051" t="n">
        <v>0</v>
      </c>
      <c r="J10051" t="n">
        <v>0</v>
      </c>
      <c r="K10051" t="n">
        <v>0</v>
      </c>
      <c r="L10051" t="n">
        <v>0</v>
      </c>
      <c r="M10051" t="n">
        <v>0</v>
      </c>
      <c r="N10051" t="n">
        <v>0</v>
      </c>
      <c r="O10051" t="n">
        <v>0</v>
      </c>
      <c r="P10051" t="n">
        <v>0</v>
      </c>
      <c r="Q10051" t="n">
        <v>0</v>
      </c>
      <c r="R10051" s="2" t="inlineStr"/>
    </row>
    <row r="10052" ht="15" customHeight="1">
      <c r="A10052" t="inlineStr">
        <is>
          <t>A 16039-2022</t>
        </is>
      </c>
      <c r="B10052" s="1" t="n">
        <v>44665</v>
      </c>
      <c r="C10052" s="1" t="n">
        <v>45952</v>
      </c>
      <c r="D10052" t="inlineStr">
        <is>
          <t>VÄSTRA GÖTALANDS LÄN</t>
        </is>
      </c>
      <c r="E10052" t="inlineStr">
        <is>
          <t>TRANEMO</t>
        </is>
      </c>
      <c r="G10052" t="n">
        <v>2.1</v>
      </c>
      <c r="H10052" t="n">
        <v>0</v>
      </c>
      <c r="I10052" t="n">
        <v>0</v>
      </c>
      <c r="J10052" t="n">
        <v>0</v>
      </c>
      <c r="K10052" t="n">
        <v>0</v>
      </c>
      <c r="L10052" t="n">
        <v>0</v>
      </c>
      <c r="M10052" t="n">
        <v>0</v>
      </c>
      <c r="N10052" t="n">
        <v>0</v>
      </c>
      <c r="O10052" t="n">
        <v>0</v>
      </c>
      <c r="P10052" t="n">
        <v>0</v>
      </c>
      <c r="Q10052" t="n">
        <v>0</v>
      </c>
      <c r="R10052" s="2" t="inlineStr"/>
    </row>
    <row r="10053" ht="15" customHeight="1">
      <c r="A10053" t="inlineStr">
        <is>
          <t>A 34641-2024</t>
        </is>
      </c>
      <c r="B10053" s="1" t="n">
        <v>45526.47351851852</v>
      </c>
      <c r="C10053" s="1" t="n">
        <v>45952</v>
      </c>
      <c r="D10053" t="inlineStr">
        <is>
          <t>VÄSTRA GÖTALANDS LÄN</t>
        </is>
      </c>
      <c r="E10053" t="inlineStr">
        <is>
          <t>MARK</t>
        </is>
      </c>
      <c r="G10053" t="n">
        <v>3.3</v>
      </c>
      <c r="H10053" t="n">
        <v>0</v>
      </c>
      <c r="I10053" t="n">
        <v>0</v>
      </c>
      <c r="J10053" t="n">
        <v>0</v>
      </c>
      <c r="K10053" t="n">
        <v>0</v>
      </c>
      <c r="L10053" t="n">
        <v>0</v>
      </c>
      <c r="M10053" t="n">
        <v>0</v>
      </c>
      <c r="N10053" t="n">
        <v>0</v>
      </c>
      <c r="O10053" t="n">
        <v>0</v>
      </c>
      <c r="P10053" t="n">
        <v>0</v>
      </c>
      <c r="Q10053" t="n">
        <v>0</v>
      </c>
      <c r="R10053" s="2" t="inlineStr"/>
    </row>
    <row r="10054" ht="15" customHeight="1">
      <c r="A10054" t="inlineStr">
        <is>
          <t>A 19471-2023</t>
        </is>
      </c>
      <c r="B10054" s="1" t="n">
        <v>45050</v>
      </c>
      <c r="C10054" s="1" t="n">
        <v>45952</v>
      </c>
      <c r="D10054" t="inlineStr">
        <is>
          <t>VÄSTRA GÖTALANDS LÄN</t>
        </is>
      </c>
      <c r="E10054" t="inlineStr">
        <is>
          <t>ÅMÅL</t>
        </is>
      </c>
      <c r="G10054" t="n">
        <v>1.1</v>
      </c>
      <c r="H10054" t="n">
        <v>0</v>
      </c>
      <c r="I10054" t="n">
        <v>0</v>
      </c>
      <c r="J10054" t="n">
        <v>0</v>
      </c>
      <c r="K10054" t="n">
        <v>0</v>
      </c>
      <c r="L10054" t="n">
        <v>0</v>
      </c>
      <c r="M10054" t="n">
        <v>0</v>
      </c>
      <c r="N10054" t="n">
        <v>0</v>
      </c>
      <c r="O10054" t="n">
        <v>0</v>
      </c>
      <c r="P10054" t="n">
        <v>0</v>
      </c>
      <c r="Q10054" t="n">
        <v>0</v>
      </c>
      <c r="R10054" s="2" t="inlineStr"/>
    </row>
    <row r="10055" ht="15" customHeight="1">
      <c r="A10055" t="inlineStr">
        <is>
          <t>A 64722-2023</t>
        </is>
      </c>
      <c r="B10055" s="1" t="n">
        <v>45281</v>
      </c>
      <c r="C10055" s="1" t="n">
        <v>45952</v>
      </c>
      <c r="D10055" t="inlineStr">
        <is>
          <t>VÄSTRA GÖTALANDS LÄN</t>
        </is>
      </c>
      <c r="E10055" t="inlineStr">
        <is>
          <t>GULLSPÅNG</t>
        </is>
      </c>
      <c r="G10055" t="n">
        <v>1.6</v>
      </c>
      <c r="H10055" t="n">
        <v>0</v>
      </c>
      <c r="I10055" t="n">
        <v>0</v>
      </c>
      <c r="J10055" t="n">
        <v>0</v>
      </c>
      <c r="K10055" t="n">
        <v>0</v>
      </c>
      <c r="L10055" t="n">
        <v>0</v>
      </c>
      <c r="M10055" t="n">
        <v>0</v>
      </c>
      <c r="N10055" t="n">
        <v>0</v>
      </c>
      <c r="O10055" t="n">
        <v>0</v>
      </c>
      <c r="P10055" t="n">
        <v>0</v>
      </c>
      <c r="Q10055" t="n">
        <v>0</v>
      </c>
      <c r="R10055" s="2" t="inlineStr"/>
    </row>
    <row r="10056" ht="15" customHeight="1">
      <c r="A10056" t="inlineStr">
        <is>
          <t>A 64731-2023</t>
        </is>
      </c>
      <c r="B10056" s="1" t="n">
        <v>45281</v>
      </c>
      <c r="C10056" s="1" t="n">
        <v>45952</v>
      </c>
      <c r="D10056" t="inlineStr">
        <is>
          <t>VÄSTRA GÖTALANDS LÄN</t>
        </is>
      </c>
      <c r="E10056" t="inlineStr">
        <is>
          <t>MARK</t>
        </is>
      </c>
      <c r="G10056" t="n">
        <v>10.1</v>
      </c>
      <c r="H10056" t="n">
        <v>0</v>
      </c>
      <c r="I10056" t="n">
        <v>0</v>
      </c>
      <c r="J10056" t="n">
        <v>0</v>
      </c>
      <c r="K10056" t="n">
        <v>0</v>
      </c>
      <c r="L10056" t="n">
        <v>0</v>
      </c>
      <c r="M10056" t="n">
        <v>0</v>
      </c>
      <c r="N10056" t="n">
        <v>0</v>
      </c>
      <c r="O10056" t="n">
        <v>0</v>
      </c>
      <c r="P10056" t="n">
        <v>0</v>
      </c>
      <c r="Q10056" t="n">
        <v>0</v>
      </c>
      <c r="R10056" s="2" t="inlineStr"/>
    </row>
    <row r="10057" ht="15" customHeight="1">
      <c r="A10057" t="inlineStr">
        <is>
          <t>A 24533-2025</t>
        </is>
      </c>
      <c r="B10057" s="1" t="n">
        <v>45798.43085648148</v>
      </c>
      <c r="C10057" s="1" t="n">
        <v>45952</v>
      </c>
      <c r="D10057" t="inlineStr">
        <is>
          <t>VÄSTRA GÖTALANDS LÄN</t>
        </is>
      </c>
      <c r="E10057" t="inlineStr">
        <is>
          <t>MELLERUD</t>
        </is>
      </c>
      <c r="G10057" t="n">
        <v>5.8</v>
      </c>
      <c r="H10057" t="n">
        <v>0</v>
      </c>
      <c r="I10057" t="n">
        <v>0</v>
      </c>
      <c r="J10057" t="n">
        <v>0</v>
      </c>
      <c r="K10057" t="n">
        <v>0</v>
      </c>
      <c r="L10057" t="n">
        <v>0</v>
      </c>
      <c r="M10057" t="n">
        <v>0</v>
      </c>
      <c r="N10057" t="n">
        <v>0</v>
      </c>
      <c r="O10057" t="n">
        <v>0</v>
      </c>
      <c r="P10057" t="n">
        <v>0</v>
      </c>
      <c r="Q10057" t="n">
        <v>0</v>
      </c>
      <c r="R10057" s="2" t="inlineStr"/>
    </row>
    <row r="10058" ht="15" customHeight="1">
      <c r="A10058" t="inlineStr">
        <is>
          <t>A 19474-2023</t>
        </is>
      </c>
      <c r="B10058" s="1" t="n">
        <v>45050</v>
      </c>
      <c r="C10058" s="1" t="n">
        <v>45952</v>
      </c>
      <c r="D10058" t="inlineStr">
        <is>
          <t>VÄSTRA GÖTALANDS LÄN</t>
        </is>
      </c>
      <c r="E10058" t="inlineStr">
        <is>
          <t>FALKÖPING</t>
        </is>
      </c>
      <c r="G10058" t="n">
        <v>0.4</v>
      </c>
      <c r="H10058" t="n">
        <v>0</v>
      </c>
      <c r="I10058" t="n">
        <v>0</v>
      </c>
      <c r="J10058" t="n">
        <v>0</v>
      </c>
      <c r="K10058" t="n">
        <v>0</v>
      </c>
      <c r="L10058" t="n">
        <v>0</v>
      </c>
      <c r="M10058" t="n">
        <v>0</v>
      </c>
      <c r="N10058" t="n">
        <v>0</v>
      </c>
      <c r="O10058" t="n">
        <v>0</v>
      </c>
      <c r="P10058" t="n">
        <v>0</v>
      </c>
      <c r="Q10058" t="n">
        <v>0</v>
      </c>
      <c r="R10058" s="2" t="inlineStr"/>
    </row>
    <row r="10059" ht="15" customHeight="1">
      <c r="A10059" t="inlineStr">
        <is>
          <t>A 19482-2023</t>
        </is>
      </c>
      <c r="B10059" s="1" t="n">
        <v>45050.44099537037</v>
      </c>
      <c r="C10059" s="1" t="n">
        <v>45952</v>
      </c>
      <c r="D10059" t="inlineStr">
        <is>
          <t>VÄSTRA GÖTALANDS LÄN</t>
        </is>
      </c>
      <c r="E10059" t="inlineStr">
        <is>
          <t>BORÅS</t>
        </is>
      </c>
      <c r="G10059" t="n">
        <v>3.4</v>
      </c>
      <c r="H10059" t="n">
        <v>0</v>
      </c>
      <c r="I10059" t="n">
        <v>0</v>
      </c>
      <c r="J10059" t="n">
        <v>0</v>
      </c>
      <c r="K10059" t="n">
        <v>0</v>
      </c>
      <c r="L10059" t="n">
        <v>0</v>
      </c>
      <c r="M10059" t="n">
        <v>0</v>
      </c>
      <c r="N10059" t="n">
        <v>0</v>
      </c>
      <c r="O10059" t="n">
        <v>0</v>
      </c>
      <c r="P10059" t="n">
        <v>0</v>
      </c>
      <c r="Q10059" t="n">
        <v>0</v>
      </c>
      <c r="R10059" s="2" t="inlineStr"/>
    </row>
    <row r="10060" ht="15" customHeight="1">
      <c r="A10060" t="inlineStr">
        <is>
          <t>A 64734-2023</t>
        </is>
      </c>
      <c r="B10060" s="1" t="n">
        <v>45281.83204861111</v>
      </c>
      <c r="C10060" s="1" t="n">
        <v>45952</v>
      </c>
      <c r="D10060" t="inlineStr">
        <is>
          <t>VÄSTRA GÖTALANDS LÄN</t>
        </is>
      </c>
      <c r="E10060" t="inlineStr">
        <is>
          <t>ULRICEHAMN</t>
        </is>
      </c>
      <c r="G10060" t="n">
        <v>4.1</v>
      </c>
      <c r="H10060" t="n">
        <v>0</v>
      </c>
      <c r="I10060" t="n">
        <v>0</v>
      </c>
      <c r="J10060" t="n">
        <v>0</v>
      </c>
      <c r="K10060" t="n">
        <v>0</v>
      </c>
      <c r="L10060" t="n">
        <v>0</v>
      </c>
      <c r="M10060" t="n">
        <v>0</v>
      </c>
      <c r="N10060" t="n">
        <v>0</v>
      </c>
      <c r="O10060" t="n">
        <v>0</v>
      </c>
      <c r="P10060" t="n">
        <v>0</v>
      </c>
      <c r="Q10060" t="n">
        <v>0</v>
      </c>
      <c r="R10060" s="2" t="inlineStr"/>
    </row>
    <row r="10061" ht="15" customHeight="1">
      <c r="A10061" t="inlineStr">
        <is>
          <t>A 64736-2023</t>
        </is>
      </c>
      <c r="B10061" s="1" t="n">
        <v>45281.8468287037</v>
      </c>
      <c r="C10061" s="1" t="n">
        <v>45952</v>
      </c>
      <c r="D10061" t="inlineStr">
        <is>
          <t>VÄSTRA GÖTALANDS LÄN</t>
        </is>
      </c>
      <c r="E10061" t="inlineStr">
        <is>
          <t>ULRICEHAMN</t>
        </is>
      </c>
      <c r="G10061" t="n">
        <v>2.2</v>
      </c>
      <c r="H10061" t="n">
        <v>0</v>
      </c>
      <c r="I10061" t="n">
        <v>0</v>
      </c>
      <c r="J10061" t="n">
        <v>0</v>
      </c>
      <c r="K10061" t="n">
        <v>0</v>
      </c>
      <c r="L10061" t="n">
        <v>0</v>
      </c>
      <c r="M10061" t="n">
        <v>0</v>
      </c>
      <c r="N10061" t="n">
        <v>0</v>
      </c>
      <c r="O10061" t="n">
        <v>0</v>
      </c>
      <c r="P10061" t="n">
        <v>0</v>
      </c>
      <c r="Q10061" t="n">
        <v>0</v>
      </c>
      <c r="R10061" s="2" t="inlineStr"/>
    </row>
    <row r="10062" ht="15" customHeight="1">
      <c r="A10062" t="inlineStr">
        <is>
          <t>A 64738-2023</t>
        </is>
      </c>
      <c r="B10062" s="1" t="n">
        <v>45281</v>
      </c>
      <c r="C10062" s="1" t="n">
        <v>45952</v>
      </c>
      <c r="D10062" t="inlineStr">
        <is>
          <t>VÄSTRA GÖTALANDS LÄN</t>
        </is>
      </c>
      <c r="E10062" t="inlineStr">
        <is>
          <t>ULRICEHAMN</t>
        </is>
      </c>
      <c r="G10062" t="n">
        <v>14.1</v>
      </c>
      <c r="H10062" t="n">
        <v>0</v>
      </c>
      <c r="I10062" t="n">
        <v>0</v>
      </c>
      <c r="J10062" t="n">
        <v>0</v>
      </c>
      <c r="K10062" t="n">
        <v>0</v>
      </c>
      <c r="L10062" t="n">
        <v>0</v>
      </c>
      <c r="M10062" t="n">
        <v>0</v>
      </c>
      <c r="N10062" t="n">
        <v>0</v>
      </c>
      <c r="O10062" t="n">
        <v>0</v>
      </c>
      <c r="P10062" t="n">
        <v>0</v>
      </c>
      <c r="Q10062" t="n">
        <v>0</v>
      </c>
      <c r="R10062" s="2" t="inlineStr"/>
    </row>
    <row r="10063" ht="15" customHeight="1">
      <c r="A10063" t="inlineStr">
        <is>
          <t>A 24586-2025</t>
        </is>
      </c>
      <c r="B10063" s="1" t="n">
        <v>45798.52034722222</v>
      </c>
      <c r="C10063" s="1" t="n">
        <v>45952</v>
      </c>
      <c r="D10063" t="inlineStr">
        <is>
          <t>VÄSTRA GÖTALANDS LÄN</t>
        </is>
      </c>
      <c r="E10063" t="inlineStr">
        <is>
          <t>HERRLJUNGA</t>
        </is>
      </c>
      <c r="G10063" t="n">
        <v>1.7</v>
      </c>
      <c r="H10063" t="n">
        <v>0</v>
      </c>
      <c r="I10063" t="n">
        <v>0</v>
      </c>
      <c r="J10063" t="n">
        <v>0</v>
      </c>
      <c r="K10063" t="n">
        <v>0</v>
      </c>
      <c r="L10063" t="n">
        <v>0</v>
      </c>
      <c r="M10063" t="n">
        <v>0</v>
      </c>
      <c r="N10063" t="n">
        <v>0</v>
      </c>
      <c r="O10063" t="n">
        <v>0</v>
      </c>
      <c r="P10063" t="n">
        <v>0</v>
      </c>
      <c r="Q10063" t="n">
        <v>0</v>
      </c>
      <c r="R10063" s="2" t="inlineStr"/>
    </row>
    <row r="10064" ht="15" customHeight="1">
      <c r="A10064" t="inlineStr">
        <is>
          <t>A 54760-2024</t>
        </is>
      </c>
      <c r="B10064" s="1" t="n">
        <v>45618.46125</v>
      </c>
      <c r="C10064" s="1" t="n">
        <v>45952</v>
      </c>
      <c r="D10064" t="inlineStr">
        <is>
          <t>VÄSTRA GÖTALANDS LÄN</t>
        </is>
      </c>
      <c r="E10064" t="inlineStr">
        <is>
          <t>MUNKEDAL</t>
        </is>
      </c>
      <c r="G10064" t="n">
        <v>1</v>
      </c>
      <c r="H10064" t="n">
        <v>0</v>
      </c>
      <c r="I10064" t="n">
        <v>0</v>
      </c>
      <c r="J10064" t="n">
        <v>0</v>
      </c>
      <c r="K10064" t="n">
        <v>0</v>
      </c>
      <c r="L10064" t="n">
        <v>0</v>
      </c>
      <c r="M10064" t="n">
        <v>0</v>
      </c>
      <c r="N10064" t="n">
        <v>0</v>
      </c>
      <c r="O10064" t="n">
        <v>0</v>
      </c>
      <c r="P10064" t="n">
        <v>0</v>
      </c>
      <c r="Q10064" t="n">
        <v>0</v>
      </c>
      <c r="R10064" s="2" t="inlineStr"/>
    </row>
    <row r="10065" ht="15" customHeight="1">
      <c r="A10065" t="inlineStr">
        <is>
          <t>A 39549-2024</t>
        </is>
      </c>
      <c r="B10065" s="1" t="n">
        <v>45552.32608796296</v>
      </c>
      <c r="C10065" s="1" t="n">
        <v>45952</v>
      </c>
      <c r="D10065" t="inlineStr">
        <is>
          <t>VÄSTRA GÖTALANDS LÄN</t>
        </is>
      </c>
      <c r="E10065" t="inlineStr">
        <is>
          <t>TANUM</t>
        </is>
      </c>
      <c r="G10065" t="n">
        <v>0.9</v>
      </c>
      <c r="H10065" t="n">
        <v>0</v>
      </c>
      <c r="I10065" t="n">
        <v>0</v>
      </c>
      <c r="J10065" t="n">
        <v>0</v>
      </c>
      <c r="K10065" t="n">
        <v>0</v>
      </c>
      <c r="L10065" t="n">
        <v>0</v>
      </c>
      <c r="M10065" t="n">
        <v>0</v>
      </c>
      <c r="N10065" t="n">
        <v>0</v>
      </c>
      <c r="O10065" t="n">
        <v>0</v>
      </c>
      <c r="P10065" t="n">
        <v>0</v>
      </c>
      <c r="Q10065" t="n">
        <v>0</v>
      </c>
      <c r="R10065" s="2" t="inlineStr"/>
    </row>
    <row r="10066" ht="15" customHeight="1">
      <c r="A10066" t="inlineStr">
        <is>
          <t>A 1807-2024</t>
        </is>
      </c>
      <c r="B10066" s="1" t="n">
        <v>45307.59741898148</v>
      </c>
      <c r="C10066" s="1" t="n">
        <v>45952</v>
      </c>
      <c r="D10066" t="inlineStr">
        <is>
          <t>VÄSTRA GÖTALANDS LÄN</t>
        </is>
      </c>
      <c r="E10066" t="inlineStr">
        <is>
          <t>HÄRRYDA</t>
        </is>
      </c>
      <c r="G10066" t="n">
        <v>3.7</v>
      </c>
      <c r="H10066" t="n">
        <v>0</v>
      </c>
      <c r="I10066" t="n">
        <v>0</v>
      </c>
      <c r="J10066" t="n">
        <v>0</v>
      </c>
      <c r="K10066" t="n">
        <v>0</v>
      </c>
      <c r="L10066" t="n">
        <v>0</v>
      </c>
      <c r="M10066" t="n">
        <v>0</v>
      </c>
      <c r="N10066" t="n">
        <v>0</v>
      </c>
      <c r="O10066" t="n">
        <v>0</v>
      </c>
      <c r="P10066" t="n">
        <v>0</v>
      </c>
      <c r="Q10066" t="n">
        <v>0</v>
      </c>
      <c r="R10066" s="2" t="inlineStr"/>
    </row>
    <row r="10067" ht="15" customHeight="1">
      <c r="A10067" t="inlineStr">
        <is>
          <t>A 9979-2024</t>
        </is>
      </c>
      <c r="B10067" s="1" t="n">
        <v>45363.7016087963</v>
      </c>
      <c r="C10067" s="1" t="n">
        <v>45952</v>
      </c>
      <c r="D10067" t="inlineStr">
        <is>
          <t>VÄSTRA GÖTALANDS LÄN</t>
        </is>
      </c>
      <c r="E10067" t="inlineStr">
        <is>
          <t>BENGTSFORS</t>
        </is>
      </c>
      <c r="G10067" t="n">
        <v>1</v>
      </c>
      <c r="H10067" t="n">
        <v>0</v>
      </c>
      <c r="I10067" t="n">
        <v>0</v>
      </c>
      <c r="J10067" t="n">
        <v>0</v>
      </c>
      <c r="K10067" t="n">
        <v>0</v>
      </c>
      <c r="L10067" t="n">
        <v>0</v>
      </c>
      <c r="M10067" t="n">
        <v>0</v>
      </c>
      <c r="N10067" t="n">
        <v>0</v>
      </c>
      <c r="O10067" t="n">
        <v>0</v>
      </c>
      <c r="P10067" t="n">
        <v>0</v>
      </c>
      <c r="Q10067" t="n">
        <v>0</v>
      </c>
      <c r="R10067" s="2" t="inlineStr"/>
    </row>
    <row r="10068" ht="15" customHeight="1">
      <c r="A10068" t="inlineStr">
        <is>
          <t>A 24560-2025</t>
        </is>
      </c>
      <c r="B10068" s="1" t="n">
        <v>45798.45908564814</v>
      </c>
      <c r="C10068" s="1" t="n">
        <v>45952</v>
      </c>
      <c r="D10068" t="inlineStr">
        <is>
          <t>VÄSTRA GÖTALANDS LÄN</t>
        </is>
      </c>
      <c r="E10068" t="inlineStr">
        <is>
          <t>VÄNERSBORG</t>
        </is>
      </c>
      <c r="G10068" t="n">
        <v>1.8</v>
      </c>
      <c r="H10068" t="n">
        <v>0</v>
      </c>
      <c r="I10068" t="n">
        <v>0</v>
      </c>
      <c r="J10068" t="n">
        <v>0</v>
      </c>
      <c r="K10068" t="n">
        <v>0</v>
      </c>
      <c r="L10068" t="n">
        <v>0</v>
      </c>
      <c r="M10068" t="n">
        <v>0</v>
      </c>
      <c r="N10068" t="n">
        <v>0</v>
      </c>
      <c r="O10068" t="n">
        <v>0</v>
      </c>
      <c r="P10068" t="n">
        <v>0</v>
      </c>
      <c r="Q10068" t="n">
        <v>0</v>
      </c>
      <c r="R10068" s="2" t="inlineStr"/>
    </row>
    <row r="10069" ht="15" customHeight="1">
      <c r="A10069" t="inlineStr">
        <is>
          <t>A 24996-2025</t>
        </is>
      </c>
      <c r="B10069" s="1" t="n">
        <v>45799.61603009259</v>
      </c>
      <c r="C10069" s="1" t="n">
        <v>45952</v>
      </c>
      <c r="D10069" t="inlineStr">
        <is>
          <t>VÄSTRA GÖTALANDS LÄN</t>
        </is>
      </c>
      <c r="E10069" t="inlineStr">
        <is>
          <t>SKÖVDE</t>
        </is>
      </c>
      <c r="F10069" t="inlineStr">
        <is>
          <t>Kommuner</t>
        </is>
      </c>
      <c r="G10069" t="n">
        <v>1.8</v>
      </c>
      <c r="H10069" t="n">
        <v>0</v>
      </c>
      <c r="I10069" t="n">
        <v>0</v>
      </c>
      <c r="J10069" t="n">
        <v>0</v>
      </c>
      <c r="K10069" t="n">
        <v>0</v>
      </c>
      <c r="L10069" t="n">
        <v>0</v>
      </c>
      <c r="M10069" t="n">
        <v>0</v>
      </c>
      <c r="N10069" t="n">
        <v>0</v>
      </c>
      <c r="O10069" t="n">
        <v>0</v>
      </c>
      <c r="P10069" t="n">
        <v>0</v>
      </c>
      <c r="Q10069" t="n">
        <v>0</v>
      </c>
      <c r="R10069" s="2" t="inlineStr"/>
    </row>
    <row r="10070" ht="15" customHeight="1">
      <c r="A10070" t="inlineStr">
        <is>
          <t>A 16534-2024</t>
        </is>
      </c>
      <c r="B10070" s="1" t="n">
        <v>45408.43065972222</v>
      </c>
      <c r="C10070" s="1" t="n">
        <v>45952</v>
      </c>
      <c r="D10070" t="inlineStr">
        <is>
          <t>VÄSTRA GÖTALANDS LÄN</t>
        </is>
      </c>
      <c r="E10070" t="inlineStr">
        <is>
          <t>BOLLEBYGD</t>
        </is>
      </c>
      <c r="G10070" t="n">
        <v>4.5</v>
      </c>
      <c r="H10070" t="n">
        <v>0</v>
      </c>
      <c r="I10070" t="n">
        <v>0</v>
      </c>
      <c r="J10070" t="n">
        <v>0</v>
      </c>
      <c r="K10070" t="n">
        <v>0</v>
      </c>
      <c r="L10070" t="n">
        <v>0</v>
      </c>
      <c r="M10070" t="n">
        <v>0</v>
      </c>
      <c r="N10070" t="n">
        <v>0</v>
      </c>
      <c r="O10070" t="n">
        <v>0</v>
      </c>
      <c r="P10070" t="n">
        <v>0</v>
      </c>
      <c r="Q10070" t="n">
        <v>0</v>
      </c>
      <c r="R10070" s="2" t="inlineStr"/>
    </row>
    <row r="10071" ht="15" customHeight="1">
      <c r="A10071" t="inlineStr">
        <is>
          <t>A 39144-2024</t>
        </is>
      </c>
      <c r="B10071" s="1" t="n">
        <v>45548.6153587963</v>
      </c>
      <c r="C10071" s="1" t="n">
        <v>45952</v>
      </c>
      <c r="D10071" t="inlineStr">
        <is>
          <t>VÄSTRA GÖTALANDS LÄN</t>
        </is>
      </c>
      <c r="E10071" t="inlineStr">
        <is>
          <t>GULLSPÅNG</t>
        </is>
      </c>
      <c r="G10071" t="n">
        <v>3</v>
      </c>
      <c r="H10071" t="n">
        <v>0</v>
      </c>
      <c r="I10071" t="n">
        <v>0</v>
      </c>
      <c r="J10071" t="n">
        <v>0</v>
      </c>
      <c r="K10071" t="n">
        <v>0</v>
      </c>
      <c r="L10071" t="n">
        <v>0</v>
      </c>
      <c r="M10071" t="n">
        <v>0</v>
      </c>
      <c r="N10071" t="n">
        <v>0</v>
      </c>
      <c r="O10071" t="n">
        <v>0</v>
      </c>
      <c r="P10071" t="n">
        <v>0</v>
      </c>
      <c r="Q10071" t="n">
        <v>0</v>
      </c>
      <c r="R10071" s="2" t="inlineStr"/>
    </row>
    <row r="10072" ht="15" customHeight="1">
      <c r="A10072" t="inlineStr">
        <is>
          <t>A 25053-2025</t>
        </is>
      </c>
      <c r="B10072" s="1" t="n">
        <v>45799.67575231481</v>
      </c>
      <c r="C10072" s="1" t="n">
        <v>45952</v>
      </c>
      <c r="D10072" t="inlineStr">
        <is>
          <t>VÄSTRA GÖTALANDS LÄN</t>
        </is>
      </c>
      <c r="E10072" t="inlineStr">
        <is>
          <t>HJO</t>
        </is>
      </c>
      <c r="G10072" t="n">
        <v>1.7</v>
      </c>
      <c r="H10072" t="n">
        <v>0</v>
      </c>
      <c r="I10072" t="n">
        <v>0</v>
      </c>
      <c r="J10072" t="n">
        <v>0</v>
      </c>
      <c r="K10072" t="n">
        <v>0</v>
      </c>
      <c r="L10072" t="n">
        <v>0</v>
      </c>
      <c r="M10072" t="n">
        <v>0</v>
      </c>
      <c r="N10072" t="n">
        <v>0</v>
      </c>
      <c r="O10072" t="n">
        <v>0</v>
      </c>
      <c r="P10072" t="n">
        <v>0</v>
      </c>
      <c r="Q10072" t="n">
        <v>0</v>
      </c>
      <c r="R10072" s="2" t="inlineStr"/>
    </row>
    <row r="10073" ht="15" customHeight="1">
      <c r="A10073" t="inlineStr">
        <is>
          <t>A 24520-2025</t>
        </is>
      </c>
      <c r="B10073" s="1" t="n">
        <v>45798.41679398148</v>
      </c>
      <c r="C10073" s="1" t="n">
        <v>45952</v>
      </c>
      <c r="D10073" t="inlineStr">
        <is>
          <t>VÄSTRA GÖTALANDS LÄN</t>
        </is>
      </c>
      <c r="E10073" t="inlineStr">
        <is>
          <t>BENGTSFORS</t>
        </is>
      </c>
      <c r="F10073" t="inlineStr">
        <is>
          <t>Kyrkan</t>
        </is>
      </c>
      <c r="G10073" t="n">
        <v>1.3</v>
      </c>
      <c r="H10073" t="n">
        <v>0</v>
      </c>
      <c r="I10073" t="n">
        <v>0</v>
      </c>
      <c r="J10073" t="n">
        <v>0</v>
      </c>
      <c r="K10073" t="n">
        <v>0</v>
      </c>
      <c r="L10073" t="n">
        <v>0</v>
      </c>
      <c r="M10073" t="n">
        <v>0</v>
      </c>
      <c r="N10073" t="n">
        <v>0</v>
      </c>
      <c r="O10073" t="n">
        <v>0</v>
      </c>
      <c r="P10073" t="n">
        <v>0</v>
      </c>
      <c r="Q10073" t="n">
        <v>0</v>
      </c>
      <c r="R10073" s="2" t="inlineStr"/>
    </row>
    <row r="10074" ht="15" customHeight="1">
      <c r="A10074" t="inlineStr">
        <is>
          <t>A 24609-2025</t>
        </is>
      </c>
      <c r="B10074" s="1" t="n">
        <v>45798.58065972223</v>
      </c>
      <c r="C10074" s="1" t="n">
        <v>45952</v>
      </c>
      <c r="D10074" t="inlineStr">
        <is>
          <t>VÄSTRA GÖTALANDS LÄN</t>
        </is>
      </c>
      <c r="E10074" t="inlineStr">
        <is>
          <t>VARA</t>
        </is>
      </c>
      <c r="G10074" t="n">
        <v>2</v>
      </c>
      <c r="H10074" t="n">
        <v>0</v>
      </c>
      <c r="I10074" t="n">
        <v>0</v>
      </c>
      <c r="J10074" t="n">
        <v>0</v>
      </c>
      <c r="K10074" t="n">
        <v>0</v>
      </c>
      <c r="L10074" t="n">
        <v>0</v>
      </c>
      <c r="M10074" t="n">
        <v>0</v>
      </c>
      <c r="N10074" t="n">
        <v>0</v>
      </c>
      <c r="O10074" t="n">
        <v>0</v>
      </c>
      <c r="P10074" t="n">
        <v>0</v>
      </c>
      <c r="Q10074" t="n">
        <v>0</v>
      </c>
      <c r="R10074" s="2" t="inlineStr"/>
    </row>
    <row r="10075" ht="15" customHeight="1">
      <c r="A10075" t="inlineStr">
        <is>
          <t>A 4661-2024</t>
        </is>
      </c>
      <c r="B10075" s="1" t="n">
        <v>45328.46517361111</v>
      </c>
      <c r="C10075" s="1" t="n">
        <v>45952</v>
      </c>
      <c r="D10075" t="inlineStr">
        <is>
          <t>VÄSTRA GÖTALANDS LÄN</t>
        </is>
      </c>
      <c r="E10075" t="inlineStr">
        <is>
          <t>DALS-ED</t>
        </is>
      </c>
      <c r="G10075" t="n">
        <v>1</v>
      </c>
      <c r="H10075" t="n">
        <v>0</v>
      </c>
      <c r="I10075" t="n">
        <v>0</v>
      </c>
      <c r="J10075" t="n">
        <v>0</v>
      </c>
      <c r="K10075" t="n">
        <v>0</v>
      </c>
      <c r="L10075" t="n">
        <v>0</v>
      </c>
      <c r="M10075" t="n">
        <v>0</v>
      </c>
      <c r="N10075" t="n">
        <v>0</v>
      </c>
      <c r="O10075" t="n">
        <v>0</v>
      </c>
      <c r="P10075" t="n">
        <v>0</v>
      </c>
      <c r="Q10075" t="n">
        <v>0</v>
      </c>
      <c r="R10075" s="2" t="inlineStr"/>
    </row>
    <row r="10076" ht="15" customHeight="1">
      <c r="A10076" t="inlineStr">
        <is>
          <t>A 53247-2023</t>
        </is>
      </c>
      <c r="B10076" s="1" t="n">
        <v>45229.50737268518</v>
      </c>
      <c r="C10076" s="1" t="n">
        <v>45952</v>
      </c>
      <c r="D10076" t="inlineStr">
        <is>
          <t>VÄSTRA GÖTALANDS LÄN</t>
        </is>
      </c>
      <c r="E10076" t="inlineStr">
        <is>
          <t>KARLSBORG</t>
        </is>
      </c>
      <c r="G10076" t="n">
        <v>3.7</v>
      </c>
      <c r="H10076" t="n">
        <v>0</v>
      </c>
      <c r="I10076" t="n">
        <v>0</v>
      </c>
      <c r="J10076" t="n">
        <v>0</v>
      </c>
      <c r="K10076" t="n">
        <v>0</v>
      </c>
      <c r="L10076" t="n">
        <v>0</v>
      </c>
      <c r="M10076" t="n">
        <v>0</v>
      </c>
      <c r="N10076" t="n">
        <v>0</v>
      </c>
      <c r="O10076" t="n">
        <v>0</v>
      </c>
      <c r="P10076" t="n">
        <v>0</v>
      </c>
      <c r="Q10076" t="n">
        <v>0</v>
      </c>
      <c r="R10076" s="2" t="inlineStr"/>
    </row>
    <row r="10077" ht="15" customHeight="1">
      <c r="A10077" t="inlineStr">
        <is>
          <t>A 8574-2024</t>
        </is>
      </c>
      <c r="B10077" s="1" t="n">
        <v>45355</v>
      </c>
      <c r="C10077" s="1" t="n">
        <v>45952</v>
      </c>
      <c r="D10077" t="inlineStr">
        <is>
          <t>VÄSTRA GÖTALANDS LÄN</t>
        </is>
      </c>
      <c r="E10077" t="inlineStr">
        <is>
          <t>FÄRGELANDA</t>
        </is>
      </c>
      <c r="G10077" t="n">
        <v>2.2</v>
      </c>
      <c r="H10077" t="n">
        <v>0</v>
      </c>
      <c r="I10077" t="n">
        <v>0</v>
      </c>
      <c r="J10077" t="n">
        <v>0</v>
      </c>
      <c r="K10077" t="n">
        <v>0</v>
      </c>
      <c r="L10077" t="n">
        <v>0</v>
      </c>
      <c r="M10077" t="n">
        <v>0</v>
      </c>
      <c r="N10077" t="n">
        <v>0</v>
      </c>
      <c r="O10077" t="n">
        <v>0</v>
      </c>
      <c r="P10077" t="n">
        <v>0</v>
      </c>
      <c r="Q10077" t="n">
        <v>0</v>
      </c>
      <c r="R10077" s="2" t="inlineStr"/>
    </row>
    <row r="10078" ht="15" customHeight="1">
      <c r="A10078" t="inlineStr">
        <is>
          <t>A 54518-2023</t>
        </is>
      </c>
      <c r="B10078" s="1" t="n">
        <v>45233</v>
      </c>
      <c r="C10078" s="1" t="n">
        <v>45952</v>
      </c>
      <c r="D10078" t="inlineStr">
        <is>
          <t>VÄSTRA GÖTALANDS LÄN</t>
        </is>
      </c>
      <c r="E10078" t="inlineStr">
        <is>
          <t>MUNKEDAL</t>
        </is>
      </c>
      <c r="G10078" t="n">
        <v>1.3</v>
      </c>
      <c r="H10078" t="n">
        <v>0</v>
      </c>
      <c r="I10078" t="n">
        <v>0</v>
      </c>
      <c r="J10078" t="n">
        <v>0</v>
      </c>
      <c r="K10078" t="n">
        <v>0</v>
      </c>
      <c r="L10078" t="n">
        <v>0</v>
      </c>
      <c r="M10078" t="n">
        <v>0</v>
      </c>
      <c r="N10078" t="n">
        <v>0</v>
      </c>
      <c r="O10078" t="n">
        <v>0</v>
      </c>
      <c r="P10078" t="n">
        <v>0</v>
      </c>
      <c r="Q10078" t="n">
        <v>0</v>
      </c>
      <c r="R10078" s="2" t="inlineStr"/>
    </row>
    <row r="10079" ht="15" customHeight="1">
      <c r="A10079" t="inlineStr">
        <is>
          <t>A 42396-2024</t>
        </is>
      </c>
      <c r="B10079" s="1" t="n">
        <v>45565.32887731482</v>
      </c>
      <c r="C10079" s="1" t="n">
        <v>45952</v>
      </c>
      <c r="D10079" t="inlineStr">
        <is>
          <t>VÄSTRA GÖTALANDS LÄN</t>
        </is>
      </c>
      <c r="E10079" t="inlineStr">
        <is>
          <t>BENGTSFORS</t>
        </is>
      </c>
      <c r="G10079" t="n">
        <v>1.1</v>
      </c>
      <c r="H10079" t="n">
        <v>0</v>
      </c>
      <c r="I10079" t="n">
        <v>0</v>
      </c>
      <c r="J10079" t="n">
        <v>0</v>
      </c>
      <c r="K10079" t="n">
        <v>0</v>
      </c>
      <c r="L10079" t="n">
        <v>0</v>
      </c>
      <c r="M10079" t="n">
        <v>0</v>
      </c>
      <c r="N10079" t="n">
        <v>0</v>
      </c>
      <c r="O10079" t="n">
        <v>0</v>
      </c>
      <c r="P10079" t="n">
        <v>0</v>
      </c>
      <c r="Q10079" t="n">
        <v>0</v>
      </c>
      <c r="R10079" s="2" t="inlineStr"/>
    </row>
    <row r="10080" ht="15" customHeight="1">
      <c r="A10080" t="inlineStr">
        <is>
          <t>A 981-2025</t>
        </is>
      </c>
      <c r="B10080" s="1" t="n">
        <v>45666.41128472222</v>
      </c>
      <c r="C10080" s="1" t="n">
        <v>45952</v>
      </c>
      <c r="D10080" t="inlineStr">
        <is>
          <t>VÄSTRA GÖTALANDS LÄN</t>
        </is>
      </c>
      <c r="E10080" t="inlineStr">
        <is>
          <t>DALS-ED</t>
        </is>
      </c>
      <c r="G10080" t="n">
        <v>2.7</v>
      </c>
      <c r="H10080" t="n">
        <v>0</v>
      </c>
      <c r="I10080" t="n">
        <v>0</v>
      </c>
      <c r="J10080" t="n">
        <v>0</v>
      </c>
      <c r="K10080" t="n">
        <v>0</v>
      </c>
      <c r="L10080" t="n">
        <v>0</v>
      </c>
      <c r="M10080" t="n">
        <v>0</v>
      </c>
      <c r="N10080" t="n">
        <v>0</v>
      </c>
      <c r="O10080" t="n">
        <v>0</v>
      </c>
      <c r="P10080" t="n">
        <v>0</v>
      </c>
      <c r="Q10080" t="n">
        <v>0</v>
      </c>
      <c r="R10080" s="2" t="inlineStr"/>
    </row>
    <row r="10081" ht="15" customHeight="1">
      <c r="A10081" t="inlineStr">
        <is>
          <t>A 60026-2023</t>
        </is>
      </c>
      <c r="B10081" s="1" t="n">
        <v>45258.31431712963</v>
      </c>
      <c r="C10081" s="1" t="n">
        <v>45952</v>
      </c>
      <c r="D10081" t="inlineStr">
        <is>
          <t>VÄSTRA GÖTALANDS LÄN</t>
        </is>
      </c>
      <c r="E10081" t="inlineStr">
        <is>
          <t>ALINGSÅS</t>
        </is>
      </c>
      <c r="G10081" t="n">
        <v>1.2</v>
      </c>
      <c r="H10081" t="n">
        <v>0</v>
      </c>
      <c r="I10081" t="n">
        <v>0</v>
      </c>
      <c r="J10081" t="n">
        <v>0</v>
      </c>
      <c r="K10081" t="n">
        <v>0</v>
      </c>
      <c r="L10081" t="n">
        <v>0</v>
      </c>
      <c r="M10081" t="n">
        <v>0</v>
      </c>
      <c r="N10081" t="n">
        <v>0</v>
      </c>
      <c r="O10081" t="n">
        <v>0</v>
      </c>
      <c r="P10081" t="n">
        <v>0</v>
      </c>
      <c r="Q10081" t="n">
        <v>0</v>
      </c>
      <c r="R10081" s="2" t="inlineStr"/>
    </row>
    <row r="10082" ht="15" customHeight="1">
      <c r="A10082" t="inlineStr">
        <is>
          <t>A 44482-2023</t>
        </is>
      </c>
      <c r="B10082" s="1" t="n">
        <v>45189</v>
      </c>
      <c r="C10082" s="1" t="n">
        <v>45952</v>
      </c>
      <c r="D10082" t="inlineStr">
        <is>
          <t>VÄSTRA GÖTALANDS LÄN</t>
        </is>
      </c>
      <c r="E10082" t="inlineStr">
        <is>
          <t>MUNKEDAL</t>
        </is>
      </c>
      <c r="G10082" t="n">
        <v>0.9</v>
      </c>
      <c r="H10082" t="n">
        <v>0</v>
      </c>
      <c r="I10082" t="n">
        <v>0</v>
      </c>
      <c r="J10082" t="n">
        <v>0</v>
      </c>
      <c r="K10082" t="n">
        <v>0</v>
      </c>
      <c r="L10082" t="n">
        <v>0</v>
      </c>
      <c r="M10082" t="n">
        <v>0</v>
      </c>
      <c r="N10082" t="n">
        <v>0</v>
      </c>
      <c r="O10082" t="n">
        <v>0</v>
      </c>
      <c r="P10082" t="n">
        <v>0</v>
      </c>
      <c r="Q10082" t="n">
        <v>0</v>
      </c>
      <c r="R10082" s="2" t="inlineStr"/>
    </row>
    <row r="10083" ht="15" customHeight="1">
      <c r="A10083" t="inlineStr">
        <is>
          <t>A 12496-2025</t>
        </is>
      </c>
      <c r="B10083" s="1" t="n">
        <v>45730</v>
      </c>
      <c r="C10083" s="1" t="n">
        <v>45952</v>
      </c>
      <c r="D10083" t="inlineStr">
        <is>
          <t>VÄSTRA GÖTALANDS LÄN</t>
        </is>
      </c>
      <c r="E10083" t="inlineStr">
        <is>
          <t>BORÅS</t>
        </is>
      </c>
      <c r="G10083" t="n">
        <v>3.6</v>
      </c>
      <c r="H10083" t="n">
        <v>0</v>
      </c>
      <c r="I10083" t="n">
        <v>0</v>
      </c>
      <c r="J10083" t="n">
        <v>0</v>
      </c>
      <c r="K10083" t="n">
        <v>0</v>
      </c>
      <c r="L10083" t="n">
        <v>0</v>
      </c>
      <c r="M10083" t="n">
        <v>0</v>
      </c>
      <c r="N10083" t="n">
        <v>0</v>
      </c>
      <c r="O10083" t="n">
        <v>0</v>
      </c>
      <c r="P10083" t="n">
        <v>0</v>
      </c>
      <c r="Q10083" t="n">
        <v>0</v>
      </c>
      <c r="R10083" s="2" t="inlineStr"/>
    </row>
    <row r="10084" ht="15" customHeight="1">
      <c r="A10084" t="inlineStr">
        <is>
          <t>A 12557-2025</t>
        </is>
      </c>
      <c r="B10084" s="1" t="n">
        <v>45731.44824074074</v>
      </c>
      <c r="C10084" s="1" t="n">
        <v>45952</v>
      </c>
      <c r="D10084" t="inlineStr">
        <is>
          <t>VÄSTRA GÖTALANDS LÄN</t>
        </is>
      </c>
      <c r="E10084" t="inlineStr">
        <is>
          <t>MUNKEDAL</t>
        </is>
      </c>
      <c r="G10084" t="n">
        <v>2.5</v>
      </c>
      <c r="H10084" t="n">
        <v>0</v>
      </c>
      <c r="I10084" t="n">
        <v>0</v>
      </c>
      <c r="J10084" t="n">
        <v>0</v>
      </c>
      <c r="K10084" t="n">
        <v>0</v>
      </c>
      <c r="L10084" t="n">
        <v>0</v>
      </c>
      <c r="M10084" t="n">
        <v>0</v>
      </c>
      <c r="N10084" t="n">
        <v>0</v>
      </c>
      <c r="O10084" t="n">
        <v>0</v>
      </c>
      <c r="P10084" t="n">
        <v>0</v>
      </c>
      <c r="Q10084" t="n">
        <v>0</v>
      </c>
      <c r="R10084" s="2" t="inlineStr"/>
    </row>
    <row r="10085" ht="15" customHeight="1">
      <c r="A10085" t="inlineStr">
        <is>
          <t>A 46929-2023</t>
        </is>
      </c>
      <c r="B10085" s="1" t="n">
        <v>45201</v>
      </c>
      <c r="C10085" s="1" t="n">
        <v>45952</v>
      </c>
      <c r="D10085" t="inlineStr">
        <is>
          <t>VÄSTRA GÖTALANDS LÄN</t>
        </is>
      </c>
      <c r="E10085" t="inlineStr">
        <is>
          <t>BENGTSFORS</t>
        </is>
      </c>
      <c r="G10085" t="n">
        <v>1.8</v>
      </c>
      <c r="H10085" t="n">
        <v>0</v>
      </c>
      <c r="I10085" t="n">
        <v>0</v>
      </c>
      <c r="J10085" t="n">
        <v>0</v>
      </c>
      <c r="K10085" t="n">
        <v>0</v>
      </c>
      <c r="L10085" t="n">
        <v>0</v>
      </c>
      <c r="M10085" t="n">
        <v>0</v>
      </c>
      <c r="N10085" t="n">
        <v>0</v>
      </c>
      <c r="O10085" t="n">
        <v>0</v>
      </c>
      <c r="P10085" t="n">
        <v>0</v>
      </c>
      <c r="Q10085" t="n">
        <v>0</v>
      </c>
      <c r="R10085" s="2" t="inlineStr"/>
    </row>
    <row r="10086" ht="15" customHeight="1">
      <c r="A10086" t="inlineStr">
        <is>
          <t>A 24723-2025</t>
        </is>
      </c>
      <c r="B10086" s="1" t="n">
        <v>45799.31555555556</v>
      </c>
      <c r="C10086" s="1" t="n">
        <v>45952</v>
      </c>
      <c r="D10086" t="inlineStr">
        <is>
          <t>VÄSTRA GÖTALANDS LÄN</t>
        </is>
      </c>
      <c r="E10086" t="inlineStr">
        <is>
          <t>HJO</t>
        </is>
      </c>
      <c r="G10086" t="n">
        <v>1.2</v>
      </c>
      <c r="H10086" t="n">
        <v>0</v>
      </c>
      <c r="I10086" t="n">
        <v>0</v>
      </c>
      <c r="J10086" t="n">
        <v>0</v>
      </c>
      <c r="K10086" t="n">
        <v>0</v>
      </c>
      <c r="L10086" t="n">
        <v>0</v>
      </c>
      <c r="M10086" t="n">
        <v>0</v>
      </c>
      <c r="N10086" t="n">
        <v>0</v>
      </c>
      <c r="O10086" t="n">
        <v>0</v>
      </c>
      <c r="P10086" t="n">
        <v>0</v>
      </c>
      <c r="Q10086" t="n">
        <v>0</v>
      </c>
      <c r="R10086" s="2" t="inlineStr"/>
    </row>
    <row r="10087" ht="15" customHeight="1">
      <c r="A10087" t="inlineStr">
        <is>
          <t>A 24771-2025</t>
        </is>
      </c>
      <c r="B10087" s="1" t="n">
        <v>45799.40148148148</v>
      </c>
      <c r="C10087" s="1" t="n">
        <v>45952</v>
      </c>
      <c r="D10087" t="inlineStr">
        <is>
          <t>VÄSTRA GÖTALANDS LÄN</t>
        </is>
      </c>
      <c r="E10087" t="inlineStr">
        <is>
          <t>MARK</t>
        </is>
      </c>
      <c r="G10087" t="n">
        <v>1</v>
      </c>
      <c r="H10087" t="n">
        <v>0</v>
      </c>
      <c r="I10087" t="n">
        <v>0</v>
      </c>
      <c r="J10087" t="n">
        <v>0</v>
      </c>
      <c r="K10087" t="n">
        <v>0</v>
      </c>
      <c r="L10087" t="n">
        <v>0</v>
      </c>
      <c r="M10087" t="n">
        <v>0</v>
      </c>
      <c r="N10087" t="n">
        <v>0</v>
      </c>
      <c r="O10087" t="n">
        <v>0</v>
      </c>
      <c r="P10087" t="n">
        <v>0</v>
      </c>
      <c r="Q10087" t="n">
        <v>0</v>
      </c>
      <c r="R10087" s="2" t="inlineStr"/>
    </row>
    <row r="10088" ht="15" customHeight="1">
      <c r="A10088" t="inlineStr">
        <is>
          <t>A 11918-2024</t>
        </is>
      </c>
      <c r="B10088" s="1" t="n">
        <v>45376.60981481482</v>
      </c>
      <c r="C10088" s="1" t="n">
        <v>45952</v>
      </c>
      <c r="D10088" t="inlineStr">
        <is>
          <t>VÄSTRA GÖTALANDS LÄN</t>
        </is>
      </c>
      <c r="E10088" t="inlineStr">
        <is>
          <t>BENGTSFORS</t>
        </is>
      </c>
      <c r="G10088" t="n">
        <v>1.6</v>
      </c>
      <c r="H10088" t="n">
        <v>0</v>
      </c>
      <c r="I10088" t="n">
        <v>0</v>
      </c>
      <c r="J10088" t="n">
        <v>0</v>
      </c>
      <c r="K10088" t="n">
        <v>0</v>
      </c>
      <c r="L10088" t="n">
        <v>0</v>
      </c>
      <c r="M10088" t="n">
        <v>0</v>
      </c>
      <c r="N10088" t="n">
        <v>0</v>
      </c>
      <c r="O10088" t="n">
        <v>0</v>
      </c>
      <c r="P10088" t="n">
        <v>0</v>
      </c>
      <c r="Q10088" t="n">
        <v>0</v>
      </c>
      <c r="R10088" s="2" t="inlineStr"/>
    </row>
    <row r="10089" ht="15" customHeight="1">
      <c r="A10089" t="inlineStr">
        <is>
          <t>A 64551-2023</t>
        </is>
      </c>
      <c r="B10089" s="1" t="n">
        <v>45281.40021990741</v>
      </c>
      <c r="C10089" s="1" t="n">
        <v>45952</v>
      </c>
      <c r="D10089" t="inlineStr">
        <is>
          <t>VÄSTRA GÖTALANDS LÄN</t>
        </is>
      </c>
      <c r="E10089" t="inlineStr">
        <is>
          <t>SKARA</t>
        </is>
      </c>
      <c r="G10089" t="n">
        <v>0.3</v>
      </c>
      <c r="H10089" t="n">
        <v>0</v>
      </c>
      <c r="I10089" t="n">
        <v>0</v>
      </c>
      <c r="J10089" t="n">
        <v>0</v>
      </c>
      <c r="K10089" t="n">
        <v>0</v>
      </c>
      <c r="L10089" t="n">
        <v>0</v>
      </c>
      <c r="M10089" t="n">
        <v>0</v>
      </c>
      <c r="N10089" t="n">
        <v>0</v>
      </c>
      <c r="O10089" t="n">
        <v>0</v>
      </c>
      <c r="P10089" t="n">
        <v>0</v>
      </c>
      <c r="Q10089" t="n">
        <v>0</v>
      </c>
      <c r="R10089" s="2" t="inlineStr"/>
    </row>
    <row r="10090" ht="15" customHeight="1">
      <c r="A10090" t="inlineStr">
        <is>
          <t>A 24542-2025</t>
        </is>
      </c>
      <c r="B10090" s="1" t="n">
        <v>45798.44365740741</v>
      </c>
      <c r="C10090" s="1" t="n">
        <v>45952</v>
      </c>
      <c r="D10090" t="inlineStr">
        <is>
          <t>VÄSTRA GÖTALANDS LÄN</t>
        </is>
      </c>
      <c r="E10090" t="inlineStr">
        <is>
          <t>HÄRRYDA</t>
        </is>
      </c>
      <c r="G10090" t="n">
        <v>2.9</v>
      </c>
      <c r="H10090" t="n">
        <v>0</v>
      </c>
      <c r="I10090" t="n">
        <v>0</v>
      </c>
      <c r="J10090" t="n">
        <v>0</v>
      </c>
      <c r="K10090" t="n">
        <v>0</v>
      </c>
      <c r="L10090" t="n">
        <v>0</v>
      </c>
      <c r="M10090" t="n">
        <v>0</v>
      </c>
      <c r="N10090" t="n">
        <v>0</v>
      </c>
      <c r="O10090" t="n">
        <v>0</v>
      </c>
      <c r="P10090" t="n">
        <v>0</v>
      </c>
      <c r="Q10090" t="n">
        <v>0</v>
      </c>
      <c r="R10090" s="2" t="inlineStr"/>
    </row>
    <row r="10091" ht="15" customHeight="1">
      <c r="A10091" t="inlineStr">
        <is>
          <t>A 36038-2021</t>
        </is>
      </c>
      <c r="B10091" s="1" t="n">
        <v>44386</v>
      </c>
      <c r="C10091" s="1" t="n">
        <v>45952</v>
      </c>
      <c r="D10091" t="inlineStr">
        <is>
          <t>VÄSTRA GÖTALANDS LÄN</t>
        </is>
      </c>
      <c r="E10091" t="inlineStr">
        <is>
          <t>MARIESTAD</t>
        </is>
      </c>
      <c r="G10091" t="n">
        <v>5.1</v>
      </c>
      <c r="H10091" t="n">
        <v>0</v>
      </c>
      <c r="I10091" t="n">
        <v>0</v>
      </c>
      <c r="J10091" t="n">
        <v>0</v>
      </c>
      <c r="K10091" t="n">
        <v>0</v>
      </c>
      <c r="L10091" t="n">
        <v>0</v>
      </c>
      <c r="M10091" t="n">
        <v>0</v>
      </c>
      <c r="N10091" t="n">
        <v>0</v>
      </c>
      <c r="O10091" t="n">
        <v>0</v>
      </c>
      <c r="P10091" t="n">
        <v>0</v>
      </c>
      <c r="Q10091" t="n">
        <v>0</v>
      </c>
      <c r="R10091" s="2" t="inlineStr"/>
    </row>
    <row r="10092" ht="15" customHeight="1">
      <c r="A10092" t="inlineStr">
        <is>
          <t>A 35188-2024</t>
        </is>
      </c>
      <c r="B10092" s="1" t="n">
        <v>45530.45415509259</v>
      </c>
      <c r="C10092" s="1" t="n">
        <v>45952</v>
      </c>
      <c r="D10092" t="inlineStr">
        <is>
          <t>VÄSTRA GÖTALANDS LÄN</t>
        </is>
      </c>
      <c r="E10092" t="inlineStr">
        <is>
          <t>BENGTSFORS</t>
        </is>
      </c>
      <c r="G10092" t="n">
        <v>3</v>
      </c>
      <c r="H10092" t="n">
        <v>0</v>
      </c>
      <c r="I10092" t="n">
        <v>0</v>
      </c>
      <c r="J10092" t="n">
        <v>0</v>
      </c>
      <c r="K10092" t="n">
        <v>0</v>
      </c>
      <c r="L10092" t="n">
        <v>0</v>
      </c>
      <c r="M10092" t="n">
        <v>0</v>
      </c>
      <c r="N10092" t="n">
        <v>0</v>
      </c>
      <c r="O10092" t="n">
        <v>0</v>
      </c>
      <c r="P10092" t="n">
        <v>0</v>
      </c>
      <c r="Q10092" t="n">
        <v>0</v>
      </c>
      <c r="R10092" s="2" t="inlineStr"/>
    </row>
    <row r="10093" ht="15" customHeight="1">
      <c r="A10093" t="inlineStr">
        <is>
          <t>A 65763-2021</t>
        </is>
      </c>
      <c r="B10093" s="1" t="n">
        <v>44516</v>
      </c>
      <c r="C10093" s="1" t="n">
        <v>45952</v>
      </c>
      <c r="D10093" t="inlineStr">
        <is>
          <t>VÄSTRA GÖTALANDS LÄN</t>
        </is>
      </c>
      <c r="E10093" t="inlineStr">
        <is>
          <t>BENGTSFORS</t>
        </is>
      </c>
      <c r="G10093" t="n">
        <v>8.6</v>
      </c>
      <c r="H10093" t="n">
        <v>0</v>
      </c>
      <c r="I10093" t="n">
        <v>0</v>
      </c>
      <c r="J10093" t="n">
        <v>0</v>
      </c>
      <c r="K10093" t="n">
        <v>0</v>
      </c>
      <c r="L10093" t="n">
        <v>0</v>
      </c>
      <c r="M10093" t="n">
        <v>0</v>
      </c>
      <c r="N10093" t="n">
        <v>0</v>
      </c>
      <c r="O10093" t="n">
        <v>0</v>
      </c>
      <c r="P10093" t="n">
        <v>0</v>
      </c>
      <c r="Q10093" t="n">
        <v>0</v>
      </c>
      <c r="R10093" s="2" t="inlineStr"/>
    </row>
    <row r="10094" ht="15" customHeight="1">
      <c r="A10094" t="inlineStr">
        <is>
          <t>A 21332-2024</t>
        </is>
      </c>
      <c r="B10094" s="1" t="n">
        <v>45440.87398148148</v>
      </c>
      <c r="C10094" s="1" t="n">
        <v>45952</v>
      </c>
      <c r="D10094" t="inlineStr">
        <is>
          <t>VÄSTRA GÖTALANDS LÄN</t>
        </is>
      </c>
      <c r="E10094" t="inlineStr">
        <is>
          <t>UDDEVALLA</t>
        </is>
      </c>
      <c r="G10094" t="n">
        <v>3.3</v>
      </c>
      <c r="H10094" t="n">
        <v>0</v>
      </c>
      <c r="I10094" t="n">
        <v>0</v>
      </c>
      <c r="J10094" t="n">
        <v>0</v>
      </c>
      <c r="K10094" t="n">
        <v>0</v>
      </c>
      <c r="L10094" t="n">
        <v>0</v>
      </c>
      <c r="M10094" t="n">
        <v>0</v>
      </c>
      <c r="N10094" t="n">
        <v>0</v>
      </c>
      <c r="O10094" t="n">
        <v>0</v>
      </c>
      <c r="P10094" t="n">
        <v>0</v>
      </c>
      <c r="Q10094" t="n">
        <v>0</v>
      </c>
      <c r="R10094" s="2" t="inlineStr"/>
    </row>
    <row r="10095" ht="15" customHeight="1">
      <c r="A10095" t="inlineStr">
        <is>
          <t>A 44155-2022</t>
        </is>
      </c>
      <c r="B10095" s="1" t="n">
        <v>44839</v>
      </c>
      <c r="C10095" s="1" t="n">
        <v>45952</v>
      </c>
      <c r="D10095" t="inlineStr">
        <is>
          <t>VÄSTRA GÖTALANDS LÄN</t>
        </is>
      </c>
      <c r="E10095" t="inlineStr">
        <is>
          <t>BORÅS</t>
        </is>
      </c>
      <c r="G10095" t="n">
        <v>0.9</v>
      </c>
      <c r="H10095" t="n">
        <v>0</v>
      </c>
      <c r="I10095" t="n">
        <v>0</v>
      </c>
      <c r="J10095" t="n">
        <v>0</v>
      </c>
      <c r="K10095" t="n">
        <v>0</v>
      </c>
      <c r="L10095" t="n">
        <v>0</v>
      </c>
      <c r="M10095" t="n">
        <v>0</v>
      </c>
      <c r="N10095" t="n">
        <v>0</v>
      </c>
      <c r="O10095" t="n">
        <v>0</v>
      </c>
      <c r="P10095" t="n">
        <v>0</v>
      </c>
      <c r="Q10095" t="n">
        <v>0</v>
      </c>
      <c r="R10095" s="2" t="inlineStr"/>
    </row>
    <row r="10096" ht="15" customHeight="1">
      <c r="A10096" t="inlineStr">
        <is>
          <t>A 21060-2024</t>
        </is>
      </c>
      <c r="B10096" s="1" t="n">
        <v>45439.75086805555</v>
      </c>
      <c r="C10096" s="1" t="n">
        <v>45952</v>
      </c>
      <c r="D10096" t="inlineStr">
        <is>
          <t>VÄSTRA GÖTALANDS LÄN</t>
        </is>
      </c>
      <c r="E10096" t="inlineStr">
        <is>
          <t>GRÄSTORP</t>
        </is>
      </c>
      <c r="G10096" t="n">
        <v>3.1</v>
      </c>
      <c r="H10096" t="n">
        <v>0</v>
      </c>
      <c r="I10096" t="n">
        <v>0</v>
      </c>
      <c r="J10096" t="n">
        <v>0</v>
      </c>
      <c r="K10096" t="n">
        <v>0</v>
      </c>
      <c r="L10096" t="n">
        <v>0</v>
      </c>
      <c r="M10096" t="n">
        <v>0</v>
      </c>
      <c r="N10096" t="n">
        <v>0</v>
      </c>
      <c r="O10096" t="n">
        <v>0</v>
      </c>
      <c r="P10096" t="n">
        <v>0</v>
      </c>
      <c r="Q10096" t="n">
        <v>0</v>
      </c>
      <c r="R10096" s="2" t="inlineStr"/>
    </row>
    <row r="10097" ht="15" customHeight="1">
      <c r="A10097" t="inlineStr">
        <is>
          <t>A 25063-2025</t>
        </is>
      </c>
      <c r="B10097" s="1" t="n">
        <v>45799.70287037037</v>
      </c>
      <c r="C10097" s="1" t="n">
        <v>45952</v>
      </c>
      <c r="D10097" t="inlineStr">
        <is>
          <t>VÄSTRA GÖTALANDS LÄN</t>
        </is>
      </c>
      <c r="E10097" t="inlineStr">
        <is>
          <t>TIBRO</t>
        </is>
      </c>
      <c r="G10097" t="n">
        <v>1.5</v>
      </c>
      <c r="H10097" t="n">
        <v>0</v>
      </c>
      <c r="I10097" t="n">
        <v>0</v>
      </c>
      <c r="J10097" t="n">
        <v>0</v>
      </c>
      <c r="K10097" t="n">
        <v>0</v>
      </c>
      <c r="L10097" t="n">
        <v>0</v>
      </c>
      <c r="M10097" t="n">
        <v>0</v>
      </c>
      <c r="N10097" t="n">
        <v>0</v>
      </c>
      <c r="O10097" t="n">
        <v>0</v>
      </c>
      <c r="P10097" t="n">
        <v>0</v>
      </c>
      <c r="Q10097" t="n">
        <v>0</v>
      </c>
      <c r="R10097" s="2" t="inlineStr"/>
    </row>
    <row r="10098" ht="15" customHeight="1">
      <c r="A10098" t="inlineStr">
        <is>
          <t>A 44796-2022</t>
        </is>
      </c>
      <c r="B10098" s="1" t="n">
        <v>44841</v>
      </c>
      <c r="C10098" s="1" t="n">
        <v>45952</v>
      </c>
      <c r="D10098" t="inlineStr">
        <is>
          <t>VÄSTRA GÖTALANDS LÄN</t>
        </is>
      </c>
      <c r="E10098" t="inlineStr">
        <is>
          <t>FÄRGELANDA</t>
        </is>
      </c>
      <c r="G10098" t="n">
        <v>2.1</v>
      </c>
      <c r="H10098" t="n">
        <v>0</v>
      </c>
      <c r="I10098" t="n">
        <v>0</v>
      </c>
      <c r="J10098" t="n">
        <v>0</v>
      </c>
      <c r="K10098" t="n">
        <v>0</v>
      </c>
      <c r="L10098" t="n">
        <v>0</v>
      </c>
      <c r="M10098" t="n">
        <v>0</v>
      </c>
      <c r="N10098" t="n">
        <v>0</v>
      </c>
      <c r="O10098" t="n">
        <v>0</v>
      </c>
      <c r="P10098" t="n">
        <v>0</v>
      </c>
      <c r="Q10098" t="n">
        <v>0</v>
      </c>
      <c r="R10098" s="2" t="inlineStr"/>
    </row>
    <row r="10099" ht="15" customHeight="1">
      <c r="A10099" t="inlineStr">
        <is>
          <t>A 32110-2023</t>
        </is>
      </c>
      <c r="B10099" s="1" t="n">
        <v>45119.61902777778</v>
      </c>
      <c r="C10099" s="1" t="n">
        <v>45952</v>
      </c>
      <c r="D10099" t="inlineStr">
        <is>
          <t>VÄSTRA GÖTALANDS LÄN</t>
        </is>
      </c>
      <c r="E10099" t="inlineStr">
        <is>
          <t>LILLA EDET</t>
        </is>
      </c>
      <c r="G10099" t="n">
        <v>4</v>
      </c>
      <c r="H10099" t="n">
        <v>0</v>
      </c>
      <c r="I10099" t="n">
        <v>0</v>
      </c>
      <c r="J10099" t="n">
        <v>0</v>
      </c>
      <c r="K10099" t="n">
        <v>0</v>
      </c>
      <c r="L10099" t="n">
        <v>0</v>
      </c>
      <c r="M10099" t="n">
        <v>0</v>
      </c>
      <c r="N10099" t="n">
        <v>0</v>
      </c>
      <c r="O10099" t="n">
        <v>0</v>
      </c>
      <c r="P10099" t="n">
        <v>0</v>
      </c>
      <c r="Q10099" t="n">
        <v>0</v>
      </c>
      <c r="R10099" s="2" t="inlineStr"/>
    </row>
    <row r="10100" ht="15" customHeight="1">
      <c r="A10100" t="inlineStr">
        <is>
          <t>A 21291-2024</t>
        </is>
      </c>
      <c r="B10100" s="1" t="n">
        <v>45440.66341435185</v>
      </c>
      <c r="C10100" s="1" t="n">
        <v>45952</v>
      </c>
      <c r="D10100" t="inlineStr">
        <is>
          <t>VÄSTRA GÖTALANDS LÄN</t>
        </is>
      </c>
      <c r="E10100" t="inlineStr">
        <is>
          <t>VARA</t>
        </is>
      </c>
      <c r="G10100" t="n">
        <v>1.5</v>
      </c>
      <c r="H10100" t="n">
        <v>0</v>
      </c>
      <c r="I10100" t="n">
        <v>0</v>
      </c>
      <c r="J10100" t="n">
        <v>0</v>
      </c>
      <c r="K10100" t="n">
        <v>0</v>
      </c>
      <c r="L10100" t="n">
        <v>0</v>
      </c>
      <c r="M10100" t="n">
        <v>0</v>
      </c>
      <c r="N10100" t="n">
        <v>0</v>
      </c>
      <c r="O10100" t="n">
        <v>0</v>
      </c>
      <c r="P10100" t="n">
        <v>0</v>
      </c>
      <c r="Q10100" t="n">
        <v>0</v>
      </c>
      <c r="R10100" s="2" t="inlineStr"/>
    </row>
    <row r="10101" ht="15" customHeight="1">
      <c r="A10101" t="inlineStr">
        <is>
          <t>A 412-2023</t>
        </is>
      </c>
      <c r="B10101" s="1" t="n">
        <v>44929</v>
      </c>
      <c r="C10101" s="1" t="n">
        <v>45952</v>
      </c>
      <c r="D10101" t="inlineStr">
        <is>
          <t>VÄSTRA GÖTALANDS LÄN</t>
        </is>
      </c>
      <c r="E10101" t="inlineStr">
        <is>
          <t>KARLSBORG</t>
        </is>
      </c>
      <c r="G10101" t="n">
        <v>1.3</v>
      </c>
      <c r="H10101" t="n">
        <v>0</v>
      </c>
      <c r="I10101" t="n">
        <v>0</v>
      </c>
      <c r="J10101" t="n">
        <v>0</v>
      </c>
      <c r="K10101" t="n">
        <v>0</v>
      </c>
      <c r="L10101" t="n">
        <v>0</v>
      </c>
      <c r="M10101" t="n">
        <v>0</v>
      </c>
      <c r="N10101" t="n">
        <v>0</v>
      </c>
      <c r="O10101" t="n">
        <v>0</v>
      </c>
      <c r="P10101" t="n">
        <v>0</v>
      </c>
      <c r="Q10101" t="n">
        <v>0</v>
      </c>
      <c r="R10101" s="2" t="inlineStr"/>
      <c r="T10101">
        <f>HYPERLINK("https://klasma.github.io/Logging_1446/kartor/A 412-2023 karta.png", "A 412-2023")</f>
        <v/>
      </c>
      <c r="V10101">
        <f>HYPERLINK("https://klasma.github.io/Logging_1446/klagomål/A 412-2023 FSC-klagomål.docx", "A 412-2023")</f>
        <v/>
      </c>
      <c r="W10101">
        <f>HYPERLINK("https://klasma.github.io/Logging_1446/klagomålsmail/A 412-2023 FSC-klagomål mail.docx", "A 412-2023")</f>
        <v/>
      </c>
      <c r="X10101">
        <f>HYPERLINK("https://klasma.github.io/Logging_1446/tillsyn/A 412-2023 tillsynsbegäran.docx", "A 412-2023")</f>
        <v/>
      </c>
      <c r="Y10101">
        <f>HYPERLINK("https://klasma.github.io/Logging_1446/tillsynsmail/A 412-2023 tillsynsbegäran mail.docx", "A 412-2023")</f>
        <v/>
      </c>
    </row>
    <row r="10102" ht="15" customHeight="1">
      <c r="A10102" t="inlineStr">
        <is>
          <t>A 438-2023</t>
        </is>
      </c>
      <c r="B10102" s="1" t="n">
        <v>44929.69923611111</v>
      </c>
      <c r="C10102" s="1" t="n">
        <v>45952</v>
      </c>
      <c r="D10102" t="inlineStr">
        <is>
          <t>VÄSTRA GÖTALANDS LÄN</t>
        </is>
      </c>
      <c r="E10102" t="inlineStr">
        <is>
          <t>TANUM</t>
        </is>
      </c>
      <c r="G10102" t="n">
        <v>1.7</v>
      </c>
      <c r="H10102" t="n">
        <v>0</v>
      </c>
      <c r="I10102" t="n">
        <v>0</v>
      </c>
      <c r="J10102" t="n">
        <v>0</v>
      </c>
      <c r="K10102" t="n">
        <v>0</v>
      </c>
      <c r="L10102" t="n">
        <v>0</v>
      </c>
      <c r="M10102" t="n">
        <v>0</v>
      </c>
      <c r="N10102" t="n">
        <v>0</v>
      </c>
      <c r="O10102" t="n">
        <v>0</v>
      </c>
      <c r="P10102" t="n">
        <v>0</v>
      </c>
      <c r="Q10102" t="n">
        <v>0</v>
      </c>
      <c r="R10102" s="2" t="inlineStr"/>
    </row>
    <row r="10103" ht="15" customHeight="1">
      <c r="A10103" t="inlineStr">
        <is>
          <t>A 2378-2024</t>
        </is>
      </c>
      <c r="B10103" s="1" t="n">
        <v>45310.63673611111</v>
      </c>
      <c r="C10103" s="1" t="n">
        <v>45952</v>
      </c>
      <c r="D10103" t="inlineStr">
        <is>
          <t>VÄSTRA GÖTALANDS LÄN</t>
        </is>
      </c>
      <c r="E10103" t="inlineStr">
        <is>
          <t>BENGTSFORS</t>
        </is>
      </c>
      <c r="G10103" t="n">
        <v>3.9</v>
      </c>
      <c r="H10103" t="n">
        <v>0</v>
      </c>
      <c r="I10103" t="n">
        <v>0</v>
      </c>
      <c r="J10103" t="n">
        <v>0</v>
      </c>
      <c r="K10103" t="n">
        <v>0</v>
      </c>
      <c r="L10103" t="n">
        <v>0</v>
      </c>
      <c r="M10103" t="n">
        <v>0</v>
      </c>
      <c r="N10103" t="n">
        <v>0</v>
      </c>
      <c r="O10103" t="n">
        <v>0</v>
      </c>
      <c r="P10103" t="n">
        <v>0</v>
      </c>
      <c r="Q10103" t="n">
        <v>0</v>
      </c>
      <c r="R10103" s="2" t="inlineStr"/>
    </row>
    <row r="10104" ht="15" customHeight="1">
      <c r="A10104" t="inlineStr">
        <is>
          <t>A 15061-2023</t>
        </is>
      </c>
      <c r="B10104" s="1" t="n">
        <v>45015.70453703704</v>
      </c>
      <c r="C10104" s="1" t="n">
        <v>45952</v>
      </c>
      <c r="D10104" t="inlineStr">
        <is>
          <t>VÄSTRA GÖTALANDS LÄN</t>
        </is>
      </c>
      <c r="E10104" t="inlineStr">
        <is>
          <t>TANUM</t>
        </is>
      </c>
      <c r="G10104" t="n">
        <v>0.7</v>
      </c>
      <c r="H10104" t="n">
        <v>0</v>
      </c>
      <c r="I10104" t="n">
        <v>0</v>
      </c>
      <c r="J10104" t="n">
        <v>0</v>
      </c>
      <c r="K10104" t="n">
        <v>0</v>
      </c>
      <c r="L10104" t="n">
        <v>0</v>
      </c>
      <c r="M10104" t="n">
        <v>0</v>
      </c>
      <c r="N10104" t="n">
        <v>0</v>
      </c>
      <c r="O10104" t="n">
        <v>0</v>
      </c>
      <c r="P10104" t="n">
        <v>0</v>
      </c>
      <c r="Q10104" t="n">
        <v>0</v>
      </c>
      <c r="R10104" s="2" t="inlineStr"/>
    </row>
    <row r="10105" ht="15" customHeight="1">
      <c r="A10105" t="inlineStr">
        <is>
          <t>A 14460-2023</t>
        </is>
      </c>
      <c r="B10105" s="1" t="n">
        <v>45010</v>
      </c>
      <c r="C10105" s="1" t="n">
        <v>45952</v>
      </c>
      <c r="D10105" t="inlineStr">
        <is>
          <t>VÄSTRA GÖTALANDS LÄN</t>
        </is>
      </c>
      <c r="E10105" t="inlineStr">
        <is>
          <t>HJO</t>
        </is>
      </c>
      <c r="G10105" t="n">
        <v>5.4</v>
      </c>
      <c r="H10105" t="n">
        <v>0</v>
      </c>
      <c r="I10105" t="n">
        <v>0</v>
      </c>
      <c r="J10105" t="n">
        <v>0</v>
      </c>
      <c r="K10105" t="n">
        <v>0</v>
      </c>
      <c r="L10105" t="n">
        <v>0</v>
      </c>
      <c r="M10105" t="n">
        <v>0</v>
      </c>
      <c r="N10105" t="n">
        <v>0</v>
      </c>
      <c r="O10105" t="n">
        <v>0</v>
      </c>
      <c r="P10105" t="n">
        <v>0</v>
      </c>
      <c r="Q10105" t="n">
        <v>0</v>
      </c>
      <c r="R10105" s="2" t="inlineStr"/>
    </row>
    <row r="10106" ht="15" customHeight="1">
      <c r="A10106" t="inlineStr">
        <is>
          <t>A 14502-2023</t>
        </is>
      </c>
      <c r="B10106" s="1" t="n">
        <v>45012.74041666667</v>
      </c>
      <c r="C10106" s="1" t="n">
        <v>45952</v>
      </c>
      <c r="D10106" t="inlineStr">
        <is>
          <t>VÄSTRA GÖTALANDS LÄN</t>
        </is>
      </c>
      <c r="E10106" t="inlineStr">
        <is>
          <t>GÖTENE</t>
        </is>
      </c>
      <c r="G10106" t="n">
        <v>3.2</v>
      </c>
      <c r="H10106" t="n">
        <v>0</v>
      </c>
      <c r="I10106" t="n">
        <v>0</v>
      </c>
      <c r="J10106" t="n">
        <v>0</v>
      </c>
      <c r="K10106" t="n">
        <v>0</v>
      </c>
      <c r="L10106" t="n">
        <v>0</v>
      </c>
      <c r="M10106" t="n">
        <v>0</v>
      </c>
      <c r="N10106" t="n">
        <v>0</v>
      </c>
      <c r="O10106" t="n">
        <v>0</v>
      </c>
      <c r="P10106" t="n">
        <v>0</v>
      </c>
      <c r="Q10106" t="n">
        <v>0</v>
      </c>
      <c r="R10106" s="2" t="inlineStr"/>
    </row>
    <row r="10107" ht="15" customHeight="1">
      <c r="A10107" t="inlineStr">
        <is>
          <t>A 10185-2023</t>
        </is>
      </c>
      <c r="B10107" s="1" t="n">
        <v>44986</v>
      </c>
      <c r="C10107" s="1" t="n">
        <v>45952</v>
      </c>
      <c r="D10107" t="inlineStr">
        <is>
          <t>VÄSTRA GÖTALANDS LÄN</t>
        </is>
      </c>
      <c r="E10107" t="inlineStr">
        <is>
          <t>TÖREBODA</t>
        </is>
      </c>
      <c r="G10107" t="n">
        <v>1.1</v>
      </c>
      <c r="H10107" t="n">
        <v>0</v>
      </c>
      <c r="I10107" t="n">
        <v>0</v>
      </c>
      <c r="J10107" t="n">
        <v>0</v>
      </c>
      <c r="K10107" t="n">
        <v>0</v>
      </c>
      <c r="L10107" t="n">
        <v>0</v>
      </c>
      <c r="M10107" t="n">
        <v>0</v>
      </c>
      <c r="N10107" t="n">
        <v>0</v>
      </c>
      <c r="O10107" t="n">
        <v>0</v>
      </c>
      <c r="P10107" t="n">
        <v>0</v>
      </c>
      <c r="Q10107" t="n">
        <v>0</v>
      </c>
      <c r="R10107" s="2" t="inlineStr"/>
    </row>
    <row r="10108" ht="15" customHeight="1">
      <c r="A10108" t="inlineStr">
        <is>
          <t>A 32672-2023</t>
        </is>
      </c>
      <c r="B10108" s="1" t="n">
        <v>45121</v>
      </c>
      <c r="C10108" s="1" t="n">
        <v>45952</v>
      </c>
      <c r="D10108" t="inlineStr">
        <is>
          <t>VÄSTRA GÖTALANDS LÄN</t>
        </is>
      </c>
      <c r="E10108" t="inlineStr">
        <is>
          <t>DALS-ED</t>
        </is>
      </c>
      <c r="G10108" t="n">
        <v>1.2</v>
      </c>
      <c r="H10108" t="n">
        <v>0</v>
      </c>
      <c r="I10108" t="n">
        <v>0</v>
      </c>
      <c r="J10108" t="n">
        <v>0</v>
      </c>
      <c r="K10108" t="n">
        <v>0</v>
      </c>
      <c r="L10108" t="n">
        <v>0</v>
      </c>
      <c r="M10108" t="n">
        <v>0</v>
      </c>
      <c r="N10108" t="n">
        <v>0</v>
      </c>
      <c r="O10108" t="n">
        <v>0</v>
      </c>
      <c r="P10108" t="n">
        <v>0</v>
      </c>
      <c r="Q10108" t="n">
        <v>0</v>
      </c>
      <c r="R10108" s="2" t="inlineStr"/>
    </row>
    <row r="10109" ht="15" customHeight="1">
      <c r="A10109" t="inlineStr">
        <is>
          <t>A 32683-2023</t>
        </is>
      </c>
      <c r="B10109" s="1" t="n">
        <v>45112</v>
      </c>
      <c r="C10109" s="1" t="n">
        <v>45952</v>
      </c>
      <c r="D10109" t="inlineStr">
        <is>
          <t>VÄSTRA GÖTALANDS LÄN</t>
        </is>
      </c>
      <c r="E10109" t="inlineStr">
        <is>
          <t>DALS-ED</t>
        </is>
      </c>
      <c r="G10109" t="n">
        <v>0.9</v>
      </c>
      <c r="H10109" t="n">
        <v>0</v>
      </c>
      <c r="I10109" t="n">
        <v>0</v>
      </c>
      <c r="J10109" t="n">
        <v>0</v>
      </c>
      <c r="K10109" t="n">
        <v>0</v>
      </c>
      <c r="L10109" t="n">
        <v>0</v>
      </c>
      <c r="M10109" t="n">
        <v>0</v>
      </c>
      <c r="N10109" t="n">
        <v>0</v>
      </c>
      <c r="O10109" t="n">
        <v>0</v>
      </c>
      <c r="P10109" t="n">
        <v>0</v>
      </c>
      <c r="Q10109" t="n">
        <v>0</v>
      </c>
      <c r="R10109" s="2" t="inlineStr"/>
    </row>
    <row r="10110" ht="15" customHeight="1">
      <c r="A10110" t="inlineStr">
        <is>
          <t>A 28692-2024</t>
        </is>
      </c>
      <c r="B10110" s="1" t="n">
        <v>45478.49087962963</v>
      </c>
      <c r="C10110" s="1" t="n">
        <v>45952</v>
      </c>
      <c r="D10110" t="inlineStr">
        <is>
          <t>VÄSTRA GÖTALANDS LÄN</t>
        </is>
      </c>
      <c r="E10110" t="inlineStr">
        <is>
          <t>MUNKEDAL</t>
        </is>
      </c>
      <c r="G10110" t="n">
        <v>1</v>
      </c>
      <c r="H10110" t="n">
        <v>0</v>
      </c>
      <c r="I10110" t="n">
        <v>0</v>
      </c>
      <c r="J10110" t="n">
        <v>0</v>
      </c>
      <c r="K10110" t="n">
        <v>0</v>
      </c>
      <c r="L10110" t="n">
        <v>0</v>
      </c>
      <c r="M10110" t="n">
        <v>0</v>
      </c>
      <c r="N10110" t="n">
        <v>0</v>
      </c>
      <c r="O10110" t="n">
        <v>0</v>
      </c>
      <c r="P10110" t="n">
        <v>0</v>
      </c>
      <c r="Q10110" t="n">
        <v>0</v>
      </c>
      <c r="R10110" s="2" t="inlineStr"/>
    </row>
    <row r="10111" ht="15" customHeight="1">
      <c r="A10111" t="inlineStr">
        <is>
          <t>A 57869-2022</t>
        </is>
      </c>
      <c r="B10111" s="1" t="n">
        <v>44899.67410879629</v>
      </c>
      <c r="C10111" s="1" t="n">
        <v>45952</v>
      </c>
      <c r="D10111" t="inlineStr">
        <is>
          <t>VÄSTRA GÖTALANDS LÄN</t>
        </is>
      </c>
      <c r="E10111" t="inlineStr">
        <is>
          <t>FÄRGELANDA</t>
        </is>
      </c>
      <c r="G10111" t="n">
        <v>1.6</v>
      </c>
      <c r="H10111" t="n">
        <v>0</v>
      </c>
      <c r="I10111" t="n">
        <v>0</v>
      </c>
      <c r="J10111" t="n">
        <v>0</v>
      </c>
      <c r="K10111" t="n">
        <v>0</v>
      </c>
      <c r="L10111" t="n">
        <v>0</v>
      </c>
      <c r="M10111" t="n">
        <v>0</v>
      </c>
      <c r="N10111" t="n">
        <v>0</v>
      </c>
      <c r="O10111" t="n">
        <v>0</v>
      </c>
      <c r="P10111" t="n">
        <v>0</v>
      </c>
      <c r="Q10111" t="n">
        <v>0</v>
      </c>
      <c r="R10111" s="2" t="inlineStr"/>
    </row>
    <row r="10112" ht="15" customHeight="1">
      <c r="A10112" t="inlineStr">
        <is>
          <t>A 61991-2024</t>
        </is>
      </c>
      <c r="B10112" s="1" t="n">
        <v>45653.70577546296</v>
      </c>
      <c r="C10112" s="1" t="n">
        <v>45952</v>
      </c>
      <c r="D10112" t="inlineStr">
        <is>
          <t>VÄSTRA GÖTALANDS LÄN</t>
        </is>
      </c>
      <c r="E10112" t="inlineStr">
        <is>
          <t>LYSEKIL</t>
        </is>
      </c>
      <c r="G10112" t="n">
        <v>0.6</v>
      </c>
      <c r="H10112" t="n">
        <v>0</v>
      </c>
      <c r="I10112" t="n">
        <v>0</v>
      </c>
      <c r="J10112" t="n">
        <v>0</v>
      </c>
      <c r="K10112" t="n">
        <v>0</v>
      </c>
      <c r="L10112" t="n">
        <v>0</v>
      </c>
      <c r="M10112" t="n">
        <v>0</v>
      </c>
      <c r="N10112" t="n">
        <v>0</v>
      </c>
      <c r="O10112" t="n">
        <v>0</v>
      </c>
      <c r="P10112" t="n">
        <v>0</v>
      </c>
      <c r="Q10112" t="n">
        <v>0</v>
      </c>
      <c r="R10112" s="2" t="inlineStr"/>
    </row>
    <row r="10113" ht="15" customHeight="1">
      <c r="A10113" t="inlineStr">
        <is>
          <t>A 62005-2024</t>
        </is>
      </c>
      <c r="B10113" s="1" t="n">
        <v>45655.43255787037</v>
      </c>
      <c r="C10113" s="1" t="n">
        <v>45952</v>
      </c>
      <c r="D10113" t="inlineStr">
        <is>
          <t>VÄSTRA GÖTALANDS LÄN</t>
        </is>
      </c>
      <c r="E10113" t="inlineStr">
        <is>
          <t>TANUM</t>
        </is>
      </c>
      <c r="G10113" t="n">
        <v>0.8</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42710-2024</t>
        </is>
      </c>
      <c r="B10114" s="1" t="n">
        <v>45566.44601851852</v>
      </c>
      <c r="C10114" s="1" t="n">
        <v>45952</v>
      </c>
      <c r="D10114" t="inlineStr">
        <is>
          <t>VÄSTRA GÖTALANDS LÄN</t>
        </is>
      </c>
      <c r="E10114" t="inlineStr">
        <is>
          <t>KARLSBORG</t>
        </is>
      </c>
      <c r="G10114" t="n">
        <v>5.9</v>
      </c>
      <c r="H10114" t="n">
        <v>0</v>
      </c>
      <c r="I10114" t="n">
        <v>0</v>
      </c>
      <c r="J10114" t="n">
        <v>0</v>
      </c>
      <c r="K10114" t="n">
        <v>0</v>
      </c>
      <c r="L10114" t="n">
        <v>0</v>
      </c>
      <c r="M10114" t="n">
        <v>0</v>
      </c>
      <c r="N10114" t="n">
        <v>0</v>
      </c>
      <c r="O10114" t="n">
        <v>0</v>
      </c>
      <c r="P10114" t="n">
        <v>0</v>
      </c>
      <c r="Q10114" t="n">
        <v>0</v>
      </c>
      <c r="R10114" s="2" t="inlineStr"/>
    </row>
    <row r="10115" ht="15" customHeight="1">
      <c r="A10115" t="inlineStr">
        <is>
          <t>A 62031-2024</t>
        </is>
      </c>
      <c r="B10115" s="1" t="n">
        <v>45656.30733796296</v>
      </c>
      <c r="C10115" s="1" t="n">
        <v>45952</v>
      </c>
      <c r="D10115" t="inlineStr">
        <is>
          <t>VÄSTRA GÖTALANDS LÄN</t>
        </is>
      </c>
      <c r="E10115" t="inlineStr">
        <is>
          <t>TRANEMO</t>
        </is>
      </c>
      <c r="G10115" t="n">
        <v>5.3</v>
      </c>
      <c r="H10115" t="n">
        <v>0</v>
      </c>
      <c r="I10115" t="n">
        <v>0</v>
      </c>
      <c r="J10115" t="n">
        <v>0</v>
      </c>
      <c r="K10115" t="n">
        <v>0</v>
      </c>
      <c r="L10115" t="n">
        <v>0</v>
      </c>
      <c r="M10115" t="n">
        <v>0</v>
      </c>
      <c r="N10115" t="n">
        <v>0</v>
      </c>
      <c r="O10115" t="n">
        <v>0</v>
      </c>
      <c r="P10115" t="n">
        <v>0</v>
      </c>
      <c r="Q10115" t="n">
        <v>0</v>
      </c>
      <c r="R10115" s="2" t="inlineStr"/>
    </row>
    <row r="10116" ht="15" customHeight="1">
      <c r="A10116" t="inlineStr">
        <is>
          <t>A 2306-2022</t>
        </is>
      </c>
      <c r="B10116" s="1" t="n">
        <v>44578</v>
      </c>
      <c r="C10116" s="1" t="n">
        <v>45952</v>
      </c>
      <c r="D10116" t="inlineStr">
        <is>
          <t>VÄSTRA GÖTALANDS LÄN</t>
        </is>
      </c>
      <c r="E10116" t="inlineStr">
        <is>
          <t>UDDEVALLA</t>
        </is>
      </c>
      <c r="G10116" t="n">
        <v>2.4</v>
      </c>
      <c r="H10116" t="n">
        <v>0</v>
      </c>
      <c r="I10116" t="n">
        <v>0</v>
      </c>
      <c r="J10116" t="n">
        <v>0</v>
      </c>
      <c r="K10116" t="n">
        <v>0</v>
      </c>
      <c r="L10116" t="n">
        <v>0</v>
      </c>
      <c r="M10116" t="n">
        <v>0</v>
      </c>
      <c r="N10116" t="n">
        <v>0</v>
      </c>
      <c r="O10116" t="n">
        <v>0</v>
      </c>
      <c r="P10116" t="n">
        <v>0</v>
      </c>
      <c r="Q10116" t="n">
        <v>0</v>
      </c>
      <c r="R10116" s="2" t="inlineStr"/>
    </row>
    <row r="10117" ht="15" customHeight="1">
      <c r="A10117" t="inlineStr">
        <is>
          <t>A 44286-2023</t>
        </is>
      </c>
      <c r="B10117" s="1" t="n">
        <v>45188.63167824074</v>
      </c>
      <c r="C10117" s="1" t="n">
        <v>45952</v>
      </c>
      <c r="D10117" t="inlineStr">
        <is>
          <t>VÄSTRA GÖTALANDS LÄN</t>
        </is>
      </c>
      <c r="E10117" t="inlineStr">
        <is>
          <t>TRANEMO</t>
        </is>
      </c>
      <c r="G10117" t="n">
        <v>3.1</v>
      </c>
      <c r="H10117" t="n">
        <v>0</v>
      </c>
      <c r="I10117" t="n">
        <v>0</v>
      </c>
      <c r="J10117" t="n">
        <v>0</v>
      </c>
      <c r="K10117" t="n">
        <v>0</v>
      </c>
      <c r="L10117" t="n">
        <v>0</v>
      </c>
      <c r="M10117" t="n">
        <v>0</v>
      </c>
      <c r="N10117" t="n">
        <v>0</v>
      </c>
      <c r="O10117" t="n">
        <v>0</v>
      </c>
      <c r="P10117" t="n">
        <v>0</v>
      </c>
      <c r="Q10117" t="n">
        <v>0</v>
      </c>
      <c r="R10117" s="2" t="inlineStr"/>
    </row>
    <row r="10118" ht="15" customHeight="1">
      <c r="A10118" t="inlineStr">
        <is>
          <t>A 12735-2021</t>
        </is>
      </c>
      <c r="B10118" s="1" t="n">
        <v>44270.6375</v>
      </c>
      <c r="C10118" s="1" t="n">
        <v>45952</v>
      </c>
      <c r="D10118" t="inlineStr">
        <is>
          <t>VÄSTRA GÖTALANDS LÄN</t>
        </is>
      </c>
      <c r="E10118" t="inlineStr">
        <is>
          <t>TRANEMO</t>
        </is>
      </c>
      <c r="G10118" t="n">
        <v>10.7</v>
      </c>
      <c r="H10118" t="n">
        <v>0</v>
      </c>
      <c r="I10118" t="n">
        <v>0</v>
      </c>
      <c r="J10118" t="n">
        <v>0</v>
      </c>
      <c r="K10118" t="n">
        <v>0</v>
      </c>
      <c r="L10118" t="n">
        <v>0</v>
      </c>
      <c r="M10118" t="n">
        <v>0</v>
      </c>
      <c r="N10118" t="n">
        <v>0</v>
      </c>
      <c r="O10118" t="n">
        <v>0</v>
      </c>
      <c r="P10118" t="n">
        <v>0</v>
      </c>
      <c r="Q10118" t="n">
        <v>0</v>
      </c>
      <c r="R10118" s="2" t="inlineStr"/>
    </row>
    <row r="10119" ht="15" customHeight="1">
      <c r="A10119" t="inlineStr">
        <is>
          <t>A 13315-2022</t>
        </is>
      </c>
      <c r="B10119" s="1" t="n">
        <v>44645</v>
      </c>
      <c r="C10119" s="1" t="n">
        <v>45952</v>
      </c>
      <c r="D10119" t="inlineStr">
        <is>
          <t>VÄSTRA GÖTALANDS LÄN</t>
        </is>
      </c>
      <c r="E10119" t="inlineStr">
        <is>
          <t>MARIESTAD</t>
        </is>
      </c>
      <c r="F10119" t="inlineStr">
        <is>
          <t>Sveaskog</t>
        </is>
      </c>
      <c r="G10119" t="n">
        <v>2</v>
      </c>
      <c r="H10119" t="n">
        <v>0</v>
      </c>
      <c r="I10119" t="n">
        <v>0</v>
      </c>
      <c r="J10119" t="n">
        <v>0</v>
      </c>
      <c r="K10119" t="n">
        <v>0</v>
      </c>
      <c r="L10119" t="n">
        <v>0</v>
      </c>
      <c r="M10119" t="n">
        <v>0</v>
      </c>
      <c r="N10119" t="n">
        <v>0</v>
      </c>
      <c r="O10119" t="n">
        <v>0</v>
      </c>
      <c r="P10119" t="n">
        <v>0</v>
      </c>
      <c r="Q10119" t="n">
        <v>0</v>
      </c>
      <c r="R10119" s="2" t="inlineStr"/>
    </row>
    <row r="10120" ht="15" customHeight="1">
      <c r="A10120" t="inlineStr">
        <is>
          <t>A 55660-2021</t>
        </is>
      </c>
      <c r="B10120" s="1" t="n">
        <v>44476</v>
      </c>
      <c r="C10120" s="1" t="n">
        <v>45952</v>
      </c>
      <c r="D10120" t="inlineStr">
        <is>
          <t>VÄSTRA GÖTALANDS LÄN</t>
        </is>
      </c>
      <c r="E10120" t="inlineStr">
        <is>
          <t>ÅMÅL</t>
        </is>
      </c>
      <c r="G10120" t="n">
        <v>0.7</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13340-2022</t>
        </is>
      </c>
      <c r="B10121" s="1" t="n">
        <v>44645</v>
      </c>
      <c r="C10121" s="1" t="n">
        <v>45952</v>
      </c>
      <c r="D10121" t="inlineStr">
        <is>
          <t>VÄSTRA GÖTALANDS LÄN</t>
        </is>
      </c>
      <c r="E10121" t="inlineStr">
        <is>
          <t>GÖTENE</t>
        </is>
      </c>
      <c r="G10121" t="n">
        <v>3.9</v>
      </c>
      <c r="H10121" t="n">
        <v>0</v>
      </c>
      <c r="I10121" t="n">
        <v>0</v>
      </c>
      <c r="J10121" t="n">
        <v>0</v>
      </c>
      <c r="K10121" t="n">
        <v>0</v>
      </c>
      <c r="L10121" t="n">
        <v>0</v>
      </c>
      <c r="M10121" t="n">
        <v>0</v>
      </c>
      <c r="N10121" t="n">
        <v>0</v>
      </c>
      <c r="O10121" t="n">
        <v>0</v>
      </c>
      <c r="P10121" t="n">
        <v>0</v>
      </c>
      <c r="Q10121" t="n">
        <v>0</v>
      </c>
      <c r="R10121" s="2" t="inlineStr"/>
    </row>
    <row r="10122" ht="15" customHeight="1">
      <c r="A10122" t="inlineStr">
        <is>
          <t>A 13348-2022</t>
        </is>
      </c>
      <c r="B10122" s="1" t="n">
        <v>44645</v>
      </c>
      <c r="C10122" s="1" t="n">
        <v>45952</v>
      </c>
      <c r="D10122" t="inlineStr">
        <is>
          <t>VÄSTRA GÖTALANDS LÄN</t>
        </is>
      </c>
      <c r="E10122" t="inlineStr">
        <is>
          <t>GÖTENE</t>
        </is>
      </c>
      <c r="G10122" t="n">
        <v>1.7</v>
      </c>
      <c r="H10122" t="n">
        <v>0</v>
      </c>
      <c r="I10122" t="n">
        <v>0</v>
      </c>
      <c r="J10122" t="n">
        <v>0</v>
      </c>
      <c r="K10122" t="n">
        <v>0</v>
      </c>
      <c r="L10122" t="n">
        <v>0</v>
      </c>
      <c r="M10122" t="n">
        <v>0</v>
      </c>
      <c r="N10122" t="n">
        <v>0</v>
      </c>
      <c r="O10122" t="n">
        <v>0</v>
      </c>
      <c r="P10122" t="n">
        <v>0</v>
      </c>
      <c r="Q10122" t="n">
        <v>0</v>
      </c>
      <c r="R10122" s="2" t="inlineStr"/>
    </row>
    <row r="10123" ht="15" customHeight="1">
      <c r="A10123" t="inlineStr">
        <is>
          <t>A 13366-2022</t>
        </is>
      </c>
      <c r="B10123" s="1" t="n">
        <v>44645</v>
      </c>
      <c r="C10123" s="1" t="n">
        <v>45952</v>
      </c>
      <c r="D10123" t="inlineStr">
        <is>
          <t>VÄSTRA GÖTALANDS LÄN</t>
        </is>
      </c>
      <c r="E10123" t="inlineStr">
        <is>
          <t>GÖTENE</t>
        </is>
      </c>
      <c r="G10123" t="n">
        <v>1.7</v>
      </c>
      <c r="H10123" t="n">
        <v>0</v>
      </c>
      <c r="I10123" t="n">
        <v>0</v>
      </c>
      <c r="J10123" t="n">
        <v>0</v>
      </c>
      <c r="K10123" t="n">
        <v>0</v>
      </c>
      <c r="L10123" t="n">
        <v>0</v>
      </c>
      <c r="M10123" t="n">
        <v>0</v>
      </c>
      <c r="N10123" t="n">
        <v>0</v>
      </c>
      <c r="O10123" t="n">
        <v>0</v>
      </c>
      <c r="P10123" t="n">
        <v>0</v>
      </c>
      <c r="Q10123" t="n">
        <v>0</v>
      </c>
      <c r="R10123" s="2" t="inlineStr"/>
    </row>
    <row r="10124" ht="15" customHeight="1">
      <c r="A10124" t="inlineStr">
        <is>
          <t>A 24892-2025</t>
        </is>
      </c>
      <c r="B10124" s="1" t="n">
        <v>45799.51231481481</v>
      </c>
      <c r="C10124" s="1" t="n">
        <v>45952</v>
      </c>
      <c r="D10124" t="inlineStr">
        <is>
          <t>VÄSTRA GÖTALANDS LÄN</t>
        </is>
      </c>
      <c r="E10124" t="inlineStr">
        <is>
          <t>VÄNERSBORG</t>
        </is>
      </c>
      <c r="G10124" t="n">
        <v>3.8</v>
      </c>
      <c r="H10124" t="n">
        <v>0</v>
      </c>
      <c r="I10124" t="n">
        <v>0</v>
      </c>
      <c r="J10124" t="n">
        <v>0</v>
      </c>
      <c r="K10124" t="n">
        <v>0</v>
      </c>
      <c r="L10124" t="n">
        <v>0</v>
      </c>
      <c r="M10124" t="n">
        <v>0</v>
      </c>
      <c r="N10124" t="n">
        <v>0</v>
      </c>
      <c r="O10124" t="n">
        <v>0</v>
      </c>
      <c r="P10124" t="n">
        <v>0</v>
      </c>
      <c r="Q10124" t="n">
        <v>0</v>
      </c>
      <c r="R10124" s="2" t="inlineStr"/>
    </row>
    <row r="10125" ht="15" customHeight="1">
      <c r="A10125" t="inlineStr">
        <is>
          <t>A 42552-2024</t>
        </is>
      </c>
      <c r="B10125" s="1" t="n">
        <v>45565.61814814815</v>
      </c>
      <c r="C10125" s="1" t="n">
        <v>45952</v>
      </c>
      <c r="D10125" t="inlineStr">
        <is>
          <t>VÄSTRA GÖTALANDS LÄN</t>
        </is>
      </c>
      <c r="E10125" t="inlineStr">
        <is>
          <t>VÅRGÅRDA</t>
        </is>
      </c>
      <c r="G10125" t="n">
        <v>4.6</v>
      </c>
      <c r="H10125" t="n">
        <v>0</v>
      </c>
      <c r="I10125" t="n">
        <v>0</v>
      </c>
      <c r="J10125" t="n">
        <v>0</v>
      </c>
      <c r="K10125" t="n">
        <v>0</v>
      </c>
      <c r="L10125" t="n">
        <v>0</v>
      </c>
      <c r="M10125" t="n">
        <v>0</v>
      </c>
      <c r="N10125" t="n">
        <v>0</v>
      </c>
      <c r="O10125" t="n">
        <v>0</v>
      </c>
      <c r="P10125" t="n">
        <v>0</v>
      </c>
      <c r="Q10125" t="n">
        <v>0</v>
      </c>
      <c r="R10125" s="2" t="inlineStr"/>
    </row>
    <row r="10126" ht="15" customHeight="1">
      <c r="A10126" t="inlineStr">
        <is>
          <t>A 53251-2024</t>
        </is>
      </c>
      <c r="B10126" s="1" t="n">
        <v>45614.3022337963</v>
      </c>
      <c r="C10126" s="1" t="n">
        <v>45952</v>
      </c>
      <c r="D10126" t="inlineStr">
        <is>
          <t>VÄSTRA GÖTALANDS LÄN</t>
        </is>
      </c>
      <c r="E10126" t="inlineStr">
        <is>
          <t>KARLSBORG</t>
        </is>
      </c>
      <c r="G10126" t="n">
        <v>3.6</v>
      </c>
      <c r="H10126" t="n">
        <v>0</v>
      </c>
      <c r="I10126" t="n">
        <v>0</v>
      </c>
      <c r="J10126" t="n">
        <v>0</v>
      </c>
      <c r="K10126" t="n">
        <v>0</v>
      </c>
      <c r="L10126" t="n">
        <v>0</v>
      </c>
      <c r="M10126" t="n">
        <v>0</v>
      </c>
      <c r="N10126" t="n">
        <v>0</v>
      </c>
      <c r="O10126" t="n">
        <v>0</v>
      </c>
      <c r="P10126" t="n">
        <v>0</v>
      </c>
      <c r="Q10126" t="n">
        <v>0</v>
      </c>
      <c r="R10126" s="2" t="inlineStr"/>
    </row>
    <row r="10127" ht="15" customHeight="1">
      <c r="A10127" t="inlineStr">
        <is>
          <t>A 49139-2024</t>
        </is>
      </c>
      <c r="B10127" s="1" t="n">
        <v>45594.70923611111</v>
      </c>
      <c r="C10127" s="1" t="n">
        <v>45952</v>
      </c>
      <c r="D10127" t="inlineStr">
        <is>
          <t>VÄSTRA GÖTALANDS LÄN</t>
        </is>
      </c>
      <c r="E10127" t="inlineStr">
        <is>
          <t>UDDEVALLA</t>
        </is>
      </c>
      <c r="G10127" t="n">
        <v>1</v>
      </c>
      <c r="H10127" t="n">
        <v>0</v>
      </c>
      <c r="I10127" t="n">
        <v>0</v>
      </c>
      <c r="J10127" t="n">
        <v>0</v>
      </c>
      <c r="K10127" t="n">
        <v>0</v>
      </c>
      <c r="L10127" t="n">
        <v>0</v>
      </c>
      <c r="M10127" t="n">
        <v>0</v>
      </c>
      <c r="N10127" t="n">
        <v>0</v>
      </c>
      <c r="O10127" t="n">
        <v>0</v>
      </c>
      <c r="P10127" t="n">
        <v>0</v>
      </c>
      <c r="Q10127" t="n">
        <v>0</v>
      </c>
      <c r="R10127" s="2" t="inlineStr"/>
    </row>
    <row r="10128" ht="15" customHeight="1">
      <c r="A10128" t="inlineStr">
        <is>
          <t>A 49152-2024</t>
        </is>
      </c>
      <c r="B10128" s="1" t="n">
        <v>45594.78761574074</v>
      </c>
      <c r="C10128" s="1" t="n">
        <v>45952</v>
      </c>
      <c r="D10128" t="inlineStr">
        <is>
          <t>VÄSTRA GÖTALANDS LÄN</t>
        </is>
      </c>
      <c r="E10128" t="inlineStr">
        <is>
          <t>ULRICEHAMN</t>
        </is>
      </c>
      <c r="F10128" t="inlineStr">
        <is>
          <t>Sveaskog</t>
        </is>
      </c>
      <c r="G10128" t="n">
        <v>1.4</v>
      </c>
      <c r="H10128" t="n">
        <v>0</v>
      </c>
      <c r="I10128" t="n">
        <v>0</v>
      </c>
      <c r="J10128" t="n">
        <v>0</v>
      </c>
      <c r="K10128" t="n">
        <v>0</v>
      </c>
      <c r="L10128" t="n">
        <v>0</v>
      </c>
      <c r="M10128" t="n">
        <v>0</v>
      </c>
      <c r="N10128" t="n">
        <v>0</v>
      </c>
      <c r="O10128" t="n">
        <v>0</v>
      </c>
      <c r="P10128" t="n">
        <v>0</v>
      </c>
      <c r="Q10128" t="n">
        <v>0</v>
      </c>
      <c r="R10128" s="2" t="inlineStr"/>
    </row>
    <row r="10129" ht="15" customHeight="1">
      <c r="A10129" t="inlineStr">
        <is>
          <t>A 7590-2024</t>
        </is>
      </c>
      <c r="B10129" s="1" t="n">
        <v>45348</v>
      </c>
      <c r="C10129" s="1" t="n">
        <v>45952</v>
      </c>
      <c r="D10129" t="inlineStr">
        <is>
          <t>VÄSTRA GÖTALANDS LÄN</t>
        </is>
      </c>
      <c r="E10129" t="inlineStr">
        <is>
          <t>VÄNERSBORG</t>
        </is>
      </c>
      <c r="G10129" t="n">
        <v>4.9</v>
      </c>
      <c r="H10129" t="n">
        <v>0</v>
      </c>
      <c r="I10129" t="n">
        <v>0</v>
      </c>
      <c r="J10129" t="n">
        <v>0</v>
      </c>
      <c r="K10129" t="n">
        <v>0</v>
      </c>
      <c r="L10129" t="n">
        <v>0</v>
      </c>
      <c r="M10129" t="n">
        <v>0</v>
      </c>
      <c r="N10129" t="n">
        <v>0</v>
      </c>
      <c r="O10129" t="n">
        <v>0</v>
      </c>
      <c r="P10129" t="n">
        <v>0</v>
      </c>
      <c r="Q10129" t="n">
        <v>0</v>
      </c>
      <c r="R10129" s="2" t="inlineStr"/>
    </row>
    <row r="10130" ht="15" customHeight="1">
      <c r="A10130" t="inlineStr">
        <is>
          <t>A 25002-2025</t>
        </is>
      </c>
      <c r="B10130" s="1" t="n">
        <v>45799.62091435185</v>
      </c>
      <c r="C10130" s="1" t="n">
        <v>45952</v>
      </c>
      <c r="D10130" t="inlineStr">
        <is>
          <t>VÄSTRA GÖTALANDS LÄN</t>
        </is>
      </c>
      <c r="E10130" t="inlineStr">
        <is>
          <t>UDDEVALLA</t>
        </is>
      </c>
      <c r="G10130" t="n">
        <v>3.1</v>
      </c>
      <c r="H10130" t="n">
        <v>0</v>
      </c>
      <c r="I10130" t="n">
        <v>0</v>
      </c>
      <c r="J10130" t="n">
        <v>0</v>
      </c>
      <c r="K10130" t="n">
        <v>0</v>
      </c>
      <c r="L10130" t="n">
        <v>0</v>
      </c>
      <c r="M10130" t="n">
        <v>0</v>
      </c>
      <c r="N10130" t="n">
        <v>0</v>
      </c>
      <c r="O10130" t="n">
        <v>0</v>
      </c>
      <c r="P10130" t="n">
        <v>0</v>
      </c>
      <c r="Q10130" t="n">
        <v>0</v>
      </c>
      <c r="R10130" s="2" t="inlineStr"/>
    </row>
    <row r="10131" ht="15" customHeight="1">
      <c r="A10131" t="inlineStr">
        <is>
          <t>A 51411-2022</t>
        </is>
      </c>
      <c r="B10131" s="1" t="n">
        <v>44866</v>
      </c>
      <c r="C10131" s="1" t="n">
        <v>45952</v>
      </c>
      <c r="D10131" t="inlineStr">
        <is>
          <t>VÄSTRA GÖTALANDS LÄN</t>
        </is>
      </c>
      <c r="E10131" t="inlineStr">
        <is>
          <t>MUNKEDAL</t>
        </is>
      </c>
      <c r="G10131" t="n">
        <v>0.7</v>
      </c>
      <c r="H10131" t="n">
        <v>0</v>
      </c>
      <c r="I10131" t="n">
        <v>0</v>
      </c>
      <c r="J10131" t="n">
        <v>0</v>
      </c>
      <c r="K10131" t="n">
        <v>0</v>
      </c>
      <c r="L10131" t="n">
        <v>0</v>
      </c>
      <c r="M10131" t="n">
        <v>0</v>
      </c>
      <c r="N10131" t="n">
        <v>0</v>
      </c>
      <c r="O10131" t="n">
        <v>0</v>
      </c>
      <c r="P10131" t="n">
        <v>0</v>
      </c>
      <c r="Q10131" t="n">
        <v>0</v>
      </c>
      <c r="R10131" s="2" t="inlineStr"/>
    </row>
    <row r="10132" ht="15" customHeight="1">
      <c r="A10132" t="inlineStr">
        <is>
          <t>A 54623-2024</t>
        </is>
      </c>
      <c r="B10132" s="1" t="n">
        <v>45617.76770833333</v>
      </c>
      <c r="C10132" s="1" t="n">
        <v>45952</v>
      </c>
      <c r="D10132" t="inlineStr">
        <is>
          <t>VÄSTRA GÖTALANDS LÄN</t>
        </is>
      </c>
      <c r="E10132" t="inlineStr">
        <is>
          <t>KARLSBORG</t>
        </is>
      </c>
      <c r="G10132" t="n">
        <v>1.5</v>
      </c>
      <c r="H10132" t="n">
        <v>0</v>
      </c>
      <c r="I10132" t="n">
        <v>0</v>
      </c>
      <c r="J10132" t="n">
        <v>0</v>
      </c>
      <c r="K10132" t="n">
        <v>0</v>
      </c>
      <c r="L10132" t="n">
        <v>0</v>
      </c>
      <c r="M10132" t="n">
        <v>0</v>
      </c>
      <c r="N10132" t="n">
        <v>0</v>
      </c>
      <c r="O10132" t="n">
        <v>0</v>
      </c>
      <c r="P10132" t="n">
        <v>0</v>
      </c>
      <c r="Q10132" t="n">
        <v>0</v>
      </c>
      <c r="R10132" s="2" t="inlineStr"/>
    </row>
    <row r="10133" ht="15" customHeight="1">
      <c r="A10133" t="inlineStr">
        <is>
          <t>A 32798-2024</t>
        </is>
      </c>
      <c r="B10133" s="1" t="n">
        <v>45516.56214120371</v>
      </c>
      <c r="C10133" s="1" t="n">
        <v>45952</v>
      </c>
      <c r="D10133" t="inlineStr">
        <is>
          <t>VÄSTRA GÖTALANDS LÄN</t>
        </is>
      </c>
      <c r="E10133" t="inlineStr">
        <is>
          <t>MARIESTAD</t>
        </is>
      </c>
      <c r="G10133" t="n">
        <v>2.7</v>
      </c>
      <c r="H10133" t="n">
        <v>0</v>
      </c>
      <c r="I10133" t="n">
        <v>0</v>
      </c>
      <c r="J10133" t="n">
        <v>0</v>
      </c>
      <c r="K10133" t="n">
        <v>0</v>
      </c>
      <c r="L10133" t="n">
        <v>0</v>
      </c>
      <c r="M10133" t="n">
        <v>0</v>
      </c>
      <c r="N10133" t="n">
        <v>0</v>
      </c>
      <c r="O10133" t="n">
        <v>0</v>
      </c>
      <c r="P10133" t="n">
        <v>0</v>
      </c>
      <c r="Q10133" t="n">
        <v>0</v>
      </c>
      <c r="R10133" s="2" t="inlineStr"/>
    </row>
    <row r="10134" ht="15" customHeight="1">
      <c r="A10134" t="inlineStr">
        <is>
          <t>A 7655-2024</t>
        </is>
      </c>
      <c r="B10134" s="1" t="n">
        <v>45348.69953703704</v>
      </c>
      <c r="C10134" s="1" t="n">
        <v>45952</v>
      </c>
      <c r="D10134" t="inlineStr">
        <is>
          <t>VÄSTRA GÖTALANDS LÄN</t>
        </is>
      </c>
      <c r="E10134" t="inlineStr">
        <is>
          <t>VARA</t>
        </is>
      </c>
      <c r="G10134" t="n">
        <v>8.5</v>
      </c>
      <c r="H10134" t="n">
        <v>0</v>
      </c>
      <c r="I10134" t="n">
        <v>0</v>
      </c>
      <c r="J10134" t="n">
        <v>0</v>
      </c>
      <c r="K10134" t="n">
        <v>0</v>
      </c>
      <c r="L10134" t="n">
        <v>0</v>
      </c>
      <c r="M10134" t="n">
        <v>0</v>
      </c>
      <c r="N10134" t="n">
        <v>0</v>
      </c>
      <c r="O10134" t="n">
        <v>0</v>
      </c>
      <c r="P10134" t="n">
        <v>0</v>
      </c>
      <c r="Q10134" t="n">
        <v>0</v>
      </c>
      <c r="R10134" s="2" t="inlineStr"/>
    </row>
    <row r="10135" ht="15" customHeight="1">
      <c r="A10135" t="inlineStr">
        <is>
          <t>A 46310-2022</t>
        </is>
      </c>
      <c r="B10135" s="1" t="n">
        <v>44847.89084490741</v>
      </c>
      <c r="C10135" s="1" t="n">
        <v>45952</v>
      </c>
      <c r="D10135" t="inlineStr">
        <is>
          <t>VÄSTRA GÖTALANDS LÄN</t>
        </is>
      </c>
      <c r="E10135" t="inlineStr">
        <is>
          <t>ULRICEHAMN</t>
        </is>
      </c>
      <c r="G10135" t="n">
        <v>1</v>
      </c>
      <c r="H10135" t="n">
        <v>0</v>
      </c>
      <c r="I10135" t="n">
        <v>0</v>
      </c>
      <c r="J10135" t="n">
        <v>0</v>
      </c>
      <c r="K10135" t="n">
        <v>0</v>
      </c>
      <c r="L10135" t="n">
        <v>0</v>
      </c>
      <c r="M10135" t="n">
        <v>0</v>
      </c>
      <c r="N10135" t="n">
        <v>0</v>
      </c>
      <c r="O10135" t="n">
        <v>0</v>
      </c>
      <c r="P10135" t="n">
        <v>0</v>
      </c>
      <c r="Q10135" t="n">
        <v>0</v>
      </c>
      <c r="R10135" s="2" t="inlineStr"/>
    </row>
    <row r="10136" ht="15" customHeight="1">
      <c r="A10136" t="inlineStr">
        <is>
          <t>A 45309-2024</t>
        </is>
      </c>
      <c r="B10136" s="1" t="n">
        <v>45576.43064814815</v>
      </c>
      <c r="C10136" s="1" t="n">
        <v>45952</v>
      </c>
      <c r="D10136" t="inlineStr">
        <is>
          <t>VÄSTRA GÖTALANDS LÄN</t>
        </is>
      </c>
      <c r="E10136" t="inlineStr">
        <is>
          <t>VÅRGÅRDA</t>
        </is>
      </c>
      <c r="G10136" t="n">
        <v>1.8</v>
      </c>
      <c r="H10136" t="n">
        <v>0</v>
      </c>
      <c r="I10136" t="n">
        <v>0</v>
      </c>
      <c r="J10136" t="n">
        <v>0</v>
      </c>
      <c r="K10136" t="n">
        <v>0</v>
      </c>
      <c r="L10136" t="n">
        <v>0</v>
      </c>
      <c r="M10136" t="n">
        <v>0</v>
      </c>
      <c r="N10136" t="n">
        <v>0</v>
      </c>
      <c r="O10136" t="n">
        <v>0</v>
      </c>
      <c r="P10136" t="n">
        <v>0</v>
      </c>
      <c r="Q10136" t="n">
        <v>0</v>
      </c>
      <c r="R10136" s="2" t="inlineStr"/>
    </row>
    <row r="10137" ht="15" customHeight="1">
      <c r="A10137" t="inlineStr">
        <is>
          <t>A 13830-2023</t>
        </is>
      </c>
      <c r="B10137" s="1" t="n">
        <v>45007.59076388889</v>
      </c>
      <c r="C10137" s="1" t="n">
        <v>45952</v>
      </c>
      <c r="D10137" t="inlineStr">
        <is>
          <t>VÄSTRA GÖTALANDS LÄN</t>
        </is>
      </c>
      <c r="E10137" t="inlineStr">
        <is>
          <t>BENGTSFORS</t>
        </is>
      </c>
      <c r="G10137" t="n">
        <v>3.4</v>
      </c>
      <c r="H10137" t="n">
        <v>0</v>
      </c>
      <c r="I10137" t="n">
        <v>0</v>
      </c>
      <c r="J10137" t="n">
        <v>0</v>
      </c>
      <c r="K10137" t="n">
        <v>0</v>
      </c>
      <c r="L10137" t="n">
        <v>0</v>
      </c>
      <c r="M10137" t="n">
        <v>0</v>
      </c>
      <c r="N10137" t="n">
        <v>0</v>
      </c>
      <c r="O10137" t="n">
        <v>0</v>
      </c>
      <c r="P10137" t="n">
        <v>0</v>
      </c>
      <c r="Q10137" t="n">
        <v>0</v>
      </c>
      <c r="R10137" s="2" t="inlineStr"/>
    </row>
    <row r="10138" ht="15" customHeight="1">
      <c r="A10138" t="inlineStr">
        <is>
          <t>A 24899-2025</t>
        </is>
      </c>
      <c r="B10138" s="1" t="n">
        <v>45799.5200462963</v>
      </c>
      <c r="C10138" s="1" t="n">
        <v>45952</v>
      </c>
      <c r="D10138" t="inlineStr">
        <is>
          <t>VÄSTRA GÖTALANDS LÄN</t>
        </is>
      </c>
      <c r="E10138" t="inlineStr">
        <is>
          <t>UDDEVALLA</t>
        </is>
      </c>
      <c r="G10138" t="n">
        <v>4.9</v>
      </c>
      <c r="H10138" t="n">
        <v>0</v>
      </c>
      <c r="I10138" t="n">
        <v>0</v>
      </c>
      <c r="J10138" t="n">
        <v>0</v>
      </c>
      <c r="K10138" t="n">
        <v>0</v>
      </c>
      <c r="L10138" t="n">
        <v>0</v>
      </c>
      <c r="M10138" t="n">
        <v>0</v>
      </c>
      <c r="N10138" t="n">
        <v>0</v>
      </c>
      <c r="O10138" t="n">
        <v>0</v>
      </c>
      <c r="P10138" t="n">
        <v>0</v>
      </c>
      <c r="Q10138" t="n">
        <v>0</v>
      </c>
      <c r="R10138" s="2" t="inlineStr"/>
    </row>
    <row r="10139" ht="15" customHeight="1">
      <c r="A10139" t="inlineStr">
        <is>
          <t>A 13843-2023</t>
        </is>
      </c>
      <c r="B10139" s="1" t="n">
        <v>45007.61644675926</v>
      </c>
      <c r="C10139" s="1" t="n">
        <v>45952</v>
      </c>
      <c r="D10139" t="inlineStr">
        <is>
          <t>VÄSTRA GÖTALANDS LÄN</t>
        </is>
      </c>
      <c r="E10139" t="inlineStr">
        <is>
          <t>BENGTSFORS</t>
        </is>
      </c>
      <c r="G10139" t="n">
        <v>1.8</v>
      </c>
      <c r="H10139" t="n">
        <v>0</v>
      </c>
      <c r="I10139" t="n">
        <v>0</v>
      </c>
      <c r="J10139" t="n">
        <v>0</v>
      </c>
      <c r="K10139" t="n">
        <v>0</v>
      </c>
      <c r="L10139" t="n">
        <v>0</v>
      </c>
      <c r="M10139" t="n">
        <v>0</v>
      </c>
      <c r="N10139" t="n">
        <v>0</v>
      </c>
      <c r="O10139" t="n">
        <v>0</v>
      </c>
      <c r="P10139" t="n">
        <v>0</v>
      </c>
      <c r="Q10139" t="n">
        <v>0</v>
      </c>
      <c r="R10139" s="2" t="inlineStr"/>
    </row>
    <row r="10140" ht="15" customHeight="1">
      <c r="A10140" t="inlineStr">
        <is>
          <t>A 49691-2024</t>
        </is>
      </c>
      <c r="B10140" s="1" t="n">
        <v>45596.6846875</v>
      </c>
      <c r="C10140" s="1" t="n">
        <v>45952</v>
      </c>
      <c r="D10140" t="inlineStr">
        <is>
          <t>VÄSTRA GÖTALANDS LÄN</t>
        </is>
      </c>
      <c r="E10140" t="inlineStr">
        <is>
          <t>TANUM</t>
        </is>
      </c>
      <c r="G10140" t="n">
        <v>2.1</v>
      </c>
      <c r="H10140" t="n">
        <v>0</v>
      </c>
      <c r="I10140" t="n">
        <v>0</v>
      </c>
      <c r="J10140" t="n">
        <v>0</v>
      </c>
      <c r="K10140" t="n">
        <v>0</v>
      </c>
      <c r="L10140" t="n">
        <v>0</v>
      </c>
      <c r="M10140" t="n">
        <v>0</v>
      </c>
      <c r="N10140" t="n">
        <v>0</v>
      </c>
      <c r="O10140" t="n">
        <v>0</v>
      </c>
      <c r="P10140" t="n">
        <v>0</v>
      </c>
      <c r="Q10140" t="n">
        <v>0</v>
      </c>
      <c r="R10140" s="2" t="inlineStr"/>
    </row>
    <row r="10141" ht="15" customHeight="1">
      <c r="A10141" t="inlineStr">
        <is>
          <t>A 15849-2024</t>
        </is>
      </c>
      <c r="B10141" s="1" t="n">
        <v>45404</v>
      </c>
      <c r="C10141" s="1" t="n">
        <v>45952</v>
      </c>
      <c r="D10141" t="inlineStr">
        <is>
          <t>VÄSTRA GÖTALANDS LÄN</t>
        </is>
      </c>
      <c r="E10141" t="inlineStr">
        <is>
          <t>DALS-ED</t>
        </is>
      </c>
      <c r="G10141" t="n">
        <v>1.3</v>
      </c>
      <c r="H10141" t="n">
        <v>0</v>
      </c>
      <c r="I10141" t="n">
        <v>0</v>
      </c>
      <c r="J10141" t="n">
        <v>0</v>
      </c>
      <c r="K10141" t="n">
        <v>0</v>
      </c>
      <c r="L10141" t="n">
        <v>0</v>
      </c>
      <c r="M10141" t="n">
        <v>0</v>
      </c>
      <c r="N10141" t="n">
        <v>0</v>
      </c>
      <c r="O10141" t="n">
        <v>0</v>
      </c>
      <c r="P10141" t="n">
        <v>0</v>
      </c>
      <c r="Q10141" t="n">
        <v>0</v>
      </c>
      <c r="R10141" s="2" t="inlineStr"/>
    </row>
    <row r="10142" ht="15" customHeight="1">
      <c r="A10142" t="inlineStr">
        <is>
          <t>A 15852-2024</t>
        </is>
      </c>
      <c r="B10142" s="1" t="n">
        <v>45404.89270833333</v>
      </c>
      <c r="C10142" s="1" t="n">
        <v>45952</v>
      </c>
      <c r="D10142" t="inlineStr">
        <is>
          <t>VÄSTRA GÖTALANDS LÄN</t>
        </is>
      </c>
      <c r="E10142" t="inlineStr">
        <is>
          <t>TIDAHOLM</t>
        </is>
      </c>
      <c r="G10142" t="n">
        <v>2.5</v>
      </c>
      <c r="H10142" t="n">
        <v>0</v>
      </c>
      <c r="I10142" t="n">
        <v>0</v>
      </c>
      <c r="J10142" t="n">
        <v>0</v>
      </c>
      <c r="K10142" t="n">
        <v>0</v>
      </c>
      <c r="L10142" t="n">
        <v>0</v>
      </c>
      <c r="M10142" t="n">
        <v>0</v>
      </c>
      <c r="N10142" t="n">
        <v>0</v>
      </c>
      <c r="O10142" t="n">
        <v>0</v>
      </c>
      <c r="P10142" t="n">
        <v>0</v>
      </c>
      <c r="Q10142" t="n">
        <v>0</v>
      </c>
      <c r="R10142" s="2" t="inlineStr"/>
    </row>
    <row r="10143" ht="15" customHeight="1">
      <c r="A10143" t="inlineStr">
        <is>
          <t>A 24681-2024</t>
        </is>
      </c>
      <c r="B10143" s="1" t="n">
        <v>45460.59233796296</v>
      </c>
      <c r="C10143" s="1" t="n">
        <v>45952</v>
      </c>
      <c r="D10143" t="inlineStr">
        <is>
          <t>VÄSTRA GÖTALANDS LÄN</t>
        </is>
      </c>
      <c r="E10143" t="inlineStr">
        <is>
          <t>BENGTSFORS</t>
        </is>
      </c>
      <c r="G10143" t="n">
        <v>2.6</v>
      </c>
      <c r="H10143" t="n">
        <v>0</v>
      </c>
      <c r="I10143" t="n">
        <v>0</v>
      </c>
      <c r="J10143" t="n">
        <v>0</v>
      </c>
      <c r="K10143" t="n">
        <v>0</v>
      </c>
      <c r="L10143" t="n">
        <v>0</v>
      </c>
      <c r="M10143" t="n">
        <v>0</v>
      </c>
      <c r="N10143" t="n">
        <v>0</v>
      </c>
      <c r="O10143" t="n">
        <v>0</v>
      </c>
      <c r="P10143" t="n">
        <v>0</v>
      </c>
      <c r="Q10143" t="n">
        <v>0</v>
      </c>
      <c r="R10143" s="2" t="inlineStr"/>
    </row>
    <row r="10144" ht="15" customHeight="1">
      <c r="A10144" t="inlineStr">
        <is>
          <t>A 24459-2025</t>
        </is>
      </c>
      <c r="B10144" s="1" t="n">
        <v>45798.3478587963</v>
      </c>
      <c r="C10144" s="1" t="n">
        <v>45952</v>
      </c>
      <c r="D10144" t="inlineStr">
        <is>
          <t>VÄSTRA GÖTALANDS LÄN</t>
        </is>
      </c>
      <c r="E10144" t="inlineStr">
        <is>
          <t>DALS-ED</t>
        </is>
      </c>
      <c r="G10144" t="n">
        <v>0.6</v>
      </c>
      <c r="H10144" t="n">
        <v>0</v>
      </c>
      <c r="I10144" t="n">
        <v>0</v>
      </c>
      <c r="J10144" t="n">
        <v>0</v>
      </c>
      <c r="K10144" t="n">
        <v>0</v>
      </c>
      <c r="L10144" t="n">
        <v>0</v>
      </c>
      <c r="M10144" t="n">
        <v>0</v>
      </c>
      <c r="N10144" t="n">
        <v>0</v>
      </c>
      <c r="O10144" t="n">
        <v>0</v>
      </c>
      <c r="P10144" t="n">
        <v>0</v>
      </c>
      <c r="Q10144" t="n">
        <v>0</v>
      </c>
      <c r="R10144" s="2" t="inlineStr"/>
    </row>
    <row r="10145" ht="15" customHeight="1">
      <c r="A10145" t="inlineStr">
        <is>
          <t>A 44844-2024</t>
        </is>
      </c>
      <c r="B10145" s="1" t="n">
        <v>45574.73483796296</v>
      </c>
      <c r="C10145" s="1" t="n">
        <v>45952</v>
      </c>
      <c r="D10145" t="inlineStr">
        <is>
          <t>VÄSTRA GÖTALANDS LÄN</t>
        </is>
      </c>
      <c r="E10145" t="inlineStr">
        <is>
          <t>TRANEMO</t>
        </is>
      </c>
      <c r="G10145" t="n">
        <v>1</v>
      </c>
      <c r="H10145" t="n">
        <v>0</v>
      </c>
      <c r="I10145" t="n">
        <v>0</v>
      </c>
      <c r="J10145" t="n">
        <v>0</v>
      </c>
      <c r="K10145" t="n">
        <v>0</v>
      </c>
      <c r="L10145" t="n">
        <v>0</v>
      </c>
      <c r="M10145" t="n">
        <v>0</v>
      </c>
      <c r="N10145" t="n">
        <v>0</v>
      </c>
      <c r="O10145" t="n">
        <v>0</v>
      </c>
      <c r="P10145" t="n">
        <v>0</v>
      </c>
      <c r="Q10145" t="n">
        <v>0</v>
      </c>
      <c r="R10145" s="2" t="inlineStr"/>
    </row>
    <row r="10146" ht="15" customHeight="1">
      <c r="A10146" t="inlineStr">
        <is>
          <t>A 40817-2025</t>
        </is>
      </c>
      <c r="B10146" s="1" t="n">
        <v>45897.48766203703</v>
      </c>
      <c r="C10146" s="1" t="n">
        <v>45952</v>
      </c>
      <c r="D10146" t="inlineStr">
        <is>
          <t>VÄSTRA GÖTALANDS LÄN</t>
        </is>
      </c>
      <c r="E10146" t="inlineStr">
        <is>
          <t>DALS-ED</t>
        </is>
      </c>
      <c r="G10146" t="n">
        <v>7.1</v>
      </c>
      <c r="H10146" t="n">
        <v>0</v>
      </c>
      <c r="I10146" t="n">
        <v>0</v>
      </c>
      <c r="J10146" t="n">
        <v>0</v>
      </c>
      <c r="K10146" t="n">
        <v>0</v>
      </c>
      <c r="L10146" t="n">
        <v>0</v>
      </c>
      <c r="M10146" t="n">
        <v>0</v>
      </c>
      <c r="N10146" t="n">
        <v>0</v>
      </c>
      <c r="O10146" t="n">
        <v>0</v>
      </c>
      <c r="P10146" t="n">
        <v>0</v>
      </c>
      <c r="Q10146" t="n">
        <v>0</v>
      </c>
      <c r="R10146" s="2" t="inlineStr"/>
    </row>
    <row r="10147" ht="15" customHeight="1">
      <c r="A10147" t="inlineStr">
        <is>
          <t>A 3163-2024</t>
        </is>
      </c>
      <c r="B10147" s="1" t="n">
        <v>45316</v>
      </c>
      <c r="C10147" s="1" t="n">
        <v>45952</v>
      </c>
      <c r="D10147" t="inlineStr">
        <is>
          <t>VÄSTRA GÖTALANDS LÄN</t>
        </is>
      </c>
      <c r="E10147" t="inlineStr">
        <is>
          <t>TRANEMO</t>
        </is>
      </c>
      <c r="G10147" t="n">
        <v>0.8</v>
      </c>
      <c r="H10147" t="n">
        <v>0</v>
      </c>
      <c r="I10147" t="n">
        <v>0</v>
      </c>
      <c r="J10147" t="n">
        <v>0</v>
      </c>
      <c r="K10147" t="n">
        <v>0</v>
      </c>
      <c r="L10147" t="n">
        <v>0</v>
      </c>
      <c r="M10147" t="n">
        <v>0</v>
      </c>
      <c r="N10147" t="n">
        <v>0</v>
      </c>
      <c r="O10147" t="n">
        <v>0</v>
      </c>
      <c r="P10147" t="n">
        <v>0</v>
      </c>
      <c r="Q10147" t="n">
        <v>0</v>
      </c>
      <c r="R10147" s="2" t="inlineStr"/>
    </row>
    <row r="10148" ht="15" customHeight="1">
      <c r="A10148" t="inlineStr">
        <is>
          <t>A 41581-2023</t>
        </is>
      </c>
      <c r="B10148" s="1" t="n">
        <v>45173</v>
      </c>
      <c r="C10148" s="1" t="n">
        <v>45952</v>
      </c>
      <c r="D10148" t="inlineStr">
        <is>
          <t>VÄSTRA GÖTALANDS LÄN</t>
        </is>
      </c>
      <c r="E10148" t="inlineStr">
        <is>
          <t>LYSEKIL</t>
        </is>
      </c>
      <c r="G10148" t="n">
        <v>2.3</v>
      </c>
      <c r="H10148" t="n">
        <v>0</v>
      </c>
      <c r="I10148" t="n">
        <v>0</v>
      </c>
      <c r="J10148" t="n">
        <v>0</v>
      </c>
      <c r="K10148" t="n">
        <v>0</v>
      </c>
      <c r="L10148" t="n">
        <v>0</v>
      </c>
      <c r="M10148" t="n">
        <v>0</v>
      </c>
      <c r="N10148" t="n">
        <v>0</v>
      </c>
      <c r="O10148" t="n">
        <v>0</v>
      </c>
      <c r="P10148" t="n">
        <v>0</v>
      </c>
      <c r="Q10148" t="n">
        <v>0</v>
      </c>
      <c r="R10148" s="2" t="inlineStr"/>
    </row>
    <row r="10149" ht="15" customHeight="1">
      <c r="A10149" t="inlineStr">
        <is>
          <t>A 24781-2025</t>
        </is>
      </c>
      <c r="B10149" s="1" t="n">
        <v>45799.41793981481</v>
      </c>
      <c r="C10149" s="1" t="n">
        <v>45952</v>
      </c>
      <c r="D10149" t="inlineStr">
        <is>
          <t>VÄSTRA GÖTALANDS LÄN</t>
        </is>
      </c>
      <c r="E10149" t="inlineStr">
        <is>
          <t>MARK</t>
        </is>
      </c>
      <c r="G10149" t="n">
        <v>2.3</v>
      </c>
      <c r="H10149" t="n">
        <v>0</v>
      </c>
      <c r="I10149" t="n">
        <v>0</v>
      </c>
      <c r="J10149" t="n">
        <v>0</v>
      </c>
      <c r="K10149" t="n">
        <v>0</v>
      </c>
      <c r="L10149" t="n">
        <v>0</v>
      </c>
      <c r="M10149" t="n">
        <v>0</v>
      </c>
      <c r="N10149" t="n">
        <v>0</v>
      </c>
      <c r="O10149" t="n">
        <v>0</v>
      </c>
      <c r="P10149" t="n">
        <v>0</v>
      </c>
      <c r="Q10149" t="n">
        <v>0</v>
      </c>
      <c r="R10149" s="2" t="inlineStr"/>
    </row>
    <row r="10150" ht="15" customHeight="1">
      <c r="A10150" t="inlineStr">
        <is>
          <t>A 49365-2025</t>
        </is>
      </c>
      <c r="B10150" s="1" t="n">
        <v>45938.62341435185</v>
      </c>
      <c r="C10150" s="1" t="n">
        <v>45952</v>
      </c>
      <c r="D10150" t="inlineStr">
        <is>
          <t>VÄSTRA GÖTALANDS LÄN</t>
        </is>
      </c>
      <c r="E10150" t="inlineStr">
        <is>
          <t>ORUST</t>
        </is>
      </c>
      <c r="G10150" t="n">
        <v>1.5</v>
      </c>
      <c r="H10150" t="n">
        <v>0</v>
      </c>
      <c r="I10150" t="n">
        <v>0</v>
      </c>
      <c r="J10150" t="n">
        <v>0</v>
      </c>
      <c r="K10150" t="n">
        <v>0</v>
      </c>
      <c r="L10150" t="n">
        <v>0</v>
      </c>
      <c r="M10150" t="n">
        <v>0</v>
      </c>
      <c r="N10150" t="n">
        <v>0</v>
      </c>
      <c r="O10150" t="n">
        <v>0</v>
      </c>
      <c r="P10150" t="n">
        <v>0</v>
      </c>
      <c r="Q10150" t="n">
        <v>0</v>
      </c>
      <c r="R10150" s="2" t="inlineStr"/>
    </row>
    <row r="10151" ht="15" customHeight="1">
      <c r="A10151" t="inlineStr">
        <is>
          <t>A 13246-2024</t>
        </is>
      </c>
      <c r="B10151" s="1" t="n">
        <v>45386.56986111111</v>
      </c>
      <c r="C10151" s="1" t="n">
        <v>45952</v>
      </c>
      <c r="D10151" t="inlineStr">
        <is>
          <t>VÄSTRA GÖTALANDS LÄN</t>
        </is>
      </c>
      <c r="E10151" t="inlineStr">
        <is>
          <t>LYSEKIL</t>
        </is>
      </c>
      <c r="G10151" t="n">
        <v>8</v>
      </c>
      <c r="H10151" t="n">
        <v>0</v>
      </c>
      <c r="I10151" t="n">
        <v>0</v>
      </c>
      <c r="J10151" t="n">
        <v>0</v>
      </c>
      <c r="K10151" t="n">
        <v>0</v>
      </c>
      <c r="L10151" t="n">
        <v>0</v>
      </c>
      <c r="M10151" t="n">
        <v>0</v>
      </c>
      <c r="N10151" t="n">
        <v>0</v>
      </c>
      <c r="O10151" t="n">
        <v>0</v>
      </c>
      <c r="P10151" t="n">
        <v>0</v>
      </c>
      <c r="Q10151" t="n">
        <v>0</v>
      </c>
      <c r="R10151" s="2" t="inlineStr"/>
    </row>
    <row r="10152" ht="15" customHeight="1">
      <c r="A10152" t="inlineStr">
        <is>
          <t>A 24832-2025</t>
        </is>
      </c>
      <c r="B10152" s="1" t="n">
        <v>45799.4587962963</v>
      </c>
      <c r="C10152" s="1" t="n">
        <v>45952</v>
      </c>
      <c r="D10152" t="inlineStr">
        <is>
          <t>VÄSTRA GÖTALANDS LÄN</t>
        </is>
      </c>
      <c r="E10152" t="inlineStr">
        <is>
          <t>VÄNERSBORG</t>
        </is>
      </c>
      <c r="G10152" t="n">
        <v>3.2</v>
      </c>
      <c r="H10152" t="n">
        <v>0</v>
      </c>
      <c r="I10152" t="n">
        <v>0</v>
      </c>
      <c r="J10152" t="n">
        <v>0</v>
      </c>
      <c r="K10152" t="n">
        <v>0</v>
      </c>
      <c r="L10152" t="n">
        <v>0</v>
      </c>
      <c r="M10152" t="n">
        <v>0</v>
      </c>
      <c r="N10152" t="n">
        <v>0</v>
      </c>
      <c r="O10152" t="n">
        <v>0</v>
      </c>
      <c r="P10152" t="n">
        <v>0</v>
      </c>
      <c r="Q10152" t="n">
        <v>0</v>
      </c>
      <c r="R10152" s="2" t="inlineStr"/>
    </row>
    <row r="10153" ht="15" customHeight="1">
      <c r="A10153" t="inlineStr">
        <is>
          <t>A 40564-2025</t>
        </is>
      </c>
      <c r="B10153" s="1" t="n">
        <v>45896.46381944444</v>
      </c>
      <c r="C10153" s="1" t="n">
        <v>45952</v>
      </c>
      <c r="D10153" t="inlineStr">
        <is>
          <t>VÄSTRA GÖTALANDS LÄN</t>
        </is>
      </c>
      <c r="E10153" t="inlineStr">
        <is>
          <t>ULRICEHAMN</t>
        </is>
      </c>
      <c r="G10153" t="n">
        <v>0.3</v>
      </c>
      <c r="H10153" t="n">
        <v>0</v>
      </c>
      <c r="I10153" t="n">
        <v>0</v>
      </c>
      <c r="J10153" t="n">
        <v>0</v>
      </c>
      <c r="K10153" t="n">
        <v>0</v>
      </c>
      <c r="L10153" t="n">
        <v>0</v>
      </c>
      <c r="M10153" t="n">
        <v>0</v>
      </c>
      <c r="N10153" t="n">
        <v>0</v>
      </c>
      <c r="O10153" t="n">
        <v>0</v>
      </c>
      <c r="P10153" t="n">
        <v>0</v>
      </c>
      <c r="Q10153" t="n">
        <v>0</v>
      </c>
      <c r="R10153" s="2" t="inlineStr"/>
    </row>
    <row r="10154" ht="15" customHeight="1">
      <c r="A10154" t="inlineStr">
        <is>
          <t>A 49737-2024</t>
        </is>
      </c>
      <c r="B10154" s="1" t="n">
        <v>45596.86387731481</v>
      </c>
      <c r="C10154" s="1" t="n">
        <v>45952</v>
      </c>
      <c r="D10154" t="inlineStr">
        <is>
          <t>VÄSTRA GÖTALANDS LÄN</t>
        </is>
      </c>
      <c r="E10154" t="inlineStr">
        <is>
          <t>VARA</t>
        </is>
      </c>
      <c r="G10154" t="n">
        <v>4.3</v>
      </c>
      <c r="H10154" t="n">
        <v>0</v>
      </c>
      <c r="I10154" t="n">
        <v>0</v>
      </c>
      <c r="J10154" t="n">
        <v>0</v>
      </c>
      <c r="K10154" t="n">
        <v>0</v>
      </c>
      <c r="L10154" t="n">
        <v>0</v>
      </c>
      <c r="M10154" t="n">
        <v>0</v>
      </c>
      <c r="N10154" t="n">
        <v>0</v>
      </c>
      <c r="O10154" t="n">
        <v>0</v>
      </c>
      <c r="P10154" t="n">
        <v>0</v>
      </c>
      <c r="Q10154" t="n">
        <v>0</v>
      </c>
      <c r="R10154" s="2" t="inlineStr"/>
    </row>
    <row r="10155" ht="15" customHeight="1">
      <c r="A10155" t="inlineStr">
        <is>
          <t>A 24882-2025</t>
        </is>
      </c>
      <c r="B10155" s="1" t="n">
        <v>45799.49961805555</v>
      </c>
      <c r="C10155" s="1" t="n">
        <v>45952</v>
      </c>
      <c r="D10155" t="inlineStr">
        <is>
          <t>VÄSTRA GÖTALANDS LÄN</t>
        </is>
      </c>
      <c r="E10155" t="inlineStr">
        <is>
          <t>VÄNERSBORG</t>
        </is>
      </c>
      <c r="G10155" t="n">
        <v>1.5</v>
      </c>
      <c r="H10155" t="n">
        <v>0</v>
      </c>
      <c r="I10155" t="n">
        <v>0</v>
      </c>
      <c r="J10155" t="n">
        <v>0</v>
      </c>
      <c r="K10155" t="n">
        <v>0</v>
      </c>
      <c r="L10155" t="n">
        <v>0</v>
      </c>
      <c r="M10155" t="n">
        <v>0</v>
      </c>
      <c r="N10155" t="n">
        <v>0</v>
      </c>
      <c r="O10155" t="n">
        <v>0</v>
      </c>
      <c r="P10155" t="n">
        <v>0</v>
      </c>
      <c r="Q10155" t="n">
        <v>0</v>
      </c>
      <c r="R10155" s="2" t="inlineStr"/>
    </row>
    <row r="10156" ht="15" customHeight="1">
      <c r="A10156" t="inlineStr">
        <is>
          <t>A 24587-2025</t>
        </is>
      </c>
      <c r="B10156" s="1" t="n">
        <v>45798.52392361111</v>
      </c>
      <c r="C10156" s="1" t="n">
        <v>45952</v>
      </c>
      <c r="D10156" t="inlineStr">
        <is>
          <t>VÄSTRA GÖTALANDS LÄN</t>
        </is>
      </c>
      <c r="E10156" t="inlineStr">
        <is>
          <t>ULRICEHAMN</t>
        </is>
      </c>
      <c r="G10156" t="n">
        <v>1.3</v>
      </c>
      <c r="H10156" t="n">
        <v>0</v>
      </c>
      <c r="I10156" t="n">
        <v>0</v>
      </c>
      <c r="J10156" t="n">
        <v>0</v>
      </c>
      <c r="K10156" t="n">
        <v>0</v>
      </c>
      <c r="L10156" t="n">
        <v>0</v>
      </c>
      <c r="M10156" t="n">
        <v>0</v>
      </c>
      <c r="N10156" t="n">
        <v>0</v>
      </c>
      <c r="O10156" t="n">
        <v>0</v>
      </c>
      <c r="P10156" t="n">
        <v>0</v>
      </c>
      <c r="Q10156" t="n">
        <v>0</v>
      </c>
      <c r="R10156" s="2" t="inlineStr"/>
    </row>
    <row r="10157" ht="15" customHeight="1">
      <c r="A10157" t="inlineStr">
        <is>
          <t>A 24897-2025</t>
        </is>
      </c>
      <c r="B10157" s="1" t="n">
        <v>45799.51752314815</v>
      </c>
      <c r="C10157" s="1" t="n">
        <v>45952</v>
      </c>
      <c r="D10157" t="inlineStr">
        <is>
          <t>VÄSTRA GÖTALANDS LÄN</t>
        </is>
      </c>
      <c r="E10157" t="inlineStr">
        <is>
          <t>VÄNERSBORG</t>
        </is>
      </c>
      <c r="G10157" t="n">
        <v>1.8</v>
      </c>
      <c r="H10157" t="n">
        <v>0</v>
      </c>
      <c r="I10157" t="n">
        <v>0</v>
      </c>
      <c r="J10157" t="n">
        <v>0</v>
      </c>
      <c r="K10157" t="n">
        <v>0</v>
      </c>
      <c r="L10157" t="n">
        <v>0</v>
      </c>
      <c r="M10157" t="n">
        <v>0</v>
      </c>
      <c r="N10157" t="n">
        <v>0</v>
      </c>
      <c r="O10157" t="n">
        <v>0</v>
      </c>
      <c r="P10157" t="n">
        <v>0</v>
      </c>
      <c r="Q10157" t="n">
        <v>0</v>
      </c>
      <c r="R10157" s="2" t="inlineStr"/>
    </row>
    <row r="10158" ht="15" customHeight="1">
      <c r="A10158" t="inlineStr">
        <is>
          <t>A 43228-2024</t>
        </is>
      </c>
      <c r="B10158" s="1" t="n">
        <v>45567.8855787037</v>
      </c>
      <c r="C10158" s="1" t="n">
        <v>45952</v>
      </c>
      <c r="D10158" t="inlineStr">
        <is>
          <t>VÄSTRA GÖTALANDS LÄN</t>
        </is>
      </c>
      <c r="E10158" t="inlineStr">
        <is>
          <t>ORUST</t>
        </is>
      </c>
      <c r="G10158" t="n">
        <v>2</v>
      </c>
      <c r="H10158" t="n">
        <v>0</v>
      </c>
      <c r="I10158" t="n">
        <v>0</v>
      </c>
      <c r="J10158" t="n">
        <v>0</v>
      </c>
      <c r="K10158" t="n">
        <v>0</v>
      </c>
      <c r="L10158" t="n">
        <v>0</v>
      </c>
      <c r="M10158" t="n">
        <v>0</v>
      </c>
      <c r="N10158" t="n">
        <v>0</v>
      </c>
      <c r="O10158" t="n">
        <v>0</v>
      </c>
      <c r="P10158" t="n">
        <v>0</v>
      </c>
      <c r="Q10158" t="n">
        <v>0</v>
      </c>
      <c r="R10158" s="2" t="inlineStr"/>
    </row>
    <row r="10159" ht="15" customHeight="1">
      <c r="A10159" t="inlineStr">
        <is>
          <t>A 25103-2025</t>
        </is>
      </c>
      <c r="B10159" s="1" t="n">
        <v>45798</v>
      </c>
      <c r="C10159" s="1" t="n">
        <v>45952</v>
      </c>
      <c r="D10159" t="inlineStr">
        <is>
          <t>VÄSTRA GÖTALANDS LÄN</t>
        </is>
      </c>
      <c r="E10159" t="inlineStr">
        <is>
          <t>BORÅS</t>
        </is>
      </c>
      <c r="F10159" t="inlineStr">
        <is>
          <t>Kommuner</t>
        </is>
      </c>
      <c r="G10159" t="n">
        <v>5.9</v>
      </c>
      <c r="H10159" t="n">
        <v>0</v>
      </c>
      <c r="I10159" t="n">
        <v>0</v>
      </c>
      <c r="J10159" t="n">
        <v>0</v>
      </c>
      <c r="K10159" t="n">
        <v>0</v>
      </c>
      <c r="L10159" t="n">
        <v>0</v>
      </c>
      <c r="M10159" t="n">
        <v>0</v>
      </c>
      <c r="N10159" t="n">
        <v>0</v>
      </c>
      <c r="O10159" t="n">
        <v>0</v>
      </c>
      <c r="P10159" t="n">
        <v>0</v>
      </c>
      <c r="Q10159" t="n">
        <v>0</v>
      </c>
      <c r="R10159" s="2" t="inlineStr"/>
    </row>
    <row r="10160" ht="15" customHeight="1">
      <c r="A10160" t="inlineStr">
        <is>
          <t>A 24527-2025</t>
        </is>
      </c>
      <c r="B10160" s="1" t="n">
        <v>45798.42491898148</v>
      </c>
      <c r="C10160" s="1" t="n">
        <v>45952</v>
      </c>
      <c r="D10160" t="inlineStr">
        <is>
          <t>VÄSTRA GÖTALANDS LÄN</t>
        </is>
      </c>
      <c r="E10160" t="inlineStr">
        <is>
          <t>MELLERUD</t>
        </is>
      </c>
      <c r="G10160" t="n">
        <v>3.6</v>
      </c>
      <c r="H10160" t="n">
        <v>0</v>
      </c>
      <c r="I10160" t="n">
        <v>0</v>
      </c>
      <c r="J10160" t="n">
        <v>0</v>
      </c>
      <c r="K10160" t="n">
        <v>0</v>
      </c>
      <c r="L10160" t="n">
        <v>0</v>
      </c>
      <c r="M10160" t="n">
        <v>0</v>
      </c>
      <c r="N10160" t="n">
        <v>0</v>
      </c>
      <c r="O10160" t="n">
        <v>0</v>
      </c>
      <c r="P10160" t="n">
        <v>0</v>
      </c>
      <c r="Q10160" t="n">
        <v>0</v>
      </c>
      <c r="R10160" s="2" t="inlineStr"/>
    </row>
    <row r="10161" ht="15" customHeight="1">
      <c r="A10161" t="inlineStr">
        <is>
          <t>A 46480-2022</t>
        </is>
      </c>
      <c r="B10161" s="1" t="n">
        <v>44847</v>
      </c>
      <c r="C10161" s="1" t="n">
        <v>45952</v>
      </c>
      <c r="D10161" t="inlineStr">
        <is>
          <t>VÄSTRA GÖTALANDS LÄN</t>
        </is>
      </c>
      <c r="E10161" t="inlineStr">
        <is>
          <t>GULLSPÅNG</t>
        </is>
      </c>
      <c r="G10161" t="n">
        <v>4.3</v>
      </c>
      <c r="H10161" t="n">
        <v>0</v>
      </c>
      <c r="I10161" t="n">
        <v>0</v>
      </c>
      <c r="J10161" t="n">
        <v>0</v>
      </c>
      <c r="K10161" t="n">
        <v>0</v>
      </c>
      <c r="L10161" t="n">
        <v>0</v>
      </c>
      <c r="M10161" t="n">
        <v>0</v>
      </c>
      <c r="N10161" t="n">
        <v>0</v>
      </c>
      <c r="O10161" t="n">
        <v>0</v>
      </c>
      <c r="P10161" t="n">
        <v>0</v>
      </c>
      <c r="Q10161" t="n">
        <v>0</v>
      </c>
      <c r="R10161" s="2" t="inlineStr"/>
    </row>
    <row r="10162" ht="15" customHeight="1">
      <c r="A10162" t="inlineStr">
        <is>
          <t>A 40555-2025</t>
        </is>
      </c>
      <c r="B10162" s="1" t="n">
        <v>45896</v>
      </c>
      <c r="C10162" s="1" t="n">
        <v>45952</v>
      </c>
      <c r="D10162" t="inlineStr">
        <is>
          <t>VÄSTRA GÖTALANDS LÄN</t>
        </is>
      </c>
      <c r="E10162" t="inlineStr">
        <is>
          <t>FALKÖPING</t>
        </is>
      </c>
      <c r="G10162" t="n">
        <v>1</v>
      </c>
      <c r="H10162" t="n">
        <v>0</v>
      </c>
      <c r="I10162" t="n">
        <v>0</v>
      </c>
      <c r="J10162" t="n">
        <v>0</v>
      </c>
      <c r="K10162" t="n">
        <v>0</v>
      </c>
      <c r="L10162" t="n">
        <v>0</v>
      </c>
      <c r="M10162" t="n">
        <v>0</v>
      </c>
      <c r="N10162" t="n">
        <v>0</v>
      </c>
      <c r="O10162" t="n">
        <v>0</v>
      </c>
      <c r="P10162" t="n">
        <v>0</v>
      </c>
      <c r="Q10162" t="n">
        <v>0</v>
      </c>
      <c r="R10162" s="2" t="inlineStr"/>
    </row>
    <row r="10163" ht="15" customHeight="1">
      <c r="A10163" t="inlineStr">
        <is>
          <t>A 55252-2024</t>
        </is>
      </c>
      <c r="B10163" s="1" t="n">
        <v>45621.59697916666</v>
      </c>
      <c r="C10163" s="1" t="n">
        <v>45952</v>
      </c>
      <c r="D10163" t="inlineStr">
        <is>
          <t>VÄSTRA GÖTALANDS LÄN</t>
        </is>
      </c>
      <c r="E10163" t="inlineStr">
        <is>
          <t>TANUM</t>
        </is>
      </c>
      <c r="G10163" t="n">
        <v>1.1</v>
      </c>
      <c r="H10163" t="n">
        <v>0</v>
      </c>
      <c r="I10163" t="n">
        <v>0</v>
      </c>
      <c r="J10163" t="n">
        <v>0</v>
      </c>
      <c r="K10163" t="n">
        <v>0</v>
      </c>
      <c r="L10163" t="n">
        <v>0</v>
      </c>
      <c r="M10163" t="n">
        <v>0</v>
      </c>
      <c r="N10163" t="n">
        <v>0</v>
      </c>
      <c r="O10163" t="n">
        <v>0</v>
      </c>
      <c r="P10163" t="n">
        <v>0</v>
      </c>
      <c r="Q10163" t="n">
        <v>0</v>
      </c>
      <c r="R10163" s="2" t="inlineStr"/>
    </row>
    <row r="10164" ht="15" customHeight="1">
      <c r="A10164" t="inlineStr">
        <is>
          <t>A 34116-2023</t>
        </is>
      </c>
      <c r="B10164" s="1" t="n">
        <v>45126</v>
      </c>
      <c r="C10164" s="1" t="n">
        <v>45952</v>
      </c>
      <c r="D10164" t="inlineStr">
        <is>
          <t>VÄSTRA GÖTALANDS LÄN</t>
        </is>
      </c>
      <c r="E10164" t="inlineStr">
        <is>
          <t>MELLERUD</t>
        </is>
      </c>
      <c r="G10164" t="n">
        <v>4.3</v>
      </c>
      <c r="H10164" t="n">
        <v>0</v>
      </c>
      <c r="I10164" t="n">
        <v>0</v>
      </c>
      <c r="J10164" t="n">
        <v>0</v>
      </c>
      <c r="K10164" t="n">
        <v>0</v>
      </c>
      <c r="L10164" t="n">
        <v>0</v>
      </c>
      <c r="M10164" t="n">
        <v>0</v>
      </c>
      <c r="N10164" t="n">
        <v>0</v>
      </c>
      <c r="O10164" t="n">
        <v>0</v>
      </c>
      <c r="P10164" t="n">
        <v>0</v>
      </c>
      <c r="Q10164" t="n">
        <v>0</v>
      </c>
      <c r="R10164" s="2" t="inlineStr"/>
    </row>
    <row r="10165" ht="15" customHeight="1">
      <c r="A10165" t="inlineStr">
        <is>
          <t>A 24549-2025</t>
        </is>
      </c>
      <c r="B10165" s="1" t="n">
        <v>45798.44802083333</v>
      </c>
      <c r="C10165" s="1" t="n">
        <v>45952</v>
      </c>
      <c r="D10165" t="inlineStr">
        <is>
          <t>VÄSTRA GÖTALANDS LÄN</t>
        </is>
      </c>
      <c r="E10165" t="inlineStr">
        <is>
          <t>VÄNERSBORG</t>
        </is>
      </c>
      <c r="G10165" t="n">
        <v>1.9</v>
      </c>
      <c r="H10165" t="n">
        <v>0</v>
      </c>
      <c r="I10165" t="n">
        <v>0</v>
      </c>
      <c r="J10165" t="n">
        <v>0</v>
      </c>
      <c r="K10165" t="n">
        <v>0</v>
      </c>
      <c r="L10165" t="n">
        <v>0</v>
      </c>
      <c r="M10165" t="n">
        <v>0</v>
      </c>
      <c r="N10165" t="n">
        <v>0</v>
      </c>
      <c r="O10165" t="n">
        <v>0</v>
      </c>
      <c r="P10165" t="n">
        <v>0</v>
      </c>
      <c r="Q10165" t="n">
        <v>0</v>
      </c>
      <c r="R10165" s="2" t="inlineStr"/>
    </row>
    <row r="10166" ht="15" customHeight="1">
      <c r="A10166" t="inlineStr">
        <is>
          <t>A 50123-2025</t>
        </is>
      </c>
      <c r="B10166" s="1" t="n">
        <v>45943.55126157407</v>
      </c>
      <c r="C10166" s="1" t="n">
        <v>45952</v>
      </c>
      <c r="D10166" t="inlineStr">
        <is>
          <t>VÄSTRA GÖTALANDS LÄN</t>
        </is>
      </c>
      <c r="E10166" t="inlineStr">
        <is>
          <t>VARA</t>
        </is>
      </c>
      <c r="F10166" t="inlineStr">
        <is>
          <t>Kyrkan</t>
        </is>
      </c>
      <c r="G10166" t="n">
        <v>0.6</v>
      </c>
      <c r="H10166" t="n">
        <v>0</v>
      </c>
      <c r="I10166" t="n">
        <v>0</v>
      </c>
      <c r="J10166" t="n">
        <v>0</v>
      </c>
      <c r="K10166" t="n">
        <v>0</v>
      </c>
      <c r="L10166" t="n">
        <v>0</v>
      </c>
      <c r="M10166" t="n">
        <v>0</v>
      </c>
      <c r="N10166" t="n">
        <v>0</v>
      </c>
      <c r="O10166" t="n">
        <v>0</v>
      </c>
      <c r="P10166" t="n">
        <v>0</v>
      </c>
      <c r="Q10166" t="n">
        <v>0</v>
      </c>
      <c r="R10166" s="2" t="inlineStr"/>
    </row>
    <row r="10167" ht="15" customHeight="1">
      <c r="A10167" t="inlineStr">
        <is>
          <t>A 24751-2025</t>
        </is>
      </c>
      <c r="B10167" s="1" t="n">
        <v>45799.35922453704</v>
      </c>
      <c r="C10167" s="1" t="n">
        <v>45952</v>
      </c>
      <c r="D10167" t="inlineStr">
        <is>
          <t>VÄSTRA GÖTALANDS LÄN</t>
        </is>
      </c>
      <c r="E10167" t="inlineStr">
        <is>
          <t>FÄRGELANDA</t>
        </is>
      </c>
      <c r="G10167" t="n">
        <v>3.2</v>
      </c>
      <c r="H10167" t="n">
        <v>0</v>
      </c>
      <c r="I10167" t="n">
        <v>0</v>
      </c>
      <c r="J10167" t="n">
        <v>0</v>
      </c>
      <c r="K10167" t="n">
        <v>0</v>
      </c>
      <c r="L10167" t="n">
        <v>0</v>
      </c>
      <c r="M10167" t="n">
        <v>0</v>
      </c>
      <c r="N10167" t="n">
        <v>0</v>
      </c>
      <c r="O10167" t="n">
        <v>0</v>
      </c>
      <c r="P10167" t="n">
        <v>0</v>
      </c>
      <c r="Q10167" t="n">
        <v>0</v>
      </c>
      <c r="R10167" s="2" t="inlineStr"/>
    </row>
    <row r="10168" ht="15" customHeight="1">
      <c r="A10168" t="inlineStr">
        <is>
          <t>A 24553-2025</t>
        </is>
      </c>
      <c r="B10168" s="1" t="n">
        <v>45798.44869212963</v>
      </c>
      <c r="C10168" s="1" t="n">
        <v>45952</v>
      </c>
      <c r="D10168" t="inlineStr">
        <is>
          <t>VÄSTRA GÖTALANDS LÄN</t>
        </is>
      </c>
      <c r="E10168" t="inlineStr">
        <is>
          <t>SKÖVDE</t>
        </is>
      </c>
      <c r="F10168" t="inlineStr">
        <is>
          <t>Sveaskog</t>
        </is>
      </c>
      <c r="G10168" t="n">
        <v>2.1</v>
      </c>
      <c r="H10168" t="n">
        <v>0</v>
      </c>
      <c r="I10168" t="n">
        <v>0</v>
      </c>
      <c r="J10168" t="n">
        <v>0</v>
      </c>
      <c r="K10168" t="n">
        <v>0</v>
      </c>
      <c r="L10168" t="n">
        <v>0</v>
      </c>
      <c r="M10168" t="n">
        <v>0</v>
      </c>
      <c r="N10168" t="n">
        <v>0</v>
      </c>
      <c r="O10168" t="n">
        <v>0</v>
      </c>
      <c r="P10168" t="n">
        <v>0</v>
      </c>
      <c r="Q10168" t="n">
        <v>0</v>
      </c>
      <c r="R10168" s="2" t="inlineStr"/>
    </row>
    <row r="10169" ht="15" customHeight="1">
      <c r="A10169" t="inlineStr">
        <is>
          <t>A 24567-2025</t>
        </is>
      </c>
      <c r="B10169" s="1" t="n">
        <v>45798.46579861111</v>
      </c>
      <c r="C10169" s="1" t="n">
        <v>45952</v>
      </c>
      <c r="D10169" t="inlineStr">
        <is>
          <t>VÄSTRA GÖTALANDS LÄN</t>
        </is>
      </c>
      <c r="E10169" t="inlineStr">
        <is>
          <t>VÄNERSBORG</t>
        </is>
      </c>
      <c r="G10169" t="n">
        <v>1.2</v>
      </c>
      <c r="H10169" t="n">
        <v>0</v>
      </c>
      <c r="I10169" t="n">
        <v>0</v>
      </c>
      <c r="J10169" t="n">
        <v>0</v>
      </c>
      <c r="K10169" t="n">
        <v>0</v>
      </c>
      <c r="L10169" t="n">
        <v>0</v>
      </c>
      <c r="M10169" t="n">
        <v>0</v>
      </c>
      <c r="N10169" t="n">
        <v>0</v>
      </c>
      <c r="O10169" t="n">
        <v>0</v>
      </c>
      <c r="P10169" t="n">
        <v>0</v>
      </c>
      <c r="Q10169" t="n">
        <v>0</v>
      </c>
      <c r="R10169" s="2" t="inlineStr"/>
    </row>
    <row r="10170" ht="15" customHeight="1">
      <c r="A10170" t="inlineStr">
        <is>
          <t>A 59067-2024</t>
        </is>
      </c>
      <c r="B10170" s="1" t="n">
        <v>45636.94935185185</v>
      </c>
      <c r="C10170" s="1" t="n">
        <v>45952</v>
      </c>
      <c r="D10170" t="inlineStr">
        <is>
          <t>VÄSTRA GÖTALANDS LÄN</t>
        </is>
      </c>
      <c r="E10170" t="inlineStr">
        <is>
          <t>ULRICEHAMN</t>
        </is>
      </c>
      <c r="G10170" t="n">
        <v>0.9</v>
      </c>
      <c r="H10170" t="n">
        <v>0</v>
      </c>
      <c r="I10170" t="n">
        <v>0</v>
      </c>
      <c r="J10170" t="n">
        <v>0</v>
      </c>
      <c r="K10170" t="n">
        <v>0</v>
      </c>
      <c r="L10170" t="n">
        <v>0</v>
      </c>
      <c r="M10170" t="n">
        <v>0</v>
      </c>
      <c r="N10170" t="n">
        <v>0</v>
      </c>
      <c r="O10170" t="n">
        <v>0</v>
      </c>
      <c r="P10170" t="n">
        <v>0</v>
      </c>
      <c r="Q10170" t="n">
        <v>0</v>
      </c>
      <c r="R10170" s="2" t="inlineStr"/>
    </row>
    <row r="10171" ht="15" customHeight="1">
      <c r="A10171" t="inlineStr">
        <is>
          <t>A 24962-2025</t>
        </is>
      </c>
      <c r="B10171" s="1" t="n">
        <v>45799.57716435185</v>
      </c>
      <c r="C10171" s="1" t="n">
        <v>45952</v>
      </c>
      <c r="D10171" t="inlineStr">
        <is>
          <t>VÄSTRA GÖTALANDS LÄN</t>
        </is>
      </c>
      <c r="E10171" t="inlineStr">
        <is>
          <t>SKÖVDE</t>
        </is>
      </c>
      <c r="F10171" t="inlineStr">
        <is>
          <t>Kommuner</t>
        </is>
      </c>
      <c r="G10171" t="n">
        <v>0.7</v>
      </c>
      <c r="H10171" t="n">
        <v>0</v>
      </c>
      <c r="I10171" t="n">
        <v>0</v>
      </c>
      <c r="J10171" t="n">
        <v>0</v>
      </c>
      <c r="K10171" t="n">
        <v>0</v>
      </c>
      <c r="L10171" t="n">
        <v>0</v>
      </c>
      <c r="M10171" t="n">
        <v>0</v>
      </c>
      <c r="N10171" t="n">
        <v>0</v>
      </c>
      <c r="O10171" t="n">
        <v>0</v>
      </c>
      <c r="P10171" t="n">
        <v>0</v>
      </c>
      <c r="Q10171" t="n">
        <v>0</v>
      </c>
      <c r="R10171" s="2" t="inlineStr"/>
    </row>
    <row r="10172" ht="15" customHeight="1">
      <c r="A10172" t="inlineStr">
        <is>
          <t>A 16489-2025</t>
        </is>
      </c>
      <c r="B10172" s="1" t="n">
        <v>45751.58628472222</v>
      </c>
      <c r="C10172" s="1" t="n">
        <v>45952</v>
      </c>
      <c r="D10172" t="inlineStr">
        <is>
          <t>VÄSTRA GÖTALANDS LÄN</t>
        </is>
      </c>
      <c r="E10172" t="inlineStr">
        <is>
          <t>LILLA EDET</t>
        </is>
      </c>
      <c r="G10172" t="n">
        <v>3.8</v>
      </c>
      <c r="H10172" t="n">
        <v>0</v>
      </c>
      <c r="I10172" t="n">
        <v>0</v>
      </c>
      <c r="J10172" t="n">
        <v>0</v>
      </c>
      <c r="K10172" t="n">
        <v>0</v>
      </c>
      <c r="L10172" t="n">
        <v>0</v>
      </c>
      <c r="M10172" t="n">
        <v>0</v>
      </c>
      <c r="N10172" t="n">
        <v>0</v>
      </c>
      <c r="O10172" t="n">
        <v>0</v>
      </c>
      <c r="P10172" t="n">
        <v>0</v>
      </c>
      <c r="Q10172" t="n">
        <v>0</v>
      </c>
      <c r="R10172" s="2" t="inlineStr"/>
    </row>
    <row r="10173" ht="15" customHeight="1">
      <c r="A10173" t="inlineStr">
        <is>
          <t>A 9084-2025</t>
        </is>
      </c>
      <c r="B10173" s="1" t="n">
        <v>45713.6675</v>
      </c>
      <c r="C10173" s="1" t="n">
        <v>45952</v>
      </c>
      <c r="D10173" t="inlineStr">
        <is>
          <t>VÄSTRA GÖTALANDS LÄN</t>
        </is>
      </c>
      <c r="E10173" t="inlineStr">
        <is>
          <t>TANUM</t>
        </is>
      </c>
      <c r="G10173" t="n">
        <v>12.7</v>
      </c>
      <c r="H10173" t="n">
        <v>0</v>
      </c>
      <c r="I10173" t="n">
        <v>0</v>
      </c>
      <c r="J10173" t="n">
        <v>0</v>
      </c>
      <c r="K10173" t="n">
        <v>0</v>
      </c>
      <c r="L10173" t="n">
        <v>0</v>
      </c>
      <c r="M10173" t="n">
        <v>0</v>
      </c>
      <c r="N10173" t="n">
        <v>0</v>
      </c>
      <c r="O10173" t="n">
        <v>0</v>
      </c>
      <c r="P10173" t="n">
        <v>0</v>
      </c>
      <c r="Q10173" t="n">
        <v>0</v>
      </c>
      <c r="R10173" s="2" t="inlineStr"/>
    </row>
    <row r="10174" ht="15" customHeight="1">
      <c r="A10174" t="inlineStr">
        <is>
          <t>A 17610-2023</t>
        </is>
      </c>
      <c r="B10174" s="1" t="n">
        <v>45036</v>
      </c>
      <c r="C10174" s="1" t="n">
        <v>45952</v>
      </c>
      <c r="D10174" t="inlineStr">
        <is>
          <t>VÄSTRA GÖTALANDS LÄN</t>
        </is>
      </c>
      <c r="E10174" t="inlineStr">
        <is>
          <t>FÄRGELANDA</t>
        </is>
      </c>
      <c r="G10174" t="n">
        <v>3.5</v>
      </c>
      <c r="H10174" t="n">
        <v>0</v>
      </c>
      <c r="I10174" t="n">
        <v>0</v>
      </c>
      <c r="J10174" t="n">
        <v>0</v>
      </c>
      <c r="K10174" t="n">
        <v>0</v>
      </c>
      <c r="L10174" t="n">
        <v>0</v>
      </c>
      <c r="M10174" t="n">
        <v>0</v>
      </c>
      <c r="N10174" t="n">
        <v>0</v>
      </c>
      <c r="O10174" t="n">
        <v>0</v>
      </c>
      <c r="P10174" t="n">
        <v>0</v>
      </c>
      <c r="Q10174" t="n">
        <v>0</v>
      </c>
      <c r="R10174" s="2" t="inlineStr"/>
    </row>
    <row r="10175" ht="15" customHeight="1">
      <c r="A10175" t="inlineStr">
        <is>
          <t>A 43017-2024</t>
        </is>
      </c>
      <c r="B10175" s="1" t="n">
        <v>45567.39223379629</v>
      </c>
      <c r="C10175" s="1" t="n">
        <v>45952</v>
      </c>
      <c r="D10175" t="inlineStr">
        <is>
          <t>VÄSTRA GÖTALANDS LÄN</t>
        </is>
      </c>
      <c r="E10175" t="inlineStr">
        <is>
          <t>MELLERUD</t>
        </is>
      </c>
      <c r="G10175" t="n">
        <v>2.4</v>
      </c>
      <c r="H10175" t="n">
        <v>0</v>
      </c>
      <c r="I10175" t="n">
        <v>0</v>
      </c>
      <c r="J10175" t="n">
        <v>0</v>
      </c>
      <c r="K10175" t="n">
        <v>0</v>
      </c>
      <c r="L10175" t="n">
        <v>0</v>
      </c>
      <c r="M10175" t="n">
        <v>0</v>
      </c>
      <c r="N10175" t="n">
        <v>0</v>
      </c>
      <c r="O10175" t="n">
        <v>0</v>
      </c>
      <c r="P10175" t="n">
        <v>0</v>
      </c>
      <c r="Q10175" t="n">
        <v>0</v>
      </c>
      <c r="R10175" s="2" t="inlineStr"/>
    </row>
    <row r="10176" ht="15" customHeight="1">
      <c r="A10176" t="inlineStr">
        <is>
          <t>A 47370-2025</t>
        </is>
      </c>
      <c r="B10176" s="1" t="n">
        <v>45930.59299768518</v>
      </c>
      <c r="C10176" s="1" t="n">
        <v>45952</v>
      </c>
      <c r="D10176" t="inlineStr">
        <is>
          <t>VÄSTRA GÖTALANDS LÄN</t>
        </is>
      </c>
      <c r="E10176" t="inlineStr">
        <is>
          <t>TIDAHOLM</t>
        </is>
      </c>
      <c r="F10176" t="inlineStr">
        <is>
          <t>Sveaskog</t>
        </is>
      </c>
      <c r="G10176" t="n">
        <v>1</v>
      </c>
      <c r="H10176" t="n">
        <v>0</v>
      </c>
      <c r="I10176" t="n">
        <v>0</v>
      </c>
      <c r="J10176" t="n">
        <v>0</v>
      </c>
      <c r="K10176" t="n">
        <v>0</v>
      </c>
      <c r="L10176" t="n">
        <v>0</v>
      </c>
      <c r="M10176" t="n">
        <v>0</v>
      </c>
      <c r="N10176" t="n">
        <v>0</v>
      </c>
      <c r="O10176" t="n">
        <v>0</v>
      </c>
      <c r="P10176" t="n">
        <v>0</v>
      </c>
      <c r="Q10176" t="n">
        <v>0</v>
      </c>
      <c r="R10176" s="2" t="inlineStr"/>
    </row>
    <row r="10177" ht="15" customHeight="1">
      <c r="A10177" t="inlineStr">
        <is>
          <t>A 69968-2021</t>
        </is>
      </c>
      <c r="B10177" s="1" t="n">
        <v>44533.39519675926</v>
      </c>
      <c r="C10177" s="1" t="n">
        <v>45952</v>
      </c>
      <c r="D10177" t="inlineStr">
        <is>
          <t>VÄSTRA GÖTALANDS LÄN</t>
        </is>
      </c>
      <c r="E10177" t="inlineStr">
        <is>
          <t>HERRLJUNGA</t>
        </is>
      </c>
      <c r="G10177" t="n">
        <v>1.1</v>
      </c>
      <c r="H10177" t="n">
        <v>0</v>
      </c>
      <c r="I10177" t="n">
        <v>0</v>
      </c>
      <c r="J10177" t="n">
        <v>0</v>
      </c>
      <c r="K10177" t="n">
        <v>0</v>
      </c>
      <c r="L10177" t="n">
        <v>0</v>
      </c>
      <c r="M10177" t="n">
        <v>0</v>
      </c>
      <c r="N10177" t="n">
        <v>0</v>
      </c>
      <c r="O10177" t="n">
        <v>0</v>
      </c>
      <c r="P10177" t="n">
        <v>0</v>
      </c>
      <c r="Q10177" t="n">
        <v>0</v>
      </c>
      <c r="R10177" s="2" t="inlineStr"/>
    </row>
    <row r="10178" ht="15" customHeight="1">
      <c r="A10178" t="inlineStr">
        <is>
          <t>A 34314-2024</t>
        </is>
      </c>
      <c r="B10178" s="1" t="n">
        <v>45524</v>
      </c>
      <c r="C10178" s="1" t="n">
        <v>45952</v>
      </c>
      <c r="D10178" t="inlineStr">
        <is>
          <t>VÄSTRA GÖTALANDS LÄN</t>
        </is>
      </c>
      <c r="E10178" t="inlineStr">
        <is>
          <t>KARLSBORG</t>
        </is>
      </c>
      <c r="F10178" t="inlineStr">
        <is>
          <t>Övriga Aktiebolag</t>
        </is>
      </c>
      <c r="G10178" t="n">
        <v>0.7</v>
      </c>
      <c r="H10178" t="n">
        <v>0</v>
      </c>
      <c r="I10178" t="n">
        <v>0</v>
      </c>
      <c r="J10178" t="n">
        <v>0</v>
      </c>
      <c r="K10178" t="n">
        <v>0</v>
      </c>
      <c r="L10178" t="n">
        <v>0</v>
      </c>
      <c r="M10178" t="n">
        <v>0</v>
      </c>
      <c r="N10178" t="n">
        <v>0</v>
      </c>
      <c r="O10178" t="n">
        <v>0</v>
      </c>
      <c r="P10178" t="n">
        <v>0</v>
      </c>
      <c r="Q10178" t="n">
        <v>0</v>
      </c>
      <c r="R10178" s="2" t="inlineStr"/>
    </row>
    <row r="10179" ht="15" customHeight="1">
      <c r="A10179" t="inlineStr">
        <is>
          <t>A 49886-2025</t>
        </is>
      </c>
      <c r="B10179" s="1" t="n">
        <v>45940.57215277778</v>
      </c>
      <c r="C10179" s="1" t="n">
        <v>45952</v>
      </c>
      <c r="D10179" t="inlineStr">
        <is>
          <t>VÄSTRA GÖTALANDS LÄN</t>
        </is>
      </c>
      <c r="E10179" t="inlineStr">
        <is>
          <t>BENGTSFORS</t>
        </is>
      </c>
      <c r="G10179" t="n">
        <v>4.7</v>
      </c>
      <c r="H10179" t="n">
        <v>0</v>
      </c>
      <c r="I10179" t="n">
        <v>0</v>
      </c>
      <c r="J10179" t="n">
        <v>0</v>
      </c>
      <c r="K10179" t="n">
        <v>0</v>
      </c>
      <c r="L10179" t="n">
        <v>0</v>
      </c>
      <c r="M10179" t="n">
        <v>0</v>
      </c>
      <c r="N10179" t="n">
        <v>0</v>
      </c>
      <c r="O10179" t="n">
        <v>0</v>
      </c>
      <c r="P10179" t="n">
        <v>0</v>
      </c>
      <c r="Q10179" t="n">
        <v>0</v>
      </c>
      <c r="R10179" s="2" t="inlineStr"/>
    </row>
    <row r="10180" ht="15" customHeight="1">
      <c r="A10180" t="inlineStr">
        <is>
          <t>A 49889-2025</t>
        </is>
      </c>
      <c r="B10180" s="1" t="n">
        <v>45940.57497685185</v>
      </c>
      <c r="C10180" s="1" t="n">
        <v>45952</v>
      </c>
      <c r="D10180" t="inlineStr">
        <is>
          <t>VÄSTRA GÖTALANDS LÄN</t>
        </is>
      </c>
      <c r="E10180" t="inlineStr">
        <is>
          <t>BENGTSFORS</t>
        </is>
      </c>
      <c r="G10180" t="n">
        <v>1.1</v>
      </c>
      <c r="H10180" t="n">
        <v>0</v>
      </c>
      <c r="I10180" t="n">
        <v>0</v>
      </c>
      <c r="J10180" t="n">
        <v>0</v>
      </c>
      <c r="K10180" t="n">
        <v>0</v>
      </c>
      <c r="L10180" t="n">
        <v>0</v>
      </c>
      <c r="M10180" t="n">
        <v>0</v>
      </c>
      <c r="N10180" t="n">
        <v>0</v>
      </c>
      <c r="O10180" t="n">
        <v>0</v>
      </c>
      <c r="P10180" t="n">
        <v>0</v>
      </c>
      <c r="Q10180" t="n">
        <v>0</v>
      </c>
      <c r="R10180" s="2" t="inlineStr"/>
    </row>
    <row r="10181" ht="15" customHeight="1">
      <c r="A10181" t="inlineStr">
        <is>
          <t>A 46113-2024</t>
        </is>
      </c>
      <c r="B10181" s="1" t="n">
        <v>45581.39112268519</v>
      </c>
      <c r="C10181" s="1" t="n">
        <v>45952</v>
      </c>
      <c r="D10181" t="inlineStr">
        <is>
          <t>VÄSTRA GÖTALANDS LÄN</t>
        </is>
      </c>
      <c r="E10181" t="inlineStr">
        <is>
          <t>TIDAHOLM</t>
        </is>
      </c>
      <c r="G10181" t="n">
        <v>3.4</v>
      </c>
      <c r="H10181" t="n">
        <v>0</v>
      </c>
      <c r="I10181" t="n">
        <v>0</v>
      </c>
      <c r="J10181" t="n">
        <v>0</v>
      </c>
      <c r="K10181" t="n">
        <v>0</v>
      </c>
      <c r="L10181" t="n">
        <v>0</v>
      </c>
      <c r="M10181" t="n">
        <v>0</v>
      </c>
      <c r="N10181" t="n">
        <v>0</v>
      </c>
      <c r="O10181" t="n">
        <v>0</v>
      </c>
      <c r="P10181" t="n">
        <v>0</v>
      </c>
      <c r="Q10181" t="n">
        <v>0</v>
      </c>
      <c r="R10181" s="2" t="inlineStr"/>
    </row>
    <row r="10182" ht="15" customHeight="1">
      <c r="A10182" t="inlineStr">
        <is>
          <t>A 24894-2025</t>
        </is>
      </c>
      <c r="B10182" s="1" t="n">
        <v>45799.51355324074</v>
      </c>
      <c r="C10182" s="1" t="n">
        <v>45952</v>
      </c>
      <c r="D10182" t="inlineStr">
        <is>
          <t>VÄSTRA GÖTALANDS LÄN</t>
        </is>
      </c>
      <c r="E10182" t="inlineStr">
        <is>
          <t>VÄNERSBORG</t>
        </is>
      </c>
      <c r="G10182" t="n">
        <v>0.4</v>
      </c>
      <c r="H10182" t="n">
        <v>0</v>
      </c>
      <c r="I10182" t="n">
        <v>0</v>
      </c>
      <c r="J10182" t="n">
        <v>0</v>
      </c>
      <c r="K10182" t="n">
        <v>0</v>
      </c>
      <c r="L10182" t="n">
        <v>0</v>
      </c>
      <c r="M10182" t="n">
        <v>0</v>
      </c>
      <c r="N10182" t="n">
        <v>0</v>
      </c>
      <c r="O10182" t="n">
        <v>0</v>
      </c>
      <c r="P10182" t="n">
        <v>0</v>
      </c>
      <c r="Q10182" t="n">
        <v>0</v>
      </c>
      <c r="R10182" s="2" t="inlineStr"/>
    </row>
    <row r="10183" ht="15" customHeight="1">
      <c r="A10183" t="inlineStr">
        <is>
          <t>A 12275-2025</t>
        </is>
      </c>
      <c r="B10183" s="1" t="n">
        <v>45729</v>
      </c>
      <c r="C10183" s="1" t="n">
        <v>45952</v>
      </c>
      <c r="D10183" t="inlineStr">
        <is>
          <t>VÄSTRA GÖTALANDS LÄN</t>
        </is>
      </c>
      <c r="E10183" t="inlineStr">
        <is>
          <t>HJO</t>
        </is>
      </c>
      <c r="G10183" t="n">
        <v>7.5</v>
      </c>
      <c r="H10183" t="n">
        <v>0</v>
      </c>
      <c r="I10183" t="n">
        <v>0</v>
      </c>
      <c r="J10183" t="n">
        <v>0</v>
      </c>
      <c r="K10183" t="n">
        <v>0</v>
      </c>
      <c r="L10183" t="n">
        <v>0</v>
      </c>
      <c r="M10183" t="n">
        <v>0</v>
      </c>
      <c r="N10183" t="n">
        <v>0</v>
      </c>
      <c r="O10183" t="n">
        <v>0</v>
      </c>
      <c r="P10183" t="n">
        <v>0</v>
      </c>
      <c r="Q10183" t="n">
        <v>0</v>
      </c>
      <c r="R10183" s="2" t="inlineStr"/>
    </row>
    <row r="10184" ht="15" customHeight="1">
      <c r="A10184" t="inlineStr">
        <is>
          <t>A 15646-2023</t>
        </is>
      </c>
      <c r="B10184" s="1" t="n">
        <v>45021.37828703703</v>
      </c>
      <c r="C10184" s="1" t="n">
        <v>45952</v>
      </c>
      <c r="D10184" t="inlineStr">
        <is>
          <t>VÄSTRA GÖTALANDS LÄN</t>
        </is>
      </c>
      <c r="E10184" t="inlineStr">
        <is>
          <t>GÖTENE</t>
        </is>
      </c>
      <c r="G10184" t="n">
        <v>3</v>
      </c>
      <c r="H10184" t="n">
        <v>0</v>
      </c>
      <c r="I10184" t="n">
        <v>0</v>
      </c>
      <c r="J10184" t="n">
        <v>0</v>
      </c>
      <c r="K10184" t="n">
        <v>0</v>
      </c>
      <c r="L10184" t="n">
        <v>0</v>
      </c>
      <c r="M10184" t="n">
        <v>0</v>
      </c>
      <c r="N10184" t="n">
        <v>0</v>
      </c>
      <c r="O10184" t="n">
        <v>0</v>
      </c>
      <c r="P10184" t="n">
        <v>0</v>
      </c>
      <c r="Q10184" t="n">
        <v>0</v>
      </c>
      <c r="R10184" s="2" t="inlineStr"/>
    </row>
    <row r="10185" ht="15" customHeight="1">
      <c r="A10185" t="inlineStr">
        <is>
          <t>A 15667-2023</t>
        </is>
      </c>
      <c r="B10185" s="1" t="n">
        <v>45021</v>
      </c>
      <c r="C10185" s="1" t="n">
        <v>45952</v>
      </c>
      <c r="D10185" t="inlineStr">
        <is>
          <t>VÄSTRA GÖTALANDS LÄN</t>
        </is>
      </c>
      <c r="E10185" t="inlineStr">
        <is>
          <t>MARK</t>
        </is>
      </c>
      <c r="G10185" t="n">
        <v>0.9</v>
      </c>
      <c r="H10185" t="n">
        <v>0</v>
      </c>
      <c r="I10185" t="n">
        <v>0</v>
      </c>
      <c r="J10185" t="n">
        <v>0</v>
      </c>
      <c r="K10185" t="n">
        <v>0</v>
      </c>
      <c r="L10185" t="n">
        <v>0</v>
      </c>
      <c r="M10185" t="n">
        <v>0</v>
      </c>
      <c r="N10185" t="n">
        <v>0</v>
      </c>
      <c r="O10185" t="n">
        <v>0</v>
      </c>
      <c r="P10185" t="n">
        <v>0</v>
      </c>
      <c r="Q10185" t="n">
        <v>0</v>
      </c>
      <c r="R10185" s="2" t="inlineStr"/>
    </row>
    <row r="10186" ht="15" customHeight="1">
      <c r="A10186" t="inlineStr">
        <is>
          <t>A 35690-2024</t>
        </is>
      </c>
      <c r="B10186" s="1" t="n">
        <v>45532.43239583333</v>
      </c>
      <c r="C10186" s="1" t="n">
        <v>45952</v>
      </c>
      <c r="D10186" t="inlineStr">
        <is>
          <t>VÄSTRA GÖTALANDS LÄN</t>
        </is>
      </c>
      <c r="E10186" t="inlineStr">
        <is>
          <t>BENGTSFORS</t>
        </is>
      </c>
      <c r="G10186" t="n">
        <v>1.1</v>
      </c>
      <c r="H10186" t="n">
        <v>0</v>
      </c>
      <c r="I10186" t="n">
        <v>0</v>
      </c>
      <c r="J10186" t="n">
        <v>0</v>
      </c>
      <c r="K10186" t="n">
        <v>0</v>
      </c>
      <c r="L10186" t="n">
        <v>0</v>
      </c>
      <c r="M10186" t="n">
        <v>0</v>
      </c>
      <c r="N10186" t="n">
        <v>0</v>
      </c>
      <c r="O10186" t="n">
        <v>0</v>
      </c>
      <c r="P10186" t="n">
        <v>0</v>
      </c>
      <c r="Q10186" t="n">
        <v>0</v>
      </c>
      <c r="R10186" s="2" t="inlineStr"/>
    </row>
    <row r="10187" ht="15" customHeight="1">
      <c r="A10187" t="inlineStr">
        <is>
          <t>A 24548-2025</t>
        </is>
      </c>
      <c r="B10187" s="1" t="n">
        <v>45798.44768518519</v>
      </c>
      <c r="C10187" s="1" t="n">
        <v>45952</v>
      </c>
      <c r="D10187" t="inlineStr">
        <is>
          <t>VÄSTRA GÖTALANDS LÄN</t>
        </is>
      </c>
      <c r="E10187" t="inlineStr">
        <is>
          <t>FÄRGELANDA</t>
        </is>
      </c>
      <c r="G10187" t="n">
        <v>2.7</v>
      </c>
      <c r="H10187" t="n">
        <v>0</v>
      </c>
      <c r="I10187" t="n">
        <v>0</v>
      </c>
      <c r="J10187" t="n">
        <v>0</v>
      </c>
      <c r="K10187" t="n">
        <v>0</v>
      </c>
      <c r="L10187" t="n">
        <v>0</v>
      </c>
      <c r="M10187" t="n">
        <v>0</v>
      </c>
      <c r="N10187" t="n">
        <v>0</v>
      </c>
      <c r="O10187" t="n">
        <v>0</v>
      </c>
      <c r="P10187" t="n">
        <v>0</v>
      </c>
      <c r="Q10187" t="n">
        <v>0</v>
      </c>
      <c r="R10187" s="2" t="inlineStr"/>
    </row>
    <row r="10188" ht="15" customHeight="1">
      <c r="A10188" t="inlineStr">
        <is>
          <t>A 41132-2025</t>
        </is>
      </c>
      <c r="B10188" s="1" t="n">
        <v>45898.48224537037</v>
      </c>
      <c r="C10188" s="1" t="n">
        <v>45952</v>
      </c>
      <c r="D10188" t="inlineStr">
        <is>
          <t>VÄSTRA GÖTALANDS LÄN</t>
        </is>
      </c>
      <c r="E10188" t="inlineStr">
        <is>
          <t>MARK</t>
        </is>
      </c>
      <c r="G10188" t="n">
        <v>1.9</v>
      </c>
      <c r="H10188" t="n">
        <v>0</v>
      </c>
      <c r="I10188" t="n">
        <v>0</v>
      </c>
      <c r="J10188" t="n">
        <v>0</v>
      </c>
      <c r="K10188" t="n">
        <v>0</v>
      </c>
      <c r="L10188" t="n">
        <v>0</v>
      </c>
      <c r="M10188" t="n">
        <v>0</v>
      </c>
      <c r="N10188" t="n">
        <v>0</v>
      </c>
      <c r="O10188" t="n">
        <v>0</v>
      </c>
      <c r="P10188" t="n">
        <v>0</v>
      </c>
      <c r="Q10188" t="n">
        <v>0</v>
      </c>
      <c r="R10188" s="2" t="inlineStr"/>
    </row>
    <row r="10189" ht="15" customHeight="1">
      <c r="A10189" t="inlineStr">
        <is>
          <t>A 41136-2025</t>
        </is>
      </c>
      <c r="B10189" s="1" t="n">
        <v>45898.4855787037</v>
      </c>
      <c r="C10189" s="1" t="n">
        <v>45952</v>
      </c>
      <c r="D10189" t="inlineStr">
        <is>
          <t>VÄSTRA GÖTALANDS LÄN</t>
        </is>
      </c>
      <c r="E10189" t="inlineStr">
        <is>
          <t>MARK</t>
        </is>
      </c>
      <c r="G10189" t="n">
        <v>3</v>
      </c>
      <c r="H10189" t="n">
        <v>0</v>
      </c>
      <c r="I10189" t="n">
        <v>0</v>
      </c>
      <c r="J10189" t="n">
        <v>0</v>
      </c>
      <c r="K10189" t="n">
        <v>0</v>
      </c>
      <c r="L10189" t="n">
        <v>0</v>
      </c>
      <c r="M10189" t="n">
        <v>0</v>
      </c>
      <c r="N10189" t="n">
        <v>0</v>
      </c>
      <c r="O10189" t="n">
        <v>0</v>
      </c>
      <c r="P10189" t="n">
        <v>0</v>
      </c>
      <c r="Q10189" t="n">
        <v>0</v>
      </c>
      <c r="R10189" s="2" t="inlineStr"/>
    </row>
    <row r="10190" ht="15" customHeight="1">
      <c r="A10190" t="inlineStr">
        <is>
          <t>A 49900-2025</t>
        </is>
      </c>
      <c r="B10190" s="1" t="n">
        <v>45940.59071759259</v>
      </c>
      <c r="C10190" s="1" t="n">
        <v>45952</v>
      </c>
      <c r="D10190" t="inlineStr">
        <is>
          <t>VÄSTRA GÖTALANDS LÄN</t>
        </is>
      </c>
      <c r="E10190" t="inlineStr">
        <is>
          <t>BENGTSFORS</t>
        </is>
      </c>
      <c r="G10190" t="n">
        <v>4</v>
      </c>
      <c r="H10190" t="n">
        <v>0</v>
      </c>
      <c r="I10190" t="n">
        <v>0</v>
      </c>
      <c r="J10190" t="n">
        <v>0</v>
      </c>
      <c r="K10190" t="n">
        <v>0</v>
      </c>
      <c r="L10190" t="n">
        <v>0</v>
      </c>
      <c r="M10190" t="n">
        <v>0</v>
      </c>
      <c r="N10190" t="n">
        <v>0</v>
      </c>
      <c r="O10190" t="n">
        <v>0</v>
      </c>
      <c r="P10190" t="n">
        <v>0</v>
      </c>
      <c r="Q10190" t="n">
        <v>0</v>
      </c>
      <c r="R10190" s="2" t="inlineStr"/>
    </row>
    <row r="10191" ht="15" customHeight="1">
      <c r="A10191" t="inlineStr">
        <is>
          <t>A 49903-2025</t>
        </is>
      </c>
      <c r="B10191" s="1" t="n">
        <v>45940.59493055556</v>
      </c>
      <c r="C10191" s="1" t="n">
        <v>45952</v>
      </c>
      <c r="D10191" t="inlineStr">
        <is>
          <t>VÄSTRA GÖTALANDS LÄN</t>
        </is>
      </c>
      <c r="E10191" t="inlineStr">
        <is>
          <t>DALS-ED</t>
        </is>
      </c>
      <c r="G10191" t="n">
        <v>0.5</v>
      </c>
      <c r="H10191" t="n">
        <v>0</v>
      </c>
      <c r="I10191" t="n">
        <v>0</v>
      </c>
      <c r="J10191" t="n">
        <v>0</v>
      </c>
      <c r="K10191" t="n">
        <v>0</v>
      </c>
      <c r="L10191" t="n">
        <v>0</v>
      </c>
      <c r="M10191" t="n">
        <v>0</v>
      </c>
      <c r="N10191" t="n">
        <v>0</v>
      </c>
      <c r="O10191" t="n">
        <v>0</v>
      </c>
      <c r="P10191" t="n">
        <v>0</v>
      </c>
      <c r="Q10191" t="n">
        <v>0</v>
      </c>
      <c r="R10191" s="2" t="inlineStr"/>
    </row>
    <row r="10192" ht="15" customHeight="1">
      <c r="A10192" t="inlineStr">
        <is>
          <t>A 24631-2025</t>
        </is>
      </c>
      <c r="B10192" s="1" t="n">
        <v>45798.6024537037</v>
      </c>
      <c r="C10192" s="1" t="n">
        <v>45952</v>
      </c>
      <c r="D10192" t="inlineStr">
        <is>
          <t>VÄSTRA GÖTALANDS LÄN</t>
        </is>
      </c>
      <c r="E10192" t="inlineStr">
        <is>
          <t>BORÅS</t>
        </is>
      </c>
      <c r="G10192" t="n">
        <v>3.2</v>
      </c>
      <c r="H10192" t="n">
        <v>0</v>
      </c>
      <c r="I10192" t="n">
        <v>0</v>
      </c>
      <c r="J10192" t="n">
        <v>0</v>
      </c>
      <c r="K10192" t="n">
        <v>0</v>
      </c>
      <c r="L10192" t="n">
        <v>0</v>
      </c>
      <c r="M10192" t="n">
        <v>0</v>
      </c>
      <c r="N10192" t="n">
        <v>0</v>
      </c>
      <c r="O10192" t="n">
        <v>0</v>
      </c>
      <c r="P10192" t="n">
        <v>0</v>
      </c>
      <c r="Q10192" t="n">
        <v>0</v>
      </c>
      <c r="R10192" s="2" t="inlineStr"/>
    </row>
    <row r="10193" ht="15" customHeight="1">
      <c r="A10193" t="inlineStr">
        <is>
          <t>A 49909-2025</t>
        </is>
      </c>
      <c r="B10193" s="1" t="n">
        <v>45940.60710648148</v>
      </c>
      <c r="C10193" s="1" t="n">
        <v>45952</v>
      </c>
      <c r="D10193" t="inlineStr">
        <is>
          <t>VÄSTRA GÖTALANDS LÄN</t>
        </is>
      </c>
      <c r="E10193" t="inlineStr">
        <is>
          <t>LIDKÖPING</t>
        </is>
      </c>
      <c r="G10193" t="n">
        <v>2.8</v>
      </c>
      <c r="H10193" t="n">
        <v>0</v>
      </c>
      <c r="I10193" t="n">
        <v>0</v>
      </c>
      <c r="J10193" t="n">
        <v>0</v>
      </c>
      <c r="K10193" t="n">
        <v>0</v>
      </c>
      <c r="L10193" t="n">
        <v>0</v>
      </c>
      <c r="M10193" t="n">
        <v>0</v>
      </c>
      <c r="N10193" t="n">
        <v>0</v>
      </c>
      <c r="O10193" t="n">
        <v>0</v>
      </c>
      <c r="P10193" t="n">
        <v>0</v>
      </c>
      <c r="Q10193" t="n">
        <v>0</v>
      </c>
      <c r="R10193" s="2" t="inlineStr"/>
    </row>
    <row r="10194" ht="15" customHeight="1">
      <c r="A10194" t="inlineStr">
        <is>
          <t>A 47067-2024</t>
        </is>
      </c>
      <c r="B10194" s="1" t="n">
        <v>45586.47738425926</v>
      </c>
      <c r="C10194" s="1" t="n">
        <v>45952</v>
      </c>
      <c r="D10194" t="inlineStr">
        <is>
          <t>VÄSTRA GÖTALANDS LÄN</t>
        </is>
      </c>
      <c r="E10194" t="inlineStr">
        <is>
          <t>FALKÖPING</t>
        </is>
      </c>
      <c r="G10194" t="n">
        <v>6.9</v>
      </c>
      <c r="H10194" t="n">
        <v>0</v>
      </c>
      <c r="I10194" t="n">
        <v>0</v>
      </c>
      <c r="J10194" t="n">
        <v>0</v>
      </c>
      <c r="K10194" t="n">
        <v>0</v>
      </c>
      <c r="L10194" t="n">
        <v>0</v>
      </c>
      <c r="M10194" t="n">
        <v>0</v>
      </c>
      <c r="N10194" t="n">
        <v>0</v>
      </c>
      <c r="O10194" t="n">
        <v>0</v>
      </c>
      <c r="P10194" t="n">
        <v>0</v>
      </c>
      <c r="Q10194" t="n">
        <v>0</v>
      </c>
      <c r="R10194" s="2" t="inlineStr"/>
    </row>
    <row r="10195" ht="15" customHeight="1">
      <c r="A10195" t="inlineStr">
        <is>
          <t>A 24700-2025</t>
        </is>
      </c>
      <c r="B10195" s="1" t="n">
        <v>45798.74115740741</v>
      </c>
      <c r="C10195" s="1" t="n">
        <v>45952</v>
      </c>
      <c r="D10195" t="inlineStr">
        <is>
          <t>VÄSTRA GÖTALANDS LÄN</t>
        </is>
      </c>
      <c r="E10195" t="inlineStr">
        <is>
          <t>ULRICEHAMN</t>
        </is>
      </c>
      <c r="G10195" t="n">
        <v>4.6</v>
      </c>
      <c r="H10195" t="n">
        <v>0</v>
      </c>
      <c r="I10195" t="n">
        <v>0</v>
      </c>
      <c r="J10195" t="n">
        <v>0</v>
      </c>
      <c r="K10195" t="n">
        <v>0</v>
      </c>
      <c r="L10195" t="n">
        <v>0</v>
      </c>
      <c r="M10195" t="n">
        <v>0</v>
      </c>
      <c r="N10195" t="n">
        <v>0</v>
      </c>
      <c r="O10195" t="n">
        <v>0</v>
      </c>
      <c r="P10195" t="n">
        <v>0</v>
      </c>
      <c r="Q10195" t="n">
        <v>0</v>
      </c>
      <c r="R10195" s="2" t="inlineStr"/>
    </row>
    <row r="10196" ht="15" customHeight="1">
      <c r="A10196" t="inlineStr">
        <is>
          <t>A 24703-2025</t>
        </is>
      </c>
      <c r="B10196" s="1" t="n">
        <v>45798.78508101852</v>
      </c>
      <c r="C10196" s="1" t="n">
        <v>45952</v>
      </c>
      <c r="D10196" t="inlineStr">
        <is>
          <t>VÄSTRA GÖTALANDS LÄN</t>
        </is>
      </c>
      <c r="E10196" t="inlineStr">
        <is>
          <t>FALKÖPING</t>
        </is>
      </c>
      <c r="G10196" t="n">
        <v>2.7</v>
      </c>
      <c r="H10196" t="n">
        <v>0</v>
      </c>
      <c r="I10196" t="n">
        <v>0</v>
      </c>
      <c r="J10196" t="n">
        <v>0</v>
      </c>
      <c r="K10196" t="n">
        <v>0</v>
      </c>
      <c r="L10196" t="n">
        <v>0</v>
      </c>
      <c r="M10196" t="n">
        <v>0</v>
      </c>
      <c r="N10196" t="n">
        <v>0</v>
      </c>
      <c r="O10196" t="n">
        <v>0</v>
      </c>
      <c r="P10196" t="n">
        <v>0</v>
      </c>
      <c r="Q10196" t="n">
        <v>0</v>
      </c>
      <c r="R10196" s="2" t="inlineStr"/>
    </row>
    <row r="10197" ht="15" customHeight="1">
      <c r="A10197" t="inlineStr">
        <is>
          <t>A 7819-2025</t>
        </is>
      </c>
      <c r="B10197" s="1" t="n">
        <v>45706.63945601852</v>
      </c>
      <c r="C10197" s="1" t="n">
        <v>45952</v>
      </c>
      <c r="D10197" t="inlineStr">
        <is>
          <t>VÄSTRA GÖTALANDS LÄN</t>
        </is>
      </c>
      <c r="E10197" t="inlineStr">
        <is>
          <t>LILLA EDET</t>
        </is>
      </c>
      <c r="G10197" t="n">
        <v>5.6</v>
      </c>
      <c r="H10197" t="n">
        <v>0</v>
      </c>
      <c r="I10197" t="n">
        <v>0</v>
      </c>
      <c r="J10197" t="n">
        <v>0</v>
      </c>
      <c r="K10197" t="n">
        <v>0</v>
      </c>
      <c r="L10197" t="n">
        <v>0</v>
      </c>
      <c r="M10197" t="n">
        <v>0</v>
      </c>
      <c r="N10197" t="n">
        <v>0</v>
      </c>
      <c r="O10197" t="n">
        <v>0</v>
      </c>
      <c r="P10197" t="n">
        <v>0</v>
      </c>
      <c r="Q10197" t="n">
        <v>0</v>
      </c>
      <c r="R10197" s="2" t="inlineStr"/>
    </row>
    <row r="10198" ht="15" customHeight="1">
      <c r="A10198" t="inlineStr">
        <is>
          <t>A 31302-2023</t>
        </is>
      </c>
      <c r="B10198" s="1" t="n">
        <v>45104</v>
      </c>
      <c r="C10198" s="1" t="n">
        <v>45952</v>
      </c>
      <c r="D10198" t="inlineStr">
        <is>
          <t>VÄSTRA GÖTALANDS LÄN</t>
        </is>
      </c>
      <c r="E10198" t="inlineStr">
        <is>
          <t>MARK</t>
        </is>
      </c>
      <c r="G10198" t="n">
        <v>8.5</v>
      </c>
      <c r="H10198" t="n">
        <v>0</v>
      </c>
      <c r="I10198" t="n">
        <v>0</v>
      </c>
      <c r="J10198" t="n">
        <v>0</v>
      </c>
      <c r="K10198" t="n">
        <v>0</v>
      </c>
      <c r="L10198" t="n">
        <v>0</v>
      </c>
      <c r="M10198" t="n">
        <v>0</v>
      </c>
      <c r="N10198" t="n">
        <v>0</v>
      </c>
      <c r="O10198" t="n">
        <v>0</v>
      </c>
      <c r="P10198" t="n">
        <v>0</v>
      </c>
      <c r="Q10198" t="n">
        <v>0</v>
      </c>
      <c r="R10198" s="2" t="inlineStr"/>
    </row>
    <row r="10199" ht="15" customHeight="1">
      <c r="A10199" t="inlineStr">
        <is>
          <t>A 11054-2025</t>
        </is>
      </c>
      <c r="B10199" s="1" t="n">
        <v>45723.50204861111</v>
      </c>
      <c r="C10199" s="1" t="n">
        <v>45952</v>
      </c>
      <c r="D10199" t="inlineStr">
        <is>
          <t>VÄSTRA GÖTALANDS LÄN</t>
        </is>
      </c>
      <c r="E10199" t="inlineStr">
        <is>
          <t>BORÅS</t>
        </is>
      </c>
      <c r="G10199" t="n">
        <v>6.1</v>
      </c>
      <c r="H10199" t="n">
        <v>0</v>
      </c>
      <c r="I10199" t="n">
        <v>0</v>
      </c>
      <c r="J10199" t="n">
        <v>0</v>
      </c>
      <c r="K10199" t="n">
        <v>0</v>
      </c>
      <c r="L10199" t="n">
        <v>0</v>
      </c>
      <c r="M10199" t="n">
        <v>0</v>
      </c>
      <c r="N10199" t="n">
        <v>0</v>
      </c>
      <c r="O10199" t="n">
        <v>0</v>
      </c>
      <c r="P10199" t="n">
        <v>0</v>
      </c>
      <c r="Q10199" t="n">
        <v>0</v>
      </c>
      <c r="R10199" s="2" t="inlineStr"/>
    </row>
    <row r="10200" ht="15" customHeight="1">
      <c r="A10200" t="inlineStr">
        <is>
          <t>A 18997-2024</t>
        </is>
      </c>
      <c r="B10200" s="1" t="n">
        <v>45427.62200231481</v>
      </c>
      <c r="C10200" s="1" t="n">
        <v>45952</v>
      </c>
      <c r="D10200" t="inlineStr">
        <is>
          <t>VÄSTRA GÖTALANDS LÄN</t>
        </is>
      </c>
      <c r="E10200" t="inlineStr">
        <is>
          <t>VÄNERSBORG</t>
        </is>
      </c>
      <c r="G10200" t="n">
        <v>2.9</v>
      </c>
      <c r="H10200" t="n">
        <v>0</v>
      </c>
      <c r="I10200" t="n">
        <v>0</v>
      </c>
      <c r="J10200" t="n">
        <v>0</v>
      </c>
      <c r="K10200" t="n">
        <v>0</v>
      </c>
      <c r="L10200" t="n">
        <v>0</v>
      </c>
      <c r="M10200" t="n">
        <v>0</v>
      </c>
      <c r="N10200" t="n">
        <v>0</v>
      </c>
      <c r="O10200" t="n">
        <v>0</v>
      </c>
      <c r="P10200" t="n">
        <v>0</v>
      </c>
      <c r="Q10200" t="n">
        <v>0</v>
      </c>
      <c r="R10200" s="2" t="inlineStr"/>
    </row>
    <row r="10201" ht="15" customHeight="1">
      <c r="A10201" t="inlineStr">
        <is>
          <t>A 27232-2024</t>
        </is>
      </c>
      <c r="B10201" s="1" t="n">
        <v>45471</v>
      </c>
      <c r="C10201" s="1" t="n">
        <v>45952</v>
      </c>
      <c r="D10201" t="inlineStr">
        <is>
          <t>VÄSTRA GÖTALANDS LÄN</t>
        </is>
      </c>
      <c r="E10201" t="inlineStr">
        <is>
          <t>VÄNERSBORG</t>
        </is>
      </c>
      <c r="G10201" t="n">
        <v>0.6</v>
      </c>
      <c r="H10201" t="n">
        <v>0</v>
      </c>
      <c r="I10201" t="n">
        <v>0</v>
      </c>
      <c r="J10201" t="n">
        <v>0</v>
      </c>
      <c r="K10201" t="n">
        <v>0</v>
      </c>
      <c r="L10201" t="n">
        <v>0</v>
      </c>
      <c r="M10201" t="n">
        <v>0</v>
      </c>
      <c r="N10201" t="n">
        <v>0</v>
      </c>
      <c r="O10201" t="n">
        <v>0</v>
      </c>
      <c r="P10201" t="n">
        <v>0</v>
      </c>
      <c r="Q10201" t="n">
        <v>0</v>
      </c>
      <c r="R10201" s="2" t="inlineStr"/>
    </row>
    <row r="10202" ht="15" customHeight="1">
      <c r="A10202" t="inlineStr">
        <is>
          <t>A 59468-2024</t>
        </is>
      </c>
      <c r="B10202" s="1" t="n">
        <v>45638.49222222222</v>
      </c>
      <c r="C10202" s="1" t="n">
        <v>45952</v>
      </c>
      <c r="D10202" t="inlineStr">
        <is>
          <t>VÄSTRA GÖTALANDS LÄN</t>
        </is>
      </c>
      <c r="E10202" t="inlineStr">
        <is>
          <t>BENGTSFORS</t>
        </is>
      </c>
      <c r="G10202" t="n">
        <v>1.7</v>
      </c>
      <c r="H10202" t="n">
        <v>0</v>
      </c>
      <c r="I10202" t="n">
        <v>0</v>
      </c>
      <c r="J10202" t="n">
        <v>0</v>
      </c>
      <c r="K10202" t="n">
        <v>0</v>
      </c>
      <c r="L10202" t="n">
        <v>0</v>
      </c>
      <c r="M10202" t="n">
        <v>0</v>
      </c>
      <c r="N10202" t="n">
        <v>0</v>
      </c>
      <c r="O10202" t="n">
        <v>0</v>
      </c>
      <c r="P10202" t="n">
        <v>0</v>
      </c>
      <c r="Q10202" t="n">
        <v>0</v>
      </c>
      <c r="R10202" s="2" t="inlineStr"/>
    </row>
    <row r="10203" ht="15" customHeight="1">
      <c r="A10203" t="inlineStr">
        <is>
          <t>A 60472-2023</t>
        </is>
      </c>
      <c r="B10203" s="1" t="n">
        <v>45259.59259259259</v>
      </c>
      <c r="C10203" s="1" t="n">
        <v>45952</v>
      </c>
      <c r="D10203" t="inlineStr">
        <is>
          <t>VÄSTRA GÖTALANDS LÄN</t>
        </is>
      </c>
      <c r="E10203" t="inlineStr">
        <is>
          <t>TRANEMO</t>
        </is>
      </c>
      <c r="G10203" t="n">
        <v>2</v>
      </c>
      <c r="H10203" t="n">
        <v>0</v>
      </c>
      <c r="I10203" t="n">
        <v>0</v>
      </c>
      <c r="J10203" t="n">
        <v>0</v>
      </c>
      <c r="K10203" t="n">
        <v>0</v>
      </c>
      <c r="L10203" t="n">
        <v>0</v>
      </c>
      <c r="M10203" t="n">
        <v>0</v>
      </c>
      <c r="N10203" t="n">
        <v>0</v>
      </c>
      <c r="O10203" t="n">
        <v>0</v>
      </c>
      <c r="P10203" t="n">
        <v>0</v>
      </c>
      <c r="Q10203" t="n">
        <v>0</v>
      </c>
      <c r="R10203" s="2" t="inlineStr"/>
    </row>
    <row r="10204" ht="15" customHeight="1">
      <c r="A10204" t="inlineStr">
        <is>
          <t>A 24466-2025</t>
        </is>
      </c>
      <c r="B10204" s="1" t="n">
        <v>45798.35645833334</v>
      </c>
      <c r="C10204" s="1" t="n">
        <v>45952</v>
      </c>
      <c r="D10204" t="inlineStr">
        <is>
          <t>VÄSTRA GÖTALANDS LÄN</t>
        </is>
      </c>
      <c r="E10204" t="inlineStr">
        <is>
          <t>DALS-ED</t>
        </is>
      </c>
      <c r="G10204" t="n">
        <v>0.4</v>
      </c>
      <c r="H10204" t="n">
        <v>0</v>
      </c>
      <c r="I10204" t="n">
        <v>0</v>
      </c>
      <c r="J10204" t="n">
        <v>0</v>
      </c>
      <c r="K10204" t="n">
        <v>0</v>
      </c>
      <c r="L10204" t="n">
        <v>0</v>
      </c>
      <c r="M10204" t="n">
        <v>0</v>
      </c>
      <c r="N10204" t="n">
        <v>0</v>
      </c>
      <c r="O10204" t="n">
        <v>0</v>
      </c>
      <c r="P10204" t="n">
        <v>0</v>
      </c>
      <c r="Q10204" t="n">
        <v>0</v>
      </c>
      <c r="R10204" s="2" t="inlineStr"/>
    </row>
    <row r="10205" ht="15" customHeight="1">
      <c r="A10205" t="inlineStr">
        <is>
          <t>A 24503-2025</t>
        </is>
      </c>
      <c r="B10205" s="1" t="n">
        <v>45798.39853009259</v>
      </c>
      <c r="C10205" s="1" t="n">
        <v>45952</v>
      </c>
      <c r="D10205" t="inlineStr">
        <is>
          <t>VÄSTRA GÖTALANDS LÄN</t>
        </is>
      </c>
      <c r="E10205" t="inlineStr">
        <is>
          <t>MARIESTAD</t>
        </is>
      </c>
      <c r="F10205" t="inlineStr">
        <is>
          <t>Sveaskog</t>
        </is>
      </c>
      <c r="G10205" t="n">
        <v>4.6</v>
      </c>
      <c r="H10205" t="n">
        <v>0</v>
      </c>
      <c r="I10205" t="n">
        <v>0</v>
      </c>
      <c r="J10205" t="n">
        <v>0</v>
      </c>
      <c r="K10205" t="n">
        <v>0</v>
      </c>
      <c r="L10205" t="n">
        <v>0</v>
      </c>
      <c r="M10205" t="n">
        <v>0</v>
      </c>
      <c r="N10205" t="n">
        <v>0</v>
      </c>
      <c r="O10205" t="n">
        <v>0</v>
      </c>
      <c r="P10205" t="n">
        <v>0</v>
      </c>
      <c r="Q10205" t="n">
        <v>0</v>
      </c>
      <c r="R10205" s="2" t="inlineStr"/>
    </row>
    <row r="10206" ht="15" customHeight="1">
      <c r="A10206" t="inlineStr">
        <is>
          <t>A 505-2023</t>
        </is>
      </c>
      <c r="B10206" s="1" t="n">
        <v>44930.35895833333</v>
      </c>
      <c r="C10206" s="1" t="n">
        <v>45952</v>
      </c>
      <c r="D10206" t="inlineStr">
        <is>
          <t>VÄSTRA GÖTALANDS LÄN</t>
        </is>
      </c>
      <c r="E10206" t="inlineStr">
        <is>
          <t>VÄNERSBORG</t>
        </is>
      </c>
      <c r="G10206" t="n">
        <v>0.5</v>
      </c>
      <c r="H10206" t="n">
        <v>0</v>
      </c>
      <c r="I10206" t="n">
        <v>0</v>
      </c>
      <c r="J10206" t="n">
        <v>0</v>
      </c>
      <c r="K10206" t="n">
        <v>0</v>
      </c>
      <c r="L10206" t="n">
        <v>0</v>
      </c>
      <c r="M10206" t="n">
        <v>0</v>
      </c>
      <c r="N10206" t="n">
        <v>0</v>
      </c>
      <c r="O10206" t="n">
        <v>0</v>
      </c>
      <c r="P10206" t="n">
        <v>0</v>
      </c>
      <c r="Q10206" t="n">
        <v>0</v>
      </c>
      <c r="R10206" s="2" t="inlineStr"/>
    </row>
    <row r="10207" ht="15" customHeight="1">
      <c r="A10207" t="inlineStr">
        <is>
          <t>A 24559-2025</t>
        </is>
      </c>
      <c r="B10207" s="1" t="n">
        <v>45798.45791666667</v>
      </c>
      <c r="C10207" s="1" t="n">
        <v>45952</v>
      </c>
      <c r="D10207" t="inlineStr">
        <is>
          <t>VÄSTRA GÖTALANDS LÄN</t>
        </is>
      </c>
      <c r="E10207" t="inlineStr">
        <is>
          <t>TROLLHÄTTAN</t>
        </is>
      </c>
      <c r="G10207" t="n">
        <v>6.5</v>
      </c>
      <c r="H10207" t="n">
        <v>0</v>
      </c>
      <c r="I10207" t="n">
        <v>0</v>
      </c>
      <c r="J10207" t="n">
        <v>0</v>
      </c>
      <c r="K10207" t="n">
        <v>0</v>
      </c>
      <c r="L10207" t="n">
        <v>0</v>
      </c>
      <c r="M10207" t="n">
        <v>0</v>
      </c>
      <c r="N10207" t="n">
        <v>0</v>
      </c>
      <c r="O10207" t="n">
        <v>0</v>
      </c>
      <c r="P10207" t="n">
        <v>0</v>
      </c>
      <c r="Q10207" t="n">
        <v>0</v>
      </c>
      <c r="R10207" s="2" t="inlineStr"/>
    </row>
    <row r="10208" ht="15" customHeight="1">
      <c r="A10208" t="inlineStr">
        <is>
          <t>A 24581-2025</t>
        </is>
      </c>
      <c r="B10208" s="1" t="n">
        <v>45798.49758101852</v>
      </c>
      <c r="C10208" s="1" t="n">
        <v>45952</v>
      </c>
      <c r="D10208" t="inlineStr">
        <is>
          <t>VÄSTRA GÖTALANDS LÄN</t>
        </is>
      </c>
      <c r="E10208" t="inlineStr">
        <is>
          <t>GRÄSTORP</t>
        </is>
      </c>
      <c r="G10208" t="n">
        <v>0.8</v>
      </c>
      <c r="H10208" t="n">
        <v>0</v>
      </c>
      <c r="I10208" t="n">
        <v>0</v>
      </c>
      <c r="J10208" t="n">
        <v>0</v>
      </c>
      <c r="K10208" t="n">
        <v>0</v>
      </c>
      <c r="L10208" t="n">
        <v>0</v>
      </c>
      <c r="M10208" t="n">
        <v>0</v>
      </c>
      <c r="N10208" t="n">
        <v>0</v>
      </c>
      <c r="O10208" t="n">
        <v>0</v>
      </c>
      <c r="P10208" t="n">
        <v>0</v>
      </c>
      <c r="Q10208" t="n">
        <v>0</v>
      </c>
      <c r="R10208" s="2" t="inlineStr"/>
    </row>
    <row r="10209" ht="15" customHeight="1">
      <c r="A10209" t="inlineStr">
        <is>
          <t>A 60588-2023</t>
        </is>
      </c>
      <c r="B10209" s="1" t="n">
        <v>45259</v>
      </c>
      <c r="C10209" s="1" t="n">
        <v>45952</v>
      </c>
      <c r="D10209" t="inlineStr">
        <is>
          <t>VÄSTRA GÖTALANDS LÄN</t>
        </is>
      </c>
      <c r="E10209" t="inlineStr">
        <is>
          <t>SKÖVDE</t>
        </is>
      </c>
      <c r="G10209" t="n">
        <v>3.2</v>
      </c>
      <c r="H10209" t="n">
        <v>0</v>
      </c>
      <c r="I10209" t="n">
        <v>0</v>
      </c>
      <c r="J10209" t="n">
        <v>0</v>
      </c>
      <c r="K10209" t="n">
        <v>0</v>
      </c>
      <c r="L10209" t="n">
        <v>0</v>
      </c>
      <c r="M10209" t="n">
        <v>0</v>
      </c>
      <c r="N10209" t="n">
        <v>0</v>
      </c>
      <c r="O10209" t="n">
        <v>0</v>
      </c>
      <c r="P10209" t="n">
        <v>0</v>
      </c>
      <c r="Q10209" t="n">
        <v>0</v>
      </c>
      <c r="R10209" s="2" t="inlineStr"/>
    </row>
    <row r="10210" ht="15" customHeight="1">
      <c r="A10210" t="inlineStr">
        <is>
          <t>A 25003-2025</t>
        </is>
      </c>
      <c r="B10210" s="1" t="n">
        <v>45799.62331018518</v>
      </c>
      <c r="C10210" s="1" t="n">
        <v>45952</v>
      </c>
      <c r="D10210" t="inlineStr">
        <is>
          <t>VÄSTRA GÖTALANDS LÄN</t>
        </is>
      </c>
      <c r="E10210" t="inlineStr">
        <is>
          <t>SKÖVDE</t>
        </is>
      </c>
      <c r="F10210" t="inlineStr">
        <is>
          <t>Kommuner</t>
        </is>
      </c>
      <c r="G10210" t="n">
        <v>0.8</v>
      </c>
      <c r="H10210" t="n">
        <v>0</v>
      </c>
      <c r="I10210" t="n">
        <v>0</v>
      </c>
      <c r="J10210" t="n">
        <v>0</v>
      </c>
      <c r="K10210" t="n">
        <v>0</v>
      </c>
      <c r="L10210" t="n">
        <v>0</v>
      </c>
      <c r="M10210" t="n">
        <v>0</v>
      </c>
      <c r="N10210" t="n">
        <v>0</v>
      </c>
      <c r="O10210" t="n">
        <v>0</v>
      </c>
      <c r="P10210" t="n">
        <v>0</v>
      </c>
      <c r="Q10210" t="n">
        <v>0</v>
      </c>
      <c r="R10210" s="2" t="inlineStr"/>
    </row>
    <row r="10211" ht="15" customHeight="1">
      <c r="A10211" t="inlineStr">
        <is>
          <t>A 44000-2022</t>
        </is>
      </c>
      <c r="B10211" s="1" t="n">
        <v>44838</v>
      </c>
      <c r="C10211" s="1" t="n">
        <v>45952</v>
      </c>
      <c r="D10211" t="inlineStr">
        <is>
          <t>VÄSTRA GÖTALANDS LÄN</t>
        </is>
      </c>
      <c r="E10211" t="inlineStr">
        <is>
          <t>FALKÖPING</t>
        </is>
      </c>
      <c r="G10211" t="n">
        <v>2.2</v>
      </c>
      <c r="H10211" t="n">
        <v>0</v>
      </c>
      <c r="I10211" t="n">
        <v>0</v>
      </c>
      <c r="J10211" t="n">
        <v>0</v>
      </c>
      <c r="K10211" t="n">
        <v>0</v>
      </c>
      <c r="L10211" t="n">
        <v>0</v>
      </c>
      <c r="M10211" t="n">
        <v>0</v>
      </c>
      <c r="N10211" t="n">
        <v>0</v>
      </c>
      <c r="O10211" t="n">
        <v>0</v>
      </c>
      <c r="P10211" t="n">
        <v>0</v>
      </c>
      <c r="Q10211" t="n">
        <v>0</v>
      </c>
      <c r="R10211" s="2" t="inlineStr"/>
    </row>
    <row r="10212" ht="15" customHeight="1">
      <c r="A10212" t="inlineStr">
        <is>
          <t>A 25374-2025</t>
        </is>
      </c>
      <c r="B10212" s="1" t="n">
        <v>45800.63570601852</v>
      </c>
      <c r="C10212" s="1" t="n">
        <v>45952</v>
      </c>
      <c r="D10212" t="inlineStr">
        <is>
          <t>VÄSTRA GÖTALANDS LÄN</t>
        </is>
      </c>
      <c r="E10212" t="inlineStr">
        <is>
          <t>GULLSPÅNG</t>
        </is>
      </c>
      <c r="F10212" t="inlineStr">
        <is>
          <t>Kyrkan</t>
        </is>
      </c>
      <c r="G10212" t="n">
        <v>1.9</v>
      </c>
      <c r="H10212" t="n">
        <v>0</v>
      </c>
      <c r="I10212" t="n">
        <v>0</v>
      </c>
      <c r="J10212" t="n">
        <v>0</v>
      </c>
      <c r="K10212" t="n">
        <v>0</v>
      </c>
      <c r="L10212" t="n">
        <v>0</v>
      </c>
      <c r="M10212" t="n">
        <v>0</v>
      </c>
      <c r="N10212" t="n">
        <v>0</v>
      </c>
      <c r="O10212" t="n">
        <v>0</v>
      </c>
      <c r="P10212" t="n">
        <v>0</v>
      </c>
      <c r="Q10212" t="n">
        <v>0</v>
      </c>
      <c r="R10212" s="2" t="inlineStr"/>
    </row>
    <row r="10213" ht="15" customHeight="1">
      <c r="A10213" t="inlineStr">
        <is>
          <t>A 54955-2024</t>
        </is>
      </c>
      <c r="B10213" s="1" t="n">
        <v>45619.65883101852</v>
      </c>
      <c r="C10213" s="1" t="n">
        <v>45952</v>
      </c>
      <c r="D10213" t="inlineStr">
        <is>
          <t>VÄSTRA GÖTALANDS LÄN</t>
        </is>
      </c>
      <c r="E10213" t="inlineStr">
        <is>
          <t>MUNKEDAL</t>
        </is>
      </c>
      <c r="G10213" t="n">
        <v>1.2</v>
      </c>
      <c r="H10213" t="n">
        <v>0</v>
      </c>
      <c r="I10213" t="n">
        <v>0</v>
      </c>
      <c r="J10213" t="n">
        <v>0</v>
      </c>
      <c r="K10213" t="n">
        <v>0</v>
      </c>
      <c r="L10213" t="n">
        <v>0</v>
      </c>
      <c r="M10213" t="n">
        <v>0</v>
      </c>
      <c r="N10213" t="n">
        <v>0</v>
      </c>
      <c r="O10213" t="n">
        <v>0</v>
      </c>
      <c r="P10213" t="n">
        <v>0</v>
      </c>
      <c r="Q10213" t="n">
        <v>0</v>
      </c>
      <c r="R10213" s="2" t="inlineStr"/>
    </row>
    <row r="10214" ht="15" customHeight="1">
      <c r="A10214" t="inlineStr">
        <is>
          <t>A 55003-2024</t>
        </is>
      </c>
      <c r="B10214" s="1" t="n">
        <v>45621.32651620371</v>
      </c>
      <c r="C10214" s="1" t="n">
        <v>45952</v>
      </c>
      <c r="D10214" t="inlineStr">
        <is>
          <t>VÄSTRA GÖTALANDS LÄN</t>
        </is>
      </c>
      <c r="E10214" t="inlineStr">
        <is>
          <t>HJO</t>
        </is>
      </c>
      <c r="G10214" t="n">
        <v>1.9</v>
      </c>
      <c r="H10214" t="n">
        <v>0</v>
      </c>
      <c r="I10214" t="n">
        <v>0</v>
      </c>
      <c r="J10214" t="n">
        <v>0</v>
      </c>
      <c r="K10214" t="n">
        <v>0</v>
      </c>
      <c r="L10214" t="n">
        <v>0</v>
      </c>
      <c r="M10214" t="n">
        <v>0</v>
      </c>
      <c r="N10214" t="n">
        <v>0</v>
      </c>
      <c r="O10214" t="n">
        <v>0</v>
      </c>
      <c r="P10214" t="n">
        <v>0</v>
      </c>
      <c r="Q10214" t="n">
        <v>0</v>
      </c>
      <c r="R10214" s="2" t="inlineStr"/>
    </row>
    <row r="10215" ht="15" customHeight="1">
      <c r="A10215" t="inlineStr">
        <is>
          <t>A 49948-2025</t>
        </is>
      </c>
      <c r="B10215" s="1" t="n">
        <v>45940.74016203704</v>
      </c>
      <c r="C10215" s="1" t="n">
        <v>45952</v>
      </c>
      <c r="D10215" t="inlineStr">
        <is>
          <t>VÄSTRA GÖTALANDS LÄN</t>
        </is>
      </c>
      <c r="E10215" t="inlineStr">
        <is>
          <t>BORÅS</t>
        </is>
      </c>
      <c r="G10215" t="n">
        <v>3.6</v>
      </c>
      <c r="H10215" t="n">
        <v>0</v>
      </c>
      <c r="I10215" t="n">
        <v>0</v>
      </c>
      <c r="J10215" t="n">
        <v>0</v>
      </c>
      <c r="K10215" t="n">
        <v>0</v>
      </c>
      <c r="L10215" t="n">
        <v>0</v>
      </c>
      <c r="M10215" t="n">
        <v>0</v>
      </c>
      <c r="N10215" t="n">
        <v>0</v>
      </c>
      <c r="O10215" t="n">
        <v>0</v>
      </c>
      <c r="P10215" t="n">
        <v>0</v>
      </c>
      <c r="Q10215" t="n">
        <v>0</v>
      </c>
      <c r="R10215" s="2" t="inlineStr"/>
    </row>
    <row r="10216" ht="15" customHeight="1">
      <c r="A10216" t="inlineStr">
        <is>
          <t>A 49985-2025</t>
        </is>
      </c>
      <c r="B10216" s="1" t="n">
        <v>45942.7809837963</v>
      </c>
      <c r="C10216" s="1" t="n">
        <v>45952</v>
      </c>
      <c r="D10216" t="inlineStr">
        <is>
          <t>VÄSTRA GÖTALANDS LÄN</t>
        </is>
      </c>
      <c r="E10216" t="inlineStr">
        <is>
          <t>KARLSBORG</t>
        </is>
      </c>
      <c r="G10216" t="n">
        <v>2.3</v>
      </c>
      <c r="H10216" t="n">
        <v>0</v>
      </c>
      <c r="I10216" t="n">
        <v>0</v>
      </c>
      <c r="J10216" t="n">
        <v>0</v>
      </c>
      <c r="K10216" t="n">
        <v>0</v>
      </c>
      <c r="L10216" t="n">
        <v>0</v>
      </c>
      <c r="M10216" t="n">
        <v>0</v>
      </c>
      <c r="N10216" t="n">
        <v>0</v>
      </c>
      <c r="O10216" t="n">
        <v>0</v>
      </c>
      <c r="P10216" t="n">
        <v>0</v>
      </c>
      <c r="Q10216" t="n">
        <v>0</v>
      </c>
      <c r="R10216" s="2" t="inlineStr"/>
    </row>
    <row r="10217" ht="15" customHeight="1">
      <c r="A10217" t="inlineStr">
        <is>
          <t>A 25395-2025</t>
        </is>
      </c>
      <c r="B10217" s="1" t="n">
        <v>45800.64942129629</v>
      </c>
      <c r="C10217" s="1" t="n">
        <v>45952</v>
      </c>
      <c r="D10217" t="inlineStr">
        <is>
          <t>VÄSTRA GÖTALANDS LÄN</t>
        </is>
      </c>
      <c r="E10217" t="inlineStr">
        <is>
          <t>LYSEKIL</t>
        </is>
      </c>
      <c r="G10217" t="n">
        <v>1.7</v>
      </c>
      <c r="H10217" t="n">
        <v>0</v>
      </c>
      <c r="I10217" t="n">
        <v>0</v>
      </c>
      <c r="J10217" t="n">
        <v>0</v>
      </c>
      <c r="K10217" t="n">
        <v>0</v>
      </c>
      <c r="L10217" t="n">
        <v>0</v>
      </c>
      <c r="M10217" t="n">
        <v>0</v>
      </c>
      <c r="N10217" t="n">
        <v>0</v>
      </c>
      <c r="O10217" t="n">
        <v>0</v>
      </c>
      <c r="P10217" t="n">
        <v>0</v>
      </c>
      <c r="Q10217" t="n">
        <v>0</v>
      </c>
      <c r="R10217" s="2" t="inlineStr"/>
    </row>
    <row r="10218" ht="15" customHeight="1">
      <c r="A10218" t="inlineStr">
        <is>
          <t>A 44023-2022</t>
        </is>
      </c>
      <c r="B10218" s="1" t="n">
        <v>44838.83872685185</v>
      </c>
      <c r="C10218" s="1" t="n">
        <v>45952</v>
      </c>
      <c r="D10218" t="inlineStr">
        <is>
          <t>VÄSTRA GÖTALANDS LÄN</t>
        </is>
      </c>
      <c r="E10218" t="inlineStr">
        <is>
          <t>FALKÖPING</t>
        </is>
      </c>
      <c r="G10218" t="n">
        <v>2.8</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48983-2024</t>
        </is>
      </c>
      <c r="B10219" s="1" t="n">
        <v>45594.46991898148</v>
      </c>
      <c r="C10219" s="1" t="n">
        <v>45952</v>
      </c>
      <c r="D10219" t="inlineStr">
        <is>
          <t>VÄSTRA GÖTALANDS LÄN</t>
        </is>
      </c>
      <c r="E10219" t="inlineStr">
        <is>
          <t>SKÖVDE</t>
        </is>
      </c>
      <c r="G10219" t="n">
        <v>3.1</v>
      </c>
      <c r="H10219" t="n">
        <v>0</v>
      </c>
      <c r="I10219" t="n">
        <v>0</v>
      </c>
      <c r="J10219" t="n">
        <v>0</v>
      </c>
      <c r="K10219" t="n">
        <v>0</v>
      </c>
      <c r="L10219" t="n">
        <v>0</v>
      </c>
      <c r="M10219" t="n">
        <v>0</v>
      </c>
      <c r="N10219" t="n">
        <v>0</v>
      </c>
      <c r="O10219" t="n">
        <v>0</v>
      </c>
      <c r="P10219" t="n">
        <v>0</v>
      </c>
      <c r="Q10219" t="n">
        <v>0</v>
      </c>
      <c r="R10219" s="2" t="inlineStr"/>
    </row>
    <row r="10220" ht="15" customHeight="1">
      <c r="A10220" t="inlineStr">
        <is>
          <t>A 55007-2024</t>
        </is>
      </c>
      <c r="B10220" s="1" t="n">
        <v>45621.33743055556</v>
      </c>
      <c r="C10220" s="1" t="n">
        <v>45952</v>
      </c>
      <c r="D10220" t="inlineStr">
        <is>
          <t>VÄSTRA GÖTALANDS LÄN</t>
        </is>
      </c>
      <c r="E10220" t="inlineStr">
        <is>
          <t>ULRICEHAMN</t>
        </is>
      </c>
      <c r="G10220" t="n">
        <v>2.3</v>
      </c>
      <c r="H10220" t="n">
        <v>0</v>
      </c>
      <c r="I10220" t="n">
        <v>0</v>
      </c>
      <c r="J10220" t="n">
        <v>0</v>
      </c>
      <c r="K10220" t="n">
        <v>0</v>
      </c>
      <c r="L10220" t="n">
        <v>0</v>
      </c>
      <c r="M10220" t="n">
        <v>0</v>
      </c>
      <c r="N10220" t="n">
        <v>0</v>
      </c>
      <c r="O10220" t="n">
        <v>0</v>
      </c>
      <c r="P10220" t="n">
        <v>0</v>
      </c>
      <c r="Q10220" t="n">
        <v>0</v>
      </c>
      <c r="R10220" s="2" t="inlineStr"/>
    </row>
    <row r="10221" ht="15" customHeight="1">
      <c r="A10221" t="inlineStr">
        <is>
          <t>A 52560-2021</t>
        </is>
      </c>
      <c r="B10221" s="1" t="n">
        <v>44466</v>
      </c>
      <c r="C10221" s="1" t="n">
        <v>45952</v>
      </c>
      <c r="D10221" t="inlineStr">
        <is>
          <t>VÄSTRA GÖTALANDS LÄN</t>
        </is>
      </c>
      <c r="E10221" t="inlineStr">
        <is>
          <t>BENGTSFORS</t>
        </is>
      </c>
      <c r="G10221" t="n">
        <v>4</v>
      </c>
      <c r="H10221" t="n">
        <v>0</v>
      </c>
      <c r="I10221" t="n">
        <v>0</v>
      </c>
      <c r="J10221" t="n">
        <v>0</v>
      </c>
      <c r="K10221" t="n">
        <v>0</v>
      </c>
      <c r="L10221" t="n">
        <v>0</v>
      </c>
      <c r="M10221" t="n">
        <v>0</v>
      </c>
      <c r="N10221" t="n">
        <v>0</v>
      </c>
      <c r="O10221" t="n">
        <v>0</v>
      </c>
      <c r="P10221" t="n">
        <v>0</v>
      </c>
      <c r="Q10221" t="n">
        <v>0</v>
      </c>
      <c r="R10221" s="2" t="inlineStr"/>
    </row>
    <row r="10222" ht="15" customHeight="1">
      <c r="A10222" t="inlineStr">
        <is>
          <t>A 45211-2022</t>
        </is>
      </c>
      <c r="B10222" s="1" t="n">
        <v>44844.44121527778</v>
      </c>
      <c r="C10222" s="1" t="n">
        <v>45952</v>
      </c>
      <c r="D10222" t="inlineStr">
        <is>
          <t>VÄSTRA GÖTALANDS LÄN</t>
        </is>
      </c>
      <c r="E10222" t="inlineStr">
        <is>
          <t>GÖTENE</t>
        </is>
      </c>
      <c r="G10222" t="n">
        <v>2.3</v>
      </c>
      <c r="H10222" t="n">
        <v>0</v>
      </c>
      <c r="I10222" t="n">
        <v>0</v>
      </c>
      <c r="J10222" t="n">
        <v>0</v>
      </c>
      <c r="K10222" t="n">
        <v>0</v>
      </c>
      <c r="L10222" t="n">
        <v>0</v>
      </c>
      <c r="M10222" t="n">
        <v>0</v>
      </c>
      <c r="N10222" t="n">
        <v>0</v>
      </c>
      <c r="O10222" t="n">
        <v>0</v>
      </c>
      <c r="P10222" t="n">
        <v>0</v>
      </c>
      <c r="Q10222" t="n">
        <v>0</v>
      </c>
      <c r="R10222" s="2" t="inlineStr"/>
    </row>
    <row r="10223" ht="15" customHeight="1">
      <c r="A10223" t="inlineStr">
        <is>
          <t>A 25623-2025</t>
        </is>
      </c>
      <c r="B10223" s="1" t="n">
        <v>45803.57804398148</v>
      </c>
      <c r="C10223" s="1" t="n">
        <v>45952</v>
      </c>
      <c r="D10223" t="inlineStr">
        <is>
          <t>VÄSTRA GÖTALANDS LÄN</t>
        </is>
      </c>
      <c r="E10223" t="inlineStr">
        <is>
          <t>MELLERUD</t>
        </is>
      </c>
      <c r="G10223" t="n">
        <v>1</v>
      </c>
      <c r="H10223" t="n">
        <v>0</v>
      </c>
      <c r="I10223" t="n">
        <v>0</v>
      </c>
      <c r="J10223" t="n">
        <v>0</v>
      </c>
      <c r="K10223" t="n">
        <v>0</v>
      </c>
      <c r="L10223" t="n">
        <v>0</v>
      </c>
      <c r="M10223" t="n">
        <v>0</v>
      </c>
      <c r="N10223" t="n">
        <v>0</v>
      </c>
      <c r="O10223" t="n">
        <v>0</v>
      </c>
      <c r="P10223" t="n">
        <v>0</v>
      </c>
      <c r="Q10223" t="n">
        <v>0</v>
      </c>
      <c r="R10223" s="2" t="inlineStr"/>
    </row>
    <row r="10224" ht="15" customHeight="1">
      <c r="A10224" t="inlineStr">
        <is>
          <t>A 25672-2025</t>
        </is>
      </c>
      <c r="B10224" s="1" t="n">
        <v>45803.63070601852</v>
      </c>
      <c r="C10224" s="1" t="n">
        <v>45952</v>
      </c>
      <c r="D10224" t="inlineStr">
        <is>
          <t>VÄSTRA GÖTALANDS LÄN</t>
        </is>
      </c>
      <c r="E10224" t="inlineStr">
        <is>
          <t>MARK</t>
        </is>
      </c>
      <c r="G10224" t="n">
        <v>2.1</v>
      </c>
      <c r="H10224" t="n">
        <v>0</v>
      </c>
      <c r="I10224" t="n">
        <v>0</v>
      </c>
      <c r="J10224" t="n">
        <v>0</v>
      </c>
      <c r="K10224" t="n">
        <v>0</v>
      </c>
      <c r="L10224" t="n">
        <v>0</v>
      </c>
      <c r="M10224" t="n">
        <v>0</v>
      </c>
      <c r="N10224" t="n">
        <v>0</v>
      </c>
      <c r="O10224" t="n">
        <v>0</v>
      </c>
      <c r="P10224" t="n">
        <v>0</v>
      </c>
      <c r="Q10224" t="n">
        <v>0</v>
      </c>
      <c r="R10224" s="2" t="inlineStr"/>
    </row>
    <row r="10225" ht="15" customHeight="1">
      <c r="A10225" t="inlineStr">
        <is>
          <t>A 25698-2025</t>
        </is>
      </c>
      <c r="B10225" s="1" t="n">
        <v>45803.66721064815</v>
      </c>
      <c r="C10225" s="1" t="n">
        <v>45952</v>
      </c>
      <c r="D10225" t="inlineStr">
        <is>
          <t>VÄSTRA GÖTALANDS LÄN</t>
        </is>
      </c>
      <c r="E10225" t="inlineStr">
        <is>
          <t>BOLLEBYGD</t>
        </is>
      </c>
      <c r="G10225" t="n">
        <v>4.7</v>
      </c>
      <c r="H10225" t="n">
        <v>0</v>
      </c>
      <c r="I10225" t="n">
        <v>0</v>
      </c>
      <c r="J10225" t="n">
        <v>0</v>
      </c>
      <c r="K10225" t="n">
        <v>0</v>
      </c>
      <c r="L10225" t="n">
        <v>0</v>
      </c>
      <c r="M10225" t="n">
        <v>0</v>
      </c>
      <c r="N10225" t="n">
        <v>0</v>
      </c>
      <c r="O10225" t="n">
        <v>0</v>
      </c>
      <c r="P10225" t="n">
        <v>0</v>
      </c>
      <c r="Q10225" t="n">
        <v>0</v>
      </c>
      <c r="R10225" s="2" t="inlineStr"/>
    </row>
    <row r="10226" ht="15" customHeight="1">
      <c r="A10226" t="inlineStr">
        <is>
          <t>A 25751-2025</t>
        </is>
      </c>
      <c r="B10226" s="1" t="n">
        <v>45800</v>
      </c>
      <c r="C10226" s="1" t="n">
        <v>45952</v>
      </c>
      <c r="D10226" t="inlineStr">
        <is>
          <t>VÄSTRA GÖTALANDS LÄN</t>
        </is>
      </c>
      <c r="E10226" t="inlineStr">
        <is>
          <t>ÅMÅL</t>
        </is>
      </c>
      <c r="G10226" t="n">
        <v>4</v>
      </c>
      <c r="H10226" t="n">
        <v>0</v>
      </c>
      <c r="I10226" t="n">
        <v>0</v>
      </c>
      <c r="J10226" t="n">
        <v>0</v>
      </c>
      <c r="K10226" t="n">
        <v>0</v>
      </c>
      <c r="L10226" t="n">
        <v>0</v>
      </c>
      <c r="M10226" t="n">
        <v>0</v>
      </c>
      <c r="N10226" t="n">
        <v>0</v>
      </c>
      <c r="O10226" t="n">
        <v>0</v>
      </c>
      <c r="P10226" t="n">
        <v>0</v>
      </c>
      <c r="Q10226" t="n">
        <v>0</v>
      </c>
      <c r="R10226" s="2" t="inlineStr"/>
    </row>
    <row r="10227" ht="15" customHeight="1">
      <c r="A10227" t="inlineStr">
        <is>
          <t>A 53227-2021</t>
        </is>
      </c>
      <c r="B10227" s="1" t="n">
        <v>44468</v>
      </c>
      <c r="C10227" s="1" t="n">
        <v>45952</v>
      </c>
      <c r="D10227" t="inlineStr">
        <is>
          <t>VÄSTRA GÖTALANDS LÄN</t>
        </is>
      </c>
      <c r="E10227" t="inlineStr">
        <is>
          <t>TROLLHÄTTAN</t>
        </is>
      </c>
      <c r="G10227" t="n">
        <v>2.1</v>
      </c>
      <c r="H10227" t="n">
        <v>0</v>
      </c>
      <c r="I10227" t="n">
        <v>0</v>
      </c>
      <c r="J10227" t="n">
        <v>0</v>
      </c>
      <c r="K10227" t="n">
        <v>0</v>
      </c>
      <c r="L10227" t="n">
        <v>0</v>
      </c>
      <c r="M10227" t="n">
        <v>0</v>
      </c>
      <c r="N10227" t="n">
        <v>0</v>
      </c>
      <c r="O10227" t="n">
        <v>0</v>
      </c>
      <c r="P10227" t="n">
        <v>0</v>
      </c>
      <c r="Q10227" t="n">
        <v>0</v>
      </c>
      <c r="R10227" s="2" t="inlineStr"/>
    </row>
    <row r="10228" ht="15" customHeight="1">
      <c r="A10228" t="inlineStr">
        <is>
          <t>A 13802-2024</t>
        </is>
      </c>
      <c r="B10228" s="1" t="n">
        <v>45391</v>
      </c>
      <c r="C10228" s="1" t="n">
        <v>45952</v>
      </c>
      <c r="D10228" t="inlineStr">
        <is>
          <t>VÄSTRA GÖTALANDS LÄN</t>
        </is>
      </c>
      <c r="E10228" t="inlineStr">
        <is>
          <t>SKÖVDE</t>
        </is>
      </c>
      <c r="G10228" t="n">
        <v>9.4</v>
      </c>
      <c r="H10228" t="n">
        <v>0</v>
      </c>
      <c r="I10228" t="n">
        <v>0</v>
      </c>
      <c r="J10228" t="n">
        <v>0</v>
      </c>
      <c r="K10228" t="n">
        <v>0</v>
      </c>
      <c r="L10228" t="n">
        <v>0</v>
      </c>
      <c r="M10228" t="n">
        <v>0</v>
      </c>
      <c r="N10228" t="n">
        <v>0</v>
      </c>
      <c r="O10228" t="n">
        <v>0</v>
      </c>
      <c r="P10228" t="n">
        <v>0</v>
      </c>
      <c r="Q10228" t="n">
        <v>0</v>
      </c>
      <c r="R10228" s="2" t="inlineStr"/>
    </row>
    <row r="10229" ht="15" customHeight="1">
      <c r="A10229" t="inlineStr">
        <is>
          <t>A 50035-2025</t>
        </is>
      </c>
      <c r="B10229" s="1" t="n">
        <v>45943.3944675926</v>
      </c>
      <c r="C10229" s="1" t="n">
        <v>45952</v>
      </c>
      <c r="D10229" t="inlineStr">
        <is>
          <t>VÄSTRA GÖTALANDS LÄN</t>
        </is>
      </c>
      <c r="E10229" t="inlineStr">
        <is>
          <t>GULLSPÅNG</t>
        </is>
      </c>
      <c r="G10229" t="n">
        <v>2.8</v>
      </c>
      <c r="H10229" t="n">
        <v>0</v>
      </c>
      <c r="I10229" t="n">
        <v>0</v>
      </c>
      <c r="J10229" t="n">
        <v>0</v>
      </c>
      <c r="K10229" t="n">
        <v>0</v>
      </c>
      <c r="L10229" t="n">
        <v>0</v>
      </c>
      <c r="M10229" t="n">
        <v>0</v>
      </c>
      <c r="N10229" t="n">
        <v>0</v>
      </c>
      <c r="O10229" t="n">
        <v>0</v>
      </c>
      <c r="P10229" t="n">
        <v>0</v>
      </c>
      <c r="Q10229" t="n">
        <v>0</v>
      </c>
      <c r="R10229" s="2" t="inlineStr"/>
    </row>
    <row r="10230" ht="15" customHeight="1">
      <c r="A10230" t="inlineStr">
        <is>
          <t>A 37136-2024</t>
        </is>
      </c>
      <c r="B10230" s="1" t="n">
        <v>45539.580625</v>
      </c>
      <c r="C10230" s="1" t="n">
        <v>45952</v>
      </c>
      <c r="D10230" t="inlineStr">
        <is>
          <t>VÄSTRA GÖTALANDS LÄN</t>
        </is>
      </c>
      <c r="E10230" t="inlineStr">
        <is>
          <t>FÄRGELANDA</t>
        </is>
      </c>
      <c r="G10230" t="n">
        <v>1.1</v>
      </c>
      <c r="H10230" t="n">
        <v>0</v>
      </c>
      <c r="I10230" t="n">
        <v>0</v>
      </c>
      <c r="J10230" t="n">
        <v>0</v>
      </c>
      <c r="K10230" t="n">
        <v>0</v>
      </c>
      <c r="L10230" t="n">
        <v>0</v>
      </c>
      <c r="M10230" t="n">
        <v>0</v>
      </c>
      <c r="N10230" t="n">
        <v>0</v>
      </c>
      <c r="O10230" t="n">
        <v>0</v>
      </c>
      <c r="P10230" t="n">
        <v>0</v>
      </c>
      <c r="Q10230" t="n">
        <v>0</v>
      </c>
      <c r="R10230" s="2" t="inlineStr"/>
    </row>
    <row r="10231" ht="15" customHeight="1">
      <c r="A10231" t="inlineStr">
        <is>
          <t>A 50096-2025</t>
        </is>
      </c>
      <c r="B10231" s="1" t="n">
        <v>45943.50023148148</v>
      </c>
      <c r="C10231" s="1" t="n">
        <v>45952</v>
      </c>
      <c r="D10231" t="inlineStr">
        <is>
          <t>VÄSTRA GÖTALANDS LÄN</t>
        </is>
      </c>
      <c r="E10231" t="inlineStr">
        <is>
          <t>MARK</t>
        </is>
      </c>
      <c r="G10231" t="n">
        <v>1.5</v>
      </c>
      <c r="H10231" t="n">
        <v>0</v>
      </c>
      <c r="I10231" t="n">
        <v>0</v>
      </c>
      <c r="J10231" t="n">
        <v>0</v>
      </c>
      <c r="K10231" t="n">
        <v>0</v>
      </c>
      <c r="L10231" t="n">
        <v>0</v>
      </c>
      <c r="M10231" t="n">
        <v>0</v>
      </c>
      <c r="N10231" t="n">
        <v>0</v>
      </c>
      <c r="O10231" t="n">
        <v>0</v>
      </c>
      <c r="P10231" t="n">
        <v>0</v>
      </c>
      <c r="Q10231" t="n">
        <v>0</v>
      </c>
      <c r="R10231" s="2" t="inlineStr"/>
    </row>
    <row r="10232" ht="15" customHeight="1">
      <c r="A10232" t="inlineStr">
        <is>
          <t>A 25642-2025</t>
        </is>
      </c>
      <c r="B10232" s="1" t="n">
        <v>45803.60490740741</v>
      </c>
      <c r="C10232" s="1" t="n">
        <v>45952</v>
      </c>
      <c r="D10232" t="inlineStr">
        <is>
          <t>VÄSTRA GÖTALANDS LÄN</t>
        </is>
      </c>
      <c r="E10232" t="inlineStr">
        <is>
          <t>SKÖVDE</t>
        </is>
      </c>
      <c r="G10232" t="n">
        <v>2.1</v>
      </c>
      <c r="H10232" t="n">
        <v>0</v>
      </c>
      <c r="I10232" t="n">
        <v>0</v>
      </c>
      <c r="J10232" t="n">
        <v>0</v>
      </c>
      <c r="K10232" t="n">
        <v>0</v>
      </c>
      <c r="L10232" t="n">
        <v>0</v>
      </c>
      <c r="M10232" t="n">
        <v>0</v>
      </c>
      <c r="N10232" t="n">
        <v>0</v>
      </c>
      <c r="O10232" t="n">
        <v>0</v>
      </c>
      <c r="P10232" t="n">
        <v>0</v>
      </c>
      <c r="Q10232" t="n">
        <v>0</v>
      </c>
      <c r="R10232" s="2" t="inlineStr"/>
    </row>
    <row r="10233" ht="15" customHeight="1">
      <c r="A10233" t="inlineStr">
        <is>
          <t>A 25666-2025</t>
        </is>
      </c>
      <c r="B10233" s="1" t="n">
        <v>45803.62123842593</v>
      </c>
      <c r="C10233" s="1" t="n">
        <v>45952</v>
      </c>
      <c r="D10233" t="inlineStr">
        <is>
          <t>VÄSTRA GÖTALANDS LÄN</t>
        </is>
      </c>
      <c r="E10233" t="inlineStr">
        <is>
          <t>BORÅS</t>
        </is>
      </c>
      <c r="G10233" t="n">
        <v>0.6</v>
      </c>
      <c r="H10233" t="n">
        <v>0</v>
      </c>
      <c r="I10233" t="n">
        <v>0</v>
      </c>
      <c r="J10233" t="n">
        <v>0</v>
      </c>
      <c r="K10233" t="n">
        <v>0</v>
      </c>
      <c r="L10233" t="n">
        <v>0</v>
      </c>
      <c r="M10233" t="n">
        <v>0</v>
      </c>
      <c r="N10233" t="n">
        <v>0</v>
      </c>
      <c r="O10233" t="n">
        <v>0</v>
      </c>
      <c r="P10233" t="n">
        <v>0</v>
      </c>
      <c r="Q10233" t="n">
        <v>0</v>
      </c>
      <c r="R10233" s="2" t="inlineStr"/>
    </row>
    <row r="10234" ht="15" customHeight="1">
      <c r="A10234" t="inlineStr">
        <is>
          <t>A 39845-2024</t>
        </is>
      </c>
      <c r="B10234" s="1" t="n">
        <v>45553.4275</v>
      </c>
      <c r="C10234" s="1" t="n">
        <v>45952</v>
      </c>
      <c r="D10234" t="inlineStr">
        <is>
          <t>VÄSTRA GÖTALANDS LÄN</t>
        </is>
      </c>
      <c r="E10234" t="inlineStr">
        <is>
          <t>ULRICEHAMN</t>
        </is>
      </c>
      <c r="G10234" t="n">
        <v>2.6</v>
      </c>
      <c r="H10234" t="n">
        <v>0</v>
      </c>
      <c r="I10234" t="n">
        <v>0</v>
      </c>
      <c r="J10234" t="n">
        <v>0</v>
      </c>
      <c r="K10234" t="n">
        <v>0</v>
      </c>
      <c r="L10234" t="n">
        <v>0</v>
      </c>
      <c r="M10234" t="n">
        <v>0</v>
      </c>
      <c r="N10234" t="n">
        <v>0</v>
      </c>
      <c r="O10234" t="n">
        <v>0</v>
      </c>
      <c r="P10234" t="n">
        <v>0</v>
      </c>
      <c r="Q10234" t="n">
        <v>0</v>
      </c>
      <c r="R10234" s="2" t="inlineStr"/>
    </row>
    <row r="10235" ht="15" customHeight="1">
      <c r="A10235" t="inlineStr">
        <is>
          <t>A 39849-2024</t>
        </is>
      </c>
      <c r="B10235" s="1" t="n">
        <v>45553.42861111111</v>
      </c>
      <c r="C10235" s="1" t="n">
        <v>45952</v>
      </c>
      <c r="D10235" t="inlineStr">
        <is>
          <t>VÄSTRA GÖTALANDS LÄN</t>
        </is>
      </c>
      <c r="E10235" t="inlineStr">
        <is>
          <t>ULRICEHAMN</t>
        </is>
      </c>
      <c r="G10235" t="n">
        <v>1.6</v>
      </c>
      <c r="H10235" t="n">
        <v>0</v>
      </c>
      <c r="I10235" t="n">
        <v>0</v>
      </c>
      <c r="J10235" t="n">
        <v>0</v>
      </c>
      <c r="K10235" t="n">
        <v>0</v>
      </c>
      <c r="L10235" t="n">
        <v>0</v>
      </c>
      <c r="M10235" t="n">
        <v>0</v>
      </c>
      <c r="N10235" t="n">
        <v>0</v>
      </c>
      <c r="O10235" t="n">
        <v>0</v>
      </c>
      <c r="P10235" t="n">
        <v>0</v>
      </c>
      <c r="Q10235" t="n">
        <v>0</v>
      </c>
      <c r="R10235" s="2" t="inlineStr"/>
    </row>
    <row r="10236" ht="15" customHeight="1">
      <c r="A10236" t="inlineStr">
        <is>
          <t>A 58600-2020</t>
        </is>
      </c>
      <c r="B10236" s="1" t="n">
        <v>44145</v>
      </c>
      <c r="C10236" s="1" t="n">
        <v>45952</v>
      </c>
      <c r="D10236" t="inlineStr">
        <is>
          <t>VÄSTRA GÖTALANDS LÄN</t>
        </is>
      </c>
      <c r="E10236" t="inlineStr">
        <is>
          <t>BORÅS</t>
        </is>
      </c>
      <c r="G10236" t="n">
        <v>0.7</v>
      </c>
      <c r="H10236" t="n">
        <v>0</v>
      </c>
      <c r="I10236" t="n">
        <v>0</v>
      </c>
      <c r="J10236" t="n">
        <v>0</v>
      </c>
      <c r="K10236" t="n">
        <v>0</v>
      </c>
      <c r="L10236" t="n">
        <v>0</v>
      </c>
      <c r="M10236" t="n">
        <v>0</v>
      </c>
      <c r="N10236" t="n">
        <v>0</v>
      </c>
      <c r="O10236" t="n">
        <v>0</v>
      </c>
      <c r="P10236" t="n">
        <v>0</v>
      </c>
      <c r="Q10236" t="n">
        <v>0</v>
      </c>
      <c r="R10236" s="2" t="inlineStr"/>
    </row>
    <row r="10237" ht="15" customHeight="1">
      <c r="A10237" t="inlineStr">
        <is>
          <t>A 25088-2025</t>
        </is>
      </c>
      <c r="B10237" s="1" t="n">
        <v>45800</v>
      </c>
      <c r="C10237" s="1" t="n">
        <v>45952</v>
      </c>
      <c r="D10237" t="inlineStr">
        <is>
          <t>VÄSTRA GÖTALANDS LÄN</t>
        </is>
      </c>
      <c r="E10237" t="inlineStr">
        <is>
          <t>BENGTSFORS</t>
        </is>
      </c>
      <c r="G10237" t="n">
        <v>2.6</v>
      </c>
      <c r="H10237" t="n">
        <v>0</v>
      </c>
      <c r="I10237" t="n">
        <v>0</v>
      </c>
      <c r="J10237" t="n">
        <v>0</v>
      </c>
      <c r="K10237" t="n">
        <v>0</v>
      </c>
      <c r="L10237" t="n">
        <v>0</v>
      </c>
      <c r="M10237" t="n">
        <v>0</v>
      </c>
      <c r="N10237" t="n">
        <v>0</v>
      </c>
      <c r="O10237" t="n">
        <v>0</v>
      </c>
      <c r="P10237" t="n">
        <v>0</v>
      </c>
      <c r="Q10237" t="n">
        <v>0</v>
      </c>
      <c r="R10237" s="2" t="inlineStr"/>
    </row>
    <row r="10238" ht="15" customHeight="1">
      <c r="A10238" t="inlineStr">
        <is>
          <t>A 58712-2020</t>
        </is>
      </c>
      <c r="B10238" s="1" t="n">
        <v>44146</v>
      </c>
      <c r="C10238" s="1" t="n">
        <v>45952</v>
      </c>
      <c r="D10238" t="inlineStr">
        <is>
          <t>VÄSTRA GÖTALANDS LÄN</t>
        </is>
      </c>
      <c r="E10238" t="inlineStr">
        <is>
          <t>ÅMÅL</t>
        </is>
      </c>
      <c r="G10238" t="n">
        <v>5.2</v>
      </c>
      <c r="H10238" t="n">
        <v>0</v>
      </c>
      <c r="I10238" t="n">
        <v>0</v>
      </c>
      <c r="J10238" t="n">
        <v>0</v>
      </c>
      <c r="K10238" t="n">
        <v>0</v>
      </c>
      <c r="L10238" t="n">
        <v>0</v>
      </c>
      <c r="M10238" t="n">
        <v>0</v>
      </c>
      <c r="N10238" t="n">
        <v>0</v>
      </c>
      <c r="O10238" t="n">
        <v>0</v>
      </c>
      <c r="P10238" t="n">
        <v>0</v>
      </c>
      <c r="Q10238" t="n">
        <v>0</v>
      </c>
      <c r="R10238" s="2" t="inlineStr"/>
    </row>
    <row r="10239" ht="15" customHeight="1">
      <c r="A10239" t="inlineStr">
        <is>
          <t>A 25509-2025</t>
        </is>
      </c>
      <c r="B10239" s="1" t="n">
        <v>45803.35596064815</v>
      </c>
      <c r="C10239" s="1" t="n">
        <v>45952</v>
      </c>
      <c r="D10239" t="inlineStr">
        <is>
          <t>VÄSTRA GÖTALANDS LÄN</t>
        </is>
      </c>
      <c r="E10239" t="inlineStr">
        <is>
          <t>HERRLJUNGA</t>
        </is>
      </c>
      <c r="G10239" t="n">
        <v>0.7</v>
      </c>
      <c r="H10239" t="n">
        <v>0</v>
      </c>
      <c r="I10239" t="n">
        <v>0</v>
      </c>
      <c r="J10239" t="n">
        <v>0</v>
      </c>
      <c r="K10239" t="n">
        <v>0</v>
      </c>
      <c r="L10239" t="n">
        <v>0</v>
      </c>
      <c r="M10239" t="n">
        <v>0</v>
      </c>
      <c r="N10239" t="n">
        <v>0</v>
      </c>
      <c r="O10239" t="n">
        <v>0</v>
      </c>
      <c r="P10239" t="n">
        <v>0</v>
      </c>
      <c r="Q10239" t="n">
        <v>0</v>
      </c>
      <c r="R10239" s="2" t="inlineStr"/>
    </row>
    <row r="10240" ht="15" customHeight="1">
      <c r="A10240" t="inlineStr">
        <is>
          <t>A 50149-2025</t>
        </is>
      </c>
      <c r="B10240" s="1" t="n">
        <v>45943.57349537037</v>
      </c>
      <c r="C10240" s="1" t="n">
        <v>45952</v>
      </c>
      <c r="D10240" t="inlineStr">
        <is>
          <t>VÄSTRA GÖTALANDS LÄN</t>
        </is>
      </c>
      <c r="E10240" t="inlineStr">
        <is>
          <t>BENGTSFORS</t>
        </is>
      </c>
      <c r="G10240" t="n">
        <v>3.7</v>
      </c>
      <c r="H10240" t="n">
        <v>0</v>
      </c>
      <c r="I10240" t="n">
        <v>0</v>
      </c>
      <c r="J10240" t="n">
        <v>0</v>
      </c>
      <c r="K10240" t="n">
        <v>0</v>
      </c>
      <c r="L10240" t="n">
        <v>0</v>
      </c>
      <c r="M10240" t="n">
        <v>0</v>
      </c>
      <c r="N10240" t="n">
        <v>0</v>
      </c>
      <c r="O10240" t="n">
        <v>0</v>
      </c>
      <c r="P10240" t="n">
        <v>0</v>
      </c>
      <c r="Q10240" t="n">
        <v>0</v>
      </c>
      <c r="R10240" s="2" t="inlineStr"/>
    </row>
    <row r="10241" ht="15" customHeight="1">
      <c r="A10241" t="inlineStr">
        <is>
          <t>A 25406-2025</t>
        </is>
      </c>
      <c r="B10241" s="1" t="n">
        <v>45800.65958333333</v>
      </c>
      <c r="C10241" s="1" t="n">
        <v>45952</v>
      </c>
      <c r="D10241" t="inlineStr">
        <is>
          <t>VÄSTRA GÖTALANDS LÄN</t>
        </is>
      </c>
      <c r="E10241" t="inlineStr">
        <is>
          <t>MUNKEDAL</t>
        </is>
      </c>
      <c r="G10241" t="n">
        <v>4.6</v>
      </c>
      <c r="H10241" t="n">
        <v>0</v>
      </c>
      <c r="I10241" t="n">
        <v>0</v>
      </c>
      <c r="J10241" t="n">
        <v>0</v>
      </c>
      <c r="K10241" t="n">
        <v>0</v>
      </c>
      <c r="L10241" t="n">
        <v>0</v>
      </c>
      <c r="M10241" t="n">
        <v>0</v>
      </c>
      <c r="N10241" t="n">
        <v>0</v>
      </c>
      <c r="O10241" t="n">
        <v>0</v>
      </c>
      <c r="P10241" t="n">
        <v>0</v>
      </c>
      <c r="Q10241" t="n">
        <v>0</v>
      </c>
      <c r="R10241" s="2" t="inlineStr"/>
    </row>
    <row r="10242" ht="15" customHeight="1">
      <c r="A10242" t="inlineStr">
        <is>
          <t>A 25434-2025</t>
        </is>
      </c>
      <c r="B10242" s="1" t="n">
        <v>45800.8074537037</v>
      </c>
      <c r="C10242" s="1" t="n">
        <v>45952</v>
      </c>
      <c r="D10242" t="inlineStr">
        <is>
          <t>VÄSTRA GÖTALANDS LÄN</t>
        </is>
      </c>
      <c r="E10242" t="inlineStr">
        <is>
          <t>GÖTENE</t>
        </is>
      </c>
      <c r="G10242" t="n">
        <v>1.6</v>
      </c>
      <c r="H10242" t="n">
        <v>0</v>
      </c>
      <c r="I10242" t="n">
        <v>0</v>
      </c>
      <c r="J10242" t="n">
        <v>0</v>
      </c>
      <c r="K10242" t="n">
        <v>0</v>
      </c>
      <c r="L10242" t="n">
        <v>0</v>
      </c>
      <c r="M10242" t="n">
        <v>0</v>
      </c>
      <c r="N10242" t="n">
        <v>0</v>
      </c>
      <c r="O10242" t="n">
        <v>0</v>
      </c>
      <c r="P10242" t="n">
        <v>0</v>
      </c>
      <c r="Q10242" t="n">
        <v>0</v>
      </c>
      <c r="R10242" s="2" t="inlineStr"/>
    </row>
    <row r="10243" ht="15" customHeight="1">
      <c r="A10243" t="inlineStr">
        <is>
          <t>A 25451-2025</t>
        </is>
      </c>
      <c r="B10243" s="1" t="n">
        <v>45801.81144675926</v>
      </c>
      <c r="C10243" s="1" t="n">
        <v>45952</v>
      </c>
      <c r="D10243" t="inlineStr">
        <is>
          <t>VÄSTRA GÖTALANDS LÄN</t>
        </is>
      </c>
      <c r="E10243" t="inlineStr">
        <is>
          <t>BORÅS</t>
        </is>
      </c>
      <c r="G10243" t="n">
        <v>0.9</v>
      </c>
      <c r="H10243" t="n">
        <v>0</v>
      </c>
      <c r="I10243" t="n">
        <v>0</v>
      </c>
      <c r="J10243" t="n">
        <v>0</v>
      </c>
      <c r="K10243" t="n">
        <v>0</v>
      </c>
      <c r="L10243" t="n">
        <v>0</v>
      </c>
      <c r="M10243" t="n">
        <v>0</v>
      </c>
      <c r="N10243" t="n">
        <v>0</v>
      </c>
      <c r="O10243" t="n">
        <v>0</v>
      </c>
      <c r="P10243" t="n">
        <v>0</v>
      </c>
      <c r="Q10243" t="n">
        <v>0</v>
      </c>
      <c r="R10243" s="2" t="inlineStr"/>
    </row>
    <row r="10244" ht="15" customHeight="1">
      <c r="A10244" t="inlineStr">
        <is>
          <t>A 49893-2022</t>
        </is>
      </c>
      <c r="B10244" s="1" t="n">
        <v>44864</v>
      </c>
      <c r="C10244" s="1" t="n">
        <v>45952</v>
      </c>
      <c r="D10244" t="inlineStr">
        <is>
          <t>VÄSTRA GÖTALANDS LÄN</t>
        </is>
      </c>
      <c r="E10244" t="inlineStr">
        <is>
          <t>GULLSPÅNG</t>
        </is>
      </c>
      <c r="G10244" t="n">
        <v>5.7</v>
      </c>
      <c r="H10244" t="n">
        <v>0</v>
      </c>
      <c r="I10244" t="n">
        <v>0</v>
      </c>
      <c r="J10244" t="n">
        <v>0</v>
      </c>
      <c r="K10244" t="n">
        <v>0</v>
      </c>
      <c r="L10244" t="n">
        <v>0</v>
      </c>
      <c r="M10244" t="n">
        <v>0</v>
      </c>
      <c r="N10244" t="n">
        <v>0</v>
      </c>
      <c r="O10244" t="n">
        <v>0</v>
      </c>
      <c r="P10244" t="n">
        <v>0</v>
      </c>
      <c r="Q10244" t="n">
        <v>0</v>
      </c>
      <c r="R10244" s="2" t="inlineStr"/>
    </row>
    <row r="10245" ht="15" customHeight="1">
      <c r="A10245" t="inlineStr">
        <is>
          <t>A 25867-2025</t>
        </is>
      </c>
      <c r="B10245" s="1" t="n">
        <v>45804.48175925926</v>
      </c>
      <c r="C10245" s="1" t="n">
        <v>45952</v>
      </c>
      <c r="D10245" t="inlineStr">
        <is>
          <t>VÄSTRA GÖTALANDS LÄN</t>
        </is>
      </c>
      <c r="E10245" t="inlineStr">
        <is>
          <t>DALS-ED</t>
        </is>
      </c>
      <c r="G10245" t="n">
        <v>2.6</v>
      </c>
      <c r="H10245" t="n">
        <v>0</v>
      </c>
      <c r="I10245" t="n">
        <v>0</v>
      </c>
      <c r="J10245" t="n">
        <v>0</v>
      </c>
      <c r="K10245" t="n">
        <v>0</v>
      </c>
      <c r="L10245" t="n">
        <v>0</v>
      </c>
      <c r="M10245" t="n">
        <v>0</v>
      </c>
      <c r="N10245" t="n">
        <v>0</v>
      </c>
      <c r="O10245" t="n">
        <v>0</v>
      </c>
      <c r="P10245" t="n">
        <v>0</v>
      </c>
      <c r="Q10245" t="n">
        <v>0</v>
      </c>
      <c r="R10245" s="2" t="inlineStr"/>
    </row>
    <row r="10246" ht="15" customHeight="1">
      <c r="A10246" t="inlineStr">
        <is>
          <t>A 25505-2025</t>
        </is>
      </c>
      <c r="B10246" s="1" t="n">
        <v>45803.35204861111</v>
      </c>
      <c r="C10246" s="1" t="n">
        <v>45952</v>
      </c>
      <c r="D10246" t="inlineStr">
        <is>
          <t>VÄSTRA GÖTALANDS LÄN</t>
        </is>
      </c>
      <c r="E10246" t="inlineStr">
        <is>
          <t>HERRLJUNGA</t>
        </is>
      </c>
      <c r="G10246" t="n">
        <v>3</v>
      </c>
      <c r="H10246" t="n">
        <v>0</v>
      </c>
      <c r="I10246" t="n">
        <v>0</v>
      </c>
      <c r="J10246" t="n">
        <v>0</v>
      </c>
      <c r="K10246" t="n">
        <v>0</v>
      </c>
      <c r="L10246" t="n">
        <v>0</v>
      </c>
      <c r="M10246" t="n">
        <v>0</v>
      </c>
      <c r="N10246" t="n">
        <v>0</v>
      </c>
      <c r="O10246" t="n">
        <v>0</v>
      </c>
      <c r="P10246" t="n">
        <v>0</v>
      </c>
      <c r="Q10246" t="n">
        <v>0</v>
      </c>
      <c r="R10246" s="2" t="inlineStr"/>
    </row>
    <row r="10247" ht="15" customHeight="1">
      <c r="A10247" t="inlineStr">
        <is>
          <t>A 25562-2025</t>
        </is>
      </c>
      <c r="B10247" s="1" t="n">
        <v>45803.45508101852</v>
      </c>
      <c r="C10247" s="1" t="n">
        <v>45952</v>
      </c>
      <c r="D10247" t="inlineStr">
        <is>
          <t>VÄSTRA GÖTALANDS LÄN</t>
        </is>
      </c>
      <c r="E10247" t="inlineStr">
        <is>
          <t>ALINGSÅS</t>
        </is>
      </c>
      <c r="G10247" t="n">
        <v>2.4</v>
      </c>
      <c r="H10247" t="n">
        <v>0</v>
      </c>
      <c r="I10247" t="n">
        <v>0</v>
      </c>
      <c r="J10247" t="n">
        <v>0</v>
      </c>
      <c r="K10247" t="n">
        <v>0</v>
      </c>
      <c r="L10247" t="n">
        <v>0</v>
      </c>
      <c r="M10247" t="n">
        <v>0</v>
      </c>
      <c r="N10247" t="n">
        <v>0</v>
      </c>
      <c r="O10247" t="n">
        <v>0</v>
      </c>
      <c r="P10247" t="n">
        <v>0</v>
      </c>
      <c r="Q10247" t="n">
        <v>0</v>
      </c>
      <c r="R10247" s="2" t="inlineStr"/>
    </row>
    <row r="10248" ht="15" customHeight="1">
      <c r="A10248" t="inlineStr">
        <is>
          <t>A 25594-2025</t>
        </is>
      </c>
      <c r="B10248" s="1" t="n">
        <v>45803</v>
      </c>
      <c r="C10248" s="1" t="n">
        <v>45952</v>
      </c>
      <c r="D10248" t="inlineStr">
        <is>
          <t>VÄSTRA GÖTALANDS LÄN</t>
        </is>
      </c>
      <c r="E10248" t="inlineStr">
        <is>
          <t>GÖTENE</t>
        </is>
      </c>
      <c r="G10248" t="n">
        <v>3.2</v>
      </c>
      <c r="H10248" t="n">
        <v>0</v>
      </c>
      <c r="I10248" t="n">
        <v>0</v>
      </c>
      <c r="J10248" t="n">
        <v>0</v>
      </c>
      <c r="K10248" t="n">
        <v>0</v>
      </c>
      <c r="L10248" t="n">
        <v>0</v>
      </c>
      <c r="M10248" t="n">
        <v>0</v>
      </c>
      <c r="N10248" t="n">
        <v>0</v>
      </c>
      <c r="O10248" t="n">
        <v>0</v>
      </c>
      <c r="P10248" t="n">
        <v>0</v>
      </c>
      <c r="Q10248" t="n">
        <v>0</v>
      </c>
      <c r="R10248" s="2" t="inlineStr"/>
    </row>
    <row r="10249" ht="15" customHeight="1">
      <c r="A10249" t="inlineStr">
        <is>
          <t>A 28880-2022</t>
        </is>
      </c>
      <c r="B10249" s="1" t="n">
        <v>44749</v>
      </c>
      <c r="C10249" s="1" t="n">
        <v>45952</v>
      </c>
      <c r="D10249" t="inlineStr">
        <is>
          <t>VÄSTRA GÖTALANDS LÄN</t>
        </is>
      </c>
      <c r="E10249" t="inlineStr">
        <is>
          <t>ÅMÅL</t>
        </is>
      </c>
      <c r="G10249" t="n">
        <v>1.2</v>
      </c>
      <c r="H10249" t="n">
        <v>0</v>
      </c>
      <c r="I10249" t="n">
        <v>0</v>
      </c>
      <c r="J10249" t="n">
        <v>0</v>
      </c>
      <c r="K10249" t="n">
        <v>0</v>
      </c>
      <c r="L10249" t="n">
        <v>0</v>
      </c>
      <c r="M10249" t="n">
        <v>0</v>
      </c>
      <c r="N10249" t="n">
        <v>0</v>
      </c>
      <c r="O10249" t="n">
        <v>0</v>
      </c>
      <c r="P10249" t="n">
        <v>0</v>
      </c>
      <c r="Q10249" t="n">
        <v>0</v>
      </c>
      <c r="R10249" s="2" t="inlineStr"/>
    </row>
    <row r="10250" ht="15" customHeight="1">
      <c r="A10250" t="inlineStr">
        <is>
          <t>A 49416-2021</t>
        </is>
      </c>
      <c r="B10250" s="1" t="n">
        <v>44454.6478587963</v>
      </c>
      <c r="C10250" s="1" t="n">
        <v>45952</v>
      </c>
      <c r="D10250" t="inlineStr">
        <is>
          <t>VÄSTRA GÖTALANDS LÄN</t>
        </is>
      </c>
      <c r="E10250" t="inlineStr">
        <is>
          <t>FALKÖPING</t>
        </is>
      </c>
      <c r="G10250" t="n">
        <v>5.5</v>
      </c>
      <c r="H10250" t="n">
        <v>0</v>
      </c>
      <c r="I10250" t="n">
        <v>0</v>
      </c>
      <c r="J10250" t="n">
        <v>0</v>
      </c>
      <c r="K10250" t="n">
        <v>0</v>
      </c>
      <c r="L10250" t="n">
        <v>0</v>
      </c>
      <c r="M10250" t="n">
        <v>0</v>
      </c>
      <c r="N10250" t="n">
        <v>0</v>
      </c>
      <c r="O10250" t="n">
        <v>0</v>
      </c>
      <c r="P10250" t="n">
        <v>0</v>
      </c>
      <c r="Q10250" t="n">
        <v>0</v>
      </c>
      <c r="R10250" s="2" t="inlineStr"/>
    </row>
    <row r="10251" ht="15" customHeight="1">
      <c r="A10251" t="inlineStr">
        <is>
          <t>A 41314-2022</t>
        </is>
      </c>
      <c r="B10251" s="1" t="n">
        <v>44826</v>
      </c>
      <c r="C10251" s="1" t="n">
        <v>45952</v>
      </c>
      <c r="D10251" t="inlineStr">
        <is>
          <t>VÄSTRA GÖTALANDS LÄN</t>
        </is>
      </c>
      <c r="E10251" t="inlineStr">
        <is>
          <t>BENGTSFORS</t>
        </is>
      </c>
      <c r="G10251" t="n">
        <v>1.1</v>
      </c>
      <c r="H10251" t="n">
        <v>0</v>
      </c>
      <c r="I10251" t="n">
        <v>0</v>
      </c>
      <c r="J10251" t="n">
        <v>0</v>
      </c>
      <c r="K10251" t="n">
        <v>0</v>
      </c>
      <c r="L10251" t="n">
        <v>0</v>
      </c>
      <c r="M10251" t="n">
        <v>0</v>
      </c>
      <c r="N10251" t="n">
        <v>0</v>
      </c>
      <c r="O10251" t="n">
        <v>0</v>
      </c>
      <c r="P10251" t="n">
        <v>0</v>
      </c>
      <c r="Q10251" t="n">
        <v>0</v>
      </c>
      <c r="R10251" s="2" t="inlineStr"/>
    </row>
    <row r="10252" ht="15" customHeight="1">
      <c r="A10252" t="inlineStr">
        <is>
          <t>A 25620-2025</t>
        </is>
      </c>
      <c r="B10252" s="1" t="n">
        <v>45803.57626157408</v>
      </c>
      <c r="C10252" s="1" t="n">
        <v>45952</v>
      </c>
      <c r="D10252" t="inlineStr">
        <is>
          <t>VÄSTRA GÖTALANDS LÄN</t>
        </is>
      </c>
      <c r="E10252" t="inlineStr">
        <is>
          <t>MELLERUD</t>
        </is>
      </c>
      <c r="G10252" t="n">
        <v>2.3</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41082-2024</t>
        </is>
      </c>
      <c r="B10253" s="1" t="n">
        <v>45559</v>
      </c>
      <c r="C10253" s="1" t="n">
        <v>45952</v>
      </c>
      <c r="D10253" t="inlineStr">
        <is>
          <t>VÄSTRA GÖTALANDS LÄN</t>
        </is>
      </c>
      <c r="E10253" t="inlineStr">
        <is>
          <t>FALKÖPING</t>
        </is>
      </c>
      <c r="G10253" t="n">
        <v>1.5</v>
      </c>
      <c r="H10253" t="n">
        <v>0</v>
      </c>
      <c r="I10253" t="n">
        <v>0</v>
      </c>
      <c r="J10253" t="n">
        <v>0</v>
      </c>
      <c r="K10253" t="n">
        <v>0</v>
      </c>
      <c r="L10253" t="n">
        <v>0</v>
      </c>
      <c r="M10253" t="n">
        <v>0</v>
      </c>
      <c r="N10253" t="n">
        <v>0</v>
      </c>
      <c r="O10253" t="n">
        <v>0</v>
      </c>
      <c r="P10253" t="n">
        <v>0</v>
      </c>
      <c r="Q10253" t="n">
        <v>0</v>
      </c>
      <c r="R10253" s="2" t="inlineStr"/>
    </row>
    <row r="10254" ht="15" customHeight="1">
      <c r="A10254" t="inlineStr">
        <is>
          <t>A 59161-2024</t>
        </is>
      </c>
      <c r="B10254" s="1" t="n">
        <v>45637.47238425926</v>
      </c>
      <c r="C10254" s="1" t="n">
        <v>45952</v>
      </c>
      <c r="D10254" t="inlineStr">
        <is>
          <t>VÄSTRA GÖTALANDS LÄN</t>
        </is>
      </c>
      <c r="E10254" t="inlineStr">
        <is>
          <t>MARK</t>
        </is>
      </c>
      <c r="G10254" t="n">
        <v>2</v>
      </c>
      <c r="H10254" t="n">
        <v>0</v>
      </c>
      <c r="I10254" t="n">
        <v>0</v>
      </c>
      <c r="J10254" t="n">
        <v>0</v>
      </c>
      <c r="K10254" t="n">
        <v>0</v>
      </c>
      <c r="L10254" t="n">
        <v>0</v>
      </c>
      <c r="M10254" t="n">
        <v>0</v>
      </c>
      <c r="N10254" t="n">
        <v>0</v>
      </c>
      <c r="O10254" t="n">
        <v>0</v>
      </c>
      <c r="P10254" t="n">
        <v>0</v>
      </c>
      <c r="Q10254" t="n">
        <v>0</v>
      </c>
      <c r="R10254" s="2" t="inlineStr"/>
    </row>
    <row r="10255" ht="15" customHeight="1">
      <c r="A10255" t="inlineStr">
        <is>
          <t>A 49866-2025</t>
        </is>
      </c>
      <c r="B10255" s="1" t="n">
        <v>45940.53121527778</v>
      </c>
      <c r="C10255" s="1" t="n">
        <v>45952</v>
      </c>
      <c r="D10255" t="inlineStr">
        <is>
          <t>VÄSTRA GÖTALANDS LÄN</t>
        </is>
      </c>
      <c r="E10255" t="inlineStr">
        <is>
          <t>KARLSBORG</t>
        </is>
      </c>
      <c r="G10255" t="n">
        <v>0.6</v>
      </c>
      <c r="H10255" t="n">
        <v>0</v>
      </c>
      <c r="I10255" t="n">
        <v>0</v>
      </c>
      <c r="J10255" t="n">
        <v>0</v>
      </c>
      <c r="K10255" t="n">
        <v>0</v>
      </c>
      <c r="L10255" t="n">
        <v>0</v>
      </c>
      <c r="M10255" t="n">
        <v>0</v>
      </c>
      <c r="N10255" t="n">
        <v>0</v>
      </c>
      <c r="O10255" t="n">
        <v>0</v>
      </c>
      <c r="P10255" t="n">
        <v>0</v>
      </c>
      <c r="Q10255" t="n">
        <v>0</v>
      </c>
      <c r="R10255" s="2" t="inlineStr"/>
    </row>
    <row r="10256" ht="15" customHeight="1">
      <c r="A10256" t="inlineStr">
        <is>
          <t>A 58251-2024</t>
        </is>
      </c>
      <c r="B10256" s="1" t="n">
        <v>45631</v>
      </c>
      <c r="C10256" s="1" t="n">
        <v>45952</v>
      </c>
      <c r="D10256" t="inlineStr">
        <is>
          <t>VÄSTRA GÖTALANDS LÄN</t>
        </is>
      </c>
      <c r="E10256" t="inlineStr">
        <is>
          <t>MUNKEDAL</t>
        </is>
      </c>
      <c r="G10256" t="n">
        <v>1</v>
      </c>
      <c r="H10256" t="n">
        <v>0</v>
      </c>
      <c r="I10256" t="n">
        <v>0</v>
      </c>
      <c r="J10256" t="n">
        <v>0</v>
      </c>
      <c r="K10256" t="n">
        <v>0</v>
      </c>
      <c r="L10256" t="n">
        <v>0</v>
      </c>
      <c r="M10256" t="n">
        <v>0</v>
      </c>
      <c r="N10256" t="n">
        <v>0</v>
      </c>
      <c r="O10256" t="n">
        <v>0</v>
      </c>
      <c r="P10256" t="n">
        <v>0</v>
      </c>
      <c r="Q10256" t="n">
        <v>0</v>
      </c>
      <c r="R10256" s="2" t="inlineStr"/>
    </row>
    <row r="10257" ht="15" customHeight="1">
      <c r="A10257" t="inlineStr">
        <is>
          <t>A 45420-2021</t>
        </is>
      </c>
      <c r="B10257" s="1" t="n">
        <v>44440</v>
      </c>
      <c r="C10257" s="1" t="n">
        <v>45952</v>
      </c>
      <c r="D10257" t="inlineStr">
        <is>
          <t>VÄSTRA GÖTALANDS LÄN</t>
        </is>
      </c>
      <c r="E10257" t="inlineStr">
        <is>
          <t>BENGTSFORS</t>
        </is>
      </c>
      <c r="G10257" t="n">
        <v>5.4</v>
      </c>
      <c r="H10257" t="n">
        <v>0</v>
      </c>
      <c r="I10257" t="n">
        <v>0</v>
      </c>
      <c r="J10257" t="n">
        <v>0</v>
      </c>
      <c r="K10257" t="n">
        <v>0</v>
      </c>
      <c r="L10257" t="n">
        <v>0</v>
      </c>
      <c r="M10257" t="n">
        <v>0</v>
      </c>
      <c r="N10257" t="n">
        <v>0</v>
      </c>
      <c r="O10257" t="n">
        <v>0</v>
      </c>
      <c r="P10257" t="n">
        <v>0</v>
      </c>
      <c r="Q10257" t="n">
        <v>0</v>
      </c>
      <c r="R10257" s="2" t="inlineStr"/>
    </row>
    <row r="10258" ht="15" customHeight="1">
      <c r="A10258" t="inlineStr">
        <is>
          <t>A 41278-2025</t>
        </is>
      </c>
      <c r="B10258" s="1" t="n">
        <v>45898.62895833333</v>
      </c>
      <c r="C10258" s="1" t="n">
        <v>45952</v>
      </c>
      <c r="D10258" t="inlineStr">
        <is>
          <t>VÄSTRA GÖTALANDS LÄN</t>
        </is>
      </c>
      <c r="E10258" t="inlineStr">
        <is>
          <t>VARA</t>
        </is>
      </c>
      <c r="G10258" t="n">
        <v>1</v>
      </c>
      <c r="H10258" t="n">
        <v>0</v>
      </c>
      <c r="I10258" t="n">
        <v>0</v>
      </c>
      <c r="J10258" t="n">
        <v>0</v>
      </c>
      <c r="K10258" t="n">
        <v>0</v>
      </c>
      <c r="L10258" t="n">
        <v>0</v>
      </c>
      <c r="M10258" t="n">
        <v>0</v>
      </c>
      <c r="N10258" t="n">
        <v>0</v>
      </c>
      <c r="O10258" t="n">
        <v>0</v>
      </c>
      <c r="P10258" t="n">
        <v>0</v>
      </c>
      <c r="Q10258" t="n">
        <v>0</v>
      </c>
      <c r="R10258" s="2" t="inlineStr"/>
    </row>
    <row r="10259" ht="15" customHeight="1">
      <c r="A10259" t="inlineStr">
        <is>
          <t>A 41289-2025</t>
        </is>
      </c>
      <c r="B10259" s="1" t="n">
        <v>45898.64099537037</v>
      </c>
      <c r="C10259" s="1" t="n">
        <v>45952</v>
      </c>
      <c r="D10259" t="inlineStr">
        <is>
          <t>VÄSTRA GÖTALANDS LÄN</t>
        </is>
      </c>
      <c r="E10259" t="inlineStr">
        <is>
          <t>SVENLJUNGA</t>
        </is>
      </c>
      <c r="G10259" t="n">
        <v>0.9</v>
      </c>
      <c r="H10259" t="n">
        <v>0</v>
      </c>
      <c r="I10259" t="n">
        <v>0</v>
      </c>
      <c r="J10259" t="n">
        <v>0</v>
      </c>
      <c r="K10259" t="n">
        <v>0</v>
      </c>
      <c r="L10259" t="n">
        <v>0</v>
      </c>
      <c r="M10259" t="n">
        <v>0</v>
      </c>
      <c r="N10259" t="n">
        <v>0</v>
      </c>
      <c r="O10259" t="n">
        <v>0</v>
      </c>
      <c r="P10259" t="n">
        <v>0</v>
      </c>
      <c r="Q10259" t="n">
        <v>0</v>
      </c>
      <c r="R10259" s="2" t="inlineStr"/>
    </row>
    <row r="10260" ht="15" customHeight="1">
      <c r="A10260" t="inlineStr">
        <is>
          <t>A 41347-2025</t>
        </is>
      </c>
      <c r="B10260" s="1" t="n">
        <v>45899.49072916667</v>
      </c>
      <c r="C10260" s="1" t="n">
        <v>45952</v>
      </c>
      <c r="D10260" t="inlineStr">
        <is>
          <t>VÄSTRA GÖTALANDS LÄN</t>
        </is>
      </c>
      <c r="E10260" t="inlineStr">
        <is>
          <t>TIDAHOLM</t>
        </is>
      </c>
      <c r="G10260" t="n">
        <v>2.4</v>
      </c>
      <c r="H10260" t="n">
        <v>0</v>
      </c>
      <c r="I10260" t="n">
        <v>0</v>
      </c>
      <c r="J10260" t="n">
        <v>0</v>
      </c>
      <c r="K10260" t="n">
        <v>0</v>
      </c>
      <c r="L10260" t="n">
        <v>0</v>
      </c>
      <c r="M10260" t="n">
        <v>0</v>
      </c>
      <c r="N10260" t="n">
        <v>0</v>
      </c>
      <c r="O10260" t="n">
        <v>0</v>
      </c>
      <c r="P10260" t="n">
        <v>0</v>
      </c>
      <c r="Q10260" t="n">
        <v>0</v>
      </c>
      <c r="R10260" s="2" t="inlineStr"/>
    </row>
    <row r="10261" ht="15" customHeight="1">
      <c r="A10261" t="inlineStr">
        <is>
          <t>A 25633-2025</t>
        </is>
      </c>
      <c r="B10261" s="1" t="n">
        <v>45803.59505787037</v>
      </c>
      <c r="C10261" s="1" t="n">
        <v>45952</v>
      </c>
      <c r="D10261" t="inlineStr">
        <is>
          <t>VÄSTRA GÖTALANDS LÄN</t>
        </is>
      </c>
      <c r="E10261" t="inlineStr">
        <is>
          <t>DALS-ED</t>
        </is>
      </c>
      <c r="G10261" t="n">
        <v>1.2</v>
      </c>
      <c r="H10261" t="n">
        <v>0</v>
      </c>
      <c r="I10261" t="n">
        <v>0</v>
      </c>
      <c r="J10261" t="n">
        <v>0</v>
      </c>
      <c r="K10261" t="n">
        <v>0</v>
      </c>
      <c r="L10261" t="n">
        <v>0</v>
      </c>
      <c r="M10261" t="n">
        <v>0</v>
      </c>
      <c r="N10261" t="n">
        <v>0</v>
      </c>
      <c r="O10261" t="n">
        <v>0</v>
      </c>
      <c r="P10261" t="n">
        <v>0</v>
      </c>
      <c r="Q10261" t="n">
        <v>0</v>
      </c>
      <c r="R10261" s="2" t="inlineStr"/>
    </row>
    <row r="10262" ht="15" customHeight="1">
      <c r="A10262" t="inlineStr">
        <is>
          <t>A 41162-2025</t>
        </is>
      </c>
      <c r="B10262" s="1" t="n">
        <v>45898.53216435185</v>
      </c>
      <c r="C10262" s="1" t="n">
        <v>45952</v>
      </c>
      <c r="D10262" t="inlineStr">
        <is>
          <t>VÄSTRA GÖTALANDS LÄN</t>
        </is>
      </c>
      <c r="E10262" t="inlineStr">
        <is>
          <t>MARK</t>
        </is>
      </c>
      <c r="G10262" t="n">
        <v>0.8</v>
      </c>
      <c r="H10262" t="n">
        <v>0</v>
      </c>
      <c r="I10262" t="n">
        <v>0</v>
      </c>
      <c r="J10262" t="n">
        <v>0</v>
      </c>
      <c r="K10262" t="n">
        <v>0</v>
      </c>
      <c r="L10262" t="n">
        <v>0</v>
      </c>
      <c r="M10262" t="n">
        <v>0</v>
      </c>
      <c r="N10262" t="n">
        <v>0</v>
      </c>
      <c r="O10262" t="n">
        <v>0</v>
      </c>
      <c r="P10262" t="n">
        <v>0</v>
      </c>
      <c r="Q10262" t="n">
        <v>0</v>
      </c>
      <c r="R10262" s="2" t="inlineStr"/>
    </row>
    <row r="10263" ht="15" customHeight="1">
      <c r="A10263" t="inlineStr">
        <is>
          <t>A 37098-2023</t>
        </is>
      </c>
      <c r="B10263" s="1" t="n">
        <v>45155</v>
      </c>
      <c r="C10263" s="1" t="n">
        <v>45952</v>
      </c>
      <c r="D10263" t="inlineStr">
        <is>
          <t>VÄSTRA GÖTALANDS LÄN</t>
        </is>
      </c>
      <c r="E10263" t="inlineStr">
        <is>
          <t>LIDKÖPING</t>
        </is>
      </c>
      <c r="G10263" t="n">
        <v>4.8</v>
      </c>
      <c r="H10263" t="n">
        <v>0</v>
      </c>
      <c r="I10263" t="n">
        <v>0</v>
      </c>
      <c r="J10263" t="n">
        <v>0</v>
      </c>
      <c r="K10263" t="n">
        <v>0</v>
      </c>
      <c r="L10263" t="n">
        <v>0</v>
      </c>
      <c r="M10263" t="n">
        <v>0</v>
      </c>
      <c r="N10263" t="n">
        <v>0</v>
      </c>
      <c r="O10263" t="n">
        <v>0</v>
      </c>
      <c r="P10263" t="n">
        <v>0</v>
      </c>
      <c r="Q10263" t="n">
        <v>0</v>
      </c>
      <c r="R10263" s="2" t="inlineStr"/>
    </row>
    <row r="10264" ht="15" customHeight="1">
      <c r="A10264" t="inlineStr">
        <is>
          <t>A 37122-2023</t>
        </is>
      </c>
      <c r="B10264" s="1" t="n">
        <v>45155</v>
      </c>
      <c r="C10264" s="1" t="n">
        <v>45952</v>
      </c>
      <c r="D10264" t="inlineStr">
        <is>
          <t>VÄSTRA GÖTALANDS LÄN</t>
        </is>
      </c>
      <c r="E10264" t="inlineStr">
        <is>
          <t>BORÅS</t>
        </is>
      </c>
      <c r="G10264" t="n">
        <v>0.7</v>
      </c>
      <c r="H10264" t="n">
        <v>0</v>
      </c>
      <c r="I10264" t="n">
        <v>0</v>
      </c>
      <c r="J10264" t="n">
        <v>0</v>
      </c>
      <c r="K10264" t="n">
        <v>0</v>
      </c>
      <c r="L10264" t="n">
        <v>0</v>
      </c>
      <c r="M10264" t="n">
        <v>0</v>
      </c>
      <c r="N10264" t="n">
        <v>0</v>
      </c>
      <c r="O10264" t="n">
        <v>0</v>
      </c>
      <c r="P10264" t="n">
        <v>0</v>
      </c>
      <c r="Q10264" t="n">
        <v>0</v>
      </c>
      <c r="R10264" s="2" t="inlineStr"/>
    </row>
    <row r="10265" ht="15" customHeight="1">
      <c r="A10265" t="inlineStr">
        <is>
          <t>A 21800-2023</t>
        </is>
      </c>
      <c r="B10265" s="1" t="n">
        <v>45067.85023148148</v>
      </c>
      <c r="C10265" s="1" t="n">
        <v>45952</v>
      </c>
      <c r="D10265" t="inlineStr">
        <is>
          <t>VÄSTRA GÖTALANDS LÄN</t>
        </is>
      </c>
      <c r="E10265" t="inlineStr">
        <is>
          <t>HÄRRYDA</t>
        </is>
      </c>
      <c r="G10265" t="n">
        <v>3.8</v>
      </c>
      <c r="H10265" t="n">
        <v>0</v>
      </c>
      <c r="I10265" t="n">
        <v>0</v>
      </c>
      <c r="J10265" t="n">
        <v>0</v>
      </c>
      <c r="K10265" t="n">
        <v>0</v>
      </c>
      <c r="L10265" t="n">
        <v>0</v>
      </c>
      <c r="M10265" t="n">
        <v>0</v>
      </c>
      <c r="N10265" t="n">
        <v>0</v>
      </c>
      <c r="O10265" t="n">
        <v>0</v>
      </c>
      <c r="P10265" t="n">
        <v>0</v>
      </c>
      <c r="Q10265" t="n">
        <v>0</v>
      </c>
      <c r="R10265" s="2" t="inlineStr"/>
    </row>
    <row r="10266" ht="15" customHeight="1">
      <c r="A10266" t="inlineStr">
        <is>
          <t>A 21865-2023</t>
        </is>
      </c>
      <c r="B10266" s="1" t="n">
        <v>45068.46453703703</v>
      </c>
      <c r="C10266" s="1" t="n">
        <v>45952</v>
      </c>
      <c r="D10266" t="inlineStr">
        <is>
          <t>VÄSTRA GÖTALANDS LÄN</t>
        </is>
      </c>
      <c r="E10266" t="inlineStr">
        <is>
          <t>DALS-ED</t>
        </is>
      </c>
      <c r="G10266" t="n">
        <v>1.1</v>
      </c>
      <c r="H10266" t="n">
        <v>0</v>
      </c>
      <c r="I10266" t="n">
        <v>0</v>
      </c>
      <c r="J10266" t="n">
        <v>0</v>
      </c>
      <c r="K10266" t="n">
        <v>0</v>
      </c>
      <c r="L10266" t="n">
        <v>0</v>
      </c>
      <c r="M10266" t="n">
        <v>0</v>
      </c>
      <c r="N10266" t="n">
        <v>0</v>
      </c>
      <c r="O10266" t="n">
        <v>0</v>
      </c>
      <c r="P10266" t="n">
        <v>0</v>
      </c>
      <c r="Q10266" t="n">
        <v>0</v>
      </c>
      <c r="R10266" s="2" t="inlineStr"/>
    </row>
    <row r="10267" ht="15" customHeight="1">
      <c r="A10267" t="inlineStr">
        <is>
          <t>A 55763-2023</t>
        </is>
      </c>
      <c r="B10267" s="1" t="n">
        <v>45239.47608796296</v>
      </c>
      <c r="C10267" s="1" t="n">
        <v>45952</v>
      </c>
      <c r="D10267" t="inlineStr">
        <is>
          <t>VÄSTRA GÖTALANDS LÄN</t>
        </is>
      </c>
      <c r="E10267" t="inlineStr">
        <is>
          <t>ULRICEHAMN</t>
        </is>
      </c>
      <c r="G10267" t="n">
        <v>0.4</v>
      </c>
      <c r="H10267" t="n">
        <v>0</v>
      </c>
      <c r="I10267" t="n">
        <v>0</v>
      </c>
      <c r="J10267" t="n">
        <v>0</v>
      </c>
      <c r="K10267" t="n">
        <v>0</v>
      </c>
      <c r="L10267" t="n">
        <v>0</v>
      </c>
      <c r="M10267" t="n">
        <v>0</v>
      </c>
      <c r="N10267" t="n">
        <v>0</v>
      </c>
      <c r="O10267" t="n">
        <v>0</v>
      </c>
      <c r="P10267" t="n">
        <v>0</v>
      </c>
      <c r="Q10267" t="n">
        <v>0</v>
      </c>
      <c r="R10267" s="2" t="inlineStr"/>
    </row>
    <row r="10268" ht="15" customHeight="1">
      <c r="A10268" t="inlineStr">
        <is>
          <t>A 3769-2025</t>
        </is>
      </c>
      <c r="B10268" s="1" t="n">
        <v>45681.60335648148</v>
      </c>
      <c r="C10268" s="1" t="n">
        <v>45952</v>
      </c>
      <c r="D10268" t="inlineStr">
        <is>
          <t>VÄSTRA GÖTALANDS LÄN</t>
        </is>
      </c>
      <c r="E10268" t="inlineStr">
        <is>
          <t>ALINGSÅS</t>
        </is>
      </c>
      <c r="G10268" t="n">
        <v>1.5</v>
      </c>
      <c r="H10268" t="n">
        <v>0</v>
      </c>
      <c r="I10268" t="n">
        <v>0</v>
      </c>
      <c r="J10268" t="n">
        <v>0</v>
      </c>
      <c r="K10268" t="n">
        <v>0</v>
      </c>
      <c r="L10268" t="n">
        <v>0</v>
      </c>
      <c r="M10268" t="n">
        <v>0</v>
      </c>
      <c r="N10268" t="n">
        <v>0</v>
      </c>
      <c r="O10268" t="n">
        <v>0</v>
      </c>
      <c r="P10268" t="n">
        <v>0</v>
      </c>
      <c r="Q10268" t="n">
        <v>0</v>
      </c>
      <c r="R10268" s="2" t="inlineStr"/>
    </row>
    <row r="10269" ht="15" customHeight="1">
      <c r="A10269" t="inlineStr">
        <is>
          <t>A 49843-2025</t>
        </is>
      </c>
      <c r="B10269" s="1" t="n">
        <v>45940.47415509259</v>
      </c>
      <c r="C10269" s="1" t="n">
        <v>45952</v>
      </c>
      <c r="D10269" t="inlineStr">
        <is>
          <t>VÄSTRA GÖTALANDS LÄN</t>
        </is>
      </c>
      <c r="E10269" t="inlineStr">
        <is>
          <t>ALINGSÅS</t>
        </is>
      </c>
      <c r="G10269" t="n">
        <v>2.1</v>
      </c>
      <c r="H10269" t="n">
        <v>0</v>
      </c>
      <c r="I10269" t="n">
        <v>0</v>
      </c>
      <c r="J10269" t="n">
        <v>0</v>
      </c>
      <c r="K10269" t="n">
        <v>0</v>
      </c>
      <c r="L10269" t="n">
        <v>0</v>
      </c>
      <c r="M10269" t="n">
        <v>0</v>
      </c>
      <c r="N10269" t="n">
        <v>0</v>
      </c>
      <c r="O10269" t="n">
        <v>0</v>
      </c>
      <c r="P10269" t="n">
        <v>0</v>
      </c>
      <c r="Q10269" t="n">
        <v>0</v>
      </c>
      <c r="R10269" s="2" t="inlineStr"/>
    </row>
    <row r="10270" ht="15" customHeight="1">
      <c r="A10270" t="inlineStr">
        <is>
          <t>A 49851-2025</t>
        </is>
      </c>
      <c r="B10270" s="1" t="n">
        <v>45940.49237268518</v>
      </c>
      <c r="C10270" s="1" t="n">
        <v>45952</v>
      </c>
      <c r="D10270" t="inlineStr">
        <is>
          <t>VÄSTRA GÖTALANDS LÄN</t>
        </is>
      </c>
      <c r="E10270" t="inlineStr">
        <is>
          <t>BENGTSFORS</t>
        </is>
      </c>
      <c r="F10270" t="inlineStr">
        <is>
          <t>Övriga Aktiebolag</t>
        </is>
      </c>
      <c r="G10270" t="n">
        <v>10.5</v>
      </c>
      <c r="H10270" t="n">
        <v>0</v>
      </c>
      <c r="I10270" t="n">
        <v>0</v>
      </c>
      <c r="J10270" t="n">
        <v>0</v>
      </c>
      <c r="K10270" t="n">
        <v>0</v>
      </c>
      <c r="L10270" t="n">
        <v>0</v>
      </c>
      <c r="M10270" t="n">
        <v>0</v>
      </c>
      <c r="N10270" t="n">
        <v>0</v>
      </c>
      <c r="O10270" t="n">
        <v>0</v>
      </c>
      <c r="P10270" t="n">
        <v>0</v>
      </c>
      <c r="Q10270" t="n">
        <v>0</v>
      </c>
      <c r="R10270" s="2" t="inlineStr"/>
    </row>
    <row r="10271" ht="15" customHeight="1">
      <c r="A10271" t="inlineStr">
        <is>
          <t>A 49853-2025</t>
        </is>
      </c>
      <c r="B10271" s="1" t="n">
        <v>45940.49908564815</v>
      </c>
      <c r="C10271" s="1" t="n">
        <v>45952</v>
      </c>
      <c r="D10271" t="inlineStr">
        <is>
          <t>VÄSTRA GÖTALANDS LÄN</t>
        </is>
      </c>
      <c r="E10271" t="inlineStr">
        <is>
          <t>BENGTSFORS</t>
        </is>
      </c>
      <c r="F10271" t="inlineStr">
        <is>
          <t>Övriga Aktiebolag</t>
        </is>
      </c>
      <c r="G10271" t="n">
        <v>1.4</v>
      </c>
      <c r="H10271" t="n">
        <v>0</v>
      </c>
      <c r="I10271" t="n">
        <v>0</v>
      </c>
      <c r="J10271" t="n">
        <v>0</v>
      </c>
      <c r="K10271" t="n">
        <v>0</v>
      </c>
      <c r="L10271" t="n">
        <v>0</v>
      </c>
      <c r="M10271" t="n">
        <v>0</v>
      </c>
      <c r="N10271" t="n">
        <v>0</v>
      </c>
      <c r="O10271" t="n">
        <v>0</v>
      </c>
      <c r="P10271" t="n">
        <v>0</v>
      </c>
      <c r="Q10271" t="n">
        <v>0</v>
      </c>
      <c r="R10271" s="2" t="inlineStr"/>
    </row>
    <row r="10272" ht="15" customHeight="1">
      <c r="A10272" t="inlineStr">
        <is>
          <t>A 49864-2025</t>
        </is>
      </c>
      <c r="B10272" s="1" t="n">
        <v>45940.52149305555</v>
      </c>
      <c r="C10272" s="1" t="n">
        <v>45952</v>
      </c>
      <c r="D10272" t="inlineStr">
        <is>
          <t>VÄSTRA GÖTALANDS LÄN</t>
        </is>
      </c>
      <c r="E10272" t="inlineStr">
        <is>
          <t>KARLSBORG</t>
        </is>
      </c>
      <c r="G10272" t="n">
        <v>1.1</v>
      </c>
      <c r="H10272" t="n">
        <v>0</v>
      </c>
      <c r="I10272" t="n">
        <v>0</v>
      </c>
      <c r="J10272" t="n">
        <v>0</v>
      </c>
      <c r="K10272" t="n">
        <v>0</v>
      </c>
      <c r="L10272" t="n">
        <v>0</v>
      </c>
      <c r="M10272" t="n">
        <v>0</v>
      </c>
      <c r="N10272" t="n">
        <v>0</v>
      </c>
      <c r="O10272" t="n">
        <v>0</v>
      </c>
      <c r="P10272" t="n">
        <v>0</v>
      </c>
      <c r="Q10272" t="n">
        <v>0</v>
      </c>
      <c r="R10272" s="2" t="inlineStr"/>
    </row>
    <row r="10273" ht="15" customHeight="1">
      <c r="A10273" t="inlineStr">
        <is>
          <t>A 49901-2025</t>
        </is>
      </c>
      <c r="B10273" s="1" t="n">
        <v>45940.59416666667</v>
      </c>
      <c r="C10273" s="1" t="n">
        <v>45952</v>
      </c>
      <c r="D10273" t="inlineStr">
        <is>
          <t>VÄSTRA GÖTALANDS LÄN</t>
        </is>
      </c>
      <c r="E10273" t="inlineStr">
        <is>
          <t>DALS-ED</t>
        </is>
      </c>
      <c r="G10273" t="n">
        <v>1.1</v>
      </c>
      <c r="H10273" t="n">
        <v>0</v>
      </c>
      <c r="I10273" t="n">
        <v>0</v>
      </c>
      <c r="J10273" t="n">
        <v>0</v>
      </c>
      <c r="K10273" t="n">
        <v>0</v>
      </c>
      <c r="L10273" t="n">
        <v>0</v>
      </c>
      <c r="M10273" t="n">
        <v>0</v>
      </c>
      <c r="N10273" t="n">
        <v>0</v>
      </c>
      <c r="O10273" t="n">
        <v>0</v>
      </c>
      <c r="P10273" t="n">
        <v>0</v>
      </c>
      <c r="Q10273" t="n">
        <v>0</v>
      </c>
      <c r="R10273" s="2" t="inlineStr"/>
    </row>
    <row r="10274" ht="15" customHeight="1">
      <c r="A10274" t="inlineStr">
        <is>
          <t>A 49906-2025</t>
        </is>
      </c>
      <c r="B10274" s="1" t="n">
        <v>45940.59814814815</v>
      </c>
      <c r="C10274" s="1" t="n">
        <v>45952</v>
      </c>
      <c r="D10274" t="inlineStr">
        <is>
          <t>VÄSTRA GÖTALANDS LÄN</t>
        </is>
      </c>
      <c r="E10274" t="inlineStr">
        <is>
          <t>LIDKÖPING</t>
        </is>
      </c>
      <c r="G10274" t="n">
        <v>3.2</v>
      </c>
      <c r="H10274" t="n">
        <v>0</v>
      </c>
      <c r="I10274" t="n">
        <v>0</v>
      </c>
      <c r="J10274" t="n">
        <v>0</v>
      </c>
      <c r="K10274" t="n">
        <v>0</v>
      </c>
      <c r="L10274" t="n">
        <v>0</v>
      </c>
      <c r="M10274" t="n">
        <v>0</v>
      </c>
      <c r="N10274" t="n">
        <v>0</v>
      </c>
      <c r="O10274" t="n">
        <v>0</v>
      </c>
      <c r="P10274" t="n">
        <v>0</v>
      </c>
      <c r="Q10274" t="n">
        <v>0</v>
      </c>
      <c r="R10274" s="2" t="inlineStr"/>
    </row>
    <row r="10275" ht="15" customHeight="1">
      <c r="A10275" t="inlineStr">
        <is>
          <t>A 68488-2020</t>
        </is>
      </c>
      <c r="B10275" s="1" t="n">
        <v>44186</v>
      </c>
      <c r="C10275" s="1" t="n">
        <v>45952</v>
      </c>
      <c r="D10275" t="inlineStr">
        <is>
          <t>VÄSTRA GÖTALANDS LÄN</t>
        </is>
      </c>
      <c r="E10275" t="inlineStr">
        <is>
          <t>TROLLHÄTTAN</t>
        </is>
      </c>
      <c r="G10275" t="n">
        <v>7.2</v>
      </c>
      <c r="H10275" t="n">
        <v>0</v>
      </c>
      <c r="I10275" t="n">
        <v>0</v>
      </c>
      <c r="J10275" t="n">
        <v>0</v>
      </c>
      <c r="K10275" t="n">
        <v>0</v>
      </c>
      <c r="L10275" t="n">
        <v>0</v>
      </c>
      <c r="M10275" t="n">
        <v>0</v>
      </c>
      <c r="N10275" t="n">
        <v>0</v>
      </c>
      <c r="O10275" t="n">
        <v>0</v>
      </c>
      <c r="P10275" t="n">
        <v>0</v>
      </c>
      <c r="Q10275" t="n">
        <v>0</v>
      </c>
      <c r="R10275" s="2" t="inlineStr"/>
    </row>
    <row r="10276" ht="15" customHeight="1">
      <c r="A10276" t="inlineStr">
        <is>
          <t>A 16538-2025</t>
        </is>
      </c>
      <c r="B10276" s="1" t="n">
        <v>45751.66126157407</v>
      </c>
      <c r="C10276" s="1" t="n">
        <v>45952</v>
      </c>
      <c r="D10276" t="inlineStr">
        <is>
          <t>VÄSTRA GÖTALANDS LÄN</t>
        </is>
      </c>
      <c r="E10276" t="inlineStr">
        <is>
          <t>KUNGÄLV</t>
        </is>
      </c>
      <c r="G10276" t="n">
        <v>0.8</v>
      </c>
      <c r="H10276" t="n">
        <v>0</v>
      </c>
      <c r="I10276" t="n">
        <v>0</v>
      </c>
      <c r="J10276" t="n">
        <v>0</v>
      </c>
      <c r="K10276" t="n">
        <v>0</v>
      </c>
      <c r="L10276" t="n">
        <v>0</v>
      </c>
      <c r="M10276" t="n">
        <v>0</v>
      </c>
      <c r="N10276" t="n">
        <v>0</v>
      </c>
      <c r="O10276" t="n">
        <v>0</v>
      </c>
      <c r="P10276" t="n">
        <v>0</v>
      </c>
      <c r="Q10276" t="n">
        <v>0</v>
      </c>
      <c r="R10276" s="2" t="inlineStr"/>
    </row>
    <row r="10277" ht="15" customHeight="1">
      <c r="A10277" t="inlineStr">
        <is>
          <t>A 50161-2025</t>
        </is>
      </c>
      <c r="B10277" s="1" t="n">
        <v>45943.5865162037</v>
      </c>
      <c r="C10277" s="1" t="n">
        <v>45952</v>
      </c>
      <c r="D10277" t="inlineStr">
        <is>
          <t>VÄSTRA GÖTALANDS LÄN</t>
        </is>
      </c>
      <c r="E10277" t="inlineStr">
        <is>
          <t>TANUM</t>
        </is>
      </c>
      <c r="G10277" t="n">
        <v>1.5</v>
      </c>
      <c r="H10277" t="n">
        <v>0</v>
      </c>
      <c r="I10277" t="n">
        <v>0</v>
      </c>
      <c r="J10277" t="n">
        <v>0</v>
      </c>
      <c r="K10277" t="n">
        <v>0</v>
      </c>
      <c r="L10277" t="n">
        <v>0</v>
      </c>
      <c r="M10277" t="n">
        <v>0</v>
      </c>
      <c r="N10277" t="n">
        <v>0</v>
      </c>
      <c r="O10277" t="n">
        <v>0</v>
      </c>
      <c r="P10277" t="n">
        <v>0</v>
      </c>
      <c r="Q10277" t="n">
        <v>0</v>
      </c>
      <c r="R10277" s="2" t="inlineStr"/>
    </row>
    <row r="10278" ht="15" customHeight="1">
      <c r="A10278" t="inlineStr">
        <is>
          <t>A 55547-2023</t>
        </is>
      </c>
      <c r="B10278" s="1" t="n">
        <v>45238</v>
      </c>
      <c r="C10278" s="1" t="n">
        <v>45952</v>
      </c>
      <c r="D10278" t="inlineStr">
        <is>
          <t>VÄSTRA GÖTALANDS LÄN</t>
        </is>
      </c>
      <c r="E10278" t="inlineStr">
        <is>
          <t>SVENLJUNGA</t>
        </is>
      </c>
      <c r="G10278" t="n">
        <v>2.5</v>
      </c>
      <c r="H10278" t="n">
        <v>0</v>
      </c>
      <c r="I10278" t="n">
        <v>0</v>
      </c>
      <c r="J10278" t="n">
        <v>0</v>
      </c>
      <c r="K10278" t="n">
        <v>0</v>
      </c>
      <c r="L10278" t="n">
        <v>0</v>
      </c>
      <c r="M10278" t="n">
        <v>0</v>
      </c>
      <c r="N10278" t="n">
        <v>0</v>
      </c>
      <c r="O10278" t="n">
        <v>0</v>
      </c>
      <c r="P10278" t="n">
        <v>0</v>
      </c>
      <c r="Q10278" t="n">
        <v>0</v>
      </c>
      <c r="R10278" s="2" t="inlineStr"/>
    </row>
    <row r="10279" ht="15" customHeight="1">
      <c r="A10279" t="inlineStr">
        <is>
          <t>A 25634-2025</t>
        </is>
      </c>
      <c r="B10279" s="1" t="n">
        <v>45803.59570601852</v>
      </c>
      <c r="C10279" s="1" t="n">
        <v>45952</v>
      </c>
      <c r="D10279" t="inlineStr">
        <is>
          <t>VÄSTRA GÖTALANDS LÄN</t>
        </is>
      </c>
      <c r="E10279" t="inlineStr">
        <is>
          <t>GÖTEBORG</t>
        </is>
      </c>
      <c r="G10279" t="n">
        <v>6</v>
      </c>
      <c r="H10279" t="n">
        <v>0</v>
      </c>
      <c r="I10279" t="n">
        <v>0</v>
      </c>
      <c r="J10279" t="n">
        <v>0</v>
      </c>
      <c r="K10279" t="n">
        <v>0</v>
      </c>
      <c r="L10279" t="n">
        <v>0</v>
      </c>
      <c r="M10279" t="n">
        <v>0</v>
      </c>
      <c r="N10279" t="n">
        <v>0</v>
      </c>
      <c r="O10279" t="n">
        <v>0</v>
      </c>
      <c r="P10279" t="n">
        <v>0</v>
      </c>
      <c r="Q10279" t="n">
        <v>0</v>
      </c>
      <c r="R10279" s="2" t="inlineStr"/>
    </row>
    <row r="10280" ht="15" customHeight="1">
      <c r="A10280" t="inlineStr">
        <is>
          <t>A 25338-2025</t>
        </is>
      </c>
      <c r="B10280" s="1" t="n">
        <v>45800.59861111111</v>
      </c>
      <c r="C10280" s="1" t="n">
        <v>45952</v>
      </c>
      <c r="D10280" t="inlineStr">
        <is>
          <t>VÄSTRA GÖTALANDS LÄN</t>
        </is>
      </c>
      <c r="E10280" t="inlineStr">
        <is>
          <t>BORÅS</t>
        </is>
      </c>
      <c r="G10280" t="n">
        <v>0.6</v>
      </c>
      <c r="H10280" t="n">
        <v>0</v>
      </c>
      <c r="I10280" t="n">
        <v>0</v>
      </c>
      <c r="J10280" t="n">
        <v>0</v>
      </c>
      <c r="K10280" t="n">
        <v>0</v>
      </c>
      <c r="L10280" t="n">
        <v>0</v>
      </c>
      <c r="M10280" t="n">
        <v>0</v>
      </c>
      <c r="N10280" t="n">
        <v>0</v>
      </c>
      <c r="O10280" t="n">
        <v>0</v>
      </c>
      <c r="P10280" t="n">
        <v>0</v>
      </c>
      <c r="Q10280" t="n">
        <v>0</v>
      </c>
      <c r="R10280" s="2" t="inlineStr"/>
    </row>
    <row r="10281" ht="15" customHeight="1">
      <c r="A10281" t="inlineStr">
        <is>
          <t>A 25407-2025</t>
        </is>
      </c>
      <c r="B10281" s="1" t="n">
        <v>45800.6600925926</v>
      </c>
      <c r="C10281" s="1" t="n">
        <v>45952</v>
      </c>
      <c r="D10281" t="inlineStr">
        <is>
          <t>VÄSTRA GÖTALANDS LÄN</t>
        </is>
      </c>
      <c r="E10281" t="inlineStr">
        <is>
          <t>SKARA</t>
        </is>
      </c>
      <c r="G10281" t="n">
        <v>2.1</v>
      </c>
      <c r="H10281" t="n">
        <v>0</v>
      </c>
      <c r="I10281" t="n">
        <v>0</v>
      </c>
      <c r="J10281" t="n">
        <v>0</v>
      </c>
      <c r="K10281" t="n">
        <v>0</v>
      </c>
      <c r="L10281" t="n">
        <v>0</v>
      </c>
      <c r="M10281" t="n">
        <v>0</v>
      </c>
      <c r="N10281" t="n">
        <v>0</v>
      </c>
      <c r="O10281" t="n">
        <v>0</v>
      </c>
      <c r="P10281" t="n">
        <v>0</v>
      </c>
      <c r="Q10281" t="n">
        <v>0</v>
      </c>
      <c r="R10281" s="2" t="inlineStr"/>
    </row>
    <row r="10282" ht="15" customHeight="1">
      <c r="A10282" t="inlineStr">
        <is>
          <t>A 41567-2025</t>
        </is>
      </c>
      <c r="B10282" s="1" t="n">
        <v>45901.60652777777</v>
      </c>
      <c r="C10282" s="1" t="n">
        <v>45952</v>
      </c>
      <c r="D10282" t="inlineStr">
        <is>
          <t>VÄSTRA GÖTALANDS LÄN</t>
        </is>
      </c>
      <c r="E10282" t="inlineStr">
        <is>
          <t>UDDEVALLA</t>
        </is>
      </c>
      <c r="G10282" t="n">
        <v>4.7</v>
      </c>
      <c r="H10282" t="n">
        <v>0</v>
      </c>
      <c r="I10282" t="n">
        <v>0</v>
      </c>
      <c r="J10282" t="n">
        <v>0</v>
      </c>
      <c r="K10282" t="n">
        <v>0</v>
      </c>
      <c r="L10282" t="n">
        <v>0</v>
      </c>
      <c r="M10282" t="n">
        <v>0</v>
      </c>
      <c r="N10282" t="n">
        <v>0</v>
      </c>
      <c r="O10282" t="n">
        <v>0</v>
      </c>
      <c r="P10282" t="n">
        <v>0</v>
      </c>
      <c r="Q10282" t="n">
        <v>0</v>
      </c>
      <c r="R10282" s="2" t="inlineStr"/>
    </row>
    <row r="10283" ht="15" customHeight="1">
      <c r="A10283" t="inlineStr">
        <is>
          <t>A 41593-2025</t>
        </is>
      </c>
      <c r="B10283" s="1" t="n">
        <v>45901.63788194444</v>
      </c>
      <c r="C10283" s="1" t="n">
        <v>45952</v>
      </c>
      <c r="D10283" t="inlineStr">
        <is>
          <t>VÄSTRA GÖTALANDS LÄN</t>
        </is>
      </c>
      <c r="E10283" t="inlineStr">
        <is>
          <t>VÅRGÅRDA</t>
        </is>
      </c>
      <c r="G10283" t="n">
        <v>1.7</v>
      </c>
      <c r="H10283" t="n">
        <v>0</v>
      </c>
      <c r="I10283" t="n">
        <v>0</v>
      </c>
      <c r="J10283" t="n">
        <v>0</v>
      </c>
      <c r="K10283" t="n">
        <v>0</v>
      </c>
      <c r="L10283" t="n">
        <v>0</v>
      </c>
      <c r="M10283" t="n">
        <v>0</v>
      </c>
      <c r="N10283" t="n">
        <v>0</v>
      </c>
      <c r="O10283" t="n">
        <v>0</v>
      </c>
      <c r="P10283" t="n">
        <v>0</v>
      </c>
      <c r="Q10283" t="n">
        <v>0</v>
      </c>
      <c r="R10283" s="2" t="inlineStr"/>
    </row>
    <row r="10284" ht="15" customHeight="1">
      <c r="A10284" t="inlineStr">
        <is>
          <t>A 25128-2025</t>
        </is>
      </c>
      <c r="B10284" s="1" t="n">
        <v>45800.37969907407</v>
      </c>
      <c r="C10284" s="1" t="n">
        <v>45952</v>
      </c>
      <c r="D10284" t="inlineStr">
        <is>
          <t>VÄSTRA GÖTALANDS LÄN</t>
        </is>
      </c>
      <c r="E10284" t="inlineStr">
        <is>
          <t>VARA</t>
        </is>
      </c>
      <c r="G10284" t="n">
        <v>6.7</v>
      </c>
      <c r="H10284" t="n">
        <v>0</v>
      </c>
      <c r="I10284" t="n">
        <v>0</v>
      </c>
      <c r="J10284" t="n">
        <v>0</v>
      </c>
      <c r="K10284" t="n">
        <v>0</v>
      </c>
      <c r="L10284" t="n">
        <v>0</v>
      </c>
      <c r="M10284" t="n">
        <v>0</v>
      </c>
      <c r="N10284" t="n">
        <v>0</v>
      </c>
      <c r="O10284" t="n">
        <v>0</v>
      </c>
      <c r="P10284" t="n">
        <v>0</v>
      </c>
      <c r="Q10284" t="n">
        <v>0</v>
      </c>
      <c r="R10284" s="2" t="inlineStr"/>
    </row>
    <row r="10285" ht="15" customHeight="1">
      <c r="A10285" t="inlineStr">
        <is>
          <t>A 25359-2025</t>
        </is>
      </c>
      <c r="B10285" s="1" t="n">
        <v>45800.61756944445</v>
      </c>
      <c r="C10285" s="1" t="n">
        <v>45952</v>
      </c>
      <c r="D10285" t="inlineStr">
        <is>
          <t>VÄSTRA GÖTALANDS LÄN</t>
        </is>
      </c>
      <c r="E10285" t="inlineStr">
        <is>
          <t>VARA</t>
        </is>
      </c>
      <c r="G10285" t="n">
        <v>3</v>
      </c>
      <c r="H10285" t="n">
        <v>0</v>
      </c>
      <c r="I10285" t="n">
        <v>0</v>
      </c>
      <c r="J10285" t="n">
        <v>0</v>
      </c>
      <c r="K10285" t="n">
        <v>0</v>
      </c>
      <c r="L10285" t="n">
        <v>0</v>
      </c>
      <c r="M10285" t="n">
        <v>0</v>
      </c>
      <c r="N10285" t="n">
        <v>0</v>
      </c>
      <c r="O10285" t="n">
        <v>0</v>
      </c>
      <c r="P10285" t="n">
        <v>0</v>
      </c>
      <c r="Q10285" t="n">
        <v>0</v>
      </c>
      <c r="R10285" s="2" t="inlineStr"/>
    </row>
    <row r="10286" ht="15" customHeight="1">
      <c r="A10286" t="inlineStr">
        <is>
          <t>A 48358-2025</t>
        </is>
      </c>
      <c r="B10286" s="1" t="n">
        <v>45933</v>
      </c>
      <c r="C10286" s="1" t="n">
        <v>45952</v>
      </c>
      <c r="D10286" t="inlineStr">
        <is>
          <t>VÄSTRA GÖTALANDS LÄN</t>
        </is>
      </c>
      <c r="E10286" t="inlineStr">
        <is>
          <t>ULRICEHAMN</t>
        </is>
      </c>
      <c r="G10286" t="n">
        <v>0.5</v>
      </c>
      <c r="H10286" t="n">
        <v>0</v>
      </c>
      <c r="I10286" t="n">
        <v>0</v>
      </c>
      <c r="J10286" t="n">
        <v>0</v>
      </c>
      <c r="K10286" t="n">
        <v>0</v>
      </c>
      <c r="L10286" t="n">
        <v>0</v>
      </c>
      <c r="M10286" t="n">
        <v>0</v>
      </c>
      <c r="N10286" t="n">
        <v>0</v>
      </c>
      <c r="O10286" t="n">
        <v>0</v>
      </c>
      <c r="P10286" t="n">
        <v>0</v>
      </c>
      <c r="Q10286" t="n">
        <v>0</v>
      </c>
      <c r="R10286" s="2" t="inlineStr"/>
    </row>
    <row r="10287" ht="15" customHeight="1">
      <c r="A10287" t="inlineStr">
        <is>
          <t>A 25435-2025</t>
        </is>
      </c>
      <c r="B10287" s="1" t="n">
        <v>45800.81108796296</v>
      </c>
      <c r="C10287" s="1" t="n">
        <v>45952</v>
      </c>
      <c r="D10287" t="inlineStr">
        <is>
          <t>VÄSTRA GÖTALANDS LÄN</t>
        </is>
      </c>
      <c r="E10287" t="inlineStr">
        <is>
          <t>GÖTENE</t>
        </is>
      </c>
      <c r="G10287" t="n">
        <v>3</v>
      </c>
      <c r="H10287" t="n">
        <v>0</v>
      </c>
      <c r="I10287" t="n">
        <v>0</v>
      </c>
      <c r="J10287" t="n">
        <v>0</v>
      </c>
      <c r="K10287" t="n">
        <v>0</v>
      </c>
      <c r="L10287" t="n">
        <v>0</v>
      </c>
      <c r="M10287" t="n">
        <v>0</v>
      </c>
      <c r="N10287" t="n">
        <v>0</v>
      </c>
      <c r="O10287" t="n">
        <v>0</v>
      </c>
      <c r="P10287" t="n">
        <v>0</v>
      </c>
      <c r="Q10287" t="n">
        <v>0</v>
      </c>
      <c r="R10287" s="2" t="inlineStr"/>
    </row>
    <row r="10288" ht="15" customHeight="1">
      <c r="A10288" t="inlineStr">
        <is>
          <t>A 25336-2025</t>
        </is>
      </c>
      <c r="B10288" s="1" t="n">
        <v>45800.5974074074</v>
      </c>
      <c r="C10288" s="1" t="n">
        <v>45952</v>
      </c>
      <c r="D10288" t="inlineStr">
        <is>
          <t>VÄSTRA GÖTALANDS LÄN</t>
        </is>
      </c>
      <c r="E10288" t="inlineStr">
        <is>
          <t>UDDEVALLA</t>
        </is>
      </c>
      <c r="G10288" t="n">
        <v>19.5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25496-2025</t>
        </is>
      </c>
      <c r="B10289" s="1" t="n">
        <v>45803.3384375</v>
      </c>
      <c r="C10289" s="1" t="n">
        <v>45952</v>
      </c>
      <c r="D10289" t="inlineStr">
        <is>
          <t>VÄSTRA GÖTALANDS LÄN</t>
        </is>
      </c>
      <c r="E10289" t="inlineStr">
        <is>
          <t>HERRLJUNGA</t>
        </is>
      </c>
      <c r="G10289" t="n">
        <v>2.2</v>
      </c>
      <c r="H10289" t="n">
        <v>0</v>
      </c>
      <c r="I10289" t="n">
        <v>0</v>
      </c>
      <c r="J10289" t="n">
        <v>0</v>
      </c>
      <c r="K10289" t="n">
        <v>0</v>
      </c>
      <c r="L10289" t="n">
        <v>0</v>
      </c>
      <c r="M10289" t="n">
        <v>0</v>
      </c>
      <c r="N10289" t="n">
        <v>0</v>
      </c>
      <c r="O10289" t="n">
        <v>0</v>
      </c>
      <c r="P10289" t="n">
        <v>0</v>
      </c>
      <c r="Q10289" t="n">
        <v>0</v>
      </c>
      <c r="R10289" s="2" t="inlineStr"/>
    </row>
    <row r="10290" ht="15" customHeight="1">
      <c r="A10290" t="inlineStr">
        <is>
          <t>A 27109-2024</t>
        </is>
      </c>
      <c r="B10290" s="1" t="n">
        <v>45471.49974537037</v>
      </c>
      <c r="C10290" s="1" t="n">
        <v>45952</v>
      </c>
      <c r="D10290" t="inlineStr">
        <is>
          <t>VÄSTRA GÖTALANDS LÄN</t>
        </is>
      </c>
      <c r="E10290" t="inlineStr">
        <is>
          <t>SKÖVDE</t>
        </is>
      </c>
      <c r="G10290" t="n">
        <v>2.7</v>
      </c>
      <c r="H10290" t="n">
        <v>0</v>
      </c>
      <c r="I10290" t="n">
        <v>0</v>
      </c>
      <c r="J10290" t="n">
        <v>0</v>
      </c>
      <c r="K10290" t="n">
        <v>0</v>
      </c>
      <c r="L10290" t="n">
        <v>0</v>
      </c>
      <c r="M10290" t="n">
        <v>0</v>
      </c>
      <c r="N10290" t="n">
        <v>0</v>
      </c>
      <c r="O10290" t="n">
        <v>0</v>
      </c>
      <c r="P10290" t="n">
        <v>0</v>
      </c>
      <c r="Q10290" t="n">
        <v>0</v>
      </c>
      <c r="R10290" s="2" t="inlineStr"/>
    </row>
    <row r="10291" ht="15" customHeight="1">
      <c r="A10291" t="inlineStr">
        <is>
          <t>A 25219-2025</t>
        </is>
      </c>
      <c r="B10291" s="1" t="n">
        <v>45800</v>
      </c>
      <c r="C10291" s="1" t="n">
        <v>45952</v>
      </c>
      <c r="D10291" t="inlineStr">
        <is>
          <t>VÄSTRA GÖTALANDS LÄN</t>
        </is>
      </c>
      <c r="E10291" t="inlineStr">
        <is>
          <t>SKARA</t>
        </is>
      </c>
      <c r="G10291" t="n">
        <v>0.7</v>
      </c>
      <c r="H10291" t="n">
        <v>0</v>
      </c>
      <c r="I10291" t="n">
        <v>0</v>
      </c>
      <c r="J10291" t="n">
        <v>0</v>
      </c>
      <c r="K10291" t="n">
        <v>0</v>
      </c>
      <c r="L10291" t="n">
        <v>0</v>
      </c>
      <c r="M10291" t="n">
        <v>0</v>
      </c>
      <c r="N10291" t="n">
        <v>0</v>
      </c>
      <c r="O10291" t="n">
        <v>0</v>
      </c>
      <c r="P10291" t="n">
        <v>0</v>
      </c>
      <c r="Q10291" t="n">
        <v>0</v>
      </c>
      <c r="R10291" s="2" t="inlineStr"/>
    </row>
    <row r="10292" ht="15" customHeight="1">
      <c r="A10292" t="inlineStr">
        <is>
          <t>A 25652-2025</t>
        </is>
      </c>
      <c r="B10292" s="1" t="n">
        <v>45803.61063657407</v>
      </c>
      <c r="C10292" s="1" t="n">
        <v>45952</v>
      </c>
      <c r="D10292" t="inlineStr">
        <is>
          <t>VÄSTRA GÖTALANDS LÄN</t>
        </is>
      </c>
      <c r="E10292" t="inlineStr">
        <is>
          <t>MELLERUD</t>
        </is>
      </c>
      <c r="G10292" t="n">
        <v>0.6</v>
      </c>
      <c r="H10292" t="n">
        <v>0</v>
      </c>
      <c r="I10292" t="n">
        <v>0</v>
      </c>
      <c r="J10292" t="n">
        <v>0</v>
      </c>
      <c r="K10292" t="n">
        <v>0</v>
      </c>
      <c r="L10292" t="n">
        <v>0</v>
      </c>
      <c r="M10292" t="n">
        <v>0</v>
      </c>
      <c r="N10292" t="n">
        <v>0</v>
      </c>
      <c r="O10292" t="n">
        <v>0</v>
      </c>
      <c r="P10292" t="n">
        <v>0</v>
      </c>
      <c r="Q10292" t="n">
        <v>0</v>
      </c>
      <c r="R10292" s="2" t="inlineStr"/>
    </row>
    <row r="10293" ht="15" customHeight="1">
      <c r="A10293" t="inlineStr">
        <is>
          <t>A 25554-2025</t>
        </is>
      </c>
      <c r="B10293" s="1" t="n">
        <v>45803.44790509259</v>
      </c>
      <c r="C10293" s="1" t="n">
        <v>45952</v>
      </c>
      <c r="D10293" t="inlineStr">
        <is>
          <t>VÄSTRA GÖTALANDS LÄN</t>
        </is>
      </c>
      <c r="E10293" t="inlineStr">
        <is>
          <t>GRÄSTORP</t>
        </is>
      </c>
      <c r="F10293" t="inlineStr">
        <is>
          <t>Sveaskog</t>
        </is>
      </c>
      <c r="G10293" t="n">
        <v>6.5</v>
      </c>
      <c r="H10293" t="n">
        <v>0</v>
      </c>
      <c r="I10293" t="n">
        <v>0</v>
      </c>
      <c r="J10293" t="n">
        <v>0</v>
      </c>
      <c r="K10293" t="n">
        <v>0</v>
      </c>
      <c r="L10293" t="n">
        <v>0</v>
      </c>
      <c r="M10293" t="n">
        <v>0</v>
      </c>
      <c r="N10293" t="n">
        <v>0</v>
      </c>
      <c r="O10293" t="n">
        <v>0</v>
      </c>
      <c r="P10293" t="n">
        <v>0</v>
      </c>
      <c r="Q10293" t="n">
        <v>0</v>
      </c>
      <c r="R10293" s="2" t="inlineStr"/>
    </row>
    <row r="10294" ht="15" customHeight="1">
      <c r="A10294" t="inlineStr">
        <is>
          <t>A 3487-2022</t>
        </is>
      </c>
      <c r="B10294" s="1" t="n">
        <v>44585.64229166666</v>
      </c>
      <c r="C10294" s="1" t="n">
        <v>45952</v>
      </c>
      <c r="D10294" t="inlineStr">
        <is>
          <t>VÄSTRA GÖTALANDS LÄN</t>
        </is>
      </c>
      <c r="E10294" t="inlineStr">
        <is>
          <t>TANUM</t>
        </is>
      </c>
      <c r="G10294" t="n">
        <v>8.5</v>
      </c>
      <c r="H10294" t="n">
        <v>0</v>
      </c>
      <c r="I10294" t="n">
        <v>0</v>
      </c>
      <c r="J10294" t="n">
        <v>0</v>
      </c>
      <c r="K10294" t="n">
        <v>0</v>
      </c>
      <c r="L10294" t="n">
        <v>0</v>
      </c>
      <c r="M10294" t="n">
        <v>0</v>
      </c>
      <c r="N10294" t="n">
        <v>0</v>
      </c>
      <c r="O10294" t="n">
        <v>0</v>
      </c>
      <c r="P10294" t="n">
        <v>0</v>
      </c>
      <c r="Q10294" t="n">
        <v>0</v>
      </c>
      <c r="R10294" s="2" t="inlineStr"/>
    </row>
    <row r="10295" ht="15" customHeight="1">
      <c r="A10295" t="inlineStr">
        <is>
          <t>A 25694-2025</t>
        </is>
      </c>
      <c r="B10295" s="1" t="n">
        <v>45803.66457175926</v>
      </c>
      <c r="C10295" s="1" t="n">
        <v>45952</v>
      </c>
      <c r="D10295" t="inlineStr">
        <is>
          <t>VÄSTRA GÖTALANDS LÄN</t>
        </is>
      </c>
      <c r="E10295" t="inlineStr">
        <is>
          <t>BOLLEBYGD</t>
        </is>
      </c>
      <c r="G10295" t="n">
        <v>2.5</v>
      </c>
      <c r="H10295" t="n">
        <v>0</v>
      </c>
      <c r="I10295" t="n">
        <v>0</v>
      </c>
      <c r="J10295" t="n">
        <v>0</v>
      </c>
      <c r="K10295" t="n">
        <v>0</v>
      </c>
      <c r="L10295" t="n">
        <v>0</v>
      </c>
      <c r="M10295" t="n">
        <v>0</v>
      </c>
      <c r="N10295" t="n">
        <v>0</v>
      </c>
      <c r="O10295" t="n">
        <v>0</v>
      </c>
      <c r="P10295" t="n">
        <v>0</v>
      </c>
      <c r="Q10295" t="n">
        <v>0</v>
      </c>
      <c r="R10295" s="2" t="inlineStr"/>
    </row>
    <row r="10296" ht="15" customHeight="1">
      <c r="A10296" t="inlineStr">
        <is>
          <t>A 25507-2025</t>
        </is>
      </c>
      <c r="B10296" s="1" t="n">
        <v>45803.35353009259</v>
      </c>
      <c r="C10296" s="1" t="n">
        <v>45952</v>
      </c>
      <c r="D10296" t="inlineStr">
        <is>
          <t>VÄSTRA GÖTALANDS LÄN</t>
        </is>
      </c>
      <c r="E10296" t="inlineStr">
        <is>
          <t>HERRLJUNGA</t>
        </is>
      </c>
      <c r="G10296" t="n">
        <v>2.2</v>
      </c>
      <c r="H10296" t="n">
        <v>0</v>
      </c>
      <c r="I10296" t="n">
        <v>0</v>
      </c>
      <c r="J10296" t="n">
        <v>0</v>
      </c>
      <c r="K10296" t="n">
        <v>0</v>
      </c>
      <c r="L10296" t="n">
        <v>0</v>
      </c>
      <c r="M10296" t="n">
        <v>0</v>
      </c>
      <c r="N10296" t="n">
        <v>0</v>
      </c>
      <c r="O10296" t="n">
        <v>0</v>
      </c>
      <c r="P10296" t="n">
        <v>0</v>
      </c>
      <c r="Q10296" t="n">
        <v>0</v>
      </c>
      <c r="R10296" s="2" t="inlineStr"/>
    </row>
    <row r="10297" ht="15" customHeight="1">
      <c r="A10297" t="inlineStr">
        <is>
          <t>A 14624-2025</t>
        </is>
      </c>
      <c r="B10297" s="1" t="n">
        <v>45742.41969907407</v>
      </c>
      <c r="C10297" s="1" t="n">
        <v>45952</v>
      </c>
      <c r="D10297" t="inlineStr">
        <is>
          <t>VÄSTRA GÖTALANDS LÄN</t>
        </is>
      </c>
      <c r="E10297" t="inlineStr">
        <is>
          <t>SKÖVDE</t>
        </is>
      </c>
      <c r="G10297" t="n">
        <v>0.7</v>
      </c>
      <c r="H10297" t="n">
        <v>0</v>
      </c>
      <c r="I10297" t="n">
        <v>0</v>
      </c>
      <c r="J10297" t="n">
        <v>0</v>
      </c>
      <c r="K10297" t="n">
        <v>0</v>
      </c>
      <c r="L10297" t="n">
        <v>0</v>
      </c>
      <c r="M10297" t="n">
        <v>0</v>
      </c>
      <c r="N10297" t="n">
        <v>0</v>
      </c>
      <c r="O10297" t="n">
        <v>0</v>
      </c>
      <c r="P10297" t="n">
        <v>0</v>
      </c>
      <c r="Q10297" t="n">
        <v>0</v>
      </c>
      <c r="R10297" s="2" t="inlineStr"/>
    </row>
    <row r="10298" ht="15" customHeight="1">
      <c r="A10298" t="inlineStr">
        <is>
          <t>A 35372-2021</t>
        </is>
      </c>
      <c r="B10298" s="1" t="n">
        <v>44384</v>
      </c>
      <c r="C10298" s="1" t="n">
        <v>45952</v>
      </c>
      <c r="D10298" t="inlineStr">
        <is>
          <t>VÄSTRA GÖTALANDS LÄN</t>
        </is>
      </c>
      <c r="E10298" t="inlineStr">
        <is>
          <t>TROLLHÄTTAN</t>
        </is>
      </c>
      <c r="G10298" t="n">
        <v>3</v>
      </c>
      <c r="H10298" t="n">
        <v>0</v>
      </c>
      <c r="I10298" t="n">
        <v>0</v>
      </c>
      <c r="J10298" t="n">
        <v>0</v>
      </c>
      <c r="K10298" t="n">
        <v>0</v>
      </c>
      <c r="L10298" t="n">
        <v>0</v>
      </c>
      <c r="M10298" t="n">
        <v>0</v>
      </c>
      <c r="N10298" t="n">
        <v>0</v>
      </c>
      <c r="O10298" t="n">
        <v>0</v>
      </c>
      <c r="P10298" t="n">
        <v>0</v>
      </c>
      <c r="Q10298" t="n">
        <v>0</v>
      </c>
      <c r="R10298" s="2" t="inlineStr"/>
    </row>
    <row r="10299" ht="15" customHeight="1">
      <c r="A10299" t="inlineStr">
        <is>
          <t>A 14635-2025</t>
        </is>
      </c>
      <c r="B10299" s="1" t="n">
        <v>45742.43068287037</v>
      </c>
      <c r="C10299" s="1" t="n">
        <v>45952</v>
      </c>
      <c r="D10299" t="inlineStr">
        <is>
          <t>VÄSTRA GÖTALANDS LÄN</t>
        </is>
      </c>
      <c r="E10299" t="inlineStr">
        <is>
          <t>HERRLJUNGA</t>
        </is>
      </c>
      <c r="G10299" t="n">
        <v>0.6</v>
      </c>
      <c r="H10299" t="n">
        <v>0</v>
      </c>
      <c r="I10299" t="n">
        <v>0</v>
      </c>
      <c r="J10299" t="n">
        <v>0</v>
      </c>
      <c r="K10299" t="n">
        <v>0</v>
      </c>
      <c r="L10299" t="n">
        <v>0</v>
      </c>
      <c r="M10299" t="n">
        <v>0</v>
      </c>
      <c r="N10299" t="n">
        <v>0</v>
      </c>
      <c r="O10299" t="n">
        <v>0</v>
      </c>
      <c r="P10299" t="n">
        <v>0</v>
      </c>
      <c r="Q10299" t="n">
        <v>0</v>
      </c>
      <c r="R10299" s="2" t="inlineStr"/>
    </row>
    <row r="10300" ht="15" customHeight="1">
      <c r="A10300" t="inlineStr">
        <is>
          <t>A 6337-2025</t>
        </is>
      </c>
      <c r="B10300" s="1" t="n">
        <v>45698.99592592593</v>
      </c>
      <c r="C10300" s="1" t="n">
        <v>45952</v>
      </c>
      <c r="D10300" t="inlineStr">
        <is>
          <t>VÄSTRA GÖTALANDS LÄN</t>
        </is>
      </c>
      <c r="E10300" t="inlineStr">
        <is>
          <t>FALKÖPING</t>
        </is>
      </c>
      <c r="G10300" t="n">
        <v>6.8</v>
      </c>
      <c r="H10300" t="n">
        <v>0</v>
      </c>
      <c r="I10300" t="n">
        <v>0</v>
      </c>
      <c r="J10300" t="n">
        <v>0</v>
      </c>
      <c r="K10300" t="n">
        <v>0</v>
      </c>
      <c r="L10300" t="n">
        <v>0</v>
      </c>
      <c r="M10300" t="n">
        <v>0</v>
      </c>
      <c r="N10300" t="n">
        <v>0</v>
      </c>
      <c r="O10300" t="n">
        <v>0</v>
      </c>
      <c r="P10300" t="n">
        <v>0</v>
      </c>
      <c r="Q10300" t="n">
        <v>0</v>
      </c>
      <c r="R10300" s="2" t="inlineStr"/>
    </row>
    <row r="10301" ht="15" customHeight="1">
      <c r="A10301" t="inlineStr">
        <is>
          <t>A 41991-2022</t>
        </is>
      </c>
      <c r="B10301" s="1" t="n">
        <v>44830.44231481481</v>
      </c>
      <c r="C10301" s="1" t="n">
        <v>45952</v>
      </c>
      <c r="D10301" t="inlineStr">
        <is>
          <t>VÄSTRA GÖTALANDS LÄN</t>
        </is>
      </c>
      <c r="E10301" t="inlineStr">
        <is>
          <t>STRÖMSTAD</t>
        </is>
      </c>
      <c r="G10301" t="n">
        <v>0</v>
      </c>
      <c r="H10301" t="n">
        <v>0</v>
      </c>
      <c r="I10301" t="n">
        <v>0</v>
      </c>
      <c r="J10301" t="n">
        <v>0</v>
      </c>
      <c r="K10301" t="n">
        <v>0</v>
      </c>
      <c r="L10301" t="n">
        <v>0</v>
      </c>
      <c r="M10301" t="n">
        <v>0</v>
      </c>
      <c r="N10301" t="n">
        <v>0</v>
      </c>
      <c r="O10301" t="n">
        <v>0</v>
      </c>
      <c r="P10301" t="n">
        <v>0</v>
      </c>
      <c r="Q10301" t="n">
        <v>0</v>
      </c>
      <c r="R10301" s="2" t="inlineStr"/>
    </row>
    <row r="10302" ht="15" customHeight="1">
      <c r="A10302" t="inlineStr">
        <is>
          <t>A 57242-2023</t>
        </is>
      </c>
      <c r="B10302" s="1" t="n">
        <v>45245</v>
      </c>
      <c r="C10302" s="1" t="n">
        <v>45952</v>
      </c>
      <c r="D10302" t="inlineStr">
        <is>
          <t>VÄSTRA GÖTALANDS LÄN</t>
        </is>
      </c>
      <c r="E10302" t="inlineStr">
        <is>
          <t>TRANEMO</t>
        </is>
      </c>
      <c r="G10302" t="n">
        <v>1.4</v>
      </c>
      <c r="H10302" t="n">
        <v>0</v>
      </c>
      <c r="I10302" t="n">
        <v>0</v>
      </c>
      <c r="J10302" t="n">
        <v>0</v>
      </c>
      <c r="K10302" t="n">
        <v>0</v>
      </c>
      <c r="L10302" t="n">
        <v>0</v>
      </c>
      <c r="M10302" t="n">
        <v>0</v>
      </c>
      <c r="N10302" t="n">
        <v>0</v>
      </c>
      <c r="O10302" t="n">
        <v>0</v>
      </c>
      <c r="P10302" t="n">
        <v>0</v>
      </c>
      <c r="Q10302" t="n">
        <v>0</v>
      </c>
      <c r="R10302" s="2" t="inlineStr"/>
    </row>
    <row r="10303" ht="15" customHeight="1">
      <c r="A10303" t="inlineStr">
        <is>
          <t>A 63509-2023</t>
        </is>
      </c>
      <c r="B10303" s="1" t="n">
        <v>45274</v>
      </c>
      <c r="C10303" s="1" t="n">
        <v>45952</v>
      </c>
      <c r="D10303" t="inlineStr">
        <is>
          <t>VÄSTRA GÖTALANDS LÄN</t>
        </is>
      </c>
      <c r="E10303" t="inlineStr">
        <is>
          <t>VÄNERSBORG</t>
        </is>
      </c>
      <c r="G10303" t="n">
        <v>3.4</v>
      </c>
      <c r="H10303" t="n">
        <v>0</v>
      </c>
      <c r="I10303" t="n">
        <v>0</v>
      </c>
      <c r="J10303" t="n">
        <v>0</v>
      </c>
      <c r="K10303" t="n">
        <v>0</v>
      </c>
      <c r="L10303" t="n">
        <v>0</v>
      </c>
      <c r="M10303" t="n">
        <v>0</v>
      </c>
      <c r="N10303" t="n">
        <v>0</v>
      </c>
      <c r="O10303" t="n">
        <v>0</v>
      </c>
      <c r="P10303" t="n">
        <v>0</v>
      </c>
      <c r="Q10303" t="n">
        <v>0</v>
      </c>
      <c r="R10303" s="2" t="inlineStr"/>
    </row>
    <row r="10304" ht="15" customHeight="1">
      <c r="A10304" t="inlineStr">
        <is>
          <t>A 52827-2021</t>
        </is>
      </c>
      <c r="B10304" s="1" t="n">
        <v>44467</v>
      </c>
      <c r="C10304" s="1" t="n">
        <v>45952</v>
      </c>
      <c r="D10304" t="inlineStr">
        <is>
          <t>VÄSTRA GÖTALANDS LÄN</t>
        </is>
      </c>
      <c r="E10304" t="inlineStr">
        <is>
          <t>BORÅS</t>
        </is>
      </c>
      <c r="G10304" t="n">
        <v>19.4</v>
      </c>
      <c r="H10304" t="n">
        <v>0</v>
      </c>
      <c r="I10304" t="n">
        <v>0</v>
      </c>
      <c r="J10304" t="n">
        <v>0</v>
      </c>
      <c r="K10304" t="n">
        <v>0</v>
      </c>
      <c r="L10304" t="n">
        <v>0</v>
      </c>
      <c r="M10304" t="n">
        <v>0</v>
      </c>
      <c r="N10304" t="n">
        <v>0</v>
      </c>
      <c r="O10304" t="n">
        <v>0</v>
      </c>
      <c r="P10304" t="n">
        <v>0</v>
      </c>
      <c r="Q10304" t="n">
        <v>0</v>
      </c>
      <c r="R10304" s="2" t="inlineStr"/>
    </row>
    <row r="10305" ht="15" customHeight="1">
      <c r="A10305" t="inlineStr">
        <is>
          <t>A 6442-2025</t>
        </is>
      </c>
      <c r="B10305" s="1" t="n">
        <v>45699</v>
      </c>
      <c r="C10305" s="1" t="n">
        <v>45952</v>
      </c>
      <c r="D10305" t="inlineStr">
        <is>
          <t>VÄSTRA GÖTALANDS LÄN</t>
        </is>
      </c>
      <c r="E10305" t="inlineStr">
        <is>
          <t>TÖREBODA</t>
        </is>
      </c>
      <c r="G10305" t="n">
        <v>2.2</v>
      </c>
      <c r="H10305" t="n">
        <v>0</v>
      </c>
      <c r="I10305" t="n">
        <v>0</v>
      </c>
      <c r="J10305" t="n">
        <v>0</v>
      </c>
      <c r="K10305" t="n">
        <v>0</v>
      </c>
      <c r="L10305" t="n">
        <v>0</v>
      </c>
      <c r="M10305" t="n">
        <v>0</v>
      </c>
      <c r="N10305" t="n">
        <v>0</v>
      </c>
      <c r="O10305" t="n">
        <v>0</v>
      </c>
      <c r="P10305" t="n">
        <v>0</v>
      </c>
      <c r="Q10305" t="n">
        <v>0</v>
      </c>
      <c r="R10305" s="2" t="inlineStr"/>
    </row>
    <row r="10306" ht="15" customHeight="1">
      <c r="A10306" t="inlineStr">
        <is>
          <t>A 26526-2022</t>
        </is>
      </c>
      <c r="B10306" s="1" t="n">
        <v>44739.44171296297</v>
      </c>
      <c r="C10306" s="1" t="n">
        <v>45952</v>
      </c>
      <c r="D10306" t="inlineStr">
        <is>
          <t>VÄSTRA GÖTALANDS LÄN</t>
        </is>
      </c>
      <c r="E10306" t="inlineStr">
        <is>
          <t>VÅRGÅRDA</t>
        </is>
      </c>
      <c r="G10306" t="n">
        <v>3.1</v>
      </c>
      <c r="H10306" t="n">
        <v>0</v>
      </c>
      <c r="I10306" t="n">
        <v>0</v>
      </c>
      <c r="J10306" t="n">
        <v>0</v>
      </c>
      <c r="K10306" t="n">
        <v>0</v>
      </c>
      <c r="L10306" t="n">
        <v>0</v>
      </c>
      <c r="M10306" t="n">
        <v>0</v>
      </c>
      <c r="N10306" t="n">
        <v>0</v>
      </c>
      <c r="O10306" t="n">
        <v>0</v>
      </c>
      <c r="P10306" t="n">
        <v>0</v>
      </c>
      <c r="Q10306" t="n">
        <v>0</v>
      </c>
      <c r="R10306" s="2" t="inlineStr"/>
    </row>
    <row r="10307" ht="15" customHeight="1">
      <c r="A10307" t="inlineStr">
        <is>
          <t>A 50046-2023</t>
        </is>
      </c>
      <c r="B10307" s="1" t="n">
        <v>45215</v>
      </c>
      <c r="C10307" s="1" t="n">
        <v>45952</v>
      </c>
      <c r="D10307" t="inlineStr">
        <is>
          <t>VÄSTRA GÖTALANDS LÄN</t>
        </is>
      </c>
      <c r="E10307" t="inlineStr">
        <is>
          <t>FÄRGELANDA</t>
        </is>
      </c>
      <c r="G10307" t="n">
        <v>2.4</v>
      </c>
      <c r="H10307" t="n">
        <v>0</v>
      </c>
      <c r="I10307" t="n">
        <v>0</v>
      </c>
      <c r="J10307" t="n">
        <v>0</v>
      </c>
      <c r="K10307" t="n">
        <v>0</v>
      </c>
      <c r="L10307" t="n">
        <v>0</v>
      </c>
      <c r="M10307" t="n">
        <v>0</v>
      </c>
      <c r="N10307" t="n">
        <v>0</v>
      </c>
      <c r="O10307" t="n">
        <v>0</v>
      </c>
      <c r="P10307" t="n">
        <v>0</v>
      </c>
      <c r="Q10307" t="n">
        <v>0</v>
      </c>
      <c r="R10307" s="2" t="inlineStr"/>
    </row>
    <row r="10308" ht="15" customHeight="1">
      <c r="A10308" t="inlineStr">
        <is>
          <t>A 14807-2025</t>
        </is>
      </c>
      <c r="B10308" s="1" t="n">
        <v>45743.32101851852</v>
      </c>
      <c r="C10308" s="1" t="n">
        <v>45952</v>
      </c>
      <c r="D10308" t="inlineStr">
        <is>
          <t>VÄSTRA GÖTALANDS LÄN</t>
        </is>
      </c>
      <c r="E10308" t="inlineStr">
        <is>
          <t>TRANEMO</t>
        </is>
      </c>
      <c r="G10308" t="n">
        <v>1.5</v>
      </c>
      <c r="H10308" t="n">
        <v>0</v>
      </c>
      <c r="I10308" t="n">
        <v>0</v>
      </c>
      <c r="J10308" t="n">
        <v>0</v>
      </c>
      <c r="K10308" t="n">
        <v>0</v>
      </c>
      <c r="L10308" t="n">
        <v>0</v>
      </c>
      <c r="M10308" t="n">
        <v>0</v>
      </c>
      <c r="N10308" t="n">
        <v>0</v>
      </c>
      <c r="O10308" t="n">
        <v>0</v>
      </c>
      <c r="P10308" t="n">
        <v>0</v>
      </c>
      <c r="Q10308" t="n">
        <v>0</v>
      </c>
      <c r="R10308" s="2" t="inlineStr"/>
    </row>
    <row r="10309" ht="15" customHeight="1">
      <c r="A10309" t="inlineStr">
        <is>
          <t>A 7093-2024</t>
        </is>
      </c>
      <c r="B10309" s="1" t="n">
        <v>45343</v>
      </c>
      <c r="C10309" s="1" t="n">
        <v>45952</v>
      </c>
      <c r="D10309" t="inlineStr">
        <is>
          <t>VÄSTRA GÖTALANDS LÄN</t>
        </is>
      </c>
      <c r="E10309" t="inlineStr">
        <is>
          <t>TÖREBODA</t>
        </is>
      </c>
      <c r="G10309" t="n">
        <v>2.8</v>
      </c>
      <c r="H10309" t="n">
        <v>0</v>
      </c>
      <c r="I10309" t="n">
        <v>0</v>
      </c>
      <c r="J10309" t="n">
        <v>0</v>
      </c>
      <c r="K10309" t="n">
        <v>0</v>
      </c>
      <c r="L10309" t="n">
        <v>0</v>
      </c>
      <c r="M10309" t="n">
        <v>0</v>
      </c>
      <c r="N10309" t="n">
        <v>0</v>
      </c>
      <c r="O10309" t="n">
        <v>0</v>
      </c>
      <c r="P10309" t="n">
        <v>0</v>
      </c>
      <c r="Q10309" t="n">
        <v>0</v>
      </c>
      <c r="R10309" s="2" t="inlineStr"/>
    </row>
    <row r="10310" ht="15" customHeight="1">
      <c r="A10310" t="inlineStr">
        <is>
          <t>A 7094-2024</t>
        </is>
      </c>
      <c r="B10310" s="1" t="n">
        <v>45343</v>
      </c>
      <c r="C10310" s="1" t="n">
        <v>45952</v>
      </c>
      <c r="D10310" t="inlineStr">
        <is>
          <t>VÄSTRA GÖTALANDS LÄN</t>
        </is>
      </c>
      <c r="E10310" t="inlineStr">
        <is>
          <t>ULRICEHAMN</t>
        </is>
      </c>
      <c r="G10310" t="n">
        <v>0.4</v>
      </c>
      <c r="H10310" t="n">
        <v>0</v>
      </c>
      <c r="I10310" t="n">
        <v>0</v>
      </c>
      <c r="J10310" t="n">
        <v>0</v>
      </c>
      <c r="K10310" t="n">
        <v>0</v>
      </c>
      <c r="L10310" t="n">
        <v>0</v>
      </c>
      <c r="M10310" t="n">
        <v>0</v>
      </c>
      <c r="N10310" t="n">
        <v>0</v>
      </c>
      <c r="O10310" t="n">
        <v>0</v>
      </c>
      <c r="P10310" t="n">
        <v>0</v>
      </c>
      <c r="Q10310" t="n">
        <v>0</v>
      </c>
      <c r="R10310" s="2" t="inlineStr"/>
    </row>
    <row r="10311" ht="15" customHeight="1">
      <c r="A10311" t="inlineStr">
        <is>
          <t>A 41350-2025</t>
        </is>
      </c>
      <c r="B10311" s="1" t="n">
        <v>45899.65248842593</v>
      </c>
      <c r="C10311" s="1" t="n">
        <v>45952</v>
      </c>
      <c r="D10311" t="inlineStr">
        <is>
          <t>VÄSTRA GÖTALANDS LÄN</t>
        </is>
      </c>
      <c r="E10311" t="inlineStr">
        <is>
          <t>KARLSBORG</t>
        </is>
      </c>
      <c r="G10311" t="n">
        <v>0.6</v>
      </c>
      <c r="H10311" t="n">
        <v>0</v>
      </c>
      <c r="I10311" t="n">
        <v>0</v>
      </c>
      <c r="J10311" t="n">
        <v>0</v>
      </c>
      <c r="K10311" t="n">
        <v>0</v>
      </c>
      <c r="L10311" t="n">
        <v>0</v>
      </c>
      <c r="M10311" t="n">
        <v>0</v>
      </c>
      <c r="N10311" t="n">
        <v>0</v>
      </c>
      <c r="O10311" t="n">
        <v>0</v>
      </c>
      <c r="P10311" t="n">
        <v>0</v>
      </c>
      <c r="Q10311" t="n">
        <v>0</v>
      </c>
      <c r="R10311" s="2" t="inlineStr"/>
    </row>
    <row r="10312" ht="15" customHeight="1">
      <c r="A10312" t="inlineStr">
        <is>
          <t>A 25575-2025</t>
        </is>
      </c>
      <c r="B10312" s="1" t="n">
        <v>45803.47547453704</v>
      </c>
      <c r="C10312" s="1" t="n">
        <v>45952</v>
      </c>
      <c r="D10312" t="inlineStr">
        <is>
          <t>VÄSTRA GÖTALANDS LÄN</t>
        </is>
      </c>
      <c r="E10312" t="inlineStr">
        <is>
          <t>VÄNERSBORG</t>
        </is>
      </c>
      <c r="F10312" t="inlineStr">
        <is>
          <t>Sveaskog</t>
        </is>
      </c>
      <c r="G10312" t="n">
        <v>9</v>
      </c>
      <c r="H10312" t="n">
        <v>0</v>
      </c>
      <c r="I10312" t="n">
        <v>0</v>
      </c>
      <c r="J10312" t="n">
        <v>0</v>
      </c>
      <c r="K10312" t="n">
        <v>0</v>
      </c>
      <c r="L10312" t="n">
        <v>0</v>
      </c>
      <c r="M10312" t="n">
        <v>0</v>
      </c>
      <c r="N10312" t="n">
        <v>0</v>
      </c>
      <c r="O10312" t="n">
        <v>0</v>
      </c>
      <c r="P10312" t="n">
        <v>0</v>
      </c>
      <c r="Q10312" t="n">
        <v>0</v>
      </c>
      <c r="R10312" s="2" t="inlineStr"/>
    </row>
    <row r="10313" ht="15" customHeight="1">
      <c r="A10313" t="inlineStr">
        <is>
          <t>A 45139-2023</t>
        </is>
      </c>
      <c r="B10313" s="1" t="n">
        <v>45191</v>
      </c>
      <c r="C10313" s="1" t="n">
        <v>45952</v>
      </c>
      <c r="D10313" t="inlineStr">
        <is>
          <t>VÄSTRA GÖTALANDS LÄN</t>
        </is>
      </c>
      <c r="E10313" t="inlineStr">
        <is>
          <t>ULRICEHAMN</t>
        </is>
      </c>
      <c r="G10313" t="n">
        <v>2</v>
      </c>
      <c r="H10313" t="n">
        <v>0</v>
      </c>
      <c r="I10313" t="n">
        <v>0</v>
      </c>
      <c r="J10313" t="n">
        <v>0</v>
      </c>
      <c r="K10313" t="n">
        <v>0</v>
      </c>
      <c r="L10313" t="n">
        <v>0</v>
      </c>
      <c r="M10313" t="n">
        <v>0</v>
      </c>
      <c r="N10313" t="n">
        <v>0</v>
      </c>
      <c r="O10313" t="n">
        <v>0</v>
      </c>
      <c r="P10313" t="n">
        <v>0</v>
      </c>
      <c r="Q10313" t="n">
        <v>0</v>
      </c>
      <c r="R10313" s="2" t="inlineStr"/>
    </row>
    <row r="10314" ht="15" customHeight="1">
      <c r="A10314" t="inlineStr">
        <is>
          <t>A 41672-2023</t>
        </is>
      </c>
      <c r="B10314" s="1" t="n">
        <v>45176.32940972222</v>
      </c>
      <c r="C10314" s="1" t="n">
        <v>45952</v>
      </c>
      <c r="D10314" t="inlineStr">
        <is>
          <t>VÄSTRA GÖTALANDS LÄN</t>
        </is>
      </c>
      <c r="E10314" t="inlineStr">
        <is>
          <t>HERRLJUNGA</t>
        </is>
      </c>
      <c r="G10314" t="n">
        <v>0.6</v>
      </c>
      <c r="H10314" t="n">
        <v>0</v>
      </c>
      <c r="I10314" t="n">
        <v>0</v>
      </c>
      <c r="J10314" t="n">
        <v>0</v>
      </c>
      <c r="K10314" t="n">
        <v>0</v>
      </c>
      <c r="L10314" t="n">
        <v>0</v>
      </c>
      <c r="M10314" t="n">
        <v>0</v>
      </c>
      <c r="N10314" t="n">
        <v>0</v>
      </c>
      <c r="O10314" t="n">
        <v>0</v>
      </c>
      <c r="P10314" t="n">
        <v>0</v>
      </c>
      <c r="Q10314" t="n">
        <v>0</v>
      </c>
      <c r="R10314" s="2" t="inlineStr"/>
    </row>
    <row r="10315" ht="15" customHeight="1">
      <c r="A10315" t="inlineStr">
        <is>
          <t>A 41684-2023</t>
        </is>
      </c>
      <c r="B10315" s="1" t="n">
        <v>45176.35422453703</v>
      </c>
      <c r="C10315" s="1" t="n">
        <v>45952</v>
      </c>
      <c r="D10315" t="inlineStr">
        <is>
          <t>VÄSTRA GÖTALANDS LÄN</t>
        </is>
      </c>
      <c r="E10315" t="inlineStr">
        <is>
          <t>KARLSBORG</t>
        </is>
      </c>
      <c r="G10315" t="n">
        <v>7.3</v>
      </c>
      <c r="H10315" t="n">
        <v>0</v>
      </c>
      <c r="I10315" t="n">
        <v>0</v>
      </c>
      <c r="J10315" t="n">
        <v>0</v>
      </c>
      <c r="K10315" t="n">
        <v>0</v>
      </c>
      <c r="L10315" t="n">
        <v>0</v>
      </c>
      <c r="M10315" t="n">
        <v>0</v>
      </c>
      <c r="N10315" t="n">
        <v>0</v>
      </c>
      <c r="O10315" t="n">
        <v>0</v>
      </c>
      <c r="P10315" t="n">
        <v>0</v>
      </c>
      <c r="Q10315" t="n">
        <v>0</v>
      </c>
      <c r="R10315" s="2" t="inlineStr"/>
    </row>
    <row r="10316" ht="15" customHeight="1">
      <c r="A10316" t="inlineStr">
        <is>
          <t>A 25095-2025</t>
        </is>
      </c>
      <c r="B10316" s="1" t="n">
        <v>45800.33721064815</v>
      </c>
      <c r="C10316" s="1" t="n">
        <v>45952</v>
      </c>
      <c r="D10316" t="inlineStr">
        <is>
          <t>VÄSTRA GÖTALANDS LÄN</t>
        </is>
      </c>
      <c r="E10316" t="inlineStr">
        <is>
          <t>FÄRGELANDA</t>
        </is>
      </c>
      <c r="G10316" t="n">
        <v>4.9</v>
      </c>
      <c r="H10316" t="n">
        <v>0</v>
      </c>
      <c r="I10316" t="n">
        <v>0</v>
      </c>
      <c r="J10316" t="n">
        <v>0</v>
      </c>
      <c r="K10316" t="n">
        <v>0</v>
      </c>
      <c r="L10316" t="n">
        <v>0</v>
      </c>
      <c r="M10316" t="n">
        <v>0</v>
      </c>
      <c r="N10316" t="n">
        <v>0</v>
      </c>
      <c r="O10316" t="n">
        <v>0</v>
      </c>
      <c r="P10316" t="n">
        <v>0</v>
      </c>
      <c r="Q10316" t="n">
        <v>0</v>
      </c>
      <c r="R10316" s="2" t="inlineStr"/>
    </row>
    <row r="10317" ht="15" customHeight="1">
      <c r="A10317" t="inlineStr">
        <is>
          <t>A 25747-2025</t>
        </is>
      </c>
      <c r="B10317" s="1" t="n">
        <v>45800</v>
      </c>
      <c r="C10317" s="1" t="n">
        <v>45952</v>
      </c>
      <c r="D10317" t="inlineStr">
        <is>
          <t>VÄSTRA GÖTALANDS LÄN</t>
        </is>
      </c>
      <c r="E10317" t="inlineStr">
        <is>
          <t>MELLERUD</t>
        </is>
      </c>
      <c r="G10317" t="n">
        <v>1.3</v>
      </c>
      <c r="H10317" t="n">
        <v>0</v>
      </c>
      <c r="I10317" t="n">
        <v>0</v>
      </c>
      <c r="J10317" t="n">
        <v>0</v>
      </c>
      <c r="K10317" t="n">
        <v>0</v>
      </c>
      <c r="L10317" t="n">
        <v>0</v>
      </c>
      <c r="M10317" t="n">
        <v>0</v>
      </c>
      <c r="N10317" t="n">
        <v>0</v>
      </c>
      <c r="O10317" t="n">
        <v>0</v>
      </c>
      <c r="P10317" t="n">
        <v>0</v>
      </c>
      <c r="Q10317" t="n">
        <v>0</v>
      </c>
      <c r="R10317" s="2" t="inlineStr"/>
    </row>
    <row r="10318" ht="15" customHeight="1">
      <c r="A10318" t="inlineStr">
        <is>
          <t>A 41572-2025</t>
        </is>
      </c>
      <c r="B10318" s="1" t="n">
        <v>45901.61446759259</v>
      </c>
      <c r="C10318" s="1" t="n">
        <v>45952</v>
      </c>
      <c r="D10318" t="inlineStr">
        <is>
          <t>VÄSTRA GÖTALANDS LÄN</t>
        </is>
      </c>
      <c r="E10318" t="inlineStr">
        <is>
          <t>UDDEVALLA</t>
        </is>
      </c>
      <c r="G10318" t="n">
        <v>2.8</v>
      </c>
      <c r="H10318" t="n">
        <v>0</v>
      </c>
      <c r="I10318" t="n">
        <v>0</v>
      </c>
      <c r="J10318" t="n">
        <v>0</v>
      </c>
      <c r="K10318" t="n">
        <v>0</v>
      </c>
      <c r="L10318" t="n">
        <v>0</v>
      </c>
      <c r="M10318" t="n">
        <v>0</v>
      </c>
      <c r="N10318" t="n">
        <v>0</v>
      </c>
      <c r="O10318" t="n">
        <v>0</v>
      </c>
      <c r="P10318" t="n">
        <v>0</v>
      </c>
      <c r="Q10318" t="n">
        <v>0</v>
      </c>
      <c r="R10318" s="2" t="inlineStr"/>
    </row>
    <row r="10319" ht="15" customHeight="1">
      <c r="A10319" t="inlineStr">
        <is>
          <t>A 49816-2025</t>
        </is>
      </c>
      <c r="B10319" s="1" t="n">
        <v>45940.43407407407</v>
      </c>
      <c r="C10319" s="1" t="n">
        <v>45952</v>
      </c>
      <c r="D10319" t="inlineStr">
        <is>
          <t>VÄSTRA GÖTALANDS LÄN</t>
        </is>
      </c>
      <c r="E10319" t="inlineStr">
        <is>
          <t>MARK</t>
        </is>
      </c>
      <c r="G10319" t="n">
        <v>1.6</v>
      </c>
      <c r="H10319" t="n">
        <v>0</v>
      </c>
      <c r="I10319" t="n">
        <v>0</v>
      </c>
      <c r="J10319" t="n">
        <v>0</v>
      </c>
      <c r="K10319" t="n">
        <v>0</v>
      </c>
      <c r="L10319" t="n">
        <v>0</v>
      </c>
      <c r="M10319" t="n">
        <v>0</v>
      </c>
      <c r="N10319" t="n">
        <v>0</v>
      </c>
      <c r="O10319" t="n">
        <v>0</v>
      </c>
      <c r="P10319" t="n">
        <v>0</v>
      </c>
      <c r="Q10319" t="n">
        <v>0</v>
      </c>
      <c r="R10319" s="2" t="inlineStr"/>
    </row>
    <row r="10320" ht="15" customHeight="1">
      <c r="A10320" t="inlineStr">
        <is>
          <t>A 45161-2023</t>
        </is>
      </c>
      <c r="B10320" s="1" t="n">
        <v>45191.49090277778</v>
      </c>
      <c r="C10320" s="1" t="n">
        <v>45952</v>
      </c>
      <c r="D10320" t="inlineStr">
        <is>
          <t>VÄSTRA GÖTALANDS LÄN</t>
        </is>
      </c>
      <c r="E10320" t="inlineStr">
        <is>
          <t>TÖREBODA</t>
        </is>
      </c>
      <c r="G10320" t="n">
        <v>2.4</v>
      </c>
      <c r="H10320" t="n">
        <v>0</v>
      </c>
      <c r="I10320" t="n">
        <v>0</v>
      </c>
      <c r="J10320" t="n">
        <v>0</v>
      </c>
      <c r="K10320" t="n">
        <v>0</v>
      </c>
      <c r="L10320" t="n">
        <v>0</v>
      </c>
      <c r="M10320" t="n">
        <v>0</v>
      </c>
      <c r="N10320" t="n">
        <v>0</v>
      </c>
      <c r="O10320" t="n">
        <v>0</v>
      </c>
      <c r="P10320" t="n">
        <v>0</v>
      </c>
      <c r="Q10320" t="n">
        <v>0</v>
      </c>
      <c r="R10320" s="2" t="inlineStr"/>
    </row>
    <row r="10321" ht="15" customHeight="1">
      <c r="A10321" t="inlineStr">
        <is>
          <t>A 25748-2025</t>
        </is>
      </c>
      <c r="B10321" s="1" t="n">
        <v>45800</v>
      </c>
      <c r="C10321" s="1" t="n">
        <v>45952</v>
      </c>
      <c r="D10321" t="inlineStr">
        <is>
          <t>VÄSTRA GÖTALANDS LÄN</t>
        </is>
      </c>
      <c r="E10321" t="inlineStr">
        <is>
          <t>ÅMÅL</t>
        </is>
      </c>
      <c r="G10321" t="n">
        <v>3.6</v>
      </c>
      <c r="H10321" t="n">
        <v>0</v>
      </c>
      <c r="I10321" t="n">
        <v>0</v>
      </c>
      <c r="J10321" t="n">
        <v>0</v>
      </c>
      <c r="K10321" t="n">
        <v>0</v>
      </c>
      <c r="L10321" t="n">
        <v>0</v>
      </c>
      <c r="M10321" t="n">
        <v>0</v>
      </c>
      <c r="N10321" t="n">
        <v>0</v>
      </c>
      <c r="O10321" t="n">
        <v>0</v>
      </c>
      <c r="P10321" t="n">
        <v>0</v>
      </c>
      <c r="Q10321" t="n">
        <v>0</v>
      </c>
      <c r="R10321" s="2" t="inlineStr"/>
    </row>
    <row r="10322" ht="15" customHeight="1">
      <c r="A10322" t="inlineStr">
        <is>
          <t>A 17502-2024</t>
        </is>
      </c>
      <c r="B10322" s="1" t="n">
        <v>45415.55523148148</v>
      </c>
      <c r="C10322" s="1" t="n">
        <v>45952</v>
      </c>
      <c r="D10322" t="inlineStr">
        <is>
          <t>VÄSTRA GÖTALANDS LÄN</t>
        </is>
      </c>
      <c r="E10322" t="inlineStr">
        <is>
          <t>DALS-ED</t>
        </is>
      </c>
      <c r="G10322" t="n">
        <v>4.1</v>
      </c>
      <c r="H10322" t="n">
        <v>0</v>
      </c>
      <c r="I10322" t="n">
        <v>0</v>
      </c>
      <c r="J10322" t="n">
        <v>0</v>
      </c>
      <c r="K10322" t="n">
        <v>0</v>
      </c>
      <c r="L10322" t="n">
        <v>0</v>
      </c>
      <c r="M10322" t="n">
        <v>0</v>
      </c>
      <c r="N10322" t="n">
        <v>0</v>
      </c>
      <c r="O10322" t="n">
        <v>0</v>
      </c>
      <c r="P10322" t="n">
        <v>0</v>
      </c>
      <c r="Q10322" t="n">
        <v>0</v>
      </c>
      <c r="R10322" s="2" t="inlineStr"/>
    </row>
    <row r="10323" ht="15" customHeight="1">
      <c r="A10323" t="inlineStr">
        <is>
          <t>A 25566-2025</t>
        </is>
      </c>
      <c r="B10323" s="1" t="n">
        <v>45803.45799768518</v>
      </c>
      <c r="C10323" s="1" t="n">
        <v>45952</v>
      </c>
      <c r="D10323" t="inlineStr">
        <is>
          <t>VÄSTRA GÖTALANDS LÄN</t>
        </is>
      </c>
      <c r="E10323" t="inlineStr">
        <is>
          <t>GRÄSTORP</t>
        </is>
      </c>
      <c r="F10323" t="inlineStr">
        <is>
          <t>Sveaskog</t>
        </is>
      </c>
      <c r="G10323" t="n">
        <v>3.3</v>
      </c>
      <c r="H10323" t="n">
        <v>0</v>
      </c>
      <c r="I10323" t="n">
        <v>0</v>
      </c>
      <c r="J10323" t="n">
        <v>0</v>
      </c>
      <c r="K10323" t="n">
        <v>0</v>
      </c>
      <c r="L10323" t="n">
        <v>0</v>
      </c>
      <c r="M10323" t="n">
        <v>0</v>
      </c>
      <c r="N10323" t="n">
        <v>0</v>
      </c>
      <c r="O10323" t="n">
        <v>0</v>
      </c>
      <c r="P10323" t="n">
        <v>0</v>
      </c>
      <c r="Q10323" t="n">
        <v>0</v>
      </c>
      <c r="R10323" s="2" t="inlineStr"/>
    </row>
    <row r="10324" ht="15" customHeight="1">
      <c r="A10324" t="inlineStr">
        <is>
          <t>A 150-2025</t>
        </is>
      </c>
      <c r="B10324" s="1" t="n">
        <v>45659.61055555556</v>
      </c>
      <c r="C10324" s="1" t="n">
        <v>45952</v>
      </c>
      <c r="D10324" t="inlineStr">
        <is>
          <t>VÄSTRA GÖTALANDS LÄN</t>
        </is>
      </c>
      <c r="E10324" t="inlineStr">
        <is>
          <t>ULRICEHAMN</t>
        </is>
      </c>
      <c r="G10324" t="n">
        <v>0.7</v>
      </c>
      <c r="H10324" t="n">
        <v>0</v>
      </c>
      <c r="I10324" t="n">
        <v>0</v>
      </c>
      <c r="J10324" t="n">
        <v>0</v>
      </c>
      <c r="K10324" t="n">
        <v>0</v>
      </c>
      <c r="L10324" t="n">
        <v>0</v>
      </c>
      <c r="M10324" t="n">
        <v>0</v>
      </c>
      <c r="N10324" t="n">
        <v>0</v>
      </c>
      <c r="O10324" t="n">
        <v>0</v>
      </c>
      <c r="P10324" t="n">
        <v>0</v>
      </c>
      <c r="Q10324" t="n">
        <v>0</v>
      </c>
      <c r="R10324" s="2" t="inlineStr"/>
    </row>
    <row r="10325" ht="15" customHeight="1">
      <c r="A10325" t="inlineStr">
        <is>
          <t>A 49837-2025</t>
        </is>
      </c>
      <c r="B10325" s="1" t="n">
        <v>45940.46891203704</v>
      </c>
      <c r="C10325" s="1" t="n">
        <v>45952</v>
      </c>
      <c r="D10325" t="inlineStr">
        <is>
          <t>VÄSTRA GÖTALANDS LÄN</t>
        </is>
      </c>
      <c r="E10325" t="inlineStr">
        <is>
          <t>ALINGSÅS</t>
        </is>
      </c>
      <c r="G10325" t="n">
        <v>2.1</v>
      </c>
      <c r="H10325" t="n">
        <v>0</v>
      </c>
      <c r="I10325" t="n">
        <v>0</v>
      </c>
      <c r="J10325" t="n">
        <v>0</v>
      </c>
      <c r="K10325" t="n">
        <v>0</v>
      </c>
      <c r="L10325" t="n">
        <v>0</v>
      </c>
      <c r="M10325" t="n">
        <v>0</v>
      </c>
      <c r="N10325" t="n">
        <v>0</v>
      </c>
      <c r="O10325" t="n">
        <v>0</v>
      </c>
      <c r="P10325" t="n">
        <v>0</v>
      </c>
      <c r="Q10325" t="n">
        <v>0</v>
      </c>
      <c r="R10325" s="2" t="inlineStr"/>
    </row>
    <row r="10326" ht="15" customHeight="1">
      <c r="A10326" t="inlineStr">
        <is>
          <t>A 49855-2025</t>
        </is>
      </c>
      <c r="B10326" s="1" t="n">
        <v>45940.50458333334</v>
      </c>
      <c r="C10326" s="1" t="n">
        <v>45952</v>
      </c>
      <c r="D10326" t="inlineStr">
        <is>
          <t>VÄSTRA GÖTALANDS LÄN</t>
        </is>
      </c>
      <c r="E10326" t="inlineStr">
        <is>
          <t>VÅRGÅRDA</t>
        </is>
      </c>
      <c r="G10326" t="n">
        <v>2.5</v>
      </c>
      <c r="H10326" t="n">
        <v>0</v>
      </c>
      <c r="I10326" t="n">
        <v>0</v>
      </c>
      <c r="J10326" t="n">
        <v>0</v>
      </c>
      <c r="K10326" t="n">
        <v>0</v>
      </c>
      <c r="L10326" t="n">
        <v>0</v>
      </c>
      <c r="M10326" t="n">
        <v>0</v>
      </c>
      <c r="N10326" t="n">
        <v>0</v>
      </c>
      <c r="O10326" t="n">
        <v>0</v>
      </c>
      <c r="P10326" t="n">
        <v>0</v>
      </c>
      <c r="Q10326" t="n">
        <v>0</v>
      </c>
      <c r="R10326" s="2" t="inlineStr"/>
    </row>
    <row r="10327" ht="15" customHeight="1">
      <c r="A10327" t="inlineStr">
        <is>
          <t>A 53690-2024</t>
        </is>
      </c>
      <c r="B10327" s="1" t="n">
        <v>45615.37197916667</v>
      </c>
      <c r="C10327" s="1" t="n">
        <v>45952</v>
      </c>
      <c r="D10327" t="inlineStr">
        <is>
          <t>VÄSTRA GÖTALANDS LÄN</t>
        </is>
      </c>
      <c r="E10327" t="inlineStr">
        <is>
          <t>HERRLJUNGA</t>
        </is>
      </c>
      <c r="G10327" t="n">
        <v>2.9</v>
      </c>
      <c r="H10327" t="n">
        <v>0</v>
      </c>
      <c r="I10327" t="n">
        <v>0</v>
      </c>
      <c r="J10327" t="n">
        <v>0</v>
      </c>
      <c r="K10327" t="n">
        <v>0</v>
      </c>
      <c r="L10327" t="n">
        <v>0</v>
      </c>
      <c r="M10327" t="n">
        <v>0</v>
      </c>
      <c r="N10327" t="n">
        <v>0</v>
      </c>
      <c r="O10327" t="n">
        <v>0</v>
      </c>
      <c r="P10327" t="n">
        <v>0</v>
      </c>
      <c r="Q10327" t="n">
        <v>0</v>
      </c>
      <c r="R10327" s="2" t="inlineStr"/>
    </row>
    <row r="10328" ht="15" customHeight="1">
      <c r="A10328" t="inlineStr">
        <is>
          <t>A 25271-2025</t>
        </is>
      </c>
      <c r="B10328" s="1" t="n">
        <v>45800.55153935185</v>
      </c>
      <c r="C10328" s="1" t="n">
        <v>45952</v>
      </c>
      <c r="D10328" t="inlineStr">
        <is>
          <t>VÄSTRA GÖTALANDS LÄN</t>
        </is>
      </c>
      <c r="E10328" t="inlineStr">
        <is>
          <t>SKÖVDE</t>
        </is>
      </c>
      <c r="F10328" t="inlineStr">
        <is>
          <t>Kommuner</t>
        </is>
      </c>
      <c r="G10328" t="n">
        <v>1</v>
      </c>
      <c r="H10328" t="n">
        <v>0</v>
      </c>
      <c r="I10328" t="n">
        <v>0</v>
      </c>
      <c r="J10328" t="n">
        <v>0</v>
      </c>
      <c r="K10328" t="n">
        <v>0</v>
      </c>
      <c r="L10328" t="n">
        <v>0</v>
      </c>
      <c r="M10328" t="n">
        <v>0</v>
      </c>
      <c r="N10328" t="n">
        <v>0</v>
      </c>
      <c r="O10328" t="n">
        <v>0</v>
      </c>
      <c r="P10328" t="n">
        <v>0</v>
      </c>
      <c r="Q10328" t="n">
        <v>0</v>
      </c>
      <c r="R10328" s="2" t="inlineStr"/>
    </row>
    <row r="10329" ht="15" customHeight="1">
      <c r="A10329" t="inlineStr">
        <is>
          <t>A 41331-2025</t>
        </is>
      </c>
      <c r="B10329" s="1" t="n">
        <v>45899.35118055555</v>
      </c>
      <c r="C10329" s="1" t="n">
        <v>45952</v>
      </c>
      <c r="D10329" t="inlineStr">
        <is>
          <t>VÄSTRA GÖTALANDS LÄN</t>
        </is>
      </c>
      <c r="E10329" t="inlineStr">
        <is>
          <t>VARA</t>
        </is>
      </c>
      <c r="G10329" t="n">
        <v>1.5</v>
      </c>
      <c r="H10329" t="n">
        <v>0</v>
      </c>
      <c r="I10329" t="n">
        <v>0</v>
      </c>
      <c r="J10329" t="n">
        <v>0</v>
      </c>
      <c r="K10329" t="n">
        <v>0</v>
      </c>
      <c r="L10329" t="n">
        <v>0</v>
      </c>
      <c r="M10329" t="n">
        <v>0</v>
      </c>
      <c r="N10329" t="n">
        <v>0</v>
      </c>
      <c r="O10329" t="n">
        <v>0</v>
      </c>
      <c r="P10329" t="n">
        <v>0</v>
      </c>
      <c r="Q10329" t="n">
        <v>0</v>
      </c>
      <c r="R10329" s="2" t="inlineStr"/>
    </row>
    <row r="10330" ht="15" customHeight="1">
      <c r="A10330" t="inlineStr">
        <is>
          <t>A 18754-2025</t>
        </is>
      </c>
      <c r="B10330" s="1" t="n">
        <v>45763.80842592593</v>
      </c>
      <c r="C10330" s="1" t="n">
        <v>45952</v>
      </c>
      <c r="D10330" t="inlineStr">
        <is>
          <t>VÄSTRA GÖTALANDS LÄN</t>
        </is>
      </c>
      <c r="E10330" t="inlineStr">
        <is>
          <t>HERRLJUNGA</t>
        </is>
      </c>
      <c r="F10330" t="inlineStr">
        <is>
          <t>Sveaskog</t>
        </is>
      </c>
      <c r="G10330" t="n">
        <v>4.3</v>
      </c>
      <c r="H10330" t="n">
        <v>0</v>
      </c>
      <c r="I10330" t="n">
        <v>0</v>
      </c>
      <c r="J10330" t="n">
        <v>0</v>
      </c>
      <c r="K10330" t="n">
        <v>0</v>
      </c>
      <c r="L10330" t="n">
        <v>0</v>
      </c>
      <c r="M10330" t="n">
        <v>0</v>
      </c>
      <c r="N10330" t="n">
        <v>0</v>
      </c>
      <c r="O10330" t="n">
        <v>0</v>
      </c>
      <c r="P10330" t="n">
        <v>0</v>
      </c>
      <c r="Q10330" t="n">
        <v>0</v>
      </c>
      <c r="R10330" s="2" t="inlineStr"/>
    </row>
    <row r="10331" ht="15" customHeight="1">
      <c r="A10331" t="inlineStr">
        <is>
          <t>A 25324-2025</t>
        </is>
      </c>
      <c r="B10331" s="1" t="n">
        <v>45800</v>
      </c>
      <c r="C10331" s="1" t="n">
        <v>45952</v>
      </c>
      <c r="D10331" t="inlineStr">
        <is>
          <t>VÄSTRA GÖTALANDS LÄN</t>
        </is>
      </c>
      <c r="E10331" t="inlineStr">
        <is>
          <t>VÅRGÅRDA</t>
        </is>
      </c>
      <c r="G10331" t="n">
        <v>1.8</v>
      </c>
      <c r="H10331" t="n">
        <v>0</v>
      </c>
      <c r="I10331" t="n">
        <v>0</v>
      </c>
      <c r="J10331" t="n">
        <v>0</v>
      </c>
      <c r="K10331" t="n">
        <v>0</v>
      </c>
      <c r="L10331" t="n">
        <v>0</v>
      </c>
      <c r="M10331" t="n">
        <v>0</v>
      </c>
      <c r="N10331" t="n">
        <v>0</v>
      </c>
      <c r="O10331" t="n">
        <v>0</v>
      </c>
      <c r="P10331" t="n">
        <v>0</v>
      </c>
      <c r="Q10331" t="n">
        <v>0</v>
      </c>
      <c r="R10331" s="2" t="inlineStr"/>
    </row>
    <row r="10332" ht="15" customHeight="1">
      <c r="A10332" t="inlineStr">
        <is>
          <t>A 44153-2025</t>
        </is>
      </c>
      <c r="B10332" s="1" t="n">
        <v>45915.59482638889</v>
      </c>
      <c r="C10332" s="1" t="n">
        <v>45952</v>
      </c>
      <c r="D10332" t="inlineStr">
        <is>
          <t>VÄSTRA GÖTALANDS LÄN</t>
        </is>
      </c>
      <c r="E10332" t="inlineStr">
        <is>
          <t>MUNKEDAL</t>
        </is>
      </c>
      <c r="G10332" t="n">
        <v>1.8</v>
      </c>
      <c r="H10332" t="n">
        <v>0</v>
      </c>
      <c r="I10332" t="n">
        <v>0</v>
      </c>
      <c r="J10332" t="n">
        <v>0</v>
      </c>
      <c r="K10332" t="n">
        <v>0</v>
      </c>
      <c r="L10332" t="n">
        <v>0</v>
      </c>
      <c r="M10332" t="n">
        <v>0</v>
      </c>
      <c r="N10332" t="n">
        <v>0</v>
      </c>
      <c r="O10332" t="n">
        <v>0</v>
      </c>
      <c r="P10332" t="n">
        <v>0</v>
      </c>
      <c r="Q10332" t="n">
        <v>0</v>
      </c>
      <c r="R10332" s="2" t="inlineStr"/>
    </row>
    <row r="10333" ht="15" customHeight="1">
      <c r="A10333" t="inlineStr">
        <is>
          <t>A 45185-2025</t>
        </is>
      </c>
      <c r="B10333" s="1" t="n">
        <v>45919.54019675926</v>
      </c>
      <c r="C10333" s="1" t="n">
        <v>45952</v>
      </c>
      <c r="D10333" t="inlineStr">
        <is>
          <t>VÄSTRA GÖTALANDS LÄN</t>
        </is>
      </c>
      <c r="E10333" t="inlineStr">
        <is>
          <t>BOLLEBYGD</t>
        </is>
      </c>
      <c r="G10333" t="n">
        <v>3.9</v>
      </c>
      <c r="H10333" t="n">
        <v>0</v>
      </c>
      <c r="I10333" t="n">
        <v>0</v>
      </c>
      <c r="J10333" t="n">
        <v>0</v>
      </c>
      <c r="K10333" t="n">
        <v>0</v>
      </c>
      <c r="L10333" t="n">
        <v>0</v>
      </c>
      <c r="M10333" t="n">
        <v>0</v>
      </c>
      <c r="N10333" t="n">
        <v>0</v>
      </c>
      <c r="O10333" t="n">
        <v>0</v>
      </c>
      <c r="P10333" t="n">
        <v>0</v>
      </c>
      <c r="Q10333" t="n">
        <v>0</v>
      </c>
      <c r="R10333" s="2" t="inlineStr"/>
    </row>
    <row r="10334" ht="15" customHeight="1">
      <c r="A10334" t="inlineStr">
        <is>
          <t>A 6571-2024</t>
        </is>
      </c>
      <c r="B10334" s="1" t="n">
        <v>45341</v>
      </c>
      <c r="C10334" s="1" t="n">
        <v>45952</v>
      </c>
      <c r="D10334" t="inlineStr">
        <is>
          <t>VÄSTRA GÖTALANDS LÄN</t>
        </is>
      </c>
      <c r="E10334" t="inlineStr">
        <is>
          <t>ULRICEHAMN</t>
        </is>
      </c>
      <c r="G10334" t="n">
        <v>1.1</v>
      </c>
      <c r="H10334" t="n">
        <v>0</v>
      </c>
      <c r="I10334" t="n">
        <v>0</v>
      </c>
      <c r="J10334" t="n">
        <v>0</v>
      </c>
      <c r="K10334" t="n">
        <v>0</v>
      </c>
      <c r="L10334" t="n">
        <v>0</v>
      </c>
      <c r="M10334" t="n">
        <v>0</v>
      </c>
      <c r="N10334" t="n">
        <v>0</v>
      </c>
      <c r="O10334" t="n">
        <v>0</v>
      </c>
      <c r="P10334" t="n">
        <v>0</v>
      </c>
      <c r="Q10334" t="n">
        <v>0</v>
      </c>
      <c r="R10334" s="2" t="inlineStr"/>
    </row>
    <row r="10335" ht="15" customHeight="1">
      <c r="A10335" t="inlineStr">
        <is>
          <t>A 6578-2024</t>
        </is>
      </c>
      <c r="B10335" s="1" t="n">
        <v>45341</v>
      </c>
      <c r="C10335" s="1" t="n">
        <v>45952</v>
      </c>
      <c r="D10335" t="inlineStr">
        <is>
          <t>VÄSTRA GÖTALANDS LÄN</t>
        </is>
      </c>
      <c r="E10335" t="inlineStr">
        <is>
          <t>TÖREBODA</t>
        </is>
      </c>
      <c r="G10335" t="n">
        <v>5.3</v>
      </c>
      <c r="H10335" t="n">
        <v>0</v>
      </c>
      <c r="I10335" t="n">
        <v>0</v>
      </c>
      <c r="J10335" t="n">
        <v>0</v>
      </c>
      <c r="K10335" t="n">
        <v>0</v>
      </c>
      <c r="L10335" t="n">
        <v>0</v>
      </c>
      <c r="M10335" t="n">
        <v>0</v>
      </c>
      <c r="N10335" t="n">
        <v>0</v>
      </c>
      <c r="O10335" t="n">
        <v>0</v>
      </c>
      <c r="P10335" t="n">
        <v>0</v>
      </c>
      <c r="Q10335" t="n">
        <v>0</v>
      </c>
      <c r="R10335" s="2" t="inlineStr"/>
    </row>
    <row r="10336" ht="15" customHeight="1">
      <c r="A10336" t="inlineStr">
        <is>
          <t>A 32843-2022</t>
        </is>
      </c>
      <c r="B10336" s="1" t="n">
        <v>44784.4495949074</v>
      </c>
      <c r="C10336" s="1" t="n">
        <v>45952</v>
      </c>
      <c r="D10336" t="inlineStr">
        <is>
          <t>VÄSTRA GÖTALANDS LÄN</t>
        </is>
      </c>
      <c r="E10336" t="inlineStr">
        <is>
          <t>VÄNERSBORG</t>
        </is>
      </c>
      <c r="G10336" t="n">
        <v>2.2</v>
      </c>
      <c r="H10336" t="n">
        <v>0</v>
      </c>
      <c r="I10336" t="n">
        <v>0</v>
      </c>
      <c r="J10336" t="n">
        <v>0</v>
      </c>
      <c r="K10336" t="n">
        <v>0</v>
      </c>
      <c r="L10336" t="n">
        <v>0</v>
      </c>
      <c r="M10336" t="n">
        <v>0</v>
      </c>
      <c r="N10336" t="n">
        <v>0</v>
      </c>
      <c r="O10336" t="n">
        <v>0</v>
      </c>
      <c r="P10336" t="n">
        <v>0</v>
      </c>
      <c r="Q10336" t="n">
        <v>0</v>
      </c>
      <c r="R10336" s="2" t="inlineStr"/>
    </row>
    <row r="10337" ht="15" customHeight="1">
      <c r="A10337" t="inlineStr">
        <is>
          <t>A 50093-2025</t>
        </is>
      </c>
      <c r="B10337" s="1" t="n">
        <v>45943.49165509259</v>
      </c>
      <c r="C10337" s="1" t="n">
        <v>45952</v>
      </c>
      <c r="D10337" t="inlineStr">
        <is>
          <t>VÄSTRA GÖTALANDS LÄN</t>
        </is>
      </c>
      <c r="E10337" t="inlineStr">
        <is>
          <t>HJO</t>
        </is>
      </c>
      <c r="G10337" t="n">
        <v>4.3</v>
      </c>
      <c r="H10337" t="n">
        <v>0</v>
      </c>
      <c r="I10337" t="n">
        <v>0</v>
      </c>
      <c r="J10337" t="n">
        <v>0</v>
      </c>
      <c r="K10337" t="n">
        <v>0</v>
      </c>
      <c r="L10337" t="n">
        <v>0</v>
      </c>
      <c r="M10337" t="n">
        <v>0</v>
      </c>
      <c r="N10337" t="n">
        <v>0</v>
      </c>
      <c r="O10337" t="n">
        <v>0</v>
      </c>
      <c r="P10337" t="n">
        <v>0</v>
      </c>
      <c r="Q10337" t="n">
        <v>0</v>
      </c>
      <c r="R10337" s="2" t="inlineStr"/>
    </row>
    <row r="10338" ht="15" customHeight="1">
      <c r="A10338" t="inlineStr">
        <is>
          <t>A 37092-2024</t>
        </is>
      </c>
      <c r="B10338" s="1" t="n">
        <v>45539.49989583333</v>
      </c>
      <c r="C10338" s="1" t="n">
        <v>45952</v>
      </c>
      <c r="D10338" t="inlineStr">
        <is>
          <t>VÄSTRA GÖTALANDS LÄN</t>
        </is>
      </c>
      <c r="E10338" t="inlineStr">
        <is>
          <t>STRÖMSTAD</t>
        </is>
      </c>
      <c r="G10338" t="n">
        <v>2.3</v>
      </c>
      <c r="H10338" t="n">
        <v>0</v>
      </c>
      <c r="I10338" t="n">
        <v>0</v>
      </c>
      <c r="J10338" t="n">
        <v>0</v>
      </c>
      <c r="K10338" t="n">
        <v>0</v>
      </c>
      <c r="L10338" t="n">
        <v>0</v>
      </c>
      <c r="M10338" t="n">
        <v>0</v>
      </c>
      <c r="N10338" t="n">
        <v>0</v>
      </c>
      <c r="O10338" t="n">
        <v>0</v>
      </c>
      <c r="P10338" t="n">
        <v>0</v>
      </c>
      <c r="Q10338" t="n">
        <v>0</v>
      </c>
      <c r="R10338" s="2" t="inlineStr"/>
    </row>
    <row r="10339" ht="15" customHeight="1">
      <c r="A10339" t="inlineStr">
        <is>
          <t>A 5382-2024</t>
        </is>
      </c>
      <c r="B10339" s="1" t="n">
        <v>45330</v>
      </c>
      <c r="C10339" s="1" t="n">
        <v>45952</v>
      </c>
      <c r="D10339" t="inlineStr">
        <is>
          <t>VÄSTRA GÖTALANDS LÄN</t>
        </is>
      </c>
      <c r="E10339" t="inlineStr">
        <is>
          <t>ALINGSÅS</t>
        </is>
      </c>
      <c r="F10339" t="inlineStr">
        <is>
          <t>Övriga Aktiebolag</t>
        </is>
      </c>
      <c r="G10339" t="n">
        <v>1.7</v>
      </c>
      <c r="H10339" t="n">
        <v>0</v>
      </c>
      <c r="I10339" t="n">
        <v>0</v>
      </c>
      <c r="J10339" t="n">
        <v>0</v>
      </c>
      <c r="K10339" t="n">
        <v>0</v>
      </c>
      <c r="L10339" t="n">
        <v>0</v>
      </c>
      <c r="M10339" t="n">
        <v>0</v>
      </c>
      <c r="N10339" t="n">
        <v>0</v>
      </c>
      <c r="O10339" t="n">
        <v>0</v>
      </c>
      <c r="P10339" t="n">
        <v>0</v>
      </c>
      <c r="Q10339" t="n">
        <v>0</v>
      </c>
      <c r="R10339" s="2" t="inlineStr"/>
    </row>
    <row r="10340" ht="15" customHeight="1">
      <c r="A10340" t="inlineStr">
        <is>
          <t>A 3308-2024</t>
        </is>
      </c>
      <c r="B10340" s="1" t="n">
        <v>45317.47125</v>
      </c>
      <c r="C10340" s="1" t="n">
        <v>45952</v>
      </c>
      <c r="D10340" t="inlineStr">
        <is>
          <t>VÄSTRA GÖTALANDS LÄN</t>
        </is>
      </c>
      <c r="E10340" t="inlineStr">
        <is>
          <t>BENGTSFORS</t>
        </is>
      </c>
      <c r="G10340" t="n">
        <v>6.7</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3313-2024</t>
        </is>
      </c>
      <c r="B10341" s="1" t="n">
        <v>45317.4846412037</v>
      </c>
      <c r="C10341" s="1" t="n">
        <v>45952</v>
      </c>
      <c r="D10341" t="inlineStr">
        <is>
          <t>VÄSTRA GÖTALANDS LÄN</t>
        </is>
      </c>
      <c r="E10341" t="inlineStr">
        <is>
          <t>GULLSPÅNG</t>
        </is>
      </c>
      <c r="G10341" t="n">
        <v>6.3</v>
      </c>
      <c r="H10341" t="n">
        <v>0</v>
      </c>
      <c r="I10341" t="n">
        <v>0</v>
      </c>
      <c r="J10341" t="n">
        <v>0</v>
      </c>
      <c r="K10341" t="n">
        <v>0</v>
      </c>
      <c r="L10341" t="n">
        <v>0</v>
      </c>
      <c r="M10341" t="n">
        <v>0</v>
      </c>
      <c r="N10341" t="n">
        <v>0</v>
      </c>
      <c r="O10341" t="n">
        <v>0</v>
      </c>
      <c r="P10341" t="n">
        <v>0</v>
      </c>
      <c r="Q10341" t="n">
        <v>0</v>
      </c>
      <c r="R10341" s="2" t="inlineStr"/>
    </row>
    <row r="10342" ht="15" customHeight="1">
      <c r="A10342" t="inlineStr">
        <is>
          <t>A 41035-2024</t>
        </is>
      </c>
      <c r="B10342" s="1" t="n">
        <v>45559.35798611111</v>
      </c>
      <c r="C10342" s="1" t="n">
        <v>45952</v>
      </c>
      <c r="D10342" t="inlineStr">
        <is>
          <t>VÄSTRA GÖTALANDS LÄN</t>
        </is>
      </c>
      <c r="E10342" t="inlineStr">
        <is>
          <t>SVENLJUNGA</t>
        </is>
      </c>
      <c r="G10342" t="n">
        <v>1.1</v>
      </c>
      <c r="H10342" t="n">
        <v>0</v>
      </c>
      <c r="I10342" t="n">
        <v>0</v>
      </c>
      <c r="J10342" t="n">
        <v>0</v>
      </c>
      <c r="K10342" t="n">
        <v>0</v>
      </c>
      <c r="L10342" t="n">
        <v>0</v>
      </c>
      <c r="M10342" t="n">
        <v>0</v>
      </c>
      <c r="N10342" t="n">
        <v>0</v>
      </c>
      <c r="O10342" t="n">
        <v>0</v>
      </c>
      <c r="P10342" t="n">
        <v>0</v>
      </c>
      <c r="Q10342" t="n">
        <v>0</v>
      </c>
      <c r="R10342" s="2" t="inlineStr"/>
    </row>
    <row r="10343" ht="15" customHeight="1">
      <c r="A10343" t="inlineStr">
        <is>
          <t>A 25705-2025</t>
        </is>
      </c>
      <c r="B10343" s="1" t="n">
        <v>45803.67650462963</v>
      </c>
      <c r="C10343" s="1" t="n">
        <v>45952</v>
      </c>
      <c r="D10343" t="inlineStr">
        <is>
          <t>VÄSTRA GÖTALANDS LÄN</t>
        </is>
      </c>
      <c r="E10343" t="inlineStr">
        <is>
          <t>BORÅS</t>
        </is>
      </c>
      <c r="G10343" t="n">
        <v>0.4</v>
      </c>
      <c r="H10343" t="n">
        <v>0</v>
      </c>
      <c r="I10343" t="n">
        <v>0</v>
      </c>
      <c r="J10343" t="n">
        <v>0</v>
      </c>
      <c r="K10343" t="n">
        <v>0</v>
      </c>
      <c r="L10343" t="n">
        <v>0</v>
      </c>
      <c r="M10343" t="n">
        <v>0</v>
      </c>
      <c r="N10343" t="n">
        <v>0</v>
      </c>
      <c r="O10343" t="n">
        <v>0</v>
      </c>
      <c r="P10343" t="n">
        <v>0</v>
      </c>
      <c r="Q10343" t="n">
        <v>0</v>
      </c>
      <c r="R10343" s="2" t="inlineStr"/>
    </row>
    <row r="10344" ht="15" customHeight="1">
      <c r="A10344" t="inlineStr">
        <is>
          <t>A 14691-2025</t>
        </is>
      </c>
      <c r="B10344" s="1" t="n">
        <v>45742.58265046297</v>
      </c>
      <c r="C10344" s="1" t="n">
        <v>45952</v>
      </c>
      <c r="D10344" t="inlineStr">
        <is>
          <t>VÄSTRA GÖTALANDS LÄN</t>
        </is>
      </c>
      <c r="E10344" t="inlineStr">
        <is>
          <t>SVENLJUNGA</t>
        </is>
      </c>
      <c r="G10344" t="n">
        <v>3.8</v>
      </c>
      <c r="H10344" t="n">
        <v>0</v>
      </c>
      <c r="I10344" t="n">
        <v>0</v>
      </c>
      <c r="J10344" t="n">
        <v>0</v>
      </c>
      <c r="K10344" t="n">
        <v>0</v>
      </c>
      <c r="L10344" t="n">
        <v>0</v>
      </c>
      <c r="M10344" t="n">
        <v>0</v>
      </c>
      <c r="N10344" t="n">
        <v>0</v>
      </c>
      <c r="O10344" t="n">
        <v>0</v>
      </c>
      <c r="P10344" t="n">
        <v>0</v>
      </c>
      <c r="Q10344" t="n">
        <v>0</v>
      </c>
      <c r="R10344" s="2" t="inlineStr"/>
    </row>
    <row r="10345" ht="15" customHeight="1">
      <c r="A10345" t="inlineStr">
        <is>
          <t>A 4846-2024</t>
        </is>
      </c>
      <c r="B10345" s="1" t="n">
        <v>45329.36071759259</v>
      </c>
      <c r="C10345" s="1" t="n">
        <v>45952</v>
      </c>
      <c r="D10345" t="inlineStr">
        <is>
          <t>VÄSTRA GÖTALANDS LÄN</t>
        </is>
      </c>
      <c r="E10345" t="inlineStr">
        <is>
          <t>ALINGSÅS</t>
        </is>
      </c>
      <c r="G10345" t="n">
        <v>0.6</v>
      </c>
      <c r="H10345" t="n">
        <v>0</v>
      </c>
      <c r="I10345" t="n">
        <v>0</v>
      </c>
      <c r="J10345" t="n">
        <v>0</v>
      </c>
      <c r="K10345" t="n">
        <v>0</v>
      </c>
      <c r="L10345" t="n">
        <v>0</v>
      </c>
      <c r="M10345" t="n">
        <v>0</v>
      </c>
      <c r="N10345" t="n">
        <v>0</v>
      </c>
      <c r="O10345" t="n">
        <v>0</v>
      </c>
      <c r="P10345" t="n">
        <v>0</v>
      </c>
      <c r="Q10345" t="n">
        <v>0</v>
      </c>
      <c r="R10345" s="2" t="inlineStr"/>
    </row>
    <row r="10346" ht="15" customHeight="1">
      <c r="A10346" t="inlineStr">
        <is>
          <t>A 25639-2025</t>
        </is>
      </c>
      <c r="B10346" s="1" t="n">
        <v>45800</v>
      </c>
      <c r="C10346" s="1" t="n">
        <v>45952</v>
      </c>
      <c r="D10346" t="inlineStr">
        <is>
          <t>VÄSTRA GÖTALANDS LÄN</t>
        </is>
      </c>
      <c r="E10346" t="inlineStr">
        <is>
          <t>SKÖVDE</t>
        </is>
      </c>
      <c r="G10346" t="n">
        <v>0.3</v>
      </c>
      <c r="H10346" t="n">
        <v>0</v>
      </c>
      <c r="I10346" t="n">
        <v>0</v>
      </c>
      <c r="J10346" t="n">
        <v>0</v>
      </c>
      <c r="K10346" t="n">
        <v>0</v>
      </c>
      <c r="L10346" t="n">
        <v>0</v>
      </c>
      <c r="M10346" t="n">
        <v>0</v>
      </c>
      <c r="N10346" t="n">
        <v>0</v>
      </c>
      <c r="O10346" t="n">
        <v>0</v>
      </c>
      <c r="P10346" t="n">
        <v>0</v>
      </c>
      <c r="Q10346" t="n">
        <v>0</v>
      </c>
      <c r="R10346" s="2" t="inlineStr"/>
    </row>
    <row r="10347" ht="15" customHeight="1">
      <c r="A10347" t="inlineStr">
        <is>
          <t>A 25420-2025</t>
        </is>
      </c>
      <c r="B10347" s="1" t="n">
        <v>45800.69072916666</v>
      </c>
      <c r="C10347" s="1" t="n">
        <v>45952</v>
      </c>
      <c r="D10347" t="inlineStr">
        <is>
          <t>VÄSTRA GÖTALANDS LÄN</t>
        </is>
      </c>
      <c r="E10347" t="inlineStr">
        <is>
          <t>TRANEMO</t>
        </is>
      </c>
      <c r="F10347" t="inlineStr">
        <is>
          <t>Sveaskog</t>
        </is>
      </c>
      <c r="G10347" t="n">
        <v>5.5</v>
      </c>
      <c r="H10347" t="n">
        <v>0</v>
      </c>
      <c r="I10347" t="n">
        <v>0</v>
      </c>
      <c r="J10347" t="n">
        <v>0</v>
      </c>
      <c r="K10347" t="n">
        <v>0</v>
      </c>
      <c r="L10347" t="n">
        <v>0</v>
      </c>
      <c r="M10347" t="n">
        <v>0</v>
      </c>
      <c r="N10347" t="n">
        <v>0</v>
      </c>
      <c r="O10347" t="n">
        <v>0</v>
      </c>
      <c r="P10347" t="n">
        <v>0</v>
      </c>
      <c r="Q10347" t="n">
        <v>0</v>
      </c>
      <c r="R10347" s="2" t="inlineStr"/>
    </row>
    <row r="10348" ht="15" customHeight="1">
      <c r="A10348" t="inlineStr">
        <is>
          <t>A 29023-2024</t>
        </is>
      </c>
      <c r="B10348" s="1" t="n">
        <v>45481.5821875</v>
      </c>
      <c r="C10348" s="1" t="n">
        <v>45952</v>
      </c>
      <c r="D10348" t="inlineStr">
        <is>
          <t>VÄSTRA GÖTALANDS LÄN</t>
        </is>
      </c>
      <c r="E10348" t="inlineStr">
        <is>
          <t>TÖREBODA</t>
        </is>
      </c>
      <c r="G10348" t="n">
        <v>0.5</v>
      </c>
      <c r="H10348" t="n">
        <v>0</v>
      </c>
      <c r="I10348" t="n">
        <v>0</v>
      </c>
      <c r="J10348" t="n">
        <v>0</v>
      </c>
      <c r="K10348" t="n">
        <v>0</v>
      </c>
      <c r="L10348" t="n">
        <v>0</v>
      </c>
      <c r="M10348" t="n">
        <v>0</v>
      </c>
      <c r="N10348" t="n">
        <v>0</v>
      </c>
      <c r="O10348" t="n">
        <v>0</v>
      </c>
      <c r="P10348" t="n">
        <v>0</v>
      </c>
      <c r="Q10348" t="n">
        <v>0</v>
      </c>
      <c r="R10348" s="2" t="inlineStr"/>
    </row>
    <row r="10349" ht="15" customHeight="1">
      <c r="A10349" t="inlineStr">
        <is>
          <t>A 25667-2025</t>
        </is>
      </c>
      <c r="B10349" s="1" t="n">
        <v>45803.62251157407</v>
      </c>
      <c r="C10349" s="1" t="n">
        <v>45952</v>
      </c>
      <c r="D10349" t="inlineStr">
        <is>
          <t>VÄSTRA GÖTALANDS LÄN</t>
        </is>
      </c>
      <c r="E10349" t="inlineStr">
        <is>
          <t>BORÅS</t>
        </is>
      </c>
      <c r="G10349" t="n">
        <v>0.4</v>
      </c>
      <c r="H10349" t="n">
        <v>0</v>
      </c>
      <c r="I10349" t="n">
        <v>0</v>
      </c>
      <c r="J10349" t="n">
        <v>0</v>
      </c>
      <c r="K10349" t="n">
        <v>0</v>
      </c>
      <c r="L10349" t="n">
        <v>0</v>
      </c>
      <c r="M10349" t="n">
        <v>0</v>
      </c>
      <c r="N10349" t="n">
        <v>0</v>
      </c>
      <c r="O10349" t="n">
        <v>0</v>
      </c>
      <c r="P10349" t="n">
        <v>0</v>
      </c>
      <c r="Q10349" t="n">
        <v>0</v>
      </c>
      <c r="R10349" s="2" t="inlineStr"/>
    </row>
    <row r="10350" ht="15" customHeight="1">
      <c r="A10350" t="inlineStr">
        <is>
          <t>A 64553-2023</t>
        </is>
      </c>
      <c r="B10350" s="1" t="n">
        <v>45281.40106481482</v>
      </c>
      <c r="C10350" s="1" t="n">
        <v>45952</v>
      </c>
      <c r="D10350" t="inlineStr">
        <is>
          <t>VÄSTRA GÖTALANDS LÄN</t>
        </is>
      </c>
      <c r="E10350" t="inlineStr">
        <is>
          <t>SKARA</t>
        </is>
      </c>
      <c r="G10350" t="n">
        <v>0.2</v>
      </c>
      <c r="H10350" t="n">
        <v>0</v>
      </c>
      <c r="I10350" t="n">
        <v>0</v>
      </c>
      <c r="J10350" t="n">
        <v>0</v>
      </c>
      <c r="K10350" t="n">
        <v>0</v>
      </c>
      <c r="L10350" t="n">
        <v>0</v>
      </c>
      <c r="M10350" t="n">
        <v>0</v>
      </c>
      <c r="N10350" t="n">
        <v>0</v>
      </c>
      <c r="O10350" t="n">
        <v>0</v>
      </c>
      <c r="P10350" t="n">
        <v>0</v>
      </c>
      <c r="Q10350" t="n">
        <v>0</v>
      </c>
      <c r="R10350" s="2" t="inlineStr"/>
    </row>
    <row r="10351" ht="15" customHeight="1">
      <c r="A10351" t="inlineStr">
        <is>
          <t>A 19144-2023</t>
        </is>
      </c>
      <c r="B10351" s="1" t="n">
        <v>45048</v>
      </c>
      <c r="C10351" s="1" t="n">
        <v>45952</v>
      </c>
      <c r="D10351" t="inlineStr">
        <is>
          <t>VÄSTRA GÖTALANDS LÄN</t>
        </is>
      </c>
      <c r="E10351" t="inlineStr">
        <is>
          <t>TIDAHOLM</t>
        </is>
      </c>
      <c r="G10351" t="n">
        <v>6</v>
      </c>
      <c r="H10351" t="n">
        <v>0</v>
      </c>
      <c r="I10351" t="n">
        <v>0</v>
      </c>
      <c r="J10351" t="n">
        <v>0</v>
      </c>
      <c r="K10351" t="n">
        <v>0</v>
      </c>
      <c r="L10351" t="n">
        <v>0</v>
      </c>
      <c r="M10351" t="n">
        <v>0</v>
      </c>
      <c r="N10351" t="n">
        <v>0</v>
      </c>
      <c r="O10351" t="n">
        <v>0</v>
      </c>
      <c r="P10351" t="n">
        <v>0</v>
      </c>
      <c r="Q10351" t="n">
        <v>0</v>
      </c>
      <c r="R10351" s="2" t="inlineStr"/>
    </row>
    <row r="10352" ht="15" customHeight="1">
      <c r="A10352" t="inlineStr">
        <is>
          <t>A 24351-2021</t>
        </is>
      </c>
      <c r="B10352" s="1" t="n">
        <v>44337</v>
      </c>
      <c r="C10352" s="1" t="n">
        <v>45952</v>
      </c>
      <c r="D10352" t="inlineStr">
        <is>
          <t>VÄSTRA GÖTALANDS LÄN</t>
        </is>
      </c>
      <c r="E10352" t="inlineStr">
        <is>
          <t>ESSUNGA</t>
        </is>
      </c>
      <c r="G10352" t="n">
        <v>1.5</v>
      </c>
      <c r="H10352" t="n">
        <v>0</v>
      </c>
      <c r="I10352" t="n">
        <v>0</v>
      </c>
      <c r="J10352" t="n">
        <v>0</v>
      </c>
      <c r="K10352" t="n">
        <v>0</v>
      </c>
      <c r="L10352" t="n">
        <v>0</v>
      </c>
      <c r="M10352" t="n">
        <v>0</v>
      </c>
      <c r="N10352" t="n">
        <v>0</v>
      </c>
      <c r="O10352" t="n">
        <v>0</v>
      </c>
      <c r="P10352" t="n">
        <v>0</v>
      </c>
      <c r="Q10352" t="n">
        <v>0</v>
      </c>
      <c r="R10352" s="2" t="inlineStr"/>
    </row>
    <row r="10353" ht="15" customHeight="1">
      <c r="A10353" t="inlineStr">
        <is>
          <t>A 25601-2025</t>
        </is>
      </c>
      <c r="B10353" s="1" t="n">
        <v>45803.54850694445</v>
      </c>
      <c r="C10353" s="1" t="n">
        <v>45952</v>
      </c>
      <c r="D10353" t="inlineStr">
        <is>
          <t>VÄSTRA GÖTALANDS LÄN</t>
        </is>
      </c>
      <c r="E10353" t="inlineStr">
        <is>
          <t>GULLSPÅNG</t>
        </is>
      </c>
      <c r="F10353" t="inlineStr">
        <is>
          <t>Kyrkan</t>
        </is>
      </c>
      <c r="G10353" t="n">
        <v>8.1</v>
      </c>
      <c r="H10353" t="n">
        <v>0</v>
      </c>
      <c r="I10353" t="n">
        <v>0</v>
      </c>
      <c r="J10353" t="n">
        <v>0</v>
      </c>
      <c r="K10353" t="n">
        <v>0</v>
      </c>
      <c r="L10353" t="n">
        <v>0</v>
      </c>
      <c r="M10353" t="n">
        <v>0</v>
      </c>
      <c r="N10353" t="n">
        <v>0</v>
      </c>
      <c r="O10353" t="n">
        <v>0</v>
      </c>
      <c r="P10353" t="n">
        <v>0</v>
      </c>
      <c r="Q10353" t="n">
        <v>0</v>
      </c>
      <c r="R10353" s="2" t="inlineStr"/>
    </row>
    <row r="10354" ht="15" customHeight="1">
      <c r="A10354" t="inlineStr">
        <is>
          <t>A 25607-2025</t>
        </is>
      </c>
      <c r="B10354" s="1" t="n">
        <v>45803.55378472222</v>
      </c>
      <c r="C10354" s="1" t="n">
        <v>45952</v>
      </c>
      <c r="D10354" t="inlineStr">
        <is>
          <t>VÄSTRA GÖTALANDS LÄN</t>
        </is>
      </c>
      <c r="E10354" t="inlineStr">
        <is>
          <t>MUNKEDAL</t>
        </is>
      </c>
      <c r="G10354" t="n">
        <v>2.3</v>
      </c>
      <c r="H10354" t="n">
        <v>0</v>
      </c>
      <c r="I10354" t="n">
        <v>0</v>
      </c>
      <c r="J10354" t="n">
        <v>0</v>
      </c>
      <c r="K10354" t="n">
        <v>0</v>
      </c>
      <c r="L10354" t="n">
        <v>0</v>
      </c>
      <c r="M10354" t="n">
        <v>0</v>
      </c>
      <c r="N10354" t="n">
        <v>0</v>
      </c>
      <c r="O10354" t="n">
        <v>0</v>
      </c>
      <c r="P10354" t="n">
        <v>0</v>
      </c>
      <c r="Q10354" t="n">
        <v>0</v>
      </c>
      <c r="R10354" s="2" t="inlineStr"/>
    </row>
    <row r="10355" ht="15" customHeight="1">
      <c r="A10355" t="inlineStr">
        <is>
          <t>A 25222-2025</t>
        </is>
      </c>
      <c r="B10355" s="1" t="n">
        <v>45800.47864583333</v>
      </c>
      <c r="C10355" s="1" t="n">
        <v>45952</v>
      </c>
      <c r="D10355" t="inlineStr">
        <is>
          <t>VÄSTRA GÖTALANDS LÄN</t>
        </is>
      </c>
      <c r="E10355" t="inlineStr">
        <is>
          <t>SKARA</t>
        </is>
      </c>
      <c r="G10355" t="n">
        <v>1.3</v>
      </c>
      <c r="H10355" t="n">
        <v>0</v>
      </c>
      <c r="I10355" t="n">
        <v>0</v>
      </c>
      <c r="J10355" t="n">
        <v>0</v>
      </c>
      <c r="K10355" t="n">
        <v>0</v>
      </c>
      <c r="L10355" t="n">
        <v>0</v>
      </c>
      <c r="M10355" t="n">
        <v>0</v>
      </c>
      <c r="N10355" t="n">
        <v>0</v>
      </c>
      <c r="O10355" t="n">
        <v>0</v>
      </c>
      <c r="P10355" t="n">
        <v>0</v>
      </c>
      <c r="Q10355" t="n">
        <v>0</v>
      </c>
      <c r="R10355" s="2" t="inlineStr"/>
    </row>
    <row r="10356" ht="15" customHeight="1">
      <c r="A10356" t="inlineStr">
        <is>
          <t>A 46787-2023</t>
        </is>
      </c>
      <c r="B10356" s="1" t="n">
        <v>45198.6809375</v>
      </c>
      <c r="C10356" s="1" t="n">
        <v>45952</v>
      </c>
      <c r="D10356" t="inlineStr">
        <is>
          <t>VÄSTRA GÖTALANDS LÄN</t>
        </is>
      </c>
      <c r="E10356" t="inlineStr">
        <is>
          <t>HJO</t>
        </is>
      </c>
      <c r="G10356" t="n">
        <v>8.800000000000001</v>
      </c>
      <c r="H10356" t="n">
        <v>0</v>
      </c>
      <c r="I10356" t="n">
        <v>0</v>
      </c>
      <c r="J10356" t="n">
        <v>0</v>
      </c>
      <c r="K10356" t="n">
        <v>0</v>
      </c>
      <c r="L10356" t="n">
        <v>0</v>
      </c>
      <c r="M10356" t="n">
        <v>0</v>
      </c>
      <c r="N10356" t="n">
        <v>0</v>
      </c>
      <c r="O10356" t="n">
        <v>0</v>
      </c>
      <c r="P10356" t="n">
        <v>0</v>
      </c>
      <c r="Q10356" t="n">
        <v>0</v>
      </c>
      <c r="R10356" s="2" t="inlineStr"/>
    </row>
    <row r="10357" ht="15" customHeight="1">
      <c r="A10357" t="inlineStr">
        <is>
          <t>A 19911-2023</t>
        </is>
      </c>
      <c r="B10357" s="1" t="n">
        <v>45054</v>
      </c>
      <c r="C10357" s="1" t="n">
        <v>45952</v>
      </c>
      <c r="D10357" t="inlineStr">
        <is>
          <t>VÄSTRA GÖTALANDS LÄN</t>
        </is>
      </c>
      <c r="E10357" t="inlineStr">
        <is>
          <t>BORÅS</t>
        </is>
      </c>
      <c r="G10357" t="n">
        <v>1.2</v>
      </c>
      <c r="H10357" t="n">
        <v>0</v>
      </c>
      <c r="I10357" t="n">
        <v>0</v>
      </c>
      <c r="J10357" t="n">
        <v>0</v>
      </c>
      <c r="K10357" t="n">
        <v>0</v>
      </c>
      <c r="L10357" t="n">
        <v>0</v>
      </c>
      <c r="M10357" t="n">
        <v>0</v>
      </c>
      <c r="N10357" t="n">
        <v>0</v>
      </c>
      <c r="O10357" t="n">
        <v>0</v>
      </c>
      <c r="P10357" t="n">
        <v>0</v>
      </c>
      <c r="Q10357" t="n">
        <v>0</v>
      </c>
      <c r="R10357" s="2" t="inlineStr"/>
    </row>
    <row r="10358" ht="15" customHeight="1">
      <c r="A10358" t="inlineStr">
        <is>
          <t>A 6043-2021</t>
        </is>
      </c>
      <c r="B10358" s="1" t="n">
        <v>44232</v>
      </c>
      <c r="C10358" s="1" t="n">
        <v>45952</v>
      </c>
      <c r="D10358" t="inlineStr">
        <is>
          <t>VÄSTRA GÖTALANDS LÄN</t>
        </is>
      </c>
      <c r="E10358" t="inlineStr">
        <is>
          <t>TANUM</t>
        </is>
      </c>
      <c r="G10358" t="n">
        <v>1.5</v>
      </c>
      <c r="H10358" t="n">
        <v>0</v>
      </c>
      <c r="I10358" t="n">
        <v>0</v>
      </c>
      <c r="J10358" t="n">
        <v>0</v>
      </c>
      <c r="K10358" t="n">
        <v>0</v>
      </c>
      <c r="L10358" t="n">
        <v>0</v>
      </c>
      <c r="M10358" t="n">
        <v>0</v>
      </c>
      <c r="N10358" t="n">
        <v>0</v>
      </c>
      <c r="O10358" t="n">
        <v>0</v>
      </c>
      <c r="P10358" t="n">
        <v>0</v>
      </c>
      <c r="Q10358" t="n">
        <v>0</v>
      </c>
      <c r="R10358" s="2" t="inlineStr"/>
    </row>
    <row r="10359" ht="15" customHeight="1">
      <c r="A10359" t="inlineStr">
        <is>
          <t>A 6056-2021</t>
        </is>
      </c>
      <c r="B10359" s="1" t="n">
        <v>44231</v>
      </c>
      <c r="C10359" s="1" t="n">
        <v>45952</v>
      </c>
      <c r="D10359" t="inlineStr">
        <is>
          <t>VÄSTRA GÖTALANDS LÄN</t>
        </is>
      </c>
      <c r="E10359" t="inlineStr">
        <is>
          <t>VÄNERSBORG</t>
        </is>
      </c>
      <c r="G10359" t="n">
        <v>0.6</v>
      </c>
      <c r="H10359" t="n">
        <v>0</v>
      </c>
      <c r="I10359" t="n">
        <v>0</v>
      </c>
      <c r="J10359" t="n">
        <v>0</v>
      </c>
      <c r="K10359" t="n">
        <v>0</v>
      </c>
      <c r="L10359" t="n">
        <v>0</v>
      </c>
      <c r="M10359" t="n">
        <v>0</v>
      </c>
      <c r="N10359" t="n">
        <v>0</v>
      </c>
      <c r="O10359" t="n">
        <v>0</v>
      </c>
      <c r="P10359" t="n">
        <v>0</v>
      </c>
      <c r="Q10359" t="n">
        <v>0</v>
      </c>
      <c r="R10359" s="2" t="inlineStr"/>
    </row>
    <row r="10360" ht="15" customHeight="1">
      <c r="A10360" t="inlineStr">
        <is>
          <t>A 54902-2023</t>
        </is>
      </c>
      <c r="B10360" s="1" t="n">
        <v>45229</v>
      </c>
      <c r="C10360" s="1" t="n">
        <v>45952</v>
      </c>
      <c r="D10360" t="inlineStr">
        <is>
          <t>VÄSTRA GÖTALANDS LÄN</t>
        </is>
      </c>
      <c r="E10360" t="inlineStr">
        <is>
          <t>HJO</t>
        </is>
      </c>
      <c r="G10360" t="n">
        <v>0.9</v>
      </c>
      <c r="H10360" t="n">
        <v>0</v>
      </c>
      <c r="I10360" t="n">
        <v>0</v>
      </c>
      <c r="J10360" t="n">
        <v>0</v>
      </c>
      <c r="K10360" t="n">
        <v>0</v>
      </c>
      <c r="L10360" t="n">
        <v>0</v>
      </c>
      <c r="M10360" t="n">
        <v>0</v>
      </c>
      <c r="N10360" t="n">
        <v>0</v>
      </c>
      <c r="O10360" t="n">
        <v>0</v>
      </c>
      <c r="P10360" t="n">
        <v>0</v>
      </c>
      <c r="Q10360" t="n">
        <v>0</v>
      </c>
      <c r="R10360" s="2" t="inlineStr"/>
    </row>
    <row r="10361" ht="15" customHeight="1">
      <c r="A10361" t="inlineStr">
        <is>
          <t>A 54903-2023</t>
        </is>
      </c>
      <c r="B10361" s="1" t="n">
        <v>45236</v>
      </c>
      <c r="C10361" s="1" t="n">
        <v>45952</v>
      </c>
      <c r="D10361" t="inlineStr">
        <is>
          <t>VÄSTRA GÖTALANDS LÄN</t>
        </is>
      </c>
      <c r="E10361" t="inlineStr">
        <is>
          <t>ULRICEHAMN</t>
        </is>
      </c>
      <c r="G10361" t="n">
        <v>6.4</v>
      </c>
      <c r="H10361" t="n">
        <v>0</v>
      </c>
      <c r="I10361" t="n">
        <v>0</v>
      </c>
      <c r="J10361" t="n">
        <v>0</v>
      </c>
      <c r="K10361" t="n">
        <v>0</v>
      </c>
      <c r="L10361" t="n">
        <v>0</v>
      </c>
      <c r="M10361" t="n">
        <v>0</v>
      </c>
      <c r="N10361" t="n">
        <v>0</v>
      </c>
      <c r="O10361" t="n">
        <v>0</v>
      </c>
      <c r="P10361" t="n">
        <v>0</v>
      </c>
      <c r="Q10361" t="n">
        <v>0</v>
      </c>
      <c r="R10361" s="2" t="inlineStr"/>
    </row>
    <row r="10362" ht="15" customHeight="1">
      <c r="A10362" t="inlineStr">
        <is>
          <t>A 54814-2023</t>
        </is>
      </c>
      <c r="B10362" s="1" t="n">
        <v>45236.52512731482</v>
      </c>
      <c r="C10362" s="1" t="n">
        <v>45952</v>
      </c>
      <c r="D10362" t="inlineStr">
        <is>
          <t>VÄSTRA GÖTALANDS LÄN</t>
        </is>
      </c>
      <c r="E10362" t="inlineStr">
        <is>
          <t>TANUM</t>
        </is>
      </c>
      <c r="G10362" t="n">
        <v>1.1</v>
      </c>
      <c r="H10362" t="n">
        <v>0</v>
      </c>
      <c r="I10362" t="n">
        <v>0</v>
      </c>
      <c r="J10362" t="n">
        <v>0</v>
      </c>
      <c r="K10362" t="n">
        <v>0</v>
      </c>
      <c r="L10362" t="n">
        <v>0</v>
      </c>
      <c r="M10362" t="n">
        <v>0</v>
      </c>
      <c r="N10362" t="n">
        <v>0</v>
      </c>
      <c r="O10362" t="n">
        <v>0</v>
      </c>
      <c r="P10362" t="n">
        <v>0</v>
      </c>
      <c r="Q10362" t="n">
        <v>0</v>
      </c>
      <c r="R10362" s="2" t="inlineStr"/>
    </row>
    <row r="10363" ht="15" customHeight="1">
      <c r="A10363" t="inlineStr">
        <is>
          <t>A 54817-2023</t>
        </is>
      </c>
      <c r="B10363" s="1" t="n">
        <v>45236.5352199074</v>
      </c>
      <c r="C10363" s="1" t="n">
        <v>45952</v>
      </c>
      <c r="D10363" t="inlineStr">
        <is>
          <t>VÄSTRA GÖTALANDS LÄN</t>
        </is>
      </c>
      <c r="E10363" t="inlineStr">
        <is>
          <t>TANUM</t>
        </is>
      </c>
      <c r="G10363" t="n">
        <v>1.6</v>
      </c>
      <c r="H10363" t="n">
        <v>0</v>
      </c>
      <c r="I10363" t="n">
        <v>0</v>
      </c>
      <c r="J10363" t="n">
        <v>0</v>
      </c>
      <c r="K10363" t="n">
        <v>0</v>
      </c>
      <c r="L10363" t="n">
        <v>0</v>
      </c>
      <c r="M10363" t="n">
        <v>0</v>
      </c>
      <c r="N10363" t="n">
        <v>0</v>
      </c>
      <c r="O10363" t="n">
        <v>0</v>
      </c>
      <c r="P10363" t="n">
        <v>0</v>
      </c>
      <c r="Q10363" t="n">
        <v>0</v>
      </c>
      <c r="R10363" s="2" t="inlineStr"/>
    </row>
    <row r="10364" ht="15" customHeight="1">
      <c r="A10364" t="inlineStr">
        <is>
          <t>A 54846-2023</t>
        </is>
      </c>
      <c r="B10364" s="1" t="n">
        <v>45236.58672453704</v>
      </c>
      <c r="C10364" s="1" t="n">
        <v>45952</v>
      </c>
      <c r="D10364" t="inlineStr">
        <is>
          <t>VÄSTRA GÖTALANDS LÄN</t>
        </is>
      </c>
      <c r="E10364" t="inlineStr">
        <is>
          <t>MARK</t>
        </is>
      </c>
      <c r="G10364" t="n">
        <v>2.1</v>
      </c>
      <c r="H10364" t="n">
        <v>0</v>
      </c>
      <c r="I10364" t="n">
        <v>0</v>
      </c>
      <c r="J10364" t="n">
        <v>0</v>
      </c>
      <c r="K10364" t="n">
        <v>0</v>
      </c>
      <c r="L10364" t="n">
        <v>0</v>
      </c>
      <c r="M10364" t="n">
        <v>0</v>
      </c>
      <c r="N10364" t="n">
        <v>0</v>
      </c>
      <c r="O10364" t="n">
        <v>0</v>
      </c>
      <c r="P10364" t="n">
        <v>0</v>
      </c>
      <c r="Q10364" t="n">
        <v>0</v>
      </c>
      <c r="R10364" s="2" t="inlineStr"/>
    </row>
    <row r="10365" ht="15" customHeight="1">
      <c r="A10365" t="inlineStr">
        <is>
          <t>A 54867-2023</t>
        </is>
      </c>
      <c r="B10365" s="1" t="n">
        <v>45229</v>
      </c>
      <c r="C10365" s="1" t="n">
        <v>45952</v>
      </c>
      <c r="D10365" t="inlineStr">
        <is>
          <t>VÄSTRA GÖTALANDS LÄN</t>
        </is>
      </c>
      <c r="E10365" t="inlineStr">
        <is>
          <t>ÅMÅL</t>
        </is>
      </c>
      <c r="G10365" t="n">
        <v>1.9</v>
      </c>
      <c r="H10365" t="n">
        <v>0</v>
      </c>
      <c r="I10365" t="n">
        <v>0</v>
      </c>
      <c r="J10365" t="n">
        <v>0</v>
      </c>
      <c r="K10365" t="n">
        <v>0</v>
      </c>
      <c r="L10365" t="n">
        <v>0</v>
      </c>
      <c r="M10365" t="n">
        <v>0</v>
      </c>
      <c r="N10365" t="n">
        <v>0</v>
      </c>
      <c r="O10365" t="n">
        <v>0</v>
      </c>
      <c r="P10365" t="n">
        <v>0</v>
      </c>
      <c r="Q10365" t="n">
        <v>0</v>
      </c>
      <c r="R10365" s="2" t="inlineStr"/>
    </row>
    <row r="10366" ht="15" customHeight="1">
      <c r="A10366" t="inlineStr">
        <is>
          <t>A 38340-2022</t>
        </is>
      </c>
      <c r="B10366" s="1" t="n">
        <v>44812</v>
      </c>
      <c r="C10366" s="1" t="n">
        <v>45952</v>
      </c>
      <c r="D10366" t="inlineStr">
        <is>
          <t>VÄSTRA GÖTALANDS LÄN</t>
        </is>
      </c>
      <c r="E10366" t="inlineStr">
        <is>
          <t>ULRICEHAMN</t>
        </is>
      </c>
      <c r="G10366" t="n">
        <v>5.4</v>
      </c>
      <c r="H10366" t="n">
        <v>0</v>
      </c>
      <c r="I10366" t="n">
        <v>0</v>
      </c>
      <c r="J10366" t="n">
        <v>0</v>
      </c>
      <c r="K10366" t="n">
        <v>0</v>
      </c>
      <c r="L10366" t="n">
        <v>0</v>
      </c>
      <c r="M10366" t="n">
        <v>0</v>
      </c>
      <c r="N10366" t="n">
        <v>0</v>
      </c>
      <c r="O10366" t="n">
        <v>0</v>
      </c>
      <c r="P10366" t="n">
        <v>0</v>
      </c>
      <c r="Q10366" t="n">
        <v>0</v>
      </c>
      <c r="R10366" s="2" t="inlineStr"/>
    </row>
    <row r="10367" ht="15" customHeight="1">
      <c r="A10367" t="inlineStr">
        <is>
          <t>A 64707-2023</t>
        </is>
      </c>
      <c r="B10367" s="1" t="n">
        <v>45281</v>
      </c>
      <c r="C10367" s="1" t="n">
        <v>45952</v>
      </c>
      <c r="D10367" t="inlineStr">
        <is>
          <t>VÄSTRA GÖTALANDS LÄN</t>
        </is>
      </c>
      <c r="E10367" t="inlineStr">
        <is>
          <t>STRÖMSTAD</t>
        </is>
      </c>
      <c r="F10367" t="inlineStr">
        <is>
          <t>Kommuner</t>
        </is>
      </c>
      <c r="G10367" t="n">
        <v>11.9</v>
      </c>
      <c r="H10367" t="n">
        <v>0</v>
      </c>
      <c r="I10367" t="n">
        <v>0</v>
      </c>
      <c r="J10367" t="n">
        <v>0</v>
      </c>
      <c r="K10367" t="n">
        <v>0</v>
      </c>
      <c r="L10367" t="n">
        <v>0</v>
      </c>
      <c r="M10367" t="n">
        <v>0</v>
      </c>
      <c r="N10367" t="n">
        <v>0</v>
      </c>
      <c r="O10367" t="n">
        <v>0</v>
      </c>
      <c r="P10367" t="n">
        <v>0</v>
      </c>
      <c r="Q10367" t="n">
        <v>0</v>
      </c>
      <c r="R10367" s="2" t="inlineStr"/>
      <c r="U10367">
        <f>HYPERLINK("https://klasma.github.io/Logging_1486/knärot/A 64707-2023 karta knärot.png", "A 64707-2023")</f>
        <v/>
      </c>
      <c r="V10367">
        <f>HYPERLINK("https://klasma.github.io/Logging_1486/klagomål/A 64707-2023 FSC-klagomål.docx", "A 64707-2023")</f>
        <v/>
      </c>
      <c r="W10367">
        <f>HYPERLINK("https://klasma.github.io/Logging_1486/klagomålsmail/A 64707-2023 FSC-klagomål mail.docx", "A 64707-2023")</f>
        <v/>
      </c>
      <c r="X10367">
        <f>HYPERLINK("https://klasma.github.io/Logging_1486/tillsyn/A 64707-2023 tillsynsbegäran.docx", "A 64707-2023")</f>
        <v/>
      </c>
      <c r="Y10367">
        <f>HYPERLINK("https://klasma.github.io/Logging_1486/tillsynsmail/A 64707-2023 tillsynsbegäran mail.docx", "A 64707-2023")</f>
        <v/>
      </c>
    </row>
    <row r="10368" ht="15" customHeight="1">
      <c r="A10368" t="inlineStr">
        <is>
          <t>A 43466-2022</t>
        </is>
      </c>
      <c r="B10368" s="1" t="n">
        <v>44836.73601851852</v>
      </c>
      <c r="C10368" s="1" t="n">
        <v>45952</v>
      </c>
      <c r="D10368" t="inlineStr">
        <is>
          <t>VÄSTRA GÖTALANDS LÄN</t>
        </is>
      </c>
      <c r="E10368" t="inlineStr">
        <is>
          <t>MARIESTAD</t>
        </is>
      </c>
      <c r="G10368" t="n">
        <v>2.1</v>
      </c>
      <c r="H10368" t="n">
        <v>0</v>
      </c>
      <c r="I10368" t="n">
        <v>0</v>
      </c>
      <c r="J10368" t="n">
        <v>0</v>
      </c>
      <c r="K10368" t="n">
        <v>0</v>
      </c>
      <c r="L10368" t="n">
        <v>0</v>
      </c>
      <c r="M10368" t="n">
        <v>0</v>
      </c>
      <c r="N10368" t="n">
        <v>0</v>
      </c>
      <c r="O10368" t="n">
        <v>0</v>
      </c>
      <c r="P10368" t="n">
        <v>0</v>
      </c>
      <c r="Q10368" t="n">
        <v>0</v>
      </c>
      <c r="R10368" s="2" t="inlineStr"/>
    </row>
    <row r="10369" ht="15" customHeight="1">
      <c r="A10369" t="inlineStr">
        <is>
          <t>A 41281-2025</t>
        </is>
      </c>
      <c r="B10369" s="1" t="n">
        <v>45898.63497685185</v>
      </c>
      <c r="C10369" s="1" t="n">
        <v>45952</v>
      </c>
      <c r="D10369" t="inlineStr">
        <is>
          <t>VÄSTRA GÖTALANDS LÄN</t>
        </is>
      </c>
      <c r="E10369" t="inlineStr">
        <is>
          <t>VARA</t>
        </is>
      </c>
      <c r="G10369" t="n">
        <v>4.1</v>
      </c>
      <c r="H10369" t="n">
        <v>0</v>
      </c>
      <c r="I10369" t="n">
        <v>0</v>
      </c>
      <c r="J10369" t="n">
        <v>0</v>
      </c>
      <c r="K10369" t="n">
        <v>0</v>
      </c>
      <c r="L10369" t="n">
        <v>0</v>
      </c>
      <c r="M10369" t="n">
        <v>0</v>
      </c>
      <c r="N10369" t="n">
        <v>0</v>
      </c>
      <c r="O10369" t="n">
        <v>0</v>
      </c>
      <c r="P10369" t="n">
        <v>0</v>
      </c>
      <c r="Q10369" t="n">
        <v>0</v>
      </c>
      <c r="R10369" s="2" t="inlineStr"/>
    </row>
    <row r="10370" ht="15" customHeight="1">
      <c r="A10370" t="inlineStr">
        <is>
          <t>A 335-2025</t>
        </is>
      </c>
      <c r="B10370" s="1" t="n">
        <v>45660.67505787037</v>
      </c>
      <c r="C10370" s="1" t="n">
        <v>45952</v>
      </c>
      <c r="D10370" t="inlineStr">
        <is>
          <t>VÄSTRA GÖTALANDS LÄN</t>
        </is>
      </c>
      <c r="E10370" t="inlineStr">
        <is>
          <t>ÅMÅL</t>
        </is>
      </c>
      <c r="G10370" t="n">
        <v>1.4</v>
      </c>
      <c r="H10370" t="n">
        <v>0</v>
      </c>
      <c r="I10370" t="n">
        <v>0</v>
      </c>
      <c r="J10370" t="n">
        <v>0</v>
      </c>
      <c r="K10370" t="n">
        <v>0</v>
      </c>
      <c r="L10370" t="n">
        <v>0</v>
      </c>
      <c r="M10370" t="n">
        <v>0</v>
      </c>
      <c r="N10370" t="n">
        <v>0</v>
      </c>
      <c r="O10370" t="n">
        <v>0</v>
      </c>
      <c r="P10370" t="n">
        <v>0</v>
      </c>
      <c r="Q10370" t="n">
        <v>0</v>
      </c>
      <c r="R10370" s="2" t="inlineStr"/>
    </row>
    <row r="10371" ht="15" customHeight="1">
      <c r="A10371" t="inlineStr">
        <is>
          <t>A 5448-2025</t>
        </is>
      </c>
      <c r="B10371" s="1" t="n">
        <v>45692.88263888889</v>
      </c>
      <c r="C10371" s="1" t="n">
        <v>45952</v>
      </c>
      <c r="D10371" t="inlineStr">
        <is>
          <t>VÄSTRA GÖTALANDS LÄN</t>
        </is>
      </c>
      <c r="E10371" t="inlineStr">
        <is>
          <t>VÅRGÅRDA</t>
        </is>
      </c>
      <c r="G10371" t="n">
        <v>1.1</v>
      </c>
      <c r="H10371" t="n">
        <v>0</v>
      </c>
      <c r="I10371" t="n">
        <v>0</v>
      </c>
      <c r="J10371" t="n">
        <v>0</v>
      </c>
      <c r="K10371" t="n">
        <v>0</v>
      </c>
      <c r="L10371" t="n">
        <v>0</v>
      </c>
      <c r="M10371" t="n">
        <v>0</v>
      </c>
      <c r="N10371" t="n">
        <v>0</v>
      </c>
      <c r="O10371" t="n">
        <v>0</v>
      </c>
      <c r="P10371" t="n">
        <v>0</v>
      </c>
      <c r="Q10371" t="n">
        <v>0</v>
      </c>
      <c r="R10371" s="2" t="inlineStr"/>
    </row>
    <row r="10372" ht="15" customHeight="1">
      <c r="A10372" t="inlineStr">
        <is>
          <t>A 41286-2025</t>
        </is>
      </c>
      <c r="B10372" s="1" t="n">
        <v>45898.63819444444</v>
      </c>
      <c r="C10372" s="1" t="n">
        <v>45952</v>
      </c>
      <c r="D10372" t="inlineStr">
        <is>
          <t>VÄSTRA GÖTALANDS LÄN</t>
        </is>
      </c>
      <c r="E10372" t="inlineStr">
        <is>
          <t>VARA</t>
        </is>
      </c>
      <c r="G10372" t="n">
        <v>0.5</v>
      </c>
      <c r="H10372" t="n">
        <v>0</v>
      </c>
      <c r="I10372" t="n">
        <v>0</v>
      </c>
      <c r="J10372" t="n">
        <v>0</v>
      </c>
      <c r="K10372" t="n">
        <v>0</v>
      </c>
      <c r="L10372" t="n">
        <v>0</v>
      </c>
      <c r="M10372" t="n">
        <v>0</v>
      </c>
      <c r="N10372" t="n">
        <v>0</v>
      </c>
      <c r="O10372" t="n">
        <v>0</v>
      </c>
      <c r="P10372" t="n">
        <v>0</v>
      </c>
      <c r="Q10372" t="n">
        <v>0</v>
      </c>
      <c r="R10372" s="2" t="inlineStr"/>
    </row>
    <row r="10373" ht="15" customHeight="1">
      <c r="A10373" t="inlineStr">
        <is>
          <t>A 25093-2025</t>
        </is>
      </c>
      <c r="B10373" s="1" t="n">
        <v>45800.33357638889</v>
      </c>
      <c r="C10373" s="1" t="n">
        <v>45952</v>
      </c>
      <c r="D10373" t="inlineStr">
        <is>
          <t>VÄSTRA GÖTALANDS LÄN</t>
        </is>
      </c>
      <c r="E10373" t="inlineStr">
        <is>
          <t>SKÖVDE</t>
        </is>
      </c>
      <c r="F10373" t="inlineStr">
        <is>
          <t>Kommuner</t>
        </is>
      </c>
      <c r="G10373" t="n">
        <v>1.4</v>
      </c>
      <c r="H10373" t="n">
        <v>0</v>
      </c>
      <c r="I10373" t="n">
        <v>0</v>
      </c>
      <c r="J10373" t="n">
        <v>0</v>
      </c>
      <c r="K10373" t="n">
        <v>0</v>
      </c>
      <c r="L10373" t="n">
        <v>0</v>
      </c>
      <c r="M10373" t="n">
        <v>0</v>
      </c>
      <c r="N10373" t="n">
        <v>0</v>
      </c>
      <c r="O10373" t="n">
        <v>0</v>
      </c>
      <c r="P10373" t="n">
        <v>0</v>
      </c>
      <c r="Q10373" t="n">
        <v>0</v>
      </c>
      <c r="R10373" s="2" t="inlineStr"/>
    </row>
    <row r="10374" ht="15" customHeight="1">
      <c r="A10374" t="inlineStr">
        <is>
          <t>A 25635-2025</t>
        </is>
      </c>
      <c r="B10374" s="1" t="n">
        <v>45803.59703703703</v>
      </c>
      <c r="C10374" s="1" t="n">
        <v>45952</v>
      </c>
      <c r="D10374" t="inlineStr">
        <is>
          <t>VÄSTRA GÖTALANDS LÄN</t>
        </is>
      </c>
      <c r="E10374" t="inlineStr">
        <is>
          <t>MELLERUD</t>
        </is>
      </c>
      <c r="G10374" t="n">
        <v>0.4</v>
      </c>
      <c r="H10374" t="n">
        <v>0</v>
      </c>
      <c r="I10374" t="n">
        <v>0</v>
      </c>
      <c r="J10374" t="n">
        <v>0</v>
      </c>
      <c r="K10374" t="n">
        <v>0</v>
      </c>
      <c r="L10374" t="n">
        <v>0</v>
      </c>
      <c r="M10374" t="n">
        <v>0</v>
      </c>
      <c r="N10374" t="n">
        <v>0</v>
      </c>
      <c r="O10374" t="n">
        <v>0</v>
      </c>
      <c r="P10374" t="n">
        <v>0</v>
      </c>
      <c r="Q10374" t="n">
        <v>0</v>
      </c>
      <c r="R10374" s="2" t="inlineStr"/>
    </row>
    <row r="10375" ht="15" customHeight="1">
      <c r="A10375" t="inlineStr">
        <is>
          <t>A 40965-2025</t>
        </is>
      </c>
      <c r="B10375" s="1" t="n">
        <v>45897.75951388889</v>
      </c>
      <c r="C10375" s="1" t="n">
        <v>45952</v>
      </c>
      <c r="D10375" t="inlineStr">
        <is>
          <t>VÄSTRA GÖTALANDS LÄN</t>
        </is>
      </c>
      <c r="E10375" t="inlineStr">
        <is>
          <t>MARK</t>
        </is>
      </c>
      <c r="G10375" t="n">
        <v>1.6</v>
      </c>
      <c r="H10375" t="n">
        <v>0</v>
      </c>
      <c r="I10375" t="n">
        <v>0</v>
      </c>
      <c r="J10375" t="n">
        <v>0</v>
      </c>
      <c r="K10375" t="n">
        <v>0</v>
      </c>
      <c r="L10375" t="n">
        <v>0</v>
      </c>
      <c r="M10375" t="n">
        <v>0</v>
      </c>
      <c r="N10375" t="n">
        <v>0</v>
      </c>
      <c r="O10375" t="n">
        <v>0</v>
      </c>
      <c r="P10375" t="n">
        <v>0</v>
      </c>
      <c r="Q10375" t="n">
        <v>0</v>
      </c>
      <c r="R10375" s="2" t="inlineStr"/>
    </row>
    <row r="10376" ht="15" customHeight="1">
      <c r="A10376" t="inlineStr">
        <is>
          <t>A 25436-2025</t>
        </is>
      </c>
      <c r="B10376" s="1" t="n">
        <v>45800.81622685185</v>
      </c>
      <c r="C10376" s="1" t="n">
        <v>45952</v>
      </c>
      <c r="D10376" t="inlineStr">
        <is>
          <t>VÄSTRA GÖTALANDS LÄN</t>
        </is>
      </c>
      <c r="E10376" t="inlineStr">
        <is>
          <t>GÖTENE</t>
        </is>
      </c>
      <c r="G10376" t="n">
        <v>1.3</v>
      </c>
      <c r="H10376" t="n">
        <v>0</v>
      </c>
      <c r="I10376" t="n">
        <v>0</v>
      </c>
      <c r="J10376" t="n">
        <v>0</v>
      </c>
      <c r="K10376" t="n">
        <v>0</v>
      </c>
      <c r="L10376" t="n">
        <v>0</v>
      </c>
      <c r="M10376" t="n">
        <v>0</v>
      </c>
      <c r="N10376" t="n">
        <v>0</v>
      </c>
      <c r="O10376" t="n">
        <v>0</v>
      </c>
      <c r="P10376" t="n">
        <v>0</v>
      </c>
      <c r="Q10376" t="n">
        <v>0</v>
      </c>
      <c r="R10376" s="2" t="inlineStr"/>
    </row>
    <row r="10377" ht="15" customHeight="1">
      <c r="A10377" t="inlineStr">
        <is>
          <t>A 41108-2025</t>
        </is>
      </c>
      <c r="B10377" s="1" t="n">
        <v>45898.45915509259</v>
      </c>
      <c r="C10377" s="1" t="n">
        <v>45952</v>
      </c>
      <c r="D10377" t="inlineStr">
        <is>
          <t>VÄSTRA GÖTALANDS LÄN</t>
        </is>
      </c>
      <c r="E10377" t="inlineStr">
        <is>
          <t>ULRICEHAMN</t>
        </is>
      </c>
      <c r="F10377" t="inlineStr">
        <is>
          <t>Sveaskog</t>
        </is>
      </c>
      <c r="G10377" t="n">
        <v>9</v>
      </c>
      <c r="H10377" t="n">
        <v>0</v>
      </c>
      <c r="I10377" t="n">
        <v>0</v>
      </c>
      <c r="J10377" t="n">
        <v>0</v>
      </c>
      <c r="K10377" t="n">
        <v>0</v>
      </c>
      <c r="L10377" t="n">
        <v>0</v>
      </c>
      <c r="M10377" t="n">
        <v>0</v>
      </c>
      <c r="N10377" t="n">
        <v>0</v>
      </c>
      <c r="O10377" t="n">
        <v>0</v>
      </c>
      <c r="P10377" t="n">
        <v>0</v>
      </c>
      <c r="Q10377" t="n">
        <v>0</v>
      </c>
      <c r="R10377" s="2" t="inlineStr"/>
    </row>
    <row r="10378" ht="15" customHeight="1">
      <c r="A10378" t="inlineStr">
        <is>
          <t>A 54514-2021</t>
        </is>
      </c>
      <c r="B10378" s="1" t="n">
        <v>44473</v>
      </c>
      <c r="C10378" s="1" t="n">
        <v>45952</v>
      </c>
      <c r="D10378" t="inlineStr">
        <is>
          <t>VÄSTRA GÖTALANDS LÄN</t>
        </is>
      </c>
      <c r="E10378" t="inlineStr">
        <is>
          <t>ESSUNGA</t>
        </is>
      </c>
      <c r="G10378" t="n">
        <v>2.9</v>
      </c>
      <c r="H10378" t="n">
        <v>0</v>
      </c>
      <c r="I10378" t="n">
        <v>0</v>
      </c>
      <c r="J10378" t="n">
        <v>0</v>
      </c>
      <c r="K10378" t="n">
        <v>0</v>
      </c>
      <c r="L10378" t="n">
        <v>0</v>
      </c>
      <c r="M10378" t="n">
        <v>0</v>
      </c>
      <c r="N10378" t="n">
        <v>0</v>
      </c>
      <c r="O10378" t="n">
        <v>0</v>
      </c>
      <c r="P10378" t="n">
        <v>0</v>
      </c>
      <c r="Q10378" t="n">
        <v>0</v>
      </c>
      <c r="R10378" s="2" t="inlineStr"/>
    </row>
    <row r="10379" ht="15" customHeight="1">
      <c r="A10379" t="inlineStr">
        <is>
          <t>A 44165-2024</t>
        </is>
      </c>
      <c r="B10379" s="1" t="n">
        <v>45572.73310185185</v>
      </c>
      <c r="C10379" s="1" t="n">
        <v>45952</v>
      </c>
      <c r="D10379" t="inlineStr">
        <is>
          <t>VÄSTRA GÖTALANDS LÄN</t>
        </is>
      </c>
      <c r="E10379" t="inlineStr">
        <is>
          <t>TRANEMO</t>
        </is>
      </c>
      <c r="G10379" t="n">
        <v>0.9</v>
      </c>
      <c r="H10379" t="n">
        <v>0</v>
      </c>
      <c r="I10379" t="n">
        <v>0</v>
      </c>
      <c r="J10379" t="n">
        <v>0</v>
      </c>
      <c r="K10379" t="n">
        <v>0</v>
      </c>
      <c r="L10379" t="n">
        <v>0</v>
      </c>
      <c r="M10379" t="n">
        <v>0</v>
      </c>
      <c r="N10379" t="n">
        <v>0</v>
      </c>
      <c r="O10379" t="n">
        <v>0</v>
      </c>
      <c r="P10379" t="n">
        <v>0</v>
      </c>
      <c r="Q10379" t="n">
        <v>0</v>
      </c>
      <c r="R10379" s="2" t="inlineStr"/>
    </row>
    <row r="10380" ht="15" customHeight="1">
      <c r="A10380" t="inlineStr">
        <is>
          <t>A 36772-2023</t>
        </is>
      </c>
      <c r="B10380" s="1" t="n">
        <v>45154.26027777778</v>
      </c>
      <c r="C10380" s="1" t="n">
        <v>45952</v>
      </c>
      <c r="D10380" t="inlineStr">
        <is>
          <t>VÄSTRA GÖTALANDS LÄN</t>
        </is>
      </c>
      <c r="E10380" t="inlineStr">
        <is>
          <t>MARK</t>
        </is>
      </c>
      <c r="G10380" t="n">
        <v>2.7</v>
      </c>
      <c r="H10380" t="n">
        <v>0</v>
      </c>
      <c r="I10380" t="n">
        <v>0</v>
      </c>
      <c r="J10380" t="n">
        <v>0</v>
      </c>
      <c r="K10380" t="n">
        <v>0</v>
      </c>
      <c r="L10380" t="n">
        <v>0</v>
      </c>
      <c r="M10380" t="n">
        <v>0</v>
      </c>
      <c r="N10380" t="n">
        <v>0</v>
      </c>
      <c r="O10380" t="n">
        <v>0</v>
      </c>
      <c r="P10380" t="n">
        <v>0</v>
      </c>
      <c r="Q10380" t="n">
        <v>0</v>
      </c>
      <c r="R10380" s="2" t="inlineStr"/>
    </row>
    <row r="10381" ht="15" customHeight="1">
      <c r="A10381" t="inlineStr">
        <is>
          <t>A 25089-2025</t>
        </is>
      </c>
      <c r="B10381" s="1" t="n">
        <v>45800.31393518519</v>
      </c>
      <c r="C10381" s="1" t="n">
        <v>45952</v>
      </c>
      <c r="D10381" t="inlineStr">
        <is>
          <t>VÄSTRA GÖTALANDS LÄN</t>
        </is>
      </c>
      <c r="E10381" t="inlineStr">
        <is>
          <t>BOLLEBYGD</t>
        </is>
      </c>
      <c r="G10381" t="n">
        <v>1.9</v>
      </c>
      <c r="H10381" t="n">
        <v>0</v>
      </c>
      <c r="I10381" t="n">
        <v>0</v>
      </c>
      <c r="J10381" t="n">
        <v>0</v>
      </c>
      <c r="K10381" t="n">
        <v>0</v>
      </c>
      <c r="L10381" t="n">
        <v>0</v>
      </c>
      <c r="M10381" t="n">
        <v>0</v>
      </c>
      <c r="N10381" t="n">
        <v>0</v>
      </c>
      <c r="O10381" t="n">
        <v>0</v>
      </c>
      <c r="P10381" t="n">
        <v>0</v>
      </c>
      <c r="Q10381" t="n">
        <v>0</v>
      </c>
      <c r="R10381" s="2" t="inlineStr"/>
    </row>
    <row r="10382" ht="15" customHeight="1">
      <c r="A10382" t="inlineStr">
        <is>
          <t>A 46936-2024</t>
        </is>
      </c>
      <c r="B10382" s="1" t="n">
        <v>45585.57081018519</v>
      </c>
      <c r="C10382" s="1" t="n">
        <v>45952</v>
      </c>
      <c r="D10382" t="inlineStr">
        <is>
          <t>VÄSTRA GÖTALANDS LÄN</t>
        </is>
      </c>
      <c r="E10382" t="inlineStr">
        <is>
          <t>SVENLJUNGA</t>
        </is>
      </c>
      <c r="G10382" t="n">
        <v>10.1</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49880-2025</t>
        </is>
      </c>
      <c r="B10383" s="1" t="n">
        <v>45940.56752314815</v>
      </c>
      <c r="C10383" s="1" t="n">
        <v>45952</v>
      </c>
      <c r="D10383" t="inlineStr">
        <is>
          <t>VÄSTRA GÖTALANDS LÄN</t>
        </is>
      </c>
      <c r="E10383" t="inlineStr">
        <is>
          <t>BENGTSFORS</t>
        </is>
      </c>
      <c r="G10383" t="n">
        <v>1.7</v>
      </c>
      <c r="H10383" t="n">
        <v>0</v>
      </c>
      <c r="I10383" t="n">
        <v>0</v>
      </c>
      <c r="J10383" t="n">
        <v>0</v>
      </c>
      <c r="K10383" t="n">
        <v>0</v>
      </c>
      <c r="L10383" t="n">
        <v>0</v>
      </c>
      <c r="M10383" t="n">
        <v>0</v>
      </c>
      <c r="N10383" t="n">
        <v>0</v>
      </c>
      <c r="O10383" t="n">
        <v>0</v>
      </c>
      <c r="P10383" t="n">
        <v>0</v>
      </c>
      <c r="Q10383" t="n">
        <v>0</v>
      </c>
      <c r="R10383" s="2" t="inlineStr"/>
    </row>
    <row r="10384" ht="15" customHeight="1">
      <c r="A10384" t="inlineStr">
        <is>
          <t>A 25254-2025</t>
        </is>
      </c>
      <c r="B10384" s="1" t="n">
        <v>45800.50479166667</v>
      </c>
      <c r="C10384" s="1" t="n">
        <v>45952</v>
      </c>
      <c r="D10384" t="inlineStr">
        <is>
          <t>VÄSTRA GÖTALANDS LÄN</t>
        </is>
      </c>
      <c r="E10384" t="inlineStr">
        <is>
          <t>PARTILLE</t>
        </is>
      </c>
      <c r="F10384" t="inlineStr">
        <is>
          <t>Kommuner</t>
        </is>
      </c>
      <c r="G10384" t="n">
        <v>0.2</v>
      </c>
      <c r="H10384" t="n">
        <v>0</v>
      </c>
      <c r="I10384" t="n">
        <v>0</v>
      </c>
      <c r="J10384" t="n">
        <v>0</v>
      </c>
      <c r="K10384" t="n">
        <v>0</v>
      </c>
      <c r="L10384" t="n">
        <v>0</v>
      </c>
      <c r="M10384" t="n">
        <v>0</v>
      </c>
      <c r="N10384" t="n">
        <v>0</v>
      </c>
      <c r="O10384" t="n">
        <v>0</v>
      </c>
      <c r="P10384" t="n">
        <v>0</v>
      </c>
      <c r="Q10384" t="n">
        <v>0</v>
      </c>
      <c r="R10384" s="2" t="inlineStr"/>
    </row>
    <row r="10385" ht="15" customHeight="1">
      <c r="A10385" t="inlineStr">
        <is>
          <t>A 50069-2025</t>
        </is>
      </c>
      <c r="B10385" s="1" t="n">
        <v>45943</v>
      </c>
      <c r="C10385" s="1" t="n">
        <v>45952</v>
      </c>
      <c r="D10385" t="inlineStr">
        <is>
          <t>VÄSTRA GÖTALANDS LÄN</t>
        </is>
      </c>
      <c r="E10385" t="inlineStr">
        <is>
          <t>BORÅS</t>
        </is>
      </c>
      <c r="F10385" t="inlineStr">
        <is>
          <t>Kommuner</t>
        </is>
      </c>
      <c r="G10385" t="n">
        <v>2</v>
      </c>
      <c r="H10385" t="n">
        <v>0</v>
      </c>
      <c r="I10385" t="n">
        <v>0</v>
      </c>
      <c r="J10385" t="n">
        <v>0</v>
      </c>
      <c r="K10385" t="n">
        <v>0</v>
      </c>
      <c r="L10385" t="n">
        <v>0</v>
      </c>
      <c r="M10385" t="n">
        <v>0</v>
      </c>
      <c r="N10385" t="n">
        <v>0</v>
      </c>
      <c r="O10385" t="n">
        <v>0</v>
      </c>
      <c r="P10385" t="n">
        <v>0</v>
      </c>
      <c r="Q10385" t="n">
        <v>0</v>
      </c>
      <c r="R10385" s="2" t="inlineStr"/>
    </row>
    <row r="10386" ht="15" customHeight="1">
      <c r="A10386" t="inlineStr">
        <is>
          <t>A 8273-2024</t>
        </is>
      </c>
      <c r="B10386" s="1" t="n">
        <v>45352</v>
      </c>
      <c r="C10386" s="1" t="n">
        <v>45952</v>
      </c>
      <c r="D10386" t="inlineStr">
        <is>
          <t>VÄSTRA GÖTALANDS LÄN</t>
        </is>
      </c>
      <c r="E10386" t="inlineStr">
        <is>
          <t>TROLLHÄTTAN</t>
        </is>
      </c>
      <c r="G10386" t="n">
        <v>2.5</v>
      </c>
      <c r="H10386" t="n">
        <v>0</v>
      </c>
      <c r="I10386" t="n">
        <v>0</v>
      </c>
      <c r="J10386" t="n">
        <v>0</v>
      </c>
      <c r="K10386" t="n">
        <v>0</v>
      </c>
      <c r="L10386" t="n">
        <v>0</v>
      </c>
      <c r="M10386" t="n">
        <v>0</v>
      </c>
      <c r="N10386" t="n">
        <v>0</v>
      </c>
      <c r="O10386" t="n">
        <v>0</v>
      </c>
      <c r="P10386" t="n">
        <v>0</v>
      </c>
      <c r="Q10386" t="n">
        <v>0</v>
      </c>
      <c r="R10386" s="2" t="inlineStr"/>
    </row>
    <row r="10387" ht="15" customHeight="1">
      <c r="A10387" t="inlineStr">
        <is>
          <t>A 8315-2024</t>
        </is>
      </c>
      <c r="B10387" s="1" t="n">
        <v>45350</v>
      </c>
      <c r="C10387" s="1" t="n">
        <v>45952</v>
      </c>
      <c r="D10387" t="inlineStr">
        <is>
          <t>VÄSTRA GÖTALANDS LÄN</t>
        </is>
      </c>
      <c r="E10387" t="inlineStr">
        <is>
          <t>TÖREBODA</t>
        </is>
      </c>
      <c r="G10387" t="n">
        <v>2.3</v>
      </c>
      <c r="H10387" t="n">
        <v>0</v>
      </c>
      <c r="I10387" t="n">
        <v>0</v>
      </c>
      <c r="J10387" t="n">
        <v>0</v>
      </c>
      <c r="K10387" t="n">
        <v>0</v>
      </c>
      <c r="L10387" t="n">
        <v>0</v>
      </c>
      <c r="M10387" t="n">
        <v>0</v>
      </c>
      <c r="N10387" t="n">
        <v>0</v>
      </c>
      <c r="O10387" t="n">
        <v>0</v>
      </c>
      <c r="P10387" t="n">
        <v>0</v>
      </c>
      <c r="Q10387" t="n">
        <v>0</v>
      </c>
      <c r="R10387" s="2" t="inlineStr"/>
    </row>
    <row r="10388" ht="15" customHeight="1">
      <c r="A10388" t="inlineStr">
        <is>
          <t>A 60106-2022</t>
        </is>
      </c>
      <c r="B10388" s="1" t="n">
        <v>44909.63509259259</v>
      </c>
      <c r="C10388" s="1" t="n">
        <v>45952</v>
      </c>
      <c r="D10388" t="inlineStr">
        <is>
          <t>VÄSTRA GÖTALANDS LÄN</t>
        </is>
      </c>
      <c r="E10388" t="inlineStr">
        <is>
          <t>DALS-ED</t>
        </is>
      </c>
      <c r="G10388" t="n">
        <v>3.7</v>
      </c>
      <c r="H10388" t="n">
        <v>0</v>
      </c>
      <c r="I10388" t="n">
        <v>0</v>
      </c>
      <c r="J10388" t="n">
        <v>0</v>
      </c>
      <c r="K10388" t="n">
        <v>0</v>
      </c>
      <c r="L10388" t="n">
        <v>0</v>
      </c>
      <c r="M10388" t="n">
        <v>0</v>
      </c>
      <c r="N10388" t="n">
        <v>0</v>
      </c>
      <c r="O10388" t="n">
        <v>0</v>
      </c>
      <c r="P10388" t="n">
        <v>0</v>
      </c>
      <c r="Q10388" t="n">
        <v>0</v>
      </c>
      <c r="R10388" s="2" t="inlineStr"/>
    </row>
    <row r="10389" ht="15" customHeight="1">
      <c r="A10389" t="inlineStr">
        <is>
          <t>A 60643-2022</t>
        </is>
      </c>
      <c r="B10389" s="1" t="n">
        <v>44911.72277777778</v>
      </c>
      <c r="C10389" s="1" t="n">
        <v>45952</v>
      </c>
      <c r="D10389" t="inlineStr">
        <is>
          <t>VÄSTRA GÖTALANDS LÄN</t>
        </is>
      </c>
      <c r="E10389" t="inlineStr">
        <is>
          <t>TIDAHOLM</t>
        </is>
      </c>
      <c r="F10389" t="inlineStr">
        <is>
          <t>Sveaskog</t>
        </is>
      </c>
      <c r="G10389" t="n">
        <v>1.8</v>
      </c>
      <c r="H10389" t="n">
        <v>0</v>
      </c>
      <c r="I10389" t="n">
        <v>0</v>
      </c>
      <c r="J10389" t="n">
        <v>0</v>
      </c>
      <c r="K10389" t="n">
        <v>0</v>
      </c>
      <c r="L10389" t="n">
        <v>0</v>
      </c>
      <c r="M10389" t="n">
        <v>0</v>
      </c>
      <c r="N10389" t="n">
        <v>0</v>
      </c>
      <c r="O10389" t="n">
        <v>0</v>
      </c>
      <c r="P10389" t="n">
        <v>0</v>
      </c>
      <c r="Q10389" t="n">
        <v>0</v>
      </c>
      <c r="R10389" s="2" t="inlineStr"/>
    </row>
    <row r="10390" ht="15" customHeight="1">
      <c r="A10390" t="inlineStr">
        <is>
          <t>A 60644-2022</t>
        </is>
      </c>
      <c r="B10390" s="1" t="n">
        <v>44911.72387731481</v>
      </c>
      <c r="C10390" s="1" t="n">
        <v>45952</v>
      </c>
      <c r="D10390" t="inlineStr">
        <is>
          <t>VÄSTRA GÖTALANDS LÄN</t>
        </is>
      </c>
      <c r="E10390" t="inlineStr">
        <is>
          <t>TIDAHOLM</t>
        </is>
      </c>
      <c r="F10390" t="inlineStr">
        <is>
          <t>Sveaskog</t>
        </is>
      </c>
      <c r="G10390" t="n">
        <v>1.3</v>
      </c>
      <c r="H10390" t="n">
        <v>0</v>
      </c>
      <c r="I10390" t="n">
        <v>0</v>
      </c>
      <c r="J10390" t="n">
        <v>0</v>
      </c>
      <c r="K10390" t="n">
        <v>0</v>
      </c>
      <c r="L10390" t="n">
        <v>0</v>
      </c>
      <c r="M10390" t="n">
        <v>0</v>
      </c>
      <c r="N10390" t="n">
        <v>0</v>
      </c>
      <c r="O10390" t="n">
        <v>0</v>
      </c>
      <c r="P10390" t="n">
        <v>0</v>
      </c>
      <c r="Q10390" t="n">
        <v>0</v>
      </c>
      <c r="R10390" s="2" t="inlineStr"/>
    </row>
    <row r="10391" ht="15" customHeight="1">
      <c r="A10391" t="inlineStr">
        <is>
          <t>A 3187-2024</t>
        </is>
      </c>
      <c r="B10391" s="1" t="n">
        <v>45316.65596064815</v>
      </c>
      <c r="C10391" s="1" t="n">
        <v>45952</v>
      </c>
      <c r="D10391" t="inlineStr">
        <is>
          <t>VÄSTRA GÖTALANDS LÄN</t>
        </is>
      </c>
      <c r="E10391" t="inlineStr">
        <is>
          <t>STRÖMSTAD</t>
        </is>
      </c>
      <c r="F10391" t="inlineStr">
        <is>
          <t>Kommuner</t>
        </is>
      </c>
      <c r="G10391" t="n">
        <v>4.4</v>
      </c>
      <c r="H10391" t="n">
        <v>0</v>
      </c>
      <c r="I10391" t="n">
        <v>0</v>
      </c>
      <c r="J10391" t="n">
        <v>0</v>
      </c>
      <c r="K10391" t="n">
        <v>0</v>
      </c>
      <c r="L10391" t="n">
        <v>0</v>
      </c>
      <c r="M10391" t="n">
        <v>0</v>
      </c>
      <c r="N10391" t="n">
        <v>0</v>
      </c>
      <c r="O10391" t="n">
        <v>0</v>
      </c>
      <c r="P10391" t="n">
        <v>0</v>
      </c>
      <c r="Q10391" t="n">
        <v>0</v>
      </c>
      <c r="R10391" s="2" t="inlineStr"/>
    </row>
    <row r="10392" ht="15" customHeight="1">
      <c r="A10392" t="inlineStr">
        <is>
          <t>A 50830-2022</t>
        </is>
      </c>
      <c r="B10392" s="1" t="n">
        <v>44867</v>
      </c>
      <c r="C10392" s="1" t="n">
        <v>45952</v>
      </c>
      <c r="D10392" t="inlineStr">
        <is>
          <t>VÄSTRA GÖTALANDS LÄN</t>
        </is>
      </c>
      <c r="E10392" t="inlineStr">
        <is>
          <t>TRANEMO</t>
        </is>
      </c>
      <c r="G10392" t="n">
        <v>0.5</v>
      </c>
      <c r="H10392" t="n">
        <v>0</v>
      </c>
      <c r="I10392" t="n">
        <v>0</v>
      </c>
      <c r="J10392" t="n">
        <v>0</v>
      </c>
      <c r="K10392" t="n">
        <v>0</v>
      </c>
      <c r="L10392" t="n">
        <v>0</v>
      </c>
      <c r="M10392" t="n">
        <v>0</v>
      </c>
      <c r="N10392" t="n">
        <v>0</v>
      </c>
      <c r="O10392" t="n">
        <v>0</v>
      </c>
      <c r="P10392" t="n">
        <v>0</v>
      </c>
      <c r="Q10392" t="n">
        <v>0</v>
      </c>
      <c r="R10392" s="2" t="inlineStr"/>
    </row>
    <row r="10393" ht="15" customHeight="1">
      <c r="A10393" t="inlineStr">
        <is>
          <t>A 13297-2023</t>
        </is>
      </c>
      <c r="B10393" s="1" t="n">
        <v>45005.33422453704</v>
      </c>
      <c r="C10393" s="1" t="n">
        <v>45952</v>
      </c>
      <c r="D10393" t="inlineStr">
        <is>
          <t>VÄSTRA GÖTALANDS LÄN</t>
        </is>
      </c>
      <c r="E10393" t="inlineStr">
        <is>
          <t>HERRLJUNGA</t>
        </is>
      </c>
      <c r="G10393" t="n">
        <v>0.5</v>
      </c>
      <c r="H10393" t="n">
        <v>0</v>
      </c>
      <c r="I10393" t="n">
        <v>0</v>
      </c>
      <c r="J10393" t="n">
        <v>0</v>
      </c>
      <c r="K10393" t="n">
        <v>0</v>
      </c>
      <c r="L10393" t="n">
        <v>0</v>
      </c>
      <c r="M10393" t="n">
        <v>0</v>
      </c>
      <c r="N10393" t="n">
        <v>0</v>
      </c>
      <c r="O10393" t="n">
        <v>0</v>
      </c>
      <c r="P10393" t="n">
        <v>0</v>
      </c>
      <c r="Q10393" t="n">
        <v>0</v>
      </c>
      <c r="R10393" s="2" t="inlineStr"/>
    </row>
    <row r="10394" ht="15" customHeight="1">
      <c r="A10394" t="inlineStr">
        <is>
          <t>A 3225-2024</t>
        </is>
      </c>
      <c r="B10394" s="1" t="n">
        <v>45316.87039351852</v>
      </c>
      <c r="C10394" s="1" t="n">
        <v>45952</v>
      </c>
      <c r="D10394" t="inlineStr">
        <is>
          <t>VÄSTRA GÖTALANDS LÄN</t>
        </is>
      </c>
      <c r="E10394" t="inlineStr">
        <is>
          <t>ULRICEHAMN</t>
        </is>
      </c>
      <c r="G10394" t="n">
        <v>1.4</v>
      </c>
      <c r="H10394" t="n">
        <v>0</v>
      </c>
      <c r="I10394" t="n">
        <v>0</v>
      </c>
      <c r="J10394" t="n">
        <v>0</v>
      </c>
      <c r="K10394" t="n">
        <v>0</v>
      </c>
      <c r="L10394" t="n">
        <v>0</v>
      </c>
      <c r="M10394" t="n">
        <v>0</v>
      </c>
      <c r="N10394" t="n">
        <v>0</v>
      </c>
      <c r="O10394" t="n">
        <v>0</v>
      </c>
      <c r="P10394" t="n">
        <v>0</v>
      </c>
      <c r="Q10394" t="n">
        <v>0</v>
      </c>
      <c r="R10394" s="2" t="inlineStr"/>
    </row>
    <row r="10395" ht="15" customHeight="1">
      <c r="A10395" t="inlineStr">
        <is>
          <t>A 18083-2024</t>
        </is>
      </c>
      <c r="B10395" s="1" t="n">
        <v>45420.44768518519</v>
      </c>
      <c r="C10395" s="1" t="n">
        <v>45952</v>
      </c>
      <c r="D10395" t="inlineStr">
        <is>
          <t>VÄSTRA GÖTALANDS LÄN</t>
        </is>
      </c>
      <c r="E10395" t="inlineStr">
        <is>
          <t>KARLSBORG</t>
        </is>
      </c>
      <c r="G10395" t="n">
        <v>4.7</v>
      </c>
      <c r="H10395" t="n">
        <v>0</v>
      </c>
      <c r="I10395" t="n">
        <v>0</v>
      </c>
      <c r="J10395" t="n">
        <v>0</v>
      </c>
      <c r="K10395" t="n">
        <v>0</v>
      </c>
      <c r="L10395" t="n">
        <v>0</v>
      </c>
      <c r="M10395" t="n">
        <v>0</v>
      </c>
      <c r="N10395" t="n">
        <v>0</v>
      </c>
      <c r="O10395" t="n">
        <v>0</v>
      </c>
      <c r="P10395" t="n">
        <v>0</v>
      </c>
      <c r="Q10395" t="n">
        <v>0</v>
      </c>
      <c r="R10395" s="2" t="inlineStr"/>
    </row>
    <row r="10396" ht="15" customHeight="1">
      <c r="A10396" t="inlineStr">
        <is>
          <t>A 43987-2022</t>
        </is>
      </c>
      <c r="B10396" s="1" t="n">
        <v>44838.66666666666</v>
      </c>
      <c r="C10396" s="1" t="n">
        <v>45952</v>
      </c>
      <c r="D10396" t="inlineStr">
        <is>
          <t>VÄSTRA GÖTALANDS LÄN</t>
        </is>
      </c>
      <c r="E10396" t="inlineStr">
        <is>
          <t>VÄNERSBORG</t>
        </is>
      </c>
      <c r="G10396" t="n">
        <v>1.2</v>
      </c>
      <c r="H10396" t="n">
        <v>0</v>
      </c>
      <c r="I10396" t="n">
        <v>0</v>
      </c>
      <c r="J10396" t="n">
        <v>0</v>
      </c>
      <c r="K10396" t="n">
        <v>0</v>
      </c>
      <c r="L10396" t="n">
        <v>0</v>
      </c>
      <c r="M10396" t="n">
        <v>0</v>
      </c>
      <c r="N10396" t="n">
        <v>0</v>
      </c>
      <c r="O10396" t="n">
        <v>0</v>
      </c>
      <c r="P10396" t="n">
        <v>0</v>
      </c>
      <c r="Q10396" t="n">
        <v>0</v>
      </c>
      <c r="R10396" s="2" t="inlineStr"/>
    </row>
    <row r="10397" ht="15" customHeight="1">
      <c r="A10397" t="inlineStr">
        <is>
          <t>A 9773-2021</t>
        </is>
      </c>
      <c r="B10397" s="1" t="n">
        <v>44252</v>
      </c>
      <c r="C10397" s="1" t="n">
        <v>45952</v>
      </c>
      <c r="D10397" t="inlineStr">
        <is>
          <t>VÄSTRA GÖTALANDS LÄN</t>
        </is>
      </c>
      <c r="E10397" t="inlineStr">
        <is>
          <t>HJO</t>
        </is>
      </c>
      <c r="G10397" t="n">
        <v>2.4</v>
      </c>
      <c r="H10397" t="n">
        <v>0</v>
      </c>
      <c r="I10397" t="n">
        <v>0</v>
      </c>
      <c r="J10397" t="n">
        <v>0</v>
      </c>
      <c r="K10397" t="n">
        <v>0</v>
      </c>
      <c r="L10397" t="n">
        <v>0</v>
      </c>
      <c r="M10397" t="n">
        <v>0</v>
      </c>
      <c r="N10397" t="n">
        <v>0</v>
      </c>
      <c r="O10397" t="n">
        <v>0</v>
      </c>
      <c r="P10397" t="n">
        <v>0</v>
      </c>
      <c r="Q10397" t="n">
        <v>0</v>
      </c>
      <c r="R10397" s="2" t="inlineStr"/>
    </row>
    <row r="10398" ht="15" customHeight="1">
      <c r="A10398" t="inlineStr">
        <is>
          <t>A 33993-2023</t>
        </is>
      </c>
      <c r="B10398" s="1" t="n">
        <v>45134.92311342592</v>
      </c>
      <c r="C10398" s="1" t="n">
        <v>45952</v>
      </c>
      <c r="D10398" t="inlineStr">
        <is>
          <t>VÄSTRA GÖTALANDS LÄN</t>
        </is>
      </c>
      <c r="E10398" t="inlineStr">
        <is>
          <t>LILLA EDET</t>
        </is>
      </c>
      <c r="G10398" t="n">
        <v>0.8</v>
      </c>
      <c r="H10398" t="n">
        <v>0</v>
      </c>
      <c r="I10398" t="n">
        <v>0</v>
      </c>
      <c r="J10398" t="n">
        <v>0</v>
      </c>
      <c r="K10398" t="n">
        <v>0</v>
      </c>
      <c r="L10398" t="n">
        <v>0</v>
      </c>
      <c r="M10398" t="n">
        <v>0</v>
      </c>
      <c r="N10398" t="n">
        <v>0</v>
      </c>
      <c r="O10398" t="n">
        <v>0</v>
      </c>
      <c r="P10398" t="n">
        <v>0</v>
      </c>
      <c r="Q10398" t="n">
        <v>0</v>
      </c>
      <c r="R10398" s="2" t="inlineStr"/>
    </row>
    <row r="10399" ht="15" customHeight="1">
      <c r="A10399" t="inlineStr">
        <is>
          <t>A 33996-2023</t>
        </is>
      </c>
      <c r="B10399" s="1" t="n">
        <v>45134.92869212963</v>
      </c>
      <c r="C10399" s="1" t="n">
        <v>45952</v>
      </c>
      <c r="D10399" t="inlineStr">
        <is>
          <t>VÄSTRA GÖTALANDS LÄN</t>
        </is>
      </c>
      <c r="E10399" t="inlineStr">
        <is>
          <t>LILLA EDET</t>
        </is>
      </c>
      <c r="G10399" t="n">
        <v>0.6</v>
      </c>
      <c r="H10399" t="n">
        <v>0</v>
      </c>
      <c r="I10399" t="n">
        <v>0</v>
      </c>
      <c r="J10399" t="n">
        <v>0</v>
      </c>
      <c r="K10399" t="n">
        <v>0</v>
      </c>
      <c r="L10399" t="n">
        <v>0</v>
      </c>
      <c r="M10399" t="n">
        <v>0</v>
      </c>
      <c r="N10399" t="n">
        <v>0</v>
      </c>
      <c r="O10399" t="n">
        <v>0</v>
      </c>
      <c r="P10399" t="n">
        <v>0</v>
      </c>
      <c r="Q10399" t="n">
        <v>0</v>
      </c>
      <c r="R10399" s="2" t="inlineStr"/>
    </row>
    <row r="10400" ht="15" customHeight="1">
      <c r="A10400" t="inlineStr">
        <is>
          <t>A 34058-2023</t>
        </is>
      </c>
      <c r="B10400" s="1" t="n">
        <v>45135</v>
      </c>
      <c r="C10400" s="1" t="n">
        <v>45952</v>
      </c>
      <c r="D10400" t="inlineStr">
        <is>
          <t>VÄSTRA GÖTALANDS LÄN</t>
        </is>
      </c>
      <c r="E10400" t="inlineStr">
        <is>
          <t>UDDEVALLA</t>
        </is>
      </c>
      <c r="G10400" t="n">
        <v>1.3</v>
      </c>
      <c r="H10400" t="n">
        <v>0</v>
      </c>
      <c r="I10400" t="n">
        <v>0</v>
      </c>
      <c r="J10400" t="n">
        <v>0</v>
      </c>
      <c r="K10400" t="n">
        <v>0</v>
      </c>
      <c r="L10400" t="n">
        <v>0</v>
      </c>
      <c r="M10400" t="n">
        <v>0</v>
      </c>
      <c r="N10400" t="n">
        <v>0</v>
      </c>
      <c r="O10400" t="n">
        <v>0</v>
      </c>
      <c r="P10400" t="n">
        <v>0</v>
      </c>
      <c r="Q10400" t="n">
        <v>0</v>
      </c>
      <c r="R10400" s="2" t="inlineStr"/>
    </row>
    <row r="10401" ht="15" customHeight="1">
      <c r="A10401" t="inlineStr">
        <is>
          <t>A 25326-2025</t>
        </is>
      </c>
      <c r="B10401" s="1" t="n">
        <v>45800</v>
      </c>
      <c r="C10401" s="1" t="n">
        <v>45952</v>
      </c>
      <c r="D10401" t="inlineStr">
        <is>
          <t>VÄSTRA GÖTALANDS LÄN</t>
        </is>
      </c>
      <c r="E10401" t="inlineStr">
        <is>
          <t>VÅRGÅRDA</t>
        </is>
      </c>
      <c r="G10401" t="n">
        <v>0.9</v>
      </c>
      <c r="H10401" t="n">
        <v>0</v>
      </c>
      <c r="I10401" t="n">
        <v>0</v>
      </c>
      <c r="J10401" t="n">
        <v>0</v>
      </c>
      <c r="K10401" t="n">
        <v>0</v>
      </c>
      <c r="L10401" t="n">
        <v>0</v>
      </c>
      <c r="M10401" t="n">
        <v>0</v>
      </c>
      <c r="N10401" t="n">
        <v>0</v>
      </c>
      <c r="O10401" t="n">
        <v>0</v>
      </c>
      <c r="P10401" t="n">
        <v>0</v>
      </c>
      <c r="Q10401" t="n">
        <v>0</v>
      </c>
      <c r="R10401" s="2" t="inlineStr"/>
    </row>
    <row r="10402" ht="15" customHeight="1">
      <c r="A10402" t="inlineStr">
        <is>
          <t>A 38615-2021</t>
        </is>
      </c>
      <c r="B10402" s="1" t="n">
        <v>44409.55400462963</v>
      </c>
      <c r="C10402" s="1" t="n">
        <v>45952</v>
      </c>
      <c r="D10402" t="inlineStr">
        <is>
          <t>VÄSTRA GÖTALANDS LÄN</t>
        </is>
      </c>
      <c r="E10402" t="inlineStr">
        <is>
          <t>SVENLJUNGA</t>
        </is>
      </c>
      <c r="G10402" t="n">
        <v>1.9</v>
      </c>
      <c r="H10402" t="n">
        <v>0</v>
      </c>
      <c r="I10402" t="n">
        <v>0</v>
      </c>
      <c r="J10402" t="n">
        <v>0</v>
      </c>
      <c r="K10402" t="n">
        <v>0</v>
      </c>
      <c r="L10402" t="n">
        <v>0</v>
      </c>
      <c r="M10402" t="n">
        <v>0</v>
      </c>
      <c r="N10402" t="n">
        <v>0</v>
      </c>
      <c r="O10402" t="n">
        <v>0</v>
      </c>
      <c r="P10402" t="n">
        <v>0</v>
      </c>
      <c r="Q10402" t="n">
        <v>0</v>
      </c>
      <c r="R10402" s="2" t="inlineStr"/>
    </row>
    <row r="10403" ht="15" customHeight="1">
      <c r="A10403" t="inlineStr">
        <is>
          <t>A 22880-2023</t>
        </is>
      </c>
      <c r="B10403" s="1" t="n">
        <v>45072</v>
      </c>
      <c r="C10403" s="1" t="n">
        <v>45952</v>
      </c>
      <c r="D10403" t="inlineStr">
        <is>
          <t>VÄSTRA GÖTALANDS LÄN</t>
        </is>
      </c>
      <c r="E10403" t="inlineStr">
        <is>
          <t>HERRLJUNGA</t>
        </is>
      </c>
      <c r="F10403" t="inlineStr">
        <is>
          <t>Sveaskog</t>
        </is>
      </c>
      <c r="G10403" t="n">
        <v>10.2</v>
      </c>
      <c r="H10403" t="n">
        <v>0</v>
      </c>
      <c r="I10403" t="n">
        <v>0</v>
      </c>
      <c r="J10403" t="n">
        <v>0</v>
      </c>
      <c r="K10403" t="n">
        <v>0</v>
      </c>
      <c r="L10403" t="n">
        <v>0</v>
      </c>
      <c r="M10403" t="n">
        <v>0</v>
      </c>
      <c r="N10403" t="n">
        <v>0</v>
      </c>
      <c r="O10403" t="n">
        <v>0</v>
      </c>
      <c r="P10403" t="n">
        <v>0</v>
      </c>
      <c r="Q10403" t="n">
        <v>0</v>
      </c>
      <c r="R10403" s="2" t="inlineStr"/>
      <c r="U10403">
        <f>HYPERLINK("https://klasma.github.io/Logging_1466/knärot/A 22880-2023 karta knärot.png", "A 22880-2023")</f>
        <v/>
      </c>
      <c r="V10403">
        <f>HYPERLINK("https://klasma.github.io/Logging_1466/klagomål/A 22880-2023 FSC-klagomål.docx", "A 22880-2023")</f>
        <v/>
      </c>
      <c r="W10403">
        <f>HYPERLINK("https://klasma.github.io/Logging_1466/klagomålsmail/A 22880-2023 FSC-klagomål mail.docx", "A 22880-2023")</f>
        <v/>
      </c>
      <c r="X10403">
        <f>HYPERLINK("https://klasma.github.io/Logging_1466/tillsyn/A 22880-2023 tillsynsbegäran.docx", "A 22880-2023")</f>
        <v/>
      </c>
      <c r="Y10403">
        <f>HYPERLINK("https://klasma.github.io/Logging_1466/tillsynsmail/A 22880-2023 tillsynsbegäran mail.docx", "A 22880-2023")</f>
        <v/>
      </c>
    </row>
    <row r="10404" ht="15" customHeight="1">
      <c r="A10404" t="inlineStr">
        <is>
          <t>A 15798-2023</t>
        </is>
      </c>
      <c r="B10404" s="1" t="n">
        <v>45021.84559027778</v>
      </c>
      <c r="C10404" s="1" t="n">
        <v>45952</v>
      </c>
      <c r="D10404" t="inlineStr">
        <is>
          <t>VÄSTRA GÖTALANDS LÄN</t>
        </is>
      </c>
      <c r="E10404" t="inlineStr">
        <is>
          <t>ALINGSÅS</t>
        </is>
      </c>
      <c r="G10404" t="n">
        <v>0.7</v>
      </c>
      <c r="H10404" t="n">
        <v>0</v>
      </c>
      <c r="I10404" t="n">
        <v>0</v>
      </c>
      <c r="J10404" t="n">
        <v>0</v>
      </c>
      <c r="K10404" t="n">
        <v>0</v>
      </c>
      <c r="L10404" t="n">
        <v>0</v>
      </c>
      <c r="M10404" t="n">
        <v>0</v>
      </c>
      <c r="N10404" t="n">
        <v>0</v>
      </c>
      <c r="O10404" t="n">
        <v>0</v>
      </c>
      <c r="P10404" t="n">
        <v>0</v>
      </c>
      <c r="Q10404" t="n">
        <v>0</v>
      </c>
      <c r="R10404" s="2" t="inlineStr"/>
    </row>
    <row r="10405" ht="15" customHeight="1">
      <c r="A10405" t="inlineStr">
        <is>
          <t>A 15323-2024</t>
        </is>
      </c>
      <c r="B10405" s="1" t="n">
        <v>45400.66951388889</v>
      </c>
      <c r="C10405" s="1" t="n">
        <v>45952</v>
      </c>
      <c r="D10405" t="inlineStr">
        <is>
          <t>VÄSTRA GÖTALANDS LÄN</t>
        </is>
      </c>
      <c r="E10405" t="inlineStr">
        <is>
          <t>MELLERUD</t>
        </is>
      </c>
      <c r="G10405" t="n">
        <v>10.6</v>
      </c>
      <c r="H10405" t="n">
        <v>0</v>
      </c>
      <c r="I10405" t="n">
        <v>0</v>
      </c>
      <c r="J10405" t="n">
        <v>0</v>
      </c>
      <c r="K10405" t="n">
        <v>0</v>
      </c>
      <c r="L10405" t="n">
        <v>0</v>
      </c>
      <c r="M10405" t="n">
        <v>0</v>
      </c>
      <c r="N10405" t="n">
        <v>0</v>
      </c>
      <c r="O10405" t="n">
        <v>0</v>
      </c>
      <c r="P10405" t="n">
        <v>0</v>
      </c>
      <c r="Q10405" t="n">
        <v>0</v>
      </c>
      <c r="R10405" s="2" t="inlineStr"/>
    </row>
    <row r="10406" ht="15" customHeight="1">
      <c r="A10406" t="inlineStr">
        <is>
          <t>A 62678-2023</t>
        </is>
      </c>
      <c r="B10406" s="1" t="n">
        <v>45271.47798611111</v>
      </c>
      <c r="C10406" s="1" t="n">
        <v>45952</v>
      </c>
      <c r="D10406" t="inlineStr">
        <is>
          <t>VÄSTRA GÖTALANDS LÄN</t>
        </is>
      </c>
      <c r="E10406" t="inlineStr">
        <is>
          <t>ALINGSÅS</t>
        </is>
      </c>
      <c r="G10406" t="n">
        <v>2.5</v>
      </c>
      <c r="H10406" t="n">
        <v>0</v>
      </c>
      <c r="I10406" t="n">
        <v>0</v>
      </c>
      <c r="J10406" t="n">
        <v>0</v>
      </c>
      <c r="K10406" t="n">
        <v>0</v>
      </c>
      <c r="L10406" t="n">
        <v>0</v>
      </c>
      <c r="M10406" t="n">
        <v>0</v>
      </c>
      <c r="N10406" t="n">
        <v>0</v>
      </c>
      <c r="O10406" t="n">
        <v>0</v>
      </c>
      <c r="P10406" t="n">
        <v>0</v>
      </c>
      <c r="Q10406" t="n">
        <v>0</v>
      </c>
      <c r="R10406" s="2" t="inlineStr"/>
    </row>
    <row r="10407" ht="15" customHeight="1">
      <c r="A10407" t="inlineStr">
        <is>
          <t>A 62689-2023</t>
        </is>
      </c>
      <c r="B10407" s="1" t="n">
        <v>45271.49912037037</v>
      </c>
      <c r="C10407" s="1" t="n">
        <v>45952</v>
      </c>
      <c r="D10407" t="inlineStr">
        <is>
          <t>VÄSTRA GÖTALANDS LÄN</t>
        </is>
      </c>
      <c r="E10407" t="inlineStr">
        <is>
          <t>HERRLJUNGA</t>
        </is>
      </c>
      <c r="G10407" t="n">
        <v>3.7</v>
      </c>
      <c r="H10407" t="n">
        <v>0</v>
      </c>
      <c r="I10407" t="n">
        <v>0</v>
      </c>
      <c r="J10407" t="n">
        <v>0</v>
      </c>
      <c r="K10407" t="n">
        <v>0</v>
      </c>
      <c r="L10407" t="n">
        <v>0</v>
      </c>
      <c r="M10407" t="n">
        <v>0</v>
      </c>
      <c r="N10407" t="n">
        <v>0</v>
      </c>
      <c r="O10407" t="n">
        <v>0</v>
      </c>
      <c r="P10407" t="n">
        <v>0</v>
      </c>
      <c r="Q10407" t="n">
        <v>0</v>
      </c>
      <c r="R10407" s="2" t="inlineStr"/>
    </row>
    <row r="10408" ht="15" customHeight="1">
      <c r="A10408" t="inlineStr">
        <is>
          <t>A 9599-2024</t>
        </is>
      </c>
      <c r="B10408" s="1" t="n">
        <v>45361</v>
      </c>
      <c r="C10408" s="1" t="n">
        <v>45952</v>
      </c>
      <c r="D10408" t="inlineStr">
        <is>
          <t>VÄSTRA GÖTALANDS LÄN</t>
        </is>
      </c>
      <c r="E10408" t="inlineStr">
        <is>
          <t>ULRICEHAMN</t>
        </is>
      </c>
      <c r="G10408" t="n">
        <v>0.5</v>
      </c>
      <c r="H10408" t="n">
        <v>0</v>
      </c>
      <c r="I10408" t="n">
        <v>0</v>
      </c>
      <c r="J10408" t="n">
        <v>0</v>
      </c>
      <c r="K10408" t="n">
        <v>0</v>
      </c>
      <c r="L10408" t="n">
        <v>0</v>
      </c>
      <c r="M10408" t="n">
        <v>0</v>
      </c>
      <c r="N10408" t="n">
        <v>0</v>
      </c>
      <c r="O10408" t="n">
        <v>0</v>
      </c>
      <c r="P10408" t="n">
        <v>0</v>
      </c>
      <c r="Q10408" t="n">
        <v>0</v>
      </c>
      <c r="R10408" s="2" t="inlineStr"/>
    </row>
    <row r="10409" ht="15" customHeight="1">
      <c r="A10409" t="inlineStr">
        <is>
          <t>A 9607-2024</t>
        </is>
      </c>
      <c r="B10409" s="1" t="n">
        <v>45361</v>
      </c>
      <c r="C10409" s="1" t="n">
        <v>45952</v>
      </c>
      <c r="D10409" t="inlineStr">
        <is>
          <t>VÄSTRA GÖTALANDS LÄN</t>
        </is>
      </c>
      <c r="E10409" t="inlineStr">
        <is>
          <t>GÖTENE</t>
        </is>
      </c>
      <c r="G10409" t="n">
        <v>1.2</v>
      </c>
      <c r="H10409" t="n">
        <v>0</v>
      </c>
      <c r="I10409" t="n">
        <v>0</v>
      </c>
      <c r="J10409" t="n">
        <v>0</v>
      </c>
      <c r="K10409" t="n">
        <v>0</v>
      </c>
      <c r="L10409" t="n">
        <v>0</v>
      </c>
      <c r="M10409" t="n">
        <v>0</v>
      </c>
      <c r="N10409" t="n">
        <v>0</v>
      </c>
      <c r="O10409" t="n">
        <v>0</v>
      </c>
      <c r="P10409" t="n">
        <v>0</v>
      </c>
      <c r="Q10409" t="n">
        <v>0</v>
      </c>
      <c r="R10409" s="2" t="inlineStr"/>
    </row>
    <row r="10410" ht="15" customHeight="1">
      <c r="A10410" t="inlineStr">
        <is>
          <t>A 62754-2023</t>
        </is>
      </c>
      <c r="B10410" s="1" t="n">
        <v>45271.62900462963</v>
      </c>
      <c r="C10410" s="1" t="n">
        <v>45952</v>
      </c>
      <c r="D10410" t="inlineStr">
        <is>
          <t>VÄSTRA GÖTALANDS LÄN</t>
        </is>
      </c>
      <c r="E10410" t="inlineStr">
        <is>
          <t>MARIESTAD</t>
        </is>
      </c>
      <c r="G10410" t="n">
        <v>4.1</v>
      </c>
      <c r="H10410" t="n">
        <v>0</v>
      </c>
      <c r="I10410" t="n">
        <v>0</v>
      </c>
      <c r="J10410" t="n">
        <v>0</v>
      </c>
      <c r="K10410" t="n">
        <v>0</v>
      </c>
      <c r="L10410" t="n">
        <v>0</v>
      </c>
      <c r="M10410" t="n">
        <v>0</v>
      </c>
      <c r="N10410" t="n">
        <v>0</v>
      </c>
      <c r="O10410" t="n">
        <v>0</v>
      </c>
      <c r="P10410" t="n">
        <v>0</v>
      </c>
      <c r="Q10410" t="n">
        <v>0</v>
      </c>
      <c r="R10410" s="2" t="inlineStr"/>
    </row>
    <row r="10411" ht="15" customHeight="1">
      <c r="A10411" t="inlineStr">
        <is>
          <t>A 62765-2023</t>
        </is>
      </c>
      <c r="B10411" s="1" t="n">
        <v>45268</v>
      </c>
      <c r="C10411" s="1" t="n">
        <v>45952</v>
      </c>
      <c r="D10411" t="inlineStr">
        <is>
          <t>VÄSTRA GÖTALANDS LÄN</t>
        </is>
      </c>
      <c r="E10411" t="inlineStr">
        <is>
          <t>MARIESTAD</t>
        </is>
      </c>
      <c r="G10411" t="n">
        <v>1.3</v>
      </c>
      <c r="H10411" t="n">
        <v>0</v>
      </c>
      <c r="I10411" t="n">
        <v>0</v>
      </c>
      <c r="J10411" t="n">
        <v>0</v>
      </c>
      <c r="K10411" t="n">
        <v>0</v>
      </c>
      <c r="L10411" t="n">
        <v>0</v>
      </c>
      <c r="M10411" t="n">
        <v>0</v>
      </c>
      <c r="N10411" t="n">
        <v>0</v>
      </c>
      <c r="O10411" t="n">
        <v>0</v>
      </c>
      <c r="P10411" t="n">
        <v>0</v>
      </c>
      <c r="Q10411" t="n">
        <v>0</v>
      </c>
      <c r="R10411" s="2" t="inlineStr"/>
    </row>
    <row r="10412" ht="15" customHeight="1">
      <c r="A10412" t="inlineStr">
        <is>
          <t>A 62629-2022</t>
        </is>
      </c>
      <c r="B10412" s="1" t="n">
        <v>44925</v>
      </c>
      <c r="C10412" s="1" t="n">
        <v>45952</v>
      </c>
      <c r="D10412" t="inlineStr">
        <is>
          <t>VÄSTRA GÖTALANDS LÄN</t>
        </is>
      </c>
      <c r="E10412" t="inlineStr">
        <is>
          <t>LIDKÖPING</t>
        </is>
      </c>
      <c r="G10412" t="n">
        <v>1.8</v>
      </c>
      <c r="H10412" t="n">
        <v>0</v>
      </c>
      <c r="I10412" t="n">
        <v>0</v>
      </c>
      <c r="J10412" t="n">
        <v>0</v>
      </c>
      <c r="K10412" t="n">
        <v>0</v>
      </c>
      <c r="L10412" t="n">
        <v>0</v>
      </c>
      <c r="M10412" t="n">
        <v>0</v>
      </c>
      <c r="N10412" t="n">
        <v>0</v>
      </c>
      <c r="O10412" t="n">
        <v>0</v>
      </c>
      <c r="P10412" t="n">
        <v>0</v>
      </c>
      <c r="Q10412" t="n">
        <v>0</v>
      </c>
      <c r="R10412" s="2" t="inlineStr"/>
    </row>
    <row r="10413" ht="15" customHeight="1">
      <c r="A10413" t="inlineStr">
        <is>
          <t>A 10398-2024</t>
        </is>
      </c>
      <c r="B10413" s="1" t="n">
        <v>45365.67574074074</v>
      </c>
      <c r="C10413" s="1" t="n">
        <v>45952</v>
      </c>
      <c r="D10413" t="inlineStr">
        <is>
          <t>VÄSTRA GÖTALANDS LÄN</t>
        </is>
      </c>
      <c r="E10413" t="inlineStr">
        <is>
          <t>MELLERUD</t>
        </is>
      </c>
      <c r="G10413" t="n">
        <v>1.8</v>
      </c>
      <c r="H10413" t="n">
        <v>0</v>
      </c>
      <c r="I10413" t="n">
        <v>0</v>
      </c>
      <c r="J10413" t="n">
        <v>0</v>
      </c>
      <c r="K10413" t="n">
        <v>0</v>
      </c>
      <c r="L10413" t="n">
        <v>0</v>
      </c>
      <c r="M10413" t="n">
        <v>0</v>
      </c>
      <c r="N10413" t="n">
        <v>0</v>
      </c>
      <c r="O10413" t="n">
        <v>0</v>
      </c>
      <c r="P10413" t="n">
        <v>0</v>
      </c>
      <c r="Q10413" t="n">
        <v>0</v>
      </c>
      <c r="R10413" s="2" t="inlineStr"/>
    </row>
    <row r="10414" ht="15" customHeight="1">
      <c r="A10414" t="inlineStr">
        <is>
          <t>A 10416-2024</t>
        </is>
      </c>
      <c r="B10414" s="1" t="n">
        <v>45365</v>
      </c>
      <c r="C10414" s="1" t="n">
        <v>45952</v>
      </c>
      <c r="D10414" t="inlineStr">
        <is>
          <t>VÄSTRA GÖTALANDS LÄN</t>
        </is>
      </c>
      <c r="E10414" t="inlineStr">
        <is>
          <t>GULLSPÅNG</t>
        </is>
      </c>
      <c r="G10414" t="n">
        <v>4.8</v>
      </c>
      <c r="H10414" t="n">
        <v>0</v>
      </c>
      <c r="I10414" t="n">
        <v>0</v>
      </c>
      <c r="J10414" t="n">
        <v>0</v>
      </c>
      <c r="K10414" t="n">
        <v>0</v>
      </c>
      <c r="L10414" t="n">
        <v>0</v>
      </c>
      <c r="M10414" t="n">
        <v>0</v>
      </c>
      <c r="N10414" t="n">
        <v>0</v>
      </c>
      <c r="O10414" t="n">
        <v>0</v>
      </c>
      <c r="P10414" t="n">
        <v>0</v>
      </c>
      <c r="Q10414" t="n">
        <v>0</v>
      </c>
      <c r="R10414" s="2" t="inlineStr"/>
    </row>
    <row r="10415" ht="15" customHeight="1">
      <c r="A10415" t="inlineStr">
        <is>
          <t>A 49778-2021</t>
        </is>
      </c>
      <c r="B10415" s="1" t="n">
        <v>44453</v>
      </c>
      <c r="C10415" s="1" t="n">
        <v>45952</v>
      </c>
      <c r="D10415" t="inlineStr">
        <is>
          <t>VÄSTRA GÖTALANDS LÄN</t>
        </is>
      </c>
      <c r="E10415" t="inlineStr">
        <is>
          <t>BENGTSFORS</t>
        </is>
      </c>
      <c r="G10415" t="n">
        <v>8</v>
      </c>
      <c r="H10415" t="n">
        <v>0</v>
      </c>
      <c r="I10415" t="n">
        <v>0</v>
      </c>
      <c r="J10415" t="n">
        <v>0</v>
      </c>
      <c r="K10415" t="n">
        <v>0</v>
      </c>
      <c r="L10415" t="n">
        <v>0</v>
      </c>
      <c r="M10415" t="n">
        <v>0</v>
      </c>
      <c r="N10415" t="n">
        <v>0</v>
      </c>
      <c r="O10415" t="n">
        <v>0</v>
      </c>
      <c r="P10415" t="n">
        <v>0</v>
      </c>
      <c r="Q10415" t="n">
        <v>0</v>
      </c>
      <c r="R10415" s="2" t="inlineStr"/>
    </row>
    <row r="10416" ht="15" customHeight="1">
      <c r="A10416" t="inlineStr">
        <is>
          <t>A 13581-2022</t>
        </is>
      </c>
      <c r="B10416" s="1" t="n">
        <v>44648.46975694445</v>
      </c>
      <c r="C10416" s="1" t="n">
        <v>45952</v>
      </c>
      <c r="D10416" t="inlineStr">
        <is>
          <t>VÄSTRA GÖTALANDS LÄN</t>
        </is>
      </c>
      <c r="E10416" t="inlineStr">
        <is>
          <t>DALS-ED</t>
        </is>
      </c>
      <c r="G10416" t="n">
        <v>3.8</v>
      </c>
      <c r="H10416" t="n">
        <v>0</v>
      </c>
      <c r="I10416" t="n">
        <v>0</v>
      </c>
      <c r="J10416" t="n">
        <v>0</v>
      </c>
      <c r="K10416" t="n">
        <v>0</v>
      </c>
      <c r="L10416" t="n">
        <v>0</v>
      </c>
      <c r="M10416" t="n">
        <v>0</v>
      </c>
      <c r="N10416" t="n">
        <v>0</v>
      </c>
      <c r="O10416" t="n">
        <v>0</v>
      </c>
      <c r="P10416" t="n">
        <v>0</v>
      </c>
      <c r="Q10416" t="n">
        <v>0</v>
      </c>
      <c r="R10416" s="2" t="inlineStr"/>
    </row>
    <row r="10417" ht="15" customHeight="1">
      <c r="A10417" t="inlineStr">
        <is>
          <t>A 52688-2024</t>
        </is>
      </c>
      <c r="B10417" s="1" t="n">
        <v>45610.39559027777</v>
      </c>
      <c r="C10417" s="1" t="n">
        <v>45952</v>
      </c>
      <c r="D10417" t="inlineStr">
        <is>
          <t>VÄSTRA GÖTALANDS LÄN</t>
        </is>
      </c>
      <c r="E10417" t="inlineStr">
        <is>
          <t>TROLLHÄTTAN</t>
        </is>
      </c>
      <c r="G10417" t="n">
        <v>1.4</v>
      </c>
      <c r="H10417" t="n">
        <v>0</v>
      </c>
      <c r="I10417" t="n">
        <v>0</v>
      </c>
      <c r="J10417" t="n">
        <v>0</v>
      </c>
      <c r="K10417" t="n">
        <v>0</v>
      </c>
      <c r="L10417" t="n">
        <v>0</v>
      </c>
      <c r="M10417" t="n">
        <v>0</v>
      </c>
      <c r="N10417" t="n">
        <v>0</v>
      </c>
      <c r="O10417" t="n">
        <v>0</v>
      </c>
      <c r="P10417" t="n">
        <v>0</v>
      </c>
      <c r="Q10417" t="n">
        <v>0</v>
      </c>
      <c r="R10417" s="2" t="inlineStr"/>
    </row>
    <row r="10418" ht="15" customHeight="1">
      <c r="A10418" t="inlineStr">
        <is>
          <t>A 1190-2023</t>
        </is>
      </c>
      <c r="B10418" s="1" t="n">
        <v>44935</v>
      </c>
      <c r="C10418" s="1" t="n">
        <v>45952</v>
      </c>
      <c r="D10418" t="inlineStr">
        <is>
          <t>VÄSTRA GÖTALANDS LÄN</t>
        </is>
      </c>
      <c r="E10418" t="inlineStr">
        <is>
          <t>BENGTSFORS</t>
        </is>
      </c>
      <c r="G10418" t="n">
        <v>2.3</v>
      </c>
      <c r="H10418" t="n">
        <v>0</v>
      </c>
      <c r="I10418" t="n">
        <v>0</v>
      </c>
      <c r="J10418" t="n">
        <v>0</v>
      </c>
      <c r="K10418" t="n">
        <v>0</v>
      </c>
      <c r="L10418" t="n">
        <v>0</v>
      </c>
      <c r="M10418" t="n">
        <v>0</v>
      </c>
      <c r="N10418" t="n">
        <v>0</v>
      </c>
      <c r="O10418" t="n">
        <v>0</v>
      </c>
      <c r="P10418" t="n">
        <v>0</v>
      </c>
      <c r="Q10418" t="n">
        <v>0</v>
      </c>
      <c r="R10418" s="2" t="inlineStr"/>
    </row>
    <row r="10419" ht="15" customHeight="1">
      <c r="A10419" t="inlineStr">
        <is>
          <t>A 13665-2022</t>
        </is>
      </c>
      <c r="B10419" s="1" t="n">
        <v>44648.66422453704</v>
      </c>
      <c r="C10419" s="1" t="n">
        <v>45952</v>
      </c>
      <c r="D10419" t="inlineStr">
        <is>
          <t>VÄSTRA GÖTALANDS LÄN</t>
        </is>
      </c>
      <c r="E10419" t="inlineStr">
        <is>
          <t>BENGTSFORS</t>
        </is>
      </c>
      <c r="G10419" t="n">
        <v>1.1</v>
      </c>
      <c r="H10419" t="n">
        <v>0</v>
      </c>
      <c r="I10419" t="n">
        <v>0</v>
      </c>
      <c r="J10419" t="n">
        <v>0</v>
      </c>
      <c r="K10419" t="n">
        <v>0</v>
      </c>
      <c r="L10419" t="n">
        <v>0</v>
      </c>
      <c r="M10419" t="n">
        <v>0</v>
      </c>
      <c r="N10419" t="n">
        <v>0</v>
      </c>
      <c r="O10419" t="n">
        <v>0</v>
      </c>
      <c r="P10419" t="n">
        <v>0</v>
      </c>
      <c r="Q10419" t="n">
        <v>0</v>
      </c>
      <c r="R10419" s="2" t="inlineStr"/>
    </row>
    <row r="10420" ht="15" customHeight="1">
      <c r="A10420" t="inlineStr">
        <is>
          <t>A 26883-2024</t>
        </is>
      </c>
      <c r="B10420" s="1" t="n">
        <v>45470.63859953704</v>
      </c>
      <c r="C10420" s="1" t="n">
        <v>45952</v>
      </c>
      <c r="D10420" t="inlineStr">
        <is>
          <t>VÄSTRA GÖTALANDS LÄN</t>
        </is>
      </c>
      <c r="E10420" t="inlineStr">
        <is>
          <t>FÄRGELANDA</t>
        </is>
      </c>
      <c r="G10420" t="n">
        <v>4.5</v>
      </c>
      <c r="H10420" t="n">
        <v>0</v>
      </c>
      <c r="I10420" t="n">
        <v>0</v>
      </c>
      <c r="J10420" t="n">
        <v>0</v>
      </c>
      <c r="K10420" t="n">
        <v>0</v>
      </c>
      <c r="L10420" t="n">
        <v>0</v>
      </c>
      <c r="M10420" t="n">
        <v>0</v>
      </c>
      <c r="N10420" t="n">
        <v>0</v>
      </c>
      <c r="O10420" t="n">
        <v>0</v>
      </c>
      <c r="P10420" t="n">
        <v>0</v>
      </c>
      <c r="Q10420" t="n">
        <v>0</v>
      </c>
      <c r="R10420" s="2" t="inlineStr"/>
    </row>
    <row r="10421" ht="15" customHeight="1">
      <c r="A10421" t="inlineStr">
        <is>
          <t>A 51434-2022</t>
        </is>
      </c>
      <c r="B10421" s="1" t="n">
        <v>44869.47741898148</v>
      </c>
      <c r="C10421" s="1" t="n">
        <v>45952</v>
      </c>
      <c r="D10421" t="inlineStr">
        <is>
          <t>VÄSTRA GÖTALANDS LÄN</t>
        </is>
      </c>
      <c r="E10421" t="inlineStr">
        <is>
          <t>FÄRGELANDA</t>
        </is>
      </c>
      <c r="G10421" t="n">
        <v>2.9</v>
      </c>
      <c r="H10421" t="n">
        <v>0</v>
      </c>
      <c r="I10421" t="n">
        <v>0</v>
      </c>
      <c r="J10421" t="n">
        <v>0</v>
      </c>
      <c r="K10421" t="n">
        <v>0</v>
      </c>
      <c r="L10421" t="n">
        <v>0</v>
      </c>
      <c r="M10421" t="n">
        <v>0</v>
      </c>
      <c r="N10421" t="n">
        <v>0</v>
      </c>
      <c r="O10421" t="n">
        <v>0</v>
      </c>
      <c r="P10421" t="n">
        <v>0</v>
      </c>
      <c r="Q10421" t="n">
        <v>0</v>
      </c>
      <c r="R10421" s="2" t="inlineStr"/>
    </row>
    <row r="10422" ht="15" customHeight="1">
      <c r="A10422" t="inlineStr">
        <is>
          <t>A 9006-2022</t>
        </is>
      </c>
      <c r="B10422" s="1" t="n">
        <v>44615.3561574074</v>
      </c>
      <c r="C10422" s="1" t="n">
        <v>45952</v>
      </c>
      <c r="D10422" t="inlineStr">
        <is>
          <t>VÄSTRA GÖTALANDS LÄN</t>
        </is>
      </c>
      <c r="E10422" t="inlineStr">
        <is>
          <t>SKARA</t>
        </is>
      </c>
      <c r="G10422" t="n">
        <v>0.9</v>
      </c>
      <c r="H10422" t="n">
        <v>0</v>
      </c>
      <c r="I10422" t="n">
        <v>0</v>
      </c>
      <c r="J10422" t="n">
        <v>0</v>
      </c>
      <c r="K10422" t="n">
        <v>0</v>
      </c>
      <c r="L10422" t="n">
        <v>0</v>
      </c>
      <c r="M10422" t="n">
        <v>0</v>
      </c>
      <c r="N10422" t="n">
        <v>0</v>
      </c>
      <c r="O10422" t="n">
        <v>0</v>
      </c>
      <c r="P10422" t="n">
        <v>0</v>
      </c>
      <c r="Q10422" t="n">
        <v>0</v>
      </c>
      <c r="R10422" s="2" t="inlineStr"/>
    </row>
    <row r="10423" ht="15" customHeight="1">
      <c r="A10423" t="inlineStr">
        <is>
          <t>A 62290-2023</t>
        </is>
      </c>
      <c r="B10423" s="1" t="n">
        <v>45267.659375</v>
      </c>
      <c r="C10423" s="1" t="n">
        <v>45952</v>
      </c>
      <c r="D10423" t="inlineStr">
        <is>
          <t>VÄSTRA GÖTALANDS LÄN</t>
        </is>
      </c>
      <c r="E10423" t="inlineStr">
        <is>
          <t>SKÖVDE</t>
        </is>
      </c>
      <c r="G10423" t="n">
        <v>2.6</v>
      </c>
      <c r="H10423" t="n">
        <v>0</v>
      </c>
      <c r="I10423" t="n">
        <v>0</v>
      </c>
      <c r="J10423" t="n">
        <v>0</v>
      </c>
      <c r="K10423" t="n">
        <v>0</v>
      </c>
      <c r="L10423" t="n">
        <v>0</v>
      </c>
      <c r="M10423" t="n">
        <v>0</v>
      </c>
      <c r="N10423" t="n">
        <v>0</v>
      </c>
      <c r="O10423" t="n">
        <v>0</v>
      </c>
      <c r="P10423" t="n">
        <v>0</v>
      </c>
      <c r="Q10423" t="n">
        <v>0</v>
      </c>
      <c r="R10423" s="2" t="inlineStr"/>
    </row>
    <row r="10424" ht="15" customHeight="1">
      <c r="A10424" t="inlineStr">
        <is>
          <t>A 20268-2025</t>
        </is>
      </c>
      <c r="B10424" s="1" t="n">
        <v>45773</v>
      </c>
      <c r="C10424" s="1" t="n">
        <v>45952</v>
      </c>
      <c r="D10424" t="inlineStr">
        <is>
          <t>VÄSTRA GÖTALANDS LÄN</t>
        </is>
      </c>
      <c r="E10424" t="inlineStr">
        <is>
          <t>DALS-ED</t>
        </is>
      </c>
      <c r="G10424" t="n">
        <v>1.3</v>
      </c>
      <c r="H10424" t="n">
        <v>0</v>
      </c>
      <c r="I10424" t="n">
        <v>0</v>
      </c>
      <c r="J10424" t="n">
        <v>0</v>
      </c>
      <c r="K10424" t="n">
        <v>0</v>
      </c>
      <c r="L10424" t="n">
        <v>0</v>
      </c>
      <c r="M10424" t="n">
        <v>0</v>
      </c>
      <c r="N10424" t="n">
        <v>0</v>
      </c>
      <c r="O10424" t="n">
        <v>0</v>
      </c>
      <c r="P10424" t="n">
        <v>0</v>
      </c>
      <c r="Q10424" t="n">
        <v>0</v>
      </c>
      <c r="R10424" s="2" t="inlineStr"/>
    </row>
    <row r="10425" ht="15" customHeight="1">
      <c r="A10425" t="inlineStr">
        <is>
          <t>A 9017-2022</t>
        </is>
      </c>
      <c r="B10425" s="1" t="n">
        <v>44615.37796296296</v>
      </c>
      <c r="C10425" s="1" t="n">
        <v>45952</v>
      </c>
      <c r="D10425" t="inlineStr">
        <is>
          <t>VÄSTRA GÖTALANDS LÄN</t>
        </is>
      </c>
      <c r="E10425" t="inlineStr">
        <is>
          <t>MARK</t>
        </is>
      </c>
      <c r="G10425" t="n">
        <v>3.8</v>
      </c>
      <c r="H10425" t="n">
        <v>0</v>
      </c>
      <c r="I10425" t="n">
        <v>0</v>
      </c>
      <c r="J10425" t="n">
        <v>0</v>
      </c>
      <c r="K10425" t="n">
        <v>0</v>
      </c>
      <c r="L10425" t="n">
        <v>0</v>
      </c>
      <c r="M10425" t="n">
        <v>0</v>
      </c>
      <c r="N10425" t="n">
        <v>0</v>
      </c>
      <c r="O10425" t="n">
        <v>0</v>
      </c>
      <c r="P10425" t="n">
        <v>0</v>
      </c>
      <c r="Q10425" t="n">
        <v>0</v>
      </c>
      <c r="R10425" s="2" t="inlineStr"/>
    </row>
    <row r="10426" ht="15" customHeight="1">
      <c r="A10426" t="inlineStr">
        <is>
          <t>A 47418-2023</t>
        </is>
      </c>
      <c r="B10426" s="1" t="n">
        <v>45202</v>
      </c>
      <c r="C10426" s="1" t="n">
        <v>45952</v>
      </c>
      <c r="D10426" t="inlineStr">
        <is>
          <t>VÄSTRA GÖTALANDS LÄN</t>
        </is>
      </c>
      <c r="E10426" t="inlineStr">
        <is>
          <t>MARK</t>
        </is>
      </c>
      <c r="G10426" t="n">
        <v>0.7</v>
      </c>
      <c r="H10426" t="n">
        <v>0</v>
      </c>
      <c r="I10426" t="n">
        <v>0</v>
      </c>
      <c r="J10426" t="n">
        <v>0</v>
      </c>
      <c r="K10426" t="n">
        <v>0</v>
      </c>
      <c r="L10426" t="n">
        <v>0</v>
      </c>
      <c r="M10426" t="n">
        <v>0</v>
      </c>
      <c r="N10426" t="n">
        <v>0</v>
      </c>
      <c r="O10426" t="n">
        <v>0</v>
      </c>
      <c r="P10426" t="n">
        <v>0</v>
      </c>
      <c r="Q10426" t="n">
        <v>0</v>
      </c>
      <c r="R10426" s="2" t="inlineStr"/>
    </row>
    <row r="10427" ht="15" customHeight="1">
      <c r="A10427" t="inlineStr">
        <is>
          <t>A 27314-2021</t>
        </is>
      </c>
      <c r="B10427" s="1" t="n">
        <v>44351.36537037037</v>
      </c>
      <c r="C10427" s="1" t="n">
        <v>45952</v>
      </c>
      <c r="D10427" t="inlineStr">
        <is>
          <t>VÄSTRA GÖTALANDS LÄN</t>
        </is>
      </c>
      <c r="E10427" t="inlineStr">
        <is>
          <t>ALE</t>
        </is>
      </c>
      <c r="G10427" t="n">
        <v>11.3</v>
      </c>
      <c r="H10427" t="n">
        <v>0</v>
      </c>
      <c r="I10427" t="n">
        <v>0</v>
      </c>
      <c r="J10427" t="n">
        <v>0</v>
      </c>
      <c r="K10427" t="n">
        <v>0</v>
      </c>
      <c r="L10427" t="n">
        <v>0</v>
      </c>
      <c r="M10427" t="n">
        <v>0</v>
      </c>
      <c r="N10427" t="n">
        <v>0</v>
      </c>
      <c r="O10427" t="n">
        <v>0</v>
      </c>
      <c r="P10427" t="n">
        <v>0</v>
      </c>
      <c r="Q10427" t="n">
        <v>0</v>
      </c>
      <c r="R10427" s="2" t="inlineStr"/>
    </row>
    <row r="10428" ht="15" customHeight="1">
      <c r="A10428" t="inlineStr">
        <is>
          <t>A 41022-2025</t>
        </is>
      </c>
      <c r="B10428" s="1" t="n">
        <v>45898.36680555555</v>
      </c>
      <c r="C10428" s="1" t="n">
        <v>45952</v>
      </c>
      <c r="D10428" t="inlineStr">
        <is>
          <t>VÄSTRA GÖTALANDS LÄN</t>
        </is>
      </c>
      <c r="E10428" t="inlineStr">
        <is>
          <t>ESSUNGA</t>
        </is>
      </c>
      <c r="G10428" t="n">
        <v>1.5</v>
      </c>
      <c r="H10428" t="n">
        <v>0</v>
      </c>
      <c r="I10428" t="n">
        <v>0</v>
      </c>
      <c r="J10428" t="n">
        <v>0</v>
      </c>
      <c r="K10428" t="n">
        <v>0</v>
      </c>
      <c r="L10428" t="n">
        <v>0</v>
      </c>
      <c r="M10428" t="n">
        <v>0</v>
      </c>
      <c r="N10428" t="n">
        <v>0</v>
      </c>
      <c r="O10428" t="n">
        <v>0</v>
      </c>
      <c r="P10428" t="n">
        <v>0</v>
      </c>
      <c r="Q10428" t="n">
        <v>0</v>
      </c>
      <c r="R10428" s="2" t="inlineStr"/>
    </row>
    <row r="10429" ht="15" customHeight="1">
      <c r="A10429" t="inlineStr">
        <is>
          <t>A 31366-2024</t>
        </is>
      </c>
      <c r="B10429" s="1" t="n">
        <v>45505.37262731481</v>
      </c>
      <c r="C10429" s="1" t="n">
        <v>45952</v>
      </c>
      <c r="D10429" t="inlineStr">
        <is>
          <t>VÄSTRA GÖTALANDS LÄN</t>
        </is>
      </c>
      <c r="E10429" t="inlineStr">
        <is>
          <t>ULRICEHAMN</t>
        </is>
      </c>
      <c r="G10429" t="n">
        <v>0.8</v>
      </c>
      <c r="H10429" t="n">
        <v>0</v>
      </c>
      <c r="I10429" t="n">
        <v>0</v>
      </c>
      <c r="J10429" t="n">
        <v>0</v>
      </c>
      <c r="K10429" t="n">
        <v>0</v>
      </c>
      <c r="L10429" t="n">
        <v>0</v>
      </c>
      <c r="M10429" t="n">
        <v>0</v>
      </c>
      <c r="N10429" t="n">
        <v>0</v>
      </c>
      <c r="O10429" t="n">
        <v>0</v>
      </c>
      <c r="P10429" t="n">
        <v>0</v>
      </c>
      <c r="Q10429" t="n">
        <v>0</v>
      </c>
      <c r="R10429" s="2" t="inlineStr"/>
    </row>
    <row r="10430" ht="15" customHeight="1">
      <c r="A10430" t="inlineStr">
        <is>
          <t>A 13056-2023</t>
        </is>
      </c>
      <c r="B10430" s="1" t="n">
        <v>45002.37699074074</v>
      </c>
      <c r="C10430" s="1" t="n">
        <v>45952</v>
      </c>
      <c r="D10430" t="inlineStr">
        <is>
          <t>VÄSTRA GÖTALANDS LÄN</t>
        </is>
      </c>
      <c r="E10430" t="inlineStr">
        <is>
          <t>TÖREBODA</t>
        </is>
      </c>
      <c r="G10430" t="n">
        <v>1.1</v>
      </c>
      <c r="H10430" t="n">
        <v>0</v>
      </c>
      <c r="I10430" t="n">
        <v>0</v>
      </c>
      <c r="J10430" t="n">
        <v>0</v>
      </c>
      <c r="K10430" t="n">
        <v>0</v>
      </c>
      <c r="L10430" t="n">
        <v>0</v>
      </c>
      <c r="M10430" t="n">
        <v>0</v>
      </c>
      <c r="N10430" t="n">
        <v>0</v>
      </c>
      <c r="O10430" t="n">
        <v>0</v>
      </c>
      <c r="P10430" t="n">
        <v>0</v>
      </c>
      <c r="Q10430" t="n">
        <v>0</v>
      </c>
      <c r="R10430" s="2" t="inlineStr"/>
    </row>
    <row r="10431" ht="15" customHeight="1">
      <c r="A10431" t="inlineStr">
        <is>
          <t>A 32483-2023</t>
        </is>
      </c>
      <c r="B10431" s="1" t="n">
        <v>45120</v>
      </c>
      <c r="C10431" s="1" t="n">
        <v>45952</v>
      </c>
      <c r="D10431" t="inlineStr">
        <is>
          <t>VÄSTRA GÖTALANDS LÄN</t>
        </is>
      </c>
      <c r="E10431" t="inlineStr">
        <is>
          <t>BORÅS</t>
        </is>
      </c>
      <c r="G10431" t="n">
        <v>2.9</v>
      </c>
      <c r="H10431" t="n">
        <v>0</v>
      </c>
      <c r="I10431" t="n">
        <v>0</v>
      </c>
      <c r="J10431" t="n">
        <v>0</v>
      </c>
      <c r="K10431" t="n">
        <v>0</v>
      </c>
      <c r="L10431" t="n">
        <v>0</v>
      </c>
      <c r="M10431" t="n">
        <v>0</v>
      </c>
      <c r="N10431" t="n">
        <v>0</v>
      </c>
      <c r="O10431" t="n">
        <v>0</v>
      </c>
      <c r="P10431" t="n">
        <v>0</v>
      </c>
      <c r="Q10431" t="n">
        <v>0</v>
      </c>
      <c r="R10431" s="2" t="inlineStr"/>
    </row>
    <row r="10432" ht="15" customHeight="1">
      <c r="A10432" t="inlineStr">
        <is>
          <t>A 41492-2025</t>
        </is>
      </c>
      <c r="B10432" s="1" t="n">
        <v>45901.48925925926</v>
      </c>
      <c r="C10432" s="1" t="n">
        <v>45952</v>
      </c>
      <c r="D10432" t="inlineStr">
        <is>
          <t>VÄSTRA GÖTALANDS LÄN</t>
        </is>
      </c>
      <c r="E10432" t="inlineStr">
        <is>
          <t>ULRICEHAMN</t>
        </is>
      </c>
      <c r="G10432" t="n">
        <v>1.9</v>
      </c>
      <c r="H10432" t="n">
        <v>0</v>
      </c>
      <c r="I10432" t="n">
        <v>0</v>
      </c>
      <c r="J10432" t="n">
        <v>0</v>
      </c>
      <c r="K10432" t="n">
        <v>0</v>
      </c>
      <c r="L10432" t="n">
        <v>0</v>
      </c>
      <c r="M10432" t="n">
        <v>0</v>
      </c>
      <c r="N10432" t="n">
        <v>0</v>
      </c>
      <c r="O10432" t="n">
        <v>0</v>
      </c>
      <c r="P10432" t="n">
        <v>0</v>
      </c>
      <c r="Q10432" t="n">
        <v>0</v>
      </c>
      <c r="R10432" s="2" t="inlineStr"/>
    </row>
    <row r="10433" ht="15" customHeight="1">
      <c r="A10433" t="inlineStr">
        <is>
          <t>A 41506-2025</t>
        </is>
      </c>
      <c r="B10433" s="1" t="n">
        <v>45901.52666666666</v>
      </c>
      <c r="C10433" s="1" t="n">
        <v>45952</v>
      </c>
      <c r="D10433" t="inlineStr">
        <is>
          <t>VÄSTRA GÖTALANDS LÄN</t>
        </is>
      </c>
      <c r="E10433" t="inlineStr">
        <is>
          <t>TANUM</t>
        </is>
      </c>
      <c r="G10433" t="n">
        <v>1.5</v>
      </c>
      <c r="H10433" t="n">
        <v>0</v>
      </c>
      <c r="I10433" t="n">
        <v>0</v>
      </c>
      <c r="J10433" t="n">
        <v>0</v>
      </c>
      <c r="K10433" t="n">
        <v>0</v>
      </c>
      <c r="L10433" t="n">
        <v>0</v>
      </c>
      <c r="M10433" t="n">
        <v>0</v>
      </c>
      <c r="N10433" t="n">
        <v>0</v>
      </c>
      <c r="O10433" t="n">
        <v>0</v>
      </c>
      <c r="P10433" t="n">
        <v>0</v>
      </c>
      <c r="Q10433" t="n">
        <v>0</v>
      </c>
      <c r="R10433" s="2" t="inlineStr"/>
    </row>
    <row r="10434" ht="15" customHeight="1">
      <c r="A10434" t="inlineStr">
        <is>
          <t>A 19083-2022</t>
        </is>
      </c>
      <c r="B10434" s="1" t="n">
        <v>44691.48512731482</v>
      </c>
      <c r="C10434" s="1" t="n">
        <v>45952</v>
      </c>
      <c r="D10434" t="inlineStr">
        <is>
          <t>VÄSTRA GÖTALANDS LÄN</t>
        </is>
      </c>
      <c r="E10434" t="inlineStr">
        <is>
          <t>GÖTENE</t>
        </is>
      </c>
      <c r="G10434" t="n">
        <v>1</v>
      </c>
      <c r="H10434" t="n">
        <v>0</v>
      </c>
      <c r="I10434" t="n">
        <v>0</v>
      </c>
      <c r="J10434" t="n">
        <v>0</v>
      </c>
      <c r="K10434" t="n">
        <v>0</v>
      </c>
      <c r="L10434" t="n">
        <v>0</v>
      </c>
      <c r="M10434" t="n">
        <v>0</v>
      </c>
      <c r="N10434" t="n">
        <v>0</v>
      </c>
      <c r="O10434" t="n">
        <v>0</v>
      </c>
      <c r="P10434" t="n">
        <v>0</v>
      </c>
      <c r="Q10434" t="n">
        <v>0</v>
      </c>
      <c r="R10434" s="2" t="inlineStr"/>
    </row>
    <row r="10435" ht="15" customHeight="1">
      <c r="A10435" t="inlineStr">
        <is>
          <t>A 989-2022</t>
        </is>
      </c>
      <c r="B10435" s="1" t="n">
        <v>44571</v>
      </c>
      <c r="C10435" s="1" t="n">
        <v>45952</v>
      </c>
      <c r="D10435" t="inlineStr">
        <is>
          <t>VÄSTRA GÖTALANDS LÄN</t>
        </is>
      </c>
      <c r="E10435" t="inlineStr">
        <is>
          <t>TÖREBODA</t>
        </is>
      </c>
      <c r="G10435" t="n">
        <v>5</v>
      </c>
      <c r="H10435" t="n">
        <v>0</v>
      </c>
      <c r="I10435" t="n">
        <v>0</v>
      </c>
      <c r="J10435" t="n">
        <v>0</v>
      </c>
      <c r="K10435" t="n">
        <v>0</v>
      </c>
      <c r="L10435" t="n">
        <v>0</v>
      </c>
      <c r="M10435" t="n">
        <v>0</v>
      </c>
      <c r="N10435" t="n">
        <v>0</v>
      </c>
      <c r="O10435" t="n">
        <v>0</v>
      </c>
      <c r="P10435" t="n">
        <v>0</v>
      </c>
      <c r="Q10435" t="n">
        <v>0</v>
      </c>
      <c r="R10435" s="2" t="inlineStr"/>
    </row>
    <row r="10436" ht="15" customHeight="1">
      <c r="A10436" t="inlineStr">
        <is>
          <t>A 13454-2024</t>
        </is>
      </c>
      <c r="B10436" s="1" t="n">
        <v>45387.51503472222</v>
      </c>
      <c r="C10436" s="1" t="n">
        <v>45952</v>
      </c>
      <c r="D10436" t="inlineStr">
        <is>
          <t>VÄSTRA GÖTALANDS LÄN</t>
        </is>
      </c>
      <c r="E10436" t="inlineStr">
        <is>
          <t>HÄRRYDA</t>
        </is>
      </c>
      <c r="G10436" t="n">
        <v>2.4</v>
      </c>
      <c r="H10436" t="n">
        <v>0</v>
      </c>
      <c r="I10436" t="n">
        <v>0</v>
      </c>
      <c r="J10436" t="n">
        <v>0</v>
      </c>
      <c r="K10436" t="n">
        <v>0</v>
      </c>
      <c r="L10436" t="n">
        <v>0</v>
      </c>
      <c r="M10436" t="n">
        <v>0</v>
      </c>
      <c r="N10436" t="n">
        <v>0</v>
      </c>
      <c r="O10436" t="n">
        <v>0</v>
      </c>
      <c r="P10436" t="n">
        <v>0</v>
      </c>
      <c r="Q10436" t="n">
        <v>0</v>
      </c>
      <c r="R10436" s="2" t="inlineStr"/>
    </row>
    <row r="10437" ht="15" customHeight="1">
      <c r="A10437" t="inlineStr">
        <is>
          <t>A 50145-2025</t>
        </is>
      </c>
      <c r="B10437" s="1" t="n">
        <v>45943.57131944445</v>
      </c>
      <c r="C10437" s="1" t="n">
        <v>45952</v>
      </c>
      <c r="D10437" t="inlineStr">
        <is>
          <t>VÄSTRA GÖTALANDS LÄN</t>
        </is>
      </c>
      <c r="E10437" t="inlineStr">
        <is>
          <t>VÄNERSBORG</t>
        </is>
      </c>
      <c r="G10437" t="n">
        <v>0.3</v>
      </c>
      <c r="H10437" t="n">
        <v>0</v>
      </c>
      <c r="I10437" t="n">
        <v>0</v>
      </c>
      <c r="J10437" t="n">
        <v>0</v>
      </c>
      <c r="K10437" t="n">
        <v>0</v>
      </c>
      <c r="L10437" t="n">
        <v>0</v>
      </c>
      <c r="M10437" t="n">
        <v>0</v>
      </c>
      <c r="N10437" t="n">
        <v>0</v>
      </c>
      <c r="O10437" t="n">
        <v>0</v>
      </c>
      <c r="P10437" t="n">
        <v>0</v>
      </c>
      <c r="Q10437" t="n">
        <v>0</v>
      </c>
      <c r="R10437" s="2" t="inlineStr"/>
    </row>
    <row r="10438" ht="15" customHeight="1">
      <c r="A10438" t="inlineStr">
        <is>
          <t>A 41590-2025</t>
        </is>
      </c>
      <c r="B10438" s="1" t="n">
        <v>45901.63255787037</v>
      </c>
      <c r="C10438" s="1" t="n">
        <v>45952</v>
      </c>
      <c r="D10438" t="inlineStr">
        <is>
          <t>VÄSTRA GÖTALANDS LÄN</t>
        </is>
      </c>
      <c r="E10438" t="inlineStr">
        <is>
          <t>VÅRGÅRDA</t>
        </is>
      </c>
      <c r="G10438" t="n">
        <v>1.7</v>
      </c>
      <c r="H10438" t="n">
        <v>0</v>
      </c>
      <c r="I10438" t="n">
        <v>0</v>
      </c>
      <c r="J10438" t="n">
        <v>0</v>
      </c>
      <c r="K10438" t="n">
        <v>0</v>
      </c>
      <c r="L10438" t="n">
        <v>0</v>
      </c>
      <c r="M10438" t="n">
        <v>0</v>
      </c>
      <c r="N10438" t="n">
        <v>0</v>
      </c>
      <c r="O10438" t="n">
        <v>0</v>
      </c>
      <c r="P10438" t="n">
        <v>0</v>
      </c>
      <c r="Q10438" t="n">
        <v>0</v>
      </c>
      <c r="R10438" s="2" t="inlineStr"/>
    </row>
    <row r="10439" ht="15" customHeight="1">
      <c r="A10439" t="inlineStr">
        <is>
          <t>A 41625-2025</t>
        </is>
      </c>
      <c r="B10439" s="1" t="n">
        <v>45901.7124537037</v>
      </c>
      <c r="C10439" s="1" t="n">
        <v>45952</v>
      </c>
      <c r="D10439" t="inlineStr">
        <is>
          <t>VÄSTRA GÖTALANDS LÄN</t>
        </is>
      </c>
      <c r="E10439" t="inlineStr">
        <is>
          <t>VÅRGÅRDA</t>
        </is>
      </c>
      <c r="G10439" t="n">
        <v>5.4</v>
      </c>
      <c r="H10439" t="n">
        <v>0</v>
      </c>
      <c r="I10439" t="n">
        <v>0</v>
      </c>
      <c r="J10439" t="n">
        <v>0</v>
      </c>
      <c r="K10439" t="n">
        <v>0</v>
      </c>
      <c r="L10439" t="n">
        <v>0</v>
      </c>
      <c r="M10439" t="n">
        <v>0</v>
      </c>
      <c r="N10439" t="n">
        <v>0</v>
      </c>
      <c r="O10439" t="n">
        <v>0</v>
      </c>
      <c r="P10439" t="n">
        <v>0</v>
      </c>
      <c r="Q10439" t="n">
        <v>0</v>
      </c>
      <c r="R10439" s="2" t="inlineStr"/>
    </row>
    <row r="10440" ht="15" customHeight="1">
      <c r="A10440" t="inlineStr">
        <is>
          <t>A 45667-2023</t>
        </is>
      </c>
      <c r="B10440" s="1" t="n">
        <v>45194.85041666667</v>
      </c>
      <c r="C10440" s="1" t="n">
        <v>45952</v>
      </c>
      <c r="D10440" t="inlineStr">
        <is>
          <t>VÄSTRA GÖTALANDS LÄN</t>
        </is>
      </c>
      <c r="E10440" t="inlineStr">
        <is>
          <t>FALKÖPING</t>
        </is>
      </c>
      <c r="G10440" t="n">
        <v>1.7</v>
      </c>
      <c r="H10440" t="n">
        <v>0</v>
      </c>
      <c r="I10440" t="n">
        <v>0</v>
      </c>
      <c r="J10440" t="n">
        <v>0</v>
      </c>
      <c r="K10440" t="n">
        <v>0</v>
      </c>
      <c r="L10440" t="n">
        <v>0</v>
      </c>
      <c r="M10440" t="n">
        <v>0</v>
      </c>
      <c r="N10440" t="n">
        <v>0</v>
      </c>
      <c r="O10440" t="n">
        <v>0</v>
      </c>
      <c r="P10440" t="n">
        <v>0</v>
      </c>
      <c r="Q10440" t="n">
        <v>0</v>
      </c>
      <c r="R10440" s="2" t="inlineStr"/>
    </row>
    <row r="10441" ht="15" customHeight="1">
      <c r="A10441" t="inlineStr">
        <is>
          <t>A 45669-2023</t>
        </is>
      </c>
      <c r="B10441" s="1" t="n">
        <v>45194.87333333334</v>
      </c>
      <c r="C10441" s="1" t="n">
        <v>45952</v>
      </c>
      <c r="D10441" t="inlineStr">
        <is>
          <t>VÄSTRA GÖTALANDS LÄN</t>
        </is>
      </c>
      <c r="E10441" t="inlineStr">
        <is>
          <t>TIBRO</t>
        </is>
      </c>
      <c r="G10441" t="n">
        <v>1.2</v>
      </c>
      <c r="H10441" t="n">
        <v>0</v>
      </c>
      <c r="I10441" t="n">
        <v>0</v>
      </c>
      <c r="J10441" t="n">
        <v>0</v>
      </c>
      <c r="K10441" t="n">
        <v>0</v>
      </c>
      <c r="L10441" t="n">
        <v>0</v>
      </c>
      <c r="M10441" t="n">
        <v>0</v>
      </c>
      <c r="N10441" t="n">
        <v>0</v>
      </c>
      <c r="O10441" t="n">
        <v>0</v>
      </c>
      <c r="P10441" t="n">
        <v>0</v>
      </c>
      <c r="Q10441" t="n">
        <v>0</v>
      </c>
      <c r="R10441" s="2" t="inlineStr"/>
    </row>
    <row r="10442" ht="15" customHeight="1">
      <c r="A10442" t="inlineStr">
        <is>
          <t>A 60468-2024</t>
        </is>
      </c>
      <c r="B10442" s="1" t="n">
        <v>45643.62467592592</v>
      </c>
      <c r="C10442" s="1" t="n">
        <v>45952</v>
      </c>
      <c r="D10442" t="inlineStr">
        <is>
          <t>VÄSTRA GÖTALANDS LÄN</t>
        </is>
      </c>
      <c r="E10442" t="inlineStr">
        <is>
          <t>FÄRGELANDA</t>
        </is>
      </c>
      <c r="G10442" t="n">
        <v>5.2</v>
      </c>
      <c r="H10442" t="n">
        <v>0</v>
      </c>
      <c r="I10442" t="n">
        <v>0</v>
      </c>
      <c r="J10442" t="n">
        <v>0</v>
      </c>
      <c r="K10442" t="n">
        <v>0</v>
      </c>
      <c r="L10442" t="n">
        <v>0</v>
      </c>
      <c r="M10442" t="n">
        <v>0</v>
      </c>
      <c r="N10442" t="n">
        <v>0</v>
      </c>
      <c r="O10442" t="n">
        <v>0</v>
      </c>
      <c r="P10442" t="n">
        <v>0</v>
      </c>
      <c r="Q10442" t="n">
        <v>0</v>
      </c>
      <c r="R10442" s="2" t="inlineStr"/>
    </row>
    <row r="10443" ht="15" customHeight="1">
      <c r="A10443" t="inlineStr">
        <is>
          <t>A 12551-2023</t>
        </is>
      </c>
      <c r="B10443" s="1" t="n">
        <v>45000</v>
      </c>
      <c r="C10443" s="1" t="n">
        <v>45952</v>
      </c>
      <c r="D10443" t="inlineStr">
        <is>
          <t>VÄSTRA GÖTALANDS LÄN</t>
        </is>
      </c>
      <c r="E10443" t="inlineStr">
        <is>
          <t>TIDAHOLM</t>
        </is>
      </c>
      <c r="G10443" t="n">
        <v>1.1</v>
      </c>
      <c r="H10443" t="n">
        <v>0</v>
      </c>
      <c r="I10443" t="n">
        <v>0</v>
      </c>
      <c r="J10443" t="n">
        <v>0</v>
      </c>
      <c r="K10443" t="n">
        <v>0</v>
      </c>
      <c r="L10443" t="n">
        <v>0</v>
      </c>
      <c r="M10443" t="n">
        <v>0</v>
      </c>
      <c r="N10443" t="n">
        <v>0</v>
      </c>
      <c r="O10443" t="n">
        <v>0</v>
      </c>
      <c r="P10443" t="n">
        <v>0</v>
      </c>
      <c r="Q10443" t="n">
        <v>0</v>
      </c>
      <c r="R10443" s="2" t="inlineStr"/>
    </row>
    <row r="10444" ht="15" customHeight="1">
      <c r="A10444" t="inlineStr">
        <is>
          <t>A 60498-2024</t>
        </is>
      </c>
      <c r="B10444" s="1" t="n">
        <v>45643.66039351852</v>
      </c>
      <c r="C10444" s="1" t="n">
        <v>45952</v>
      </c>
      <c r="D10444" t="inlineStr">
        <is>
          <t>VÄSTRA GÖTALANDS LÄN</t>
        </is>
      </c>
      <c r="E10444" t="inlineStr">
        <is>
          <t>TROLLHÄTTAN</t>
        </is>
      </c>
      <c r="G10444" t="n">
        <v>1.1</v>
      </c>
      <c r="H10444" t="n">
        <v>0</v>
      </c>
      <c r="I10444" t="n">
        <v>0</v>
      </c>
      <c r="J10444" t="n">
        <v>0</v>
      </c>
      <c r="K10444" t="n">
        <v>0</v>
      </c>
      <c r="L10444" t="n">
        <v>0</v>
      </c>
      <c r="M10444" t="n">
        <v>0</v>
      </c>
      <c r="N10444" t="n">
        <v>0</v>
      </c>
      <c r="O10444" t="n">
        <v>0</v>
      </c>
      <c r="P10444" t="n">
        <v>0</v>
      </c>
      <c r="Q10444" t="n">
        <v>0</v>
      </c>
      <c r="R10444" s="2" t="inlineStr"/>
    </row>
    <row r="10445" ht="15" customHeight="1">
      <c r="A10445" t="inlineStr">
        <is>
          <t>A 24163-2024</t>
        </is>
      </c>
      <c r="B10445" s="1" t="n">
        <v>45441</v>
      </c>
      <c r="C10445" s="1" t="n">
        <v>45952</v>
      </c>
      <c r="D10445" t="inlineStr">
        <is>
          <t>VÄSTRA GÖTALANDS LÄN</t>
        </is>
      </c>
      <c r="E10445" t="inlineStr">
        <is>
          <t>LERUM</t>
        </is>
      </c>
      <c r="G10445" t="n">
        <v>2.5</v>
      </c>
      <c r="H10445" t="n">
        <v>0</v>
      </c>
      <c r="I10445" t="n">
        <v>0</v>
      </c>
      <c r="J10445" t="n">
        <v>0</v>
      </c>
      <c r="K10445" t="n">
        <v>0</v>
      </c>
      <c r="L10445" t="n">
        <v>0</v>
      </c>
      <c r="M10445" t="n">
        <v>0</v>
      </c>
      <c r="N10445" t="n">
        <v>0</v>
      </c>
      <c r="O10445" t="n">
        <v>0</v>
      </c>
      <c r="P10445" t="n">
        <v>0</v>
      </c>
      <c r="Q10445" t="n">
        <v>0</v>
      </c>
      <c r="R10445" s="2" t="inlineStr"/>
    </row>
    <row r="10446" ht="15" customHeight="1">
      <c r="A10446" t="inlineStr">
        <is>
          <t>A 27458-2021</t>
        </is>
      </c>
      <c r="B10446" s="1" t="n">
        <v>44351</v>
      </c>
      <c r="C10446" s="1" t="n">
        <v>45952</v>
      </c>
      <c r="D10446" t="inlineStr">
        <is>
          <t>VÄSTRA GÖTALANDS LÄN</t>
        </is>
      </c>
      <c r="E10446" t="inlineStr">
        <is>
          <t>BORÅS</t>
        </is>
      </c>
      <c r="G10446" t="n">
        <v>1.3</v>
      </c>
      <c r="H10446" t="n">
        <v>0</v>
      </c>
      <c r="I10446" t="n">
        <v>0</v>
      </c>
      <c r="J10446" t="n">
        <v>0</v>
      </c>
      <c r="K10446" t="n">
        <v>0</v>
      </c>
      <c r="L10446" t="n">
        <v>0</v>
      </c>
      <c r="M10446" t="n">
        <v>0</v>
      </c>
      <c r="N10446" t="n">
        <v>0</v>
      </c>
      <c r="O10446" t="n">
        <v>0</v>
      </c>
      <c r="P10446" t="n">
        <v>0</v>
      </c>
      <c r="Q10446" t="n">
        <v>0</v>
      </c>
      <c r="R10446" s="2" t="inlineStr"/>
    </row>
    <row r="10447" ht="15" customHeight="1">
      <c r="A10447" t="inlineStr">
        <is>
          <t>A 28671-2023</t>
        </is>
      </c>
      <c r="B10447" s="1" t="n">
        <v>45103.66701388889</v>
      </c>
      <c r="C10447" s="1" t="n">
        <v>45952</v>
      </c>
      <c r="D10447" t="inlineStr">
        <is>
          <t>VÄSTRA GÖTALANDS LÄN</t>
        </is>
      </c>
      <c r="E10447" t="inlineStr">
        <is>
          <t>TIDAHOLM</t>
        </is>
      </c>
      <c r="F10447" t="inlineStr">
        <is>
          <t>Kyrkan</t>
        </is>
      </c>
      <c r="G10447" t="n">
        <v>2</v>
      </c>
      <c r="H10447" t="n">
        <v>0</v>
      </c>
      <c r="I10447" t="n">
        <v>0</v>
      </c>
      <c r="J10447" t="n">
        <v>0</v>
      </c>
      <c r="K10447" t="n">
        <v>0</v>
      </c>
      <c r="L10447" t="n">
        <v>0</v>
      </c>
      <c r="M10447" t="n">
        <v>0</v>
      </c>
      <c r="N10447" t="n">
        <v>0</v>
      </c>
      <c r="O10447" t="n">
        <v>0</v>
      </c>
      <c r="P10447" t="n">
        <v>0</v>
      </c>
      <c r="Q10447" t="n">
        <v>0</v>
      </c>
      <c r="R10447" s="2" t="inlineStr"/>
    </row>
    <row r="10448" ht="15" customHeight="1">
      <c r="A10448" t="inlineStr">
        <is>
          <t>A 25982-2025</t>
        </is>
      </c>
      <c r="B10448" s="1" t="n">
        <v>45804.63818287037</v>
      </c>
      <c r="C10448" s="1" t="n">
        <v>45952</v>
      </c>
      <c r="D10448" t="inlineStr">
        <is>
          <t>VÄSTRA GÖTALANDS LÄN</t>
        </is>
      </c>
      <c r="E10448" t="inlineStr">
        <is>
          <t>KARLSBORG</t>
        </is>
      </c>
      <c r="F10448" t="inlineStr">
        <is>
          <t>Övriga Aktiebolag</t>
        </is>
      </c>
      <c r="G10448" t="n">
        <v>6.1</v>
      </c>
      <c r="H10448" t="n">
        <v>0</v>
      </c>
      <c r="I10448" t="n">
        <v>0</v>
      </c>
      <c r="J10448" t="n">
        <v>0</v>
      </c>
      <c r="K10448" t="n">
        <v>0</v>
      </c>
      <c r="L10448" t="n">
        <v>0</v>
      </c>
      <c r="M10448" t="n">
        <v>0</v>
      </c>
      <c r="N10448" t="n">
        <v>0</v>
      </c>
      <c r="O10448" t="n">
        <v>0</v>
      </c>
      <c r="P10448" t="n">
        <v>0</v>
      </c>
      <c r="Q10448" t="n">
        <v>0</v>
      </c>
      <c r="R10448" s="2" t="inlineStr"/>
    </row>
    <row r="10449" ht="15" customHeight="1">
      <c r="A10449" t="inlineStr">
        <is>
          <t>A 40073-2025</t>
        </is>
      </c>
      <c r="B10449" s="1" t="n">
        <v>45894</v>
      </c>
      <c r="C10449" s="1" t="n">
        <v>45952</v>
      </c>
      <c r="D10449" t="inlineStr">
        <is>
          <t>VÄSTRA GÖTALANDS LÄN</t>
        </is>
      </c>
      <c r="E10449" t="inlineStr">
        <is>
          <t>ALINGSÅS</t>
        </is>
      </c>
      <c r="G10449" t="n">
        <v>1.8</v>
      </c>
      <c r="H10449" t="n">
        <v>0</v>
      </c>
      <c r="I10449" t="n">
        <v>0</v>
      </c>
      <c r="J10449" t="n">
        <v>0</v>
      </c>
      <c r="K10449" t="n">
        <v>0</v>
      </c>
      <c r="L10449" t="n">
        <v>0</v>
      </c>
      <c r="M10449" t="n">
        <v>0</v>
      </c>
      <c r="N10449" t="n">
        <v>0</v>
      </c>
      <c r="O10449" t="n">
        <v>0</v>
      </c>
      <c r="P10449" t="n">
        <v>0</v>
      </c>
      <c r="Q10449" t="n">
        <v>0</v>
      </c>
      <c r="R10449" s="2" t="inlineStr"/>
    </row>
    <row r="10450" ht="15" customHeight="1">
      <c r="A10450" t="inlineStr">
        <is>
          <t>A 26035-2025</t>
        </is>
      </c>
      <c r="B10450" s="1" t="n">
        <v>45804</v>
      </c>
      <c r="C10450" s="1" t="n">
        <v>45952</v>
      </c>
      <c r="D10450" t="inlineStr">
        <is>
          <t>VÄSTRA GÖTALANDS LÄN</t>
        </is>
      </c>
      <c r="E10450" t="inlineStr">
        <is>
          <t>GÖTENE</t>
        </is>
      </c>
      <c r="G10450" t="n">
        <v>2.1</v>
      </c>
      <c r="H10450" t="n">
        <v>0</v>
      </c>
      <c r="I10450" t="n">
        <v>0</v>
      </c>
      <c r="J10450" t="n">
        <v>0</v>
      </c>
      <c r="K10450" t="n">
        <v>0</v>
      </c>
      <c r="L10450" t="n">
        <v>0</v>
      </c>
      <c r="M10450" t="n">
        <v>0</v>
      </c>
      <c r="N10450" t="n">
        <v>0</v>
      </c>
      <c r="O10450" t="n">
        <v>0</v>
      </c>
      <c r="P10450" t="n">
        <v>0</v>
      </c>
      <c r="Q10450" t="n">
        <v>0</v>
      </c>
      <c r="R10450" s="2" t="inlineStr"/>
    </row>
    <row r="10451" ht="15" customHeight="1">
      <c r="A10451" t="inlineStr">
        <is>
          <t>A 26048-2025</t>
        </is>
      </c>
      <c r="B10451" s="1" t="n">
        <v>45804.71013888889</v>
      </c>
      <c r="C10451" s="1" t="n">
        <v>45952</v>
      </c>
      <c r="D10451" t="inlineStr">
        <is>
          <t>VÄSTRA GÖTALANDS LÄN</t>
        </is>
      </c>
      <c r="E10451" t="inlineStr">
        <is>
          <t>ULRICEHAMN</t>
        </is>
      </c>
      <c r="G10451" t="n">
        <v>1.8</v>
      </c>
      <c r="H10451" t="n">
        <v>0</v>
      </c>
      <c r="I10451" t="n">
        <v>0</v>
      </c>
      <c r="J10451" t="n">
        <v>0</v>
      </c>
      <c r="K10451" t="n">
        <v>0</v>
      </c>
      <c r="L10451" t="n">
        <v>0</v>
      </c>
      <c r="M10451" t="n">
        <v>0</v>
      </c>
      <c r="N10451" t="n">
        <v>0</v>
      </c>
      <c r="O10451" t="n">
        <v>0</v>
      </c>
      <c r="P10451" t="n">
        <v>0</v>
      </c>
      <c r="Q10451" t="n">
        <v>0</v>
      </c>
      <c r="R10451" s="2" t="inlineStr"/>
    </row>
    <row r="10452" ht="15" customHeight="1">
      <c r="A10452" t="inlineStr">
        <is>
          <t>A 34551-2023</t>
        </is>
      </c>
      <c r="B10452" s="1" t="n">
        <v>45140</v>
      </c>
      <c r="C10452" s="1" t="n">
        <v>45952</v>
      </c>
      <c r="D10452" t="inlineStr">
        <is>
          <t>VÄSTRA GÖTALANDS LÄN</t>
        </is>
      </c>
      <c r="E10452" t="inlineStr">
        <is>
          <t>TRANEMO</t>
        </is>
      </c>
      <c r="G10452" t="n">
        <v>0.8</v>
      </c>
      <c r="H10452" t="n">
        <v>0</v>
      </c>
      <c r="I10452" t="n">
        <v>0</v>
      </c>
      <c r="J10452" t="n">
        <v>0</v>
      </c>
      <c r="K10452" t="n">
        <v>0</v>
      </c>
      <c r="L10452" t="n">
        <v>0</v>
      </c>
      <c r="M10452" t="n">
        <v>0</v>
      </c>
      <c r="N10452" t="n">
        <v>0</v>
      </c>
      <c r="O10452" t="n">
        <v>0</v>
      </c>
      <c r="P10452" t="n">
        <v>0</v>
      </c>
      <c r="Q10452" t="n">
        <v>0</v>
      </c>
      <c r="R10452" s="2" t="inlineStr"/>
    </row>
    <row r="10453" ht="15" customHeight="1">
      <c r="A10453" t="inlineStr">
        <is>
          <t>A 49997-2025</t>
        </is>
      </c>
      <c r="B10453" s="1" t="n">
        <v>45943.09143518518</v>
      </c>
      <c r="C10453" s="1" t="n">
        <v>45952</v>
      </c>
      <c r="D10453" t="inlineStr">
        <is>
          <t>VÄSTRA GÖTALANDS LÄN</t>
        </is>
      </c>
      <c r="E10453" t="inlineStr">
        <is>
          <t>LIDKÖPING</t>
        </is>
      </c>
      <c r="G10453" t="n">
        <v>1.1</v>
      </c>
      <c r="H10453" t="n">
        <v>0</v>
      </c>
      <c r="I10453" t="n">
        <v>0</v>
      </c>
      <c r="J10453" t="n">
        <v>0</v>
      </c>
      <c r="K10453" t="n">
        <v>0</v>
      </c>
      <c r="L10453" t="n">
        <v>0</v>
      </c>
      <c r="M10453" t="n">
        <v>0</v>
      </c>
      <c r="N10453" t="n">
        <v>0</v>
      </c>
      <c r="O10453" t="n">
        <v>0</v>
      </c>
      <c r="P10453" t="n">
        <v>0</v>
      </c>
      <c r="Q10453" t="n">
        <v>0</v>
      </c>
      <c r="R10453" s="2" t="inlineStr"/>
    </row>
    <row r="10454" ht="15" customHeight="1">
      <c r="A10454" t="inlineStr">
        <is>
          <t>A 37746-2023</t>
        </is>
      </c>
      <c r="B10454" s="1" t="n">
        <v>45159</v>
      </c>
      <c r="C10454" s="1" t="n">
        <v>45952</v>
      </c>
      <c r="D10454" t="inlineStr">
        <is>
          <t>VÄSTRA GÖTALANDS LÄN</t>
        </is>
      </c>
      <c r="E10454" t="inlineStr">
        <is>
          <t>HERRLJUNGA</t>
        </is>
      </c>
      <c r="G10454" t="n">
        <v>2.4</v>
      </c>
      <c r="H10454" t="n">
        <v>0</v>
      </c>
      <c r="I10454" t="n">
        <v>0</v>
      </c>
      <c r="J10454" t="n">
        <v>0</v>
      </c>
      <c r="K10454" t="n">
        <v>0</v>
      </c>
      <c r="L10454" t="n">
        <v>0</v>
      </c>
      <c r="M10454" t="n">
        <v>0</v>
      </c>
      <c r="N10454" t="n">
        <v>0</v>
      </c>
      <c r="O10454" t="n">
        <v>0</v>
      </c>
      <c r="P10454" t="n">
        <v>0</v>
      </c>
      <c r="Q10454" t="n">
        <v>0</v>
      </c>
      <c r="R10454" s="2" t="inlineStr"/>
    </row>
    <row r="10455" ht="15" customHeight="1">
      <c r="A10455" t="inlineStr">
        <is>
          <t>A 25849-2025</t>
        </is>
      </c>
      <c r="B10455" s="1" t="n">
        <v>45804</v>
      </c>
      <c r="C10455" s="1" t="n">
        <v>45952</v>
      </c>
      <c r="D10455" t="inlineStr">
        <is>
          <t>VÄSTRA GÖTALANDS LÄN</t>
        </is>
      </c>
      <c r="E10455" t="inlineStr">
        <is>
          <t>ALE</t>
        </is>
      </c>
      <c r="G10455" t="n">
        <v>0.8</v>
      </c>
      <c r="H10455" t="n">
        <v>0</v>
      </c>
      <c r="I10455" t="n">
        <v>0</v>
      </c>
      <c r="J10455" t="n">
        <v>0</v>
      </c>
      <c r="K10455" t="n">
        <v>0</v>
      </c>
      <c r="L10455" t="n">
        <v>0</v>
      </c>
      <c r="M10455" t="n">
        <v>0</v>
      </c>
      <c r="N10455" t="n">
        <v>0</v>
      </c>
      <c r="O10455" t="n">
        <v>0</v>
      </c>
      <c r="P10455" t="n">
        <v>0</v>
      </c>
      <c r="Q10455" t="n">
        <v>0</v>
      </c>
      <c r="R10455" s="2" t="inlineStr"/>
    </row>
    <row r="10456" ht="15" customHeight="1">
      <c r="A10456" t="inlineStr">
        <is>
          <t>A 25794-2025</t>
        </is>
      </c>
      <c r="B10456" s="1" t="n">
        <v>45804.39341435185</v>
      </c>
      <c r="C10456" s="1" t="n">
        <v>45952</v>
      </c>
      <c r="D10456" t="inlineStr">
        <is>
          <t>VÄSTRA GÖTALANDS LÄN</t>
        </is>
      </c>
      <c r="E10456" t="inlineStr">
        <is>
          <t>SKÖVDE</t>
        </is>
      </c>
      <c r="F10456" t="inlineStr">
        <is>
          <t>Sveaskog</t>
        </is>
      </c>
      <c r="G10456" t="n">
        <v>2.5</v>
      </c>
      <c r="H10456" t="n">
        <v>0</v>
      </c>
      <c r="I10456" t="n">
        <v>0</v>
      </c>
      <c r="J10456" t="n">
        <v>0</v>
      </c>
      <c r="K10456" t="n">
        <v>0</v>
      </c>
      <c r="L10456" t="n">
        <v>0</v>
      </c>
      <c r="M10456" t="n">
        <v>0</v>
      </c>
      <c r="N10456" t="n">
        <v>0</v>
      </c>
      <c r="O10456" t="n">
        <v>0</v>
      </c>
      <c r="P10456" t="n">
        <v>0</v>
      </c>
      <c r="Q10456" t="n">
        <v>0</v>
      </c>
      <c r="R10456" s="2" t="inlineStr"/>
    </row>
    <row r="10457" ht="15" customHeight="1">
      <c r="A10457" t="inlineStr">
        <is>
          <t>A 48257-2022</t>
        </is>
      </c>
      <c r="B10457" s="1" t="n">
        <v>44858.47591435185</v>
      </c>
      <c r="C10457" s="1" t="n">
        <v>45952</v>
      </c>
      <c r="D10457" t="inlineStr">
        <is>
          <t>VÄSTRA GÖTALANDS LÄN</t>
        </is>
      </c>
      <c r="E10457" t="inlineStr">
        <is>
          <t>ALE</t>
        </is>
      </c>
      <c r="G10457" t="n">
        <v>1</v>
      </c>
      <c r="H10457" t="n">
        <v>0</v>
      </c>
      <c r="I10457" t="n">
        <v>0</v>
      </c>
      <c r="J10457" t="n">
        <v>0</v>
      </c>
      <c r="K10457" t="n">
        <v>0</v>
      </c>
      <c r="L10457" t="n">
        <v>0</v>
      </c>
      <c r="M10457" t="n">
        <v>0</v>
      </c>
      <c r="N10457" t="n">
        <v>0</v>
      </c>
      <c r="O10457" t="n">
        <v>0</v>
      </c>
      <c r="P10457" t="n">
        <v>0</v>
      </c>
      <c r="Q10457" t="n">
        <v>0</v>
      </c>
      <c r="R10457" s="2" t="inlineStr"/>
    </row>
    <row r="10458" ht="15" customHeight="1">
      <c r="A10458" t="inlineStr">
        <is>
          <t>A 25798-2025</t>
        </is>
      </c>
      <c r="B10458" s="1" t="n">
        <v>45804.4008912037</v>
      </c>
      <c r="C10458" s="1" t="n">
        <v>45952</v>
      </c>
      <c r="D10458" t="inlineStr">
        <is>
          <t>VÄSTRA GÖTALANDS LÄN</t>
        </is>
      </c>
      <c r="E10458" t="inlineStr">
        <is>
          <t>MARIESTAD</t>
        </is>
      </c>
      <c r="F10458" t="inlineStr">
        <is>
          <t>Sveaskog</t>
        </is>
      </c>
      <c r="G10458" t="n">
        <v>6.4</v>
      </c>
      <c r="H10458" t="n">
        <v>0</v>
      </c>
      <c r="I10458" t="n">
        <v>0</v>
      </c>
      <c r="J10458" t="n">
        <v>0</v>
      </c>
      <c r="K10458" t="n">
        <v>0</v>
      </c>
      <c r="L10458" t="n">
        <v>0</v>
      </c>
      <c r="M10458" t="n">
        <v>0</v>
      </c>
      <c r="N10458" t="n">
        <v>0</v>
      </c>
      <c r="O10458" t="n">
        <v>0</v>
      </c>
      <c r="P10458" t="n">
        <v>0</v>
      </c>
      <c r="Q10458" t="n">
        <v>0</v>
      </c>
      <c r="R10458" s="2" t="inlineStr"/>
    </row>
    <row r="10459" ht="15" customHeight="1">
      <c r="A10459" t="inlineStr">
        <is>
          <t>A 44523-2023</t>
        </is>
      </c>
      <c r="B10459" s="1" t="n">
        <v>45189.4774537037</v>
      </c>
      <c r="C10459" s="1" t="n">
        <v>45952</v>
      </c>
      <c r="D10459" t="inlineStr">
        <is>
          <t>VÄSTRA GÖTALANDS LÄN</t>
        </is>
      </c>
      <c r="E10459" t="inlineStr">
        <is>
          <t>STRÖMSTAD</t>
        </is>
      </c>
      <c r="G10459" t="n">
        <v>3.6</v>
      </c>
      <c r="H10459" t="n">
        <v>0</v>
      </c>
      <c r="I10459" t="n">
        <v>0</v>
      </c>
      <c r="J10459" t="n">
        <v>0</v>
      </c>
      <c r="K10459" t="n">
        <v>0</v>
      </c>
      <c r="L10459" t="n">
        <v>0</v>
      </c>
      <c r="M10459" t="n">
        <v>0</v>
      </c>
      <c r="N10459" t="n">
        <v>0</v>
      </c>
      <c r="O10459" t="n">
        <v>0</v>
      </c>
      <c r="P10459" t="n">
        <v>0</v>
      </c>
      <c r="Q10459" t="n">
        <v>0</v>
      </c>
      <c r="R10459" s="2" t="inlineStr"/>
    </row>
    <row r="10460" ht="15" customHeight="1">
      <c r="A10460" t="inlineStr">
        <is>
          <t>A 26029-2025</t>
        </is>
      </c>
      <c r="B10460" s="1" t="n">
        <v>45804</v>
      </c>
      <c r="C10460" s="1" t="n">
        <v>45952</v>
      </c>
      <c r="D10460" t="inlineStr">
        <is>
          <t>VÄSTRA GÖTALANDS LÄN</t>
        </is>
      </c>
      <c r="E10460" t="inlineStr">
        <is>
          <t>GÖTENE</t>
        </is>
      </c>
      <c r="G10460" t="n">
        <v>1.2</v>
      </c>
      <c r="H10460" t="n">
        <v>0</v>
      </c>
      <c r="I10460" t="n">
        <v>0</v>
      </c>
      <c r="J10460" t="n">
        <v>0</v>
      </c>
      <c r="K10460" t="n">
        <v>0</v>
      </c>
      <c r="L10460" t="n">
        <v>0</v>
      </c>
      <c r="M10460" t="n">
        <v>0</v>
      </c>
      <c r="N10460" t="n">
        <v>0</v>
      </c>
      <c r="O10460" t="n">
        <v>0</v>
      </c>
      <c r="P10460" t="n">
        <v>0</v>
      </c>
      <c r="Q10460" t="n">
        <v>0</v>
      </c>
      <c r="R10460" s="2" t="inlineStr"/>
    </row>
    <row r="10461" ht="15" customHeight="1">
      <c r="A10461" t="inlineStr">
        <is>
          <t>A 43690-2024</t>
        </is>
      </c>
      <c r="B10461" s="1" t="n">
        <v>45569.58503472222</v>
      </c>
      <c r="C10461" s="1" t="n">
        <v>45952</v>
      </c>
      <c r="D10461" t="inlineStr">
        <is>
          <t>VÄSTRA GÖTALANDS LÄN</t>
        </is>
      </c>
      <c r="E10461" t="inlineStr">
        <is>
          <t>BORÅS</t>
        </is>
      </c>
      <c r="G10461" t="n">
        <v>7.5</v>
      </c>
      <c r="H10461" t="n">
        <v>0</v>
      </c>
      <c r="I10461" t="n">
        <v>0</v>
      </c>
      <c r="J10461" t="n">
        <v>0</v>
      </c>
      <c r="K10461" t="n">
        <v>0</v>
      </c>
      <c r="L10461" t="n">
        <v>0</v>
      </c>
      <c r="M10461" t="n">
        <v>0</v>
      </c>
      <c r="N10461" t="n">
        <v>0</v>
      </c>
      <c r="O10461" t="n">
        <v>0</v>
      </c>
      <c r="P10461" t="n">
        <v>0</v>
      </c>
      <c r="Q10461" t="n">
        <v>0</v>
      </c>
      <c r="R10461" s="2" t="inlineStr"/>
    </row>
    <row r="10462" ht="15" customHeight="1">
      <c r="A10462" t="inlineStr">
        <is>
          <t>A 43709-2024</t>
        </is>
      </c>
      <c r="B10462" s="1" t="n">
        <v>45569</v>
      </c>
      <c r="C10462" s="1" t="n">
        <v>45952</v>
      </c>
      <c r="D10462" t="inlineStr">
        <is>
          <t>VÄSTRA GÖTALANDS LÄN</t>
        </is>
      </c>
      <c r="E10462" t="inlineStr">
        <is>
          <t>KARLSBORG</t>
        </is>
      </c>
      <c r="G10462" t="n">
        <v>4</v>
      </c>
      <c r="H10462" t="n">
        <v>0</v>
      </c>
      <c r="I10462" t="n">
        <v>0</v>
      </c>
      <c r="J10462" t="n">
        <v>0</v>
      </c>
      <c r="K10462" t="n">
        <v>0</v>
      </c>
      <c r="L10462" t="n">
        <v>0</v>
      </c>
      <c r="M10462" t="n">
        <v>0</v>
      </c>
      <c r="N10462" t="n">
        <v>0</v>
      </c>
      <c r="O10462" t="n">
        <v>0</v>
      </c>
      <c r="P10462" t="n">
        <v>0</v>
      </c>
      <c r="Q10462" t="n">
        <v>0</v>
      </c>
      <c r="R10462" s="2" t="inlineStr"/>
    </row>
    <row r="10463" ht="15" customHeight="1">
      <c r="A10463" t="inlineStr">
        <is>
          <t>A 26073-2025</t>
        </is>
      </c>
      <c r="B10463" s="1" t="n">
        <v>45805.3218287037</v>
      </c>
      <c r="C10463" s="1" t="n">
        <v>45952</v>
      </c>
      <c r="D10463" t="inlineStr">
        <is>
          <t>VÄSTRA GÖTALANDS LÄN</t>
        </is>
      </c>
      <c r="E10463" t="inlineStr">
        <is>
          <t>LERUM</t>
        </is>
      </c>
      <c r="G10463" t="n">
        <v>4.7</v>
      </c>
      <c r="H10463" t="n">
        <v>0</v>
      </c>
      <c r="I10463" t="n">
        <v>0</v>
      </c>
      <c r="J10463" t="n">
        <v>0</v>
      </c>
      <c r="K10463" t="n">
        <v>0</v>
      </c>
      <c r="L10463" t="n">
        <v>0</v>
      </c>
      <c r="M10463" t="n">
        <v>0</v>
      </c>
      <c r="N10463" t="n">
        <v>0</v>
      </c>
      <c r="O10463" t="n">
        <v>0</v>
      </c>
      <c r="P10463" t="n">
        <v>0</v>
      </c>
      <c r="Q10463" t="n">
        <v>0</v>
      </c>
      <c r="R10463" s="2" t="inlineStr"/>
    </row>
    <row r="10464" ht="15" customHeight="1">
      <c r="A10464" t="inlineStr">
        <is>
          <t>A 5196-2023</t>
        </is>
      </c>
      <c r="B10464" s="1" t="n">
        <v>44959</v>
      </c>
      <c r="C10464" s="1" t="n">
        <v>45952</v>
      </c>
      <c r="D10464" t="inlineStr">
        <is>
          <t>VÄSTRA GÖTALANDS LÄN</t>
        </is>
      </c>
      <c r="E10464" t="inlineStr">
        <is>
          <t>BORÅS</t>
        </is>
      </c>
      <c r="G10464" t="n">
        <v>1.4</v>
      </c>
      <c r="H10464" t="n">
        <v>0</v>
      </c>
      <c r="I10464" t="n">
        <v>0</v>
      </c>
      <c r="J10464" t="n">
        <v>0</v>
      </c>
      <c r="K10464" t="n">
        <v>0</v>
      </c>
      <c r="L10464" t="n">
        <v>0</v>
      </c>
      <c r="M10464" t="n">
        <v>0</v>
      </c>
      <c r="N10464" t="n">
        <v>0</v>
      </c>
      <c r="O10464" t="n">
        <v>0</v>
      </c>
      <c r="P10464" t="n">
        <v>0</v>
      </c>
      <c r="Q10464" t="n">
        <v>0</v>
      </c>
      <c r="R10464" s="2" t="inlineStr"/>
    </row>
    <row r="10465" ht="15" customHeight="1">
      <c r="A10465" t="inlineStr">
        <is>
          <t>A 50042-2025</t>
        </is>
      </c>
      <c r="B10465" s="1" t="n">
        <v>45943.40510416667</v>
      </c>
      <c r="C10465" s="1" t="n">
        <v>45952</v>
      </c>
      <c r="D10465" t="inlineStr">
        <is>
          <t>VÄSTRA GÖTALANDS LÄN</t>
        </is>
      </c>
      <c r="E10465" t="inlineStr">
        <is>
          <t>BENGTSFORS</t>
        </is>
      </c>
      <c r="G10465" t="n">
        <v>0.6</v>
      </c>
      <c r="H10465" t="n">
        <v>0</v>
      </c>
      <c r="I10465" t="n">
        <v>0</v>
      </c>
      <c r="J10465" t="n">
        <v>0</v>
      </c>
      <c r="K10465" t="n">
        <v>0</v>
      </c>
      <c r="L10465" t="n">
        <v>0</v>
      </c>
      <c r="M10465" t="n">
        <v>0</v>
      </c>
      <c r="N10465" t="n">
        <v>0</v>
      </c>
      <c r="O10465" t="n">
        <v>0</v>
      </c>
      <c r="P10465" t="n">
        <v>0</v>
      </c>
      <c r="Q10465" t="n">
        <v>0</v>
      </c>
      <c r="R10465" s="2" t="inlineStr"/>
    </row>
    <row r="10466" ht="15" customHeight="1">
      <c r="A10466" t="inlineStr">
        <is>
          <t>A 50047-2025</t>
        </is>
      </c>
      <c r="B10466" s="1" t="n">
        <v>45943.41034722222</v>
      </c>
      <c r="C10466" s="1" t="n">
        <v>45952</v>
      </c>
      <c r="D10466" t="inlineStr">
        <is>
          <t>VÄSTRA GÖTALANDS LÄN</t>
        </is>
      </c>
      <c r="E10466" t="inlineStr">
        <is>
          <t>BENGTSFORS</t>
        </is>
      </c>
      <c r="G10466" t="n">
        <v>3.8</v>
      </c>
      <c r="H10466" t="n">
        <v>0</v>
      </c>
      <c r="I10466" t="n">
        <v>0</v>
      </c>
      <c r="J10466" t="n">
        <v>0</v>
      </c>
      <c r="K10466" t="n">
        <v>0</v>
      </c>
      <c r="L10466" t="n">
        <v>0</v>
      </c>
      <c r="M10466" t="n">
        <v>0</v>
      </c>
      <c r="N10466" t="n">
        <v>0</v>
      </c>
      <c r="O10466" t="n">
        <v>0</v>
      </c>
      <c r="P10466" t="n">
        <v>0</v>
      </c>
      <c r="Q10466" t="n">
        <v>0</v>
      </c>
      <c r="R10466" s="2" t="inlineStr"/>
    </row>
    <row r="10467" ht="15" customHeight="1">
      <c r="A10467" t="inlineStr">
        <is>
          <t>A 50057-2025</t>
        </is>
      </c>
      <c r="B10467" s="1" t="n">
        <v>45942</v>
      </c>
      <c r="C10467" s="1" t="n">
        <v>45952</v>
      </c>
      <c r="D10467" t="inlineStr">
        <is>
          <t>VÄSTRA GÖTALANDS LÄN</t>
        </is>
      </c>
      <c r="E10467" t="inlineStr">
        <is>
          <t>STRÖMSTAD</t>
        </is>
      </c>
      <c r="G10467" t="n">
        <v>1.9</v>
      </c>
      <c r="H10467" t="n">
        <v>0</v>
      </c>
      <c r="I10467" t="n">
        <v>0</v>
      </c>
      <c r="J10467" t="n">
        <v>0</v>
      </c>
      <c r="K10467" t="n">
        <v>0</v>
      </c>
      <c r="L10467" t="n">
        <v>0</v>
      </c>
      <c r="M10467" t="n">
        <v>0</v>
      </c>
      <c r="N10467" t="n">
        <v>0</v>
      </c>
      <c r="O10467" t="n">
        <v>0</v>
      </c>
      <c r="P10467" t="n">
        <v>0</v>
      </c>
      <c r="Q10467" t="n">
        <v>0</v>
      </c>
      <c r="R10467" s="2" t="inlineStr"/>
    </row>
    <row r="10468" ht="15" customHeight="1">
      <c r="A10468" t="inlineStr">
        <is>
          <t>A 59440-2023</t>
        </is>
      </c>
      <c r="B10468" s="1" t="n">
        <v>45254</v>
      </c>
      <c r="C10468" s="1" t="n">
        <v>45952</v>
      </c>
      <c r="D10468" t="inlineStr">
        <is>
          <t>VÄSTRA GÖTALANDS LÄN</t>
        </is>
      </c>
      <c r="E10468" t="inlineStr">
        <is>
          <t>VÅRGÅRDA</t>
        </is>
      </c>
      <c r="G10468" t="n">
        <v>15</v>
      </c>
      <c r="H10468" t="n">
        <v>0</v>
      </c>
      <c r="I10468" t="n">
        <v>0</v>
      </c>
      <c r="J10468" t="n">
        <v>0</v>
      </c>
      <c r="K10468" t="n">
        <v>0</v>
      </c>
      <c r="L10468" t="n">
        <v>0</v>
      </c>
      <c r="M10468" t="n">
        <v>0</v>
      </c>
      <c r="N10468" t="n">
        <v>0</v>
      </c>
      <c r="O10468" t="n">
        <v>0</v>
      </c>
      <c r="P10468" t="n">
        <v>0</v>
      </c>
      <c r="Q10468" t="n">
        <v>0</v>
      </c>
      <c r="R10468" s="2" t="inlineStr"/>
    </row>
    <row r="10469" ht="15" customHeight="1">
      <c r="A10469" t="inlineStr">
        <is>
          <t>A 9173-2024</t>
        </is>
      </c>
      <c r="B10469" s="1" t="n">
        <v>45358.42875</v>
      </c>
      <c r="C10469" s="1" t="n">
        <v>45952</v>
      </c>
      <c r="D10469" t="inlineStr">
        <is>
          <t>VÄSTRA GÖTALANDS LÄN</t>
        </is>
      </c>
      <c r="E10469" t="inlineStr">
        <is>
          <t>TRANEMO</t>
        </is>
      </c>
      <c r="G10469" t="n">
        <v>0.9</v>
      </c>
      <c r="H10469" t="n">
        <v>0</v>
      </c>
      <c r="I10469" t="n">
        <v>0</v>
      </c>
      <c r="J10469" t="n">
        <v>0</v>
      </c>
      <c r="K10469" t="n">
        <v>0</v>
      </c>
      <c r="L10469" t="n">
        <v>0</v>
      </c>
      <c r="M10469" t="n">
        <v>0</v>
      </c>
      <c r="N10469" t="n">
        <v>0</v>
      </c>
      <c r="O10469" t="n">
        <v>0</v>
      </c>
      <c r="P10469" t="n">
        <v>0</v>
      </c>
      <c r="Q10469" t="n">
        <v>0</v>
      </c>
      <c r="R10469" s="2" t="inlineStr"/>
    </row>
    <row r="10470" ht="15" customHeight="1">
      <c r="A10470" t="inlineStr">
        <is>
          <t>A 10321-2021</t>
        </is>
      </c>
      <c r="B10470" s="1" t="n">
        <v>44257</v>
      </c>
      <c r="C10470" s="1" t="n">
        <v>45952</v>
      </c>
      <c r="D10470" t="inlineStr">
        <is>
          <t>VÄSTRA GÖTALANDS LÄN</t>
        </is>
      </c>
      <c r="E10470" t="inlineStr">
        <is>
          <t>DALS-ED</t>
        </is>
      </c>
      <c r="G10470" t="n">
        <v>3.1</v>
      </c>
      <c r="H10470" t="n">
        <v>0</v>
      </c>
      <c r="I10470" t="n">
        <v>0</v>
      </c>
      <c r="J10470" t="n">
        <v>0</v>
      </c>
      <c r="K10470" t="n">
        <v>0</v>
      </c>
      <c r="L10470" t="n">
        <v>0</v>
      </c>
      <c r="M10470" t="n">
        <v>0</v>
      </c>
      <c r="N10470" t="n">
        <v>0</v>
      </c>
      <c r="O10470" t="n">
        <v>0</v>
      </c>
      <c r="P10470" t="n">
        <v>0</v>
      </c>
      <c r="Q10470" t="n">
        <v>0</v>
      </c>
      <c r="R10470" s="2" t="inlineStr"/>
    </row>
    <row r="10471" ht="15" customHeight="1">
      <c r="A10471" t="inlineStr">
        <is>
          <t>A 26233-2025</t>
        </is>
      </c>
      <c r="B10471" s="1" t="n">
        <v>45805.5666087963</v>
      </c>
      <c r="C10471" s="1" t="n">
        <v>45952</v>
      </c>
      <c r="D10471" t="inlineStr">
        <is>
          <t>VÄSTRA GÖTALANDS LÄN</t>
        </is>
      </c>
      <c r="E10471" t="inlineStr">
        <is>
          <t>STRÖMSTAD</t>
        </is>
      </c>
      <c r="F10471" t="inlineStr">
        <is>
          <t>Kommuner</t>
        </is>
      </c>
      <c r="G10471" t="n">
        <v>1</v>
      </c>
      <c r="H10471" t="n">
        <v>0</v>
      </c>
      <c r="I10471" t="n">
        <v>0</v>
      </c>
      <c r="J10471" t="n">
        <v>0</v>
      </c>
      <c r="K10471" t="n">
        <v>0</v>
      </c>
      <c r="L10471" t="n">
        <v>0</v>
      </c>
      <c r="M10471" t="n">
        <v>0</v>
      </c>
      <c r="N10471" t="n">
        <v>0</v>
      </c>
      <c r="O10471" t="n">
        <v>0</v>
      </c>
      <c r="P10471" t="n">
        <v>0</v>
      </c>
      <c r="Q10471" t="n">
        <v>0</v>
      </c>
      <c r="R10471" s="2" t="inlineStr"/>
    </row>
    <row r="10472" ht="15" customHeight="1">
      <c r="A10472" t="inlineStr">
        <is>
          <t>A 26238-2025</t>
        </is>
      </c>
      <c r="B10472" s="1" t="n">
        <v>45805.56920138889</v>
      </c>
      <c r="C10472" s="1" t="n">
        <v>45952</v>
      </c>
      <c r="D10472" t="inlineStr">
        <is>
          <t>VÄSTRA GÖTALANDS LÄN</t>
        </is>
      </c>
      <c r="E10472" t="inlineStr">
        <is>
          <t>HJO</t>
        </is>
      </c>
      <c r="G10472" t="n">
        <v>4.6</v>
      </c>
      <c r="H10472" t="n">
        <v>0</v>
      </c>
      <c r="I10472" t="n">
        <v>0</v>
      </c>
      <c r="J10472" t="n">
        <v>0</v>
      </c>
      <c r="K10472" t="n">
        <v>0</v>
      </c>
      <c r="L10472" t="n">
        <v>0</v>
      </c>
      <c r="M10472" t="n">
        <v>0</v>
      </c>
      <c r="N10472" t="n">
        <v>0</v>
      </c>
      <c r="O10472" t="n">
        <v>0</v>
      </c>
      <c r="P10472" t="n">
        <v>0</v>
      </c>
      <c r="Q10472" t="n">
        <v>0</v>
      </c>
      <c r="R10472" s="2" t="inlineStr"/>
    </row>
    <row r="10473" ht="15" customHeight="1">
      <c r="A10473" t="inlineStr">
        <is>
          <t>A 59472-2023</t>
        </is>
      </c>
      <c r="B10473" s="1" t="n">
        <v>45254</v>
      </c>
      <c r="C10473" s="1" t="n">
        <v>45952</v>
      </c>
      <c r="D10473" t="inlineStr">
        <is>
          <t>VÄSTRA GÖTALANDS LÄN</t>
        </is>
      </c>
      <c r="E10473" t="inlineStr">
        <is>
          <t>BOLLEBYGD</t>
        </is>
      </c>
      <c r="G10473" t="n">
        <v>0.4</v>
      </c>
      <c r="H10473" t="n">
        <v>0</v>
      </c>
      <c r="I10473" t="n">
        <v>0</v>
      </c>
      <c r="J10473" t="n">
        <v>0</v>
      </c>
      <c r="K10473" t="n">
        <v>0</v>
      </c>
      <c r="L10473" t="n">
        <v>0</v>
      </c>
      <c r="M10473" t="n">
        <v>0</v>
      </c>
      <c r="N10473" t="n">
        <v>0</v>
      </c>
      <c r="O10473" t="n">
        <v>0</v>
      </c>
      <c r="P10473" t="n">
        <v>0</v>
      </c>
      <c r="Q10473" t="n">
        <v>0</v>
      </c>
      <c r="R10473" s="2" t="inlineStr"/>
    </row>
    <row r="10474" ht="15" customHeight="1">
      <c r="A10474" t="inlineStr">
        <is>
          <t>A 284-2025</t>
        </is>
      </c>
      <c r="B10474" s="1" t="n">
        <v>45660.50104166667</v>
      </c>
      <c r="C10474" s="1" t="n">
        <v>45952</v>
      </c>
      <c r="D10474" t="inlineStr">
        <is>
          <t>VÄSTRA GÖTALANDS LÄN</t>
        </is>
      </c>
      <c r="E10474" t="inlineStr">
        <is>
          <t>HERRLJUNGA</t>
        </is>
      </c>
      <c r="G10474" t="n">
        <v>1.4</v>
      </c>
      <c r="H10474" t="n">
        <v>0</v>
      </c>
      <c r="I10474" t="n">
        <v>0</v>
      </c>
      <c r="J10474" t="n">
        <v>0</v>
      </c>
      <c r="K10474" t="n">
        <v>0</v>
      </c>
      <c r="L10474" t="n">
        <v>0</v>
      </c>
      <c r="M10474" t="n">
        <v>0</v>
      </c>
      <c r="N10474" t="n">
        <v>0</v>
      </c>
      <c r="O10474" t="n">
        <v>0</v>
      </c>
      <c r="P10474" t="n">
        <v>0</v>
      </c>
      <c r="Q10474" t="n">
        <v>0</v>
      </c>
      <c r="R10474" s="2" t="inlineStr"/>
    </row>
    <row r="10475" ht="15" customHeight="1">
      <c r="A10475" t="inlineStr">
        <is>
          <t>A 25743-2025</t>
        </is>
      </c>
      <c r="B10475" s="1" t="n">
        <v>45803.97512731481</v>
      </c>
      <c r="C10475" s="1" t="n">
        <v>45952</v>
      </c>
      <c r="D10475" t="inlineStr">
        <is>
          <t>VÄSTRA GÖTALANDS LÄN</t>
        </is>
      </c>
      <c r="E10475" t="inlineStr">
        <is>
          <t>FALKÖPING</t>
        </is>
      </c>
      <c r="G10475" t="n">
        <v>4.6</v>
      </c>
      <c r="H10475" t="n">
        <v>0</v>
      </c>
      <c r="I10475" t="n">
        <v>0</v>
      </c>
      <c r="J10475" t="n">
        <v>0</v>
      </c>
      <c r="K10475" t="n">
        <v>0</v>
      </c>
      <c r="L10475" t="n">
        <v>0</v>
      </c>
      <c r="M10475" t="n">
        <v>0</v>
      </c>
      <c r="N10475" t="n">
        <v>0</v>
      </c>
      <c r="O10475" t="n">
        <v>0</v>
      </c>
      <c r="P10475" t="n">
        <v>0</v>
      </c>
      <c r="Q10475" t="n">
        <v>0</v>
      </c>
      <c r="R10475" s="2" t="inlineStr"/>
    </row>
    <row r="10476" ht="15" customHeight="1">
      <c r="A10476" t="inlineStr">
        <is>
          <t>A 50222-2025</t>
        </is>
      </c>
      <c r="B10476" s="1" t="n">
        <v>45943.6872337963</v>
      </c>
      <c r="C10476" s="1" t="n">
        <v>45952</v>
      </c>
      <c r="D10476" t="inlineStr">
        <is>
          <t>VÄSTRA GÖTALANDS LÄN</t>
        </is>
      </c>
      <c r="E10476" t="inlineStr">
        <is>
          <t>MARK</t>
        </is>
      </c>
      <c r="G10476" t="n">
        <v>4</v>
      </c>
      <c r="H10476" t="n">
        <v>0</v>
      </c>
      <c r="I10476" t="n">
        <v>0</v>
      </c>
      <c r="J10476" t="n">
        <v>0</v>
      </c>
      <c r="K10476" t="n">
        <v>0</v>
      </c>
      <c r="L10476" t="n">
        <v>0</v>
      </c>
      <c r="M10476" t="n">
        <v>0</v>
      </c>
      <c r="N10476" t="n">
        <v>0</v>
      </c>
      <c r="O10476" t="n">
        <v>0</v>
      </c>
      <c r="P10476" t="n">
        <v>0</v>
      </c>
      <c r="Q10476" t="n">
        <v>0</v>
      </c>
      <c r="R10476" s="2" t="inlineStr"/>
    </row>
    <row r="10477" ht="15" customHeight="1">
      <c r="A10477" t="inlineStr">
        <is>
          <t>A 50240-2025</t>
        </is>
      </c>
      <c r="B10477" s="1" t="n">
        <v>45943.84081018518</v>
      </c>
      <c r="C10477" s="1" t="n">
        <v>45952</v>
      </c>
      <c r="D10477" t="inlineStr">
        <is>
          <t>VÄSTRA GÖTALANDS LÄN</t>
        </is>
      </c>
      <c r="E10477" t="inlineStr">
        <is>
          <t>MARK</t>
        </is>
      </c>
      <c r="G10477" t="n">
        <v>2.1</v>
      </c>
      <c r="H10477" t="n">
        <v>0</v>
      </c>
      <c r="I10477" t="n">
        <v>0</v>
      </c>
      <c r="J10477" t="n">
        <v>0</v>
      </c>
      <c r="K10477" t="n">
        <v>0</v>
      </c>
      <c r="L10477" t="n">
        <v>0</v>
      </c>
      <c r="M10477" t="n">
        <v>0</v>
      </c>
      <c r="N10477" t="n">
        <v>0</v>
      </c>
      <c r="O10477" t="n">
        <v>0</v>
      </c>
      <c r="P10477" t="n">
        <v>0</v>
      </c>
      <c r="Q10477" t="n">
        <v>0</v>
      </c>
      <c r="R10477" s="2" t="inlineStr"/>
    </row>
    <row r="10478" ht="15" customHeight="1">
      <c r="A10478" t="inlineStr">
        <is>
          <t>A 25799-2025</t>
        </is>
      </c>
      <c r="B10478" s="1" t="n">
        <v>45804.40251157407</v>
      </c>
      <c r="C10478" s="1" t="n">
        <v>45952</v>
      </c>
      <c r="D10478" t="inlineStr">
        <is>
          <t>VÄSTRA GÖTALANDS LÄN</t>
        </is>
      </c>
      <c r="E10478" t="inlineStr">
        <is>
          <t>MARIESTAD</t>
        </is>
      </c>
      <c r="F10478" t="inlineStr">
        <is>
          <t>Sveaskog</t>
        </is>
      </c>
      <c r="G10478" t="n">
        <v>0.5</v>
      </c>
      <c r="H10478" t="n">
        <v>0</v>
      </c>
      <c r="I10478" t="n">
        <v>0</v>
      </c>
      <c r="J10478" t="n">
        <v>0</v>
      </c>
      <c r="K10478" t="n">
        <v>0</v>
      </c>
      <c r="L10478" t="n">
        <v>0</v>
      </c>
      <c r="M10478" t="n">
        <v>0</v>
      </c>
      <c r="N10478" t="n">
        <v>0</v>
      </c>
      <c r="O10478" t="n">
        <v>0</v>
      </c>
      <c r="P10478" t="n">
        <v>0</v>
      </c>
      <c r="Q10478" t="n">
        <v>0</v>
      </c>
      <c r="R10478" s="2" t="inlineStr"/>
    </row>
    <row r="10479" ht="15" customHeight="1">
      <c r="A10479" t="inlineStr">
        <is>
          <t>A 25815-2025</t>
        </is>
      </c>
      <c r="B10479" s="1" t="n">
        <v>45804.42990740741</v>
      </c>
      <c r="C10479" s="1" t="n">
        <v>45952</v>
      </c>
      <c r="D10479" t="inlineStr">
        <is>
          <t>VÄSTRA GÖTALANDS LÄN</t>
        </is>
      </c>
      <c r="E10479" t="inlineStr">
        <is>
          <t>ÅMÅL</t>
        </is>
      </c>
      <c r="G10479" t="n">
        <v>3.7</v>
      </c>
      <c r="H10479" t="n">
        <v>0</v>
      </c>
      <c r="I10479" t="n">
        <v>0</v>
      </c>
      <c r="J10479" t="n">
        <v>0</v>
      </c>
      <c r="K10479" t="n">
        <v>0</v>
      </c>
      <c r="L10479" t="n">
        <v>0</v>
      </c>
      <c r="M10479" t="n">
        <v>0</v>
      </c>
      <c r="N10479" t="n">
        <v>0</v>
      </c>
      <c r="O10479" t="n">
        <v>0</v>
      </c>
      <c r="P10479" t="n">
        <v>0</v>
      </c>
      <c r="Q10479" t="n">
        <v>0</v>
      </c>
      <c r="R10479" s="2" t="inlineStr"/>
    </row>
    <row r="10480" ht="15" customHeight="1">
      <c r="A10480" t="inlineStr">
        <is>
          <t>A 25818-2025</t>
        </is>
      </c>
      <c r="B10480" s="1" t="n">
        <v>45804.43519675926</v>
      </c>
      <c r="C10480" s="1" t="n">
        <v>45952</v>
      </c>
      <c r="D10480" t="inlineStr">
        <is>
          <t>VÄSTRA GÖTALANDS LÄN</t>
        </is>
      </c>
      <c r="E10480" t="inlineStr">
        <is>
          <t>ÅMÅL</t>
        </is>
      </c>
      <c r="G10480" t="n">
        <v>1.2</v>
      </c>
      <c r="H10480" t="n">
        <v>0</v>
      </c>
      <c r="I10480" t="n">
        <v>0</v>
      </c>
      <c r="J10480" t="n">
        <v>0</v>
      </c>
      <c r="K10480" t="n">
        <v>0</v>
      </c>
      <c r="L10480" t="n">
        <v>0</v>
      </c>
      <c r="M10480" t="n">
        <v>0</v>
      </c>
      <c r="N10480" t="n">
        <v>0</v>
      </c>
      <c r="O10480" t="n">
        <v>0</v>
      </c>
      <c r="P10480" t="n">
        <v>0</v>
      </c>
      <c r="Q10480" t="n">
        <v>0</v>
      </c>
      <c r="R10480" s="2" t="inlineStr"/>
    </row>
    <row r="10481" ht="15" customHeight="1">
      <c r="A10481" t="inlineStr">
        <is>
          <t>A 49951-2025</t>
        </is>
      </c>
      <c r="B10481" s="1" t="n">
        <v>45940.75581018518</v>
      </c>
      <c r="C10481" s="1" t="n">
        <v>45952</v>
      </c>
      <c r="D10481" t="inlineStr">
        <is>
          <t>VÄSTRA GÖTALANDS LÄN</t>
        </is>
      </c>
      <c r="E10481" t="inlineStr">
        <is>
          <t>GRÄSTORP</t>
        </is>
      </c>
      <c r="G10481" t="n">
        <v>2.8</v>
      </c>
      <c r="H10481" t="n">
        <v>0</v>
      </c>
      <c r="I10481" t="n">
        <v>0</v>
      </c>
      <c r="J10481" t="n">
        <v>0</v>
      </c>
      <c r="K10481" t="n">
        <v>0</v>
      </c>
      <c r="L10481" t="n">
        <v>0</v>
      </c>
      <c r="M10481" t="n">
        <v>0</v>
      </c>
      <c r="N10481" t="n">
        <v>0</v>
      </c>
      <c r="O10481" t="n">
        <v>0</v>
      </c>
      <c r="P10481" t="n">
        <v>0</v>
      </c>
      <c r="Q10481" t="n">
        <v>0</v>
      </c>
      <c r="R10481" s="2" t="inlineStr"/>
    </row>
    <row r="10482" ht="15" customHeight="1">
      <c r="A10482" t="inlineStr">
        <is>
          <t>A 49952-2025</t>
        </is>
      </c>
      <c r="B10482" s="1" t="n">
        <v>45940</v>
      </c>
      <c r="C10482" s="1" t="n">
        <v>45952</v>
      </c>
      <c r="D10482" t="inlineStr">
        <is>
          <t>VÄSTRA GÖTALANDS LÄN</t>
        </is>
      </c>
      <c r="E10482" t="inlineStr">
        <is>
          <t>BENGTSFORS</t>
        </is>
      </c>
      <c r="G10482" t="n">
        <v>0.7</v>
      </c>
      <c r="H10482" t="n">
        <v>0</v>
      </c>
      <c r="I10482" t="n">
        <v>0</v>
      </c>
      <c r="J10482" t="n">
        <v>0</v>
      </c>
      <c r="K10482" t="n">
        <v>0</v>
      </c>
      <c r="L10482" t="n">
        <v>0</v>
      </c>
      <c r="M10482" t="n">
        <v>0</v>
      </c>
      <c r="N10482" t="n">
        <v>0</v>
      </c>
      <c r="O10482" t="n">
        <v>0</v>
      </c>
      <c r="P10482" t="n">
        <v>0</v>
      </c>
      <c r="Q10482" t="n">
        <v>0</v>
      </c>
      <c r="R10482" s="2" t="inlineStr"/>
    </row>
    <row r="10483" ht="15" customHeight="1">
      <c r="A10483" t="inlineStr">
        <is>
          <t>A 38509-2023</t>
        </is>
      </c>
      <c r="B10483" s="1" t="n">
        <v>45162.51400462963</v>
      </c>
      <c r="C10483" s="1" t="n">
        <v>45952</v>
      </c>
      <c r="D10483" t="inlineStr">
        <is>
          <t>VÄSTRA GÖTALANDS LÄN</t>
        </is>
      </c>
      <c r="E10483" t="inlineStr">
        <is>
          <t>BORÅS</t>
        </is>
      </c>
      <c r="G10483" t="n">
        <v>1.4</v>
      </c>
      <c r="H10483" t="n">
        <v>0</v>
      </c>
      <c r="I10483" t="n">
        <v>0</v>
      </c>
      <c r="J10483" t="n">
        <v>0</v>
      </c>
      <c r="K10483" t="n">
        <v>0</v>
      </c>
      <c r="L10483" t="n">
        <v>0</v>
      </c>
      <c r="M10483" t="n">
        <v>0</v>
      </c>
      <c r="N10483" t="n">
        <v>0</v>
      </c>
      <c r="O10483" t="n">
        <v>0</v>
      </c>
      <c r="P10483" t="n">
        <v>0</v>
      </c>
      <c r="Q10483" t="n">
        <v>0</v>
      </c>
      <c r="R10483" s="2" t="inlineStr"/>
    </row>
    <row r="10484" ht="15" customHeight="1">
      <c r="A10484" t="inlineStr">
        <is>
          <t>A 19255-2025</t>
        </is>
      </c>
      <c r="B10484" s="1" t="n">
        <v>45769.49650462963</v>
      </c>
      <c r="C10484" s="1" t="n">
        <v>45952</v>
      </c>
      <c r="D10484" t="inlineStr">
        <is>
          <t>VÄSTRA GÖTALANDS LÄN</t>
        </is>
      </c>
      <c r="E10484" t="inlineStr">
        <is>
          <t>TRANEMO</t>
        </is>
      </c>
      <c r="G10484" t="n">
        <v>5.8</v>
      </c>
      <c r="H10484" t="n">
        <v>0</v>
      </c>
      <c r="I10484" t="n">
        <v>0</v>
      </c>
      <c r="J10484" t="n">
        <v>0</v>
      </c>
      <c r="K10484" t="n">
        <v>0</v>
      </c>
      <c r="L10484" t="n">
        <v>0</v>
      </c>
      <c r="M10484" t="n">
        <v>0</v>
      </c>
      <c r="N10484" t="n">
        <v>0</v>
      </c>
      <c r="O10484" t="n">
        <v>0</v>
      </c>
      <c r="P10484" t="n">
        <v>0</v>
      </c>
      <c r="Q10484" t="n">
        <v>0</v>
      </c>
      <c r="R10484" s="2" t="inlineStr"/>
    </row>
    <row r="10485" ht="15" customHeight="1">
      <c r="A10485" t="inlineStr">
        <is>
          <t>A 19259-2025</t>
        </is>
      </c>
      <c r="B10485" s="1" t="n">
        <v>45769.50775462963</v>
      </c>
      <c r="C10485" s="1" t="n">
        <v>45952</v>
      </c>
      <c r="D10485" t="inlineStr">
        <is>
          <t>VÄSTRA GÖTALANDS LÄN</t>
        </is>
      </c>
      <c r="E10485" t="inlineStr">
        <is>
          <t>VARA</t>
        </is>
      </c>
      <c r="G10485" t="n">
        <v>3.9</v>
      </c>
      <c r="H10485" t="n">
        <v>0</v>
      </c>
      <c r="I10485" t="n">
        <v>0</v>
      </c>
      <c r="J10485" t="n">
        <v>0</v>
      </c>
      <c r="K10485" t="n">
        <v>0</v>
      </c>
      <c r="L10485" t="n">
        <v>0</v>
      </c>
      <c r="M10485" t="n">
        <v>0</v>
      </c>
      <c r="N10485" t="n">
        <v>0</v>
      </c>
      <c r="O10485" t="n">
        <v>0</v>
      </c>
      <c r="P10485" t="n">
        <v>0</v>
      </c>
      <c r="Q10485" t="n">
        <v>0</v>
      </c>
      <c r="R10485" s="2" t="inlineStr"/>
    </row>
    <row r="10486" ht="15" customHeight="1">
      <c r="A10486" t="inlineStr">
        <is>
          <t>A 19261-2025</t>
        </is>
      </c>
      <c r="B10486" s="1" t="n">
        <v>45769.51013888889</v>
      </c>
      <c r="C10486" s="1" t="n">
        <v>45952</v>
      </c>
      <c r="D10486" t="inlineStr">
        <is>
          <t>VÄSTRA GÖTALANDS LÄN</t>
        </is>
      </c>
      <c r="E10486" t="inlineStr">
        <is>
          <t>MARIESTAD</t>
        </is>
      </c>
      <c r="G10486" t="n">
        <v>3.9</v>
      </c>
      <c r="H10486" t="n">
        <v>0</v>
      </c>
      <c r="I10486" t="n">
        <v>0</v>
      </c>
      <c r="J10486" t="n">
        <v>0</v>
      </c>
      <c r="K10486" t="n">
        <v>0</v>
      </c>
      <c r="L10486" t="n">
        <v>0</v>
      </c>
      <c r="M10486" t="n">
        <v>0</v>
      </c>
      <c r="N10486" t="n">
        <v>0</v>
      </c>
      <c r="O10486" t="n">
        <v>0</v>
      </c>
      <c r="P10486" t="n">
        <v>0</v>
      </c>
      <c r="Q10486" t="n">
        <v>0</v>
      </c>
      <c r="R10486" s="2" t="inlineStr"/>
    </row>
    <row r="10487" ht="15" customHeight="1">
      <c r="A10487" t="inlineStr">
        <is>
          <t>A 19268-2025</t>
        </is>
      </c>
      <c r="B10487" s="1" t="n">
        <v>45769.51427083334</v>
      </c>
      <c r="C10487" s="1" t="n">
        <v>45952</v>
      </c>
      <c r="D10487" t="inlineStr">
        <is>
          <t>VÄSTRA GÖTALANDS LÄN</t>
        </is>
      </c>
      <c r="E10487" t="inlineStr">
        <is>
          <t>MARIESTAD</t>
        </is>
      </c>
      <c r="G10487" t="n">
        <v>1.5</v>
      </c>
      <c r="H10487" t="n">
        <v>0</v>
      </c>
      <c r="I10487" t="n">
        <v>0</v>
      </c>
      <c r="J10487" t="n">
        <v>0</v>
      </c>
      <c r="K10487" t="n">
        <v>0</v>
      </c>
      <c r="L10487" t="n">
        <v>0</v>
      </c>
      <c r="M10487" t="n">
        <v>0</v>
      </c>
      <c r="N10487" t="n">
        <v>0</v>
      </c>
      <c r="O10487" t="n">
        <v>0</v>
      </c>
      <c r="P10487" t="n">
        <v>0</v>
      </c>
      <c r="Q10487" t="n">
        <v>0</v>
      </c>
      <c r="R10487" s="2" t="inlineStr"/>
    </row>
    <row r="10488" ht="15" customHeight="1">
      <c r="A10488" t="inlineStr">
        <is>
          <t>A 25950-2025</t>
        </is>
      </c>
      <c r="B10488" s="1" t="n">
        <v>45804.59694444444</v>
      </c>
      <c r="C10488" s="1" t="n">
        <v>45952</v>
      </c>
      <c r="D10488" t="inlineStr">
        <is>
          <t>VÄSTRA GÖTALANDS LÄN</t>
        </is>
      </c>
      <c r="E10488" t="inlineStr">
        <is>
          <t>MARIESTAD</t>
        </is>
      </c>
      <c r="G10488" t="n">
        <v>1.3</v>
      </c>
      <c r="H10488" t="n">
        <v>0</v>
      </c>
      <c r="I10488" t="n">
        <v>0</v>
      </c>
      <c r="J10488" t="n">
        <v>0</v>
      </c>
      <c r="K10488" t="n">
        <v>0</v>
      </c>
      <c r="L10488" t="n">
        <v>0</v>
      </c>
      <c r="M10488" t="n">
        <v>0</v>
      </c>
      <c r="N10488" t="n">
        <v>0</v>
      </c>
      <c r="O10488" t="n">
        <v>0</v>
      </c>
      <c r="P10488" t="n">
        <v>0</v>
      </c>
      <c r="Q10488" t="n">
        <v>0</v>
      </c>
      <c r="R10488" s="2" t="inlineStr"/>
    </row>
    <row r="10489" ht="15" customHeight="1">
      <c r="A10489" t="inlineStr">
        <is>
          <t>A 5964-2023</t>
        </is>
      </c>
      <c r="B10489" s="1" t="n">
        <v>44964</v>
      </c>
      <c r="C10489" s="1" t="n">
        <v>45952</v>
      </c>
      <c r="D10489" t="inlineStr">
        <is>
          <t>VÄSTRA GÖTALANDS LÄN</t>
        </is>
      </c>
      <c r="E10489" t="inlineStr">
        <is>
          <t>BORÅS</t>
        </is>
      </c>
      <c r="G10489" t="n">
        <v>2.2</v>
      </c>
      <c r="H10489" t="n">
        <v>0</v>
      </c>
      <c r="I10489" t="n">
        <v>0</v>
      </c>
      <c r="J10489" t="n">
        <v>0</v>
      </c>
      <c r="K10489" t="n">
        <v>0</v>
      </c>
      <c r="L10489" t="n">
        <v>0</v>
      </c>
      <c r="M10489" t="n">
        <v>0</v>
      </c>
      <c r="N10489" t="n">
        <v>0</v>
      </c>
      <c r="O10489" t="n">
        <v>0</v>
      </c>
      <c r="P10489" t="n">
        <v>0</v>
      </c>
      <c r="Q10489" t="n">
        <v>0</v>
      </c>
      <c r="R10489" s="2" t="inlineStr"/>
    </row>
    <row r="10490" ht="15" customHeight="1">
      <c r="A10490" t="inlineStr">
        <is>
          <t>A 15448-2022</t>
        </is>
      </c>
      <c r="B10490" s="1" t="n">
        <v>44660.55568287037</v>
      </c>
      <c r="C10490" s="1" t="n">
        <v>45952</v>
      </c>
      <c r="D10490" t="inlineStr">
        <is>
          <t>VÄSTRA GÖTALANDS LÄN</t>
        </is>
      </c>
      <c r="E10490" t="inlineStr">
        <is>
          <t>MARK</t>
        </is>
      </c>
      <c r="G10490" t="n">
        <v>1.7</v>
      </c>
      <c r="H10490" t="n">
        <v>0</v>
      </c>
      <c r="I10490" t="n">
        <v>0</v>
      </c>
      <c r="J10490" t="n">
        <v>0</v>
      </c>
      <c r="K10490" t="n">
        <v>0</v>
      </c>
      <c r="L10490" t="n">
        <v>0</v>
      </c>
      <c r="M10490" t="n">
        <v>0</v>
      </c>
      <c r="N10490" t="n">
        <v>0</v>
      </c>
      <c r="O10490" t="n">
        <v>0</v>
      </c>
      <c r="P10490" t="n">
        <v>0</v>
      </c>
      <c r="Q10490" t="n">
        <v>0</v>
      </c>
      <c r="R10490" s="2" t="inlineStr"/>
    </row>
    <row r="10491" ht="15" customHeight="1">
      <c r="A10491" t="inlineStr">
        <is>
          <t>A 5927-2022</t>
        </is>
      </c>
      <c r="B10491" s="1" t="n">
        <v>44598.75418981481</v>
      </c>
      <c r="C10491" s="1" t="n">
        <v>45952</v>
      </c>
      <c r="D10491" t="inlineStr">
        <is>
          <t>VÄSTRA GÖTALANDS LÄN</t>
        </is>
      </c>
      <c r="E10491" t="inlineStr">
        <is>
          <t>TROLLHÄTTAN</t>
        </is>
      </c>
      <c r="G10491" t="n">
        <v>6.6</v>
      </c>
      <c r="H10491" t="n">
        <v>0</v>
      </c>
      <c r="I10491" t="n">
        <v>0</v>
      </c>
      <c r="J10491" t="n">
        <v>0</v>
      </c>
      <c r="K10491" t="n">
        <v>0</v>
      </c>
      <c r="L10491" t="n">
        <v>0</v>
      </c>
      <c r="M10491" t="n">
        <v>0</v>
      </c>
      <c r="N10491" t="n">
        <v>0</v>
      </c>
      <c r="O10491" t="n">
        <v>0</v>
      </c>
      <c r="P10491" t="n">
        <v>0</v>
      </c>
      <c r="Q10491" t="n">
        <v>0</v>
      </c>
      <c r="R10491" s="2" t="inlineStr"/>
    </row>
    <row r="10492" ht="15" customHeight="1">
      <c r="A10492" t="inlineStr">
        <is>
          <t>A 5995-2022</t>
        </is>
      </c>
      <c r="B10492" s="1" t="n">
        <v>44599.43216435185</v>
      </c>
      <c r="C10492" s="1" t="n">
        <v>45952</v>
      </c>
      <c r="D10492" t="inlineStr">
        <is>
          <t>VÄSTRA GÖTALANDS LÄN</t>
        </is>
      </c>
      <c r="E10492" t="inlineStr">
        <is>
          <t>SKÖVDE</t>
        </is>
      </c>
      <c r="F10492" t="inlineStr">
        <is>
          <t>Kyrkan</t>
        </is>
      </c>
      <c r="G10492" t="n">
        <v>2.2</v>
      </c>
      <c r="H10492" t="n">
        <v>0</v>
      </c>
      <c r="I10492" t="n">
        <v>0</v>
      </c>
      <c r="J10492" t="n">
        <v>0</v>
      </c>
      <c r="K10492" t="n">
        <v>0</v>
      </c>
      <c r="L10492" t="n">
        <v>0</v>
      </c>
      <c r="M10492" t="n">
        <v>0</v>
      </c>
      <c r="N10492" t="n">
        <v>0</v>
      </c>
      <c r="O10492" t="n">
        <v>0</v>
      </c>
      <c r="P10492" t="n">
        <v>0</v>
      </c>
      <c r="Q10492" t="n">
        <v>0</v>
      </c>
      <c r="R10492" s="2" t="inlineStr"/>
    </row>
    <row r="10493" ht="15" customHeight="1">
      <c r="A10493" t="inlineStr">
        <is>
          <t>A 37955-2024</t>
        </is>
      </c>
      <c r="B10493" s="1" t="n">
        <v>45544.52680555556</v>
      </c>
      <c r="C10493" s="1" t="n">
        <v>45952</v>
      </c>
      <c r="D10493" t="inlineStr">
        <is>
          <t>VÄSTRA GÖTALANDS LÄN</t>
        </is>
      </c>
      <c r="E10493" t="inlineStr">
        <is>
          <t>TANUM</t>
        </is>
      </c>
      <c r="G10493" t="n">
        <v>11.3</v>
      </c>
      <c r="H10493" t="n">
        <v>0</v>
      </c>
      <c r="I10493" t="n">
        <v>0</v>
      </c>
      <c r="J10493" t="n">
        <v>0</v>
      </c>
      <c r="K10493" t="n">
        <v>0</v>
      </c>
      <c r="L10493" t="n">
        <v>0</v>
      </c>
      <c r="M10493" t="n">
        <v>0</v>
      </c>
      <c r="N10493" t="n">
        <v>0</v>
      </c>
      <c r="O10493" t="n">
        <v>0</v>
      </c>
      <c r="P10493" t="n">
        <v>0</v>
      </c>
      <c r="Q10493" t="n">
        <v>0</v>
      </c>
      <c r="R10493" s="2" t="inlineStr"/>
    </row>
    <row r="10494" ht="15" customHeight="1">
      <c r="A10494" t="inlineStr">
        <is>
          <t>A 41555-2025</t>
        </is>
      </c>
      <c r="B10494" s="1" t="n">
        <v>45901.59224537037</v>
      </c>
      <c r="C10494" s="1" t="n">
        <v>45952</v>
      </c>
      <c r="D10494" t="inlineStr">
        <is>
          <t>VÄSTRA GÖTALANDS LÄN</t>
        </is>
      </c>
      <c r="E10494" t="inlineStr">
        <is>
          <t>MUNKEDAL</t>
        </is>
      </c>
      <c r="G10494" t="n">
        <v>8</v>
      </c>
      <c r="H10494" t="n">
        <v>0</v>
      </c>
      <c r="I10494" t="n">
        <v>0</v>
      </c>
      <c r="J10494" t="n">
        <v>0</v>
      </c>
      <c r="K10494" t="n">
        <v>0</v>
      </c>
      <c r="L10494" t="n">
        <v>0</v>
      </c>
      <c r="M10494" t="n">
        <v>0</v>
      </c>
      <c r="N10494" t="n">
        <v>0</v>
      </c>
      <c r="O10494" t="n">
        <v>0</v>
      </c>
      <c r="P10494" t="n">
        <v>0</v>
      </c>
      <c r="Q10494" t="n">
        <v>0</v>
      </c>
      <c r="R10494" s="2" t="inlineStr"/>
    </row>
    <row r="10495" ht="15" customHeight="1">
      <c r="A10495" t="inlineStr">
        <is>
          <t>A 41570-2025</t>
        </is>
      </c>
      <c r="B10495" s="1" t="n">
        <v>45901.60825231481</v>
      </c>
      <c r="C10495" s="1" t="n">
        <v>45952</v>
      </c>
      <c r="D10495" t="inlineStr">
        <is>
          <t>VÄSTRA GÖTALANDS LÄN</t>
        </is>
      </c>
      <c r="E10495" t="inlineStr">
        <is>
          <t>GRÄSTORP</t>
        </is>
      </c>
      <c r="G10495" t="n">
        <v>2.1</v>
      </c>
      <c r="H10495" t="n">
        <v>0</v>
      </c>
      <c r="I10495" t="n">
        <v>0</v>
      </c>
      <c r="J10495" t="n">
        <v>0</v>
      </c>
      <c r="K10495" t="n">
        <v>0</v>
      </c>
      <c r="L10495" t="n">
        <v>0</v>
      </c>
      <c r="M10495" t="n">
        <v>0</v>
      </c>
      <c r="N10495" t="n">
        <v>0</v>
      </c>
      <c r="O10495" t="n">
        <v>0</v>
      </c>
      <c r="P10495" t="n">
        <v>0</v>
      </c>
      <c r="Q10495" t="n">
        <v>0</v>
      </c>
      <c r="R10495" s="2" t="inlineStr"/>
    </row>
    <row r="10496" ht="15" customHeight="1">
      <c r="A10496" t="inlineStr">
        <is>
          <t>A 26074-2025</t>
        </is>
      </c>
      <c r="B10496" s="1" t="n">
        <v>45805.32366898148</v>
      </c>
      <c r="C10496" s="1" t="n">
        <v>45952</v>
      </c>
      <c r="D10496" t="inlineStr">
        <is>
          <t>VÄSTRA GÖTALANDS LÄN</t>
        </is>
      </c>
      <c r="E10496" t="inlineStr">
        <is>
          <t>PARTILLE</t>
        </is>
      </c>
      <c r="G10496" t="n">
        <v>1.3</v>
      </c>
      <c r="H10496" t="n">
        <v>0</v>
      </c>
      <c r="I10496" t="n">
        <v>0</v>
      </c>
      <c r="J10496" t="n">
        <v>0</v>
      </c>
      <c r="K10496" t="n">
        <v>0</v>
      </c>
      <c r="L10496" t="n">
        <v>0</v>
      </c>
      <c r="M10496" t="n">
        <v>0</v>
      </c>
      <c r="N10496" t="n">
        <v>0</v>
      </c>
      <c r="O10496" t="n">
        <v>0</v>
      </c>
      <c r="P10496" t="n">
        <v>0</v>
      </c>
      <c r="Q10496" t="n">
        <v>0</v>
      </c>
      <c r="R10496" s="2" t="inlineStr"/>
    </row>
    <row r="10497" ht="15" customHeight="1">
      <c r="A10497" t="inlineStr">
        <is>
          <t>A 26096-2025</t>
        </is>
      </c>
      <c r="B10497" s="1" t="n">
        <v>45805.35203703704</v>
      </c>
      <c r="C10497" s="1" t="n">
        <v>45952</v>
      </c>
      <c r="D10497" t="inlineStr">
        <is>
          <t>VÄSTRA GÖTALANDS LÄN</t>
        </is>
      </c>
      <c r="E10497" t="inlineStr">
        <is>
          <t>ALINGSÅS</t>
        </is>
      </c>
      <c r="G10497" t="n">
        <v>2.6</v>
      </c>
      <c r="H10497" t="n">
        <v>0</v>
      </c>
      <c r="I10497" t="n">
        <v>0</v>
      </c>
      <c r="J10497" t="n">
        <v>0</v>
      </c>
      <c r="K10497" t="n">
        <v>0</v>
      </c>
      <c r="L10497" t="n">
        <v>0</v>
      </c>
      <c r="M10497" t="n">
        <v>0</v>
      </c>
      <c r="N10497" t="n">
        <v>0</v>
      </c>
      <c r="O10497" t="n">
        <v>0</v>
      </c>
      <c r="P10497" t="n">
        <v>0</v>
      </c>
      <c r="Q10497" t="n">
        <v>0</v>
      </c>
      <c r="R10497" s="2" t="inlineStr"/>
    </row>
    <row r="10498" ht="15" customHeight="1">
      <c r="A10498" t="inlineStr">
        <is>
          <t>A 53004-2021</t>
        </is>
      </c>
      <c r="B10498" s="1" t="n">
        <v>44467.65137731482</v>
      </c>
      <c r="C10498" s="1" t="n">
        <v>45952</v>
      </c>
      <c r="D10498" t="inlineStr">
        <is>
          <t>VÄSTRA GÖTALANDS LÄN</t>
        </is>
      </c>
      <c r="E10498" t="inlineStr">
        <is>
          <t>MARK</t>
        </is>
      </c>
      <c r="G10498" t="n">
        <v>1.9</v>
      </c>
      <c r="H10498" t="n">
        <v>0</v>
      </c>
      <c r="I10498" t="n">
        <v>0</v>
      </c>
      <c r="J10498" t="n">
        <v>0</v>
      </c>
      <c r="K10498" t="n">
        <v>0</v>
      </c>
      <c r="L10498" t="n">
        <v>0</v>
      </c>
      <c r="M10498" t="n">
        <v>0</v>
      </c>
      <c r="N10498" t="n">
        <v>0</v>
      </c>
      <c r="O10498" t="n">
        <v>0</v>
      </c>
      <c r="P10498" t="n">
        <v>0</v>
      </c>
      <c r="Q10498" t="n">
        <v>0</v>
      </c>
      <c r="R10498" s="2" t="inlineStr"/>
    </row>
    <row r="10499" ht="15" customHeight="1">
      <c r="A10499" t="inlineStr">
        <is>
          <t>A 19306-2025</t>
        </is>
      </c>
      <c r="B10499" s="1" t="n">
        <v>45769.56755787037</v>
      </c>
      <c r="C10499" s="1" t="n">
        <v>45952</v>
      </c>
      <c r="D10499" t="inlineStr">
        <is>
          <t>VÄSTRA GÖTALANDS LÄN</t>
        </is>
      </c>
      <c r="E10499" t="inlineStr">
        <is>
          <t>TIBRO</t>
        </is>
      </c>
      <c r="F10499" t="inlineStr">
        <is>
          <t>Sveaskog</t>
        </is>
      </c>
      <c r="G10499" t="n">
        <v>1.2</v>
      </c>
      <c r="H10499" t="n">
        <v>0</v>
      </c>
      <c r="I10499" t="n">
        <v>0</v>
      </c>
      <c r="J10499" t="n">
        <v>0</v>
      </c>
      <c r="K10499" t="n">
        <v>0</v>
      </c>
      <c r="L10499" t="n">
        <v>0</v>
      </c>
      <c r="M10499" t="n">
        <v>0</v>
      </c>
      <c r="N10499" t="n">
        <v>0</v>
      </c>
      <c r="O10499" t="n">
        <v>0</v>
      </c>
      <c r="P10499" t="n">
        <v>0</v>
      </c>
      <c r="Q10499" t="n">
        <v>0</v>
      </c>
      <c r="R10499" s="2" t="inlineStr"/>
    </row>
    <row r="10500" ht="15" customHeight="1">
      <c r="A10500" t="inlineStr">
        <is>
          <t>A 18006-2025</t>
        </is>
      </c>
      <c r="B10500" s="1" t="n">
        <v>45761.42684027777</v>
      </c>
      <c r="C10500" s="1" t="n">
        <v>45952</v>
      </c>
      <c r="D10500" t="inlineStr">
        <is>
          <t>VÄSTRA GÖTALANDS LÄN</t>
        </is>
      </c>
      <c r="E10500" t="inlineStr">
        <is>
          <t>TANUM</t>
        </is>
      </c>
      <c r="G10500" t="n">
        <v>2.7</v>
      </c>
      <c r="H10500" t="n">
        <v>0</v>
      </c>
      <c r="I10500" t="n">
        <v>0</v>
      </c>
      <c r="J10500" t="n">
        <v>0</v>
      </c>
      <c r="K10500" t="n">
        <v>0</v>
      </c>
      <c r="L10500" t="n">
        <v>0</v>
      </c>
      <c r="M10500" t="n">
        <v>0</v>
      </c>
      <c r="N10500" t="n">
        <v>0</v>
      </c>
      <c r="O10500" t="n">
        <v>0</v>
      </c>
      <c r="P10500" t="n">
        <v>0</v>
      </c>
      <c r="Q10500" t="n">
        <v>0</v>
      </c>
      <c r="R10500" s="2" t="inlineStr"/>
    </row>
    <row r="10501" ht="15" customHeight="1">
      <c r="A10501" t="inlineStr">
        <is>
          <t>A 18037-2025</t>
        </is>
      </c>
      <c r="B10501" s="1" t="n">
        <v>45761.45614583333</v>
      </c>
      <c r="C10501" s="1" t="n">
        <v>45952</v>
      </c>
      <c r="D10501" t="inlineStr">
        <is>
          <t>VÄSTRA GÖTALANDS LÄN</t>
        </is>
      </c>
      <c r="E10501" t="inlineStr">
        <is>
          <t>SVENLJUNGA</t>
        </is>
      </c>
      <c r="G10501" t="n">
        <v>2.5</v>
      </c>
      <c r="H10501" t="n">
        <v>0</v>
      </c>
      <c r="I10501" t="n">
        <v>0</v>
      </c>
      <c r="J10501" t="n">
        <v>0</v>
      </c>
      <c r="K10501" t="n">
        <v>0</v>
      </c>
      <c r="L10501" t="n">
        <v>0</v>
      </c>
      <c r="M10501" t="n">
        <v>0</v>
      </c>
      <c r="N10501" t="n">
        <v>0</v>
      </c>
      <c r="O10501" t="n">
        <v>0</v>
      </c>
      <c r="P10501" t="n">
        <v>0</v>
      </c>
      <c r="Q10501" t="n">
        <v>0</v>
      </c>
      <c r="R10501" s="2" t="inlineStr"/>
    </row>
    <row r="10502" ht="15" customHeight="1">
      <c r="A10502" t="inlineStr">
        <is>
          <t>A 43229-2024</t>
        </is>
      </c>
      <c r="B10502" s="1" t="n">
        <v>45567.88697916667</v>
      </c>
      <c r="C10502" s="1" t="n">
        <v>45952</v>
      </c>
      <c r="D10502" t="inlineStr">
        <is>
          <t>VÄSTRA GÖTALANDS LÄN</t>
        </is>
      </c>
      <c r="E10502" t="inlineStr">
        <is>
          <t>TJÖRN</t>
        </is>
      </c>
      <c r="G10502" t="n">
        <v>9.699999999999999</v>
      </c>
      <c r="H10502" t="n">
        <v>0</v>
      </c>
      <c r="I10502" t="n">
        <v>0</v>
      </c>
      <c r="J10502" t="n">
        <v>0</v>
      </c>
      <c r="K10502" t="n">
        <v>0</v>
      </c>
      <c r="L10502" t="n">
        <v>0</v>
      </c>
      <c r="M10502" t="n">
        <v>0</v>
      </c>
      <c r="N10502" t="n">
        <v>0</v>
      </c>
      <c r="O10502" t="n">
        <v>0</v>
      </c>
      <c r="P10502" t="n">
        <v>0</v>
      </c>
      <c r="Q10502" t="n">
        <v>0</v>
      </c>
      <c r="R10502" s="2" t="inlineStr"/>
    </row>
    <row r="10503" ht="15" customHeight="1">
      <c r="A10503" t="inlineStr">
        <is>
          <t>A 26262-2025</t>
        </is>
      </c>
      <c r="B10503" s="1" t="n">
        <v>45805.58758101852</v>
      </c>
      <c r="C10503" s="1" t="n">
        <v>45952</v>
      </c>
      <c r="D10503" t="inlineStr">
        <is>
          <t>VÄSTRA GÖTALANDS LÄN</t>
        </is>
      </c>
      <c r="E10503" t="inlineStr">
        <is>
          <t>TANUM</t>
        </is>
      </c>
      <c r="G10503" t="n">
        <v>2</v>
      </c>
      <c r="H10503" t="n">
        <v>0</v>
      </c>
      <c r="I10503" t="n">
        <v>0</v>
      </c>
      <c r="J10503" t="n">
        <v>0</v>
      </c>
      <c r="K10503" t="n">
        <v>0</v>
      </c>
      <c r="L10503" t="n">
        <v>0</v>
      </c>
      <c r="M10503" t="n">
        <v>0</v>
      </c>
      <c r="N10503" t="n">
        <v>0</v>
      </c>
      <c r="O10503" t="n">
        <v>0</v>
      </c>
      <c r="P10503" t="n">
        <v>0</v>
      </c>
      <c r="Q10503" t="n">
        <v>0</v>
      </c>
      <c r="R10503" s="2" t="inlineStr"/>
    </row>
    <row r="10504" ht="15" customHeight="1">
      <c r="A10504" t="inlineStr">
        <is>
          <t>A 963-2024</t>
        </is>
      </c>
      <c r="B10504" s="1" t="n">
        <v>45301</v>
      </c>
      <c r="C10504" s="1" t="n">
        <v>45952</v>
      </c>
      <c r="D10504" t="inlineStr">
        <is>
          <t>VÄSTRA GÖTALANDS LÄN</t>
        </is>
      </c>
      <c r="E10504" t="inlineStr">
        <is>
          <t>MARK</t>
        </is>
      </c>
      <c r="G10504" t="n">
        <v>1.5</v>
      </c>
      <c r="H10504" t="n">
        <v>0</v>
      </c>
      <c r="I10504" t="n">
        <v>0</v>
      </c>
      <c r="J10504" t="n">
        <v>0</v>
      </c>
      <c r="K10504" t="n">
        <v>0</v>
      </c>
      <c r="L10504" t="n">
        <v>0</v>
      </c>
      <c r="M10504" t="n">
        <v>0</v>
      </c>
      <c r="N10504" t="n">
        <v>0</v>
      </c>
      <c r="O10504" t="n">
        <v>0</v>
      </c>
      <c r="P10504" t="n">
        <v>0</v>
      </c>
      <c r="Q10504" t="n">
        <v>0</v>
      </c>
      <c r="R10504" s="2" t="inlineStr"/>
    </row>
    <row r="10505" ht="15" customHeight="1">
      <c r="A10505" t="inlineStr">
        <is>
          <t>A 14907-2023</t>
        </is>
      </c>
      <c r="B10505" s="1" t="n">
        <v>45013</v>
      </c>
      <c r="C10505" s="1" t="n">
        <v>45952</v>
      </c>
      <c r="D10505" t="inlineStr">
        <is>
          <t>VÄSTRA GÖTALANDS LÄN</t>
        </is>
      </c>
      <c r="E10505" t="inlineStr">
        <is>
          <t>TIDAHOLM</t>
        </is>
      </c>
      <c r="G10505" t="n">
        <v>2.3</v>
      </c>
      <c r="H10505" t="n">
        <v>0</v>
      </c>
      <c r="I10505" t="n">
        <v>0</v>
      </c>
      <c r="J10505" t="n">
        <v>0</v>
      </c>
      <c r="K10505" t="n">
        <v>0</v>
      </c>
      <c r="L10505" t="n">
        <v>0</v>
      </c>
      <c r="M10505" t="n">
        <v>0</v>
      </c>
      <c r="N10505" t="n">
        <v>0</v>
      </c>
      <c r="O10505" t="n">
        <v>0</v>
      </c>
      <c r="P10505" t="n">
        <v>0</v>
      </c>
      <c r="Q10505" t="n">
        <v>0</v>
      </c>
      <c r="R10505" s="2" t="inlineStr"/>
    </row>
    <row r="10506" ht="15" customHeight="1">
      <c r="A10506" t="inlineStr">
        <is>
          <t>A 26164-2024</t>
        </is>
      </c>
      <c r="B10506" s="1" t="n">
        <v>45468.55118055556</v>
      </c>
      <c r="C10506" s="1" t="n">
        <v>45952</v>
      </c>
      <c r="D10506" t="inlineStr">
        <is>
          <t>VÄSTRA GÖTALANDS LÄN</t>
        </is>
      </c>
      <c r="E10506" t="inlineStr">
        <is>
          <t>ALINGSÅS</t>
        </is>
      </c>
      <c r="G10506" t="n">
        <v>1.7</v>
      </c>
      <c r="H10506" t="n">
        <v>0</v>
      </c>
      <c r="I10506" t="n">
        <v>0</v>
      </c>
      <c r="J10506" t="n">
        <v>0</v>
      </c>
      <c r="K10506" t="n">
        <v>0</v>
      </c>
      <c r="L10506" t="n">
        <v>0</v>
      </c>
      <c r="M10506" t="n">
        <v>0</v>
      </c>
      <c r="N10506" t="n">
        <v>0</v>
      </c>
      <c r="O10506" t="n">
        <v>0</v>
      </c>
      <c r="P10506" t="n">
        <v>0</v>
      </c>
      <c r="Q10506" t="n">
        <v>0</v>
      </c>
      <c r="R10506" s="2" t="inlineStr"/>
    </row>
    <row r="10507" ht="15" customHeight="1">
      <c r="A10507" t="inlineStr">
        <is>
          <t>A 26133-2025</t>
        </is>
      </c>
      <c r="B10507" s="1" t="n">
        <v>45805.41142361111</v>
      </c>
      <c r="C10507" s="1" t="n">
        <v>45952</v>
      </c>
      <c r="D10507" t="inlineStr">
        <is>
          <t>VÄSTRA GÖTALANDS LÄN</t>
        </is>
      </c>
      <c r="E10507" t="inlineStr">
        <is>
          <t>BORÅS</t>
        </is>
      </c>
      <c r="G10507" t="n">
        <v>1.3</v>
      </c>
      <c r="H10507" t="n">
        <v>0</v>
      </c>
      <c r="I10507" t="n">
        <v>0</v>
      </c>
      <c r="J10507" t="n">
        <v>0</v>
      </c>
      <c r="K10507" t="n">
        <v>0</v>
      </c>
      <c r="L10507" t="n">
        <v>0</v>
      </c>
      <c r="M10507" t="n">
        <v>0</v>
      </c>
      <c r="N10507" t="n">
        <v>0</v>
      </c>
      <c r="O10507" t="n">
        <v>0</v>
      </c>
      <c r="P10507" t="n">
        <v>0</v>
      </c>
      <c r="Q10507" t="n">
        <v>0</v>
      </c>
      <c r="R10507" s="2" t="inlineStr"/>
    </row>
    <row r="10508" ht="15" customHeight="1">
      <c r="A10508" t="inlineStr">
        <is>
          <t>A 29685-2022</t>
        </is>
      </c>
      <c r="B10508" s="1" t="n">
        <v>44755.30305555555</v>
      </c>
      <c r="C10508" s="1" t="n">
        <v>45952</v>
      </c>
      <c r="D10508" t="inlineStr">
        <is>
          <t>VÄSTRA GÖTALANDS LÄN</t>
        </is>
      </c>
      <c r="E10508" t="inlineStr">
        <is>
          <t>KARLSBORG</t>
        </is>
      </c>
      <c r="G10508" t="n">
        <v>1.2</v>
      </c>
      <c r="H10508" t="n">
        <v>0</v>
      </c>
      <c r="I10508" t="n">
        <v>0</v>
      </c>
      <c r="J10508" t="n">
        <v>0</v>
      </c>
      <c r="K10508" t="n">
        <v>0</v>
      </c>
      <c r="L10508" t="n">
        <v>0</v>
      </c>
      <c r="M10508" t="n">
        <v>0</v>
      </c>
      <c r="N10508" t="n">
        <v>0</v>
      </c>
      <c r="O10508" t="n">
        <v>0</v>
      </c>
      <c r="P10508" t="n">
        <v>0</v>
      </c>
      <c r="Q10508" t="n">
        <v>0</v>
      </c>
      <c r="R10508" s="2" t="inlineStr"/>
    </row>
    <row r="10509" ht="15" customHeight="1">
      <c r="A10509" t="inlineStr">
        <is>
          <t>A 29696-2022</t>
        </is>
      </c>
      <c r="B10509" s="1" t="n">
        <v>44755</v>
      </c>
      <c r="C10509" s="1" t="n">
        <v>45952</v>
      </c>
      <c r="D10509" t="inlineStr">
        <is>
          <t>VÄSTRA GÖTALANDS LÄN</t>
        </is>
      </c>
      <c r="E10509" t="inlineStr">
        <is>
          <t>BENGTSFORS</t>
        </is>
      </c>
      <c r="G10509" t="n">
        <v>2.5</v>
      </c>
      <c r="H10509" t="n">
        <v>0</v>
      </c>
      <c r="I10509" t="n">
        <v>0</v>
      </c>
      <c r="J10509" t="n">
        <v>0</v>
      </c>
      <c r="K10509" t="n">
        <v>0</v>
      </c>
      <c r="L10509" t="n">
        <v>0</v>
      </c>
      <c r="M10509" t="n">
        <v>0</v>
      </c>
      <c r="N10509" t="n">
        <v>0</v>
      </c>
      <c r="O10509" t="n">
        <v>0</v>
      </c>
      <c r="P10509" t="n">
        <v>0</v>
      </c>
      <c r="Q10509" t="n">
        <v>0</v>
      </c>
      <c r="R10509" s="2" t="inlineStr"/>
    </row>
    <row r="10510" ht="15" customHeight="1">
      <c r="A10510" t="inlineStr">
        <is>
          <t>A 49814-2025</t>
        </is>
      </c>
      <c r="B10510" s="1" t="n">
        <v>45940.43130787037</v>
      </c>
      <c r="C10510" s="1" t="n">
        <v>45952</v>
      </c>
      <c r="D10510" t="inlineStr">
        <is>
          <t>VÄSTRA GÖTALANDS LÄN</t>
        </is>
      </c>
      <c r="E10510" t="inlineStr">
        <is>
          <t>MARK</t>
        </is>
      </c>
      <c r="G10510" t="n">
        <v>1.7</v>
      </c>
      <c r="H10510" t="n">
        <v>0</v>
      </c>
      <c r="I10510" t="n">
        <v>0</v>
      </c>
      <c r="J10510" t="n">
        <v>0</v>
      </c>
      <c r="K10510" t="n">
        <v>0</v>
      </c>
      <c r="L10510" t="n">
        <v>0</v>
      </c>
      <c r="M10510" t="n">
        <v>0</v>
      </c>
      <c r="N10510" t="n">
        <v>0</v>
      </c>
      <c r="O10510" t="n">
        <v>0</v>
      </c>
      <c r="P10510" t="n">
        <v>0</v>
      </c>
      <c r="Q10510" t="n">
        <v>0</v>
      </c>
      <c r="R10510" s="2" t="inlineStr"/>
    </row>
    <row r="10511" ht="15" customHeight="1">
      <c r="A10511" t="inlineStr">
        <is>
          <t>A 49824-2025</t>
        </is>
      </c>
      <c r="B10511" s="1" t="n">
        <v>45940.44650462963</v>
      </c>
      <c r="C10511" s="1" t="n">
        <v>45952</v>
      </c>
      <c r="D10511" t="inlineStr">
        <is>
          <t>VÄSTRA GÖTALANDS LÄN</t>
        </is>
      </c>
      <c r="E10511" t="inlineStr">
        <is>
          <t>FALKÖPING</t>
        </is>
      </c>
      <c r="G10511" t="n">
        <v>5.7</v>
      </c>
      <c r="H10511" t="n">
        <v>0</v>
      </c>
      <c r="I10511" t="n">
        <v>0</v>
      </c>
      <c r="J10511" t="n">
        <v>0</v>
      </c>
      <c r="K10511" t="n">
        <v>0</v>
      </c>
      <c r="L10511" t="n">
        <v>0</v>
      </c>
      <c r="M10511" t="n">
        <v>0</v>
      </c>
      <c r="N10511" t="n">
        <v>0</v>
      </c>
      <c r="O10511" t="n">
        <v>0</v>
      </c>
      <c r="P10511" t="n">
        <v>0</v>
      </c>
      <c r="Q10511" t="n">
        <v>0</v>
      </c>
      <c r="R10511" s="2" t="inlineStr"/>
    </row>
    <row r="10512" ht="15" customHeight="1">
      <c r="A10512" t="inlineStr">
        <is>
          <t>A 47418-2025</t>
        </is>
      </c>
      <c r="B10512" s="1" t="n">
        <v>45930.62087962963</v>
      </c>
      <c r="C10512" s="1" t="n">
        <v>45952</v>
      </c>
      <c r="D10512" t="inlineStr">
        <is>
          <t>VÄSTRA GÖTALANDS LÄN</t>
        </is>
      </c>
      <c r="E10512" t="inlineStr">
        <is>
          <t>BORÅS</t>
        </is>
      </c>
      <c r="G10512" t="n">
        <v>0.8</v>
      </c>
      <c r="H10512" t="n">
        <v>0</v>
      </c>
      <c r="I10512" t="n">
        <v>0</v>
      </c>
      <c r="J10512" t="n">
        <v>0</v>
      </c>
      <c r="K10512" t="n">
        <v>0</v>
      </c>
      <c r="L10512" t="n">
        <v>0</v>
      </c>
      <c r="M10512" t="n">
        <v>0</v>
      </c>
      <c r="N10512" t="n">
        <v>0</v>
      </c>
      <c r="O10512" t="n">
        <v>0</v>
      </c>
      <c r="P10512" t="n">
        <v>0</v>
      </c>
      <c r="Q10512" t="n">
        <v>0</v>
      </c>
      <c r="R10512" s="2" t="inlineStr"/>
    </row>
    <row r="10513" ht="15" customHeight="1">
      <c r="A10513" t="inlineStr">
        <is>
          <t>A 25848-2025</t>
        </is>
      </c>
      <c r="B10513" s="1" t="n">
        <v>45804</v>
      </c>
      <c r="C10513" s="1" t="n">
        <v>45952</v>
      </c>
      <c r="D10513" t="inlineStr">
        <is>
          <t>VÄSTRA GÖTALANDS LÄN</t>
        </is>
      </c>
      <c r="E10513" t="inlineStr">
        <is>
          <t>ALE</t>
        </is>
      </c>
      <c r="G10513" t="n">
        <v>1.1</v>
      </c>
      <c r="H10513" t="n">
        <v>0</v>
      </c>
      <c r="I10513" t="n">
        <v>0</v>
      </c>
      <c r="J10513" t="n">
        <v>0</v>
      </c>
      <c r="K10513" t="n">
        <v>0</v>
      </c>
      <c r="L10513" t="n">
        <v>0</v>
      </c>
      <c r="M10513" t="n">
        <v>0</v>
      </c>
      <c r="N10513" t="n">
        <v>0</v>
      </c>
      <c r="O10513" t="n">
        <v>0</v>
      </c>
      <c r="P10513" t="n">
        <v>0</v>
      </c>
      <c r="Q10513" t="n">
        <v>0</v>
      </c>
      <c r="R10513" s="2" t="inlineStr"/>
    </row>
    <row r="10514" ht="15" customHeight="1">
      <c r="A10514" t="inlineStr">
        <is>
          <t>A 26270-2025</t>
        </is>
      </c>
      <c r="B10514" s="1" t="n">
        <v>45805.59357638889</v>
      </c>
      <c r="C10514" s="1" t="n">
        <v>45952</v>
      </c>
      <c r="D10514" t="inlineStr">
        <is>
          <t>VÄSTRA GÖTALANDS LÄN</t>
        </is>
      </c>
      <c r="E10514" t="inlineStr">
        <is>
          <t>STRÖMSTAD</t>
        </is>
      </c>
      <c r="G10514" t="n">
        <v>2.4</v>
      </c>
      <c r="H10514" t="n">
        <v>0</v>
      </c>
      <c r="I10514" t="n">
        <v>0</v>
      </c>
      <c r="J10514" t="n">
        <v>0</v>
      </c>
      <c r="K10514" t="n">
        <v>0</v>
      </c>
      <c r="L10514" t="n">
        <v>0</v>
      </c>
      <c r="M10514" t="n">
        <v>0</v>
      </c>
      <c r="N10514" t="n">
        <v>0</v>
      </c>
      <c r="O10514" t="n">
        <v>0</v>
      </c>
      <c r="P10514" t="n">
        <v>0</v>
      </c>
      <c r="Q10514" t="n">
        <v>0</v>
      </c>
      <c r="R10514" s="2" t="inlineStr"/>
    </row>
    <row r="10515" ht="15" customHeight="1">
      <c r="A10515" t="inlineStr">
        <is>
          <t>A 9530-2023</t>
        </is>
      </c>
      <c r="B10515" s="1" t="n">
        <v>44981</v>
      </c>
      <c r="C10515" s="1" t="n">
        <v>45952</v>
      </c>
      <c r="D10515" t="inlineStr">
        <is>
          <t>VÄSTRA GÖTALANDS LÄN</t>
        </is>
      </c>
      <c r="E10515" t="inlineStr">
        <is>
          <t>BOLLEBYGD</t>
        </is>
      </c>
      <c r="G10515" t="n">
        <v>1.2</v>
      </c>
      <c r="H10515" t="n">
        <v>0</v>
      </c>
      <c r="I10515" t="n">
        <v>0</v>
      </c>
      <c r="J10515" t="n">
        <v>0</v>
      </c>
      <c r="K10515" t="n">
        <v>0</v>
      </c>
      <c r="L10515" t="n">
        <v>0</v>
      </c>
      <c r="M10515" t="n">
        <v>0</v>
      </c>
      <c r="N10515" t="n">
        <v>0</v>
      </c>
      <c r="O10515" t="n">
        <v>0</v>
      </c>
      <c r="P10515" t="n">
        <v>0</v>
      </c>
      <c r="Q10515" t="n">
        <v>0</v>
      </c>
      <c r="R10515" s="2" t="inlineStr"/>
    </row>
    <row r="10516" ht="15" customHeight="1">
      <c r="A10516" t="inlineStr">
        <is>
          <t>A 25800-2025</t>
        </is>
      </c>
      <c r="B10516" s="1" t="n">
        <v>45804.40402777777</v>
      </c>
      <c r="C10516" s="1" t="n">
        <v>45952</v>
      </c>
      <c r="D10516" t="inlineStr">
        <is>
          <t>VÄSTRA GÖTALANDS LÄN</t>
        </is>
      </c>
      <c r="E10516" t="inlineStr">
        <is>
          <t>MARIESTAD</t>
        </is>
      </c>
      <c r="F10516" t="inlineStr">
        <is>
          <t>Sveaskog</t>
        </is>
      </c>
      <c r="G10516" t="n">
        <v>0.8</v>
      </c>
      <c r="H10516" t="n">
        <v>0</v>
      </c>
      <c r="I10516" t="n">
        <v>0</v>
      </c>
      <c r="J10516" t="n">
        <v>0</v>
      </c>
      <c r="K10516" t="n">
        <v>0</v>
      </c>
      <c r="L10516" t="n">
        <v>0</v>
      </c>
      <c r="M10516" t="n">
        <v>0</v>
      </c>
      <c r="N10516" t="n">
        <v>0</v>
      </c>
      <c r="O10516" t="n">
        <v>0</v>
      </c>
      <c r="P10516" t="n">
        <v>0</v>
      </c>
      <c r="Q10516" t="n">
        <v>0</v>
      </c>
      <c r="R10516" s="2" t="inlineStr"/>
    </row>
    <row r="10517" ht="15" customHeight="1">
      <c r="A10517" t="inlineStr">
        <is>
          <t>A 1147-2024</t>
        </is>
      </c>
      <c r="B10517" s="1" t="n">
        <v>45302</v>
      </c>
      <c r="C10517" s="1" t="n">
        <v>45952</v>
      </c>
      <c r="D10517" t="inlineStr">
        <is>
          <t>VÄSTRA GÖTALANDS LÄN</t>
        </is>
      </c>
      <c r="E10517" t="inlineStr">
        <is>
          <t>UDDEVALLA</t>
        </is>
      </c>
      <c r="G10517" t="n">
        <v>1.6</v>
      </c>
      <c r="H10517" t="n">
        <v>0</v>
      </c>
      <c r="I10517" t="n">
        <v>0</v>
      </c>
      <c r="J10517" t="n">
        <v>0</v>
      </c>
      <c r="K10517" t="n">
        <v>0</v>
      </c>
      <c r="L10517" t="n">
        <v>0</v>
      </c>
      <c r="M10517" t="n">
        <v>0</v>
      </c>
      <c r="N10517" t="n">
        <v>0</v>
      </c>
      <c r="O10517" t="n">
        <v>0</v>
      </c>
      <c r="P10517" t="n">
        <v>0</v>
      </c>
      <c r="Q10517" t="n">
        <v>0</v>
      </c>
      <c r="R10517" s="2" t="inlineStr"/>
    </row>
    <row r="10518" ht="15" customHeight="1">
      <c r="A10518" t="inlineStr">
        <is>
          <t>A 34653-2024</t>
        </is>
      </c>
      <c r="B10518" s="1" t="n">
        <v>45526</v>
      </c>
      <c r="C10518" s="1" t="n">
        <v>45952</v>
      </c>
      <c r="D10518" t="inlineStr">
        <is>
          <t>VÄSTRA GÖTALANDS LÄN</t>
        </is>
      </c>
      <c r="E10518" t="inlineStr">
        <is>
          <t>SVENLJUNGA</t>
        </is>
      </c>
      <c r="F10518" t="inlineStr">
        <is>
          <t>Kommuner</t>
        </is>
      </c>
      <c r="G10518" t="n">
        <v>2.1</v>
      </c>
      <c r="H10518" t="n">
        <v>0</v>
      </c>
      <c r="I10518" t="n">
        <v>0</v>
      </c>
      <c r="J10518" t="n">
        <v>0</v>
      </c>
      <c r="K10518" t="n">
        <v>0</v>
      </c>
      <c r="L10518" t="n">
        <v>0</v>
      </c>
      <c r="M10518" t="n">
        <v>0</v>
      </c>
      <c r="N10518" t="n">
        <v>0</v>
      </c>
      <c r="O10518" t="n">
        <v>0</v>
      </c>
      <c r="P10518" t="n">
        <v>0</v>
      </c>
      <c r="Q10518" t="n">
        <v>0</v>
      </c>
      <c r="R10518" s="2" t="inlineStr"/>
    </row>
    <row r="10519" ht="15" customHeight="1">
      <c r="A10519" t="inlineStr">
        <is>
          <t>A 41395-2025</t>
        </is>
      </c>
      <c r="B10519" s="1" t="n">
        <v>45901.31965277778</v>
      </c>
      <c r="C10519" s="1" t="n">
        <v>45952</v>
      </c>
      <c r="D10519" t="inlineStr">
        <is>
          <t>VÄSTRA GÖTALANDS LÄN</t>
        </is>
      </c>
      <c r="E10519" t="inlineStr">
        <is>
          <t>LYSEKIL</t>
        </is>
      </c>
      <c r="G10519" t="n">
        <v>1.9</v>
      </c>
      <c r="H10519" t="n">
        <v>0</v>
      </c>
      <c r="I10519" t="n">
        <v>0</v>
      </c>
      <c r="J10519" t="n">
        <v>0</v>
      </c>
      <c r="K10519" t="n">
        <v>0</v>
      </c>
      <c r="L10519" t="n">
        <v>0</v>
      </c>
      <c r="M10519" t="n">
        <v>0</v>
      </c>
      <c r="N10519" t="n">
        <v>0</v>
      </c>
      <c r="O10519" t="n">
        <v>0</v>
      </c>
      <c r="P10519" t="n">
        <v>0</v>
      </c>
      <c r="Q10519" t="n">
        <v>0</v>
      </c>
      <c r="R10519" s="2" t="inlineStr"/>
    </row>
    <row r="10520" ht="15" customHeight="1">
      <c r="A10520" t="inlineStr">
        <is>
          <t>A 41402-2025</t>
        </is>
      </c>
      <c r="B10520" s="1" t="n">
        <v>45901.34243055555</v>
      </c>
      <c r="C10520" s="1" t="n">
        <v>45952</v>
      </c>
      <c r="D10520" t="inlineStr">
        <is>
          <t>VÄSTRA GÖTALANDS LÄN</t>
        </is>
      </c>
      <c r="E10520" t="inlineStr">
        <is>
          <t>BENGTSFORS</t>
        </is>
      </c>
      <c r="G10520" t="n">
        <v>1.3</v>
      </c>
      <c r="H10520" t="n">
        <v>0</v>
      </c>
      <c r="I10520" t="n">
        <v>0</v>
      </c>
      <c r="J10520" t="n">
        <v>0</v>
      </c>
      <c r="K10520" t="n">
        <v>0</v>
      </c>
      <c r="L10520" t="n">
        <v>0</v>
      </c>
      <c r="M10520" t="n">
        <v>0</v>
      </c>
      <c r="N10520" t="n">
        <v>0</v>
      </c>
      <c r="O10520" t="n">
        <v>0</v>
      </c>
      <c r="P10520" t="n">
        <v>0</v>
      </c>
      <c r="Q10520" t="n">
        <v>0</v>
      </c>
      <c r="R10520" s="2" t="inlineStr"/>
    </row>
    <row r="10521" ht="15" customHeight="1">
      <c r="A10521" t="inlineStr">
        <is>
          <t>A 49998-2025</t>
        </is>
      </c>
      <c r="B10521" s="1" t="n">
        <v>45943.09372685185</v>
      </c>
      <c r="C10521" s="1" t="n">
        <v>45952</v>
      </c>
      <c r="D10521" t="inlineStr">
        <is>
          <t>VÄSTRA GÖTALANDS LÄN</t>
        </is>
      </c>
      <c r="E10521" t="inlineStr">
        <is>
          <t>LIDKÖPING</t>
        </is>
      </c>
      <c r="G10521" t="n">
        <v>0.5</v>
      </c>
      <c r="H10521" t="n">
        <v>0</v>
      </c>
      <c r="I10521" t="n">
        <v>0</v>
      </c>
      <c r="J10521" t="n">
        <v>0</v>
      </c>
      <c r="K10521" t="n">
        <v>0</v>
      </c>
      <c r="L10521" t="n">
        <v>0</v>
      </c>
      <c r="M10521" t="n">
        <v>0</v>
      </c>
      <c r="N10521" t="n">
        <v>0</v>
      </c>
      <c r="O10521" t="n">
        <v>0</v>
      </c>
      <c r="P10521" t="n">
        <v>0</v>
      </c>
      <c r="Q10521" t="n">
        <v>0</v>
      </c>
      <c r="R10521" s="2" t="inlineStr"/>
    </row>
    <row r="10522" ht="15" customHeight="1">
      <c r="A10522" t="inlineStr">
        <is>
          <t>A 50188-2025</t>
        </is>
      </c>
      <c r="B10522" s="1" t="n">
        <v>45943.63313657408</v>
      </c>
      <c r="C10522" s="1" t="n">
        <v>45952</v>
      </c>
      <c r="D10522" t="inlineStr">
        <is>
          <t>VÄSTRA GÖTALANDS LÄN</t>
        </is>
      </c>
      <c r="E10522" t="inlineStr">
        <is>
          <t>HÄRRYDA</t>
        </is>
      </c>
      <c r="G10522" t="n">
        <v>3</v>
      </c>
      <c r="H10522" t="n">
        <v>0</v>
      </c>
      <c r="I10522" t="n">
        <v>0</v>
      </c>
      <c r="J10522" t="n">
        <v>0</v>
      </c>
      <c r="K10522" t="n">
        <v>0</v>
      </c>
      <c r="L10522" t="n">
        <v>0</v>
      </c>
      <c r="M10522" t="n">
        <v>0</v>
      </c>
      <c r="N10522" t="n">
        <v>0</v>
      </c>
      <c r="O10522" t="n">
        <v>0</v>
      </c>
      <c r="P10522" t="n">
        <v>0</v>
      </c>
      <c r="Q10522" t="n">
        <v>0</v>
      </c>
      <c r="R10522" s="2" t="inlineStr"/>
    </row>
    <row r="10523" ht="15" customHeight="1">
      <c r="A10523" t="inlineStr">
        <is>
          <t>A 50193-2025</t>
        </is>
      </c>
      <c r="B10523" s="1" t="n">
        <v>45943.640625</v>
      </c>
      <c r="C10523" s="1" t="n">
        <v>45952</v>
      </c>
      <c r="D10523" t="inlineStr">
        <is>
          <t>VÄSTRA GÖTALANDS LÄN</t>
        </is>
      </c>
      <c r="E10523" t="inlineStr">
        <is>
          <t>VÄNERSBORG</t>
        </is>
      </c>
      <c r="G10523" t="n">
        <v>2</v>
      </c>
      <c r="H10523" t="n">
        <v>0</v>
      </c>
      <c r="I10523" t="n">
        <v>0</v>
      </c>
      <c r="J10523" t="n">
        <v>0</v>
      </c>
      <c r="K10523" t="n">
        <v>0</v>
      </c>
      <c r="L10523" t="n">
        <v>0</v>
      </c>
      <c r="M10523" t="n">
        <v>0</v>
      </c>
      <c r="N10523" t="n">
        <v>0</v>
      </c>
      <c r="O10523" t="n">
        <v>0</v>
      </c>
      <c r="P10523" t="n">
        <v>0</v>
      </c>
      <c r="Q10523" t="n">
        <v>0</v>
      </c>
      <c r="R10523" s="2" t="inlineStr"/>
    </row>
    <row r="10524" ht="15" customHeight="1">
      <c r="A10524" t="inlineStr">
        <is>
          <t>A 16679-2025</t>
        </is>
      </c>
      <c r="B10524" s="1" t="n">
        <v>45754.44922453703</v>
      </c>
      <c r="C10524" s="1" t="n">
        <v>45952</v>
      </c>
      <c r="D10524" t="inlineStr">
        <is>
          <t>VÄSTRA GÖTALANDS LÄN</t>
        </is>
      </c>
      <c r="E10524" t="inlineStr">
        <is>
          <t>HÄRRYDA</t>
        </is>
      </c>
      <c r="G10524" t="n">
        <v>0.6</v>
      </c>
      <c r="H10524" t="n">
        <v>0</v>
      </c>
      <c r="I10524" t="n">
        <v>0</v>
      </c>
      <c r="J10524" t="n">
        <v>0</v>
      </c>
      <c r="K10524" t="n">
        <v>0</v>
      </c>
      <c r="L10524" t="n">
        <v>0</v>
      </c>
      <c r="M10524" t="n">
        <v>0</v>
      </c>
      <c r="N10524" t="n">
        <v>0</v>
      </c>
      <c r="O10524" t="n">
        <v>0</v>
      </c>
      <c r="P10524" t="n">
        <v>0</v>
      </c>
      <c r="Q10524" t="n">
        <v>0</v>
      </c>
      <c r="R10524" s="2" t="inlineStr"/>
    </row>
    <row r="10525" ht="15" customHeight="1">
      <c r="A10525" t="inlineStr">
        <is>
          <t>A 44143-2025</t>
        </is>
      </c>
      <c r="B10525" s="1" t="n">
        <v>45915.58936342593</v>
      </c>
      <c r="C10525" s="1" t="n">
        <v>45952</v>
      </c>
      <c r="D10525" t="inlineStr">
        <is>
          <t>VÄSTRA GÖTALANDS LÄN</t>
        </is>
      </c>
      <c r="E10525" t="inlineStr">
        <is>
          <t>MUNKEDAL</t>
        </is>
      </c>
      <c r="G10525" t="n">
        <v>1.7</v>
      </c>
      <c r="H10525" t="n">
        <v>0</v>
      </c>
      <c r="I10525" t="n">
        <v>0</v>
      </c>
      <c r="J10525" t="n">
        <v>0</v>
      </c>
      <c r="K10525" t="n">
        <v>0</v>
      </c>
      <c r="L10525" t="n">
        <v>0</v>
      </c>
      <c r="M10525" t="n">
        <v>0</v>
      </c>
      <c r="N10525" t="n">
        <v>0</v>
      </c>
      <c r="O10525" t="n">
        <v>0</v>
      </c>
      <c r="P10525" t="n">
        <v>0</v>
      </c>
      <c r="Q10525" t="n">
        <v>0</v>
      </c>
      <c r="R10525" s="2" t="inlineStr"/>
    </row>
    <row r="10526" ht="15" customHeight="1">
      <c r="A10526" t="inlineStr">
        <is>
          <t>A 9557-2023</t>
        </is>
      </c>
      <c r="B10526" s="1" t="n">
        <v>44982.32392361111</v>
      </c>
      <c r="C10526" s="1" t="n">
        <v>45952</v>
      </c>
      <c r="D10526" t="inlineStr">
        <is>
          <t>VÄSTRA GÖTALANDS LÄN</t>
        </is>
      </c>
      <c r="E10526" t="inlineStr">
        <is>
          <t>MARK</t>
        </is>
      </c>
      <c r="G10526" t="n">
        <v>7.5</v>
      </c>
      <c r="H10526" t="n">
        <v>0</v>
      </c>
      <c r="I10526" t="n">
        <v>0</v>
      </c>
      <c r="J10526" t="n">
        <v>0</v>
      </c>
      <c r="K10526" t="n">
        <v>0</v>
      </c>
      <c r="L10526" t="n">
        <v>0</v>
      </c>
      <c r="M10526" t="n">
        <v>0</v>
      </c>
      <c r="N10526" t="n">
        <v>0</v>
      </c>
      <c r="O10526" t="n">
        <v>0</v>
      </c>
      <c r="P10526" t="n">
        <v>0</v>
      </c>
      <c r="Q10526" t="n">
        <v>0</v>
      </c>
      <c r="R10526" s="2" t="inlineStr"/>
    </row>
    <row r="10527" ht="15" customHeight="1">
      <c r="A10527" t="inlineStr">
        <is>
          <t>A 19833-2025</t>
        </is>
      </c>
      <c r="B10527" s="1" t="n">
        <v>45771.4696875</v>
      </c>
      <c r="C10527" s="1" t="n">
        <v>45952</v>
      </c>
      <c r="D10527" t="inlineStr">
        <is>
          <t>VÄSTRA GÖTALANDS LÄN</t>
        </is>
      </c>
      <c r="E10527" t="inlineStr">
        <is>
          <t>ULRICEHAMN</t>
        </is>
      </c>
      <c r="G10527" t="n">
        <v>1.3</v>
      </c>
      <c r="H10527" t="n">
        <v>0</v>
      </c>
      <c r="I10527" t="n">
        <v>0</v>
      </c>
      <c r="J10527" t="n">
        <v>0</v>
      </c>
      <c r="K10527" t="n">
        <v>0</v>
      </c>
      <c r="L10527" t="n">
        <v>0</v>
      </c>
      <c r="M10527" t="n">
        <v>0</v>
      </c>
      <c r="N10527" t="n">
        <v>0</v>
      </c>
      <c r="O10527" t="n">
        <v>0</v>
      </c>
      <c r="P10527" t="n">
        <v>0</v>
      </c>
      <c r="Q10527" t="n">
        <v>0</v>
      </c>
      <c r="R10527" s="2" t="inlineStr"/>
    </row>
    <row r="10528" ht="15" customHeight="1">
      <c r="A10528" t="inlineStr">
        <is>
          <t>A 13160-2025</t>
        </is>
      </c>
      <c r="B10528" s="1" t="n">
        <v>45735.36002314815</v>
      </c>
      <c r="C10528" s="1" t="n">
        <v>45952</v>
      </c>
      <c r="D10528" t="inlineStr">
        <is>
          <t>VÄSTRA GÖTALANDS LÄN</t>
        </is>
      </c>
      <c r="E10528" t="inlineStr">
        <is>
          <t>ULRICEHAMN</t>
        </is>
      </c>
      <c r="G10528" t="n">
        <v>2.3</v>
      </c>
      <c r="H10528" t="n">
        <v>0</v>
      </c>
      <c r="I10528" t="n">
        <v>0</v>
      </c>
      <c r="J10528" t="n">
        <v>0</v>
      </c>
      <c r="K10528" t="n">
        <v>0</v>
      </c>
      <c r="L10528" t="n">
        <v>0</v>
      </c>
      <c r="M10528" t="n">
        <v>0</v>
      </c>
      <c r="N10528" t="n">
        <v>0</v>
      </c>
      <c r="O10528" t="n">
        <v>0</v>
      </c>
      <c r="P10528" t="n">
        <v>0</v>
      </c>
      <c r="Q10528" t="n">
        <v>0</v>
      </c>
      <c r="R10528" s="2" t="inlineStr"/>
    </row>
    <row r="10529" ht="15" customHeight="1">
      <c r="A10529" t="inlineStr">
        <is>
          <t>A 50192-2025</t>
        </is>
      </c>
      <c r="B10529" s="1" t="n">
        <v>45943.63825231481</v>
      </c>
      <c r="C10529" s="1" t="n">
        <v>45952</v>
      </c>
      <c r="D10529" t="inlineStr">
        <is>
          <t>VÄSTRA GÖTALANDS LÄN</t>
        </is>
      </c>
      <c r="E10529" t="inlineStr">
        <is>
          <t>VÄNERSBORG</t>
        </is>
      </c>
      <c r="G10529" t="n">
        <v>15.8</v>
      </c>
      <c r="H10529" t="n">
        <v>0</v>
      </c>
      <c r="I10529" t="n">
        <v>0</v>
      </c>
      <c r="J10529" t="n">
        <v>0</v>
      </c>
      <c r="K10529" t="n">
        <v>0</v>
      </c>
      <c r="L10529" t="n">
        <v>0</v>
      </c>
      <c r="M10529" t="n">
        <v>0</v>
      </c>
      <c r="N10529" t="n">
        <v>0</v>
      </c>
      <c r="O10529" t="n">
        <v>0</v>
      </c>
      <c r="P10529" t="n">
        <v>0</v>
      </c>
      <c r="Q10529" t="n">
        <v>0</v>
      </c>
      <c r="R10529" s="2" t="inlineStr"/>
    </row>
    <row r="10530" ht="15" customHeight="1">
      <c r="A10530" t="inlineStr">
        <is>
          <t>A 9655-2023</t>
        </is>
      </c>
      <c r="B10530" s="1" t="n">
        <v>44978</v>
      </c>
      <c r="C10530" s="1" t="n">
        <v>45952</v>
      </c>
      <c r="D10530" t="inlineStr">
        <is>
          <t>VÄSTRA GÖTALANDS LÄN</t>
        </is>
      </c>
      <c r="E10530" t="inlineStr">
        <is>
          <t>TÖREBODA</t>
        </is>
      </c>
      <c r="G10530" t="n">
        <v>1.5</v>
      </c>
      <c r="H10530" t="n">
        <v>0</v>
      </c>
      <c r="I10530" t="n">
        <v>0</v>
      </c>
      <c r="J10530" t="n">
        <v>0</v>
      </c>
      <c r="K10530" t="n">
        <v>0</v>
      </c>
      <c r="L10530" t="n">
        <v>0</v>
      </c>
      <c r="M10530" t="n">
        <v>0</v>
      </c>
      <c r="N10530" t="n">
        <v>0</v>
      </c>
      <c r="O10530" t="n">
        <v>0</v>
      </c>
      <c r="P10530" t="n">
        <v>0</v>
      </c>
      <c r="Q10530" t="n">
        <v>0</v>
      </c>
      <c r="R10530" s="2" t="inlineStr"/>
    </row>
    <row r="10531" ht="15" customHeight="1">
      <c r="A10531" t="inlineStr">
        <is>
          <t>A 26054-2025</t>
        </is>
      </c>
      <c r="B10531" s="1" t="n">
        <v>45804.75467592593</v>
      </c>
      <c r="C10531" s="1" t="n">
        <v>45952</v>
      </c>
      <c r="D10531" t="inlineStr">
        <is>
          <t>VÄSTRA GÖTALANDS LÄN</t>
        </is>
      </c>
      <c r="E10531" t="inlineStr">
        <is>
          <t>FALKÖPING</t>
        </is>
      </c>
      <c r="G10531" t="n">
        <v>4</v>
      </c>
      <c r="H10531" t="n">
        <v>0</v>
      </c>
      <c r="I10531" t="n">
        <v>0</v>
      </c>
      <c r="J10531" t="n">
        <v>0</v>
      </c>
      <c r="K10531" t="n">
        <v>0</v>
      </c>
      <c r="L10531" t="n">
        <v>0</v>
      </c>
      <c r="M10531" t="n">
        <v>0</v>
      </c>
      <c r="N10531" t="n">
        <v>0</v>
      </c>
      <c r="O10531" t="n">
        <v>0</v>
      </c>
      <c r="P10531" t="n">
        <v>0</v>
      </c>
      <c r="Q10531" t="n">
        <v>0</v>
      </c>
      <c r="R10531" s="2" t="inlineStr"/>
    </row>
    <row r="10532" ht="15" customHeight="1">
      <c r="A10532" t="inlineStr">
        <is>
          <t>A 31259-2025</t>
        </is>
      </c>
      <c r="B10532" s="1" t="n">
        <v>45833.32277777778</v>
      </c>
      <c r="C10532" s="1" t="n">
        <v>45952</v>
      </c>
      <c r="D10532" t="inlineStr">
        <is>
          <t>VÄSTRA GÖTALANDS LÄN</t>
        </is>
      </c>
      <c r="E10532" t="inlineStr">
        <is>
          <t>DALS-ED</t>
        </is>
      </c>
      <c r="G10532" t="n">
        <v>1.1</v>
      </c>
      <c r="H10532" t="n">
        <v>0</v>
      </c>
      <c r="I10532" t="n">
        <v>0</v>
      </c>
      <c r="J10532" t="n">
        <v>0</v>
      </c>
      <c r="K10532" t="n">
        <v>0</v>
      </c>
      <c r="L10532" t="n">
        <v>0</v>
      </c>
      <c r="M10532" t="n">
        <v>0</v>
      </c>
      <c r="N10532" t="n">
        <v>0</v>
      </c>
      <c r="O10532" t="n">
        <v>0</v>
      </c>
      <c r="P10532" t="n">
        <v>0</v>
      </c>
      <c r="Q10532" t="n">
        <v>0</v>
      </c>
      <c r="R10532" s="2" t="inlineStr"/>
    </row>
    <row r="10533" ht="15" customHeight="1">
      <c r="A10533" t="inlineStr">
        <is>
          <t>A 40989-2025</t>
        </is>
      </c>
      <c r="B10533" s="1" t="n">
        <v>45898.31863425926</v>
      </c>
      <c r="C10533" s="1" t="n">
        <v>45952</v>
      </c>
      <c r="D10533" t="inlineStr">
        <is>
          <t>VÄSTRA GÖTALANDS LÄN</t>
        </is>
      </c>
      <c r="E10533" t="inlineStr">
        <is>
          <t>TIDAHOLM</t>
        </is>
      </c>
      <c r="G10533" t="n">
        <v>2.4</v>
      </c>
      <c r="H10533" t="n">
        <v>0</v>
      </c>
      <c r="I10533" t="n">
        <v>0</v>
      </c>
      <c r="J10533" t="n">
        <v>0</v>
      </c>
      <c r="K10533" t="n">
        <v>0</v>
      </c>
      <c r="L10533" t="n">
        <v>0</v>
      </c>
      <c r="M10533" t="n">
        <v>0</v>
      </c>
      <c r="N10533" t="n">
        <v>0</v>
      </c>
      <c r="O10533" t="n">
        <v>0</v>
      </c>
      <c r="P10533" t="n">
        <v>0</v>
      </c>
      <c r="Q10533" t="n">
        <v>0</v>
      </c>
      <c r="R10533" s="2" t="inlineStr"/>
    </row>
    <row r="10534" ht="15" customHeight="1">
      <c r="A10534" t="inlineStr">
        <is>
          <t>A 26292-2025</t>
        </is>
      </c>
      <c r="B10534" s="1" t="n">
        <v>45805.63157407408</v>
      </c>
      <c r="C10534" s="1" t="n">
        <v>45952</v>
      </c>
      <c r="D10534" t="inlineStr">
        <is>
          <t>VÄSTRA GÖTALANDS LÄN</t>
        </is>
      </c>
      <c r="E10534" t="inlineStr">
        <is>
          <t>FÄRGELANDA</t>
        </is>
      </c>
      <c r="G10534" t="n">
        <v>2.2</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49564-2024</t>
        </is>
      </c>
      <c r="B10535" s="1" t="n">
        <v>45596.48508101852</v>
      </c>
      <c r="C10535" s="1" t="n">
        <v>45952</v>
      </c>
      <c r="D10535" t="inlineStr">
        <is>
          <t>VÄSTRA GÖTALANDS LÄN</t>
        </is>
      </c>
      <c r="E10535" t="inlineStr">
        <is>
          <t>HJO</t>
        </is>
      </c>
      <c r="G10535" t="n">
        <v>0.6</v>
      </c>
      <c r="H10535" t="n">
        <v>0</v>
      </c>
      <c r="I10535" t="n">
        <v>0</v>
      </c>
      <c r="J10535" t="n">
        <v>0</v>
      </c>
      <c r="K10535" t="n">
        <v>0</v>
      </c>
      <c r="L10535" t="n">
        <v>0</v>
      </c>
      <c r="M10535" t="n">
        <v>0</v>
      </c>
      <c r="N10535" t="n">
        <v>0</v>
      </c>
      <c r="O10535" t="n">
        <v>0</v>
      </c>
      <c r="P10535" t="n">
        <v>0</v>
      </c>
      <c r="Q10535" t="n">
        <v>0</v>
      </c>
      <c r="R10535" s="2" t="inlineStr"/>
    </row>
    <row r="10536" ht="15" customHeight="1">
      <c r="A10536" t="inlineStr">
        <is>
          <t>A 8971-2024</t>
        </is>
      </c>
      <c r="B10536" s="1" t="n">
        <v>45357.49171296296</v>
      </c>
      <c r="C10536" s="1" t="n">
        <v>45952</v>
      </c>
      <c r="D10536" t="inlineStr">
        <is>
          <t>VÄSTRA GÖTALANDS LÄN</t>
        </is>
      </c>
      <c r="E10536" t="inlineStr">
        <is>
          <t>FALKÖPING</t>
        </is>
      </c>
      <c r="G10536" t="n">
        <v>2.2</v>
      </c>
      <c r="H10536" t="n">
        <v>0</v>
      </c>
      <c r="I10536" t="n">
        <v>0</v>
      </c>
      <c r="J10536" t="n">
        <v>0</v>
      </c>
      <c r="K10536" t="n">
        <v>0</v>
      </c>
      <c r="L10536" t="n">
        <v>0</v>
      </c>
      <c r="M10536" t="n">
        <v>0</v>
      </c>
      <c r="N10536" t="n">
        <v>0</v>
      </c>
      <c r="O10536" t="n">
        <v>0</v>
      </c>
      <c r="P10536" t="n">
        <v>0</v>
      </c>
      <c r="Q10536" t="n">
        <v>0</v>
      </c>
      <c r="R10536" s="2" t="inlineStr"/>
    </row>
    <row r="10537" ht="15" customHeight="1">
      <c r="A10537" t="inlineStr">
        <is>
          <t>A 25910-2025</t>
        </is>
      </c>
      <c r="B10537" s="1" t="n">
        <v>45804.55891203704</v>
      </c>
      <c r="C10537" s="1" t="n">
        <v>45952</v>
      </c>
      <c r="D10537" t="inlineStr">
        <is>
          <t>VÄSTRA GÖTALANDS LÄN</t>
        </is>
      </c>
      <c r="E10537" t="inlineStr">
        <is>
          <t>MARIESTAD</t>
        </is>
      </c>
      <c r="F10537" t="inlineStr">
        <is>
          <t>Sveaskog</t>
        </is>
      </c>
      <c r="G10537" t="n">
        <v>1.5</v>
      </c>
      <c r="H10537" t="n">
        <v>0</v>
      </c>
      <c r="I10537" t="n">
        <v>0</v>
      </c>
      <c r="J10537" t="n">
        <v>0</v>
      </c>
      <c r="K10537" t="n">
        <v>0</v>
      </c>
      <c r="L10537" t="n">
        <v>0</v>
      </c>
      <c r="M10537" t="n">
        <v>0</v>
      </c>
      <c r="N10537" t="n">
        <v>0</v>
      </c>
      <c r="O10537" t="n">
        <v>0</v>
      </c>
      <c r="P10537" t="n">
        <v>0</v>
      </c>
      <c r="Q10537" t="n">
        <v>0</v>
      </c>
      <c r="R10537" s="2" t="inlineStr"/>
    </row>
    <row r="10538" ht="15" customHeight="1">
      <c r="A10538" t="inlineStr">
        <is>
          <t>A 25937-2025</t>
        </is>
      </c>
      <c r="B10538" s="1" t="n">
        <v>45804.59358796296</v>
      </c>
      <c r="C10538" s="1" t="n">
        <v>45952</v>
      </c>
      <c r="D10538" t="inlineStr">
        <is>
          <t>VÄSTRA GÖTALANDS LÄN</t>
        </is>
      </c>
      <c r="E10538" t="inlineStr">
        <is>
          <t>BENGTSFORS</t>
        </is>
      </c>
      <c r="G10538" t="n">
        <v>1.1</v>
      </c>
      <c r="H10538" t="n">
        <v>0</v>
      </c>
      <c r="I10538" t="n">
        <v>0</v>
      </c>
      <c r="J10538" t="n">
        <v>0</v>
      </c>
      <c r="K10538" t="n">
        <v>0</v>
      </c>
      <c r="L10538" t="n">
        <v>0</v>
      </c>
      <c r="M10538" t="n">
        <v>0</v>
      </c>
      <c r="N10538" t="n">
        <v>0</v>
      </c>
      <c r="O10538" t="n">
        <v>0</v>
      </c>
      <c r="P10538" t="n">
        <v>0</v>
      </c>
      <c r="Q10538" t="n">
        <v>0</v>
      </c>
      <c r="R10538" s="2" t="inlineStr"/>
    </row>
    <row r="10539" ht="15" customHeight="1">
      <c r="A10539" t="inlineStr">
        <is>
          <t>A 41579-2025</t>
        </is>
      </c>
      <c r="B10539" s="1" t="n">
        <v>45901.62109953703</v>
      </c>
      <c r="C10539" s="1" t="n">
        <v>45952</v>
      </c>
      <c r="D10539" t="inlineStr">
        <is>
          <t>VÄSTRA GÖTALANDS LÄN</t>
        </is>
      </c>
      <c r="E10539" t="inlineStr">
        <is>
          <t>UDDEVALLA</t>
        </is>
      </c>
      <c r="G10539" t="n">
        <v>1.5</v>
      </c>
      <c r="H10539" t="n">
        <v>0</v>
      </c>
      <c r="I10539" t="n">
        <v>0</v>
      </c>
      <c r="J10539" t="n">
        <v>0</v>
      </c>
      <c r="K10539" t="n">
        <v>0</v>
      </c>
      <c r="L10539" t="n">
        <v>0</v>
      </c>
      <c r="M10539" t="n">
        <v>0</v>
      </c>
      <c r="N10539" t="n">
        <v>0</v>
      </c>
      <c r="O10539" t="n">
        <v>0</v>
      </c>
      <c r="P10539" t="n">
        <v>0</v>
      </c>
      <c r="Q10539" t="n">
        <v>0</v>
      </c>
      <c r="R10539" s="2" t="inlineStr"/>
    </row>
    <row r="10540" ht="15" customHeight="1">
      <c r="A10540" t="inlineStr">
        <is>
          <t>A 56616-2022</t>
        </is>
      </c>
      <c r="B10540" s="1" t="n">
        <v>44893.59137731481</v>
      </c>
      <c r="C10540" s="1" t="n">
        <v>45952</v>
      </c>
      <c r="D10540" t="inlineStr">
        <is>
          <t>VÄSTRA GÖTALANDS LÄN</t>
        </is>
      </c>
      <c r="E10540" t="inlineStr">
        <is>
          <t>FÄRGELANDA</t>
        </is>
      </c>
      <c r="G10540" t="n">
        <v>2.2</v>
      </c>
      <c r="H10540" t="n">
        <v>0</v>
      </c>
      <c r="I10540" t="n">
        <v>0</v>
      </c>
      <c r="J10540" t="n">
        <v>0</v>
      </c>
      <c r="K10540" t="n">
        <v>0</v>
      </c>
      <c r="L10540" t="n">
        <v>0</v>
      </c>
      <c r="M10540" t="n">
        <v>0</v>
      </c>
      <c r="N10540" t="n">
        <v>0</v>
      </c>
      <c r="O10540" t="n">
        <v>0</v>
      </c>
      <c r="P10540" t="n">
        <v>0</v>
      </c>
      <c r="Q10540" t="n">
        <v>0</v>
      </c>
      <c r="R10540" s="2" t="inlineStr"/>
    </row>
    <row r="10541" ht="15" customHeight="1">
      <c r="A10541" t="inlineStr">
        <is>
          <t>A 16605-2023</t>
        </is>
      </c>
      <c r="B10541" s="1" t="n">
        <v>45030.39709490741</v>
      </c>
      <c r="C10541" s="1" t="n">
        <v>45952</v>
      </c>
      <c r="D10541" t="inlineStr">
        <is>
          <t>VÄSTRA GÖTALANDS LÄN</t>
        </is>
      </c>
      <c r="E10541" t="inlineStr">
        <is>
          <t>HERRLJUNGA</t>
        </is>
      </c>
      <c r="G10541" t="n">
        <v>0.5</v>
      </c>
      <c r="H10541" t="n">
        <v>0</v>
      </c>
      <c r="I10541" t="n">
        <v>0</v>
      </c>
      <c r="J10541" t="n">
        <v>0</v>
      </c>
      <c r="K10541" t="n">
        <v>0</v>
      </c>
      <c r="L10541" t="n">
        <v>0</v>
      </c>
      <c r="M10541" t="n">
        <v>0</v>
      </c>
      <c r="N10541" t="n">
        <v>0</v>
      </c>
      <c r="O10541" t="n">
        <v>0</v>
      </c>
      <c r="P10541" t="n">
        <v>0</v>
      </c>
      <c r="Q10541" t="n">
        <v>0</v>
      </c>
      <c r="R10541" s="2" t="inlineStr"/>
    </row>
    <row r="10542" ht="15" customHeight="1">
      <c r="A10542" t="inlineStr">
        <is>
          <t>A 1021-2023</t>
        </is>
      </c>
      <c r="B10542" s="1" t="n">
        <v>44935</v>
      </c>
      <c r="C10542" s="1" t="n">
        <v>45952</v>
      </c>
      <c r="D10542" t="inlineStr">
        <is>
          <t>VÄSTRA GÖTALANDS LÄN</t>
        </is>
      </c>
      <c r="E10542" t="inlineStr">
        <is>
          <t>FÄRGELANDA</t>
        </is>
      </c>
      <c r="G10542" t="n">
        <v>5.3</v>
      </c>
      <c r="H10542" t="n">
        <v>0</v>
      </c>
      <c r="I10542" t="n">
        <v>0</v>
      </c>
      <c r="J10542" t="n">
        <v>0</v>
      </c>
      <c r="K10542" t="n">
        <v>0</v>
      </c>
      <c r="L10542" t="n">
        <v>0</v>
      </c>
      <c r="M10542" t="n">
        <v>0</v>
      </c>
      <c r="N10542" t="n">
        <v>0</v>
      </c>
      <c r="O10542" t="n">
        <v>0</v>
      </c>
      <c r="P10542" t="n">
        <v>0</v>
      </c>
      <c r="Q10542" t="n">
        <v>0</v>
      </c>
      <c r="R10542" s="2" t="inlineStr"/>
    </row>
    <row r="10543" ht="15" customHeight="1">
      <c r="A10543" t="inlineStr">
        <is>
          <t>A 48688-2025</t>
        </is>
      </c>
      <c r="B10543" s="1" t="n">
        <v>45936.60555555556</v>
      </c>
      <c r="C10543" s="1" t="n">
        <v>45952</v>
      </c>
      <c r="D10543" t="inlineStr">
        <is>
          <t>VÄSTRA GÖTALANDS LÄN</t>
        </is>
      </c>
      <c r="E10543" t="inlineStr">
        <is>
          <t>STRÖMSTAD</t>
        </is>
      </c>
      <c r="G10543" t="n">
        <v>4.5</v>
      </c>
      <c r="H10543" t="n">
        <v>0</v>
      </c>
      <c r="I10543" t="n">
        <v>0</v>
      </c>
      <c r="J10543" t="n">
        <v>0</v>
      </c>
      <c r="K10543" t="n">
        <v>0</v>
      </c>
      <c r="L10543" t="n">
        <v>0</v>
      </c>
      <c r="M10543" t="n">
        <v>0</v>
      </c>
      <c r="N10543" t="n">
        <v>0</v>
      </c>
      <c r="O10543" t="n">
        <v>0</v>
      </c>
      <c r="P10543" t="n">
        <v>0</v>
      </c>
      <c r="Q10543" t="n">
        <v>0</v>
      </c>
      <c r="R10543" s="2" t="inlineStr"/>
    </row>
    <row r="10544" ht="15" customHeight="1">
      <c r="A10544" t="inlineStr">
        <is>
          <t>A 57195-2022</t>
        </is>
      </c>
      <c r="B10544" s="1" t="n">
        <v>44895</v>
      </c>
      <c r="C10544" s="1" t="n">
        <v>45952</v>
      </c>
      <c r="D10544" t="inlineStr">
        <is>
          <t>VÄSTRA GÖTALANDS LÄN</t>
        </is>
      </c>
      <c r="E10544" t="inlineStr">
        <is>
          <t>LERUM</t>
        </is>
      </c>
      <c r="G10544" t="n">
        <v>1.9</v>
      </c>
      <c r="H10544" t="n">
        <v>0</v>
      </c>
      <c r="I10544" t="n">
        <v>0</v>
      </c>
      <c r="J10544" t="n">
        <v>0</v>
      </c>
      <c r="K10544" t="n">
        <v>0</v>
      </c>
      <c r="L10544" t="n">
        <v>0</v>
      </c>
      <c r="M10544" t="n">
        <v>0</v>
      </c>
      <c r="N10544" t="n">
        <v>0</v>
      </c>
      <c r="O10544" t="n">
        <v>0</v>
      </c>
      <c r="P10544" t="n">
        <v>0</v>
      </c>
      <c r="Q10544" t="n">
        <v>0</v>
      </c>
      <c r="R10544" s="2" t="inlineStr"/>
    </row>
    <row r="10545" ht="15" customHeight="1">
      <c r="A10545" t="inlineStr">
        <is>
          <t>A 50175-2025</t>
        </is>
      </c>
      <c r="B10545" s="1" t="n">
        <v>45943.60738425926</v>
      </c>
      <c r="C10545" s="1" t="n">
        <v>45952</v>
      </c>
      <c r="D10545" t="inlineStr">
        <is>
          <t>VÄSTRA GÖTALANDS LÄN</t>
        </is>
      </c>
      <c r="E10545" t="inlineStr">
        <is>
          <t>BENGTSFORS</t>
        </is>
      </c>
      <c r="G10545" t="n">
        <v>5.8</v>
      </c>
      <c r="H10545" t="n">
        <v>0</v>
      </c>
      <c r="I10545" t="n">
        <v>0</v>
      </c>
      <c r="J10545" t="n">
        <v>0</v>
      </c>
      <c r="K10545" t="n">
        <v>0</v>
      </c>
      <c r="L10545" t="n">
        <v>0</v>
      </c>
      <c r="M10545" t="n">
        <v>0</v>
      </c>
      <c r="N10545" t="n">
        <v>0</v>
      </c>
      <c r="O10545" t="n">
        <v>0</v>
      </c>
      <c r="P10545" t="n">
        <v>0</v>
      </c>
      <c r="Q10545" t="n">
        <v>0</v>
      </c>
      <c r="R10545" s="2" t="inlineStr"/>
    </row>
    <row r="10546" ht="15" customHeight="1">
      <c r="A10546" t="inlineStr">
        <is>
          <t>A 50189-2025</t>
        </is>
      </c>
      <c r="B10546" s="1" t="n">
        <v>45943.63476851852</v>
      </c>
      <c r="C10546" s="1" t="n">
        <v>45952</v>
      </c>
      <c r="D10546" t="inlineStr">
        <is>
          <t>VÄSTRA GÖTALANDS LÄN</t>
        </is>
      </c>
      <c r="E10546" t="inlineStr">
        <is>
          <t>ALE</t>
        </is>
      </c>
      <c r="G10546" t="n">
        <v>3</v>
      </c>
      <c r="H10546" t="n">
        <v>0</v>
      </c>
      <c r="I10546" t="n">
        <v>0</v>
      </c>
      <c r="J10546" t="n">
        <v>0</v>
      </c>
      <c r="K10546" t="n">
        <v>0</v>
      </c>
      <c r="L10546" t="n">
        <v>0</v>
      </c>
      <c r="M10546" t="n">
        <v>0</v>
      </c>
      <c r="N10546" t="n">
        <v>0</v>
      </c>
      <c r="O10546" t="n">
        <v>0</v>
      </c>
      <c r="P10546" t="n">
        <v>0</v>
      </c>
      <c r="Q10546" t="n">
        <v>0</v>
      </c>
      <c r="R10546" s="2" t="inlineStr"/>
    </row>
    <row r="10547" ht="15" customHeight="1">
      <c r="A10547" t="inlineStr">
        <is>
          <t>A 6360-2023</t>
        </is>
      </c>
      <c r="B10547" s="1" t="n">
        <v>44965</v>
      </c>
      <c r="C10547" s="1" t="n">
        <v>45952</v>
      </c>
      <c r="D10547" t="inlineStr">
        <is>
          <t>VÄSTRA GÖTALANDS LÄN</t>
        </is>
      </c>
      <c r="E10547" t="inlineStr">
        <is>
          <t>GULLSPÅNG</t>
        </is>
      </c>
      <c r="G10547" t="n">
        <v>0.5</v>
      </c>
      <c r="H10547" t="n">
        <v>0</v>
      </c>
      <c r="I10547" t="n">
        <v>0</v>
      </c>
      <c r="J10547" t="n">
        <v>0</v>
      </c>
      <c r="K10547" t="n">
        <v>0</v>
      </c>
      <c r="L10547" t="n">
        <v>0</v>
      </c>
      <c r="M10547" t="n">
        <v>0</v>
      </c>
      <c r="N10547" t="n">
        <v>0</v>
      </c>
      <c r="O10547" t="n">
        <v>0</v>
      </c>
      <c r="P10547" t="n">
        <v>0</v>
      </c>
      <c r="Q10547" t="n">
        <v>0</v>
      </c>
      <c r="R10547" s="2" t="inlineStr"/>
    </row>
    <row r="10548" ht="15" customHeight="1">
      <c r="A10548" t="inlineStr">
        <is>
          <t>A 6374-2023</t>
        </is>
      </c>
      <c r="B10548" s="1" t="n">
        <v>44965.62028935185</v>
      </c>
      <c r="C10548" s="1" t="n">
        <v>45952</v>
      </c>
      <c r="D10548" t="inlineStr">
        <is>
          <t>VÄSTRA GÖTALANDS LÄN</t>
        </is>
      </c>
      <c r="E10548" t="inlineStr">
        <is>
          <t>GULLSPÅNG</t>
        </is>
      </c>
      <c r="G10548" t="n">
        <v>0.6</v>
      </c>
      <c r="H10548" t="n">
        <v>0</v>
      </c>
      <c r="I10548" t="n">
        <v>0</v>
      </c>
      <c r="J10548" t="n">
        <v>0</v>
      </c>
      <c r="K10548" t="n">
        <v>0</v>
      </c>
      <c r="L10548" t="n">
        <v>0</v>
      </c>
      <c r="M10548" t="n">
        <v>0</v>
      </c>
      <c r="N10548" t="n">
        <v>0</v>
      </c>
      <c r="O10548" t="n">
        <v>0</v>
      </c>
      <c r="P10548" t="n">
        <v>0</v>
      </c>
      <c r="Q10548" t="n">
        <v>0</v>
      </c>
      <c r="R10548" s="2" t="inlineStr"/>
    </row>
    <row r="10549" ht="15" customHeight="1">
      <c r="A10549" t="inlineStr">
        <is>
          <t>A 1883-2023</t>
        </is>
      </c>
      <c r="B10549" s="1" t="n">
        <v>44939.32333333333</v>
      </c>
      <c r="C10549" s="1" t="n">
        <v>45952</v>
      </c>
      <c r="D10549" t="inlineStr">
        <is>
          <t>VÄSTRA GÖTALANDS LÄN</t>
        </is>
      </c>
      <c r="E10549" t="inlineStr">
        <is>
          <t>MELLERUD</t>
        </is>
      </c>
      <c r="G10549" t="n">
        <v>1.4</v>
      </c>
      <c r="H10549" t="n">
        <v>0</v>
      </c>
      <c r="I10549" t="n">
        <v>0</v>
      </c>
      <c r="J10549" t="n">
        <v>0</v>
      </c>
      <c r="K10549" t="n">
        <v>0</v>
      </c>
      <c r="L10549" t="n">
        <v>0</v>
      </c>
      <c r="M10549" t="n">
        <v>0</v>
      </c>
      <c r="N10549" t="n">
        <v>0</v>
      </c>
      <c r="O10549" t="n">
        <v>0</v>
      </c>
      <c r="P10549" t="n">
        <v>0</v>
      </c>
      <c r="Q10549" t="n">
        <v>0</v>
      </c>
      <c r="R10549" s="2" t="inlineStr"/>
    </row>
    <row r="10550" ht="15" customHeight="1">
      <c r="A10550" t="inlineStr">
        <is>
          <t>A 1886-2023</t>
        </is>
      </c>
      <c r="B10550" s="1" t="n">
        <v>44939.33954861111</v>
      </c>
      <c r="C10550" s="1" t="n">
        <v>45952</v>
      </c>
      <c r="D10550" t="inlineStr">
        <is>
          <t>VÄSTRA GÖTALANDS LÄN</t>
        </is>
      </c>
      <c r="E10550" t="inlineStr">
        <is>
          <t>MELLERUD</t>
        </is>
      </c>
      <c r="G10550" t="n">
        <v>1</v>
      </c>
      <c r="H10550" t="n">
        <v>0</v>
      </c>
      <c r="I10550" t="n">
        <v>0</v>
      </c>
      <c r="J10550" t="n">
        <v>0</v>
      </c>
      <c r="K10550" t="n">
        <v>0</v>
      </c>
      <c r="L10550" t="n">
        <v>0</v>
      </c>
      <c r="M10550" t="n">
        <v>0</v>
      </c>
      <c r="N10550" t="n">
        <v>0</v>
      </c>
      <c r="O10550" t="n">
        <v>0</v>
      </c>
      <c r="P10550" t="n">
        <v>0</v>
      </c>
      <c r="Q10550" t="n">
        <v>0</v>
      </c>
      <c r="R10550" s="2" t="inlineStr"/>
    </row>
    <row r="10551" ht="15" customHeight="1">
      <c r="A10551" t="inlineStr">
        <is>
          <t>A 7344-2023</t>
        </is>
      </c>
      <c r="B10551" s="1" t="n">
        <v>44971</v>
      </c>
      <c r="C10551" s="1" t="n">
        <v>45952</v>
      </c>
      <c r="D10551" t="inlineStr">
        <is>
          <t>VÄSTRA GÖTALANDS LÄN</t>
        </is>
      </c>
      <c r="E10551" t="inlineStr">
        <is>
          <t>ULRICEHAMN</t>
        </is>
      </c>
      <c r="G10551" t="n">
        <v>0.8</v>
      </c>
      <c r="H10551" t="n">
        <v>0</v>
      </c>
      <c r="I10551" t="n">
        <v>0</v>
      </c>
      <c r="J10551" t="n">
        <v>0</v>
      </c>
      <c r="K10551" t="n">
        <v>0</v>
      </c>
      <c r="L10551" t="n">
        <v>0</v>
      </c>
      <c r="M10551" t="n">
        <v>0</v>
      </c>
      <c r="N10551" t="n">
        <v>0</v>
      </c>
      <c r="O10551" t="n">
        <v>0</v>
      </c>
      <c r="P10551" t="n">
        <v>0</v>
      </c>
      <c r="Q10551" t="n">
        <v>0</v>
      </c>
      <c r="R10551" s="2" t="inlineStr"/>
    </row>
    <row r="10552" ht="15" customHeight="1">
      <c r="A10552" t="inlineStr">
        <is>
          <t>A 38579-2024</t>
        </is>
      </c>
      <c r="B10552" s="1" t="n">
        <v>45546.64791666667</v>
      </c>
      <c r="C10552" s="1" t="n">
        <v>45952</v>
      </c>
      <c r="D10552" t="inlineStr">
        <is>
          <t>VÄSTRA GÖTALANDS LÄN</t>
        </is>
      </c>
      <c r="E10552" t="inlineStr">
        <is>
          <t>DALS-ED</t>
        </is>
      </c>
      <c r="G10552" t="n">
        <v>1.2</v>
      </c>
      <c r="H10552" t="n">
        <v>0</v>
      </c>
      <c r="I10552" t="n">
        <v>0</v>
      </c>
      <c r="J10552" t="n">
        <v>0</v>
      </c>
      <c r="K10552" t="n">
        <v>0</v>
      </c>
      <c r="L10552" t="n">
        <v>0</v>
      </c>
      <c r="M10552" t="n">
        <v>0</v>
      </c>
      <c r="N10552" t="n">
        <v>0</v>
      </c>
      <c r="O10552" t="n">
        <v>0</v>
      </c>
      <c r="P10552" t="n">
        <v>0</v>
      </c>
      <c r="Q10552" t="n">
        <v>0</v>
      </c>
      <c r="R10552" s="2" t="inlineStr"/>
    </row>
    <row r="10553" ht="15" customHeight="1">
      <c r="A10553" t="inlineStr">
        <is>
          <t>A 50500-2024</t>
        </is>
      </c>
      <c r="B10553" s="1" t="n">
        <v>45601.52255787037</v>
      </c>
      <c r="C10553" s="1" t="n">
        <v>45952</v>
      </c>
      <c r="D10553" t="inlineStr">
        <is>
          <t>VÄSTRA GÖTALANDS LÄN</t>
        </is>
      </c>
      <c r="E10553" t="inlineStr">
        <is>
          <t>ULRICEHAMN</t>
        </is>
      </c>
      <c r="G10553" t="n">
        <v>1.5</v>
      </c>
      <c r="H10553" t="n">
        <v>0</v>
      </c>
      <c r="I10553" t="n">
        <v>0</v>
      </c>
      <c r="J10553" t="n">
        <v>0</v>
      </c>
      <c r="K10553" t="n">
        <v>0</v>
      </c>
      <c r="L10553" t="n">
        <v>0</v>
      </c>
      <c r="M10553" t="n">
        <v>0</v>
      </c>
      <c r="N10553" t="n">
        <v>0</v>
      </c>
      <c r="O10553" t="n">
        <v>0</v>
      </c>
      <c r="P10553" t="n">
        <v>0</v>
      </c>
      <c r="Q10553" t="n">
        <v>0</v>
      </c>
      <c r="R10553" s="2" t="inlineStr"/>
    </row>
    <row r="10554" ht="15" customHeight="1">
      <c r="A10554" t="inlineStr">
        <is>
          <t>A 40055-2025</t>
        </is>
      </c>
      <c r="B10554" s="1" t="n">
        <v>45894</v>
      </c>
      <c r="C10554" s="1" t="n">
        <v>45952</v>
      </c>
      <c r="D10554" t="inlineStr">
        <is>
          <t>VÄSTRA GÖTALANDS LÄN</t>
        </is>
      </c>
      <c r="E10554" t="inlineStr">
        <is>
          <t>ALINGSÅS</t>
        </is>
      </c>
      <c r="G10554" t="n">
        <v>7.3</v>
      </c>
      <c r="H10554" t="n">
        <v>0</v>
      </c>
      <c r="I10554" t="n">
        <v>0</v>
      </c>
      <c r="J10554" t="n">
        <v>0</v>
      </c>
      <c r="K10554" t="n">
        <v>0</v>
      </c>
      <c r="L10554" t="n">
        <v>0</v>
      </c>
      <c r="M10554" t="n">
        <v>0</v>
      </c>
      <c r="N10554" t="n">
        <v>0</v>
      </c>
      <c r="O10554" t="n">
        <v>0</v>
      </c>
      <c r="P10554" t="n">
        <v>0</v>
      </c>
      <c r="Q10554" t="n">
        <v>0</v>
      </c>
      <c r="R10554" s="2" t="inlineStr"/>
    </row>
    <row r="10555" ht="15" customHeight="1">
      <c r="A10555" t="inlineStr">
        <is>
          <t>A 25892-2025</t>
        </is>
      </c>
      <c r="B10555" s="1" t="n">
        <v>45804.53835648148</v>
      </c>
      <c r="C10555" s="1" t="n">
        <v>45952</v>
      </c>
      <c r="D10555" t="inlineStr">
        <is>
          <t>VÄSTRA GÖTALANDS LÄN</t>
        </is>
      </c>
      <c r="E10555" t="inlineStr">
        <is>
          <t>ALINGSÅS</t>
        </is>
      </c>
      <c r="G10555" t="n">
        <v>1.3</v>
      </c>
      <c r="H10555" t="n">
        <v>0</v>
      </c>
      <c r="I10555" t="n">
        <v>0</v>
      </c>
      <c r="J10555" t="n">
        <v>0</v>
      </c>
      <c r="K10555" t="n">
        <v>0</v>
      </c>
      <c r="L10555" t="n">
        <v>0</v>
      </c>
      <c r="M10555" t="n">
        <v>0</v>
      </c>
      <c r="N10555" t="n">
        <v>0</v>
      </c>
      <c r="O10555" t="n">
        <v>0</v>
      </c>
      <c r="P10555" t="n">
        <v>0</v>
      </c>
      <c r="Q10555" t="n">
        <v>0</v>
      </c>
      <c r="R10555" s="2" t="inlineStr"/>
    </row>
    <row r="10556" ht="15" customHeight="1">
      <c r="A10556" t="inlineStr">
        <is>
          <t>A 25410-2023</t>
        </is>
      </c>
      <c r="B10556" s="1" t="n">
        <v>45089.37612268519</v>
      </c>
      <c r="C10556" s="1" t="n">
        <v>45952</v>
      </c>
      <c r="D10556" t="inlineStr">
        <is>
          <t>VÄSTRA GÖTALANDS LÄN</t>
        </is>
      </c>
      <c r="E10556" t="inlineStr">
        <is>
          <t>TÖREBODA</t>
        </is>
      </c>
      <c r="G10556" t="n">
        <v>8.9</v>
      </c>
      <c r="H10556" t="n">
        <v>0</v>
      </c>
      <c r="I10556" t="n">
        <v>0</v>
      </c>
      <c r="J10556" t="n">
        <v>0</v>
      </c>
      <c r="K10556" t="n">
        <v>0</v>
      </c>
      <c r="L10556" t="n">
        <v>0</v>
      </c>
      <c r="M10556" t="n">
        <v>0</v>
      </c>
      <c r="N10556" t="n">
        <v>0</v>
      </c>
      <c r="O10556" t="n">
        <v>0</v>
      </c>
      <c r="P10556" t="n">
        <v>0</v>
      </c>
      <c r="Q10556" t="n">
        <v>0</v>
      </c>
      <c r="R10556" s="2" t="inlineStr"/>
    </row>
    <row r="10557" ht="15" customHeight="1">
      <c r="A10557" t="inlineStr">
        <is>
          <t>A 25935-2025</t>
        </is>
      </c>
      <c r="B10557" s="1" t="n">
        <v>45804.59189814814</v>
      </c>
      <c r="C10557" s="1" t="n">
        <v>45952</v>
      </c>
      <c r="D10557" t="inlineStr">
        <is>
          <t>VÄSTRA GÖTALANDS LÄN</t>
        </is>
      </c>
      <c r="E10557" t="inlineStr">
        <is>
          <t>BENGTSFORS</t>
        </is>
      </c>
      <c r="G10557" t="n">
        <v>4.3</v>
      </c>
      <c r="H10557" t="n">
        <v>0</v>
      </c>
      <c r="I10557" t="n">
        <v>0</v>
      </c>
      <c r="J10557" t="n">
        <v>0</v>
      </c>
      <c r="K10557" t="n">
        <v>0</v>
      </c>
      <c r="L10557" t="n">
        <v>0</v>
      </c>
      <c r="M10557" t="n">
        <v>0</v>
      </c>
      <c r="N10557" t="n">
        <v>0</v>
      </c>
      <c r="O10557" t="n">
        <v>0</v>
      </c>
      <c r="P10557" t="n">
        <v>0</v>
      </c>
      <c r="Q10557" t="n">
        <v>0</v>
      </c>
      <c r="R10557" s="2" t="inlineStr"/>
    </row>
    <row r="10558" ht="15" customHeight="1">
      <c r="A10558" t="inlineStr">
        <is>
          <t>A 27941-2023</t>
        </is>
      </c>
      <c r="B10558" s="1" t="n">
        <v>45098.66324074074</v>
      </c>
      <c r="C10558" s="1" t="n">
        <v>45952</v>
      </c>
      <c r="D10558" t="inlineStr">
        <is>
          <t>VÄSTRA GÖTALANDS LÄN</t>
        </is>
      </c>
      <c r="E10558" t="inlineStr">
        <is>
          <t>FÄRGELANDA</t>
        </is>
      </c>
      <c r="G10558" t="n">
        <v>5.1</v>
      </c>
      <c r="H10558" t="n">
        <v>0</v>
      </c>
      <c r="I10558" t="n">
        <v>0</v>
      </c>
      <c r="J10558" t="n">
        <v>0</v>
      </c>
      <c r="K10558" t="n">
        <v>0</v>
      </c>
      <c r="L10558" t="n">
        <v>0</v>
      </c>
      <c r="M10558" t="n">
        <v>0</v>
      </c>
      <c r="N10558" t="n">
        <v>0</v>
      </c>
      <c r="O10558" t="n">
        <v>0</v>
      </c>
      <c r="P10558" t="n">
        <v>0</v>
      </c>
      <c r="Q10558" t="n">
        <v>0</v>
      </c>
      <c r="R10558" s="2" t="inlineStr"/>
    </row>
    <row r="10559" ht="15" customHeight="1">
      <c r="A10559" t="inlineStr">
        <is>
          <t>A 43276-2022</t>
        </is>
      </c>
      <c r="B10559" s="1" t="n">
        <v>44834</v>
      </c>
      <c r="C10559" s="1" t="n">
        <v>45952</v>
      </c>
      <c r="D10559" t="inlineStr">
        <is>
          <t>VÄSTRA GÖTALANDS LÄN</t>
        </is>
      </c>
      <c r="E10559" t="inlineStr">
        <is>
          <t>UDDEVALLA</t>
        </is>
      </c>
      <c r="G10559" t="n">
        <v>1.6</v>
      </c>
      <c r="H10559" t="n">
        <v>0</v>
      </c>
      <c r="I10559" t="n">
        <v>0</v>
      </c>
      <c r="J10559" t="n">
        <v>0</v>
      </c>
      <c r="K10559" t="n">
        <v>0</v>
      </c>
      <c r="L10559" t="n">
        <v>0</v>
      </c>
      <c r="M10559" t="n">
        <v>0</v>
      </c>
      <c r="N10559" t="n">
        <v>0</v>
      </c>
      <c r="O10559" t="n">
        <v>0</v>
      </c>
      <c r="P10559" t="n">
        <v>0</v>
      </c>
      <c r="Q10559" t="n">
        <v>0</v>
      </c>
      <c r="R10559" s="2" t="inlineStr"/>
    </row>
    <row r="10560" ht="15" customHeight="1">
      <c r="A10560" t="inlineStr">
        <is>
          <t>A 10839-2025</t>
        </is>
      </c>
      <c r="B10560" s="1" t="n">
        <v>45722.57290509259</v>
      </c>
      <c r="C10560" s="1" t="n">
        <v>45952</v>
      </c>
      <c r="D10560" t="inlineStr">
        <is>
          <t>VÄSTRA GÖTALANDS LÄN</t>
        </is>
      </c>
      <c r="E10560" t="inlineStr">
        <is>
          <t>MARIESTAD</t>
        </is>
      </c>
      <c r="G10560" t="n">
        <v>0.2</v>
      </c>
      <c r="H10560" t="n">
        <v>0</v>
      </c>
      <c r="I10560" t="n">
        <v>0</v>
      </c>
      <c r="J10560" t="n">
        <v>0</v>
      </c>
      <c r="K10560" t="n">
        <v>0</v>
      </c>
      <c r="L10560" t="n">
        <v>0</v>
      </c>
      <c r="M10560" t="n">
        <v>0</v>
      </c>
      <c r="N10560" t="n">
        <v>0</v>
      </c>
      <c r="O10560" t="n">
        <v>0</v>
      </c>
      <c r="P10560" t="n">
        <v>0</v>
      </c>
      <c r="Q10560" t="n">
        <v>0</v>
      </c>
      <c r="R10560" s="2" t="inlineStr"/>
    </row>
    <row r="10561" ht="15" customHeight="1">
      <c r="A10561" t="inlineStr">
        <is>
          <t>A 49996-2025</t>
        </is>
      </c>
      <c r="B10561" s="1" t="n">
        <v>45943.08944444444</v>
      </c>
      <c r="C10561" s="1" t="n">
        <v>45952</v>
      </c>
      <c r="D10561" t="inlineStr">
        <is>
          <t>VÄSTRA GÖTALANDS LÄN</t>
        </is>
      </c>
      <c r="E10561" t="inlineStr">
        <is>
          <t>LIDKÖPING</t>
        </is>
      </c>
      <c r="G10561" t="n">
        <v>6.8</v>
      </c>
      <c r="H10561" t="n">
        <v>0</v>
      </c>
      <c r="I10561" t="n">
        <v>0</v>
      </c>
      <c r="J10561" t="n">
        <v>0</v>
      </c>
      <c r="K10561" t="n">
        <v>0</v>
      </c>
      <c r="L10561" t="n">
        <v>0</v>
      </c>
      <c r="M10561" t="n">
        <v>0</v>
      </c>
      <c r="N10561" t="n">
        <v>0</v>
      </c>
      <c r="O10561" t="n">
        <v>0</v>
      </c>
      <c r="P10561" t="n">
        <v>0</v>
      </c>
      <c r="Q10561" t="n">
        <v>0</v>
      </c>
      <c r="R10561" s="2" t="inlineStr"/>
    </row>
    <row r="10562" ht="15" customHeight="1">
      <c r="A10562" t="inlineStr">
        <is>
          <t>A 10460-2024</t>
        </is>
      </c>
      <c r="B10562" s="1" t="n">
        <v>45366</v>
      </c>
      <c r="C10562" s="1" t="n">
        <v>45952</v>
      </c>
      <c r="D10562" t="inlineStr">
        <is>
          <t>VÄSTRA GÖTALANDS LÄN</t>
        </is>
      </c>
      <c r="E10562" t="inlineStr">
        <is>
          <t>FALKÖPING</t>
        </is>
      </c>
      <c r="G10562" t="n">
        <v>4.1</v>
      </c>
      <c r="H10562" t="n">
        <v>0</v>
      </c>
      <c r="I10562" t="n">
        <v>0</v>
      </c>
      <c r="J10562" t="n">
        <v>0</v>
      </c>
      <c r="K10562" t="n">
        <v>0</v>
      </c>
      <c r="L10562" t="n">
        <v>0</v>
      </c>
      <c r="M10562" t="n">
        <v>0</v>
      </c>
      <c r="N10562" t="n">
        <v>0</v>
      </c>
      <c r="O10562" t="n">
        <v>0</v>
      </c>
      <c r="P10562" t="n">
        <v>0</v>
      </c>
      <c r="Q10562" t="n">
        <v>0</v>
      </c>
      <c r="R10562" s="2" t="inlineStr"/>
    </row>
    <row r="10563" ht="15" customHeight="1">
      <c r="A10563" t="inlineStr">
        <is>
          <t>A 44910-2021</t>
        </is>
      </c>
      <c r="B10563" s="1" t="n">
        <v>44438</v>
      </c>
      <c r="C10563" s="1" t="n">
        <v>45952</v>
      </c>
      <c r="D10563" t="inlineStr">
        <is>
          <t>VÄSTRA GÖTALANDS LÄN</t>
        </is>
      </c>
      <c r="E10563" t="inlineStr">
        <is>
          <t>TROLLHÄTTAN</t>
        </is>
      </c>
      <c r="G10563" t="n">
        <v>1.6</v>
      </c>
      <c r="H10563" t="n">
        <v>0</v>
      </c>
      <c r="I10563" t="n">
        <v>0</v>
      </c>
      <c r="J10563" t="n">
        <v>0</v>
      </c>
      <c r="K10563" t="n">
        <v>0</v>
      </c>
      <c r="L10563" t="n">
        <v>0</v>
      </c>
      <c r="M10563" t="n">
        <v>0</v>
      </c>
      <c r="N10563" t="n">
        <v>0</v>
      </c>
      <c r="O10563" t="n">
        <v>0</v>
      </c>
      <c r="P10563" t="n">
        <v>0</v>
      </c>
      <c r="Q10563" t="n">
        <v>0</v>
      </c>
      <c r="R10563" s="2" t="inlineStr"/>
    </row>
    <row r="10564" ht="15" customHeight="1">
      <c r="A10564" t="inlineStr">
        <is>
          <t>A 26060-2025</t>
        </is>
      </c>
      <c r="B10564" s="1" t="n">
        <v>45804.90881944444</v>
      </c>
      <c r="C10564" s="1" t="n">
        <v>45952</v>
      </c>
      <c r="D10564" t="inlineStr">
        <is>
          <t>VÄSTRA GÖTALANDS LÄN</t>
        </is>
      </c>
      <c r="E10564" t="inlineStr">
        <is>
          <t>FALKÖPING</t>
        </is>
      </c>
      <c r="G10564" t="n">
        <v>2.1</v>
      </c>
      <c r="H10564" t="n">
        <v>0</v>
      </c>
      <c r="I10564" t="n">
        <v>0</v>
      </c>
      <c r="J10564" t="n">
        <v>0</v>
      </c>
      <c r="K10564" t="n">
        <v>0</v>
      </c>
      <c r="L10564" t="n">
        <v>0</v>
      </c>
      <c r="M10564" t="n">
        <v>0</v>
      </c>
      <c r="N10564" t="n">
        <v>0</v>
      </c>
      <c r="O10564" t="n">
        <v>0</v>
      </c>
      <c r="P10564" t="n">
        <v>0</v>
      </c>
      <c r="Q10564" t="n">
        <v>0</v>
      </c>
      <c r="R10564" s="2" t="inlineStr"/>
    </row>
    <row r="10565" ht="15" customHeight="1">
      <c r="A10565" t="inlineStr">
        <is>
          <t>A 25946-2025</t>
        </is>
      </c>
      <c r="B10565" s="1" t="n">
        <v>45804.59502314815</v>
      </c>
      <c r="C10565" s="1" t="n">
        <v>45952</v>
      </c>
      <c r="D10565" t="inlineStr">
        <is>
          <t>VÄSTRA GÖTALANDS LÄN</t>
        </is>
      </c>
      <c r="E10565" t="inlineStr">
        <is>
          <t>MARIESTAD</t>
        </is>
      </c>
      <c r="G10565" t="n">
        <v>4.1</v>
      </c>
      <c r="H10565" t="n">
        <v>0</v>
      </c>
      <c r="I10565" t="n">
        <v>0</v>
      </c>
      <c r="J10565" t="n">
        <v>0</v>
      </c>
      <c r="K10565" t="n">
        <v>0</v>
      </c>
      <c r="L10565" t="n">
        <v>0</v>
      </c>
      <c r="M10565" t="n">
        <v>0</v>
      </c>
      <c r="N10565" t="n">
        <v>0</v>
      </c>
      <c r="O10565" t="n">
        <v>0</v>
      </c>
      <c r="P10565" t="n">
        <v>0</v>
      </c>
      <c r="Q10565" t="n">
        <v>0</v>
      </c>
      <c r="R10565" s="2" t="inlineStr"/>
    </row>
    <row r="10566" ht="15" customHeight="1">
      <c r="A10566" t="inlineStr">
        <is>
          <t>A 50062-2025</t>
        </is>
      </c>
      <c r="B10566" s="1" t="n">
        <v>45942</v>
      </c>
      <c r="C10566" s="1" t="n">
        <v>45952</v>
      </c>
      <c r="D10566" t="inlineStr">
        <is>
          <t>VÄSTRA GÖTALANDS LÄN</t>
        </is>
      </c>
      <c r="E10566" t="inlineStr">
        <is>
          <t>TANUM</t>
        </is>
      </c>
      <c r="G10566" t="n">
        <v>2</v>
      </c>
      <c r="H10566" t="n">
        <v>0</v>
      </c>
      <c r="I10566" t="n">
        <v>0</v>
      </c>
      <c r="J10566" t="n">
        <v>0</v>
      </c>
      <c r="K10566" t="n">
        <v>0</v>
      </c>
      <c r="L10566" t="n">
        <v>0</v>
      </c>
      <c r="M10566" t="n">
        <v>0</v>
      </c>
      <c r="N10566" t="n">
        <v>0</v>
      </c>
      <c r="O10566" t="n">
        <v>0</v>
      </c>
      <c r="P10566" t="n">
        <v>0</v>
      </c>
      <c r="Q10566" t="n">
        <v>0</v>
      </c>
      <c r="R10566" s="2" t="inlineStr"/>
    </row>
    <row r="10567" ht="15" customHeight="1">
      <c r="A10567" t="inlineStr">
        <is>
          <t>A 50091-2025</t>
        </is>
      </c>
      <c r="B10567" s="1" t="n">
        <v>45943.48703703703</v>
      </c>
      <c r="C10567" s="1" t="n">
        <v>45952</v>
      </c>
      <c r="D10567" t="inlineStr">
        <is>
          <t>VÄSTRA GÖTALANDS LÄN</t>
        </is>
      </c>
      <c r="E10567" t="inlineStr">
        <is>
          <t>HJO</t>
        </is>
      </c>
      <c r="G10567" t="n">
        <v>4.1</v>
      </c>
      <c r="H10567" t="n">
        <v>0</v>
      </c>
      <c r="I10567" t="n">
        <v>0</v>
      </c>
      <c r="J10567" t="n">
        <v>0</v>
      </c>
      <c r="K10567" t="n">
        <v>0</v>
      </c>
      <c r="L10567" t="n">
        <v>0</v>
      </c>
      <c r="M10567" t="n">
        <v>0</v>
      </c>
      <c r="N10567" t="n">
        <v>0</v>
      </c>
      <c r="O10567" t="n">
        <v>0</v>
      </c>
      <c r="P10567" t="n">
        <v>0</v>
      </c>
      <c r="Q10567" t="n">
        <v>0</v>
      </c>
      <c r="R10567" s="2" t="inlineStr"/>
    </row>
    <row r="10568" ht="15" customHeight="1">
      <c r="A10568" t="inlineStr">
        <is>
          <t>A 50105-2025</t>
        </is>
      </c>
      <c r="B10568" s="1" t="n">
        <v>45943.53577546297</v>
      </c>
      <c r="C10568" s="1" t="n">
        <v>45952</v>
      </c>
      <c r="D10568" t="inlineStr">
        <is>
          <t>VÄSTRA GÖTALANDS LÄN</t>
        </is>
      </c>
      <c r="E10568" t="inlineStr">
        <is>
          <t>BENGTSFORS</t>
        </is>
      </c>
      <c r="G10568" t="n">
        <v>9.5</v>
      </c>
      <c r="H10568" t="n">
        <v>0</v>
      </c>
      <c r="I10568" t="n">
        <v>0</v>
      </c>
      <c r="J10568" t="n">
        <v>0</v>
      </c>
      <c r="K10568" t="n">
        <v>0</v>
      </c>
      <c r="L10568" t="n">
        <v>0</v>
      </c>
      <c r="M10568" t="n">
        <v>0</v>
      </c>
      <c r="N10568" t="n">
        <v>0</v>
      </c>
      <c r="O10568" t="n">
        <v>0</v>
      </c>
      <c r="P10568" t="n">
        <v>0</v>
      </c>
      <c r="Q10568" t="n">
        <v>0</v>
      </c>
      <c r="R10568" s="2" t="inlineStr"/>
    </row>
    <row r="10569" ht="15" customHeight="1">
      <c r="A10569" t="inlineStr">
        <is>
          <t>A 1141-2023</t>
        </is>
      </c>
      <c r="B10569" s="1" t="n">
        <v>44935</v>
      </c>
      <c r="C10569" s="1" t="n">
        <v>45952</v>
      </c>
      <c r="D10569" t="inlineStr">
        <is>
          <t>VÄSTRA GÖTALANDS LÄN</t>
        </is>
      </c>
      <c r="E10569" t="inlineStr">
        <is>
          <t>VARA</t>
        </is>
      </c>
      <c r="G10569" t="n">
        <v>2.2</v>
      </c>
      <c r="H10569" t="n">
        <v>0</v>
      </c>
      <c r="I10569" t="n">
        <v>0</v>
      </c>
      <c r="J10569" t="n">
        <v>0</v>
      </c>
      <c r="K10569" t="n">
        <v>0</v>
      </c>
      <c r="L10569" t="n">
        <v>0</v>
      </c>
      <c r="M10569" t="n">
        <v>0</v>
      </c>
      <c r="N10569" t="n">
        <v>0</v>
      </c>
      <c r="O10569" t="n">
        <v>0</v>
      </c>
      <c r="P10569" t="n">
        <v>0</v>
      </c>
      <c r="Q10569" t="n">
        <v>0</v>
      </c>
      <c r="R10569" s="2" t="inlineStr"/>
    </row>
    <row r="10570" ht="15" customHeight="1">
      <c r="A10570" t="inlineStr">
        <is>
          <t>A 26177-2025</t>
        </is>
      </c>
      <c r="B10570" s="1" t="n">
        <v>45805.4690625</v>
      </c>
      <c r="C10570" s="1" t="n">
        <v>45952</v>
      </c>
      <c r="D10570" t="inlineStr">
        <is>
          <t>VÄSTRA GÖTALANDS LÄN</t>
        </is>
      </c>
      <c r="E10570" t="inlineStr">
        <is>
          <t>HERRLJUNGA</t>
        </is>
      </c>
      <c r="G10570" t="n">
        <v>1.6</v>
      </c>
      <c r="H10570" t="n">
        <v>0</v>
      </c>
      <c r="I10570" t="n">
        <v>0</v>
      </c>
      <c r="J10570" t="n">
        <v>0</v>
      </c>
      <c r="K10570" t="n">
        <v>0</v>
      </c>
      <c r="L10570" t="n">
        <v>0</v>
      </c>
      <c r="M10570" t="n">
        <v>0</v>
      </c>
      <c r="N10570" t="n">
        <v>0</v>
      </c>
      <c r="O10570" t="n">
        <v>0</v>
      </c>
      <c r="P10570" t="n">
        <v>0</v>
      </c>
      <c r="Q10570" t="n">
        <v>0</v>
      </c>
      <c r="R10570" s="2" t="inlineStr"/>
    </row>
    <row r="10571" ht="15" customHeight="1">
      <c r="A10571" t="inlineStr">
        <is>
          <t>A 50111-2025</t>
        </is>
      </c>
      <c r="B10571" s="1" t="n">
        <v>45943.54265046296</v>
      </c>
      <c r="C10571" s="1" t="n">
        <v>45952</v>
      </c>
      <c r="D10571" t="inlineStr">
        <is>
          <t>VÄSTRA GÖTALANDS LÄN</t>
        </is>
      </c>
      <c r="E10571" t="inlineStr">
        <is>
          <t>BENGTSFORS</t>
        </is>
      </c>
      <c r="G10571" t="n">
        <v>3.3</v>
      </c>
      <c r="H10571" t="n">
        <v>0</v>
      </c>
      <c r="I10571" t="n">
        <v>0</v>
      </c>
      <c r="J10571" t="n">
        <v>0</v>
      </c>
      <c r="K10571" t="n">
        <v>0</v>
      </c>
      <c r="L10571" t="n">
        <v>0</v>
      </c>
      <c r="M10571" t="n">
        <v>0</v>
      </c>
      <c r="N10571" t="n">
        <v>0</v>
      </c>
      <c r="O10571" t="n">
        <v>0</v>
      </c>
      <c r="P10571" t="n">
        <v>0</v>
      </c>
      <c r="Q10571" t="n">
        <v>0</v>
      </c>
      <c r="R10571" s="2" t="inlineStr"/>
    </row>
    <row r="10572" ht="15" customHeight="1">
      <c r="A10572" t="inlineStr">
        <is>
          <t>A 26225-2025</t>
        </is>
      </c>
      <c r="B10572" s="1" t="n">
        <v>45805.55758101852</v>
      </c>
      <c r="C10572" s="1" t="n">
        <v>45952</v>
      </c>
      <c r="D10572" t="inlineStr">
        <is>
          <t>VÄSTRA GÖTALANDS LÄN</t>
        </is>
      </c>
      <c r="E10572" t="inlineStr">
        <is>
          <t>TRANEMO</t>
        </is>
      </c>
      <c r="F10572" t="inlineStr">
        <is>
          <t>Sveaskog</t>
        </is>
      </c>
      <c r="G10572" t="n">
        <v>13.4</v>
      </c>
      <c r="H10572" t="n">
        <v>0</v>
      </c>
      <c r="I10572" t="n">
        <v>0</v>
      </c>
      <c r="J10572" t="n">
        <v>0</v>
      </c>
      <c r="K10572" t="n">
        <v>0</v>
      </c>
      <c r="L10572" t="n">
        <v>0</v>
      </c>
      <c r="M10572" t="n">
        <v>0</v>
      </c>
      <c r="N10572" t="n">
        <v>0</v>
      </c>
      <c r="O10572" t="n">
        <v>0</v>
      </c>
      <c r="P10572" t="n">
        <v>0</v>
      </c>
      <c r="Q10572" t="n">
        <v>0</v>
      </c>
      <c r="R10572" s="2" t="inlineStr"/>
    </row>
    <row r="10573" ht="15" customHeight="1">
      <c r="A10573" t="inlineStr">
        <is>
          <t>A 41039-2025</t>
        </is>
      </c>
      <c r="B10573" s="1" t="n">
        <v>45898.39010416667</v>
      </c>
      <c r="C10573" s="1" t="n">
        <v>45952</v>
      </c>
      <c r="D10573" t="inlineStr">
        <is>
          <t>VÄSTRA GÖTALANDS LÄN</t>
        </is>
      </c>
      <c r="E10573" t="inlineStr">
        <is>
          <t>LIDKÖPING</t>
        </is>
      </c>
      <c r="F10573" t="inlineStr">
        <is>
          <t>Kommuner</t>
        </is>
      </c>
      <c r="G10573" t="n">
        <v>1.4</v>
      </c>
      <c r="H10573" t="n">
        <v>0</v>
      </c>
      <c r="I10573" t="n">
        <v>0</v>
      </c>
      <c r="J10573" t="n">
        <v>0</v>
      </c>
      <c r="K10573" t="n">
        <v>0</v>
      </c>
      <c r="L10573" t="n">
        <v>0</v>
      </c>
      <c r="M10573" t="n">
        <v>0</v>
      </c>
      <c r="N10573" t="n">
        <v>0</v>
      </c>
      <c r="O10573" t="n">
        <v>0</v>
      </c>
      <c r="P10573" t="n">
        <v>0</v>
      </c>
      <c r="Q10573" t="n">
        <v>0</v>
      </c>
      <c r="R10573" s="2" t="inlineStr"/>
    </row>
    <row r="10574" ht="15" customHeight="1">
      <c r="A10574" t="inlineStr">
        <is>
          <t>A 41063-2025</t>
        </is>
      </c>
      <c r="B10574" s="1" t="n">
        <v>45898</v>
      </c>
      <c r="C10574" s="1" t="n">
        <v>45952</v>
      </c>
      <c r="D10574" t="inlineStr">
        <is>
          <t>VÄSTRA GÖTALANDS LÄN</t>
        </is>
      </c>
      <c r="E10574" t="inlineStr">
        <is>
          <t>ORUST</t>
        </is>
      </c>
      <c r="G10574" t="n">
        <v>0.7</v>
      </c>
      <c r="H10574" t="n">
        <v>0</v>
      </c>
      <c r="I10574" t="n">
        <v>0</v>
      </c>
      <c r="J10574" t="n">
        <v>0</v>
      </c>
      <c r="K10574" t="n">
        <v>0</v>
      </c>
      <c r="L10574" t="n">
        <v>0</v>
      </c>
      <c r="M10574" t="n">
        <v>0</v>
      </c>
      <c r="N10574" t="n">
        <v>0</v>
      </c>
      <c r="O10574" t="n">
        <v>0</v>
      </c>
      <c r="P10574" t="n">
        <v>0</v>
      </c>
      <c r="Q10574" t="n">
        <v>0</v>
      </c>
      <c r="R10574" s="2" t="inlineStr"/>
    </row>
    <row r="10575" ht="15" customHeight="1">
      <c r="A10575" t="inlineStr">
        <is>
          <t>A 41076-2025</t>
        </is>
      </c>
      <c r="B10575" s="1" t="n">
        <v>45898.42581018519</v>
      </c>
      <c r="C10575" s="1" t="n">
        <v>45952</v>
      </c>
      <c r="D10575" t="inlineStr">
        <is>
          <t>VÄSTRA GÖTALANDS LÄN</t>
        </is>
      </c>
      <c r="E10575" t="inlineStr">
        <is>
          <t>SVENLJUNGA</t>
        </is>
      </c>
      <c r="G10575" t="n">
        <v>0.9</v>
      </c>
      <c r="H10575" t="n">
        <v>0</v>
      </c>
      <c r="I10575" t="n">
        <v>0</v>
      </c>
      <c r="J10575" t="n">
        <v>0</v>
      </c>
      <c r="K10575" t="n">
        <v>0</v>
      </c>
      <c r="L10575" t="n">
        <v>0</v>
      </c>
      <c r="M10575" t="n">
        <v>0</v>
      </c>
      <c r="N10575" t="n">
        <v>0</v>
      </c>
      <c r="O10575" t="n">
        <v>0</v>
      </c>
      <c r="P10575" t="n">
        <v>0</v>
      </c>
      <c r="Q10575" t="n">
        <v>0</v>
      </c>
      <c r="R10575" s="2" t="inlineStr"/>
    </row>
    <row r="10576" ht="15" customHeight="1">
      <c r="A10576" t="inlineStr">
        <is>
          <t>A 45268-2021</t>
        </is>
      </c>
      <c r="B10576" s="1" t="n">
        <v>44439</v>
      </c>
      <c r="C10576" s="1" t="n">
        <v>45952</v>
      </c>
      <c r="D10576" t="inlineStr">
        <is>
          <t>VÄSTRA GÖTALANDS LÄN</t>
        </is>
      </c>
      <c r="E10576" t="inlineStr">
        <is>
          <t>FÄRGELANDA</t>
        </is>
      </c>
      <c r="G10576" t="n">
        <v>1.9</v>
      </c>
      <c r="H10576" t="n">
        <v>0</v>
      </c>
      <c r="I10576" t="n">
        <v>0</v>
      </c>
      <c r="J10576" t="n">
        <v>0</v>
      </c>
      <c r="K10576" t="n">
        <v>0</v>
      </c>
      <c r="L10576" t="n">
        <v>0</v>
      </c>
      <c r="M10576" t="n">
        <v>0</v>
      </c>
      <c r="N10576" t="n">
        <v>0</v>
      </c>
      <c r="O10576" t="n">
        <v>0</v>
      </c>
      <c r="P10576" t="n">
        <v>0</v>
      </c>
      <c r="Q10576" t="n">
        <v>0</v>
      </c>
      <c r="R10576" s="2" t="inlineStr"/>
    </row>
    <row r="10577" ht="15" customHeight="1">
      <c r="A10577" t="inlineStr">
        <is>
          <t>A 31381-2025</t>
        </is>
      </c>
      <c r="B10577" s="1" t="n">
        <v>45833</v>
      </c>
      <c r="C10577" s="1" t="n">
        <v>45952</v>
      </c>
      <c r="D10577" t="inlineStr">
        <is>
          <t>VÄSTRA GÖTALANDS LÄN</t>
        </is>
      </c>
      <c r="E10577" t="inlineStr">
        <is>
          <t>BENGTSFORS</t>
        </is>
      </c>
      <c r="G10577" t="n">
        <v>1.2</v>
      </c>
      <c r="H10577" t="n">
        <v>0</v>
      </c>
      <c r="I10577" t="n">
        <v>0</v>
      </c>
      <c r="J10577" t="n">
        <v>0</v>
      </c>
      <c r="K10577" t="n">
        <v>0</v>
      </c>
      <c r="L10577" t="n">
        <v>0</v>
      </c>
      <c r="M10577" t="n">
        <v>0</v>
      </c>
      <c r="N10577" t="n">
        <v>0</v>
      </c>
      <c r="O10577" t="n">
        <v>0</v>
      </c>
      <c r="P10577" t="n">
        <v>0</v>
      </c>
      <c r="Q10577" t="n">
        <v>0</v>
      </c>
      <c r="R10577" s="2" t="inlineStr"/>
    </row>
    <row r="10578" ht="15" customHeight="1">
      <c r="A10578" t="inlineStr">
        <is>
          <t>A 49863-2025</t>
        </is>
      </c>
      <c r="B10578" s="1" t="n">
        <v>45940.51858796296</v>
      </c>
      <c r="C10578" s="1" t="n">
        <v>45952</v>
      </c>
      <c r="D10578" t="inlineStr">
        <is>
          <t>VÄSTRA GÖTALANDS LÄN</t>
        </is>
      </c>
      <c r="E10578" t="inlineStr">
        <is>
          <t>VARA</t>
        </is>
      </c>
      <c r="G10578" t="n">
        <v>1.3</v>
      </c>
      <c r="H10578" t="n">
        <v>0</v>
      </c>
      <c r="I10578" t="n">
        <v>0</v>
      </c>
      <c r="J10578" t="n">
        <v>0</v>
      </c>
      <c r="K10578" t="n">
        <v>0</v>
      </c>
      <c r="L10578" t="n">
        <v>0</v>
      </c>
      <c r="M10578" t="n">
        <v>0</v>
      </c>
      <c r="N10578" t="n">
        <v>0</v>
      </c>
      <c r="O10578" t="n">
        <v>0</v>
      </c>
      <c r="P10578" t="n">
        <v>0</v>
      </c>
      <c r="Q10578" t="n">
        <v>0</v>
      </c>
      <c r="R10578" s="2" t="inlineStr"/>
    </row>
    <row r="10579" ht="15" customHeight="1">
      <c r="A10579" t="inlineStr">
        <is>
          <t>A 41381-2025</t>
        </is>
      </c>
      <c r="B10579" s="1" t="n">
        <v>45898</v>
      </c>
      <c r="C10579" s="1" t="n">
        <v>45952</v>
      </c>
      <c r="D10579" t="inlineStr">
        <is>
          <t>VÄSTRA GÖTALANDS LÄN</t>
        </is>
      </c>
      <c r="E10579" t="inlineStr">
        <is>
          <t>LYSEKIL</t>
        </is>
      </c>
      <c r="G10579" t="n">
        <v>1.2</v>
      </c>
      <c r="H10579" t="n">
        <v>0</v>
      </c>
      <c r="I10579" t="n">
        <v>0</v>
      </c>
      <c r="J10579" t="n">
        <v>0</v>
      </c>
      <c r="K10579" t="n">
        <v>0</v>
      </c>
      <c r="L10579" t="n">
        <v>0</v>
      </c>
      <c r="M10579" t="n">
        <v>0</v>
      </c>
      <c r="N10579" t="n">
        <v>0</v>
      </c>
      <c r="O10579" t="n">
        <v>0</v>
      </c>
      <c r="P10579" t="n">
        <v>0</v>
      </c>
      <c r="Q10579" t="n">
        <v>0</v>
      </c>
      <c r="R10579" s="2" t="inlineStr"/>
    </row>
    <row r="10580" ht="15" customHeight="1">
      <c r="A10580" t="inlineStr">
        <is>
          <t>A 41382-2025</t>
        </is>
      </c>
      <c r="B10580" s="1" t="n">
        <v>45898</v>
      </c>
      <c r="C10580" s="1" t="n">
        <v>45952</v>
      </c>
      <c r="D10580" t="inlineStr">
        <is>
          <t>VÄSTRA GÖTALANDS LÄN</t>
        </is>
      </c>
      <c r="E10580" t="inlineStr">
        <is>
          <t>MUNKEDAL</t>
        </is>
      </c>
      <c r="G10580" t="n">
        <v>4.2</v>
      </c>
      <c r="H10580" t="n">
        <v>0</v>
      </c>
      <c r="I10580" t="n">
        <v>0</v>
      </c>
      <c r="J10580" t="n">
        <v>0</v>
      </c>
      <c r="K10580" t="n">
        <v>0</v>
      </c>
      <c r="L10580" t="n">
        <v>0</v>
      </c>
      <c r="M10580" t="n">
        <v>0</v>
      </c>
      <c r="N10580" t="n">
        <v>0</v>
      </c>
      <c r="O10580" t="n">
        <v>0</v>
      </c>
      <c r="P10580" t="n">
        <v>0</v>
      </c>
      <c r="Q10580" t="n">
        <v>0</v>
      </c>
      <c r="R10580" s="2" t="inlineStr"/>
    </row>
    <row r="10581" ht="15" customHeight="1">
      <c r="A10581" t="inlineStr">
        <is>
          <t>A 26122-2025</t>
        </is>
      </c>
      <c r="B10581" s="1" t="n">
        <v>45805</v>
      </c>
      <c r="C10581" s="1" t="n">
        <v>45952</v>
      </c>
      <c r="D10581" t="inlineStr">
        <is>
          <t>VÄSTRA GÖTALANDS LÄN</t>
        </is>
      </c>
      <c r="E10581" t="inlineStr">
        <is>
          <t>FALKÖPING</t>
        </is>
      </c>
      <c r="G10581" t="n">
        <v>2.8</v>
      </c>
      <c r="H10581" t="n">
        <v>0</v>
      </c>
      <c r="I10581" t="n">
        <v>0</v>
      </c>
      <c r="J10581" t="n">
        <v>0</v>
      </c>
      <c r="K10581" t="n">
        <v>0</v>
      </c>
      <c r="L10581" t="n">
        <v>0</v>
      </c>
      <c r="M10581" t="n">
        <v>0</v>
      </c>
      <c r="N10581" t="n">
        <v>0</v>
      </c>
      <c r="O10581" t="n">
        <v>0</v>
      </c>
      <c r="P10581" t="n">
        <v>0</v>
      </c>
      <c r="Q10581" t="n">
        <v>0</v>
      </c>
      <c r="R10581" s="2" t="inlineStr"/>
    </row>
    <row r="10582" ht="15" customHeight="1">
      <c r="A10582" t="inlineStr">
        <is>
          <t>A 25780-2025</t>
        </is>
      </c>
      <c r="B10582" s="1" t="n">
        <v>45804.36298611111</v>
      </c>
      <c r="C10582" s="1" t="n">
        <v>45952</v>
      </c>
      <c r="D10582" t="inlineStr">
        <is>
          <t>VÄSTRA GÖTALANDS LÄN</t>
        </is>
      </c>
      <c r="E10582" t="inlineStr">
        <is>
          <t>GÖTENE</t>
        </is>
      </c>
      <c r="F10582" t="inlineStr">
        <is>
          <t>Sveaskog</t>
        </is>
      </c>
      <c r="G10582" t="n">
        <v>8.199999999999999</v>
      </c>
      <c r="H10582" t="n">
        <v>0</v>
      </c>
      <c r="I10582" t="n">
        <v>0</v>
      </c>
      <c r="J10582" t="n">
        <v>0</v>
      </c>
      <c r="K10582" t="n">
        <v>0</v>
      </c>
      <c r="L10582" t="n">
        <v>0</v>
      </c>
      <c r="M10582" t="n">
        <v>0</v>
      </c>
      <c r="N10582" t="n">
        <v>0</v>
      </c>
      <c r="O10582" t="n">
        <v>0</v>
      </c>
      <c r="P10582" t="n">
        <v>0</v>
      </c>
      <c r="Q10582" t="n">
        <v>0</v>
      </c>
      <c r="R10582" s="2" t="inlineStr"/>
    </row>
    <row r="10583" ht="15" customHeight="1">
      <c r="A10583" t="inlineStr">
        <is>
          <t>A 49884-2025</t>
        </is>
      </c>
      <c r="B10583" s="1" t="n">
        <v>45940.56982638889</v>
      </c>
      <c r="C10583" s="1" t="n">
        <v>45952</v>
      </c>
      <c r="D10583" t="inlineStr">
        <is>
          <t>VÄSTRA GÖTALANDS LÄN</t>
        </is>
      </c>
      <c r="E10583" t="inlineStr">
        <is>
          <t>BENGTSFORS</t>
        </is>
      </c>
      <c r="G10583" t="n">
        <v>1.1</v>
      </c>
      <c r="H10583" t="n">
        <v>0</v>
      </c>
      <c r="I10583" t="n">
        <v>0</v>
      </c>
      <c r="J10583" t="n">
        <v>0</v>
      </c>
      <c r="K10583" t="n">
        <v>0</v>
      </c>
      <c r="L10583" t="n">
        <v>0</v>
      </c>
      <c r="M10583" t="n">
        <v>0</v>
      </c>
      <c r="N10583" t="n">
        <v>0</v>
      </c>
      <c r="O10583" t="n">
        <v>0</v>
      </c>
      <c r="P10583" t="n">
        <v>0</v>
      </c>
      <c r="Q10583" t="n">
        <v>0</v>
      </c>
      <c r="R10583" s="2" t="inlineStr"/>
    </row>
    <row r="10584" ht="15" customHeight="1">
      <c r="A10584" t="inlineStr">
        <is>
          <t>A 41623-2025</t>
        </is>
      </c>
      <c r="B10584" s="1" t="n">
        <v>45901.70811342593</v>
      </c>
      <c r="C10584" s="1" t="n">
        <v>45952</v>
      </c>
      <c r="D10584" t="inlineStr">
        <is>
          <t>VÄSTRA GÖTALANDS LÄN</t>
        </is>
      </c>
      <c r="E10584" t="inlineStr">
        <is>
          <t>BENGTSFORS</t>
        </is>
      </c>
      <c r="G10584" t="n">
        <v>7.3</v>
      </c>
      <c r="H10584" t="n">
        <v>0</v>
      </c>
      <c r="I10584" t="n">
        <v>0</v>
      </c>
      <c r="J10584" t="n">
        <v>0</v>
      </c>
      <c r="K10584" t="n">
        <v>0</v>
      </c>
      <c r="L10584" t="n">
        <v>0</v>
      </c>
      <c r="M10584" t="n">
        <v>0</v>
      </c>
      <c r="N10584" t="n">
        <v>0</v>
      </c>
      <c r="O10584" t="n">
        <v>0</v>
      </c>
      <c r="P10584" t="n">
        <v>0</v>
      </c>
      <c r="Q10584" t="n">
        <v>0</v>
      </c>
      <c r="R10584" s="2" t="inlineStr"/>
    </row>
    <row r="10585" ht="15" customHeight="1">
      <c r="A10585" t="inlineStr">
        <is>
          <t>A 54815-2024</t>
        </is>
      </c>
      <c r="B10585" s="1" t="n">
        <v>45618.52350694445</v>
      </c>
      <c r="C10585" s="1" t="n">
        <v>45952</v>
      </c>
      <c r="D10585" t="inlineStr">
        <is>
          <t>VÄSTRA GÖTALANDS LÄN</t>
        </is>
      </c>
      <c r="E10585" t="inlineStr">
        <is>
          <t>MUNKEDAL</t>
        </is>
      </c>
      <c r="G10585" t="n">
        <v>2.1</v>
      </c>
      <c r="H10585" t="n">
        <v>0</v>
      </c>
      <c r="I10585" t="n">
        <v>0</v>
      </c>
      <c r="J10585" t="n">
        <v>0</v>
      </c>
      <c r="K10585" t="n">
        <v>0</v>
      </c>
      <c r="L10585" t="n">
        <v>0</v>
      </c>
      <c r="M10585" t="n">
        <v>0</v>
      </c>
      <c r="N10585" t="n">
        <v>0</v>
      </c>
      <c r="O10585" t="n">
        <v>0</v>
      </c>
      <c r="P10585" t="n">
        <v>0</v>
      </c>
      <c r="Q10585" t="n">
        <v>0</v>
      </c>
      <c r="R10585" s="2" t="inlineStr"/>
    </row>
    <row r="10586" ht="15" customHeight="1">
      <c r="A10586" t="inlineStr">
        <is>
          <t>A 961-2023</t>
        </is>
      </c>
      <c r="B10586" s="1" t="n">
        <v>44934</v>
      </c>
      <c r="C10586" s="1" t="n">
        <v>45952</v>
      </c>
      <c r="D10586" t="inlineStr">
        <is>
          <t>VÄSTRA GÖTALANDS LÄN</t>
        </is>
      </c>
      <c r="E10586" t="inlineStr">
        <is>
          <t>VARA</t>
        </is>
      </c>
      <c r="G10586" t="n">
        <v>1.4</v>
      </c>
      <c r="H10586" t="n">
        <v>0</v>
      </c>
      <c r="I10586" t="n">
        <v>0</v>
      </c>
      <c r="J10586" t="n">
        <v>0</v>
      </c>
      <c r="K10586" t="n">
        <v>0</v>
      </c>
      <c r="L10586" t="n">
        <v>0</v>
      </c>
      <c r="M10586" t="n">
        <v>0</v>
      </c>
      <c r="N10586" t="n">
        <v>0</v>
      </c>
      <c r="O10586" t="n">
        <v>0</v>
      </c>
      <c r="P10586" t="n">
        <v>0</v>
      </c>
      <c r="Q10586" t="n">
        <v>0</v>
      </c>
      <c r="R10586" s="2" t="inlineStr"/>
    </row>
    <row r="10587" ht="15" customHeight="1">
      <c r="A10587" t="inlineStr">
        <is>
          <t>A 41151-2022</t>
        </is>
      </c>
      <c r="B10587" s="1" t="n">
        <v>44825.8475</v>
      </c>
      <c r="C10587" s="1" t="n">
        <v>45952</v>
      </c>
      <c r="D10587" t="inlineStr">
        <is>
          <t>VÄSTRA GÖTALANDS LÄN</t>
        </is>
      </c>
      <c r="E10587" t="inlineStr">
        <is>
          <t>DALS-ED</t>
        </is>
      </c>
      <c r="G10587" t="n">
        <v>3.4</v>
      </c>
      <c r="H10587" t="n">
        <v>0</v>
      </c>
      <c r="I10587" t="n">
        <v>0</v>
      </c>
      <c r="J10587" t="n">
        <v>0</v>
      </c>
      <c r="K10587" t="n">
        <v>0</v>
      </c>
      <c r="L10587" t="n">
        <v>0</v>
      </c>
      <c r="M10587" t="n">
        <v>0</v>
      </c>
      <c r="N10587" t="n">
        <v>0</v>
      </c>
      <c r="O10587" t="n">
        <v>0</v>
      </c>
      <c r="P10587" t="n">
        <v>0</v>
      </c>
      <c r="Q10587" t="n">
        <v>0</v>
      </c>
      <c r="R10587" s="2" t="inlineStr"/>
    </row>
    <row r="10588" ht="15" customHeight="1">
      <c r="A10588" t="inlineStr">
        <is>
          <t>A 51694-2023</t>
        </is>
      </c>
      <c r="B10588" s="1" t="n">
        <v>45222.60958333333</v>
      </c>
      <c r="C10588" s="1" t="n">
        <v>45952</v>
      </c>
      <c r="D10588" t="inlineStr">
        <is>
          <t>VÄSTRA GÖTALANDS LÄN</t>
        </is>
      </c>
      <c r="E10588" t="inlineStr">
        <is>
          <t>TRANEMO</t>
        </is>
      </c>
      <c r="G10588" t="n">
        <v>4.2</v>
      </c>
      <c r="H10588" t="n">
        <v>0</v>
      </c>
      <c r="I10588" t="n">
        <v>0</v>
      </c>
      <c r="J10588" t="n">
        <v>0</v>
      </c>
      <c r="K10588" t="n">
        <v>0</v>
      </c>
      <c r="L10588" t="n">
        <v>0</v>
      </c>
      <c r="M10588" t="n">
        <v>0</v>
      </c>
      <c r="N10588" t="n">
        <v>0</v>
      </c>
      <c r="O10588" t="n">
        <v>0</v>
      </c>
      <c r="P10588" t="n">
        <v>0</v>
      </c>
      <c r="Q10588" t="n">
        <v>0</v>
      </c>
      <c r="R10588" s="2" t="inlineStr"/>
    </row>
    <row r="10589" ht="15" customHeight="1">
      <c r="A10589" t="inlineStr">
        <is>
          <t>A 8981-2023</t>
        </is>
      </c>
      <c r="B10589" s="1" t="n">
        <v>44979</v>
      </c>
      <c r="C10589" s="1" t="n">
        <v>45952</v>
      </c>
      <c r="D10589" t="inlineStr">
        <is>
          <t>VÄSTRA GÖTALANDS LÄN</t>
        </is>
      </c>
      <c r="E10589" t="inlineStr">
        <is>
          <t>ALINGSÅS</t>
        </is>
      </c>
      <c r="G10589" t="n">
        <v>2.7</v>
      </c>
      <c r="H10589" t="n">
        <v>0</v>
      </c>
      <c r="I10589" t="n">
        <v>0</v>
      </c>
      <c r="J10589" t="n">
        <v>0</v>
      </c>
      <c r="K10589" t="n">
        <v>0</v>
      </c>
      <c r="L10589" t="n">
        <v>0</v>
      </c>
      <c r="M10589" t="n">
        <v>0</v>
      </c>
      <c r="N10589" t="n">
        <v>0</v>
      </c>
      <c r="O10589" t="n">
        <v>0</v>
      </c>
      <c r="P10589" t="n">
        <v>0</v>
      </c>
      <c r="Q10589" t="n">
        <v>0</v>
      </c>
      <c r="R10589" s="2" t="inlineStr"/>
    </row>
    <row r="10590" ht="15" customHeight="1">
      <c r="A10590" t="inlineStr">
        <is>
          <t>A 2994-2023</t>
        </is>
      </c>
      <c r="B10590" s="1" t="n">
        <v>44945.73666666666</v>
      </c>
      <c r="C10590" s="1" t="n">
        <v>45952</v>
      </c>
      <c r="D10590" t="inlineStr">
        <is>
          <t>VÄSTRA GÖTALANDS LÄN</t>
        </is>
      </c>
      <c r="E10590" t="inlineStr">
        <is>
          <t>TIDAHOLM</t>
        </is>
      </c>
      <c r="G10590" t="n">
        <v>1</v>
      </c>
      <c r="H10590" t="n">
        <v>0</v>
      </c>
      <c r="I10590" t="n">
        <v>0</v>
      </c>
      <c r="J10590" t="n">
        <v>0</v>
      </c>
      <c r="K10590" t="n">
        <v>0</v>
      </c>
      <c r="L10590" t="n">
        <v>0</v>
      </c>
      <c r="M10590" t="n">
        <v>0</v>
      </c>
      <c r="N10590" t="n">
        <v>0</v>
      </c>
      <c r="O10590" t="n">
        <v>0</v>
      </c>
      <c r="P10590" t="n">
        <v>0</v>
      </c>
      <c r="Q10590" t="n">
        <v>0</v>
      </c>
      <c r="R10590" s="2" t="inlineStr"/>
    </row>
    <row r="10591" ht="15" customHeight="1">
      <c r="A10591" t="inlineStr">
        <is>
          <t>A 41454-2025</t>
        </is>
      </c>
      <c r="B10591" s="1" t="n">
        <v>45901.43854166667</v>
      </c>
      <c r="C10591" s="1" t="n">
        <v>45952</v>
      </c>
      <c r="D10591" t="inlineStr">
        <is>
          <t>VÄSTRA GÖTALANDS LÄN</t>
        </is>
      </c>
      <c r="E10591" t="inlineStr">
        <is>
          <t>ALINGSÅS</t>
        </is>
      </c>
      <c r="G10591" t="n">
        <v>1.1</v>
      </c>
      <c r="H10591" t="n">
        <v>0</v>
      </c>
      <c r="I10591" t="n">
        <v>0</v>
      </c>
      <c r="J10591" t="n">
        <v>0</v>
      </c>
      <c r="K10591" t="n">
        <v>0</v>
      </c>
      <c r="L10591" t="n">
        <v>0</v>
      </c>
      <c r="M10591" t="n">
        <v>0</v>
      </c>
      <c r="N10591" t="n">
        <v>0</v>
      </c>
      <c r="O10591" t="n">
        <v>0</v>
      </c>
      <c r="P10591" t="n">
        <v>0</v>
      </c>
      <c r="Q10591" t="n">
        <v>0</v>
      </c>
      <c r="R10591" s="2" t="inlineStr"/>
    </row>
    <row r="10592" ht="15" customHeight="1">
      <c r="A10592" t="inlineStr">
        <is>
          <t>A 41089-2025</t>
        </is>
      </c>
      <c r="B10592" s="1" t="n">
        <v>45898.43731481482</v>
      </c>
      <c r="C10592" s="1" t="n">
        <v>45952</v>
      </c>
      <c r="D10592" t="inlineStr">
        <is>
          <t>VÄSTRA GÖTALANDS LÄN</t>
        </is>
      </c>
      <c r="E10592" t="inlineStr">
        <is>
          <t>SVENLJUNGA</t>
        </is>
      </c>
      <c r="G10592" t="n">
        <v>2.5</v>
      </c>
      <c r="H10592" t="n">
        <v>0</v>
      </c>
      <c r="I10592" t="n">
        <v>0</v>
      </c>
      <c r="J10592" t="n">
        <v>0</v>
      </c>
      <c r="K10592" t="n">
        <v>0</v>
      </c>
      <c r="L10592" t="n">
        <v>0</v>
      </c>
      <c r="M10592" t="n">
        <v>0</v>
      </c>
      <c r="N10592" t="n">
        <v>0</v>
      </c>
      <c r="O10592" t="n">
        <v>0</v>
      </c>
      <c r="P10592" t="n">
        <v>0</v>
      </c>
      <c r="Q10592" t="n">
        <v>0</v>
      </c>
      <c r="R10592" s="2" t="inlineStr"/>
    </row>
    <row r="10593" ht="15" customHeight="1">
      <c r="A10593" t="inlineStr">
        <is>
          <t>A 30980-2023</t>
        </is>
      </c>
      <c r="B10593" s="1" t="n">
        <v>45113.50747685185</v>
      </c>
      <c r="C10593" s="1" t="n">
        <v>45952</v>
      </c>
      <c r="D10593" t="inlineStr">
        <is>
          <t>VÄSTRA GÖTALANDS LÄN</t>
        </is>
      </c>
      <c r="E10593" t="inlineStr">
        <is>
          <t>ÅMÅL</t>
        </is>
      </c>
      <c r="G10593" t="n">
        <v>1.5</v>
      </c>
      <c r="H10593" t="n">
        <v>0</v>
      </c>
      <c r="I10593" t="n">
        <v>0</v>
      </c>
      <c r="J10593" t="n">
        <v>0</v>
      </c>
      <c r="K10593" t="n">
        <v>0</v>
      </c>
      <c r="L10593" t="n">
        <v>0</v>
      </c>
      <c r="M10593" t="n">
        <v>0</v>
      </c>
      <c r="N10593" t="n">
        <v>0</v>
      </c>
      <c r="O10593" t="n">
        <v>0</v>
      </c>
      <c r="P10593" t="n">
        <v>0</v>
      </c>
      <c r="Q10593" t="n">
        <v>0</v>
      </c>
      <c r="R10593" s="2" t="inlineStr"/>
    </row>
    <row r="10594" ht="15" customHeight="1">
      <c r="A10594" t="inlineStr">
        <is>
          <t>A 41130-2025</t>
        </is>
      </c>
      <c r="B10594" s="1" t="n">
        <v>45898</v>
      </c>
      <c r="C10594" s="1" t="n">
        <v>45952</v>
      </c>
      <c r="D10594" t="inlineStr">
        <is>
          <t>VÄSTRA GÖTALANDS LÄN</t>
        </is>
      </c>
      <c r="E10594" t="inlineStr">
        <is>
          <t>TIBRO</t>
        </is>
      </c>
      <c r="G10594" t="n">
        <v>2.3</v>
      </c>
      <c r="H10594" t="n">
        <v>0</v>
      </c>
      <c r="I10594" t="n">
        <v>0</v>
      </c>
      <c r="J10594" t="n">
        <v>0</v>
      </c>
      <c r="K10594" t="n">
        <v>0</v>
      </c>
      <c r="L10594" t="n">
        <v>0</v>
      </c>
      <c r="M10594" t="n">
        <v>0</v>
      </c>
      <c r="N10594" t="n">
        <v>0</v>
      </c>
      <c r="O10594" t="n">
        <v>0</v>
      </c>
      <c r="P10594" t="n">
        <v>0</v>
      </c>
      <c r="Q10594" t="n">
        <v>0</v>
      </c>
      <c r="R10594" s="2" t="inlineStr"/>
    </row>
    <row r="10595" ht="15" customHeight="1">
      <c r="A10595" t="inlineStr">
        <is>
          <t>A 51776-2023</t>
        </is>
      </c>
      <c r="B10595" s="1" t="n">
        <v>45222.73658564815</v>
      </c>
      <c r="C10595" s="1" t="n">
        <v>45952</v>
      </c>
      <c r="D10595" t="inlineStr">
        <is>
          <t>VÄSTRA GÖTALANDS LÄN</t>
        </is>
      </c>
      <c r="E10595" t="inlineStr">
        <is>
          <t>MARIESTAD</t>
        </is>
      </c>
      <c r="G10595" t="n">
        <v>1.2</v>
      </c>
      <c r="H10595" t="n">
        <v>0</v>
      </c>
      <c r="I10595" t="n">
        <v>0</v>
      </c>
      <c r="J10595" t="n">
        <v>0</v>
      </c>
      <c r="K10595" t="n">
        <v>0</v>
      </c>
      <c r="L10595" t="n">
        <v>0</v>
      </c>
      <c r="M10595" t="n">
        <v>0</v>
      </c>
      <c r="N10595" t="n">
        <v>0</v>
      </c>
      <c r="O10595" t="n">
        <v>0</v>
      </c>
      <c r="P10595" t="n">
        <v>0</v>
      </c>
      <c r="Q10595" t="n">
        <v>0</v>
      </c>
      <c r="R10595" s="2" t="inlineStr"/>
    </row>
    <row r="10596" ht="15" customHeight="1">
      <c r="A10596" t="inlineStr">
        <is>
          <t>A 25726-2022</t>
        </is>
      </c>
      <c r="B10596" s="1" t="n">
        <v>44733</v>
      </c>
      <c r="C10596" s="1" t="n">
        <v>45952</v>
      </c>
      <c r="D10596" t="inlineStr">
        <is>
          <t>VÄSTRA GÖTALANDS LÄN</t>
        </is>
      </c>
      <c r="E10596" t="inlineStr">
        <is>
          <t>HÄRRYDA</t>
        </is>
      </c>
      <c r="G10596" t="n">
        <v>2.8</v>
      </c>
      <c r="H10596" t="n">
        <v>0</v>
      </c>
      <c r="I10596" t="n">
        <v>0</v>
      </c>
      <c r="J10596" t="n">
        <v>0</v>
      </c>
      <c r="K10596" t="n">
        <v>0</v>
      </c>
      <c r="L10596" t="n">
        <v>0</v>
      </c>
      <c r="M10596" t="n">
        <v>0</v>
      </c>
      <c r="N10596" t="n">
        <v>0</v>
      </c>
      <c r="O10596" t="n">
        <v>0</v>
      </c>
      <c r="P10596" t="n">
        <v>0</v>
      </c>
      <c r="Q10596" t="n">
        <v>0</v>
      </c>
      <c r="R10596" s="2" t="inlineStr"/>
    </row>
    <row r="10597" ht="15" customHeight="1">
      <c r="A10597" t="inlineStr">
        <is>
          <t>A 10138-2025</t>
        </is>
      </c>
      <c r="B10597" s="1" t="n">
        <v>45719.62782407407</v>
      </c>
      <c r="C10597" s="1" t="n">
        <v>45952</v>
      </c>
      <c r="D10597" t="inlineStr">
        <is>
          <t>VÄSTRA GÖTALANDS LÄN</t>
        </is>
      </c>
      <c r="E10597" t="inlineStr">
        <is>
          <t>MARK</t>
        </is>
      </c>
      <c r="F10597" t="inlineStr">
        <is>
          <t>Sveaskog</t>
        </is>
      </c>
      <c r="G10597" t="n">
        <v>2</v>
      </c>
      <c r="H10597" t="n">
        <v>0</v>
      </c>
      <c r="I10597" t="n">
        <v>0</v>
      </c>
      <c r="J10597" t="n">
        <v>0</v>
      </c>
      <c r="K10597" t="n">
        <v>0</v>
      </c>
      <c r="L10597" t="n">
        <v>0</v>
      </c>
      <c r="M10597" t="n">
        <v>0</v>
      </c>
      <c r="N10597" t="n">
        <v>0</v>
      </c>
      <c r="O10597" t="n">
        <v>0</v>
      </c>
      <c r="P10597" t="n">
        <v>0</v>
      </c>
      <c r="Q10597" t="n">
        <v>0</v>
      </c>
      <c r="R10597" s="2" t="inlineStr"/>
    </row>
    <row r="10598" ht="15" customHeight="1">
      <c r="A10598" t="inlineStr">
        <is>
          <t>A 50239-2022</t>
        </is>
      </c>
      <c r="B10598" s="1" t="n">
        <v>44865</v>
      </c>
      <c r="C10598" s="1" t="n">
        <v>45952</v>
      </c>
      <c r="D10598" t="inlineStr">
        <is>
          <t>VÄSTRA GÖTALANDS LÄN</t>
        </is>
      </c>
      <c r="E10598" t="inlineStr">
        <is>
          <t>SOTENÄS</t>
        </is>
      </c>
      <c r="G10598" t="n">
        <v>13.2</v>
      </c>
      <c r="H10598" t="n">
        <v>0</v>
      </c>
      <c r="I10598" t="n">
        <v>0</v>
      </c>
      <c r="J10598" t="n">
        <v>0</v>
      </c>
      <c r="K10598" t="n">
        <v>0</v>
      </c>
      <c r="L10598" t="n">
        <v>0</v>
      </c>
      <c r="M10598" t="n">
        <v>0</v>
      </c>
      <c r="N10598" t="n">
        <v>0</v>
      </c>
      <c r="O10598" t="n">
        <v>0</v>
      </c>
      <c r="P10598" t="n">
        <v>0</v>
      </c>
      <c r="Q10598" t="n">
        <v>0</v>
      </c>
      <c r="R10598" s="2" t="inlineStr"/>
    </row>
    <row r="10599" ht="15" customHeight="1">
      <c r="A10599" t="inlineStr">
        <is>
          <t>A 40652-2024</t>
        </is>
      </c>
      <c r="B10599" s="1" t="n">
        <v>45557</v>
      </c>
      <c r="C10599" s="1" t="n">
        <v>45952</v>
      </c>
      <c r="D10599" t="inlineStr">
        <is>
          <t>VÄSTRA GÖTALANDS LÄN</t>
        </is>
      </c>
      <c r="E10599" t="inlineStr">
        <is>
          <t>STRÖMSTAD</t>
        </is>
      </c>
      <c r="G10599" t="n">
        <v>2.5</v>
      </c>
      <c r="H10599" t="n">
        <v>0</v>
      </c>
      <c r="I10599" t="n">
        <v>0</v>
      </c>
      <c r="J10599" t="n">
        <v>0</v>
      </c>
      <c r="K10599" t="n">
        <v>0</v>
      </c>
      <c r="L10599" t="n">
        <v>0</v>
      </c>
      <c r="M10599" t="n">
        <v>0</v>
      </c>
      <c r="N10599" t="n">
        <v>0</v>
      </c>
      <c r="O10599" t="n">
        <v>0</v>
      </c>
      <c r="P10599" t="n">
        <v>0</v>
      </c>
      <c r="Q10599" t="n">
        <v>0</v>
      </c>
      <c r="R10599" s="2" t="inlineStr"/>
    </row>
    <row r="10600" ht="15" customHeight="1">
      <c r="A10600" t="inlineStr">
        <is>
          <t>A 47884-2024</t>
        </is>
      </c>
      <c r="B10600" s="1" t="n">
        <v>45588.81101851852</v>
      </c>
      <c r="C10600" s="1" t="n">
        <v>45952</v>
      </c>
      <c r="D10600" t="inlineStr">
        <is>
          <t>VÄSTRA GÖTALANDS LÄN</t>
        </is>
      </c>
      <c r="E10600" t="inlineStr">
        <is>
          <t>ORUST</t>
        </is>
      </c>
      <c r="G10600" t="n">
        <v>0.8</v>
      </c>
      <c r="H10600" t="n">
        <v>0</v>
      </c>
      <c r="I10600" t="n">
        <v>0</v>
      </c>
      <c r="J10600" t="n">
        <v>0</v>
      </c>
      <c r="K10600" t="n">
        <v>0</v>
      </c>
      <c r="L10600" t="n">
        <v>0</v>
      </c>
      <c r="M10600" t="n">
        <v>0</v>
      </c>
      <c r="N10600" t="n">
        <v>0</v>
      </c>
      <c r="O10600" t="n">
        <v>0</v>
      </c>
      <c r="P10600" t="n">
        <v>0</v>
      </c>
      <c r="Q10600" t="n">
        <v>0</v>
      </c>
      <c r="R10600" s="2" t="inlineStr"/>
    </row>
    <row r="10601" ht="15" customHeight="1">
      <c r="A10601" t="inlineStr">
        <is>
          <t>A 50205-2025</t>
        </is>
      </c>
      <c r="B10601" s="1" t="n">
        <v>45943.65840277778</v>
      </c>
      <c r="C10601" s="1" t="n">
        <v>45952</v>
      </c>
      <c r="D10601" t="inlineStr">
        <is>
          <t>VÄSTRA GÖTALANDS LÄN</t>
        </is>
      </c>
      <c r="E10601" t="inlineStr">
        <is>
          <t>STENUNGSUND</t>
        </is>
      </c>
      <c r="G10601" t="n">
        <v>3.6</v>
      </c>
      <c r="H10601" t="n">
        <v>0</v>
      </c>
      <c r="I10601" t="n">
        <v>0</v>
      </c>
      <c r="J10601" t="n">
        <v>0</v>
      </c>
      <c r="K10601" t="n">
        <v>0</v>
      </c>
      <c r="L10601" t="n">
        <v>0</v>
      </c>
      <c r="M10601" t="n">
        <v>0</v>
      </c>
      <c r="N10601" t="n">
        <v>0</v>
      </c>
      <c r="O10601" t="n">
        <v>0</v>
      </c>
      <c r="P10601" t="n">
        <v>0</v>
      </c>
      <c r="Q10601" t="n">
        <v>0</v>
      </c>
      <c r="R10601" s="2" t="inlineStr"/>
    </row>
    <row r="10602" ht="15" customHeight="1">
      <c r="A10602" t="inlineStr">
        <is>
          <t>A 47650-2024</t>
        </is>
      </c>
      <c r="B10602" s="1" t="n">
        <v>45588.38049768518</v>
      </c>
      <c r="C10602" s="1" t="n">
        <v>45952</v>
      </c>
      <c r="D10602" t="inlineStr">
        <is>
          <t>VÄSTRA GÖTALANDS LÄN</t>
        </is>
      </c>
      <c r="E10602" t="inlineStr">
        <is>
          <t>DALS-ED</t>
        </is>
      </c>
      <c r="G10602" t="n">
        <v>3.6</v>
      </c>
      <c r="H10602" t="n">
        <v>0</v>
      </c>
      <c r="I10602" t="n">
        <v>0</v>
      </c>
      <c r="J10602" t="n">
        <v>0</v>
      </c>
      <c r="K10602" t="n">
        <v>0</v>
      </c>
      <c r="L10602" t="n">
        <v>0</v>
      </c>
      <c r="M10602" t="n">
        <v>0</v>
      </c>
      <c r="N10602" t="n">
        <v>0</v>
      </c>
      <c r="O10602" t="n">
        <v>0</v>
      </c>
      <c r="P10602" t="n">
        <v>0</v>
      </c>
      <c r="Q10602" t="n">
        <v>0</v>
      </c>
      <c r="R10602" s="2" t="inlineStr"/>
    </row>
    <row r="10603" ht="15" customHeight="1">
      <c r="A10603" t="inlineStr">
        <is>
          <t>A 14746-2024</t>
        </is>
      </c>
      <c r="B10603" s="1" t="n">
        <v>45397.6390625</v>
      </c>
      <c r="C10603" s="1" t="n">
        <v>45952</v>
      </c>
      <c r="D10603" t="inlineStr">
        <is>
          <t>VÄSTRA GÖTALANDS LÄN</t>
        </is>
      </c>
      <c r="E10603" t="inlineStr">
        <is>
          <t>MARK</t>
        </is>
      </c>
      <c r="G10603" t="n">
        <v>5.7</v>
      </c>
      <c r="H10603" t="n">
        <v>0</v>
      </c>
      <c r="I10603" t="n">
        <v>0</v>
      </c>
      <c r="J10603" t="n">
        <v>0</v>
      </c>
      <c r="K10603" t="n">
        <v>0</v>
      </c>
      <c r="L10603" t="n">
        <v>0</v>
      </c>
      <c r="M10603" t="n">
        <v>0</v>
      </c>
      <c r="N10603" t="n">
        <v>0</v>
      </c>
      <c r="O10603" t="n">
        <v>0</v>
      </c>
      <c r="P10603" t="n">
        <v>0</v>
      </c>
      <c r="Q10603" t="n">
        <v>0</v>
      </c>
      <c r="R10603" s="2" t="inlineStr"/>
    </row>
    <row r="10604" ht="15" customHeight="1">
      <c r="A10604" t="inlineStr">
        <is>
          <t>A 49731-2025</t>
        </is>
      </c>
      <c r="B10604" s="1" t="n">
        <v>45939.92876157408</v>
      </c>
      <c r="C10604" s="1" t="n">
        <v>45952</v>
      </c>
      <c r="D10604" t="inlineStr">
        <is>
          <t>VÄSTRA GÖTALANDS LÄN</t>
        </is>
      </c>
      <c r="E10604" t="inlineStr">
        <is>
          <t>MUNKEDAL</t>
        </is>
      </c>
      <c r="G10604" t="n">
        <v>5.5</v>
      </c>
      <c r="H10604" t="n">
        <v>0</v>
      </c>
      <c r="I10604" t="n">
        <v>0</v>
      </c>
      <c r="J10604" t="n">
        <v>0</v>
      </c>
      <c r="K10604" t="n">
        <v>0</v>
      </c>
      <c r="L10604" t="n">
        <v>0</v>
      </c>
      <c r="M10604" t="n">
        <v>0</v>
      </c>
      <c r="N10604" t="n">
        <v>0</v>
      </c>
      <c r="O10604" t="n">
        <v>0</v>
      </c>
      <c r="P10604" t="n">
        <v>0</v>
      </c>
      <c r="Q10604" t="n">
        <v>0</v>
      </c>
      <c r="R10604" s="2" t="inlineStr"/>
    </row>
    <row r="10605" ht="15" customHeight="1">
      <c r="A10605" t="inlineStr">
        <is>
          <t>A 49737-2025</t>
        </is>
      </c>
      <c r="B10605" s="1" t="n">
        <v>45940.30331018518</v>
      </c>
      <c r="C10605" s="1" t="n">
        <v>45952</v>
      </c>
      <c r="D10605" t="inlineStr">
        <is>
          <t>VÄSTRA GÖTALANDS LÄN</t>
        </is>
      </c>
      <c r="E10605" t="inlineStr">
        <is>
          <t>UDDEVALLA</t>
        </is>
      </c>
      <c r="G10605" t="n">
        <v>1.3</v>
      </c>
      <c r="H10605" t="n">
        <v>0</v>
      </c>
      <c r="I10605" t="n">
        <v>0</v>
      </c>
      <c r="J10605" t="n">
        <v>0</v>
      </c>
      <c r="K10605" t="n">
        <v>0</v>
      </c>
      <c r="L10605" t="n">
        <v>0</v>
      </c>
      <c r="M10605" t="n">
        <v>0</v>
      </c>
      <c r="N10605" t="n">
        <v>0</v>
      </c>
      <c r="O10605" t="n">
        <v>0</v>
      </c>
      <c r="P10605" t="n">
        <v>0</v>
      </c>
      <c r="Q10605" t="n">
        <v>0</v>
      </c>
      <c r="R10605" s="2" t="inlineStr"/>
    </row>
    <row r="10606" ht="15" customHeight="1">
      <c r="A10606" t="inlineStr">
        <is>
          <t>A 30770-2023</t>
        </is>
      </c>
      <c r="B10606" s="1" t="n">
        <v>45112.68491898148</v>
      </c>
      <c r="C10606" s="1" t="n">
        <v>45952</v>
      </c>
      <c r="D10606" t="inlineStr">
        <is>
          <t>VÄSTRA GÖTALANDS LÄN</t>
        </is>
      </c>
      <c r="E10606" t="inlineStr">
        <is>
          <t>ULRICEHAMN</t>
        </is>
      </c>
      <c r="G10606" t="n">
        <v>1.5</v>
      </c>
      <c r="H10606" t="n">
        <v>0</v>
      </c>
      <c r="I10606" t="n">
        <v>0</v>
      </c>
      <c r="J10606" t="n">
        <v>0</v>
      </c>
      <c r="K10606" t="n">
        <v>0</v>
      </c>
      <c r="L10606" t="n">
        <v>0</v>
      </c>
      <c r="M10606" t="n">
        <v>0</v>
      </c>
      <c r="N10606" t="n">
        <v>0</v>
      </c>
      <c r="O10606" t="n">
        <v>0</v>
      </c>
      <c r="P10606" t="n">
        <v>0</v>
      </c>
      <c r="Q10606" t="n">
        <v>0</v>
      </c>
      <c r="R10606" s="2" t="inlineStr"/>
    </row>
    <row r="10607" ht="15" customHeight="1">
      <c r="A10607" t="inlineStr">
        <is>
          <t>A 26077-2025</t>
        </is>
      </c>
      <c r="B10607" s="1" t="n">
        <v>45805.33483796296</v>
      </c>
      <c r="C10607" s="1" t="n">
        <v>45952</v>
      </c>
      <c r="D10607" t="inlineStr">
        <is>
          <t>VÄSTRA GÖTALANDS LÄN</t>
        </is>
      </c>
      <c r="E10607" t="inlineStr">
        <is>
          <t>ULRICEHAMN</t>
        </is>
      </c>
      <c r="G10607" t="n">
        <v>2.8</v>
      </c>
      <c r="H10607" t="n">
        <v>0</v>
      </c>
      <c r="I10607" t="n">
        <v>0</v>
      </c>
      <c r="J10607" t="n">
        <v>0</v>
      </c>
      <c r="K10607" t="n">
        <v>0</v>
      </c>
      <c r="L10607" t="n">
        <v>0</v>
      </c>
      <c r="M10607" t="n">
        <v>0</v>
      </c>
      <c r="N10607" t="n">
        <v>0</v>
      </c>
      <c r="O10607" t="n">
        <v>0</v>
      </c>
      <c r="P10607" t="n">
        <v>0</v>
      </c>
      <c r="Q10607" t="n">
        <v>0</v>
      </c>
      <c r="R10607" s="2" t="inlineStr"/>
    </row>
    <row r="10608" ht="15" customHeight="1">
      <c r="A10608" t="inlineStr">
        <is>
          <t>A 41613-2025</t>
        </is>
      </c>
      <c r="B10608" s="1" t="n">
        <v>45901.67724537037</v>
      </c>
      <c r="C10608" s="1" t="n">
        <v>45952</v>
      </c>
      <c r="D10608" t="inlineStr">
        <is>
          <t>VÄSTRA GÖTALANDS LÄN</t>
        </is>
      </c>
      <c r="E10608" t="inlineStr">
        <is>
          <t>MARK</t>
        </is>
      </c>
      <c r="G10608" t="n">
        <v>3.1</v>
      </c>
      <c r="H10608" t="n">
        <v>0</v>
      </c>
      <c r="I10608" t="n">
        <v>0</v>
      </c>
      <c r="J10608" t="n">
        <v>0</v>
      </c>
      <c r="K10608" t="n">
        <v>0</v>
      </c>
      <c r="L10608" t="n">
        <v>0</v>
      </c>
      <c r="M10608" t="n">
        <v>0</v>
      </c>
      <c r="N10608" t="n">
        <v>0</v>
      </c>
      <c r="O10608" t="n">
        <v>0</v>
      </c>
      <c r="P10608" t="n">
        <v>0</v>
      </c>
      <c r="Q10608" t="n">
        <v>0</v>
      </c>
      <c r="R10608" s="2" t="inlineStr"/>
    </row>
    <row r="10609" ht="15" customHeight="1">
      <c r="A10609" t="inlineStr">
        <is>
          <t>A 3751-2023</t>
        </is>
      </c>
      <c r="B10609" s="1" t="n">
        <v>44951.46585648148</v>
      </c>
      <c r="C10609" s="1" t="n">
        <v>45952</v>
      </c>
      <c r="D10609" t="inlineStr">
        <is>
          <t>VÄSTRA GÖTALANDS LÄN</t>
        </is>
      </c>
      <c r="E10609" t="inlineStr">
        <is>
          <t>BENGTSFORS</t>
        </is>
      </c>
      <c r="G10609" t="n">
        <v>2.4</v>
      </c>
      <c r="H10609" t="n">
        <v>0</v>
      </c>
      <c r="I10609" t="n">
        <v>0</v>
      </c>
      <c r="J10609" t="n">
        <v>0</v>
      </c>
      <c r="K10609" t="n">
        <v>0</v>
      </c>
      <c r="L10609" t="n">
        <v>0</v>
      </c>
      <c r="M10609" t="n">
        <v>0</v>
      </c>
      <c r="N10609" t="n">
        <v>0</v>
      </c>
      <c r="O10609" t="n">
        <v>0</v>
      </c>
      <c r="P10609" t="n">
        <v>0</v>
      </c>
      <c r="Q10609" t="n">
        <v>0</v>
      </c>
      <c r="R10609" s="2" t="inlineStr"/>
    </row>
    <row r="10610" ht="15" customHeight="1">
      <c r="A10610" t="inlineStr">
        <is>
          <t>A 48003-2022</t>
        </is>
      </c>
      <c r="B10610" s="1" t="n">
        <v>44855</v>
      </c>
      <c r="C10610" s="1" t="n">
        <v>45952</v>
      </c>
      <c r="D10610" t="inlineStr">
        <is>
          <t>VÄSTRA GÖTALANDS LÄN</t>
        </is>
      </c>
      <c r="E10610" t="inlineStr">
        <is>
          <t>TRANEMO</t>
        </is>
      </c>
      <c r="G10610" t="n">
        <v>1.6</v>
      </c>
      <c r="H10610" t="n">
        <v>0</v>
      </c>
      <c r="I10610" t="n">
        <v>0</v>
      </c>
      <c r="J10610" t="n">
        <v>0</v>
      </c>
      <c r="K10610" t="n">
        <v>0</v>
      </c>
      <c r="L10610" t="n">
        <v>0</v>
      </c>
      <c r="M10610" t="n">
        <v>0</v>
      </c>
      <c r="N10610" t="n">
        <v>0</v>
      </c>
      <c r="O10610" t="n">
        <v>0</v>
      </c>
      <c r="P10610" t="n">
        <v>0</v>
      </c>
      <c r="Q10610" t="n">
        <v>0</v>
      </c>
      <c r="R10610" s="2" t="inlineStr"/>
    </row>
    <row r="10611" ht="15" customHeight="1">
      <c r="A10611" t="inlineStr">
        <is>
          <t>A 40603-2024</t>
        </is>
      </c>
      <c r="B10611" s="1" t="n">
        <v>45556.4603125</v>
      </c>
      <c r="C10611" s="1" t="n">
        <v>45952</v>
      </c>
      <c r="D10611" t="inlineStr">
        <is>
          <t>VÄSTRA GÖTALANDS LÄN</t>
        </is>
      </c>
      <c r="E10611" t="inlineStr">
        <is>
          <t>TIDAHOLM</t>
        </is>
      </c>
      <c r="G10611" t="n">
        <v>2.6</v>
      </c>
      <c r="H10611" t="n">
        <v>0</v>
      </c>
      <c r="I10611" t="n">
        <v>0</v>
      </c>
      <c r="J10611" t="n">
        <v>0</v>
      </c>
      <c r="K10611" t="n">
        <v>0</v>
      </c>
      <c r="L10611" t="n">
        <v>0</v>
      </c>
      <c r="M10611" t="n">
        <v>0</v>
      </c>
      <c r="N10611" t="n">
        <v>0</v>
      </c>
      <c r="O10611" t="n">
        <v>0</v>
      </c>
      <c r="P10611" t="n">
        <v>0</v>
      </c>
      <c r="Q10611" t="n">
        <v>0</v>
      </c>
      <c r="R10611" s="2" t="inlineStr"/>
    </row>
    <row r="10612" ht="15" customHeight="1">
      <c r="A10612" t="inlineStr">
        <is>
          <t>A 25906-2025</t>
        </is>
      </c>
      <c r="B10612" s="1" t="n">
        <v>45804.55729166666</v>
      </c>
      <c r="C10612" s="1" t="n">
        <v>45952</v>
      </c>
      <c r="D10612" t="inlineStr">
        <is>
          <t>VÄSTRA GÖTALANDS LÄN</t>
        </is>
      </c>
      <c r="E10612" t="inlineStr">
        <is>
          <t>VÅRGÅRDA</t>
        </is>
      </c>
      <c r="G10612" t="n">
        <v>0.6</v>
      </c>
      <c r="H10612" t="n">
        <v>0</v>
      </c>
      <c r="I10612" t="n">
        <v>0</v>
      </c>
      <c r="J10612" t="n">
        <v>0</v>
      </c>
      <c r="K10612" t="n">
        <v>0</v>
      </c>
      <c r="L10612" t="n">
        <v>0</v>
      </c>
      <c r="M10612" t="n">
        <v>0</v>
      </c>
      <c r="N10612" t="n">
        <v>0</v>
      </c>
      <c r="O10612" t="n">
        <v>0</v>
      </c>
      <c r="P10612" t="n">
        <v>0</v>
      </c>
      <c r="Q10612" t="n">
        <v>0</v>
      </c>
      <c r="R10612" s="2" t="inlineStr"/>
    </row>
    <row r="10613" ht="15" customHeight="1">
      <c r="A10613" t="inlineStr">
        <is>
          <t>A 25909-2025</t>
        </is>
      </c>
      <c r="B10613" s="1" t="n">
        <v>45804.55820601852</v>
      </c>
      <c r="C10613" s="1" t="n">
        <v>45952</v>
      </c>
      <c r="D10613" t="inlineStr">
        <is>
          <t>VÄSTRA GÖTALANDS LÄN</t>
        </is>
      </c>
      <c r="E10613" t="inlineStr">
        <is>
          <t>VÅRGÅRDA</t>
        </is>
      </c>
      <c r="G10613" t="n">
        <v>0.5</v>
      </c>
      <c r="H10613" t="n">
        <v>0</v>
      </c>
      <c r="I10613" t="n">
        <v>0</v>
      </c>
      <c r="J10613" t="n">
        <v>0</v>
      </c>
      <c r="K10613" t="n">
        <v>0</v>
      </c>
      <c r="L10613" t="n">
        <v>0</v>
      </c>
      <c r="M10613" t="n">
        <v>0</v>
      </c>
      <c r="N10613" t="n">
        <v>0</v>
      </c>
      <c r="O10613" t="n">
        <v>0</v>
      </c>
      <c r="P10613" t="n">
        <v>0</v>
      </c>
      <c r="Q10613" t="n">
        <v>0</v>
      </c>
      <c r="R10613" s="2" t="inlineStr"/>
    </row>
    <row r="10614" ht="15" customHeight="1">
      <c r="A10614" t="inlineStr">
        <is>
          <t>A 26148-2025</t>
        </is>
      </c>
      <c r="B10614" s="1" t="n">
        <v>45805.43145833333</v>
      </c>
      <c r="C10614" s="1" t="n">
        <v>45952</v>
      </c>
      <c r="D10614" t="inlineStr">
        <is>
          <t>VÄSTRA GÖTALANDS LÄN</t>
        </is>
      </c>
      <c r="E10614" t="inlineStr">
        <is>
          <t>MARK</t>
        </is>
      </c>
      <c r="G10614" t="n">
        <v>1</v>
      </c>
      <c r="H10614" t="n">
        <v>0</v>
      </c>
      <c r="I10614" t="n">
        <v>0</v>
      </c>
      <c r="J10614" t="n">
        <v>0</v>
      </c>
      <c r="K10614" t="n">
        <v>0</v>
      </c>
      <c r="L10614" t="n">
        <v>0</v>
      </c>
      <c r="M10614" t="n">
        <v>0</v>
      </c>
      <c r="N10614" t="n">
        <v>0</v>
      </c>
      <c r="O10614" t="n">
        <v>0</v>
      </c>
      <c r="P10614" t="n">
        <v>0</v>
      </c>
      <c r="Q10614" t="n">
        <v>0</v>
      </c>
      <c r="R10614" s="2" t="inlineStr"/>
    </row>
    <row r="10615" ht="15" customHeight="1">
      <c r="A10615" t="inlineStr">
        <is>
          <t>A 41576-2025</t>
        </is>
      </c>
      <c r="B10615" s="1" t="n">
        <v>45901.6183912037</v>
      </c>
      <c r="C10615" s="1" t="n">
        <v>45952</v>
      </c>
      <c r="D10615" t="inlineStr">
        <is>
          <t>VÄSTRA GÖTALANDS LÄN</t>
        </is>
      </c>
      <c r="E10615" t="inlineStr">
        <is>
          <t>UDDEVALLA</t>
        </is>
      </c>
      <c r="G10615" t="n">
        <v>2.2</v>
      </c>
      <c r="H10615" t="n">
        <v>0</v>
      </c>
      <c r="I10615" t="n">
        <v>0</v>
      </c>
      <c r="J10615" t="n">
        <v>0</v>
      </c>
      <c r="K10615" t="n">
        <v>0</v>
      </c>
      <c r="L10615" t="n">
        <v>0</v>
      </c>
      <c r="M10615" t="n">
        <v>0</v>
      </c>
      <c r="N10615" t="n">
        <v>0</v>
      </c>
      <c r="O10615" t="n">
        <v>0</v>
      </c>
      <c r="P10615" t="n">
        <v>0</v>
      </c>
      <c r="Q10615" t="n">
        <v>0</v>
      </c>
      <c r="R10615" s="2" t="inlineStr"/>
    </row>
    <row r="10616" ht="15" customHeight="1">
      <c r="A10616" t="inlineStr">
        <is>
          <t>A 26229-2025</t>
        </is>
      </c>
      <c r="B10616" s="1" t="n">
        <v>45805.56230324074</v>
      </c>
      <c r="C10616" s="1" t="n">
        <v>45952</v>
      </c>
      <c r="D10616" t="inlineStr">
        <is>
          <t>VÄSTRA GÖTALANDS LÄN</t>
        </is>
      </c>
      <c r="E10616" t="inlineStr">
        <is>
          <t>HJO</t>
        </is>
      </c>
      <c r="G10616" t="n">
        <v>1.6</v>
      </c>
      <c r="H10616" t="n">
        <v>0</v>
      </c>
      <c r="I10616" t="n">
        <v>0</v>
      </c>
      <c r="J10616" t="n">
        <v>0</v>
      </c>
      <c r="K10616" t="n">
        <v>0</v>
      </c>
      <c r="L10616" t="n">
        <v>0</v>
      </c>
      <c r="M10616" t="n">
        <v>0</v>
      </c>
      <c r="N10616" t="n">
        <v>0</v>
      </c>
      <c r="O10616" t="n">
        <v>0</v>
      </c>
      <c r="P10616" t="n">
        <v>0</v>
      </c>
      <c r="Q10616" t="n">
        <v>0</v>
      </c>
      <c r="R10616" s="2" t="inlineStr"/>
    </row>
    <row r="10617" ht="15" customHeight="1">
      <c r="A10617" t="inlineStr">
        <is>
          <t>A 26247-2025</t>
        </is>
      </c>
      <c r="B10617" s="1" t="n">
        <v>45805</v>
      </c>
      <c r="C10617" s="1" t="n">
        <v>45952</v>
      </c>
      <c r="D10617" t="inlineStr">
        <is>
          <t>VÄSTRA GÖTALANDS LÄN</t>
        </is>
      </c>
      <c r="E10617" t="inlineStr">
        <is>
          <t>VÄNERSBORG</t>
        </is>
      </c>
      <c r="G10617" t="n">
        <v>3.3</v>
      </c>
      <c r="H10617" t="n">
        <v>0</v>
      </c>
      <c r="I10617" t="n">
        <v>0</v>
      </c>
      <c r="J10617" t="n">
        <v>0</v>
      </c>
      <c r="K10617" t="n">
        <v>0</v>
      </c>
      <c r="L10617" t="n">
        <v>0</v>
      </c>
      <c r="M10617" t="n">
        <v>0</v>
      </c>
      <c r="N10617" t="n">
        <v>0</v>
      </c>
      <c r="O10617" t="n">
        <v>0</v>
      </c>
      <c r="P10617" t="n">
        <v>0</v>
      </c>
      <c r="Q10617" t="n">
        <v>0</v>
      </c>
      <c r="R10617" s="2" t="inlineStr"/>
    </row>
    <row r="10618" ht="15" customHeight="1">
      <c r="A10618" t="inlineStr">
        <is>
          <t>A 25936-2025</t>
        </is>
      </c>
      <c r="B10618" s="1" t="n">
        <v>45804.59222222222</v>
      </c>
      <c r="C10618" s="1" t="n">
        <v>45952</v>
      </c>
      <c r="D10618" t="inlineStr">
        <is>
          <t>VÄSTRA GÖTALANDS LÄN</t>
        </is>
      </c>
      <c r="E10618" t="inlineStr">
        <is>
          <t>SKÖVDE</t>
        </is>
      </c>
      <c r="G10618" t="n">
        <v>3.3</v>
      </c>
      <c r="H10618" t="n">
        <v>0</v>
      </c>
      <c r="I10618" t="n">
        <v>0</v>
      </c>
      <c r="J10618" t="n">
        <v>0</v>
      </c>
      <c r="K10618" t="n">
        <v>0</v>
      </c>
      <c r="L10618" t="n">
        <v>0</v>
      </c>
      <c r="M10618" t="n">
        <v>0</v>
      </c>
      <c r="N10618" t="n">
        <v>0</v>
      </c>
      <c r="O10618" t="n">
        <v>0</v>
      </c>
      <c r="P10618" t="n">
        <v>0</v>
      </c>
      <c r="Q10618" t="n">
        <v>0</v>
      </c>
      <c r="R10618" s="2" t="inlineStr"/>
    </row>
    <row r="10619" ht="15" customHeight="1">
      <c r="A10619" t="inlineStr">
        <is>
          <t>A 59306-2022</t>
        </is>
      </c>
      <c r="B10619" s="1" t="n">
        <v>44904.61891203704</v>
      </c>
      <c r="C10619" s="1" t="n">
        <v>45952</v>
      </c>
      <c r="D10619" t="inlineStr">
        <is>
          <t>VÄSTRA GÖTALANDS LÄN</t>
        </is>
      </c>
      <c r="E10619" t="inlineStr">
        <is>
          <t>TRANEMO</t>
        </is>
      </c>
      <c r="G10619" t="n">
        <v>0.6</v>
      </c>
      <c r="H10619" t="n">
        <v>0</v>
      </c>
      <c r="I10619" t="n">
        <v>0</v>
      </c>
      <c r="J10619" t="n">
        <v>0</v>
      </c>
      <c r="K10619" t="n">
        <v>0</v>
      </c>
      <c r="L10619" t="n">
        <v>0</v>
      </c>
      <c r="M10619" t="n">
        <v>0</v>
      </c>
      <c r="N10619" t="n">
        <v>0</v>
      </c>
      <c r="O10619" t="n">
        <v>0</v>
      </c>
      <c r="P10619" t="n">
        <v>0</v>
      </c>
      <c r="Q10619" t="n">
        <v>0</v>
      </c>
      <c r="R10619" s="2" t="inlineStr"/>
    </row>
    <row r="10620" ht="15" customHeight="1">
      <c r="A10620" t="inlineStr">
        <is>
          <t>A 8001-2025</t>
        </is>
      </c>
      <c r="B10620" s="1" t="n">
        <v>45707.52650462963</v>
      </c>
      <c r="C10620" s="1" t="n">
        <v>45952</v>
      </c>
      <c r="D10620" t="inlineStr">
        <is>
          <t>VÄSTRA GÖTALANDS LÄN</t>
        </is>
      </c>
      <c r="E10620" t="inlineStr">
        <is>
          <t>GULLSPÅNG</t>
        </is>
      </c>
      <c r="F10620" t="inlineStr">
        <is>
          <t>Kyrkan</t>
        </is>
      </c>
      <c r="G10620" t="n">
        <v>4.3</v>
      </c>
      <c r="H10620" t="n">
        <v>0</v>
      </c>
      <c r="I10620" t="n">
        <v>0</v>
      </c>
      <c r="J10620" t="n">
        <v>0</v>
      </c>
      <c r="K10620" t="n">
        <v>0</v>
      </c>
      <c r="L10620" t="n">
        <v>0</v>
      </c>
      <c r="M10620" t="n">
        <v>0</v>
      </c>
      <c r="N10620" t="n">
        <v>0</v>
      </c>
      <c r="O10620" t="n">
        <v>0</v>
      </c>
      <c r="P10620" t="n">
        <v>0</v>
      </c>
      <c r="Q10620" t="n">
        <v>0</v>
      </c>
      <c r="R10620" s="2" t="inlineStr"/>
    </row>
    <row r="10621" ht="15" customHeight="1">
      <c r="A10621" t="inlineStr">
        <is>
          <t>A 26105-2025</t>
        </is>
      </c>
      <c r="B10621" s="1" t="n">
        <v>45805</v>
      </c>
      <c r="C10621" s="1" t="n">
        <v>45952</v>
      </c>
      <c r="D10621" t="inlineStr">
        <is>
          <t>VÄSTRA GÖTALANDS LÄN</t>
        </is>
      </c>
      <c r="E10621" t="inlineStr">
        <is>
          <t>GÖTENE</t>
        </is>
      </c>
      <c r="G10621" t="n">
        <v>5.3</v>
      </c>
      <c r="H10621" t="n">
        <v>0</v>
      </c>
      <c r="I10621" t="n">
        <v>0</v>
      </c>
      <c r="J10621" t="n">
        <v>0</v>
      </c>
      <c r="K10621" t="n">
        <v>0</v>
      </c>
      <c r="L10621" t="n">
        <v>0</v>
      </c>
      <c r="M10621" t="n">
        <v>0</v>
      </c>
      <c r="N10621" t="n">
        <v>0</v>
      </c>
      <c r="O10621" t="n">
        <v>0</v>
      </c>
      <c r="P10621" t="n">
        <v>0</v>
      </c>
      <c r="Q10621" t="n">
        <v>0</v>
      </c>
      <c r="R10621" s="2" t="inlineStr"/>
    </row>
    <row r="10622" ht="15" customHeight="1">
      <c r="A10622" t="inlineStr">
        <is>
          <t>A 26255-2025</t>
        </is>
      </c>
      <c r="B10622" s="1" t="n">
        <v>45805.58092592593</v>
      </c>
      <c r="C10622" s="1" t="n">
        <v>45952</v>
      </c>
      <c r="D10622" t="inlineStr">
        <is>
          <t>VÄSTRA GÖTALANDS LÄN</t>
        </is>
      </c>
      <c r="E10622" t="inlineStr">
        <is>
          <t>MARK</t>
        </is>
      </c>
      <c r="G10622" t="n">
        <v>1.1</v>
      </c>
      <c r="H10622" t="n">
        <v>0</v>
      </c>
      <c r="I10622" t="n">
        <v>0</v>
      </c>
      <c r="J10622" t="n">
        <v>0</v>
      </c>
      <c r="K10622" t="n">
        <v>0</v>
      </c>
      <c r="L10622" t="n">
        <v>0</v>
      </c>
      <c r="M10622" t="n">
        <v>0</v>
      </c>
      <c r="N10622" t="n">
        <v>0</v>
      </c>
      <c r="O10622" t="n">
        <v>0</v>
      </c>
      <c r="P10622" t="n">
        <v>0</v>
      </c>
      <c r="Q10622" t="n">
        <v>0</v>
      </c>
      <c r="R10622" s="2" t="inlineStr"/>
    </row>
    <row r="10623" ht="15" customHeight="1">
      <c r="A10623" t="inlineStr">
        <is>
          <t>A 25822-2025</t>
        </is>
      </c>
      <c r="B10623" s="1" t="n">
        <v>45804.43789351852</v>
      </c>
      <c r="C10623" s="1" t="n">
        <v>45952</v>
      </c>
      <c r="D10623" t="inlineStr">
        <is>
          <t>VÄSTRA GÖTALANDS LÄN</t>
        </is>
      </c>
      <c r="E10623" t="inlineStr">
        <is>
          <t>ÅMÅL</t>
        </is>
      </c>
      <c r="G10623" t="n">
        <v>1.7</v>
      </c>
      <c r="H10623" t="n">
        <v>0</v>
      </c>
      <c r="I10623" t="n">
        <v>0</v>
      </c>
      <c r="J10623" t="n">
        <v>0</v>
      </c>
      <c r="K10623" t="n">
        <v>0</v>
      </c>
      <c r="L10623" t="n">
        <v>0</v>
      </c>
      <c r="M10623" t="n">
        <v>0</v>
      </c>
      <c r="N10623" t="n">
        <v>0</v>
      </c>
      <c r="O10623" t="n">
        <v>0</v>
      </c>
      <c r="P10623" t="n">
        <v>0</v>
      </c>
      <c r="Q10623" t="n">
        <v>0</v>
      </c>
      <c r="R10623" s="2" t="inlineStr"/>
    </row>
    <row r="10624" ht="15" customHeight="1">
      <c r="A10624" t="inlineStr">
        <is>
          <t>A 2070-2022</t>
        </is>
      </c>
      <c r="B10624" s="1" t="n">
        <v>44575.86822916667</v>
      </c>
      <c r="C10624" s="1" t="n">
        <v>45952</v>
      </c>
      <c r="D10624" t="inlineStr">
        <is>
          <t>VÄSTRA GÖTALANDS LÄN</t>
        </is>
      </c>
      <c r="E10624" t="inlineStr">
        <is>
          <t>VARA</t>
        </is>
      </c>
      <c r="G10624" t="n">
        <v>3</v>
      </c>
      <c r="H10624" t="n">
        <v>0</v>
      </c>
      <c r="I10624" t="n">
        <v>0</v>
      </c>
      <c r="J10624" t="n">
        <v>0</v>
      </c>
      <c r="K10624" t="n">
        <v>0</v>
      </c>
      <c r="L10624" t="n">
        <v>0</v>
      </c>
      <c r="M10624" t="n">
        <v>0</v>
      </c>
      <c r="N10624" t="n">
        <v>0</v>
      </c>
      <c r="O10624" t="n">
        <v>0</v>
      </c>
      <c r="P10624" t="n">
        <v>0</v>
      </c>
      <c r="Q10624" t="n">
        <v>0</v>
      </c>
      <c r="R10624" s="2" t="inlineStr"/>
    </row>
    <row r="10625" ht="15" customHeight="1">
      <c r="A10625" t="inlineStr">
        <is>
          <t>A 48599-2024</t>
        </is>
      </c>
      <c r="B10625" s="1" t="n">
        <v>45593.44611111111</v>
      </c>
      <c r="C10625" s="1" t="n">
        <v>45952</v>
      </c>
      <c r="D10625" t="inlineStr">
        <is>
          <t>VÄSTRA GÖTALANDS LÄN</t>
        </is>
      </c>
      <c r="E10625" t="inlineStr">
        <is>
          <t>ULRICEHAMN</t>
        </is>
      </c>
      <c r="G10625" t="n">
        <v>5</v>
      </c>
      <c r="H10625" t="n">
        <v>0</v>
      </c>
      <c r="I10625" t="n">
        <v>0</v>
      </c>
      <c r="J10625" t="n">
        <v>0</v>
      </c>
      <c r="K10625" t="n">
        <v>0</v>
      </c>
      <c r="L10625" t="n">
        <v>0</v>
      </c>
      <c r="M10625" t="n">
        <v>0</v>
      </c>
      <c r="N10625" t="n">
        <v>0</v>
      </c>
      <c r="O10625" t="n">
        <v>0</v>
      </c>
      <c r="P10625" t="n">
        <v>0</v>
      </c>
      <c r="Q10625" t="n">
        <v>0</v>
      </c>
      <c r="R10625" s="2" t="inlineStr"/>
    </row>
    <row r="10626" ht="15" customHeight="1">
      <c r="A10626" t="inlineStr">
        <is>
          <t>A 2227-2022</t>
        </is>
      </c>
      <c r="B10626" s="1" t="n">
        <v>44578.56890046296</v>
      </c>
      <c r="C10626" s="1" t="n">
        <v>45952</v>
      </c>
      <c r="D10626" t="inlineStr">
        <is>
          <t>VÄSTRA GÖTALANDS LÄN</t>
        </is>
      </c>
      <c r="E10626" t="inlineStr">
        <is>
          <t>TRANEMO</t>
        </is>
      </c>
      <c r="G10626" t="n">
        <v>0.6</v>
      </c>
      <c r="H10626" t="n">
        <v>0</v>
      </c>
      <c r="I10626" t="n">
        <v>0</v>
      </c>
      <c r="J10626" t="n">
        <v>0</v>
      </c>
      <c r="K10626" t="n">
        <v>0</v>
      </c>
      <c r="L10626" t="n">
        <v>0</v>
      </c>
      <c r="M10626" t="n">
        <v>0</v>
      </c>
      <c r="N10626" t="n">
        <v>0</v>
      </c>
      <c r="O10626" t="n">
        <v>0</v>
      </c>
      <c r="P10626" t="n">
        <v>0</v>
      </c>
      <c r="Q10626" t="n">
        <v>0</v>
      </c>
      <c r="R10626" s="2" t="inlineStr"/>
    </row>
    <row r="10627" ht="15" customHeight="1">
      <c r="A10627" t="inlineStr">
        <is>
          <t>A 25895-2025</t>
        </is>
      </c>
      <c r="B10627" s="1" t="n">
        <v>45804.5450462963</v>
      </c>
      <c r="C10627" s="1" t="n">
        <v>45952</v>
      </c>
      <c r="D10627" t="inlineStr">
        <is>
          <t>VÄSTRA GÖTALANDS LÄN</t>
        </is>
      </c>
      <c r="E10627" t="inlineStr">
        <is>
          <t>ALINGSÅS</t>
        </is>
      </c>
      <c r="G10627" t="n">
        <v>1.1</v>
      </c>
      <c r="H10627" t="n">
        <v>0</v>
      </c>
      <c r="I10627" t="n">
        <v>0</v>
      </c>
      <c r="J10627" t="n">
        <v>0</v>
      </c>
      <c r="K10627" t="n">
        <v>0</v>
      </c>
      <c r="L10627" t="n">
        <v>0</v>
      </c>
      <c r="M10627" t="n">
        <v>0</v>
      </c>
      <c r="N10627" t="n">
        <v>0</v>
      </c>
      <c r="O10627" t="n">
        <v>0</v>
      </c>
      <c r="P10627" t="n">
        <v>0</v>
      </c>
      <c r="Q10627" t="n">
        <v>0</v>
      </c>
      <c r="R10627" s="2" t="inlineStr"/>
    </row>
    <row r="10628" ht="15" customHeight="1">
      <c r="A10628" t="inlineStr">
        <is>
          <t>A 25896-2025</t>
        </is>
      </c>
      <c r="B10628" s="1" t="n">
        <v>45804.54657407408</v>
      </c>
      <c r="C10628" s="1" t="n">
        <v>45952</v>
      </c>
      <c r="D10628" t="inlineStr">
        <is>
          <t>VÄSTRA GÖTALANDS LÄN</t>
        </is>
      </c>
      <c r="E10628" t="inlineStr">
        <is>
          <t>ALINGSÅS</t>
        </is>
      </c>
      <c r="G10628" t="n">
        <v>0.5</v>
      </c>
      <c r="H10628" t="n">
        <v>0</v>
      </c>
      <c r="I10628" t="n">
        <v>0</v>
      </c>
      <c r="J10628" t="n">
        <v>0</v>
      </c>
      <c r="K10628" t="n">
        <v>0</v>
      </c>
      <c r="L10628" t="n">
        <v>0</v>
      </c>
      <c r="M10628" t="n">
        <v>0</v>
      </c>
      <c r="N10628" t="n">
        <v>0</v>
      </c>
      <c r="O10628" t="n">
        <v>0</v>
      </c>
      <c r="P10628" t="n">
        <v>0</v>
      </c>
      <c r="Q10628" t="n">
        <v>0</v>
      </c>
      <c r="R10628" s="2" t="inlineStr"/>
    </row>
    <row r="10629" ht="15" customHeight="1">
      <c r="A10629" t="inlineStr">
        <is>
          <t>A 25755-2025</t>
        </is>
      </c>
      <c r="B10629" s="1" t="n">
        <v>45804.32085648148</v>
      </c>
      <c r="C10629" s="1" t="n">
        <v>45952</v>
      </c>
      <c r="D10629" t="inlineStr">
        <is>
          <t>VÄSTRA GÖTALANDS LÄN</t>
        </is>
      </c>
      <c r="E10629" t="inlineStr">
        <is>
          <t>SVENLJUNGA</t>
        </is>
      </c>
      <c r="G10629" t="n">
        <v>5.7</v>
      </c>
      <c r="H10629" t="n">
        <v>0</v>
      </c>
      <c r="I10629" t="n">
        <v>0</v>
      </c>
      <c r="J10629" t="n">
        <v>0</v>
      </c>
      <c r="K10629" t="n">
        <v>0</v>
      </c>
      <c r="L10629" t="n">
        <v>0</v>
      </c>
      <c r="M10629" t="n">
        <v>0</v>
      </c>
      <c r="N10629" t="n">
        <v>0</v>
      </c>
      <c r="O10629" t="n">
        <v>0</v>
      </c>
      <c r="P10629" t="n">
        <v>0</v>
      </c>
      <c r="Q10629" t="n">
        <v>0</v>
      </c>
      <c r="R10629" s="2" t="inlineStr"/>
    </row>
    <row r="10630" ht="15" customHeight="1">
      <c r="A10630" t="inlineStr">
        <is>
          <t>A 41451-2025</t>
        </is>
      </c>
      <c r="B10630" s="1" t="n">
        <v>45901.43251157407</v>
      </c>
      <c r="C10630" s="1" t="n">
        <v>45952</v>
      </c>
      <c r="D10630" t="inlineStr">
        <is>
          <t>VÄSTRA GÖTALANDS LÄN</t>
        </is>
      </c>
      <c r="E10630" t="inlineStr">
        <is>
          <t>ALINGSÅS</t>
        </is>
      </c>
      <c r="G10630" t="n">
        <v>1.6</v>
      </c>
      <c r="H10630" t="n">
        <v>0</v>
      </c>
      <c r="I10630" t="n">
        <v>0</v>
      </c>
      <c r="J10630" t="n">
        <v>0</v>
      </c>
      <c r="K10630" t="n">
        <v>0</v>
      </c>
      <c r="L10630" t="n">
        <v>0</v>
      </c>
      <c r="M10630" t="n">
        <v>0</v>
      </c>
      <c r="N10630" t="n">
        <v>0</v>
      </c>
      <c r="O10630" t="n">
        <v>0</v>
      </c>
      <c r="P10630" t="n">
        <v>0</v>
      </c>
      <c r="Q10630" t="n">
        <v>0</v>
      </c>
      <c r="R10630" s="2" t="inlineStr"/>
    </row>
    <row r="10631" ht="15" customHeight="1">
      <c r="A10631" t="inlineStr">
        <is>
          <t>A 25911-2025</t>
        </is>
      </c>
      <c r="B10631" s="1" t="n">
        <v>45804.55912037037</v>
      </c>
      <c r="C10631" s="1" t="n">
        <v>45952</v>
      </c>
      <c r="D10631" t="inlineStr">
        <is>
          <t>VÄSTRA GÖTALANDS LÄN</t>
        </is>
      </c>
      <c r="E10631" t="inlineStr">
        <is>
          <t>VÅRGÅRDA</t>
        </is>
      </c>
      <c r="G10631" t="n">
        <v>2</v>
      </c>
      <c r="H10631" t="n">
        <v>0</v>
      </c>
      <c r="I10631" t="n">
        <v>0</v>
      </c>
      <c r="J10631" t="n">
        <v>0</v>
      </c>
      <c r="K10631" t="n">
        <v>0</v>
      </c>
      <c r="L10631" t="n">
        <v>0</v>
      </c>
      <c r="M10631" t="n">
        <v>0</v>
      </c>
      <c r="N10631" t="n">
        <v>0</v>
      </c>
      <c r="O10631" t="n">
        <v>0</v>
      </c>
      <c r="P10631" t="n">
        <v>0</v>
      </c>
      <c r="Q10631" t="n">
        <v>0</v>
      </c>
      <c r="R10631" s="2" t="inlineStr"/>
    </row>
    <row r="10632" ht="15" customHeight="1">
      <c r="A10632" t="inlineStr">
        <is>
          <t>A 57904-2021</t>
        </is>
      </c>
      <c r="B10632" s="1" t="n">
        <v>44486.73458333333</v>
      </c>
      <c r="C10632" s="1" t="n">
        <v>45952</v>
      </c>
      <c r="D10632" t="inlineStr">
        <is>
          <t>VÄSTRA GÖTALANDS LÄN</t>
        </is>
      </c>
      <c r="E10632" t="inlineStr">
        <is>
          <t>SVENLJUNGA</t>
        </is>
      </c>
      <c r="G10632" t="n">
        <v>1.5</v>
      </c>
      <c r="H10632" t="n">
        <v>0</v>
      </c>
      <c r="I10632" t="n">
        <v>0</v>
      </c>
      <c r="J10632" t="n">
        <v>0</v>
      </c>
      <c r="K10632" t="n">
        <v>0</v>
      </c>
      <c r="L10632" t="n">
        <v>0</v>
      </c>
      <c r="M10632" t="n">
        <v>0</v>
      </c>
      <c r="N10632" t="n">
        <v>0</v>
      </c>
      <c r="O10632" t="n">
        <v>0</v>
      </c>
      <c r="P10632" t="n">
        <v>0</v>
      </c>
      <c r="Q10632" t="n">
        <v>0</v>
      </c>
      <c r="R10632" s="2" t="inlineStr"/>
    </row>
    <row r="10633" ht="15" customHeight="1">
      <c r="A10633" t="inlineStr">
        <is>
          <t>A 25921-2025</t>
        </is>
      </c>
      <c r="B10633" s="1" t="n">
        <v>45804.57174768519</v>
      </c>
      <c r="C10633" s="1" t="n">
        <v>45952</v>
      </c>
      <c r="D10633" t="inlineStr">
        <is>
          <t>VÄSTRA GÖTALANDS LÄN</t>
        </is>
      </c>
      <c r="E10633" t="inlineStr">
        <is>
          <t>ULRICEHAMN</t>
        </is>
      </c>
      <c r="G10633" t="n">
        <v>5</v>
      </c>
      <c r="H10633" t="n">
        <v>0</v>
      </c>
      <c r="I10633" t="n">
        <v>0</v>
      </c>
      <c r="J10633" t="n">
        <v>0</v>
      </c>
      <c r="K10633" t="n">
        <v>0</v>
      </c>
      <c r="L10633" t="n">
        <v>0</v>
      </c>
      <c r="M10633" t="n">
        <v>0</v>
      </c>
      <c r="N10633" t="n">
        <v>0</v>
      </c>
      <c r="O10633" t="n">
        <v>0</v>
      </c>
      <c r="P10633" t="n">
        <v>0</v>
      </c>
      <c r="Q10633" t="n">
        <v>0</v>
      </c>
      <c r="R10633" s="2" t="inlineStr"/>
    </row>
    <row r="10634" ht="15" customHeight="1">
      <c r="A10634" t="inlineStr">
        <is>
          <t>A 41452-2025</t>
        </is>
      </c>
      <c r="B10634" s="1" t="n">
        <v>45901.43643518518</v>
      </c>
      <c r="C10634" s="1" t="n">
        <v>45952</v>
      </c>
      <c r="D10634" t="inlineStr">
        <is>
          <t>VÄSTRA GÖTALANDS LÄN</t>
        </is>
      </c>
      <c r="E10634" t="inlineStr">
        <is>
          <t>ALINGSÅS</t>
        </is>
      </c>
      <c r="G10634" t="n">
        <v>0.9</v>
      </c>
      <c r="H10634" t="n">
        <v>0</v>
      </c>
      <c r="I10634" t="n">
        <v>0</v>
      </c>
      <c r="J10634" t="n">
        <v>0</v>
      </c>
      <c r="K10634" t="n">
        <v>0</v>
      </c>
      <c r="L10634" t="n">
        <v>0</v>
      </c>
      <c r="M10634" t="n">
        <v>0</v>
      </c>
      <c r="N10634" t="n">
        <v>0</v>
      </c>
      <c r="O10634" t="n">
        <v>0</v>
      </c>
      <c r="P10634" t="n">
        <v>0</v>
      </c>
      <c r="Q10634" t="n">
        <v>0</v>
      </c>
      <c r="R10634" s="2" t="inlineStr"/>
    </row>
    <row r="10635" ht="15" customHeight="1">
      <c r="A10635" t="inlineStr">
        <is>
          <t>A 25912-2025</t>
        </is>
      </c>
      <c r="B10635" s="1" t="n">
        <v>45804.56056712963</v>
      </c>
      <c r="C10635" s="1" t="n">
        <v>45952</v>
      </c>
      <c r="D10635" t="inlineStr">
        <is>
          <t>VÄSTRA GÖTALANDS LÄN</t>
        </is>
      </c>
      <c r="E10635" t="inlineStr">
        <is>
          <t>MARIESTAD</t>
        </is>
      </c>
      <c r="F10635" t="inlineStr">
        <is>
          <t>Sveaskog</t>
        </is>
      </c>
      <c r="G10635" t="n">
        <v>0.7</v>
      </c>
      <c r="H10635" t="n">
        <v>0</v>
      </c>
      <c r="I10635" t="n">
        <v>0</v>
      </c>
      <c r="J10635" t="n">
        <v>0</v>
      </c>
      <c r="K10635" t="n">
        <v>0</v>
      </c>
      <c r="L10635" t="n">
        <v>0</v>
      </c>
      <c r="M10635" t="n">
        <v>0</v>
      </c>
      <c r="N10635" t="n">
        <v>0</v>
      </c>
      <c r="O10635" t="n">
        <v>0</v>
      </c>
      <c r="P10635" t="n">
        <v>0</v>
      </c>
      <c r="Q10635" t="n">
        <v>0</v>
      </c>
      <c r="R10635" s="2" t="inlineStr"/>
    </row>
    <row r="10636" ht="15" customHeight="1">
      <c r="A10636" t="inlineStr">
        <is>
          <t>A 57238-2022</t>
        </is>
      </c>
      <c r="B10636" s="1" t="n">
        <v>44895</v>
      </c>
      <c r="C10636" s="1" t="n">
        <v>45952</v>
      </c>
      <c r="D10636" t="inlineStr">
        <is>
          <t>VÄSTRA GÖTALANDS LÄN</t>
        </is>
      </c>
      <c r="E10636" t="inlineStr">
        <is>
          <t>SKARA</t>
        </is>
      </c>
      <c r="G10636" t="n">
        <v>0.9</v>
      </c>
      <c r="H10636" t="n">
        <v>0</v>
      </c>
      <c r="I10636" t="n">
        <v>0</v>
      </c>
      <c r="J10636" t="n">
        <v>0</v>
      </c>
      <c r="K10636" t="n">
        <v>0</v>
      </c>
      <c r="L10636" t="n">
        <v>0</v>
      </c>
      <c r="M10636" t="n">
        <v>0</v>
      </c>
      <c r="N10636" t="n">
        <v>0</v>
      </c>
      <c r="O10636" t="n">
        <v>0</v>
      </c>
      <c r="P10636" t="n">
        <v>0</v>
      </c>
      <c r="Q10636" t="n">
        <v>0</v>
      </c>
      <c r="R10636" s="2" t="inlineStr"/>
    </row>
    <row r="10637" ht="15" customHeight="1">
      <c r="A10637" t="inlineStr">
        <is>
          <t>A 25439-2022</t>
        </is>
      </c>
      <c r="B10637" s="1" t="n">
        <v>44732.48712962963</v>
      </c>
      <c r="C10637" s="1" t="n">
        <v>45952</v>
      </c>
      <c r="D10637" t="inlineStr">
        <is>
          <t>VÄSTRA GÖTALANDS LÄN</t>
        </is>
      </c>
      <c r="E10637" t="inlineStr">
        <is>
          <t>HÄRRYDA</t>
        </is>
      </c>
      <c r="G10637" t="n">
        <v>0.9</v>
      </c>
      <c r="H10637" t="n">
        <v>0</v>
      </c>
      <c r="I10637" t="n">
        <v>0</v>
      </c>
      <c r="J10637" t="n">
        <v>0</v>
      </c>
      <c r="K10637" t="n">
        <v>0</v>
      </c>
      <c r="L10637" t="n">
        <v>0</v>
      </c>
      <c r="M10637" t="n">
        <v>0</v>
      </c>
      <c r="N10637" t="n">
        <v>0</v>
      </c>
      <c r="O10637" t="n">
        <v>0</v>
      </c>
      <c r="P10637" t="n">
        <v>0</v>
      </c>
      <c r="Q10637" t="n">
        <v>0</v>
      </c>
      <c r="R10637" s="2" t="inlineStr"/>
    </row>
    <row r="10638" ht="15" customHeight="1">
      <c r="A10638" t="inlineStr">
        <is>
          <t>A 41080-2025</t>
        </is>
      </c>
      <c r="B10638" s="1" t="n">
        <v>45898.42802083334</v>
      </c>
      <c r="C10638" s="1" t="n">
        <v>45952</v>
      </c>
      <c r="D10638" t="inlineStr">
        <is>
          <t>VÄSTRA GÖTALANDS LÄN</t>
        </is>
      </c>
      <c r="E10638" t="inlineStr">
        <is>
          <t>BORÅS</t>
        </is>
      </c>
      <c r="G10638" t="n">
        <v>3.2</v>
      </c>
      <c r="H10638" t="n">
        <v>0</v>
      </c>
      <c r="I10638" t="n">
        <v>0</v>
      </c>
      <c r="J10638" t="n">
        <v>0</v>
      </c>
      <c r="K10638" t="n">
        <v>0</v>
      </c>
      <c r="L10638" t="n">
        <v>0</v>
      </c>
      <c r="M10638" t="n">
        <v>0</v>
      </c>
      <c r="N10638" t="n">
        <v>0</v>
      </c>
      <c r="O10638" t="n">
        <v>0</v>
      </c>
      <c r="P10638" t="n">
        <v>0</v>
      </c>
      <c r="Q10638" t="n">
        <v>0</v>
      </c>
      <c r="R10638" s="2" t="inlineStr"/>
    </row>
    <row r="10639" ht="15" customHeight="1">
      <c r="A10639" t="inlineStr">
        <is>
          <t>A 41082-2025</t>
        </is>
      </c>
      <c r="B10639" s="1" t="n">
        <v>45898.43144675926</v>
      </c>
      <c r="C10639" s="1" t="n">
        <v>45952</v>
      </c>
      <c r="D10639" t="inlineStr">
        <is>
          <t>VÄSTRA GÖTALANDS LÄN</t>
        </is>
      </c>
      <c r="E10639" t="inlineStr">
        <is>
          <t>SVENLJUNGA</t>
        </is>
      </c>
      <c r="G10639" t="n">
        <v>1</v>
      </c>
      <c r="H10639" t="n">
        <v>0</v>
      </c>
      <c r="I10639" t="n">
        <v>0</v>
      </c>
      <c r="J10639" t="n">
        <v>0</v>
      </c>
      <c r="K10639" t="n">
        <v>0</v>
      </c>
      <c r="L10639" t="n">
        <v>0</v>
      </c>
      <c r="M10639" t="n">
        <v>0</v>
      </c>
      <c r="N10639" t="n">
        <v>0</v>
      </c>
      <c r="O10639" t="n">
        <v>0</v>
      </c>
      <c r="P10639" t="n">
        <v>0</v>
      </c>
      <c r="Q10639" t="n">
        <v>0</v>
      </c>
      <c r="R10639" s="2" t="inlineStr"/>
    </row>
    <row r="10640" ht="15" customHeight="1">
      <c r="A10640" t="inlineStr">
        <is>
          <t>A 45636-2022</t>
        </is>
      </c>
      <c r="B10640" s="1" t="n">
        <v>44843</v>
      </c>
      <c r="C10640" s="1" t="n">
        <v>45952</v>
      </c>
      <c r="D10640" t="inlineStr">
        <is>
          <t>VÄSTRA GÖTALANDS LÄN</t>
        </is>
      </c>
      <c r="E10640" t="inlineStr">
        <is>
          <t>MARIESTAD</t>
        </is>
      </c>
      <c r="G10640" t="n">
        <v>1.8</v>
      </c>
      <c r="H10640" t="n">
        <v>0</v>
      </c>
      <c r="I10640" t="n">
        <v>0</v>
      </c>
      <c r="J10640" t="n">
        <v>0</v>
      </c>
      <c r="K10640" t="n">
        <v>0</v>
      </c>
      <c r="L10640" t="n">
        <v>0</v>
      </c>
      <c r="M10640" t="n">
        <v>0</v>
      </c>
      <c r="N10640" t="n">
        <v>0</v>
      </c>
      <c r="O10640" t="n">
        <v>0</v>
      </c>
      <c r="P10640" t="n">
        <v>0</v>
      </c>
      <c r="Q10640" t="n">
        <v>0</v>
      </c>
      <c r="R10640" s="2" t="inlineStr"/>
    </row>
    <row r="10641" ht="15" customHeight="1">
      <c r="A10641" t="inlineStr">
        <is>
          <t>A 49950-2025</t>
        </is>
      </c>
      <c r="B10641" s="1" t="n">
        <v>45940.75454861111</v>
      </c>
      <c r="C10641" s="1" t="n">
        <v>45952</v>
      </c>
      <c r="D10641" t="inlineStr">
        <is>
          <t>VÄSTRA GÖTALANDS LÄN</t>
        </is>
      </c>
      <c r="E10641" t="inlineStr">
        <is>
          <t>GRÄSTORP</t>
        </is>
      </c>
      <c r="G10641" t="n">
        <v>12.5</v>
      </c>
      <c r="H10641" t="n">
        <v>0</v>
      </c>
      <c r="I10641" t="n">
        <v>0</v>
      </c>
      <c r="J10641" t="n">
        <v>0</v>
      </c>
      <c r="K10641" t="n">
        <v>0</v>
      </c>
      <c r="L10641" t="n">
        <v>0</v>
      </c>
      <c r="M10641" t="n">
        <v>0</v>
      </c>
      <c r="N10641" t="n">
        <v>0</v>
      </c>
      <c r="O10641" t="n">
        <v>0</v>
      </c>
      <c r="P10641" t="n">
        <v>0</v>
      </c>
      <c r="Q10641" t="n">
        <v>0</v>
      </c>
      <c r="R10641" s="2" t="inlineStr"/>
    </row>
    <row r="10642" ht="15" customHeight="1">
      <c r="A10642" t="inlineStr">
        <is>
          <t>A 57446-2022</t>
        </is>
      </c>
      <c r="B10642" s="1" t="n">
        <v>44896.54659722222</v>
      </c>
      <c r="C10642" s="1" t="n">
        <v>45952</v>
      </c>
      <c r="D10642" t="inlineStr">
        <is>
          <t>VÄSTRA GÖTALANDS LÄN</t>
        </is>
      </c>
      <c r="E10642" t="inlineStr">
        <is>
          <t>FÄRGELANDA</t>
        </is>
      </c>
      <c r="G10642" t="n">
        <v>2.1</v>
      </c>
      <c r="H10642" t="n">
        <v>0</v>
      </c>
      <c r="I10642" t="n">
        <v>0</v>
      </c>
      <c r="J10642" t="n">
        <v>0</v>
      </c>
      <c r="K10642" t="n">
        <v>0</v>
      </c>
      <c r="L10642" t="n">
        <v>0</v>
      </c>
      <c r="M10642" t="n">
        <v>0</v>
      </c>
      <c r="N10642" t="n">
        <v>0</v>
      </c>
      <c r="O10642" t="n">
        <v>0</v>
      </c>
      <c r="P10642" t="n">
        <v>0</v>
      </c>
      <c r="Q10642" t="n">
        <v>0</v>
      </c>
      <c r="R10642" s="2" t="inlineStr"/>
    </row>
    <row r="10643" ht="15" customHeight="1">
      <c r="A10643" t="inlineStr">
        <is>
          <t>A 47349-2025</t>
        </is>
      </c>
      <c r="B10643" s="1" t="n">
        <v>45930.57609953704</v>
      </c>
      <c r="C10643" s="1" t="n">
        <v>45952</v>
      </c>
      <c r="D10643" t="inlineStr">
        <is>
          <t>VÄSTRA GÖTALANDS LÄN</t>
        </is>
      </c>
      <c r="E10643" t="inlineStr">
        <is>
          <t>TIDAHOLM</t>
        </is>
      </c>
      <c r="F10643" t="inlineStr">
        <is>
          <t>Sveaskog</t>
        </is>
      </c>
      <c r="G10643" t="n">
        <v>3.5</v>
      </c>
      <c r="H10643" t="n">
        <v>0</v>
      </c>
      <c r="I10643" t="n">
        <v>0</v>
      </c>
      <c r="J10643" t="n">
        <v>0</v>
      </c>
      <c r="K10643" t="n">
        <v>0</v>
      </c>
      <c r="L10643" t="n">
        <v>0</v>
      </c>
      <c r="M10643" t="n">
        <v>0</v>
      </c>
      <c r="N10643" t="n">
        <v>0</v>
      </c>
      <c r="O10643" t="n">
        <v>0</v>
      </c>
      <c r="P10643" t="n">
        <v>0</v>
      </c>
      <c r="Q10643" t="n">
        <v>0</v>
      </c>
      <c r="R10643" s="2" t="inlineStr"/>
    </row>
    <row r="10644" ht="15" customHeight="1">
      <c r="A10644" t="inlineStr">
        <is>
          <t>A 57491-2022</t>
        </is>
      </c>
      <c r="B10644" s="1" t="n">
        <v>44896</v>
      </c>
      <c r="C10644" s="1" t="n">
        <v>45952</v>
      </c>
      <c r="D10644" t="inlineStr">
        <is>
          <t>VÄSTRA GÖTALANDS LÄN</t>
        </is>
      </c>
      <c r="E10644" t="inlineStr">
        <is>
          <t>ALINGSÅS</t>
        </is>
      </c>
      <c r="G10644" t="n">
        <v>1.9</v>
      </c>
      <c r="H10644" t="n">
        <v>0</v>
      </c>
      <c r="I10644" t="n">
        <v>0</v>
      </c>
      <c r="J10644" t="n">
        <v>0</v>
      </c>
      <c r="K10644" t="n">
        <v>0</v>
      </c>
      <c r="L10644" t="n">
        <v>0</v>
      </c>
      <c r="M10644" t="n">
        <v>0</v>
      </c>
      <c r="N10644" t="n">
        <v>0</v>
      </c>
      <c r="O10644" t="n">
        <v>0</v>
      </c>
      <c r="P10644" t="n">
        <v>0</v>
      </c>
      <c r="Q10644" t="n">
        <v>0</v>
      </c>
      <c r="R10644" s="2" t="inlineStr"/>
    </row>
    <row r="10645" ht="15" customHeight="1">
      <c r="A10645" t="inlineStr">
        <is>
          <t>A 1629-2025</t>
        </is>
      </c>
      <c r="B10645" s="1" t="n">
        <v>45670.6265162037</v>
      </c>
      <c r="C10645" s="1" t="n">
        <v>45952</v>
      </c>
      <c r="D10645" t="inlineStr">
        <is>
          <t>VÄSTRA GÖTALANDS LÄN</t>
        </is>
      </c>
      <c r="E10645" t="inlineStr">
        <is>
          <t>SKÖVDE</t>
        </is>
      </c>
      <c r="G10645" t="n">
        <v>11.8</v>
      </c>
      <c r="H10645" t="n">
        <v>0</v>
      </c>
      <c r="I10645" t="n">
        <v>0</v>
      </c>
      <c r="J10645" t="n">
        <v>0</v>
      </c>
      <c r="K10645" t="n">
        <v>0</v>
      </c>
      <c r="L10645" t="n">
        <v>0</v>
      </c>
      <c r="M10645" t="n">
        <v>0</v>
      </c>
      <c r="N10645" t="n">
        <v>0</v>
      </c>
      <c r="O10645" t="n">
        <v>0</v>
      </c>
      <c r="P10645" t="n">
        <v>0</v>
      </c>
      <c r="Q10645" t="n">
        <v>0</v>
      </c>
      <c r="R10645" s="2" t="inlineStr"/>
    </row>
    <row r="10646" ht="15" customHeight="1">
      <c r="A10646" t="inlineStr">
        <is>
          <t>A 25795-2025</t>
        </is>
      </c>
      <c r="B10646" s="1" t="n">
        <v>45804.39546296297</v>
      </c>
      <c r="C10646" s="1" t="n">
        <v>45952</v>
      </c>
      <c r="D10646" t="inlineStr">
        <is>
          <t>VÄSTRA GÖTALANDS LÄN</t>
        </is>
      </c>
      <c r="E10646" t="inlineStr">
        <is>
          <t>DALS-ED</t>
        </is>
      </c>
      <c r="G10646" t="n">
        <v>1.6</v>
      </c>
      <c r="H10646" t="n">
        <v>0</v>
      </c>
      <c r="I10646" t="n">
        <v>0</v>
      </c>
      <c r="J10646" t="n">
        <v>0</v>
      </c>
      <c r="K10646" t="n">
        <v>0</v>
      </c>
      <c r="L10646" t="n">
        <v>0</v>
      </c>
      <c r="M10646" t="n">
        <v>0</v>
      </c>
      <c r="N10646" t="n">
        <v>0</v>
      </c>
      <c r="O10646" t="n">
        <v>0</v>
      </c>
      <c r="P10646" t="n">
        <v>0</v>
      </c>
      <c r="Q10646" t="n">
        <v>0</v>
      </c>
      <c r="R10646" s="2" t="inlineStr"/>
    </row>
    <row r="10647" ht="15" customHeight="1">
      <c r="A10647" t="inlineStr">
        <is>
          <t>A 25817-2025</t>
        </is>
      </c>
      <c r="B10647" s="1" t="n">
        <v>45804.4325462963</v>
      </c>
      <c r="C10647" s="1" t="n">
        <v>45952</v>
      </c>
      <c r="D10647" t="inlineStr">
        <is>
          <t>VÄSTRA GÖTALANDS LÄN</t>
        </is>
      </c>
      <c r="E10647" t="inlineStr">
        <is>
          <t>ÅMÅL</t>
        </is>
      </c>
      <c r="G10647" t="n">
        <v>1.5</v>
      </c>
      <c r="H10647" t="n">
        <v>0</v>
      </c>
      <c r="I10647" t="n">
        <v>0</v>
      </c>
      <c r="J10647" t="n">
        <v>0</v>
      </c>
      <c r="K10647" t="n">
        <v>0</v>
      </c>
      <c r="L10647" t="n">
        <v>0</v>
      </c>
      <c r="M10647" t="n">
        <v>0</v>
      </c>
      <c r="N10647" t="n">
        <v>0</v>
      </c>
      <c r="O10647" t="n">
        <v>0</v>
      </c>
      <c r="P10647" t="n">
        <v>0</v>
      </c>
      <c r="Q10647" t="n">
        <v>0</v>
      </c>
      <c r="R10647" s="2" t="inlineStr"/>
    </row>
    <row r="10648" ht="15" customHeight="1">
      <c r="A10648" t="inlineStr">
        <is>
          <t>A 41881-2025</t>
        </is>
      </c>
      <c r="B10648" s="1" t="n">
        <v>45903.36444444444</v>
      </c>
      <c r="C10648" s="1" t="n">
        <v>45952</v>
      </c>
      <c r="D10648" t="inlineStr">
        <is>
          <t>VÄSTRA GÖTALANDS LÄN</t>
        </is>
      </c>
      <c r="E10648" t="inlineStr">
        <is>
          <t>ORUST</t>
        </is>
      </c>
      <c r="G10648" t="n">
        <v>3</v>
      </c>
      <c r="H10648" t="n">
        <v>0</v>
      </c>
      <c r="I10648" t="n">
        <v>0</v>
      </c>
      <c r="J10648" t="n">
        <v>0</v>
      </c>
      <c r="K10648" t="n">
        <v>0</v>
      </c>
      <c r="L10648" t="n">
        <v>0</v>
      </c>
      <c r="M10648" t="n">
        <v>0</v>
      </c>
      <c r="N10648" t="n">
        <v>0</v>
      </c>
      <c r="O10648" t="n">
        <v>0</v>
      </c>
      <c r="P10648" t="n">
        <v>0</v>
      </c>
      <c r="Q10648" t="n">
        <v>0</v>
      </c>
      <c r="R10648" s="2" t="inlineStr"/>
    </row>
    <row r="10649" ht="15" customHeight="1">
      <c r="A10649" t="inlineStr">
        <is>
          <t>A 62516-2022</t>
        </is>
      </c>
      <c r="B10649" s="1" t="n">
        <v>44924.61912037037</v>
      </c>
      <c r="C10649" s="1" t="n">
        <v>45952</v>
      </c>
      <c r="D10649" t="inlineStr">
        <is>
          <t>VÄSTRA GÖTALANDS LÄN</t>
        </is>
      </c>
      <c r="E10649" t="inlineStr">
        <is>
          <t>ORUST</t>
        </is>
      </c>
      <c r="G10649" t="n">
        <v>0.5</v>
      </c>
      <c r="H10649" t="n">
        <v>0</v>
      </c>
      <c r="I10649" t="n">
        <v>0</v>
      </c>
      <c r="J10649" t="n">
        <v>0</v>
      </c>
      <c r="K10649" t="n">
        <v>0</v>
      </c>
      <c r="L10649" t="n">
        <v>0</v>
      </c>
      <c r="M10649" t="n">
        <v>0</v>
      </c>
      <c r="N10649" t="n">
        <v>0</v>
      </c>
      <c r="O10649" t="n">
        <v>0</v>
      </c>
      <c r="P10649" t="n">
        <v>0</v>
      </c>
      <c r="Q10649" t="n">
        <v>0</v>
      </c>
      <c r="R10649" s="2" t="inlineStr"/>
    </row>
    <row r="10650" ht="15" customHeight="1">
      <c r="A10650" t="inlineStr">
        <is>
          <t>A 62521-2022</t>
        </is>
      </c>
      <c r="B10650" s="1" t="n">
        <v>44924.63210648148</v>
      </c>
      <c r="C10650" s="1" t="n">
        <v>45952</v>
      </c>
      <c r="D10650" t="inlineStr">
        <is>
          <t>VÄSTRA GÖTALANDS LÄN</t>
        </is>
      </c>
      <c r="E10650" t="inlineStr">
        <is>
          <t>TÖREBODA</t>
        </is>
      </c>
      <c r="G10650" t="n">
        <v>1.9</v>
      </c>
      <c r="H10650" t="n">
        <v>0</v>
      </c>
      <c r="I10650" t="n">
        <v>0</v>
      </c>
      <c r="J10650" t="n">
        <v>0</v>
      </c>
      <c r="K10650" t="n">
        <v>0</v>
      </c>
      <c r="L10650" t="n">
        <v>0</v>
      </c>
      <c r="M10650" t="n">
        <v>0</v>
      </c>
      <c r="N10650" t="n">
        <v>0</v>
      </c>
      <c r="O10650" t="n">
        <v>0</v>
      </c>
      <c r="P10650" t="n">
        <v>0</v>
      </c>
      <c r="Q10650" t="n">
        <v>0</v>
      </c>
      <c r="R10650" s="2" t="inlineStr"/>
    </row>
    <row r="10651" ht="15" customHeight="1">
      <c r="A10651" t="inlineStr">
        <is>
          <t>A 25840-2025</t>
        </is>
      </c>
      <c r="B10651" s="1" t="n">
        <v>45804</v>
      </c>
      <c r="C10651" s="1" t="n">
        <v>45952</v>
      </c>
      <c r="D10651" t="inlineStr">
        <is>
          <t>VÄSTRA GÖTALANDS LÄN</t>
        </is>
      </c>
      <c r="E10651" t="inlineStr">
        <is>
          <t>ALE</t>
        </is>
      </c>
      <c r="G10651" t="n">
        <v>3.8</v>
      </c>
      <c r="H10651" t="n">
        <v>0</v>
      </c>
      <c r="I10651" t="n">
        <v>0</v>
      </c>
      <c r="J10651" t="n">
        <v>0</v>
      </c>
      <c r="K10651" t="n">
        <v>0</v>
      </c>
      <c r="L10651" t="n">
        <v>0</v>
      </c>
      <c r="M10651" t="n">
        <v>0</v>
      </c>
      <c r="N10651" t="n">
        <v>0</v>
      </c>
      <c r="O10651" t="n">
        <v>0</v>
      </c>
      <c r="P10651" t="n">
        <v>0</v>
      </c>
      <c r="Q10651" t="n">
        <v>0</v>
      </c>
      <c r="R10651" s="2" t="inlineStr"/>
    </row>
    <row r="10652" ht="15" customHeight="1">
      <c r="A10652" t="inlineStr">
        <is>
          <t>A 27908-2025</t>
        </is>
      </c>
      <c r="B10652" s="1" t="n">
        <v>45817.4727199074</v>
      </c>
      <c r="C10652" s="1" t="n">
        <v>45952</v>
      </c>
      <c r="D10652" t="inlineStr">
        <is>
          <t>VÄSTRA GÖTALANDS LÄN</t>
        </is>
      </c>
      <c r="E10652" t="inlineStr">
        <is>
          <t>MELLERUD</t>
        </is>
      </c>
      <c r="G10652" t="n">
        <v>2.1</v>
      </c>
      <c r="H10652" t="n">
        <v>0</v>
      </c>
      <c r="I10652" t="n">
        <v>0</v>
      </c>
      <c r="J10652" t="n">
        <v>0</v>
      </c>
      <c r="K10652" t="n">
        <v>0</v>
      </c>
      <c r="L10652" t="n">
        <v>0</v>
      </c>
      <c r="M10652" t="n">
        <v>0</v>
      </c>
      <c r="N10652" t="n">
        <v>0</v>
      </c>
      <c r="O10652" t="n">
        <v>0</v>
      </c>
      <c r="P10652" t="n">
        <v>0</v>
      </c>
      <c r="Q10652" t="n">
        <v>0</v>
      </c>
      <c r="R10652" s="2" t="inlineStr"/>
    </row>
    <row r="10653" ht="15" customHeight="1">
      <c r="A10653" t="inlineStr">
        <is>
          <t>A 25890-2025</t>
        </is>
      </c>
      <c r="B10653" s="1" t="n">
        <v>45804.53324074074</v>
      </c>
      <c r="C10653" s="1" t="n">
        <v>45952</v>
      </c>
      <c r="D10653" t="inlineStr">
        <is>
          <t>VÄSTRA GÖTALANDS LÄN</t>
        </is>
      </c>
      <c r="E10653" t="inlineStr">
        <is>
          <t>FÄRGELANDA</t>
        </is>
      </c>
      <c r="G10653" t="n">
        <v>1</v>
      </c>
      <c r="H10653" t="n">
        <v>0</v>
      </c>
      <c r="I10653" t="n">
        <v>0</v>
      </c>
      <c r="J10653" t="n">
        <v>0</v>
      </c>
      <c r="K10653" t="n">
        <v>0</v>
      </c>
      <c r="L10653" t="n">
        <v>0</v>
      </c>
      <c r="M10653" t="n">
        <v>0</v>
      </c>
      <c r="N10653" t="n">
        <v>0</v>
      </c>
      <c r="O10653" t="n">
        <v>0</v>
      </c>
      <c r="P10653" t="n">
        <v>0</v>
      </c>
      <c r="Q10653" t="n">
        <v>0</v>
      </c>
      <c r="R10653" s="2" t="inlineStr"/>
    </row>
    <row r="10654" ht="15" customHeight="1">
      <c r="A10654" t="inlineStr">
        <is>
          <t>A 25897-2025</t>
        </is>
      </c>
      <c r="B10654" s="1" t="n">
        <v>45804.5475</v>
      </c>
      <c r="C10654" s="1" t="n">
        <v>45952</v>
      </c>
      <c r="D10654" t="inlineStr">
        <is>
          <t>VÄSTRA GÖTALANDS LÄN</t>
        </is>
      </c>
      <c r="E10654" t="inlineStr">
        <is>
          <t>ALINGSÅS</t>
        </is>
      </c>
      <c r="G10654" t="n">
        <v>0.6</v>
      </c>
      <c r="H10654" t="n">
        <v>0</v>
      </c>
      <c r="I10654" t="n">
        <v>0</v>
      </c>
      <c r="J10654" t="n">
        <v>0</v>
      </c>
      <c r="K10654" t="n">
        <v>0</v>
      </c>
      <c r="L10654" t="n">
        <v>0</v>
      </c>
      <c r="M10654" t="n">
        <v>0</v>
      </c>
      <c r="N10654" t="n">
        <v>0</v>
      </c>
      <c r="O10654" t="n">
        <v>0</v>
      </c>
      <c r="P10654" t="n">
        <v>0</v>
      </c>
      <c r="Q10654" t="n">
        <v>0</v>
      </c>
      <c r="R10654" s="2" t="inlineStr"/>
    </row>
    <row r="10655" ht="15" customHeight="1">
      <c r="A10655" t="inlineStr">
        <is>
          <t>A 57120-2022</t>
        </is>
      </c>
      <c r="B10655" s="1" t="n">
        <v>44895.54767361111</v>
      </c>
      <c r="C10655" s="1" t="n">
        <v>45952</v>
      </c>
      <c r="D10655" t="inlineStr">
        <is>
          <t>VÄSTRA GÖTALANDS LÄN</t>
        </is>
      </c>
      <c r="E10655" t="inlineStr">
        <is>
          <t>LERUM</t>
        </is>
      </c>
      <c r="G10655" t="n">
        <v>1.1</v>
      </c>
      <c r="H10655" t="n">
        <v>0</v>
      </c>
      <c r="I10655" t="n">
        <v>0</v>
      </c>
      <c r="J10655" t="n">
        <v>0</v>
      </c>
      <c r="K10655" t="n">
        <v>0</v>
      </c>
      <c r="L10655" t="n">
        <v>0</v>
      </c>
      <c r="M10655" t="n">
        <v>0</v>
      </c>
      <c r="N10655" t="n">
        <v>0</v>
      </c>
      <c r="O10655" t="n">
        <v>0</v>
      </c>
      <c r="P10655" t="n">
        <v>0</v>
      </c>
      <c r="Q10655" t="n">
        <v>0</v>
      </c>
      <c r="R10655" s="2" t="inlineStr"/>
    </row>
    <row r="10656" ht="15" customHeight="1">
      <c r="A10656" t="inlineStr">
        <is>
          <t>A 26264-2025</t>
        </is>
      </c>
      <c r="B10656" s="1" t="n">
        <v>45805.58908564815</v>
      </c>
      <c r="C10656" s="1" t="n">
        <v>45952</v>
      </c>
      <c r="D10656" t="inlineStr">
        <is>
          <t>VÄSTRA GÖTALANDS LÄN</t>
        </is>
      </c>
      <c r="E10656" t="inlineStr">
        <is>
          <t>TANUM</t>
        </is>
      </c>
      <c r="G10656" t="n">
        <v>2.3</v>
      </c>
      <c r="H10656" t="n">
        <v>0</v>
      </c>
      <c r="I10656" t="n">
        <v>0</v>
      </c>
      <c r="J10656" t="n">
        <v>0</v>
      </c>
      <c r="K10656" t="n">
        <v>0</v>
      </c>
      <c r="L10656" t="n">
        <v>0</v>
      </c>
      <c r="M10656" t="n">
        <v>0</v>
      </c>
      <c r="N10656" t="n">
        <v>0</v>
      </c>
      <c r="O10656" t="n">
        <v>0</v>
      </c>
      <c r="P10656" t="n">
        <v>0</v>
      </c>
      <c r="Q10656" t="n">
        <v>0</v>
      </c>
      <c r="R10656" s="2" t="inlineStr"/>
    </row>
    <row r="10657" ht="15" customHeight="1">
      <c r="A10657" t="inlineStr">
        <is>
          <t>A 25957-2025</t>
        </is>
      </c>
      <c r="B10657" s="1" t="n">
        <v>45804.60773148148</v>
      </c>
      <c r="C10657" s="1" t="n">
        <v>45952</v>
      </c>
      <c r="D10657" t="inlineStr">
        <is>
          <t>VÄSTRA GÖTALANDS LÄN</t>
        </is>
      </c>
      <c r="E10657" t="inlineStr">
        <is>
          <t>MUNKEDAL</t>
        </is>
      </c>
      <c r="G10657" t="n">
        <v>10.9</v>
      </c>
      <c r="H10657" t="n">
        <v>0</v>
      </c>
      <c r="I10657" t="n">
        <v>0</v>
      </c>
      <c r="J10657" t="n">
        <v>0</v>
      </c>
      <c r="K10657" t="n">
        <v>0</v>
      </c>
      <c r="L10657" t="n">
        <v>0</v>
      </c>
      <c r="M10657" t="n">
        <v>0</v>
      </c>
      <c r="N10657" t="n">
        <v>0</v>
      </c>
      <c r="O10657" t="n">
        <v>0</v>
      </c>
      <c r="P10657" t="n">
        <v>0</v>
      </c>
      <c r="Q10657" t="n">
        <v>0</v>
      </c>
      <c r="R10657" s="2" t="inlineStr"/>
    </row>
    <row r="10658" ht="15" customHeight="1">
      <c r="A10658" t="inlineStr">
        <is>
          <t>A 50405-2023</t>
        </is>
      </c>
      <c r="B10658" s="1" t="n">
        <v>45216</v>
      </c>
      <c r="C10658" s="1" t="n">
        <v>45952</v>
      </c>
      <c r="D10658" t="inlineStr">
        <is>
          <t>VÄSTRA GÖTALANDS LÄN</t>
        </is>
      </c>
      <c r="E10658" t="inlineStr">
        <is>
          <t>LERUM</t>
        </is>
      </c>
      <c r="G10658" t="n">
        <v>5.2</v>
      </c>
      <c r="H10658" t="n">
        <v>0</v>
      </c>
      <c r="I10658" t="n">
        <v>0</v>
      </c>
      <c r="J10658" t="n">
        <v>0</v>
      </c>
      <c r="K10658" t="n">
        <v>0</v>
      </c>
      <c r="L10658" t="n">
        <v>0</v>
      </c>
      <c r="M10658" t="n">
        <v>0</v>
      </c>
      <c r="N10658" t="n">
        <v>0</v>
      </c>
      <c r="O10658" t="n">
        <v>0</v>
      </c>
      <c r="P10658" t="n">
        <v>0</v>
      </c>
      <c r="Q10658" t="n">
        <v>0</v>
      </c>
      <c r="R10658" s="2" t="inlineStr"/>
    </row>
    <row r="10659" ht="15" customHeight="1">
      <c r="A10659" t="inlineStr">
        <is>
          <t>A 50410-2023</t>
        </is>
      </c>
      <c r="B10659" s="1" t="n">
        <v>45216.66064814815</v>
      </c>
      <c r="C10659" s="1" t="n">
        <v>45952</v>
      </c>
      <c r="D10659" t="inlineStr">
        <is>
          <t>VÄSTRA GÖTALANDS LÄN</t>
        </is>
      </c>
      <c r="E10659" t="inlineStr">
        <is>
          <t>LERUM</t>
        </is>
      </c>
      <c r="G10659" t="n">
        <v>0.8</v>
      </c>
      <c r="H10659" t="n">
        <v>0</v>
      </c>
      <c r="I10659" t="n">
        <v>0</v>
      </c>
      <c r="J10659" t="n">
        <v>0</v>
      </c>
      <c r="K10659" t="n">
        <v>0</v>
      </c>
      <c r="L10659" t="n">
        <v>0</v>
      </c>
      <c r="M10659" t="n">
        <v>0</v>
      </c>
      <c r="N10659" t="n">
        <v>0</v>
      </c>
      <c r="O10659" t="n">
        <v>0</v>
      </c>
      <c r="P10659" t="n">
        <v>0</v>
      </c>
      <c r="Q10659" t="n">
        <v>0</v>
      </c>
      <c r="R10659" s="2" t="inlineStr"/>
    </row>
    <row r="10660" ht="15" customHeight="1">
      <c r="A10660" t="inlineStr">
        <is>
          <t>A 26377-2025</t>
        </is>
      </c>
      <c r="B10660" s="1" t="n">
        <v>45806.48881944444</v>
      </c>
      <c r="C10660" s="1" t="n">
        <v>45952</v>
      </c>
      <c r="D10660" t="inlineStr">
        <is>
          <t>VÄSTRA GÖTALANDS LÄN</t>
        </is>
      </c>
      <c r="E10660" t="inlineStr">
        <is>
          <t>ULRICEHAMN</t>
        </is>
      </c>
      <c r="G10660" t="n">
        <v>2.4</v>
      </c>
      <c r="H10660" t="n">
        <v>0</v>
      </c>
      <c r="I10660" t="n">
        <v>0</v>
      </c>
      <c r="J10660" t="n">
        <v>0</v>
      </c>
      <c r="K10660" t="n">
        <v>0</v>
      </c>
      <c r="L10660" t="n">
        <v>0</v>
      </c>
      <c r="M10660" t="n">
        <v>0</v>
      </c>
      <c r="N10660" t="n">
        <v>0</v>
      </c>
      <c r="O10660" t="n">
        <v>0</v>
      </c>
      <c r="P10660" t="n">
        <v>0</v>
      </c>
      <c r="Q10660" t="n">
        <v>0</v>
      </c>
      <c r="R10660" s="2" t="inlineStr"/>
    </row>
    <row r="10661" ht="15" customHeight="1">
      <c r="A10661" t="inlineStr">
        <is>
          <t>A 26384-2025</t>
        </is>
      </c>
      <c r="B10661" s="1" t="n">
        <v>45806.49756944444</v>
      </c>
      <c r="C10661" s="1" t="n">
        <v>45952</v>
      </c>
      <c r="D10661" t="inlineStr">
        <is>
          <t>VÄSTRA GÖTALANDS LÄN</t>
        </is>
      </c>
      <c r="E10661" t="inlineStr">
        <is>
          <t>ULRICEHAMN</t>
        </is>
      </c>
      <c r="G10661" t="n">
        <v>0.4</v>
      </c>
      <c r="H10661" t="n">
        <v>0</v>
      </c>
      <c r="I10661" t="n">
        <v>0</v>
      </c>
      <c r="J10661" t="n">
        <v>0</v>
      </c>
      <c r="K10661" t="n">
        <v>0</v>
      </c>
      <c r="L10661" t="n">
        <v>0</v>
      </c>
      <c r="M10661" t="n">
        <v>0</v>
      </c>
      <c r="N10661" t="n">
        <v>0</v>
      </c>
      <c r="O10661" t="n">
        <v>0</v>
      </c>
      <c r="P10661" t="n">
        <v>0</v>
      </c>
      <c r="Q10661" t="n">
        <v>0</v>
      </c>
      <c r="R10661" s="2" t="inlineStr"/>
    </row>
    <row r="10662" ht="15" customHeight="1">
      <c r="A10662" t="inlineStr">
        <is>
          <t>A 46518-2024</t>
        </is>
      </c>
      <c r="B10662" s="1" t="n">
        <v>45582.62869212963</v>
      </c>
      <c r="C10662" s="1" t="n">
        <v>45952</v>
      </c>
      <c r="D10662" t="inlineStr">
        <is>
          <t>VÄSTRA GÖTALANDS LÄN</t>
        </is>
      </c>
      <c r="E10662" t="inlineStr">
        <is>
          <t>ÅMÅL</t>
        </is>
      </c>
      <c r="G10662" t="n">
        <v>5.2</v>
      </c>
      <c r="H10662" t="n">
        <v>0</v>
      </c>
      <c r="I10662" t="n">
        <v>0</v>
      </c>
      <c r="J10662" t="n">
        <v>0</v>
      </c>
      <c r="K10662" t="n">
        <v>0</v>
      </c>
      <c r="L10662" t="n">
        <v>0</v>
      </c>
      <c r="M10662" t="n">
        <v>0</v>
      </c>
      <c r="N10662" t="n">
        <v>0</v>
      </c>
      <c r="O10662" t="n">
        <v>0</v>
      </c>
      <c r="P10662" t="n">
        <v>0</v>
      </c>
      <c r="Q10662" t="n">
        <v>0</v>
      </c>
      <c r="R10662" s="2" t="inlineStr"/>
    </row>
    <row r="10663" ht="15" customHeight="1">
      <c r="A10663" t="inlineStr">
        <is>
          <t>A 46534-2024</t>
        </is>
      </c>
      <c r="B10663" s="1" t="n">
        <v>45582.64283564815</v>
      </c>
      <c r="C10663" s="1" t="n">
        <v>45952</v>
      </c>
      <c r="D10663" t="inlineStr">
        <is>
          <t>VÄSTRA GÖTALANDS LÄN</t>
        </is>
      </c>
      <c r="E10663" t="inlineStr">
        <is>
          <t>FÄRGELANDA</t>
        </is>
      </c>
      <c r="G10663" t="n">
        <v>4.2</v>
      </c>
      <c r="H10663" t="n">
        <v>0</v>
      </c>
      <c r="I10663" t="n">
        <v>0</v>
      </c>
      <c r="J10663" t="n">
        <v>0</v>
      </c>
      <c r="K10663" t="n">
        <v>0</v>
      </c>
      <c r="L10663" t="n">
        <v>0</v>
      </c>
      <c r="M10663" t="n">
        <v>0</v>
      </c>
      <c r="N10663" t="n">
        <v>0</v>
      </c>
      <c r="O10663" t="n">
        <v>0</v>
      </c>
      <c r="P10663" t="n">
        <v>0</v>
      </c>
      <c r="Q10663" t="n">
        <v>0</v>
      </c>
      <c r="R10663" s="2" t="inlineStr"/>
    </row>
    <row r="10664" ht="15" customHeight="1">
      <c r="A10664" t="inlineStr">
        <is>
          <t>A 18249-2022</t>
        </is>
      </c>
      <c r="B10664" s="1" t="n">
        <v>44685.40488425926</v>
      </c>
      <c r="C10664" s="1" t="n">
        <v>45952</v>
      </c>
      <c r="D10664" t="inlineStr">
        <is>
          <t>VÄSTRA GÖTALANDS LÄN</t>
        </is>
      </c>
      <c r="E10664" t="inlineStr">
        <is>
          <t>TIDAHOLM</t>
        </is>
      </c>
      <c r="G10664" t="n">
        <v>3</v>
      </c>
      <c r="H10664" t="n">
        <v>0</v>
      </c>
      <c r="I10664" t="n">
        <v>0</v>
      </c>
      <c r="J10664" t="n">
        <v>0</v>
      </c>
      <c r="K10664" t="n">
        <v>0</v>
      </c>
      <c r="L10664" t="n">
        <v>0</v>
      </c>
      <c r="M10664" t="n">
        <v>0</v>
      </c>
      <c r="N10664" t="n">
        <v>0</v>
      </c>
      <c r="O10664" t="n">
        <v>0</v>
      </c>
      <c r="P10664" t="n">
        <v>0</v>
      </c>
      <c r="Q10664" t="n">
        <v>0</v>
      </c>
      <c r="R10664" s="2" t="inlineStr"/>
    </row>
    <row r="10665" ht="15" customHeight="1">
      <c r="A10665" t="inlineStr">
        <is>
          <t>A 45990-2022</t>
        </is>
      </c>
      <c r="B10665" s="1" t="n">
        <v>44846</v>
      </c>
      <c r="C10665" s="1" t="n">
        <v>45952</v>
      </c>
      <c r="D10665" t="inlineStr">
        <is>
          <t>VÄSTRA GÖTALANDS LÄN</t>
        </is>
      </c>
      <c r="E10665" t="inlineStr">
        <is>
          <t>KUNGÄLV</t>
        </is>
      </c>
      <c r="G10665" t="n">
        <v>3.3</v>
      </c>
      <c r="H10665" t="n">
        <v>0</v>
      </c>
      <c r="I10665" t="n">
        <v>0</v>
      </c>
      <c r="J10665" t="n">
        <v>0</v>
      </c>
      <c r="K10665" t="n">
        <v>0</v>
      </c>
      <c r="L10665" t="n">
        <v>0</v>
      </c>
      <c r="M10665" t="n">
        <v>0</v>
      </c>
      <c r="N10665" t="n">
        <v>0</v>
      </c>
      <c r="O10665" t="n">
        <v>0</v>
      </c>
      <c r="P10665" t="n">
        <v>0</v>
      </c>
      <c r="Q10665" t="n">
        <v>0</v>
      </c>
      <c r="R10665" s="2" t="inlineStr"/>
    </row>
    <row r="10666" ht="15" customHeight="1">
      <c r="A10666" t="inlineStr">
        <is>
          <t>A 18296-2022</t>
        </is>
      </c>
      <c r="B10666" s="1" t="n">
        <v>44685.53243055556</v>
      </c>
      <c r="C10666" s="1" t="n">
        <v>45952</v>
      </c>
      <c r="D10666" t="inlineStr">
        <is>
          <t>VÄSTRA GÖTALANDS LÄN</t>
        </is>
      </c>
      <c r="E10666" t="inlineStr">
        <is>
          <t>ULRICEHAMN</t>
        </is>
      </c>
      <c r="G10666" t="n">
        <v>1.3</v>
      </c>
      <c r="H10666" t="n">
        <v>0</v>
      </c>
      <c r="I10666" t="n">
        <v>0</v>
      </c>
      <c r="J10666" t="n">
        <v>0</v>
      </c>
      <c r="K10666" t="n">
        <v>0</v>
      </c>
      <c r="L10666" t="n">
        <v>0</v>
      </c>
      <c r="M10666" t="n">
        <v>0</v>
      </c>
      <c r="N10666" t="n">
        <v>0</v>
      </c>
      <c r="O10666" t="n">
        <v>0</v>
      </c>
      <c r="P10666" t="n">
        <v>0</v>
      </c>
      <c r="Q10666" t="n">
        <v>0</v>
      </c>
      <c r="R10666" s="2" t="inlineStr"/>
    </row>
    <row r="10667" ht="15" customHeight="1">
      <c r="A10667" t="inlineStr">
        <is>
          <t>A 1453-2024</t>
        </is>
      </c>
      <c r="B10667" s="1" t="n">
        <v>45303.82884259259</v>
      </c>
      <c r="C10667" s="1" t="n">
        <v>45952</v>
      </c>
      <c r="D10667" t="inlineStr">
        <is>
          <t>VÄSTRA GÖTALANDS LÄN</t>
        </is>
      </c>
      <c r="E10667" t="inlineStr">
        <is>
          <t>MARK</t>
        </is>
      </c>
      <c r="G10667" t="n">
        <v>2.5</v>
      </c>
      <c r="H10667" t="n">
        <v>0</v>
      </c>
      <c r="I10667" t="n">
        <v>0</v>
      </c>
      <c r="J10667" t="n">
        <v>0</v>
      </c>
      <c r="K10667" t="n">
        <v>0</v>
      </c>
      <c r="L10667" t="n">
        <v>0</v>
      </c>
      <c r="M10667" t="n">
        <v>0</v>
      </c>
      <c r="N10667" t="n">
        <v>0</v>
      </c>
      <c r="O10667" t="n">
        <v>0</v>
      </c>
      <c r="P10667" t="n">
        <v>0</v>
      </c>
      <c r="Q10667" t="n">
        <v>0</v>
      </c>
      <c r="R10667" s="2" t="inlineStr"/>
    </row>
    <row r="10668" ht="15" customHeight="1">
      <c r="A10668" t="inlineStr">
        <is>
          <t>A 49932-2022</t>
        </is>
      </c>
      <c r="B10668" s="1" t="n">
        <v>44865</v>
      </c>
      <c r="C10668" s="1" t="n">
        <v>45952</v>
      </c>
      <c r="D10668" t="inlineStr">
        <is>
          <t>VÄSTRA GÖTALANDS LÄN</t>
        </is>
      </c>
      <c r="E10668" t="inlineStr">
        <is>
          <t>MARIESTAD</t>
        </is>
      </c>
      <c r="G10668" t="n">
        <v>1.1</v>
      </c>
      <c r="H10668" t="n">
        <v>0</v>
      </c>
      <c r="I10668" t="n">
        <v>0</v>
      </c>
      <c r="J10668" t="n">
        <v>0</v>
      </c>
      <c r="K10668" t="n">
        <v>0</v>
      </c>
      <c r="L10668" t="n">
        <v>0</v>
      </c>
      <c r="M10668" t="n">
        <v>0</v>
      </c>
      <c r="N10668" t="n">
        <v>0</v>
      </c>
      <c r="O10668" t="n">
        <v>0</v>
      </c>
      <c r="P10668" t="n">
        <v>0</v>
      </c>
      <c r="Q10668" t="n">
        <v>0</v>
      </c>
      <c r="R10668" s="2" t="inlineStr"/>
    </row>
    <row r="10669" ht="15" customHeight="1">
      <c r="A10669" t="inlineStr">
        <is>
          <t>A 12584-2022</t>
        </is>
      </c>
      <c r="B10669" s="1" t="n">
        <v>44639.43059027778</v>
      </c>
      <c r="C10669" s="1" t="n">
        <v>45952</v>
      </c>
      <c r="D10669" t="inlineStr">
        <is>
          <t>VÄSTRA GÖTALANDS LÄN</t>
        </is>
      </c>
      <c r="E10669" t="inlineStr">
        <is>
          <t>BORÅS</t>
        </is>
      </c>
      <c r="G10669" t="n">
        <v>2.1</v>
      </c>
      <c r="H10669" t="n">
        <v>0</v>
      </c>
      <c r="I10669" t="n">
        <v>0</v>
      </c>
      <c r="J10669" t="n">
        <v>0</v>
      </c>
      <c r="K10669" t="n">
        <v>0</v>
      </c>
      <c r="L10669" t="n">
        <v>0</v>
      </c>
      <c r="M10669" t="n">
        <v>0</v>
      </c>
      <c r="N10669" t="n">
        <v>0</v>
      </c>
      <c r="O10669" t="n">
        <v>0</v>
      </c>
      <c r="P10669" t="n">
        <v>0</v>
      </c>
      <c r="Q10669" t="n">
        <v>0</v>
      </c>
      <c r="R10669" s="2" t="inlineStr"/>
    </row>
    <row r="10670" ht="15" customHeight="1">
      <c r="A10670" t="inlineStr">
        <is>
          <t>A 41705-2025</t>
        </is>
      </c>
      <c r="B10670" s="1" t="n">
        <v>45902.42136574074</v>
      </c>
      <c r="C10670" s="1" t="n">
        <v>45952</v>
      </c>
      <c r="D10670" t="inlineStr">
        <is>
          <t>VÄSTRA GÖTALANDS LÄN</t>
        </is>
      </c>
      <c r="E10670" t="inlineStr">
        <is>
          <t>SKARA</t>
        </is>
      </c>
      <c r="G10670" t="n">
        <v>1.4</v>
      </c>
      <c r="H10670" t="n">
        <v>0</v>
      </c>
      <c r="I10670" t="n">
        <v>0</v>
      </c>
      <c r="J10670" t="n">
        <v>0</v>
      </c>
      <c r="K10670" t="n">
        <v>0</v>
      </c>
      <c r="L10670" t="n">
        <v>0</v>
      </c>
      <c r="M10670" t="n">
        <v>0</v>
      </c>
      <c r="N10670" t="n">
        <v>0</v>
      </c>
      <c r="O10670" t="n">
        <v>0</v>
      </c>
      <c r="P10670" t="n">
        <v>0</v>
      </c>
      <c r="Q10670" t="n">
        <v>0</v>
      </c>
      <c r="R10670" s="2" t="inlineStr"/>
    </row>
    <row r="10671" ht="15" customHeight="1">
      <c r="A10671" t="inlineStr">
        <is>
          <t>A 35383-2024</t>
        </is>
      </c>
      <c r="B10671" s="1" t="n">
        <v>45531.38659722222</v>
      </c>
      <c r="C10671" s="1" t="n">
        <v>45952</v>
      </c>
      <c r="D10671" t="inlineStr">
        <is>
          <t>VÄSTRA GÖTALANDS LÄN</t>
        </is>
      </c>
      <c r="E10671" t="inlineStr">
        <is>
          <t>BENGTSFORS</t>
        </is>
      </c>
      <c r="G10671" t="n">
        <v>3.4</v>
      </c>
      <c r="H10671" t="n">
        <v>0</v>
      </c>
      <c r="I10671" t="n">
        <v>0</v>
      </c>
      <c r="J10671" t="n">
        <v>0</v>
      </c>
      <c r="K10671" t="n">
        <v>0</v>
      </c>
      <c r="L10671" t="n">
        <v>0</v>
      </c>
      <c r="M10671" t="n">
        <v>0</v>
      </c>
      <c r="N10671" t="n">
        <v>0</v>
      </c>
      <c r="O10671" t="n">
        <v>0</v>
      </c>
      <c r="P10671" t="n">
        <v>0</v>
      </c>
      <c r="Q10671" t="n">
        <v>0</v>
      </c>
      <c r="R10671" s="2" t="inlineStr"/>
    </row>
    <row r="10672" ht="15" customHeight="1">
      <c r="A10672" t="inlineStr">
        <is>
          <t>A 17932-2023</t>
        </is>
      </c>
      <c r="B10672" s="1" t="n">
        <v>45040</v>
      </c>
      <c r="C10672" s="1" t="n">
        <v>45952</v>
      </c>
      <c r="D10672" t="inlineStr">
        <is>
          <t>VÄSTRA GÖTALANDS LÄN</t>
        </is>
      </c>
      <c r="E10672" t="inlineStr">
        <is>
          <t>VÄNERSBORG</t>
        </is>
      </c>
      <c r="G10672" t="n">
        <v>0.6</v>
      </c>
      <c r="H10672" t="n">
        <v>0</v>
      </c>
      <c r="I10672" t="n">
        <v>0</v>
      </c>
      <c r="J10672" t="n">
        <v>0</v>
      </c>
      <c r="K10672" t="n">
        <v>0</v>
      </c>
      <c r="L10672" t="n">
        <v>0</v>
      </c>
      <c r="M10672" t="n">
        <v>0</v>
      </c>
      <c r="N10672" t="n">
        <v>0</v>
      </c>
      <c r="O10672" t="n">
        <v>0</v>
      </c>
      <c r="P10672" t="n">
        <v>0</v>
      </c>
      <c r="Q10672" t="n">
        <v>0</v>
      </c>
      <c r="R10672" s="2" t="inlineStr"/>
    </row>
    <row r="10673" ht="15" customHeight="1">
      <c r="A10673" t="inlineStr">
        <is>
          <t>A 19038-2023</t>
        </is>
      </c>
      <c r="B10673" s="1" t="n">
        <v>45047</v>
      </c>
      <c r="C10673" s="1" t="n">
        <v>45952</v>
      </c>
      <c r="D10673" t="inlineStr">
        <is>
          <t>VÄSTRA GÖTALANDS LÄN</t>
        </is>
      </c>
      <c r="E10673" t="inlineStr">
        <is>
          <t>TIDAHOLM</t>
        </is>
      </c>
      <c r="G10673" t="n">
        <v>2.2</v>
      </c>
      <c r="H10673" t="n">
        <v>0</v>
      </c>
      <c r="I10673" t="n">
        <v>0</v>
      </c>
      <c r="J10673" t="n">
        <v>0</v>
      </c>
      <c r="K10673" t="n">
        <v>0</v>
      </c>
      <c r="L10673" t="n">
        <v>0</v>
      </c>
      <c r="M10673" t="n">
        <v>0</v>
      </c>
      <c r="N10673" t="n">
        <v>0</v>
      </c>
      <c r="O10673" t="n">
        <v>0</v>
      </c>
      <c r="P10673" t="n">
        <v>0</v>
      </c>
      <c r="Q10673" t="n">
        <v>0</v>
      </c>
      <c r="R10673" s="2" t="inlineStr"/>
    </row>
    <row r="10674" ht="15" customHeight="1">
      <c r="A10674" t="inlineStr">
        <is>
          <t>A 29974-2024</t>
        </is>
      </c>
      <c r="B10674" s="1" t="n">
        <v>45488</v>
      </c>
      <c r="C10674" s="1" t="n">
        <v>45952</v>
      </c>
      <c r="D10674" t="inlineStr">
        <is>
          <t>VÄSTRA GÖTALANDS LÄN</t>
        </is>
      </c>
      <c r="E10674" t="inlineStr">
        <is>
          <t>FALKÖPING</t>
        </is>
      </c>
      <c r="G10674" t="n">
        <v>1.7</v>
      </c>
      <c r="H10674" t="n">
        <v>0</v>
      </c>
      <c r="I10674" t="n">
        <v>0</v>
      </c>
      <c r="J10674" t="n">
        <v>0</v>
      </c>
      <c r="K10674" t="n">
        <v>0</v>
      </c>
      <c r="L10674" t="n">
        <v>0</v>
      </c>
      <c r="M10674" t="n">
        <v>0</v>
      </c>
      <c r="N10674" t="n">
        <v>0</v>
      </c>
      <c r="O10674" t="n">
        <v>0</v>
      </c>
      <c r="P10674" t="n">
        <v>0</v>
      </c>
      <c r="Q10674" t="n">
        <v>0</v>
      </c>
      <c r="R10674" s="2" t="inlineStr"/>
    </row>
    <row r="10675" ht="15" customHeight="1">
      <c r="A10675" t="inlineStr">
        <is>
          <t>A 7411-2025</t>
        </is>
      </c>
      <c r="B10675" s="1" t="n">
        <v>45705.36880787037</v>
      </c>
      <c r="C10675" s="1" t="n">
        <v>45952</v>
      </c>
      <c r="D10675" t="inlineStr">
        <is>
          <t>VÄSTRA GÖTALANDS LÄN</t>
        </is>
      </c>
      <c r="E10675" t="inlineStr">
        <is>
          <t>HERRLJUNGA</t>
        </is>
      </c>
      <c r="G10675" t="n">
        <v>1.8</v>
      </c>
      <c r="H10675" t="n">
        <v>0</v>
      </c>
      <c r="I10675" t="n">
        <v>0</v>
      </c>
      <c r="J10675" t="n">
        <v>0</v>
      </c>
      <c r="K10675" t="n">
        <v>0</v>
      </c>
      <c r="L10675" t="n">
        <v>0</v>
      </c>
      <c r="M10675" t="n">
        <v>0</v>
      </c>
      <c r="N10675" t="n">
        <v>0</v>
      </c>
      <c r="O10675" t="n">
        <v>0</v>
      </c>
      <c r="P10675" t="n">
        <v>0</v>
      </c>
      <c r="Q10675" t="n">
        <v>0</v>
      </c>
      <c r="R10675" s="2" t="inlineStr"/>
    </row>
    <row r="10676" ht="15" customHeight="1">
      <c r="A10676" t="inlineStr">
        <is>
          <t>A 29691-2023</t>
        </is>
      </c>
      <c r="B10676" s="1" t="n">
        <v>45107</v>
      </c>
      <c r="C10676" s="1" t="n">
        <v>45952</v>
      </c>
      <c r="D10676" t="inlineStr">
        <is>
          <t>VÄSTRA GÖTALANDS LÄN</t>
        </is>
      </c>
      <c r="E10676" t="inlineStr">
        <is>
          <t>UDDEVALLA</t>
        </is>
      </c>
      <c r="G10676" t="n">
        <v>1</v>
      </c>
      <c r="H10676" t="n">
        <v>0</v>
      </c>
      <c r="I10676" t="n">
        <v>0</v>
      </c>
      <c r="J10676" t="n">
        <v>0</v>
      </c>
      <c r="K10676" t="n">
        <v>0</v>
      </c>
      <c r="L10676" t="n">
        <v>0</v>
      </c>
      <c r="M10676" t="n">
        <v>0</v>
      </c>
      <c r="N10676" t="n">
        <v>0</v>
      </c>
      <c r="O10676" t="n">
        <v>0</v>
      </c>
      <c r="P10676" t="n">
        <v>0</v>
      </c>
      <c r="Q10676" t="n">
        <v>0</v>
      </c>
      <c r="R10676" s="2" t="inlineStr"/>
    </row>
    <row r="10677" ht="15" customHeight="1">
      <c r="A10677" t="inlineStr">
        <is>
          <t>A 49150-2023</t>
        </is>
      </c>
      <c r="B10677" s="1" t="n">
        <v>45210.50472222222</v>
      </c>
      <c r="C10677" s="1" t="n">
        <v>45952</v>
      </c>
      <c r="D10677" t="inlineStr">
        <is>
          <t>VÄSTRA GÖTALANDS LÄN</t>
        </is>
      </c>
      <c r="E10677" t="inlineStr">
        <is>
          <t>BORÅS</t>
        </is>
      </c>
      <c r="G10677" t="n">
        <v>1.6</v>
      </c>
      <c r="H10677" t="n">
        <v>0</v>
      </c>
      <c r="I10677" t="n">
        <v>0</v>
      </c>
      <c r="J10677" t="n">
        <v>0</v>
      </c>
      <c r="K10677" t="n">
        <v>0</v>
      </c>
      <c r="L10677" t="n">
        <v>0</v>
      </c>
      <c r="M10677" t="n">
        <v>0</v>
      </c>
      <c r="N10677" t="n">
        <v>0</v>
      </c>
      <c r="O10677" t="n">
        <v>0</v>
      </c>
      <c r="P10677" t="n">
        <v>0</v>
      </c>
      <c r="Q10677" t="n">
        <v>0</v>
      </c>
      <c r="R10677" s="2" t="inlineStr"/>
    </row>
    <row r="10678" ht="15" customHeight="1">
      <c r="A10678" t="inlineStr">
        <is>
          <t>A 49154-2023</t>
        </is>
      </c>
      <c r="B10678" s="1" t="n">
        <v>45210</v>
      </c>
      <c r="C10678" s="1" t="n">
        <v>45952</v>
      </c>
      <c r="D10678" t="inlineStr">
        <is>
          <t>VÄSTRA GÖTALANDS LÄN</t>
        </is>
      </c>
      <c r="E10678" t="inlineStr">
        <is>
          <t>BENGTSFORS</t>
        </is>
      </c>
      <c r="G10678" t="n">
        <v>2.5</v>
      </c>
      <c r="H10678" t="n">
        <v>0</v>
      </c>
      <c r="I10678" t="n">
        <v>0</v>
      </c>
      <c r="J10678" t="n">
        <v>0</v>
      </c>
      <c r="K10678" t="n">
        <v>0</v>
      </c>
      <c r="L10678" t="n">
        <v>0</v>
      </c>
      <c r="M10678" t="n">
        <v>0</v>
      </c>
      <c r="N10678" t="n">
        <v>0</v>
      </c>
      <c r="O10678" t="n">
        <v>0</v>
      </c>
      <c r="P10678" t="n">
        <v>0</v>
      </c>
      <c r="Q10678" t="n">
        <v>0</v>
      </c>
      <c r="R10678" s="2" t="inlineStr"/>
    </row>
    <row r="10679" ht="15" customHeight="1">
      <c r="A10679" t="inlineStr">
        <is>
          <t>A 50587-2022</t>
        </is>
      </c>
      <c r="B10679" s="1" t="n">
        <v>44861</v>
      </c>
      <c r="C10679" s="1" t="n">
        <v>45952</v>
      </c>
      <c r="D10679" t="inlineStr">
        <is>
          <t>VÄSTRA GÖTALANDS LÄN</t>
        </is>
      </c>
      <c r="E10679" t="inlineStr">
        <is>
          <t>GULLSPÅNG</t>
        </is>
      </c>
      <c r="G10679" t="n">
        <v>2</v>
      </c>
      <c r="H10679" t="n">
        <v>0</v>
      </c>
      <c r="I10679" t="n">
        <v>0</v>
      </c>
      <c r="J10679" t="n">
        <v>0</v>
      </c>
      <c r="K10679" t="n">
        <v>0</v>
      </c>
      <c r="L10679" t="n">
        <v>0</v>
      </c>
      <c r="M10679" t="n">
        <v>0</v>
      </c>
      <c r="N10679" t="n">
        <v>0</v>
      </c>
      <c r="O10679" t="n">
        <v>0</v>
      </c>
      <c r="P10679" t="n">
        <v>0</v>
      </c>
      <c r="Q10679" t="n">
        <v>0</v>
      </c>
      <c r="R10679" s="2" t="inlineStr"/>
    </row>
    <row r="10680" ht="15" customHeight="1">
      <c r="A10680" t="inlineStr">
        <is>
          <t>A 41511-2024</t>
        </is>
      </c>
      <c r="B10680" s="1" t="n">
        <v>45560.47459490741</v>
      </c>
      <c r="C10680" s="1" t="n">
        <v>45952</v>
      </c>
      <c r="D10680" t="inlineStr">
        <is>
          <t>VÄSTRA GÖTALANDS LÄN</t>
        </is>
      </c>
      <c r="E10680" t="inlineStr">
        <is>
          <t>UDDEVALLA</t>
        </is>
      </c>
      <c r="G10680" t="n">
        <v>1.3</v>
      </c>
      <c r="H10680" t="n">
        <v>0</v>
      </c>
      <c r="I10680" t="n">
        <v>0</v>
      </c>
      <c r="J10680" t="n">
        <v>0</v>
      </c>
      <c r="K10680" t="n">
        <v>0</v>
      </c>
      <c r="L10680" t="n">
        <v>0</v>
      </c>
      <c r="M10680" t="n">
        <v>0</v>
      </c>
      <c r="N10680" t="n">
        <v>0</v>
      </c>
      <c r="O10680" t="n">
        <v>0</v>
      </c>
      <c r="P10680" t="n">
        <v>0</v>
      </c>
      <c r="Q10680" t="n">
        <v>0</v>
      </c>
      <c r="R10680" s="2" t="inlineStr"/>
    </row>
    <row r="10681" ht="15" customHeight="1">
      <c r="A10681" t="inlineStr">
        <is>
          <t>A 47311-2025</t>
        </is>
      </c>
      <c r="B10681" s="1" t="n">
        <v>45930.54122685185</v>
      </c>
      <c r="C10681" s="1" t="n">
        <v>45952</v>
      </c>
      <c r="D10681" t="inlineStr">
        <is>
          <t>VÄSTRA GÖTALANDS LÄN</t>
        </is>
      </c>
      <c r="E10681" t="inlineStr">
        <is>
          <t>DALS-ED</t>
        </is>
      </c>
      <c r="G10681" t="n">
        <v>1.3</v>
      </c>
      <c r="H10681" t="n">
        <v>0</v>
      </c>
      <c r="I10681" t="n">
        <v>0</v>
      </c>
      <c r="J10681" t="n">
        <v>0</v>
      </c>
      <c r="K10681" t="n">
        <v>0</v>
      </c>
      <c r="L10681" t="n">
        <v>0</v>
      </c>
      <c r="M10681" t="n">
        <v>0</v>
      </c>
      <c r="N10681" t="n">
        <v>0</v>
      </c>
      <c r="O10681" t="n">
        <v>0</v>
      </c>
      <c r="P10681" t="n">
        <v>0</v>
      </c>
      <c r="Q10681" t="n">
        <v>0</v>
      </c>
      <c r="R10681" s="2" t="inlineStr"/>
    </row>
    <row r="10682" ht="15" customHeight="1">
      <c r="A10682" t="inlineStr">
        <is>
          <t>A 42069-2025</t>
        </is>
      </c>
      <c r="B10682" s="1" t="n">
        <v>45903.65700231482</v>
      </c>
      <c r="C10682" s="1" t="n">
        <v>45952</v>
      </c>
      <c r="D10682" t="inlineStr">
        <is>
          <t>VÄSTRA GÖTALANDS LÄN</t>
        </is>
      </c>
      <c r="E10682" t="inlineStr">
        <is>
          <t>ORUST</t>
        </is>
      </c>
      <c r="G10682" t="n">
        <v>1.3</v>
      </c>
      <c r="H10682" t="n">
        <v>0</v>
      </c>
      <c r="I10682" t="n">
        <v>0</v>
      </c>
      <c r="J10682" t="n">
        <v>0</v>
      </c>
      <c r="K10682" t="n">
        <v>0</v>
      </c>
      <c r="L10682" t="n">
        <v>0</v>
      </c>
      <c r="M10682" t="n">
        <v>0</v>
      </c>
      <c r="N10682" t="n">
        <v>0</v>
      </c>
      <c r="O10682" t="n">
        <v>0</v>
      </c>
      <c r="P10682" t="n">
        <v>0</v>
      </c>
      <c r="Q10682" t="n">
        <v>0</v>
      </c>
      <c r="R10682" s="2" t="inlineStr"/>
    </row>
    <row r="10683" ht="15" customHeight="1">
      <c r="A10683" t="inlineStr">
        <is>
          <t>A 49156-2023</t>
        </is>
      </c>
      <c r="B10683" s="1" t="n">
        <v>45210.51917824074</v>
      </c>
      <c r="C10683" s="1" t="n">
        <v>45952</v>
      </c>
      <c r="D10683" t="inlineStr">
        <is>
          <t>VÄSTRA GÖTALANDS LÄN</t>
        </is>
      </c>
      <c r="E10683" t="inlineStr">
        <is>
          <t>MARIESTAD</t>
        </is>
      </c>
      <c r="G10683" t="n">
        <v>0.5</v>
      </c>
      <c r="H10683" t="n">
        <v>0</v>
      </c>
      <c r="I10683" t="n">
        <v>0</v>
      </c>
      <c r="J10683" t="n">
        <v>0</v>
      </c>
      <c r="K10683" t="n">
        <v>0</v>
      </c>
      <c r="L10683" t="n">
        <v>0</v>
      </c>
      <c r="M10683" t="n">
        <v>0</v>
      </c>
      <c r="N10683" t="n">
        <v>0</v>
      </c>
      <c r="O10683" t="n">
        <v>0</v>
      </c>
      <c r="P10683" t="n">
        <v>0</v>
      </c>
      <c r="Q10683" t="n">
        <v>0</v>
      </c>
      <c r="R10683" s="2" t="inlineStr"/>
    </row>
    <row r="10684" ht="15" customHeight="1">
      <c r="A10684" t="inlineStr">
        <is>
          <t>A 26515-2025</t>
        </is>
      </c>
      <c r="B10684" s="1" t="n">
        <v>45807.55388888889</v>
      </c>
      <c r="C10684" s="1" t="n">
        <v>45952</v>
      </c>
      <c r="D10684" t="inlineStr">
        <is>
          <t>VÄSTRA GÖTALANDS LÄN</t>
        </is>
      </c>
      <c r="E10684" t="inlineStr">
        <is>
          <t>MARK</t>
        </is>
      </c>
      <c r="G10684" t="n">
        <v>0.6</v>
      </c>
      <c r="H10684" t="n">
        <v>0</v>
      </c>
      <c r="I10684" t="n">
        <v>0</v>
      </c>
      <c r="J10684" t="n">
        <v>0</v>
      </c>
      <c r="K10684" t="n">
        <v>0</v>
      </c>
      <c r="L10684" t="n">
        <v>0</v>
      </c>
      <c r="M10684" t="n">
        <v>0</v>
      </c>
      <c r="N10684" t="n">
        <v>0</v>
      </c>
      <c r="O10684" t="n">
        <v>0</v>
      </c>
      <c r="P10684" t="n">
        <v>0</v>
      </c>
      <c r="Q10684" t="n">
        <v>0</v>
      </c>
      <c r="R10684" s="2" t="inlineStr"/>
    </row>
    <row r="10685" ht="15" customHeight="1">
      <c r="A10685" t="inlineStr">
        <is>
          <t>A 54459-2023</t>
        </is>
      </c>
      <c r="B10685" s="1" t="n">
        <v>45233.45410879629</v>
      </c>
      <c r="C10685" s="1" t="n">
        <v>45952</v>
      </c>
      <c r="D10685" t="inlineStr">
        <is>
          <t>VÄSTRA GÖTALANDS LÄN</t>
        </is>
      </c>
      <c r="E10685" t="inlineStr">
        <is>
          <t>TÖREBODA</t>
        </is>
      </c>
      <c r="F10685" t="inlineStr">
        <is>
          <t>Övriga statliga verk och myndigheter</t>
        </is>
      </c>
      <c r="G10685" t="n">
        <v>1.6</v>
      </c>
      <c r="H10685" t="n">
        <v>0</v>
      </c>
      <c r="I10685" t="n">
        <v>0</v>
      </c>
      <c r="J10685" t="n">
        <v>0</v>
      </c>
      <c r="K10685" t="n">
        <v>0</v>
      </c>
      <c r="L10685" t="n">
        <v>0</v>
      </c>
      <c r="M10685" t="n">
        <v>0</v>
      </c>
      <c r="N10685" t="n">
        <v>0</v>
      </c>
      <c r="O10685" t="n">
        <v>0</v>
      </c>
      <c r="P10685" t="n">
        <v>0</v>
      </c>
      <c r="Q10685" t="n">
        <v>0</v>
      </c>
      <c r="R10685" s="2" t="inlineStr"/>
    </row>
    <row r="10686" ht="15" customHeight="1">
      <c r="A10686" t="inlineStr">
        <is>
          <t>A 29891-2022</t>
        </is>
      </c>
      <c r="B10686" s="1" t="n">
        <v>44756.48106481481</v>
      </c>
      <c r="C10686" s="1" t="n">
        <v>45952</v>
      </c>
      <c r="D10686" t="inlineStr">
        <is>
          <t>VÄSTRA GÖTALANDS LÄN</t>
        </is>
      </c>
      <c r="E10686" t="inlineStr">
        <is>
          <t>TÖREBODA</t>
        </is>
      </c>
      <c r="G10686" t="n">
        <v>1.2</v>
      </c>
      <c r="H10686" t="n">
        <v>0</v>
      </c>
      <c r="I10686" t="n">
        <v>0</v>
      </c>
      <c r="J10686" t="n">
        <v>0</v>
      </c>
      <c r="K10686" t="n">
        <v>0</v>
      </c>
      <c r="L10686" t="n">
        <v>0</v>
      </c>
      <c r="M10686" t="n">
        <v>0</v>
      </c>
      <c r="N10686" t="n">
        <v>0</v>
      </c>
      <c r="O10686" t="n">
        <v>0</v>
      </c>
      <c r="P10686" t="n">
        <v>0</v>
      </c>
      <c r="Q10686" t="n">
        <v>0</v>
      </c>
      <c r="R10686" s="2" t="inlineStr"/>
    </row>
    <row r="10687" ht="15" customHeight="1">
      <c r="A10687" t="inlineStr">
        <is>
          <t>A 61312-2023</t>
        </is>
      </c>
      <c r="B10687" s="1" t="n">
        <v>45264.56998842592</v>
      </c>
      <c r="C10687" s="1" t="n">
        <v>45952</v>
      </c>
      <c r="D10687" t="inlineStr">
        <is>
          <t>VÄSTRA GÖTALANDS LÄN</t>
        </is>
      </c>
      <c r="E10687" t="inlineStr">
        <is>
          <t>LIDKÖPING</t>
        </is>
      </c>
      <c r="G10687" t="n">
        <v>0.7</v>
      </c>
      <c r="H10687" t="n">
        <v>0</v>
      </c>
      <c r="I10687" t="n">
        <v>0</v>
      </c>
      <c r="J10687" t="n">
        <v>0</v>
      </c>
      <c r="K10687" t="n">
        <v>0</v>
      </c>
      <c r="L10687" t="n">
        <v>0</v>
      </c>
      <c r="M10687" t="n">
        <v>0</v>
      </c>
      <c r="N10687" t="n">
        <v>0</v>
      </c>
      <c r="O10687" t="n">
        <v>0</v>
      </c>
      <c r="P10687" t="n">
        <v>0</v>
      </c>
      <c r="Q10687" t="n">
        <v>0</v>
      </c>
      <c r="R10687" s="2" t="inlineStr"/>
    </row>
    <row r="10688" ht="15" customHeight="1">
      <c r="A10688" t="inlineStr">
        <is>
          <t>A 39315-2022</t>
        </is>
      </c>
      <c r="B10688" s="1" t="n">
        <v>44817.70091435185</v>
      </c>
      <c r="C10688" s="1" t="n">
        <v>45952</v>
      </c>
      <c r="D10688" t="inlineStr">
        <is>
          <t>VÄSTRA GÖTALANDS LÄN</t>
        </is>
      </c>
      <c r="E10688" t="inlineStr">
        <is>
          <t>TIDAHOLM</t>
        </is>
      </c>
      <c r="G10688" t="n">
        <v>0.9</v>
      </c>
      <c r="H10688" t="n">
        <v>0</v>
      </c>
      <c r="I10688" t="n">
        <v>0</v>
      </c>
      <c r="J10688" t="n">
        <v>0</v>
      </c>
      <c r="K10688" t="n">
        <v>0</v>
      </c>
      <c r="L10688" t="n">
        <v>0</v>
      </c>
      <c r="M10688" t="n">
        <v>0</v>
      </c>
      <c r="N10688" t="n">
        <v>0</v>
      </c>
      <c r="O10688" t="n">
        <v>0</v>
      </c>
      <c r="P10688" t="n">
        <v>0</v>
      </c>
      <c r="Q10688" t="n">
        <v>0</v>
      </c>
      <c r="R10688" s="2" t="inlineStr"/>
    </row>
    <row r="10689" ht="15" customHeight="1">
      <c r="A10689" t="inlineStr">
        <is>
          <t>A 26376-2025</t>
        </is>
      </c>
      <c r="B10689" s="1" t="n">
        <v>45806.48766203703</v>
      </c>
      <c r="C10689" s="1" t="n">
        <v>45952</v>
      </c>
      <c r="D10689" t="inlineStr">
        <is>
          <t>VÄSTRA GÖTALANDS LÄN</t>
        </is>
      </c>
      <c r="E10689" t="inlineStr">
        <is>
          <t>ULRICEHAMN</t>
        </is>
      </c>
      <c r="G10689" t="n">
        <v>0.9</v>
      </c>
      <c r="H10689" t="n">
        <v>0</v>
      </c>
      <c r="I10689" t="n">
        <v>0</v>
      </c>
      <c r="J10689" t="n">
        <v>0</v>
      </c>
      <c r="K10689" t="n">
        <v>0</v>
      </c>
      <c r="L10689" t="n">
        <v>0</v>
      </c>
      <c r="M10689" t="n">
        <v>0</v>
      </c>
      <c r="N10689" t="n">
        <v>0</v>
      </c>
      <c r="O10689" t="n">
        <v>0</v>
      </c>
      <c r="P10689" t="n">
        <v>0</v>
      </c>
      <c r="Q10689" t="n">
        <v>0</v>
      </c>
      <c r="R10689" s="2" t="inlineStr"/>
    </row>
    <row r="10690" ht="15" customHeight="1">
      <c r="A10690" t="inlineStr">
        <is>
          <t>A 46505-2024</t>
        </is>
      </c>
      <c r="B10690" s="1" t="n">
        <v>45582.61121527778</v>
      </c>
      <c r="C10690" s="1" t="n">
        <v>45952</v>
      </c>
      <c r="D10690" t="inlineStr">
        <is>
          <t>VÄSTRA GÖTALANDS LÄN</t>
        </is>
      </c>
      <c r="E10690" t="inlineStr">
        <is>
          <t>ULRICEHAMN</t>
        </is>
      </c>
      <c r="G10690" t="n">
        <v>4.8</v>
      </c>
      <c r="H10690" t="n">
        <v>0</v>
      </c>
      <c r="I10690" t="n">
        <v>0</v>
      </c>
      <c r="J10690" t="n">
        <v>0</v>
      </c>
      <c r="K10690" t="n">
        <v>0</v>
      </c>
      <c r="L10690" t="n">
        <v>0</v>
      </c>
      <c r="M10690" t="n">
        <v>0</v>
      </c>
      <c r="N10690" t="n">
        <v>0</v>
      </c>
      <c r="O10690" t="n">
        <v>0</v>
      </c>
      <c r="P10690" t="n">
        <v>0</v>
      </c>
      <c r="Q10690" t="n">
        <v>0</v>
      </c>
      <c r="R10690" s="2" t="inlineStr"/>
    </row>
    <row r="10691" ht="15" customHeight="1">
      <c r="A10691" t="inlineStr">
        <is>
          <t>A 46529-2024</t>
        </is>
      </c>
      <c r="B10691" s="1" t="n">
        <v>45582.63581018519</v>
      </c>
      <c r="C10691" s="1" t="n">
        <v>45952</v>
      </c>
      <c r="D10691" t="inlineStr">
        <is>
          <t>VÄSTRA GÖTALANDS LÄN</t>
        </is>
      </c>
      <c r="E10691" t="inlineStr">
        <is>
          <t>TROLLHÄTTAN</t>
        </is>
      </c>
      <c r="G10691" t="n">
        <v>11.7</v>
      </c>
      <c r="H10691" t="n">
        <v>0</v>
      </c>
      <c r="I10691" t="n">
        <v>0</v>
      </c>
      <c r="J10691" t="n">
        <v>0</v>
      </c>
      <c r="K10691" t="n">
        <v>0</v>
      </c>
      <c r="L10691" t="n">
        <v>0</v>
      </c>
      <c r="M10691" t="n">
        <v>0</v>
      </c>
      <c r="N10691" t="n">
        <v>0</v>
      </c>
      <c r="O10691" t="n">
        <v>0</v>
      </c>
      <c r="P10691" t="n">
        <v>0</v>
      </c>
      <c r="Q10691" t="n">
        <v>0</v>
      </c>
      <c r="R10691" s="2" t="inlineStr"/>
    </row>
    <row r="10692" ht="15" customHeight="1">
      <c r="A10692" t="inlineStr">
        <is>
          <t>A 41759-2025</t>
        </is>
      </c>
      <c r="B10692" s="1" t="n">
        <v>45902.51219907407</v>
      </c>
      <c r="C10692" s="1" t="n">
        <v>45952</v>
      </c>
      <c r="D10692" t="inlineStr">
        <is>
          <t>VÄSTRA GÖTALANDS LÄN</t>
        </is>
      </c>
      <c r="E10692" t="inlineStr">
        <is>
          <t>LILLA EDET</t>
        </is>
      </c>
      <c r="G10692" t="n">
        <v>1.2</v>
      </c>
      <c r="H10692" t="n">
        <v>0</v>
      </c>
      <c r="I10692" t="n">
        <v>0</v>
      </c>
      <c r="J10692" t="n">
        <v>0</v>
      </c>
      <c r="K10692" t="n">
        <v>0</v>
      </c>
      <c r="L10692" t="n">
        <v>0</v>
      </c>
      <c r="M10692" t="n">
        <v>0</v>
      </c>
      <c r="N10692" t="n">
        <v>0</v>
      </c>
      <c r="O10692" t="n">
        <v>0</v>
      </c>
      <c r="P10692" t="n">
        <v>0</v>
      </c>
      <c r="Q10692" t="n">
        <v>0</v>
      </c>
      <c r="R10692" s="2" t="inlineStr"/>
    </row>
    <row r="10693" ht="15" customHeight="1">
      <c r="A10693" t="inlineStr">
        <is>
          <t>A 2887-2025</t>
        </is>
      </c>
      <c r="B10693" s="1" t="n">
        <v>45677</v>
      </c>
      <c r="C10693" s="1" t="n">
        <v>45952</v>
      </c>
      <c r="D10693" t="inlineStr">
        <is>
          <t>VÄSTRA GÖTALANDS LÄN</t>
        </is>
      </c>
      <c r="E10693" t="inlineStr">
        <is>
          <t>MUNKEDAL</t>
        </is>
      </c>
      <c r="F10693" t="inlineStr">
        <is>
          <t>Övriga Aktiebolag</t>
        </is>
      </c>
      <c r="G10693" t="n">
        <v>9.699999999999999</v>
      </c>
      <c r="H10693" t="n">
        <v>0</v>
      </c>
      <c r="I10693" t="n">
        <v>0</v>
      </c>
      <c r="J10693" t="n">
        <v>0</v>
      </c>
      <c r="K10693" t="n">
        <v>0</v>
      </c>
      <c r="L10693" t="n">
        <v>0</v>
      </c>
      <c r="M10693" t="n">
        <v>0</v>
      </c>
      <c r="N10693" t="n">
        <v>0</v>
      </c>
      <c r="O10693" t="n">
        <v>0</v>
      </c>
      <c r="P10693" t="n">
        <v>0</v>
      </c>
      <c r="Q10693" t="n">
        <v>0</v>
      </c>
      <c r="R10693" s="2" t="inlineStr"/>
    </row>
    <row r="10694" ht="15" customHeight="1">
      <c r="A10694" t="inlineStr">
        <is>
          <t>A 26380-2025</t>
        </is>
      </c>
      <c r="B10694" s="1" t="n">
        <v>45806.49197916667</v>
      </c>
      <c r="C10694" s="1" t="n">
        <v>45952</v>
      </c>
      <c r="D10694" t="inlineStr">
        <is>
          <t>VÄSTRA GÖTALANDS LÄN</t>
        </is>
      </c>
      <c r="E10694" t="inlineStr">
        <is>
          <t>ULRICEHAMN</t>
        </is>
      </c>
      <c r="G10694" t="n">
        <v>1</v>
      </c>
      <c r="H10694" t="n">
        <v>0</v>
      </c>
      <c r="I10694" t="n">
        <v>0</v>
      </c>
      <c r="J10694" t="n">
        <v>0</v>
      </c>
      <c r="K10694" t="n">
        <v>0</v>
      </c>
      <c r="L10694" t="n">
        <v>0</v>
      </c>
      <c r="M10694" t="n">
        <v>0</v>
      </c>
      <c r="N10694" t="n">
        <v>0</v>
      </c>
      <c r="O10694" t="n">
        <v>0</v>
      </c>
      <c r="P10694" t="n">
        <v>0</v>
      </c>
      <c r="Q10694" t="n">
        <v>0</v>
      </c>
      <c r="R10694" s="2" t="inlineStr"/>
    </row>
    <row r="10695" ht="15" customHeight="1">
      <c r="A10695" t="inlineStr">
        <is>
          <t>A 46543-2024</t>
        </is>
      </c>
      <c r="B10695" s="1" t="n">
        <v>45582.65775462963</v>
      </c>
      <c r="C10695" s="1" t="n">
        <v>45952</v>
      </c>
      <c r="D10695" t="inlineStr">
        <is>
          <t>VÄSTRA GÖTALANDS LÄN</t>
        </is>
      </c>
      <c r="E10695" t="inlineStr">
        <is>
          <t>HERRLJUNGA</t>
        </is>
      </c>
      <c r="G10695" t="n">
        <v>0.9</v>
      </c>
      <c r="H10695" t="n">
        <v>0</v>
      </c>
      <c r="I10695" t="n">
        <v>0</v>
      </c>
      <c r="J10695" t="n">
        <v>0</v>
      </c>
      <c r="K10695" t="n">
        <v>0</v>
      </c>
      <c r="L10695" t="n">
        <v>0</v>
      </c>
      <c r="M10695" t="n">
        <v>0</v>
      </c>
      <c r="N10695" t="n">
        <v>0</v>
      </c>
      <c r="O10695" t="n">
        <v>0</v>
      </c>
      <c r="P10695" t="n">
        <v>0</v>
      </c>
      <c r="Q10695" t="n">
        <v>0</v>
      </c>
      <c r="R10695" s="2" t="inlineStr"/>
    </row>
    <row r="10696" ht="15" customHeight="1">
      <c r="A10696" t="inlineStr">
        <is>
          <t>A 46579-2024</t>
        </is>
      </c>
      <c r="B10696" s="1" t="n">
        <v>45582.75018518518</v>
      </c>
      <c r="C10696" s="1" t="n">
        <v>45952</v>
      </c>
      <c r="D10696" t="inlineStr">
        <is>
          <t>VÄSTRA GÖTALANDS LÄN</t>
        </is>
      </c>
      <c r="E10696" t="inlineStr">
        <is>
          <t>SOTENÄS</t>
        </is>
      </c>
      <c r="G10696" t="n">
        <v>3</v>
      </c>
      <c r="H10696" t="n">
        <v>0</v>
      </c>
      <c r="I10696" t="n">
        <v>0</v>
      </c>
      <c r="J10696" t="n">
        <v>0</v>
      </c>
      <c r="K10696" t="n">
        <v>0</v>
      </c>
      <c r="L10696" t="n">
        <v>0</v>
      </c>
      <c r="M10696" t="n">
        <v>0</v>
      </c>
      <c r="N10696" t="n">
        <v>0</v>
      </c>
      <c r="O10696" t="n">
        <v>0</v>
      </c>
      <c r="P10696" t="n">
        <v>0</v>
      </c>
      <c r="Q10696" t="n">
        <v>0</v>
      </c>
      <c r="R10696" s="2" t="inlineStr"/>
    </row>
    <row r="10697" ht="15" customHeight="1">
      <c r="A10697" t="inlineStr">
        <is>
          <t>A 26381-2025</t>
        </is>
      </c>
      <c r="B10697" s="1" t="n">
        <v>45806.49351851852</v>
      </c>
      <c r="C10697" s="1" t="n">
        <v>45952</v>
      </c>
      <c r="D10697" t="inlineStr">
        <is>
          <t>VÄSTRA GÖTALANDS LÄN</t>
        </is>
      </c>
      <c r="E10697" t="inlineStr">
        <is>
          <t>ULRICEHAMN</t>
        </is>
      </c>
      <c r="G10697" t="n">
        <v>0.5</v>
      </c>
      <c r="H10697" t="n">
        <v>0</v>
      </c>
      <c r="I10697" t="n">
        <v>0</v>
      </c>
      <c r="J10697" t="n">
        <v>0</v>
      </c>
      <c r="K10697" t="n">
        <v>0</v>
      </c>
      <c r="L10697" t="n">
        <v>0</v>
      </c>
      <c r="M10697" t="n">
        <v>0</v>
      </c>
      <c r="N10697" t="n">
        <v>0</v>
      </c>
      <c r="O10697" t="n">
        <v>0</v>
      </c>
      <c r="P10697" t="n">
        <v>0</v>
      </c>
      <c r="Q10697" t="n">
        <v>0</v>
      </c>
      <c r="R10697" s="2" t="inlineStr"/>
    </row>
    <row r="10698" ht="15" customHeight="1">
      <c r="A10698" t="inlineStr">
        <is>
          <t>A 41853-2025</t>
        </is>
      </c>
      <c r="B10698" s="1" t="n">
        <v>45902.90766203704</v>
      </c>
      <c r="C10698" s="1" t="n">
        <v>45952</v>
      </c>
      <c r="D10698" t="inlineStr">
        <is>
          <t>VÄSTRA GÖTALANDS LÄN</t>
        </is>
      </c>
      <c r="E10698" t="inlineStr">
        <is>
          <t>DALS-ED</t>
        </is>
      </c>
      <c r="G10698" t="n">
        <v>5.6</v>
      </c>
      <c r="H10698" t="n">
        <v>0</v>
      </c>
      <c r="I10698" t="n">
        <v>0</v>
      </c>
      <c r="J10698" t="n">
        <v>0</v>
      </c>
      <c r="K10698" t="n">
        <v>0</v>
      </c>
      <c r="L10698" t="n">
        <v>0</v>
      </c>
      <c r="M10698" t="n">
        <v>0</v>
      </c>
      <c r="N10698" t="n">
        <v>0</v>
      </c>
      <c r="O10698" t="n">
        <v>0</v>
      </c>
      <c r="P10698" t="n">
        <v>0</v>
      </c>
      <c r="Q10698" t="n">
        <v>0</v>
      </c>
      <c r="R10698" s="2" t="inlineStr"/>
    </row>
    <row r="10699" ht="15" customHeight="1">
      <c r="A10699" t="inlineStr">
        <is>
          <t>A 4013-2024</t>
        </is>
      </c>
      <c r="B10699" s="1" t="n">
        <v>45323.35704861111</v>
      </c>
      <c r="C10699" s="1" t="n">
        <v>45952</v>
      </c>
      <c r="D10699" t="inlineStr">
        <is>
          <t>VÄSTRA GÖTALANDS LÄN</t>
        </is>
      </c>
      <c r="E10699" t="inlineStr">
        <is>
          <t>SVENLJUNGA</t>
        </is>
      </c>
      <c r="G10699" t="n">
        <v>2.3</v>
      </c>
      <c r="H10699" t="n">
        <v>0</v>
      </c>
      <c r="I10699" t="n">
        <v>0</v>
      </c>
      <c r="J10699" t="n">
        <v>0</v>
      </c>
      <c r="K10699" t="n">
        <v>0</v>
      </c>
      <c r="L10699" t="n">
        <v>0</v>
      </c>
      <c r="M10699" t="n">
        <v>0</v>
      </c>
      <c r="N10699" t="n">
        <v>0</v>
      </c>
      <c r="O10699" t="n">
        <v>0</v>
      </c>
      <c r="P10699" t="n">
        <v>0</v>
      </c>
      <c r="Q10699" t="n">
        <v>0</v>
      </c>
      <c r="R10699" s="2" t="inlineStr"/>
    </row>
    <row r="10700" ht="15" customHeight="1">
      <c r="A10700" t="inlineStr">
        <is>
          <t>A 42061-2025</t>
        </is>
      </c>
      <c r="B10700" s="1" t="n">
        <v>45903.65025462963</v>
      </c>
      <c r="C10700" s="1" t="n">
        <v>45952</v>
      </c>
      <c r="D10700" t="inlineStr">
        <is>
          <t>VÄSTRA GÖTALANDS LÄN</t>
        </is>
      </c>
      <c r="E10700" t="inlineStr">
        <is>
          <t>MARK</t>
        </is>
      </c>
      <c r="G10700" t="n">
        <v>1.5</v>
      </c>
      <c r="H10700" t="n">
        <v>0</v>
      </c>
      <c r="I10700" t="n">
        <v>0</v>
      </c>
      <c r="J10700" t="n">
        <v>0</v>
      </c>
      <c r="K10700" t="n">
        <v>0</v>
      </c>
      <c r="L10700" t="n">
        <v>0</v>
      </c>
      <c r="M10700" t="n">
        <v>0</v>
      </c>
      <c r="N10700" t="n">
        <v>0</v>
      </c>
      <c r="O10700" t="n">
        <v>0</v>
      </c>
      <c r="P10700" t="n">
        <v>0</v>
      </c>
      <c r="Q10700" t="n">
        <v>0</v>
      </c>
      <c r="R10700" s="2" t="inlineStr"/>
    </row>
    <row r="10701" ht="15" customHeight="1">
      <c r="A10701" t="inlineStr">
        <is>
          <t>A 26382-2025</t>
        </is>
      </c>
      <c r="B10701" s="1" t="n">
        <v>45806.49508101852</v>
      </c>
      <c r="C10701" s="1" t="n">
        <v>45952</v>
      </c>
      <c r="D10701" t="inlineStr">
        <is>
          <t>VÄSTRA GÖTALANDS LÄN</t>
        </is>
      </c>
      <c r="E10701" t="inlineStr">
        <is>
          <t>ULRICEHAMN</t>
        </is>
      </c>
      <c r="G10701" t="n">
        <v>0.6</v>
      </c>
      <c r="H10701" t="n">
        <v>0</v>
      </c>
      <c r="I10701" t="n">
        <v>0</v>
      </c>
      <c r="J10701" t="n">
        <v>0</v>
      </c>
      <c r="K10701" t="n">
        <v>0</v>
      </c>
      <c r="L10701" t="n">
        <v>0</v>
      </c>
      <c r="M10701" t="n">
        <v>0</v>
      </c>
      <c r="N10701" t="n">
        <v>0</v>
      </c>
      <c r="O10701" t="n">
        <v>0</v>
      </c>
      <c r="P10701" t="n">
        <v>0</v>
      </c>
      <c r="Q10701" t="n">
        <v>0</v>
      </c>
      <c r="R10701" s="2" t="inlineStr"/>
    </row>
    <row r="10702" ht="15" customHeight="1">
      <c r="A10702" t="inlineStr">
        <is>
          <t>A 26383-2025</t>
        </is>
      </c>
      <c r="B10702" s="1" t="n">
        <v>45806.49650462963</v>
      </c>
      <c r="C10702" s="1" t="n">
        <v>45952</v>
      </c>
      <c r="D10702" t="inlineStr">
        <is>
          <t>VÄSTRA GÖTALANDS LÄN</t>
        </is>
      </c>
      <c r="E10702" t="inlineStr">
        <is>
          <t>ULRICEHAMN</t>
        </is>
      </c>
      <c r="G10702" t="n">
        <v>0.6</v>
      </c>
      <c r="H10702" t="n">
        <v>0</v>
      </c>
      <c r="I10702" t="n">
        <v>0</v>
      </c>
      <c r="J10702" t="n">
        <v>0</v>
      </c>
      <c r="K10702" t="n">
        <v>0</v>
      </c>
      <c r="L10702" t="n">
        <v>0</v>
      </c>
      <c r="M10702" t="n">
        <v>0</v>
      </c>
      <c r="N10702" t="n">
        <v>0</v>
      </c>
      <c r="O10702" t="n">
        <v>0</v>
      </c>
      <c r="P10702" t="n">
        <v>0</v>
      </c>
      <c r="Q10702" t="n">
        <v>0</v>
      </c>
      <c r="R10702" s="2" t="inlineStr"/>
    </row>
    <row r="10703" ht="15" customHeight="1">
      <c r="A10703" t="inlineStr">
        <is>
          <t>A 26385-2025</t>
        </is>
      </c>
      <c r="B10703" s="1" t="n">
        <v>45806.49885416667</v>
      </c>
      <c r="C10703" s="1" t="n">
        <v>45952</v>
      </c>
      <c r="D10703" t="inlineStr">
        <is>
          <t>VÄSTRA GÖTALANDS LÄN</t>
        </is>
      </c>
      <c r="E10703" t="inlineStr">
        <is>
          <t>ULRICEHAMN</t>
        </is>
      </c>
      <c r="G10703" t="n">
        <v>1.8</v>
      </c>
      <c r="H10703" t="n">
        <v>0</v>
      </c>
      <c r="I10703" t="n">
        <v>0</v>
      </c>
      <c r="J10703" t="n">
        <v>0</v>
      </c>
      <c r="K10703" t="n">
        <v>0</v>
      </c>
      <c r="L10703" t="n">
        <v>0</v>
      </c>
      <c r="M10703" t="n">
        <v>0</v>
      </c>
      <c r="N10703" t="n">
        <v>0</v>
      </c>
      <c r="O10703" t="n">
        <v>0</v>
      </c>
      <c r="P10703" t="n">
        <v>0</v>
      </c>
      <c r="Q10703" t="n">
        <v>0</v>
      </c>
      <c r="R10703" s="2" t="inlineStr"/>
    </row>
    <row r="10704" ht="15" customHeight="1">
      <c r="A10704" t="inlineStr">
        <is>
          <t>A 58861-2022</t>
        </is>
      </c>
      <c r="B10704" s="1" t="n">
        <v>44903</v>
      </c>
      <c r="C10704" s="1" t="n">
        <v>45952</v>
      </c>
      <c r="D10704" t="inlineStr">
        <is>
          <t>VÄSTRA GÖTALANDS LÄN</t>
        </is>
      </c>
      <c r="E10704" t="inlineStr">
        <is>
          <t>MELLERUD</t>
        </is>
      </c>
      <c r="G10704" t="n">
        <v>4.8</v>
      </c>
      <c r="H10704" t="n">
        <v>0</v>
      </c>
      <c r="I10704" t="n">
        <v>0</v>
      </c>
      <c r="J10704" t="n">
        <v>0</v>
      </c>
      <c r="K10704" t="n">
        <v>0</v>
      </c>
      <c r="L10704" t="n">
        <v>0</v>
      </c>
      <c r="M10704" t="n">
        <v>0</v>
      </c>
      <c r="N10704" t="n">
        <v>0</v>
      </c>
      <c r="O10704" t="n">
        <v>0</v>
      </c>
      <c r="P10704" t="n">
        <v>0</v>
      </c>
      <c r="Q10704" t="n">
        <v>0</v>
      </c>
      <c r="R10704" s="2" t="inlineStr"/>
    </row>
    <row r="10705" ht="15" customHeight="1">
      <c r="A10705" t="inlineStr">
        <is>
          <t>A 240-2025</t>
        </is>
      </c>
      <c r="B10705" s="1" t="n">
        <v>45660.40756944445</v>
      </c>
      <c r="C10705" s="1" t="n">
        <v>45952</v>
      </c>
      <c r="D10705" t="inlineStr">
        <is>
          <t>VÄSTRA GÖTALANDS LÄN</t>
        </is>
      </c>
      <c r="E10705" t="inlineStr">
        <is>
          <t>LIDKÖPING</t>
        </is>
      </c>
      <c r="G10705" t="n">
        <v>2.4</v>
      </c>
      <c r="H10705" t="n">
        <v>0</v>
      </c>
      <c r="I10705" t="n">
        <v>0</v>
      </c>
      <c r="J10705" t="n">
        <v>0</v>
      </c>
      <c r="K10705" t="n">
        <v>0</v>
      </c>
      <c r="L10705" t="n">
        <v>0</v>
      </c>
      <c r="M10705" t="n">
        <v>0</v>
      </c>
      <c r="N10705" t="n">
        <v>0</v>
      </c>
      <c r="O10705" t="n">
        <v>0</v>
      </c>
      <c r="P10705" t="n">
        <v>0</v>
      </c>
      <c r="Q10705" t="n">
        <v>0</v>
      </c>
      <c r="R10705" s="2" t="inlineStr"/>
    </row>
    <row r="10706" ht="15" customHeight="1">
      <c r="A10706" t="inlineStr">
        <is>
          <t>A 38002-2023</t>
        </is>
      </c>
      <c r="B10706" s="1" t="n">
        <v>45160</v>
      </c>
      <c r="C10706" s="1" t="n">
        <v>45952</v>
      </c>
      <c r="D10706" t="inlineStr">
        <is>
          <t>VÄSTRA GÖTALANDS LÄN</t>
        </is>
      </c>
      <c r="E10706" t="inlineStr">
        <is>
          <t>MARK</t>
        </is>
      </c>
      <c r="G10706" t="n">
        <v>1.3</v>
      </c>
      <c r="H10706" t="n">
        <v>0</v>
      </c>
      <c r="I10706" t="n">
        <v>0</v>
      </c>
      <c r="J10706" t="n">
        <v>0</v>
      </c>
      <c r="K10706" t="n">
        <v>0</v>
      </c>
      <c r="L10706" t="n">
        <v>0</v>
      </c>
      <c r="M10706" t="n">
        <v>0</v>
      </c>
      <c r="N10706" t="n">
        <v>0</v>
      </c>
      <c r="O10706" t="n">
        <v>0</v>
      </c>
      <c r="P10706" t="n">
        <v>0</v>
      </c>
      <c r="Q10706" t="n">
        <v>0</v>
      </c>
      <c r="R10706" s="2" t="inlineStr"/>
    </row>
    <row r="10707" ht="15" customHeight="1">
      <c r="A10707" t="inlineStr">
        <is>
          <t>A 2791-2023</t>
        </is>
      </c>
      <c r="B10707" s="1" t="n">
        <v>44944.67371527778</v>
      </c>
      <c r="C10707" s="1" t="n">
        <v>45952</v>
      </c>
      <c r="D10707" t="inlineStr">
        <is>
          <t>VÄSTRA GÖTALANDS LÄN</t>
        </is>
      </c>
      <c r="E10707" t="inlineStr">
        <is>
          <t>KARLSBORG</t>
        </is>
      </c>
      <c r="F10707" t="inlineStr">
        <is>
          <t>Övriga Aktiebolag</t>
        </is>
      </c>
      <c r="G10707" t="n">
        <v>6.4</v>
      </c>
      <c r="H10707" t="n">
        <v>0</v>
      </c>
      <c r="I10707" t="n">
        <v>0</v>
      </c>
      <c r="J10707" t="n">
        <v>0</v>
      </c>
      <c r="K10707" t="n">
        <v>0</v>
      </c>
      <c r="L10707" t="n">
        <v>0</v>
      </c>
      <c r="M10707" t="n">
        <v>0</v>
      </c>
      <c r="N10707" t="n">
        <v>0</v>
      </c>
      <c r="O10707" t="n">
        <v>0</v>
      </c>
      <c r="P10707" t="n">
        <v>0</v>
      </c>
      <c r="Q10707" t="n">
        <v>0</v>
      </c>
      <c r="R10707" s="2" t="inlineStr"/>
    </row>
    <row r="10708" ht="15" customHeight="1">
      <c r="A10708" t="inlineStr">
        <is>
          <t>A 3243-2022</t>
        </is>
      </c>
      <c r="B10708" s="1" t="n">
        <v>44582</v>
      </c>
      <c r="C10708" s="1" t="n">
        <v>45952</v>
      </c>
      <c r="D10708" t="inlineStr">
        <is>
          <t>VÄSTRA GÖTALANDS LÄN</t>
        </is>
      </c>
      <c r="E10708" t="inlineStr">
        <is>
          <t>STENUNGSUND</t>
        </is>
      </c>
      <c r="G10708" t="n">
        <v>7.6</v>
      </c>
      <c r="H10708" t="n">
        <v>0</v>
      </c>
      <c r="I10708" t="n">
        <v>0</v>
      </c>
      <c r="J10708" t="n">
        <v>0</v>
      </c>
      <c r="K10708" t="n">
        <v>0</v>
      </c>
      <c r="L10708" t="n">
        <v>0</v>
      </c>
      <c r="M10708" t="n">
        <v>0</v>
      </c>
      <c r="N10708" t="n">
        <v>0</v>
      </c>
      <c r="O10708" t="n">
        <v>0</v>
      </c>
      <c r="P10708" t="n">
        <v>0</v>
      </c>
      <c r="Q10708" t="n">
        <v>0</v>
      </c>
      <c r="R10708" s="2" t="inlineStr"/>
    </row>
    <row r="10709" ht="15" customHeight="1">
      <c r="A10709" t="inlineStr">
        <is>
          <t>A 17562-2025</t>
        </is>
      </c>
      <c r="B10709" s="1" t="n">
        <v>45757.63822916667</v>
      </c>
      <c r="C10709" s="1" t="n">
        <v>45952</v>
      </c>
      <c r="D10709" t="inlineStr">
        <is>
          <t>VÄSTRA GÖTALANDS LÄN</t>
        </is>
      </c>
      <c r="E10709" t="inlineStr">
        <is>
          <t>ULRICEHAMN</t>
        </is>
      </c>
      <c r="G10709" t="n">
        <v>1.2</v>
      </c>
      <c r="H10709" t="n">
        <v>0</v>
      </c>
      <c r="I10709" t="n">
        <v>0</v>
      </c>
      <c r="J10709" t="n">
        <v>0</v>
      </c>
      <c r="K10709" t="n">
        <v>0</v>
      </c>
      <c r="L10709" t="n">
        <v>0</v>
      </c>
      <c r="M10709" t="n">
        <v>0</v>
      </c>
      <c r="N10709" t="n">
        <v>0</v>
      </c>
      <c r="O10709" t="n">
        <v>0</v>
      </c>
      <c r="P10709" t="n">
        <v>0</v>
      </c>
      <c r="Q10709" t="n">
        <v>0</v>
      </c>
      <c r="R10709" s="2" t="inlineStr"/>
    </row>
    <row r="10710" ht="15" customHeight="1">
      <c r="A10710" t="inlineStr">
        <is>
          <t>A 18920-2024</t>
        </is>
      </c>
      <c r="B10710" s="1" t="n">
        <v>45427.41087962963</v>
      </c>
      <c r="C10710" s="1" t="n">
        <v>45952</v>
      </c>
      <c r="D10710" t="inlineStr">
        <is>
          <t>VÄSTRA GÖTALANDS LÄN</t>
        </is>
      </c>
      <c r="E10710" t="inlineStr">
        <is>
          <t>ULRICEHAMN</t>
        </is>
      </c>
      <c r="G10710" t="n">
        <v>3</v>
      </c>
      <c r="H10710" t="n">
        <v>0</v>
      </c>
      <c r="I10710" t="n">
        <v>0</v>
      </c>
      <c r="J10710" t="n">
        <v>0</v>
      </c>
      <c r="K10710" t="n">
        <v>0</v>
      </c>
      <c r="L10710" t="n">
        <v>0</v>
      </c>
      <c r="M10710" t="n">
        <v>0</v>
      </c>
      <c r="N10710" t="n">
        <v>0</v>
      </c>
      <c r="O10710" t="n">
        <v>0</v>
      </c>
      <c r="P10710" t="n">
        <v>0</v>
      </c>
      <c r="Q10710" t="n">
        <v>0</v>
      </c>
      <c r="R10710" s="2" t="inlineStr"/>
    </row>
    <row r="10711" ht="15" customHeight="1">
      <c r="A10711" t="inlineStr">
        <is>
          <t>A 28329-2021</t>
        </is>
      </c>
      <c r="B10711" s="1" t="n">
        <v>44356</v>
      </c>
      <c r="C10711" s="1" t="n">
        <v>45952</v>
      </c>
      <c r="D10711" t="inlineStr">
        <is>
          <t>VÄSTRA GÖTALANDS LÄN</t>
        </is>
      </c>
      <c r="E10711" t="inlineStr">
        <is>
          <t>BENGTSFORS</t>
        </is>
      </c>
      <c r="G10711" t="n">
        <v>5.5</v>
      </c>
      <c r="H10711" t="n">
        <v>0</v>
      </c>
      <c r="I10711" t="n">
        <v>0</v>
      </c>
      <c r="J10711" t="n">
        <v>0</v>
      </c>
      <c r="K10711" t="n">
        <v>0</v>
      </c>
      <c r="L10711" t="n">
        <v>0</v>
      </c>
      <c r="M10711" t="n">
        <v>0</v>
      </c>
      <c r="N10711" t="n">
        <v>0</v>
      </c>
      <c r="O10711" t="n">
        <v>0</v>
      </c>
      <c r="P10711" t="n">
        <v>0</v>
      </c>
      <c r="Q10711" t="n">
        <v>0</v>
      </c>
      <c r="R10711" s="2" t="inlineStr"/>
    </row>
    <row r="10712" ht="15" customHeight="1">
      <c r="A10712" t="inlineStr">
        <is>
          <t>A 50517-2025</t>
        </is>
      </c>
      <c r="B10712" s="1" t="n">
        <v>45945.4562962963</v>
      </c>
      <c r="C10712" s="1" t="n">
        <v>45952</v>
      </c>
      <c r="D10712" t="inlineStr">
        <is>
          <t>VÄSTRA GÖTALANDS LÄN</t>
        </is>
      </c>
      <c r="E10712" t="inlineStr">
        <is>
          <t>BENGTSFORS</t>
        </is>
      </c>
      <c r="G10712" t="n">
        <v>3.6</v>
      </c>
      <c r="H10712" t="n">
        <v>0</v>
      </c>
      <c r="I10712" t="n">
        <v>0</v>
      </c>
      <c r="J10712" t="n">
        <v>0</v>
      </c>
      <c r="K10712" t="n">
        <v>0</v>
      </c>
      <c r="L10712" t="n">
        <v>0</v>
      </c>
      <c r="M10712" t="n">
        <v>0</v>
      </c>
      <c r="N10712" t="n">
        <v>0</v>
      </c>
      <c r="O10712" t="n">
        <v>0</v>
      </c>
      <c r="P10712" t="n">
        <v>0</v>
      </c>
      <c r="Q10712" t="n">
        <v>0</v>
      </c>
      <c r="R10712" s="2" t="inlineStr"/>
    </row>
    <row r="10713" ht="15" customHeight="1">
      <c r="A10713" t="inlineStr">
        <is>
          <t>A 53063-2024</t>
        </is>
      </c>
      <c r="B10713" s="1" t="n">
        <v>45611.4719212963</v>
      </c>
      <c r="C10713" s="1" t="n">
        <v>45952</v>
      </c>
      <c r="D10713" t="inlineStr">
        <is>
          <t>VÄSTRA GÖTALANDS LÄN</t>
        </is>
      </c>
      <c r="E10713" t="inlineStr">
        <is>
          <t>BORÅS</t>
        </is>
      </c>
      <c r="G10713" t="n">
        <v>0.7</v>
      </c>
      <c r="H10713" t="n">
        <v>0</v>
      </c>
      <c r="I10713" t="n">
        <v>0</v>
      </c>
      <c r="J10713" t="n">
        <v>0</v>
      </c>
      <c r="K10713" t="n">
        <v>0</v>
      </c>
      <c r="L10713" t="n">
        <v>0</v>
      </c>
      <c r="M10713" t="n">
        <v>0</v>
      </c>
      <c r="N10713" t="n">
        <v>0</v>
      </c>
      <c r="O10713" t="n">
        <v>0</v>
      </c>
      <c r="P10713" t="n">
        <v>0</v>
      </c>
      <c r="Q10713" t="n">
        <v>0</v>
      </c>
      <c r="R10713" s="2" t="inlineStr"/>
    </row>
    <row r="10714" ht="15" customHeight="1">
      <c r="A10714" t="inlineStr">
        <is>
          <t>A 33522-2024</t>
        </is>
      </c>
      <c r="B10714" s="1" t="n">
        <v>45519</v>
      </c>
      <c r="C10714" s="1" t="n">
        <v>45952</v>
      </c>
      <c r="D10714" t="inlineStr">
        <is>
          <t>VÄSTRA GÖTALANDS LÄN</t>
        </is>
      </c>
      <c r="E10714" t="inlineStr">
        <is>
          <t>TIBRO</t>
        </is>
      </c>
      <c r="G10714" t="n">
        <v>3.2</v>
      </c>
      <c r="H10714" t="n">
        <v>0</v>
      </c>
      <c r="I10714" t="n">
        <v>0</v>
      </c>
      <c r="J10714" t="n">
        <v>0</v>
      </c>
      <c r="K10714" t="n">
        <v>0</v>
      </c>
      <c r="L10714" t="n">
        <v>0</v>
      </c>
      <c r="M10714" t="n">
        <v>0</v>
      </c>
      <c r="N10714" t="n">
        <v>0</v>
      </c>
      <c r="O10714" t="n">
        <v>0</v>
      </c>
      <c r="P10714" t="n">
        <v>0</v>
      </c>
      <c r="Q10714" t="n">
        <v>0</v>
      </c>
      <c r="R10714" s="2" t="inlineStr"/>
    </row>
    <row r="10715" ht="15" customHeight="1">
      <c r="A10715" t="inlineStr">
        <is>
          <t>A 61820-2021</t>
        </is>
      </c>
      <c r="B10715" s="1" t="n">
        <v>44501.78688657407</v>
      </c>
      <c r="C10715" s="1" t="n">
        <v>45952</v>
      </c>
      <c r="D10715" t="inlineStr">
        <is>
          <t>VÄSTRA GÖTALANDS LÄN</t>
        </is>
      </c>
      <c r="E10715" t="inlineStr">
        <is>
          <t>BENGTSFORS</t>
        </is>
      </c>
      <c r="G10715" t="n">
        <v>1.1</v>
      </c>
      <c r="H10715" t="n">
        <v>0</v>
      </c>
      <c r="I10715" t="n">
        <v>0</v>
      </c>
      <c r="J10715" t="n">
        <v>0</v>
      </c>
      <c r="K10715" t="n">
        <v>0</v>
      </c>
      <c r="L10715" t="n">
        <v>0</v>
      </c>
      <c r="M10715" t="n">
        <v>0</v>
      </c>
      <c r="N10715" t="n">
        <v>0</v>
      </c>
      <c r="O10715" t="n">
        <v>0</v>
      </c>
      <c r="P10715" t="n">
        <v>0</v>
      </c>
      <c r="Q10715" t="n">
        <v>0</v>
      </c>
      <c r="R10715" s="2" t="inlineStr"/>
    </row>
    <row r="10716" ht="15" customHeight="1">
      <c r="A10716" t="inlineStr">
        <is>
          <t>A 4274-2024</t>
        </is>
      </c>
      <c r="B10716" s="1" t="n">
        <v>45324</v>
      </c>
      <c r="C10716" s="1" t="n">
        <v>45952</v>
      </c>
      <c r="D10716" t="inlineStr">
        <is>
          <t>VÄSTRA GÖTALANDS LÄN</t>
        </is>
      </c>
      <c r="E10716" t="inlineStr">
        <is>
          <t>ULRICEHAMN</t>
        </is>
      </c>
      <c r="G10716" t="n">
        <v>1.8</v>
      </c>
      <c r="H10716" t="n">
        <v>0</v>
      </c>
      <c r="I10716" t="n">
        <v>0</v>
      </c>
      <c r="J10716" t="n">
        <v>0</v>
      </c>
      <c r="K10716" t="n">
        <v>0</v>
      </c>
      <c r="L10716" t="n">
        <v>0</v>
      </c>
      <c r="M10716" t="n">
        <v>0</v>
      </c>
      <c r="N10716" t="n">
        <v>0</v>
      </c>
      <c r="O10716" t="n">
        <v>0</v>
      </c>
      <c r="P10716" t="n">
        <v>0</v>
      </c>
      <c r="Q10716" t="n">
        <v>0</v>
      </c>
      <c r="R10716" s="2" t="inlineStr"/>
    </row>
    <row r="10717" ht="15" customHeight="1">
      <c r="A10717" t="inlineStr">
        <is>
          <t>A 4282-2024</t>
        </is>
      </c>
      <c r="B10717" s="1" t="n">
        <v>45324.58748842592</v>
      </c>
      <c r="C10717" s="1" t="n">
        <v>45952</v>
      </c>
      <c r="D10717" t="inlineStr">
        <is>
          <t>VÄSTRA GÖTALANDS LÄN</t>
        </is>
      </c>
      <c r="E10717" t="inlineStr">
        <is>
          <t>ULRICEHAMN</t>
        </is>
      </c>
      <c r="F10717" t="inlineStr">
        <is>
          <t>Kyrkan</t>
        </is>
      </c>
      <c r="G10717" t="n">
        <v>1.2</v>
      </c>
      <c r="H10717" t="n">
        <v>0</v>
      </c>
      <c r="I10717" t="n">
        <v>0</v>
      </c>
      <c r="J10717" t="n">
        <v>0</v>
      </c>
      <c r="K10717" t="n">
        <v>0</v>
      </c>
      <c r="L10717" t="n">
        <v>0</v>
      </c>
      <c r="M10717" t="n">
        <v>0</v>
      </c>
      <c r="N10717" t="n">
        <v>0</v>
      </c>
      <c r="O10717" t="n">
        <v>0</v>
      </c>
      <c r="P10717" t="n">
        <v>0</v>
      </c>
      <c r="Q10717" t="n">
        <v>0</v>
      </c>
      <c r="R10717" s="2" t="inlineStr"/>
    </row>
    <row r="10718" ht="15" customHeight="1">
      <c r="A10718" t="inlineStr">
        <is>
          <t>A 46371-2022</t>
        </is>
      </c>
      <c r="B10718" s="1" t="n">
        <v>44848</v>
      </c>
      <c r="C10718" s="1" t="n">
        <v>45952</v>
      </c>
      <c r="D10718" t="inlineStr">
        <is>
          <t>VÄSTRA GÖTALANDS LÄN</t>
        </is>
      </c>
      <c r="E10718" t="inlineStr">
        <is>
          <t>STRÖMSTAD</t>
        </is>
      </c>
      <c r="F10718" t="inlineStr">
        <is>
          <t>Kommuner</t>
        </is>
      </c>
      <c r="G10718" t="n">
        <v>5.1</v>
      </c>
      <c r="H10718" t="n">
        <v>0</v>
      </c>
      <c r="I10718" t="n">
        <v>0</v>
      </c>
      <c r="J10718" t="n">
        <v>0</v>
      </c>
      <c r="K10718" t="n">
        <v>0</v>
      </c>
      <c r="L10718" t="n">
        <v>0</v>
      </c>
      <c r="M10718" t="n">
        <v>0</v>
      </c>
      <c r="N10718" t="n">
        <v>0</v>
      </c>
      <c r="O10718" t="n">
        <v>0</v>
      </c>
      <c r="P10718" t="n">
        <v>0</v>
      </c>
      <c r="Q10718" t="n">
        <v>0</v>
      </c>
      <c r="R10718" s="2" t="inlineStr"/>
    </row>
    <row r="10719" ht="15" customHeight="1">
      <c r="A10719" t="inlineStr">
        <is>
          <t>A 64427-2023</t>
        </is>
      </c>
      <c r="B10719" s="1" t="n">
        <v>45280.66630787037</v>
      </c>
      <c r="C10719" s="1" t="n">
        <v>45952</v>
      </c>
      <c r="D10719" t="inlineStr">
        <is>
          <t>VÄSTRA GÖTALANDS LÄN</t>
        </is>
      </c>
      <c r="E10719" t="inlineStr">
        <is>
          <t>FÄRGELANDA</t>
        </is>
      </c>
      <c r="G10719" t="n">
        <v>0.6</v>
      </c>
      <c r="H10719" t="n">
        <v>0</v>
      </c>
      <c r="I10719" t="n">
        <v>0</v>
      </c>
      <c r="J10719" t="n">
        <v>0</v>
      </c>
      <c r="K10719" t="n">
        <v>0</v>
      </c>
      <c r="L10719" t="n">
        <v>0</v>
      </c>
      <c r="M10719" t="n">
        <v>0</v>
      </c>
      <c r="N10719" t="n">
        <v>0</v>
      </c>
      <c r="O10719" t="n">
        <v>0</v>
      </c>
      <c r="P10719" t="n">
        <v>0</v>
      </c>
      <c r="Q10719" t="n">
        <v>0</v>
      </c>
      <c r="R10719" s="2" t="inlineStr"/>
    </row>
    <row r="10720" ht="15" customHeight="1">
      <c r="A10720" t="inlineStr">
        <is>
          <t>A 4327-2023</t>
        </is>
      </c>
      <c r="B10720" s="1" t="n">
        <v>44953</v>
      </c>
      <c r="C10720" s="1" t="n">
        <v>45952</v>
      </c>
      <c r="D10720" t="inlineStr">
        <is>
          <t>VÄSTRA GÖTALANDS LÄN</t>
        </is>
      </c>
      <c r="E10720" t="inlineStr">
        <is>
          <t>BENGTSFORS</t>
        </is>
      </c>
      <c r="G10720" t="n">
        <v>1.5</v>
      </c>
      <c r="H10720" t="n">
        <v>0</v>
      </c>
      <c r="I10720" t="n">
        <v>0</v>
      </c>
      <c r="J10720" t="n">
        <v>0</v>
      </c>
      <c r="K10720" t="n">
        <v>0</v>
      </c>
      <c r="L10720" t="n">
        <v>0</v>
      </c>
      <c r="M10720" t="n">
        <v>0</v>
      </c>
      <c r="N10720" t="n">
        <v>0</v>
      </c>
      <c r="O10720" t="n">
        <v>0</v>
      </c>
      <c r="P10720" t="n">
        <v>0</v>
      </c>
      <c r="Q10720" t="n">
        <v>0</v>
      </c>
      <c r="R10720" s="2" t="inlineStr"/>
    </row>
    <row r="10721" ht="15" customHeight="1">
      <c r="A10721" t="inlineStr">
        <is>
          <t>A 47675-2023</t>
        </is>
      </c>
      <c r="B10721" s="1" t="n">
        <v>45203</v>
      </c>
      <c r="C10721" s="1" t="n">
        <v>45952</v>
      </c>
      <c r="D10721" t="inlineStr">
        <is>
          <t>VÄSTRA GÖTALANDS LÄN</t>
        </is>
      </c>
      <c r="E10721" t="inlineStr">
        <is>
          <t>MUNKEDAL</t>
        </is>
      </c>
      <c r="G10721" t="n">
        <v>14.1</v>
      </c>
      <c r="H10721" t="n">
        <v>0</v>
      </c>
      <c r="I10721" t="n">
        <v>0</v>
      </c>
      <c r="J10721" t="n">
        <v>0</v>
      </c>
      <c r="K10721" t="n">
        <v>0</v>
      </c>
      <c r="L10721" t="n">
        <v>0</v>
      </c>
      <c r="M10721" t="n">
        <v>0</v>
      </c>
      <c r="N10721" t="n">
        <v>0</v>
      </c>
      <c r="O10721" t="n">
        <v>0</v>
      </c>
      <c r="P10721" t="n">
        <v>0</v>
      </c>
      <c r="Q10721" t="n">
        <v>0</v>
      </c>
      <c r="R10721" s="2" t="inlineStr"/>
    </row>
    <row r="10722" ht="15" customHeight="1">
      <c r="A10722" t="inlineStr">
        <is>
          <t>A 2124-2021</t>
        </is>
      </c>
      <c r="B10722" s="1" t="n">
        <v>44210</v>
      </c>
      <c r="C10722" s="1" t="n">
        <v>45952</v>
      </c>
      <c r="D10722" t="inlineStr">
        <is>
          <t>VÄSTRA GÖTALANDS LÄN</t>
        </is>
      </c>
      <c r="E10722" t="inlineStr">
        <is>
          <t>TANUM</t>
        </is>
      </c>
      <c r="G10722" t="n">
        <v>1</v>
      </c>
      <c r="H10722" t="n">
        <v>0</v>
      </c>
      <c r="I10722" t="n">
        <v>0</v>
      </c>
      <c r="J10722" t="n">
        <v>0</v>
      </c>
      <c r="K10722" t="n">
        <v>0</v>
      </c>
      <c r="L10722" t="n">
        <v>0</v>
      </c>
      <c r="M10722" t="n">
        <v>0</v>
      </c>
      <c r="N10722" t="n">
        <v>0</v>
      </c>
      <c r="O10722" t="n">
        <v>0</v>
      </c>
      <c r="P10722" t="n">
        <v>0</v>
      </c>
      <c r="Q10722" t="n">
        <v>0</v>
      </c>
      <c r="R10722" s="2" t="inlineStr"/>
    </row>
    <row r="10723" ht="15" customHeight="1">
      <c r="A10723" t="inlineStr">
        <is>
          <t>A 50578-2025</t>
        </is>
      </c>
      <c r="B10723" s="1" t="n">
        <v>45945.58215277778</v>
      </c>
      <c r="C10723" s="1" t="n">
        <v>45952</v>
      </c>
      <c r="D10723" t="inlineStr">
        <is>
          <t>VÄSTRA GÖTALANDS LÄN</t>
        </is>
      </c>
      <c r="E10723" t="inlineStr">
        <is>
          <t>STRÖMSTAD</t>
        </is>
      </c>
      <c r="G10723" t="n">
        <v>2.8</v>
      </c>
      <c r="H10723" t="n">
        <v>0</v>
      </c>
      <c r="I10723" t="n">
        <v>0</v>
      </c>
      <c r="J10723" t="n">
        <v>0</v>
      </c>
      <c r="K10723" t="n">
        <v>0</v>
      </c>
      <c r="L10723" t="n">
        <v>0</v>
      </c>
      <c r="M10723" t="n">
        <v>0</v>
      </c>
      <c r="N10723" t="n">
        <v>0</v>
      </c>
      <c r="O10723" t="n">
        <v>0</v>
      </c>
      <c r="P10723" t="n">
        <v>0</v>
      </c>
      <c r="Q10723" t="n">
        <v>0</v>
      </c>
      <c r="R10723" s="2" t="inlineStr"/>
    </row>
    <row r="10724" ht="15" customHeight="1">
      <c r="A10724" t="inlineStr">
        <is>
          <t>A 12799-2022</t>
        </is>
      </c>
      <c r="B10724" s="1" t="n">
        <v>44642</v>
      </c>
      <c r="C10724" s="1" t="n">
        <v>45952</v>
      </c>
      <c r="D10724" t="inlineStr">
        <is>
          <t>VÄSTRA GÖTALANDS LÄN</t>
        </is>
      </c>
      <c r="E10724" t="inlineStr">
        <is>
          <t>BENGTSFORS</t>
        </is>
      </c>
      <c r="G10724" t="n">
        <v>5.4</v>
      </c>
      <c r="H10724" t="n">
        <v>0</v>
      </c>
      <c r="I10724" t="n">
        <v>0</v>
      </c>
      <c r="J10724" t="n">
        <v>0</v>
      </c>
      <c r="K10724" t="n">
        <v>0</v>
      </c>
      <c r="L10724" t="n">
        <v>0</v>
      </c>
      <c r="M10724" t="n">
        <v>0</v>
      </c>
      <c r="N10724" t="n">
        <v>0</v>
      </c>
      <c r="O10724" t="n">
        <v>0</v>
      </c>
      <c r="P10724" t="n">
        <v>0</v>
      </c>
      <c r="Q10724" t="n">
        <v>0</v>
      </c>
      <c r="R10724" s="2" t="inlineStr"/>
    </row>
    <row r="10725" ht="15" customHeight="1">
      <c r="A10725" t="inlineStr">
        <is>
          <t>A 50589-2025</t>
        </is>
      </c>
      <c r="B10725" s="1" t="n">
        <v>45945.600625</v>
      </c>
      <c r="C10725" s="1" t="n">
        <v>45952</v>
      </c>
      <c r="D10725" t="inlineStr">
        <is>
          <t>VÄSTRA GÖTALANDS LÄN</t>
        </is>
      </c>
      <c r="E10725" t="inlineStr">
        <is>
          <t>STRÖMSTAD</t>
        </is>
      </c>
      <c r="G10725" t="n">
        <v>3.3</v>
      </c>
      <c r="H10725" t="n">
        <v>0</v>
      </c>
      <c r="I10725" t="n">
        <v>0</v>
      </c>
      <c r="J10725" t="n">
        <v>0</v>
      </c>
      <c r="K10725" t="n">
        <v>0</v>
      </c>
      <c r="L10725" t="n">
        <v>0</v>
      </c>
      <c r="M10725" t="n">
        <v>0</v>
      </c>
      <c r="N10725" t="n">
        <v>0</v>
      </c>
      <c r="O10725" t="n">
        <v>0</v>
      </c>
      <c r="P10725" t="n">
        <v>0</v>
      </c>
      <c r="Q10725" t="n">
        <v>0</v>
      </c>
      <c r="R10725" s="2" t="inlineStr"/>
    </row>
    <row r="10726" ht="15" customHeight="1">
      <c r="A10726" t="inlineStr">
        <is>
          <t>A 50606-2025</t>
        </is>
      </c>
      <c r="B10726" s="1" t="n">
        <v>45945.6171412037</v>
      </c>
      <c r="C10726" s="1" t="n">
        <v>45952</v>
      </c>
      <c r="D10726" t="inlineStr">
        <is>
          <t>VÄSTRA GÖTALANDS LÄN</t>
        </is>
      </c>
      <c r="E10726" t="inlineStr">
        <is>
          <t>STRÖMSTAD</t>
        </is>
      </c>
      <c r="G10726" t="n">
        <v>6.7</v>
      </c>
      <c r="H10726" t="n">
        <v>0</v>
      </c>
      <c r="I10726" t="n">
        <v>0</v>
      </c>
      <c r="J10726" t="n">
        <v>0</v>
      </c>
      <c r="K10726" t="n">
        <v>0</v>
      </c>
      <c r="L10726" t="n">
        <v>0</v>
      </c>
      <c r="M10726" t="n">
        <v>0</v>
      </c>
      <c r="N10726" t="n">
        <v>0</v>
      </c>
      <c r="O10726" t="n">
        <v>0</v>
      </c>
      <c r="P10726" t="n">
        <v>0</v>
      </c>
      <c r="Q10726" t="n">
        <v>0</v>
      </c>
      <c r="R10726" s="2" t="inlineStr"/>
    </row>
    <row r="10727" ht="15" customHeight="1">
      <c r="A10727" t="inlineStr">
        <is>
          <t>A 50607-2025</t>
        </is>
      </c>
      <c r="B10727" s="1" t="n">
        <v>45945.61997685185</v>
      </c>
      <c r="C10727" s="1" t="n">
        <v>45952</v>
      </c>
      <c r="D10727" t="inlineStr">
        <is>
          <t>VÄSTRA GÖTALANDS LÄN</t>
        </is>
      </c>
      <c r="E10727" t="inlineStr">
        <is>
          <t>STRÖMSTAD</t>
        </is>
      </c>
      <c r="G10727" t="n">
        <v>14.5</v>
      </c>
      <c r="H10727" t="n">
        <v>0</v>
      </c>
      <c r="I10727" t="n">
        <v>0</v>
      </c>
      <c r="J10727" t="n">
        <v>0</v>
      </c>
      <c r="K10727" t="n">
        <v>0</v>
      </c>
      <c r="L10727" t="n">
        <v>0</v>
      </c>
      <c r="M10727" t="n">
        <v>0</v>
      </c>
      <c r="N10727" t="n">
        <v>0</v>
      </c>
      <c r="O10727" t="n">
        <v>0</v>
      </c>
      <c r="P10727" t="n">
        <v>0</v>
      </c>
      <c r="Q10727" t="n">
        <v>0</v>
      </c>
      <c r="R10727" s="2" t="inlineStr"/>
    </row>
    <row r="10728" ht="15" customHeight="1">
      <c r="A10728" t="inlineStr">
        <is>
          <t>A 13397-2025</t>
        </is>
      </c>
      <c r="B10728" s="1" t="n">
        <v>45735.71293981482</v>
      </c>
      <c r="C10728" s="1" t="n">
        <v>45952</v>
      </c>
      <c r="D10728" t="inlineStr">
        <is>
          <t>VÄSTRA GÖTALANDS LÄN</t>
        </is>
      </c>
      <c r="E10728" t="inlineStr">
        <is>
          <t>VÅRGÅRDA</t>
        </is>
      </c>
      <c r="G10728" t="n">
        <v>7.1</v>
      </c>
      <c r="H10728" t="n">
        <v>0</v>
      </c>
      <c r="I10728" t="n">
        <v>0</v>
      </c>
      <c r="J10728" t="n">
        <v>0</v>
      </c>
      <c r="K10728" t="n">
        <v>0</v>
      </c>
      <c r="L10728" t="n">
        <v>0</v>
      </c>
      <c r="M10728" t="n">
        <v>0</v>
      </c>
      <c r="N10728" t="n">
        <v>0</v>
      </c>
      <c r="O10728" t="n">
        <v>0</v>
      </c>
      <c r="P10728" t="n">
        <v>0</v>
      </c>
      <c r="Q10728" t="n">
        <v>0</v>
      </c>
      <c r="R10728" s="2" t="inlineStr"/>
    </row>
    <row r="10729" ht="15" customHeight="1">
      <c r="A10729" t="inlineStr">
        <is>
          <t>A 9783-2025</t>
        </is>
      </c>
      <c r="B10729" s="1" t="n">
        <v>45716.50848379629</v>
      </c>
      <c r="C10729" s="1" t="n">
        <v>45952</v>
      </c>
      <c r="D10729" t="inlineStr">
        <is>
          <t>VÄSTRA GÖTALANDS LÄN</t>
        </is>
      </c>
      <c r="E10729" t="inlineStr">
        <is>
          <t>MARIESTAD</t>
        </is>
      </c>
      <c r="F10729" t="inlineStr">
        <is>
          <t>Kyrkan</t>
        </is>
      </c>
      <c r="G10729" t="n">
        <v>0.8</v>
      </c>
      <c r="H10729" t="n">
        <v>0</v>
      </c>
      <c r="I10729" t="n">
        <v>0</v>
      </c>
      <c r="J10729" t="n">
        <v>0</v>
      </c>
      <c r="K10729" t="n">
        <v>0</v>
      </c>
      <c r="L10729" t="n">
        <v>0</v>
      </c>
      <c r="M10729" t="n">
        <v>0</v>
      </c>
      <c r="N10729" t="n">
        <v>0</v>
      </c>
      <c r="O10729" t="n">
        <v>0</v>
      </c>
      <c r="P10729" t="n">
        <v>0</v>
      </c>
      <c r="Q10729" t="n">
        <v>0</v>
      </c>
      <c r="R10729" s="2" t="inlineStr"/>
    </row>
    <row r="10730" ht="15" customHeight="1">
      <c r="A10730" t="inlineStr">
        <is>
          <t>A 49085-2025</t>
        </is>
      </c>
      <c r="B10730" s="1" t="n">
        <v>45937.66828703704</v>
      </c>
      <c r="C10730" s="1" t="n">
        <v>45952</v>
      </c>
      <c r="D10730" t="inlineStr">
        <is>
          <t>VÄSTRA GÖTALANDS LÄN</t>
        </is>
      </c>
      <c r="E10730" t="inlineStr">
        <is>
          <t>TÖREBODA</t>
        </is>
      </c>
      <c r="F10730" t="inlineStr">
        <is>
          <t>Sveaskog</t>
        </is>
      </c>
      <c r="G10730" t="n">
        <v>4.1</v>
      </c>
      <c r="H10730" t="n">
        <v>0</v>
      </c>
      <c r="I10730" t="n">
        <v>0</v>
      </c>
      <c r="J10730" t="n">
        <v>0</v>
      </c>
      <c r="K10730" t="n">
        <v>0</v>
      </c>
      <c r="L10730" t="n">
        <v>0</v>
      </c>
      <c r="M10730" t="n">
        <v>0</v>
      </c>
      <c r="N10730" t="n">
        <v>0</v>
      </c>
      <c r="O10730" t="n">
        <v>0</v>
      </c>
      <c r="P10730" t="n">
        <v>0</v>
      </c>
      <c r="Q10730" t="n">
        <v>0</v>
      </c>
      <c r="R10730" s="2" t="inlineStr"/>
    </row>
    <row r="10731" ht="15" customHeight="1">
      <c r="A10731" t="inlineStr">
        <is>
          <t>A 9871-2025</t>
        </is>
      </c>
      <c r="B10731" s="1" t="n">
        <v>45716.64547453704</v>
      </c>
      <c r="C10731" s="1" t="n">
        <v>45952</v>
      </c>
      <c r="D10731" t="inlineStr">
        <is>
          <t>VÄSTRA GÖTALANDS LÄN</t>
        </is>
      </c>
      <c r="E10731" t="inlineStr">
        <is>
          <t>ULRICEHAMN</t>
        </is>
      </c>
      <c r="G10731" t="n">
        <v>4.4</v>
      </c>
      <c r="H10731" t="n">
        <v>0</v>
      </c>
      <c r="I10731" t="n">
        <v>0</v>
      </c>
      <c r="J10731" t="n">
        <v>0</v>
      </c>
      <c r="K10731" t="n">
        <v>0</v>
      </c>
      <c r="L10731" t="n">
        <v>0</v>
      </c>
      <c r="M10731" t="n">
        <v>0</v>
      </c>
      <c r="N10731" t="n">
        <v>0</v>
      </c>
      <c r="O10731" t="n">
        <v>0</v>
      </c>
      <c r="P10731" t="n">
        <v>0</v>
      </c>
      <c r="Q10731" t="n">
        <v>0</v>
      </c>
      <c r="R10731" s="2" t="inlineStr"/>
    </row>
    <row r="10732" ht="15" customHeight="1">
      <c r="A10732" t="inlineStr">
        <is>
          <t>A 60743-2022</t>
        </is>
      </c>
      <c r="B10732" s="1" t="n">
        <v>44914.28622685185</v>
      </c>
      <c r="C10732" s="1" t="n">
        <v>45952</v>
      </c>
      <c r="D10732" t="inlineStr">
        <is>
          <t>VÄSTRA GÖTALANDS LÄN</t>
        </is>
      </c>
      <c r="E10732" t="inlineStr">
        <is>
          <t>HERRLJUNGA</t>
        </is>
      </c>
      <c r="G10732" t="n">
        <v>2.6</v>
      </c>
      <c r="H10732" t="n">
        <v>0</v>
      </c>
      <c r="I10732" t="n">
        <v>0</v>
      </c>
      <c r="J10732" t="n">
        <v>0</v>
      </c>
      <c r="K10732" t="n">
        <v>0</v>
      </c>
      <c r="L10732" t="n">
        <v>0</v>
      </c>
      <c r="M10732" t="n">
        <v>0</v>
      </c>
      <c r="N10732" t="n">
        <v>0</v>
      </c>
      <c r="O10732" t="n">
        <v>0</v>
      </c>
      <c r="P10732" t="n">
        <v>0</v>
      </c>
      <c r="Q10732" t="n">
        <v>0</v>
      </c>
      <c r="R10732" s="2" t="inlineStr"/>
    </row>
    <row r="10733" ht="15" customHeight="1">
      <c r="A10733" t="inlineStr">
        <is>
          <t>A 35845-2024</t>
        </is>
      </c>
      <c r="B10733" s="1" t="n">
        <v>45532.77804398148</v>
      </c>
      <c r="C10733" s="1" t="n">
        <v>45952</v>
      </c>
      <c r="D10733" t="inlineStr">
        <is>
          <t>VÄSTRA GÖTALANDS LÄN</t>
        </is>
      </c>
      <c r="E10733" t="inlineStr">
        <is>
          <t>FÄRGELANDA</t>
        </is>
      </c>
      <c r="G10733" t="n">
        <v>0.9</v>
      </c>
      <c r="H10733" t="n">
        <v>0</v>
      </c>
      <c r="I10733" t="n">
        <v>0</v>
      </c>
      <c r="J10733" t="n">
        <v>0</v>
      </c>
      <c r="K10733" t="n">
        <v>0</v>
      </c>
      <c r="L10733" t="n">
        <v>0</v>
      </c>
      <c r="M10733" t="n">
        <v>0</v>
      </c>
      <c r="N10733" t="n">
        <v>0</v>
      </c>
      <c r="O10733" t="n">
        <v>0</v>
      </c>
      <c r="P10733" t="n">
        <v>0</v>
      </c>
      <c r="Q10733" t="n">
        <v>0</v>
      </c>
      <c r="R10733" s="2" t="inlineStr"/>
    </row>
    <row r="10734" ht="15" customHeight="1">
      <c r="A10734" t="inlineStr">
        <is>
          <t>A 29217-2022</t>
        </is>
      </c>
      <c r="B10734" s="1" t="n">
        <v>44750.58076388889</v>
      </c>
      <c r="C10734" s="1" t="n">
        <v>45952</v>
      </c>
      <c r="D10734" t="inlineStr">
        <is>
          <t>VÄSTRA GÖTALANDS LÄN</t>
        </is>
      </c>
      <c r="E10734" t="inlineStr">
        <is>
          <t>SKÖVDE</t>
        </is>
      </c>
      <c r="F10734" t="inlineStr">
        <is>
          <t>Kommuner</t>
        </is>
      </c>
      <c r="G10734" t="n">
        <v>1</v>
      </c>
      <c r="H10734" t="n">
        <v>0</v>
      </c>
      <c r="I10734" t="n">
        <v>0</v>
      </c>
      <c r="J10734" t="n">
        <v>0</v>
      </c>
      <c r="K10734" t="n">
        <v>0</v>
      </c>
      <c r="L10734" t="n">
        <v>0</v>
      </c>
      <c r="M10734" t="n">
        <v>0</v>
      </c>
      <c r="N10734" t="n">
        <v>0</v>
      </c>
      <c r="O10734" t="n">
        <v>0</v>
      </c>
      <c r="P10734" t="n">
        <v>0</v>
      </c>
      <c r="Q10734" t="n">
        <v>0</v>
      </c>
      <c r="R10734" s="2" t="inlineStr"/>
    </row>
    <row r="10735" ht="15" customHeight="1">
      <c r="A10735" t="inlineStr">
        <is>
          <t>A 771-2023</t>
        </is>
      </c>
      <c r="B10735" s="1" t="n">
        <v>44931</v>
      </c>
      <c r="C10735" s="1" t="n">
        <v>45952</v>
      </c>
      <c r="D10735" t="inlineStr">
        <is>
          <t>VÄSTRA GÖTALANDS LÄN</t>
        </is>
      </c>
      <c r="E10735" t="inlineStr">
        <is>
          <t>ORUST</t>
        </is>
      </c>
      <c r="G10735" t="n">
        <v>2.6</v>
      </c>
      <c r="H10735" t="n">
        <v>0</v>
      </c>
      <c r="I10735" t="n">
        <v>0</v>
      </c>
      <c r="J10735" t="n">
        <v>0</v>
      </c>
      <c r="K10735" t="n">
        <v>0</v>
      </c>
      <c r="L10735" t="n">
        <v>0</v>
      </c>
      <c r="M10735" t="n">
        <v>0</v>
      </c>
      <c r="N10735" t="n">
        <v>0</v>
      </c>
      <c r="O10735" t="n">
        <v>0</v>
      </c>
      <c r="P10735" t="n">
        <v>0</v>
      </c>
      <c r="Q10735" t="n">
        <v>0</v>
      </c>
      <c r="R10735" s="2" t="inlineStr"/>
    </row>
    <row r="10736" ht="15" customHeight="1">
      <c r="A10736" t="inlineStr">
        <is>
          <t>A 59383-2024</t>
        </is>
      </c>
      <c r="B10736" s="1" t="n">
        <v>45638.35758101852</v>
      </c>
      <c r="C10736" s="1" t="n">
        <v>45952</v>
      </c>
      <c r="D10736" t="inlineStr">
        <is>
          <t>VÄSTRA GÖTALANDS LÄN</t>
        </is>
      </c>
      <c r="E10736" t="inlineStr">
        <is>
          <t>STRÖMSTAD</t>
        </is>
      </c>
      <c r="F10736" t="inlineStr">
        <is>
          <t>Kommuner</t>
        </is>
      </c>
      <c r="G10736" t="n">
        <v>2.6</v>
      </c>
      <c r="H10736" t="n">
        <v>0</v>
      </c>
      <c r="I10736" t="n">
        <v>0</v>
      </c>
      <c r="J10736" t="n">
        <v>0</v>
      </c>
      <c r="K10736" t="n">
        <v>0</v>
      </c>
      <c r="L10736" t="n">
        <v>0</v>
      </c>
      <c r="M10736" t="n">
        <v>0</v>
      </c>
      <c r="N10736" t="n">
        <v>0</v>
      </c>
      <c r="O10736" t="n">
        <v>0</v>
      </c>
      <c r="P10736" t="n">
        <v>0</v>
      </c>
      <c r="Q10736" t="n">
        <v>0</v>
      </c>
      <c r="R10736" s="2" t="inlineStr"/>
    </row>
    <row r="10737" ht="15" customHeight="1">
      <c r="A10737" t="inlineStr">
        <is>
          <t>A 55997-2021</t>
        </is>
      </c>
      <c r="B10737" s="1" t="n">
        <v>44477</v>
      </c>
      <c r="C10737" s="1" t="n">
        <v>45952</v>
      </c>
      <c r="D10737" t="inlineStr">
        <is>
          <t>VÄSTRA GÖTALANDS LÄN</t>
        </is>
      </c>
      <c r="E10737" t="inlineStr">
        <is>
          <t>ULRICEHAMN</t>
        </is>
      </c>
      <c r="G10737" t="n">
        <v>0.5</v>
      </c>
      <c r="H10737" t="n">
        <v>0</v>
      </c>
      <c r="I10737" t="n">
        <v>0</v>
      </c>
      <c r="J10737" t="n">
        <v>0</v>
      </c>
      <c r="K10737" t="n">
        <v>0</v>
      </c>
      <c r="L10737" t="n">
        <v>0</v>
      </c>
      <c r="M10737" t="n">
        <v>0</v>
      </c>
      <c r="N10737" t="n">
        <v>0</v>
      </c>
      <c r="O10737" t="n">
        <v>0</v>
      </c>
      <c r="P10737" t="n">
        <v>0</v>
      </c>
      <c r="Q10737" t="n">
        <v>0</v>
      </c>
      <c r="R10737" s="2" t="inlineStr"/>
    </row>
    <row r="10738" ht="15" customHeight="1">
      <c r="A10738" t="inlineStr">
        <is>
          <t>A 59441-2024</t>
        </is>
      </c>
      <c r="B10738" s="1" t="n">
        <v>45638.4434837963</v>
      </c>
      <c r="C10738" s="1" t="n">
        <v>45952</v>
      </c>
      <c r="D10738" t="inlineStr">
        <is>
          <t>VÄSTRA GÖTALANDS LÄN</t>
        </is>
      </c>
      <c r="E10738" t="inlineStr">
        <is>
          <t>FÄRGELANDA</t>
        </is>
      </c>
      <c r="G10738" t="n">
        <v>0.7</v>
      </c>
      <c r="H10738" t="n">
        <v>0</v>
      </c>
      <c r="I10738" t="n">
        <v>0</v>
      </c>
      <c r="J10738" t="n">
        <v>0</v>
      </c>
      <c r="K10738" t="n">
        <v>0</v>
      </c>
      <c r="L10738" t="n">
        <v>0</v>
      </c>
      <c r="M10738" t="n">
        <v>0</v>
      </c>
      <c r="N10738" t="n">
        <v>0</v>
      </c>
      <c r="O10738" t="n">
        <v>0</v>
      </c>
      <c r="P10738" t="n">
        <v>0</v>
      </c>
      <c r="Q10738" t="n">
        <v>0</v>
      </c>
      <c r="R10738" s="2" t="inlineStr"/>
    </row>
    <row r="10739" ht="15" customHeight="1">
      <c r="A10739" t="inlineStr">
        <is>
          <t>A 30228-2024</t>
        </is>
      </c>
      <c r="B10739" s="1" t="n">
        <v>45490.46703703704</v>
      </c>
      <c r="C10739" s="1" t="n">
        <v>45952</v>
      </c>
      <c r="D10739" t="inlineStr">
        <is>
          <t>VÄSTRA GÖTALANDS LÄN</t>
        </is>
      </c>
      <c r="E10739" t="inlineStr">
        <is>
          <t>TANUM</t>
        </is>
      </c>
      <c r="G10739" t="n">
        <v>2.9</v>
      </c>
      <c r="H10739" t="n">
        <v>0</v>
      </c>
      <c r="I10739" t="n">
        <v>0</v>
      </c>
      <c r="J10739" t="n">
        <v>0</v>
      </c>
      <c r="K10739" t="n">
        <v>0</v>
      </c>
      <c r="L10739" t="n">
        <v>0</v>
      </c>
      <c r="M10739" t="n">
        <v>0</v>
      </c>
      <c r="N10739" t="n">
        <v>0</v>
      </c>
      <c r="O10739" t="n">
        <v>0</v>
      </c>
      <c r="P10739" t="n">
        <v>0</v>
      </c>
      <c r="Q10739" t="n">
        <v>0</v>
      </c>
      <c r="R10739" s="2" t="inlineStr"/>
    </row>
    <row r="10740" ht="15" customHeight="1">
      <c r="A10740" t="inlineStr">
        <is>
          <t>A 48407-2025</t>
        </is>
      </c>
      <c r="B10740" s="1" t="n">
        <v>45934.39565972222</v>
      </c>
      <c r="C10740" s="1" t="n">
        <v>45952</v>
      </c>
      <c r="D10740" t="inlineStr">
        <is>
          <t>VÄSTRA GÖTALANDS LÄN</t>
        </is>
      </c>
      <c r="E10740" t="inlineStr">
        <is>
          <t>ULRICEHAMN</t>
        </is>
      </c>
      <c r="G10740" t="n">
        <v>0.8</v>
      </c>
      <c r="H10740" t="n">
        <v>0</v>
      </c>
      <c r="I10740" t="n">
        <v>0</v>
      </c>
      <c r="J10740" t="n">
        <v>0</v>
      </c>
      <c r="K10740" t="n">
        <v>0</v>
      </c>
      <c r="L10740" t="n">
        <v>0</v>
      </c>
      <c r="M10740" t="n">
        <v>0</v>
      </c>
      <c r="N10740" t="n">
        <v>0</v>
      </c>
      <c r="O10740" t="n">
        <v>0</v>
      </c>
      <c r="P10740" t="n">
        <v>0</v>
      </c>
      <c r="Q10740" t="n">
        <v>0</v>
      </c>
      <c r="R10740" s="2" t="inlineStr"/>
    </row>
    <row r="10741" ht="15" customHeight="1">
      <c r="A10741" t="inlineStr">
        <is>
          <t>A 30231-2024</t>
        </is>
      </c>
      <c r="B10741" s="1" t="n">
        <v>45490.47797453704</v>
      </c>
      <c r="C10741" s="1" t="n">
        <v>45952</v>
      </c>
      <c r="D10741" t="inlineStr">
        <is>
          <t>VÄSTRA GÖTALANDS LÄN</t>
        </is>
      </c>
      <c r="E10741" t="inlineStr">
        <is>
          <t>MARK</t>
        </is>
      </c>
      <c r="G10741" t="n">
        <v>6.1</v>
      </c>
      <c r="H10741" t="n">
        <v>0</v>
      </c>
      <c r="I10741" t="n">
        <v>0</v>
      </c>
      <c r="J10741" t="n">
        <v>0</v>
      </c>
      <c r="K10741" t="n">
        <v>0</v>
      </c>
      <c r="L10741" t="n">
        <v>0</v>
      </c>
      <c r="M10741" t="n">
        <v>0</v>
      </c>
      <c r="N10741" t="n">
        <v>0</v>
      </c>
      <c r="O10741" t="n">
        <v>0</v>
      </c>
      <c r="P10741" t="n">
        <v>0</v>
      </c>
      <c r="Q10741" t="n">
        <v>0</v>
      </c>
      <c r="R10741" s="2" t="inlineStr"/>
    </row>
    <row r="10742" ht="15" customHeight="1">
      <c r="A10742" t="inlineStr">
        <is>
          <t>A 30232-2024</t>
        </is>
      </c>
      <c r="B10742" s="1" t="n">
        <v>45490.4799537037</v>
      </c>
      <c r="C10742" s="1" t="n">
        <v>45952</v>
      </c>
      <c r="D10742" t="inlineStr">
        <is>
          <t>VÄSTRA GÖTALANDS LÄN</t>
        </is>
      </c>
      <c r="E10742" t="inlineStr">
        <is>
          <t>MARK</t>
        </is>
      </c>
      <c r="G10742" t="n">
        <v>1.4</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30250-2024</t>
        </is>
      </c>
      <c r="B10743" s="1" t="n">
        <v>45490.55439814815</v>
      </c>
      <c r="C10743" s="1" t="n">
        <v>45952</v>
      </c>
      <c r="D10743" t="inlineStr">
        <is>
          <t>VÄSTRA GÖTALANDS LÄN</t>
        </is>
      </c>
      <c r="E10743" t="inlineStr">
        <is>
          <t>MARK</t>
        </is>
      </c>
      <c r="G10743" t="n">
        <v>2.2</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26434-2023</t>
        </is>
      </c>
      <c r="B10744" s="1" t="n">
        <v>45092</v>
      </c>
      <c r="C10744" s="1" t="n">
        <v>45952</v>
      </c>
      <c r="D10744" t="inlineStr">
        <is>
          <t>VÄSTRA GÖTALANDS LÄN</t>
        </is>
      </c>
      <c r="E10744" t="inlineStr">
        <is>
          <t>HERRLJUNGA</t>
        </is>
      </c>
      <c r="G10744" t="n">
        <v>1.5</v>
      </c>
      <c r="H10744" t="n">
        <v>0</v>
      </c>
      <c r="I10744" t="n">
        <v>0</v>
      </c>
      <c r="J10744" t="n">
        <v>0</v>
      </c>
      <c r="K10744" t="n">
        <v>0</v>
      </c>
      <c r="L10744" t="n">
        <v>0</v>
      </c>
      <c r="M10744" t="n">
        <v>0</v>
      </c>
      <c r="N10744" t="n">
        <v>0</v>
      </c>
      <c r="O10744" t="n">
        <v>0</v>
      </c>
      <c r="P10744" t="n">
        <v>0</v>
      </c>
      <c r="Q10744" t="n">
        <v>0</v>
      </c>
      <c r="R10744" s="2" t="inlineStr"/>
    </row>
    <row r="10745" ht="15" customHeight="1">
      <c r="A10745" t="inlineStr">
        <is>
          <t>A 42362-2024</t>
        </is>
      </c>
      <c r="B10745" s="1" t="n">
        <v>45562.86854166666</v>
      </c>
      <c r="C10745" s="1" t="n">
        <v>45952</v>
      </c>
      <c r="D10745" t="inlineStr">
        <is>
          <t>VÄSTRA GÖTALANDS LÄN</t>
        </is>
      </c>
      <c r="E10745" t="inlineStr">
        <is>
          <t>BENGTSFORS</t>
        </is>
      </c>
      <c r="G10745" t="n">
        <v>0.9</v>
      </c>
      <c r="H10745" t="n">
        <v>0</v>
      </c>
      <c r="I10745" t="n">
        <v>0</v>
      </c>
      <c r="J10745" t="n">
        <v>0</v>
      </c>
      <c r="K10745" t="n">
        <v>0</v>
      </c>
      <c r="L10745" t="n">
        <v>0</v>
      </c>
      <c r="M10745" t="n">
        <v>0</v>
      </c>
      <c r="N10745" t="n">
        <v>0</v>
      </c>
      <c r="O10745" t="n">
        <v>0</v>
      </c>
      <c r="P10745" t="n">
        <v>0</v>
      </c>
      <c r="Q10745" t="n">
        <v>0</v>
      </c>
      <c r="R10745" s="2" t="inlineStr"/>
    </row>
    <row r="10746" ht="15" customHeight="1">
      <c r="A10746" t="inlineStr">
        <is>
          <t>A 50586-2025</t>
        </is>
      </c>
      <c r="B10746" s="1" t="n">
        <v>45945.59425925926</v>
      </c>
      <c r="C10746" s="1" t="n">
        <v>45952</v>
      </c>
      <c r="D10746" t="inlineStr">
        <is>
          <t>VÄSTRA GÖTALANDS LÄN</t>
        </is>
      </c>
      <c r="E10746" t="inlineStr">
        <is>
          <t>UDDEVALLA</t>
        </is>
      </c>
      <c r="G10746" t="n">
        <v>11</v>
      </c>
      <c r="H10746" t="n">
        <v>0</v>
      </c>
      <c r="I10746" t="n">
        <v>0</v>
      </c>
      <c r="J10746" t="n">
        <v>0</v>
      </c>
      <c r="K10746" t="n">
        <v>0</v>
      </c>
      <c r="L10746" t="n">
        <v>0</v>
      </c>
      <c r="M10746" t="n">
        <v>0</v>
      </c>
      <c r="N10746" t="n">
        <v>0</v>
      </c>
      <c r="O10746" t="n">
        <v>0</v>
      </c>
      <c r="P10746" t="n">
        <v>0</v>
      </c>
      <c r="Q10746" t="n">
        <v>0</v>
      </c>
      <c r="R10746" s="2" t="inlineStr"/>
    </row>
    <row r="10747" ht="15" customHeight="1">
      <c r="A10747" t="inlineStr">
        <is>
          <t>A 50590-2025</t>
        </is>
      </c>
      <c r="B10747" s="1" t="n">
        <v>45945.60101851852</v>
      </c>
      <c r="C10747" s="1" t="n">
        <v>45952</v>
      </c>
      <c r="D10747" t="inlineStr">
        <is>
          <t>VÄSTRA GÖTALANDS LÄN</t>
        </is>
      </c>
      <c r="E10747" t="inlineStr">
        <is>
          <t>SKARA</t>
        </is>
      </c>
      <c r="F10747" t="inlineStr">
        <is>
          <t>Sveaskog</t>
        </is>
      </c>
      <c r="G10747" t="n">
        <v>1.9</v>
      </c>
      <c r="H10747" t="n">
        <v>0</v>
      </c>
      <c r="I10747" t="n">
        <v>0</v>
      </c>
      <c r="J10747" t="n">
        <v>0</v>
      </c>
      <c r="K10747" t="n">
        <v>0</v>
      </c>
      <c r="L10747" t="n">
        <v>0</v>
      </c>
      <c r="M10747" t="n">
        <v>0</v>
      </c>
      <c r="N10747" t="n">
        <v>0</v>
      </c>
      <c r="O10747" t="n">
        <v>0</v>
      </c>
      <c r="P10747" t="n">
        <v>0</v>
      </c>
      <c r="Q10747" t="n">
        <v>0</v>
      </c>
      <c r="R10747" s="2" t="inlineStr"/>
    </row>
    <row r="10748" ht="15" customHeight="1">
      <c r="A10748" t="inlineStr">
        <is>
          <t>A 50616-2025</t>
        </is>
      </c>
      <c r="B10748" s="1" t="n">
        <v>45945.62936342593</v>
      </c>
      <c r="C10748" s="1" t="n">
        <v>45952</v>
      </c>
      <c r="D10748" t="inlineStr">
        <is>
          <t>VÄSTRA GÖTALANDS LÄN</t>
        </is>
      </c>
      <c r="E10748" t="inlineStr">
        <is>
          <t>FALKÖPING</t>
        </is>
      </c>
      <c r="F10748" t="inlineStr">
        <is>
          <t>Sveaskog</t>
        </is>
      </c>
      <c r="G10748" t="n">
        <v>4.3</v>
      </c>
      <c r="H10748" t="n">
        <v>0</v>
      </c>
      <c r="I10748" t="n">
        <v>0</v>
      </c>
      <c r="J10748" t="n">
        <v>0</v>
      </c>
      <c r="K10748" t="n">
        <v>0</v>
      </c>
      <c r="L10748" t="n">
        <v>0</v>
      </c>
      <c r="M10748" t="n">
        <v>0</v>
      </c>
      <c r="N10748" t="n">
        <v>0</v>
      </c>
      <c r="O10748" t="n">
        <v>0</v>
      </c>
      <c r="P10748" t="n">
        <v>0</v>
      </c>
      <c r="Q10748" t="n">
        <v>0</v>
      </c>
      <c r="R10748" s="2" t="inlineStr"/>
    </row>
    <row r="10749" ht="15" customHeight="1">
      <c r="A10749" t="inlineStr">
        <is>
          <t>A 36493-2022</t>
        </is>
      </c>
      <c r="B10749" s="1" t="n">
        <v>44804.46896990741</v>
      </c>
      <c r="C10749" s="1" t="n">
        <v>45952</v>
      </c>
      <c r="D10749" t="inlineStr">
        <is>
          <t>VÄSTRA GÖTALANDS LÄN</t>
        </is>
      </c>
      <c r="E10749" t="inlineStr">
        <is>
          <t>SVENLJUNGA</t>
        </is>
      </c>
      <c r="G10749" t="n">
        <v>6.3</v>
      </c>
      <c r="H10749" t="n">
        <v>0</v>
      </c>
      <c r="I10749" t="n">
        <v>0</v>
      </c>
      <c r="J10749" t="n">
        <v>0</v>
      </c>
      <c r="K10749" t="n">
        <v>0</v>
      </c>
      <c r="L10749" t="n">
        <v>0</v>
      </c>
      <c r="M10749" t="n">
        <v>0</v>
      </c>
      <c r="N10749" t="n">
        <v>0</v>
      </c>
      <c r="O10749" t="n">
        <v>0</v>
      </c>
      <c r="P10749" t="n">
        <v>0</v>
      </c>
      <c r="Q10749" t="n">
        <v>0</v>
      </c>
      <c r="R10749" s="2" t="inlineStr"/>
    </row>
    <row r="10750" ht="15" customHeight="1">
      <c r="A10750" t="inlineStr">
        <is>
          <t>A 41880-2022</t>
        </is>
      </c>
      <c r="B10750" s="1" t="n">
        <v>44830.29479166667</v>
      </c>
      <c r="C10750" s="1" t="n">
        <v>45952</v>
      </c>
      <c r="D10750" t="inlineStr">
        <is>
          <t>VÄSTRA GÖTALANDS LÄN</t>
        </is>
      </c>
      <c r="E10750" t="inlineStr">
        <is>
          <t>SVENLJUNGA</t>
        </is>
      </c>
      <c r="G10750" t="n">
        <v>2.8</v>
      </c>
      <c r="H10750" t="n">
        <v>0</v>
      </c>
      <c r="I10750" t="n">
        <v>0</v>
      </c>
      <c r="J10750" t="n">
        <v>0</v>
      </c>
      <c r="K10750" t="n">
        <v>0</v>
      </c>
      <c r="L10750" t="n">
        <v>0</v>
      </c>
      <c r="M10750" t="n">
        <v>0</v>
      </c>
      <c r="N10750" t="n">
        <v>0</v>
      </c>
      <c r="O10750" t="n">
        <v>0</v>
      </c>
      <c r="P10750" t="n">
        <v>0</v>
      </c>
      <c r="Q10750" t="n">
        <v>0</v>
      </c>
      <c r="R10750" s="2" t="inlineStr"/>
    </row>
    <row r="10751" ht="15" customHeight="1">
      <c r="A10751" t="inlineStr">
        <is>
          <t>A 50625-2025</t>
        </is>
      </c>
      <c r="B10751" s="1" t="n">
        <v>45945.63540509259</v>
      </c>
      <c r="C10751" s="1" t="n">
        <v>45952</v>
      </c>
      <c r="D10751" t="inlineStr">
        <is>
          <t>VÄSTRA GÖTALANDS LÄN</t>
        </is>
      </c>
      <c r="E10751" t="inlineStr">
        <is>
          <t>BENGTSFORS</t>
        </is>
      </c>
      <c r="G10751" t="n">
        <v>2.3</v>
      </c>
      <c r="H10751" t="n">
        <v>0</v>
      </c>
      <c r="I10751" t="n">
        <v>0</v>
      </c>
      <c r="J10751" t="n">
        <v>0</v>
      </c>
      <c r="K10751" t="n">
        <v>0</v>
      </c>
      <c r="L10751" t="n">
        <v>0</v>
      </c>
      <c r="M10751" t="n">
        <v>0</v>
      </c>
      <c r="N10751" t="n">
        <v>0</v>
      </c>
      <c r="O10751" t="n">
        <v>0</v>
      </c>
      <c r="P10751" t="n">
        <v>0</v>
      </c>
      <c r="Q10751" t="n">
        <v>0</v>
      </c>
      <c r="R10751" s="2" t="inlineStr"/>
    </row>
    <row r="10752" ht="15" customHeight="1">
      <c r="A10752" t="inlineStr">
        <is>
          <t>A 50626-2025</t>
        </is>
      </c>
      <c r="B10752" s="1" t="n">
        <v>45945.63623842593</v>
      </c>
      <c r="C10752" s="1" t="n">
        <v>45952</v>
      </c>
      <c r="D10752" t="inlineStr">
        <is>
          <t>VÄSTRA GÖTALANDS LÄN</t>
        </is>
      </c>
      <c r="E10752" t="inlineStr">
        <is>
          <t>STRÖMSTAD</t>
        </is>
      </c>
      <c r="F10752" t="inlineStr">
        <is>
          <t>Övriga Aktiebolag</t>
        </is>
      </c>
      <c r="G10752" t="n">
        <v>14</v>
      </c>
      <c r="H10752" t="n">
        <v>0</v>
      </c>
      <c r="I10752" t="n">
        <v>0</v>
      </c>
      <c r="J10752" t="n">
        <v>0</v>
      </c>
      <c r="K10752" t="n">
        <v>0</v>
      </c>
      <c r="L10752" t="n">
        <v>0</v>
      </c>
      <c r="M10752" t="n">
        <v>0</v>
      </c>
      <c r="N10752" t="n">
        <v>0</v>
      </c>
      <c r="O10752" t="n">
        <v>0</v>
      </c>
      <c r="P10752" t="n">
        <v>0</v>
      </c>
      <c r="Q10752" t="n">
        <v>0</v>
      </c>
      <c r="R10752" s="2" t="inlineStr"/>
    </row>
    <row r="10753" ht="15" customHeight="1">
      <c r="A10753" t="inlineStr">
        <is>
          <t>A 42021-2025</t>
        </is>
      </c>
      <c r="B10753" s="1" t="n">
        <v>45903.59125</v>
      </c>
      <c r="C10753" s="1" t="n">
        <v>45952</v>
      </c>
      <c r="D10753" t="inlineStr">
        <is>
          <t>VÄSTRA GÖTALANDS LÄN</t>
        </is>
      </c>
      <c r="E10753" t="inlineStr">
        <is>
          <t>VÄNERSBORG</t>
        </is>
      </c>
      <c r="G10753" t="n">
        <v>1.5</v>
      </c>
      <c r="H10753" t="n">
        <v>0</v>
      </c>
      <c r="I10753" t="n">
        <v>0</v>
      </c>
      <c r="J10753" t="n">
        <v>0</v>
      </c>
      <c r="K10753" t="n">
        <v>0</v>
      </c>
      <c r="L10753" t="n">
        <v>0</v>
      </c>
      <c r="M10753" t="n">
        <v>0</v>
      </c>
      <c r="N10753" t="n">
        <v>0</v>
      </c>
      <c r="O10753" t="n">
        <v>0</v>
      </c>
      <c r="P10753" t="n">
        <v>0</v>
      </c>
      <c r="Q10753" t="n">
        <v>0</v>
      </c>
      <c r="R10753" s="2" t="inlineStr"/>
    </row>
    <row r="10754" ht="15" customHeight="1">
      <c r="A10754" t="inlineStr">
        <is>
          <t>A 42026-2025</t>
        </is>
      </c>
      <c r="B10754" s="1" t="n">
        <v>45903.59835648148</v>
      </c>
      <c r="C10754" s="1" t="n">
        <v>45952</v>
      </c>
      <c r="D10754" t="inlineStr">
        <is>
          <t>VÄSTRA GÖTALANDS LÄN</t>
        </is>
      </c>
      <c r="E10754" t="inlineStr">
        <is>
          <t>ÅMÅL</t>
        </is>
      </c>
      <c r="G10754" t="n">
        <v>7.8</v>
      </c>
      <c r="H10754" t="n">
        <v>0</v>
      </c>
      <c r="I10754" t="n">
        <v>0</v>
      </c>
      <c r="J10754" t="n">
        <v>0</v>
      </c>
      <c r="K10754" t="n">
        <v>0</v>
      </c>
      <c r="L10754" t="n">
        <v>0</v>
      </c>
      <c r="M10754" t="n">
        <v>0</v>
      </c>
      <c r="N10754" t="n">
        <v>0</v>
      </c>
      <c r="O10754" t="n">
        <v>0</v>
      </c>
      <c r="P10754" t="n">
        <v>0</v>
      </c>
      <c r="Q10754" t="n">
        <v>0</v>
      </c>
      <c r="R10754" s="2" t="inlineStr"/>
    </row>
    <row r="10755" ht="15" customHeight="1">
      <c r="A10755" t="inlineStr">
        <is>
          <t>A 50685-2025</t>
        </is>
      </c>
      <c r="B10755" s="1" t="n">
        <v>45945.82289351852</v>
      </c>
      <c r="C10755" s="1" t="n">
        <v>45952</v>
      </c>
      <c r="D10755" t="inlineStr">
        <is>
          <t>VÄSTRA GÖTALANDS LÄN</t>
        </is>
      </c>
      <c r="E10755" t="inlineStr">
        <is>
          <t>VÅRGÅRDA</t>
        </is>
      </c>
      <c r="G10755" t="n">
        <v>1.5</v>
      </c>
      <c r="H10755" t="n">
        <v>0</v>
      </c>
      <c r="I10755" t="n">
        <v>0</v>
      </c>
      <c r="J10755" t="n">
        <v>0</v>
      </c>
      <c r="K10755" t="n">
        <v>0</v>
      </c>
      <c r="L10755" t="n">
        <v>0</v>
      </c>
      <c r="M10755" t="n">
        <v>0</v>
      </c>
      <c r="N10755" t="n">
        <v>0</v>
      </c>
      <c r="O10755" t="n">
        <v>0</v>
      </c>
      <c r="P10755" t="n">
        <v>0</v>
      </c>
      <c r="Q10755" t="n">
        <v>0</v>
      </c>
      <c r="R10755" s="2" t="inlineStr"/>
    </row>
    <row r="10756" ht="15" customHeight="1">
      <c r="A10756" t="inlineStr">
        <is>
          <t>A 42062-2025</t>
        </is>
      </c>
      <c r="B10756" s="1" t="n">
        <v>45902</v>
      </c>
      <c r="C10756" s="1" t="n">
        <v>45952</v>
      </c>
      <c r="D10756" t="inlineStr">
        <is>
          <t>VÄSTRA GÖTALANDS LÄN</t>
        </is>
      </c>
      <c r="E10756" t="inlineStr">
        <is>
          <t>SVENLJUNGA</t>
        </is>
      </c>
      <c r="G10756" t="n">
        <v>0.9</v>
      </c>
      <c r="H10756" t="n">
        <v>0</v>
      </c>
      <c r="I10756" t="n">
        <v>0</v>
      </c>
      <c r="J10756" t="n">
        <v>0</v>
      </c>
      <c r="K10756" t="n">
        <v>0</v>
      </c>
      <c r="L10756" t="n">
        <v>0</v>
      </c>
      <c r="M10756" t="n">
        <v>0</v>
      </c>
      <c r="N10756" t="n">
        <v>0</v>
      </c>
      <c r="O10756" t="n">
        <v>0</v>
      </c>
      <c r="P10756" t="n">
        <v>0</v>
      </c>
      <c r="Q10756" t="n">
        <v>0</v>
      </c>
      <c r="R10756" s="2" t="inlineStr"/>
    </row>
    <row r="10757" ht="15" customHeight="1">
      <c r="A10757" t="inlineStr">
        <is>
          <t>A 10811-2024</t>
        </is>
      </c>
      <c r="B10757" s="1" t="n">
        <v>45369.63376157408</v>
      </c>
      <c r="C10757" s="1" t="n">
        <v>45952</v>
      </c>
      <c r="D10757" t="inlineStr">
        <is>
          <t>VÄSTRA GÖTALANDS LÄN</t>
        </is>
      </c>
      <c r="E10757" t="inlineStr">
        <is>
          <t>ÅMÅL</t>
        </is>
      </c>
      <c r="G10757" t="n">
        <v>1.6</v>
      </c>
      <c r="H10757" t="n">
        <v>0</v>
      </c>
      <c r="I10757" t="n">
        <v>0</v>
      </c>
      <c r="J10757" t="n">
        <v>0</v>
      </c>
      <c r="K10757" t="n">
        <v>0</v>
      </c>
      <c r="L10757" t="n">
        <v>0</v>
      </c>
      <c r="M10757" t="n">
        <v>0</v>
      </c>
      <c r="N10757" t="n">
        <v>0</v>
      </c>
      <c r="O10757" t="n">
        <v>0</v>
      </c>
      <c r="P10757" t="n">
        <v>0</v>
      </c>
      <c r="Q10757" t="n">
        <v>0</v>
      </c>
      <c r="R10757" s="2" t="inlineStr"/>
    </row>
    <row r="10758" ht="15" customHeight="1">
      <c r="A10758" t="inlineStr">
        <is>
          <t>A 10814-2024</t>
        </is>
      </c>
      <c r="B10758" s="1" t="n">
        <v>45369</v>
      </c>
      <c r="C10758" s="1" t="n">
        <v>45952</v>
      </c>
      <c r="D10758" t="inlineStr">
        <is>
          <t>VÄSTRA GÖTALANDS LÄN</t>
        </is>
      </c>
      <c r="E10758" t="inlineStr">
        <is>
          <t>MELLERUD</t>
        </is>
      </c>
      <c r="F10758" t="inlineStr">
        <is>
          <t>Övriga Aktiebolag</t>
        </is>
      </c>
      <c r="G10758" t="n">
        <v>6.6</v>
      </c>
      <c r="H10758" t="n">
        <v>0</v>
      </c>
      <c r="I10758" t="n">
        <v>0</v>
      </c>
      <c r="J10758" t="n">
        <v>0</v>
      </c>
      <c r="K10758" t="n">
        <v>0</v>
      </c>
      <c r="L10758" t="n">
        <v>0</v>
      </c>
      <c r="M10758" t="n">
        <v>0</v>
      </c>
      <c r="N10758" t="n">
        <v>0</v>
      </c>
      <c r="O10758" t="n">
        <v>0</v>
      </c>
      <c r="P10758" t="n">
        <v>0</v>
      </c>
      <c r="Q10758" t="n">
        <v>0</v>
      </c>
      <c r="R10758" s="2" t="inlineStr"/>
    </row>
    <row r="10759" ht="15" customHeight="1">
      <c r="A10759" t="inlineStr">
        <is>
          <t>A 49069-2025</t>
        </is>
      </c>
      <c r="B10759" s="1" t="n">
        <v>45937.64949074074</v>
      </c>
      <c r="C10759" s="1" t="n">
        <v>45952</v>
      </c>
      <c r="D10759" t="inlineStr">
        <is>
          <t>VÄSTRA GÖTALANDS LÄN</t>
        </is>
      </c>
      <c r="E10759" t="inlineStr">
        <is>
          <t>FÄRGELANDA</t>
        </is>
      </c>
      <c r="G10759" t="n">
        <v>0.9</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49721-2025</t>
        </is>
      </c>
      <c r="B10760" s="1" t="n">
        <v>45939.81811342593</v>
      </c>
      <c r="C10760" s="1" t="n">
        <v>45952</v>
      </c>
      <c r="D10760" t="inlineStr">
        <is>
          <t>VÄSTRA GÖTALANDS LÄN</t>
        </is>
      </c>
      <c r="E10760" t="inlineStr">
        <is>
          <t>UDDEVALLA</t>
        </is>
      </c>
      <c r="G10760" t="n">
        <v>8</v>
      </c>
      <c r="H10760" t="n">
        <v>0</v>
      </c>
      <c r="I10760" t="n">
        <v>0</v>
      </c>
      <c r="J10760" t="n">
        <v>0</v>
      </c>
      <c r="K10760" t="n">
        <v>0</v>
      </c>
      <c r="L10760" t="n">
        <v>0</v>
      </c>
      <c r="M10760" t="n">
        <v>0</v>
      </c>
      <c r="N10760" t="n">
        <v>0</v>
      </c>
      <c r="O10760" t="n">
        <v>0</v>
      </c>
      <c r="P10760" t="n">
        <v>0</v>
      </c>
      <c r="Q10760" t="n">
        <v>0</v>
      </c>
      <c r="R10760" s="2" t="inlineStr"/>
    </row>
    <row r="10761" ht="15" customHeight="1">
      <c r="A10761" t="inlineStr">
        <is>
          <t>A 6515-2023</t>
        </is>
      </c>
      <c r="B10761" s="1" t="n">
        <v>44966.38423611111</v>
      </c>
      <c r="C10761" s="1" t="n">
        <v>45952</v>
      </c>
      <c r="D10761" t="inlineStr">
        <is>
          <t>VÄSTRA GÖTALANDS LÄN</t>
        </is>
      </c>
      <c r="E10761" t="inlineStr">
        <is>
          <t>DALS-ED</t>
        </is>
      </c>
      <c r="G10761" t="n">
        <v>6.4</v>
      </c>
      <c r="H10761" t="n">
        <v>0</v>
      </c>
      <c r="I10761" t="n">
        <v>0</v>
      </c>
      <c r="J10761" t="n">
        <v>0</v>
      </c>
      <c r="K10761" t="n">
        <v>0</v>
      </c>
      <c r="L10761" t="n">
        <v>0</v>
      </c>
      <c r="M10761" t="n">
        <v>0</v>
      </c>
      <c r="N10761" t="n">
        <v>0</v>
      </c>
      <c r="O10761" t="n">
        <v>0</v>
      </c>
      <c r="P10761" t="n">
        <v>0</v>
      </c>
      <c r="Q10761" t="n">
        <v>0</v>
      </c>
      <c r="R10761" s="2" t="inlineStr"/>
    </row>
    <row r="10762" ht="15" customHeight="1">
      <c r="A10762" t="inlineStr">
        <is>
          <t>A 50109-2025</t>
        </is>
      </c>
      <c r="B10762" s="1" t="n">
        <v>45943</v>
      </c>
      <c r="C10762" s="1" t="n">
        <v>45952</v>
      </c>
      <c r="D10762" t="inlineStr">
        <is>
          <t>VÄSTRA GÖTALANDS LÄN</t>
        </is>
      </c>
      <c r="E10762" t="inlineStr">
        <is>
          <t>BORÅS</t>
        </is>
      </c>
      <c r="F10762" t="inlineStr">
        <is>
          <t>Kommuner</t>
        </is>
      </c>
      <c r="G10762" t="n">
        <v>3.7</v>
      </c>
      <c r="H10762" t="n">
        <v>0</v>
      </c>
      <c r="I10762" t="n">
        <v>0</v>
      </c>
      <c r="J10762" t="n">
        <v>0</v>
      </c>
      <c r="K10762" t="n">
        <v>0</v>
      </c>
      <c r="L10762" t="n">
        <v>0</v>
      </c>
      <c r="M10762" t="n">
        <v>0</v>
      </c>
      <c r="N10762" t="n">
        <v>0</v>
      </c>
      <c r="O10762" t="n">
        <v>0</v>
      </c>
      <c r="P10762" t="n">
        <v>0</v>
      </c>
      <c r="Q10762" t="n">
        <v>0</v>
      </c>
      <c r="R10762" s="2" t="inlineStr"/>
    </row>
    <row r="10763" ht="15" customHeight="1">
      <c r="A10763" t="inlineStr">
        <is>
          <t>A 48623-2025</t>
        </is>
      </c>
      <c r="B10763" s="1" t="n">
        <v>45936.50234953704</v>
      </c>
      <c r="C10763" s="1" t="n">
        <v>45952</v>
      </c>
      <c r="D10763" t="inlineStr">
        <is>
          <t>VÄSTRA GÖTALANDS LÄN</t>
        </is>
      </c>
      <c r="E10763" t="inlineStr">
        <is>
          <t>TRANEMO</t>
        </is>
      </c>
      <c r="G10763" t="n">
        <v>1.5</v>
      </c>
      <c r="H10763" t="n">
        <v>0</v>
      </c>
      <c r="I10763" t="n">
        <v>0</v>
      </c>
      <c r="J10763" t="n">
        <v>0</v>
      </c>
      <c r="K10763" t="n">
        <v>0</v>
      </c>
      <c r="L10763" t="n">
        <v>0</v>
      </c>
      <c r="M10763" t="n">
        <v>0</v>
      </c>
      <c r="N10763" t="n">
        <v>0</v>
      </c>
      <c r="O10763" t="n">
        <v>0</v>
      </c>
      <c r="P10763" t="n">
        <v>0</v>
      </c>
      <c r="Q10763" t="n">
        <v>0</v>
      </c>
      <c r="R10763" s="2" t="inlineStr"/>
    </row>
    <row r="10764" ht="15" customHeight="1">
      <c r="A10764" t="inlineStr">
        <is>
          <t>A 41937-2025</t>
        </is>
      </c>
      <c r="B10764" s="1" t="n">
        <v>45903.4413425926</v>
      </c>
      <c r="C10764" s="1" t="n">
        <v>45952</v>
      </c>
      <c r="D10764" t="inlineStr">
        <is>
          <t>VÄSTRA GÖTALANDS LÄN</t>
        </is>
      </c>
      <c r="E10764" t="inlineStr">
        <is>
          <t>LIDKÖPING</t>
        </is>
      </c>
      <c r="G10764" t="n">
        <v>1.3</v>
      </c>
      <c r="H10764" t="n">
        <v>0</v>
      </c>
      <c r="I10764" t="n">
        <v>0</v>
      </c>
      <c r="J10764" t="n">
        <v>0</v>
      </c>
      <c r="K10764" t="n">
        <v>0</v>
      </c>
      <c r="L10764" t="n">
        <v>0</v>
      </c>
      <c r="M10764" t="n">
        <v>0</v>
      </c>
      <c r="N10764" t="n">
        <v>0</v>
      </c>
      <c r="O10764" t="n">
        <v>0</v>
      </c>
      <c r="P10764" t="n">
        <v>0</v>
      </c>
      <c r="Q10764" t="n">
        <v>0</v>
      </c>
      <c r="R10764" s="2" t="inlineStr"/>
    </row>
    <row r="10765" ht="15" customHeight="1">
      <c r="A10765" t="inlineStr">
        <is>
          <t>A 49729-2023</t>
        </is>
      </c>
      <c r="B10765" s="1" t="n">
        <v>45212</v>
      </c>
      <c r="C10765" s="1" t="n">
        <v>45952</v>
      </c>
      <c r="D10765" t="inlineStr">
        <is>
          <t>VÄSTRA GÖTALANDS LÄN</t>
        </is>
      </c>
      <c r="E10765" t="inlineStr">
        <is>
          <t>BORÅS</t>
        </is>
      </c>
      <c r="G10765" t="n">
        <v>0.5</v>
      </c>
      <c r="H10765" t="n">
        <v>0</v>
      </c>
      <c r="I10765" t="n">
        <v>0</v>
      </c>
      <c r="J10765" t="n">
        <v>0</v>
      </c>
      <c r="K10765" t="n">
        <v>0</v>
      </c>
      <c r="L10765" t="n">
        <v>0</v>
      </c>
      <c r="M10765" t="n">
        <v>0</v>
      </c>
      <c r="N10765" t="n">
        <v>0</v>
      </c>
      <c r="O10765" t="n">
        <v>0</v>
      </c>
      <c r="P10765" t="n">
        <v>0</v>
      </c>
      <c r="Q10765" t="n">
        <v>0</v>
      </c>
      <c r="R10765" s="2" t="inlineStr"/>
    </row>
    <row r="10766" ht="15" customHeight="1">
      <c r="A10766" t="inlineStr">
        <is>
          <t>A 4139-2022</t>
        </is>
      </c>
      <c r="B10766" s="1" t="n">
        <v>44588.47560185185</v>
      </c>
      <c r="C10766" s="1" t="n">
        <v>45952</v>
      </c>
      <c r="D10766" t="inlineStr">
        <is>
          <t>VÄSTRA GÖTALANDS LÄN</t>
        </is>
      </c>
      <c r="E10766" t="inlineStr">
        <is>
          <t>MARK</t>
        </is>
      </c>
      <c r="G10766" t="n">
        <v>0.7</v>
      </c>
      <c r="H10766" t="n">
        <v>0</v>
      </c>
      <c r="I10766" t="n">
        <v>0</v>
      </c>
      <c r="J10766" t="n">
        <v>0</v>
      </c>
      <c r="K10766" t="n">
        <v>0</v>
      </c>
      <c r="L10766" t="n">
        <v>0</v>
      </c>
      <c r="M10766" t="n">
        <v>0</v>
      </c>
      <c r="N10766" t="n">
        <v>0</v>
      </c>
      <c r="O10766" t="n">
        <v>0</v>
      </c>
      <c r="P10766" t="n">
        <v>0</v>
      </c>
      <c r="Q10766" t="n">
        <v>0</v>
      </c>
      <c r="R10766" s="2" t="inlineStr"/>
    </row>
    <row r="10767" ht="15" customHeight="1">
      <c r="A10767" t="inlineStr">
        <is>
          <t>A 13965-2025</t>
        </is>
      </c>
      <c r="B10767" s="1" t="n">
        <v>45738.35376157407</v>
      </c>
      <c r="C10767" s="1" t="n">
        <v>45952</v>
      </c>
      <c r="D10767" t="inlineStr">
        <is>
          <t>VÄSTRA GÖTALANDS LÄN</t>
        </is>
      </c>
      <c r="E10767" t="inlineStr">
        <is>
          <t>SVENLJUNGA</t>
        </is>
      </c>
      <c r="G10767" t="n">
        <v>2.5</v>
      </c>
      <c r="H10767" t="n">
        <v>0</v>
      </c>
      <c r="I10767" t="n">
        <v>0</v>
      </c>
      <c r="J10767" t="n">
        <v>0</v>
      </c>
      <c r="K10767" t="n">
        <v>0</v>
      </c>
      <c r="L10767" t="n">
        <v>0</v>
      </c>
      <c r="M10767" t="n">
        <v>0</v>
      </c>
      <c r="N10767" t="n">
        <v>0</v>
      </c>
      <c r="O10767" t="n">
        <v>0</v>
      </c>
      <c r="P10767" t="n">
        <v>0</v>
      </c>
      <c r="Q10767" t="n">
        <v>0</v>
      </c>
      <c r="R10767" s="2" t="inlineStr"/>
    </row>
    <row r="10768" ht="15" customHeight="1">
      <c r="A10768" t="inlineStr">
        <is>
          <t>A 14659-2021</t>
        </is>
      </c>
      <c r="B10768" s="1" t="n">
        <v>44280</v>
      </c>
      <c r="C10768" s="1" t="n">
        <v>45952</v>
      </c>
      <c r="D10768" t="inlineStr">
        <is>
          <t>VÄSTRA GÖTALANDS LÄN</t>
        </is>
      </c>
      <c r="E10768" t="inlineStr">
        <is>
          <t>ULRICEHAMN</t>
        </is>
      </c>
      <c r="G10768" t="n">
        <v>15.8</v>
      </c>
      <c r="H10768" t="n">
        <v>0</v>
      </c>
      <c r="I10768" t="n">
        <v>0</v>
      </c>
      <c r="J10768" t="n">
        <v>0</v>
      </c>
      <c r="K10768" t="n">
        <v>0</v>
      </c>
      <c r="L10768" t="n">
        <v>0</v>
      </c>
      <c r="M10768" t="n">
        <v>0</v>
      </c>
      <c r="N10768" t="n">
        <v>0</v>
      </c>
      <c r="O10768" t="n">
        <v>0</v>
      </c>
      <c r="P10768" t="n">
        <v>0</v>
      </c>
      <c r="Q10768" t="n">
        <v>0</v>
      </c>
      <c r="R10768" s="2" t="inlineStr"/>
    </row>
    <row r="10769" ht="15" customHeight="1">
      <c r="A10769" t="inlineStr">
        <is>
          <t>A 14067-2024</t>
        </is>
      </c>
      <c r="B10769" s="1" t="n">
        <v>45392.56983796296</v>
      </c>
      <c r="C10769" s="1" t="n">
        <v>45952</v>
      </c>
      <c r="D10769" t="inlineStr">
        <is>
          <t>VÄSTRA GÖTALANDS LÄN</t>
        </is>
      </c>
      <c r="E10769" t="inlineStr">
        <is>
          <t>LERUM</t>
        </is>
      </c>
      <c r="G10769" t="n">
        <v>2.5</v>
      </c>
      <c r="H10769" t="n">
        <v>0</v>
      </c>
      <c r="I10769" t="n">
        <v>0</v>
      </c>
      <c r="J10769" t="n">
        <v>0</v>
      </c>
      <c r="K10769" t="n">
        <v>0</v>
      </c>
      <c r="L10769" t="n">
        <v>0</v>
      </c>
      <c r="M10769" t="n">
        <v>0</v>
      </c>
      <c r="N10769" t="n">
        <v>0</v>
      </c>
      <c r="O10769" t="n">
        <v>0</v>
      </c>
      <c r="P10769" t="n">
        <v>0</v>
      </c>
      <c r="Q10769" t="n">
        <v>0</v>
      </c>
      <c r="R10769" s="2" t="inlineStr"/>
    </row>
    <row r="10770" ht="15" customHeight="1">
      <c r="A10770" t="inlineStr">
        <is>
          <t>A 14095-2024</t>
        </is>
      </c>
      <c r="B10770" s="1" t="n">
        <v>45392.60607638889</v>
      </c>
      <c r="C10770" s="1" t="n">
        <v>45952</v>
      </c>
      <c r="D10770" t="inlineStr">
        <is>
          <t>VÄSTRA GÖTALANDS LÄN</t>
        </is>
      </c>
      <c r="E10770" t="inlineStr">
        <is>
          <t>MUNKEDAL</t>
        </is>
      </c>
      <c r="G10770" t="n">
        <v>1.4</v>
      </c>
      <c r="H10770" t="n">
        <v>0</v>
      </c>
      <c r="I10770" t="n">
        <v>0</v>
      </c>
      <c r="J10770" t="n">
        <v>0</v>
      </c>
      <c r="K10770" t="n">
        <v>0</v>
      </c>
      <c r="L10770" t="n">
        <v>0</v>
      </c>
      <c r="M10770" t="n">
        <v>0</v>
      </c>
      <c r="N10770" t="n">
        <v>0</v>
      </c>
      <c r="O10770" t="n">
        <v>0</v>
      </c>
      <c r="P10770" t="n">
        <v>0</v>
      </c>
      <c r="Q10770" t="n">
        <v>0</v>
      </c>
      <c r="R10770" s="2" t="inlineStr"/>
    </row>
    <row r="10771" ht="15" customHeight="1">
      <c r="A10771" t="inlineStr">
        <is>
          <t>A 41893-2022</t>
        </is>
      </c>
      <c r="B10771" s="1" t="n">
        <v>44830</v>
      </c>
      <c r="C10771" s="1" t="n">
        <v>45952</v>
      </c>
      <c r="D10771" t="inlineStr">
        <is>
          <t>VÄSTRA GÖTALANDS LÄN</t>
        </is>
      </c>
      <c r="E10771" t="inlineStr">
        <is>
          <t>TROLLHÄTTAN</t>
        </is>
      </c>
      <c r="F10771" t="inlineStr">
        <is>
          <t>Kommuner</t>
        </is>
      </c>
      <c r="G10771" t="n">
        <v>2.5</v>
      </c>
      <c r="H10771" t="n">
        <v>0</v>
      </c>
      <c r="I10771" t="n">
        <v>0</v>
      </c>
      <c r="J10771" t="n">
        <v>0</v>
      </c>
      <c r="K10771" t="n">
        <v>0</v>
      </c>
      <c r="L10771" t="n">
        <v>0</v>
      </c>
      <c r="M10771" t="n">
        <v>0</v>
      </c>
      <c r="N10771" t="n">
        <v>0</v>
      </c>
      <c r="O10771" t="n">
        <v>0</v>
      </c>
      <c r="P10771" t="n">
        <v>0</v>
      </c>
      <c r="Q10771" t="n">
        <v>0</v>
      </c>
      <c r="R10771" s="2" t="inlineStr"/>
    </row>
    <row r="10772" ht="15" customHeight="1">
      <c r="A10772" t="inlineStr">
        <is>
          <t>A 18086-2024</t>
        </is>
      </c>
      <c r="B10772" s="1" t="n">
        <v>45420.45701388889</v>
      </c>
      <c r="C10772" s="1" t="n">
        <v>45952</v>
      </c>
      <c r="D10772" t="inlineStr">
        <is>
          <t>VÄSTRA GÖTALANDS LÄN</t>
        </is>
      </c>
      <c r="E10772" t="inlineStr">
        <is>
          <t>BENGTSFORS</t>
        </is>
      </c>
      <c r="G10772" t="n">
        <v>1.3</v>
      </c>
      <c r="H10772" t="n">
        <v>0</v>
      </c>
      <c r="I10772" t="n">
        <v>0</v>
      </c>
      <c r="J10772" t="n">
        <v>0</v>
      </c>
      <c r="K10772" t="n">
        <v>0</v>
      </c>
      <c r="L10772" t="n">
        <v>0</v>
      </c>
      <c r="M10772" t="n">
        <v>0</v>
      </c>
      <c r="N10772" t="n">
        <v>0</v>
      </c>
      <c r="O10772" t="n">
        <v>0</v>
      </c>
      <c r="P10772" t="n">
        <v>0</v>
      </c>
      <c r="Q10772" t="n">
        <v>0</v>
      </c>
      <c r="R10772" s="2" t="inlineStr"/>
    </row>
    <row r="10773" ht="15" customHeight="1">
      <c r="A10773" t="inlineStr">
        <is>
          <t>A 47233-2022</t>
        </is>
      </c>
      <c r="B10773" s="1" t="n">
        <v>44852</v>
      </c>
      <c r="C10773" s="1" t="n">
        <v>45952</v>
      </c>
      <c r="D10773" t="inlineStr">
        <is>
          <t>VÄSTRA GÖTALANDS LÄN</t>
        </is>
      </c>
      <c r="E10773" t="inlineStr">
        <is>
          <t>ALINGSÅS</t>
        </is>
      </c>
      <c r="G10773" t="n">
        <v>1.7</v>
      </c>
      <c r="H10773" t="n">
        <v>0</v>
      </c>
      <c r="I10773" t="n">
        <v>0</v>
      </c>
      <c r="J10773" t="n">
        <v>0</v>
      </c>
      <c r="K10773" t="n">
        <v>0</v>
      </c>
      <c r="L10773" t="n">
        <v>0</v>
      </c>
      <c r="M10773" t="n">
        <v>0</v>
      </c>
      <c r="N10773" t="n">
        <v>0</v>
      </c>
      <c r="O10773" t="n">
        <v>0</v>
      </c>
      <c r="P10773" t="n">
        <v>0</v>
      </c>
      <c r="Q10773" t="n">
        <v>0</v>
      </c>
      <c r="R10773" s="2" t="inlineStr"/>
    </row>
    <row r="10774" ht="15" customHeight="1">
      <c r="A10774" t="inlineStr">
        <is>
          <t>A 45159-2022</t>
        </is>
      </c>
      <c r="B10774" s="1" t="n">
        <v>44844.36292824074</v>
      </c>
      <c r="C10774" s="1" t="n">
        <v>45952</v>
      </c>
      <c r="D10774" t="inlineStr">
        <is>
          <t>VÄSTRA GÖTALANDS LÄN</t>
        </is>
      </c>
      <c r="E10774" t="inlineStr">
        <is>
          <t>SKARA</t>
        </is>
      </c>
      <c r="G10774" t="n">
        <v>1.1</v>
      </c>
      <c r="H10774" t="n">
        <v>0</v>
      </c>
      <c r="I10774" t="n">
        <v>0</v>
      </c>
      <c r="J10774" t="n">
        <v>0</v>
      </c>
      <c r="K10774" t="n">
        <v>0</v>
      </c>
      <c r="L10774" t="n">
        <v>0</v>
      </c>
      <c r="M10774" t="n">
        <v>0</v>
      </c>
      <c r="N10774" t="n">
        <v>0</v>
      </c>
      <c r="O10774" t="n">
        <v>0</v>
      </c>
      <c r="P10774" t="n">
        <v>0</v>
      </c>
      <c r="Q10774" t="n">
        <v>0</v>
      </c>
      <c r="R10774" s="2" t="inlineStr"/>
    </row>
    <row r="10775" ht="15" customHeight="1">
      <c r="A10775" t="inlineStr">
        <is>
          <t>A 42874-2022</t>
        </is>
      </c>
      <c r="B10775" s="1" t="n">
        <v>44832</v>
      </c>
      <c r="C10775" s="1" t="n">
        <v>45952</v>
      </c>
      <c r="D10775" t="inlineStr">
        <is>
          <t>VÄSTRA GÖTALANDS LÄN</t>
        </is>
      </c>
      <c r="E10775" t="inlineStr">
        <is>
          <t>SKARA</t>
        </is>
      </c>
      <c r="G10775" t="n">
        <v>2.3</v>
      </c>
      <c r="H10775" t="n">
        <v>0</v>
      </c>
      <c r="I10775" t="n">
        <v>0</v>
      </c>
      <c r="J10775" t="n">
        <v>0</v>
      </c>
      <c r="K10775" t="n">
        <v>0</v>
      </c>
      <c r="L10775" t="n">
        <v>0</v>
      </c>
      <c r="M10775" t="n">
        <v>0</v>
      </c>
      <c r="N10775" t="n">
        <v>0</v>
      </c>
      <c r="O10775" t="n">
        <v>0</v>
      </c>
      <c r="P10775" t="n">
        <v>0</v>
      </c>
      <c r="Q10775" t="n">
        <v>0</v>
      </c>
      <c r="R10775" s="2" t="inlineStr"/>
    </row>
    <row r="10776" ht="15" customHeight="1">
      <c r="A10776" t="inlineStr">
        <is>
          <t>A 50487-2025</t>
        </is>
      </c>
      <c r="B10776" s="1" t="n">
        <v>45945.39131944445</v>
      </c>
      <c r="C10776" s="1" t="n">
        <v>45952</v>
      </c>
      <c r="D10776" t="inlineStr">
        <is>
          <t>VÄSTRA GÖTALANDS LÄN</t>
        </is>
      </c>
      <c r="E10776" t="inlineStr">
        <is>
          <t>BENGTSFORS</t>
        </is>
      </c>
      <c r="G10776" t="n">
        <v>1.1</v>
      </c>
      <c r="H10776" t="n">
        <v>0</v>
      </c>
      <c r="I10776" t="n">
        <v>0</v>
      </c>
      <c r="J10776" t="n">
        <v>0</v>
      </c>
      <c r="K10776" t="n">
        <v>0</v>
      </c>
      <c r="L10776" t="n">
        <v>0</v>
      </c>
      <c r="M10776" t="n">
        <v>0</v>
      </c>
      <c r="N10776" t="n">
        <v>0</v>
      </c>
      <c r="O10776" t="n">
        <v>0</v>
      </c>
      <c r="P10776" t="n">
        <v>0</v>
      </c>
      <c r="Q10776" t="n">
        <v>0</v>
      </c>
      <c r="R10776" s="2" t="inlineStr"/>
    </row>
    <row r="10777" ht="15" customHeight="1">
      <c r="A10777" t="inlineStr">
        <is>
          <t>A 55806-2023</t>
        </is>
      </c>
      <c r="B10777" s="1" t="n">
        <v>45239</v>
      </c>
      <c r="C10777" s="1" t="n">
        <v>45952</v>
      </c>
      <c r="D10777" t="inlineStr">
        <is>
          <t>VÄSTRA GÖTALANDS LÄN</t>
        </is>
      </c>
      <c r="E10777" t="inlineStr">
        <is>
          <t>BORÅS</t>
        </is>
      </c>
      <c r="G10777" t="n">
        <v>2.5</v>
      </c>
      <c r="H10777" t="n">
        <v>0</v>
      </c>
      <c r="I10777" t="n">
        <v>0</v>
      </c>
      <c r="J10777" t="n">
        <v>0</v>
      </c>
      <c r="K10777" t="n">
        <v>0</v>
      </c>
      <c r="L10777" t="n">
        <v>0</v>
      </c>
      <c r="M10777" t="n">
        <v>0</v>
      </c>
      <c r="N10777" t="n">
        <v>0</v>
      </c>
      <c r="O10777" t="n">
        <v>0</v>
      </c>
      <c r="P10777" t="n">
        <v>0</v>
      </c>
      <c r="Q10777" t="n">
        <v>0</v>
      </c>
      <c r="R10777" s="2" t="inlineStr"/>
    </row>
    <row r="10778" ht="15" customHeight="1">
      <c r="A10778" t="inlineStr">
        <is>
          <t>A 50538-2025</t>
        </is>
      </c>
      <c r="B10778" s="1" t="n">
        <v>45945.49040509259</v>
      </c>
      <c r="C10778" s="1" t="n">
        <v>45952</v>
      </c>
      <c r="D10778" t="inlineStr">
        <is>
          <t>VÄSTRA GÖTALANDS LÄN</t>
        </is>
      </c>
      <c r="E10778" t="inlineStr">
        <is>
          <t>STENUNGSUND</t>
        </is>
      </c>
      <c r="G10778" t="n">
        <v>3.8</v>
      </c>
      <c r="H10778" t="n">
        <v>0</v>
      </c>
      <c r="I10778" t="n">
        <v>0</v>
      </c>
      <c r="J10778" t="n">
        <v>0</v>
      </c>
      <c r="K10778" t="n">
        <v>0</v>
      </c>
      <c r="L10778" t="n">
        <v>0</v>
      </c>
      <c r="M10778" t="n">
        <v>0</v>
      </c>
      <c r="N10778" t="n">
        <v>0</v>
      </c>
      <c r="O10778" t="n">
        <v>0</v>
      </c>
      <c r="P10778" t="n">
        <v>0</v>
      </c>
      <c r="Q10778" t="n">
        <v>0</v>
      </c>
      <c r="R10778" s="2" t="inlineStr"/>
    </row>
    <row r="10779" ht="15" customHeight="1">
      <c r="A10779" t="inlineStr">
        <is>
          <t>A 50543-2025</t>
        </is>
      </c>
      <c r="B10779" s="1" t="n">
        <v>45945.50262731482</v>
      </c>
      <c r="C10779" s="1" t="n">
        <v>45952</v>
      </c>
      <c r="D10779" t="inlineStr">
        <is>
          <t>VÄSTRA GÖTALANDS LÄN</t>
        </is>
      </c>
      <c r="E10779" t="inlineStr">
        <is>
          <t>STENUNGSUND</t>
        </is>
      </c>
      <c r="G10779" t="n">
        <v>0.8</v>
      </c>
      <c r="H10779" t="n">
        <v>0</v>
      </c>
      <c r="I10779" t="n">
        <v>0</v>
      </c>
      <c r="J10779" t="n">
        <v>0</v>
      </c>
      <c r="K10779" t="n">
        <v>0</v>
      </c>
      <c r="L10779" t="n">
        <v>0</v>
      </c>
      <c r="M10779" t="n">
        <v>0</v>
      </c>
      <c r="N10779" t="n">
        <v>0</v>
      </c>
      <c r="O10779" t="n">
        <v>0</v>
      </c>
      <c r="P10779" t="n">
        <v>0</v>
      </c>
      <c r="Q10779" t="n">
        <v>0</v>
      </c>
      <c r="R10779" s="2" t="inlineStr"/>
    </row>
    <row r="10780" ht="15" customHeight="1">
      <c r="A10780" t="inlineStr">
        <is>
          <t>A 36781-2024</t>
        </is>
      </c>
      <c r="B10780" s="1" t="n">
        <v>45538.42341435186</v>
      </c>
      <c r="C10780" s="1" t="n">
        <v>45952</v>
      </c>
      <c r="D10780" t="inlineStr">
        <is>
          <t>VÄSTRA GÖTALANDS LÄN</t>
        </is>
      </c>
      <c r="E10780" t="inlineStr">
        <is>
          <t>BORÅS</t>
        </is>
      </c>
      <c r="G10780" t="n">
        <v>2.9</v>
      </c>
      <c r="H10780" t="n">
        <v>0</v>
      </c>
      <c r="I10780" t="n">
        <v>0</v>
      </c>
      <c r="J10780" t="n">
        <v>0</v>
      </c>
      <c r="K10780" t="n">
        <v>0</v>
      </c>
      <c r="L10780" t="n">
        <v>0</v>
      </c>
      <c r="M10780" t="n">
        <v>0</v>
      </c>
      <c r="N10780" t="n">
        <v>0</v>
      </c>
      <c r="O10780" t="n">
        <v>0</v>
      </c>
      <c r="P10780" t="n">
        <v>0</v>
      </c>
      <c r="Q10780" t="n">
        <v>0</v>
      </c>
      <c r="R10780" s="2" t="inlineStr"/>
    </row>
    <row r="10781" ht="15" customHeight="1">
      <c r="A10781" t="inlineStr">
        <is>
          <t>A 1442-2025</t>
        </is>
      </c>
      <c r="B10781" s="1" t="n">
        <v>45669.80903935185</v>
      </c>
      <c r="C10781" s="1" t="n">
        <v>45952</v>
      </c>
      <c r="D10781" t="inlineStr">
        <is>
          <t>VÄSTRA GÖTALANDS LÄN</t>
        </is>
      </c>
      <c r="E10781" t="inlineStr">
        <is>
          <t>TIDAHOLM</t>
        </is>
      </c>
      <c r="G10781" t="n">
        <v>2.3</v>
      </c>
      <c r="H10781" t="n">
        <v>0</v>
      </c>
      <c r="I10781" t="n">
        <v>0</v>
      </c>
      <c r="J10781" t="n">
        <v>0</v>
      </c>
      <c r="K10781" t="n">
        <v>0</v>
      </c>
      <c r="L10781" t="n">
        <v>0</v>
      </c>
      <c r="M10781" t="n">
        <v>0</v>
      </c>
      <c r="N10781" t="n">
        <v>0</v>
      </c>
      <c r="O10781" t="n">
        <v>0</v>
      </c>
      <c r="P10781" t="n">
        <v>0</v>
      </c>
      <c r="Q10781" t="n">
        <v>0</v>
      </c>
      <c r="R10781" s="2" t="inlineStr"/>
    </row>
    <row r="10782" ht="15" customHeight="1">
      <c r="A10782" t="inlineStr">
        <is>
          <t>A 10828-2024</t>
        </is>
      </c>
      <c r="B10782" s="1" t="n">
        <v>45369.69503472222</v>
      </c>
      <c r="C10782" s="1" t="n">
        <v>45952</v>
      </c>
      <c r="D10782" t="inlineStr">
        <is>
          <t>VÄSTRA GÖTALANDS LÄN</t>
        </is>
      </c>
      <c r="E10782" t="inlineStr">
        <is>
          <t>KARLSBORG</t>
        </is>
      </c>
      <c r="G10782" t="n">
        <v>0.4</v>
      </c>
      <c r="H10782" t="n">
        <v>0</v>
      </c>
      <c r="I10782" t="n">
        <v>0</v>
      </c>
      <c r="J10782" t="n">
        <v>0</v>
      </c>
      <c r="K10782" t="n">
        <v>0</v>
      </c>
      <c r="L10782" t="n">
        <v>0</v>
      </c>
      <c r="M10782" t="n">
        <v>0</v>
      </c>
      <c r="N10782" t="n">
        <v>0</v>
      </c>
      <c r="O10782" t="n">
        <v>0</v>
      </c>
      <c r="P10782" t="n">
        <v>0</v>
      </c>
      <c r="Q10782" t="n">
        <v>0</v>
      </c>
      <c r="R10782" s="2" t="inlineStr"/>
    </row>
    <row r="10783" ht="15" customHeight="1">
      <c r="A10783" t="inlineStr">
        <is>
          <t>A 50337-2025</t>
        </is>
      </c>
      <c r="B10783" s="1" t="n">
        <v>45944</v>
      </c>
      <c r="C10783" s="1" t="n">
        <v>45952</v>
      </c>
      <c r="D10783" t="inlineStr">
        <is>
          <t>VÄSTRA GÖTALANDS LÄN</t>
        </is>
      </c>
      <c r="E10783" t="inlineStr">
        <is>
          <t>TROLLHÄTTAN</t>
        </is>
      </c>
      <c r="G10783" t="n">
        <v>3</v>
      </c>
      <c r="H10783" t="n">
        <v>0</v>
      </c>
      <c r="I10783" t="n">
        <v>0</v>
      </c>
      <c r="J10783" t="n">
        <v>0</v>
      </c>
      <c r="K10783" t="n">
        <v>0</v>
      </c>
      <c r="L10783" t="n">
        <v>0</v>
      </c>
      <c r="M10783" t="n">
        <v>0</v>
      </c>
      <c r="N10783" t="n">
        <v>0</v>
      </c>
      <c r="O10783" t="n">
        <v>0</v>
      </c>
      <c r="P10783" t="n">
        <v>0</v>
      </c>
      <c r="Q10783" t="n">
        <v>0</v>
      </c>
      <c r="R10783" s="2" t="inlineStr"/>
    </row>
    <row r="10784" ht="15" customHeight="1">
      <c r="A10784" t="inlineStr">
        <is>
          <t>A 6850-2024</t>
        </is>
      </c>
      <c r="B10784" s="1" t="n">
        <v>45342</v>
      </c>
      <c r="C10784" s="1" t="n">
        <v>45952</v>
      </c>
      <c r="D10784" t="inlineStr">
        <is>
          <t>VÄSTRA GÖTALANDS LÄN</t>
        </is>
      </c>
      <c r="E10784" t="inlineStr">
        <is>
          <t>MARK</t>
        </is>
      </c>
      <c r="G10784" t="n">
        <v>6.4</v>
      </c>
      <c r="H10784" t="n">
        <v>0</v>
      </c>
      <c r="I10784" t="n">
        <v>0</v>
      </c>
      <c r="J10784" t="n">
        <v>0</v>
      </c>
      <c r="K10784" t="n">
        <v>0</v>
      </c>
      <c r="L10784" t="n">
        <v>0</v>
      </c>
      <c r="M10784" t="n">
        <v>0</v>
      </c>
      <c r="N10784" t="n">
        <v>0</v>
      </c>
      <c r="O10784" t="n">
        <v>0</v>
      </c>
      <c r="P10784" t="n">
        <v>0</v>
      </c>
      <c r="Q10784" t="n">
        <v>0</v>
      </c>
      <c r="R10784" s="2" t="inlineStr"/>
    </row>
    <row r="10785" ht="15" customHeight="1">
      <c r="A10785" t="inlineStr">
        <is>
          <t>A 33745-2023</t>
        </is>
      </c>
      <c r="B10785" s="1" t="n">
        <v>45133.39075231482</v>
      </c>
      <c r="C10785" s="1" t="n">
        <v>45952</v>
      </c>
      <c r="D10785" t="inlineStr">
        <is>
          <t>VÄSTRA GÖTALANDS LÄN</t>
        </is>
      </c>
      <c r="E10785" t="inlineStr">
        <is>
          <t>STRÖMSTAD</t>
        </is>
      </c>
      <c r="G10785" t="n">
        <v>1.3</v>
      </c>
      <c r="H10785" t="n">
        <v>0</v>
      </c>
      <c r="I10785" t="n">
        <v>0</v>
      </c>
      <c r="J10785" t="n">
        <v>0</v>
      </c>
      <c r="K10785" t="n">
        <v>0</v>
      </c>
      <c r="L10785" t="n">
        <v>0</v>
      </c>
      <c r="M10785" t="n">
        <v>0</v>
      </c>
      <c r="N10785" t="n">
        <v>0</v>
      </c>
      <c r="O10785" t="n">
        <v>0</v>
      </c>
      <c r="P10785" t="n">
        <v>0</v>
      </c>
      <c r="Q10785" t="n">
        <v>0</v>
      </c>
      <c r="R10785" s="2" t="inlineStr"/>
    </row>
    <row r="10786" ht="15" customHeight="1">
      <c r="A10786" t="inlineStr">
        <is>
          <t>A 33762-2023</t>
        </is>
      </c>
      <c r="B10786" s="1" t="n">
        <v>45120</v>
      </c>
      <c r="C10786" s="1" t="n">
        <v>45952</v>
      </c>
      <c r="D10786" t="inlineStr">
        <is>
          <t>VÄSTRA GÖTALANDS LÄN</t>
        </is>
      </c>
      <c r="E10786" t="inlineStr">
        <is>
          <t>SVENLJUNGA</t>
        </is>
      </c>
      <c r="G10786" t="n">
        <v>5</v>
      </c>
      <c r="H10786" t="n">
        <v>0</v>
      </c>
      <c r="I10786" t="n">
        <v>0</v>
      </c>
      <c r="J10786" t="n">
        <v>0</v>
      </c>
      <c r="K10786" t="n">
        <v>0</v>
      </c>
      <c r="L10786" t="n">
        <v>0</v>
      </c>
      <c r="M10786" t="n">
        <v>0</v>
      </c>
      <c r="N10786" t="n">
        <v>0</v>
      </c>
      <c r="O10786" t="n">
        <v>0</v>
      </c>
      <c r="P10786" t="n">
        <v>0</v>
      </c>
      <c r="Q10786" t="n">
        <v>0</v>
      </c>
      <c r="R10786" s="2" t="inlineStr"/>
    </row>
    <row r="10787" ht="15" customHeight="1">
      <c r="A10787" t="inlineStr">
        <is>
          <t>A 50617-2025</t>
        </is>
      </c>
      <c r="B10787" s="1" t="n">
        <v>45945.62987268518</v>
      </c>
      <c r="C10787" s="1" t="n">
        <v>45952</v>
      </c>
      <c r="D10787" t="inlineStr">
        <is>
          <t>VÄSTRA GÖTALANDS LÄN</t>
        </is>
      </c>
      <c r="E10787" t="inlineStr">
        <is>
          <t>UDDEVALLA</t>
        </is>
      </c>
      <c r="G10787" t="n">
        <v>2.3</v>
      </c>
      <c r="H10787" t="n">
        <v>0</v>
      </c>
      <c r="I10787" t="n">
        <v>0</v>
      </c>
      <c r="J10787" t="n">
        <v>0</v>
      </c>
      <c r="K10787" t="n">
        <v>0</v>
      </c>
      <c r="L10787" t="n">
        <v>0</v>
      </c>
      <c r="M10787" t="n">
        <v>0</v>
      </c>
      <c r="N10787" t="n">
        <v>0</v>
      </c>
      <c r="O10787" t="n">
        <v>0</v>
      </c>
      <c r="P10787" t="n">
        <v>0</v>
      </c>
      <c r="Q10787" t="n">
        <v>0</v>
      </c>
      <c r="R10787" s="2" t="inlineStr"/>
    </row>
    <row r="10788" ht="15" customHeight="1">
      <c r="A10788" t="inlineStr">
        <is>
          <t>A 50618-2025</t>
        </is>
      </c>
      <c r="B10788" s="1" t="n">
        <v>45945.62994212963</v>
      </c>
      <c r="C10788" s="1" t="n">
        <v>45952</v>
      </c>
      <c r="D10788" t="inlineStr">
        <is>
          <t>VÄSTRA GÖTALANDS LÄN</t>
        </is>
      </c>
      <c r="E10788" t="inlineStr">
        <is>
          <t>FALKÖPING</t>
        </is>
      </c>
      <c r="F10788" t="inlineStr">
        <is>
          <t>Sveaskog</t>
        </is>
      </c>
      <c r="G10788" t="n">
        <v>3.2</v>
      </c>
      <c r="H10788" t="n">
        <v>0</v>
      </c>
      <c r="I10788" t="n">
        <v>0</v>
      </c>
      <c r="J10788" t="n">
        <v>0</v>
      </c>
      <c r="K10788" t="n">
        <v>0</v>
      </c>
      <c r="L10788" t="n">
        <v>0</v>
      </c>
      <c r="M10788" t="n">
        <v>0</v>
      </c>
      <c r="N10788" t="n">
        <v>0</v>
      </c>
      <c r="O10788" t="n">
        <v>0</v>
      </c>
      <c r="P10788" t="n">
        <v>0</v>
      </c>
      <c r="Q10788" t="n">
        <v>0</v>
      </c>
      <c r="R10788" s="2" t="inlineStr"/>
    </row>
    <row r="10789" ht="15" customHeight="1">
      <c r="A10789" t="inlineStr">
        <is>
          <t>A 36833-2024</t>
        </is>
      </c>
      <c r="B10789" s="1" t="n">
        <v>45538.52077546297</v>
      </c>
      <c r="C10789" s="1" t="n">
        <v>45952</v>
      </c>
      <c r="D10789" t="inlineStr">
        <is>
          <t>VÄSTRA GÖTALANDS LÄN</t>
        </is>
      </c>
      <c r="E10789" t="inlineStr">
        <is>
          <t>ULRICEHAMN</t>
        </is>
      </c>
      <c r="G10789" t="n">
        <v>3.7</v>
      </c>
      <c r="H10789" t="n">
        <v>0</v>
      </c>
      <c r="I10789" t="n">
        <v>0</v>
      </c>
      <c r="J10789" t="n">
        <v>0</v>
      </c>
      <c r="K10789" t="n">
        <v>0</v>
      </c>
      <c r="L10789" t="n">
        <v>0</v>
      </c>
      <c r="M10789" t="n">
        <v>0</v>
      </c>
      <c r="N10789" t="n">
        <v>0</v>
      </c>
      <c r="O10789" t="n">
        <v>0</v>
      </c>
      <c r="P10789" t="n">
        <v>0</v>
      </c>
      <c r="Q10789" t="n">
        <v>0</v>
      </c>
      <c r="R10789" s="2" t="inlineStr"/>
    </row>
    <row r="10790" ht="15" customHeight="1">
      <c r="A10790" t="inlineStr">
        <is>
          <t>A 11256-2025</t>
        </is>
      </c>
      <c r="B10790" s="1" t="n">
        <v>45726.39108796296</v>
      </c>
      <c r="C10790" s="1" t="n">
        <v>45952</v>
      </c>
      <c r="D10790" t="inlineStr">
        <is>
          <t>VÄSTRA GÖTALANDS LÄN</t>
        </is>
      </c>
      <c r="E10790" t="inlineStr">
        <is>
          <t>MELLERUD</t>
        </is>
      </c>
      <c r="G10790" t="n">
        <v>0.5</v>
      </c>
      <c r="H10790" t="n">
        <v>0</v>
      </c>
      <c r="I10790" t="n">
        <v>0</v>
      </c>
      <c r="J10790" t="n">
        <v>0</v>
      </c>
      <c r="K10790" t="n">
        <v>0</v>
      </c>
      <c r="L10790" t="n">
        <v>0</v>
      </c>
      <c r="M10790" t="n">
        <v>0</v>
      </c>
      <c r="N10790" t="n">
        <v>0</v>
      </c>
      <c r="O10790" t="n">
        <v>0</v>
      </c>
      <c r="P10790" t="n">
        <v>0</v>
      </c>
      <c r="Q10790" t="n">
        <v>0</v>
      </c>
      <c r="R10790" s="2" t="inlineStr"/>
    </row>
    <row r="10791" ht="15" customHeight="1">
      <c r="A10791" t="inlineStr">
        <is>
          <t>A 11270-2025</t>
        </is>
      </c>
      <c r="B10791" s="1" t="n">
        <v>45726.40613425926</v>
      </c>
      <c r="C10791" s="1" t="n">
        <v>45952</v>
      </c>
      <c r="D10791" t="inlineStr">
        <is>
          <t>VÄSTRA GÖTALANDS LÄN</t>
        </is>
      </c>
      <c r="E10791" t="inlineStr">
        <is>
          <t>VARA</t>
        </is>
      </c>
      <c r="G10791" t="n">
        <v>0.5</v>
      </c>
      <c r="H10791" t="n">
        <v>0</v>
      </c>
      <c r="I10791" t="n">
        <v>0</v>
      </c>
      <c r="J10791" t="n">
        <v>0</v>
      </c>
      <c r="K10791" t="n">
        <v>0</v>
      </c>
      <c r="L10791" t="n">
        <v>0</v>
      </c>
      <c r="M10791" t="n">
        <v>0</v>
      </c>
      <c r="N10791" t="n">
        <v>0</v>
      </c>
      <c r="O10791" t="n">
        <v>0</v>
      </c>
      <c r="P10791" t="n">
        <v>0</v>
      </c>
      <c r="Q10791" t="n">
        <v>0</v>
      </c>
      <c r="R10791" s="2" t="inlineStr"/>
    </row>
    <row r="10792" ht="15" customHeight="1">
      <c r="A10792" t="inlineStr">
        <is>
          <t>A 44754-2024</t>
        </is>
      </c>
      <c r="B10792" s="1" t="n">
        <v>45574.61065972222</v>
      </c>
      <c r="C10792" s="1" t="n">
        <v>45952</v>
      </c>
      <c r="D10792" t="inlineStr">
        <is>
          <t>VÄSTRA GÖTALANDS LÄN</t>
        </is>
      </c>
      <c r="E10792" t="inlineStr">
        <is>
          <t>ORUST</t>
        </is>
      </c>
      <c r="G10792" t="n">
        <v>0.7</v>
      </c>
      <c r="H10792" t="n">
        <v>0</v>
      </c>
      <c r="I10792" t="n">
        <v>0</v>
      </c>
      <c r="J10792" t="n">
        <v>0</v>
      </c>
      <c r="K10792" t="n">
        <v>0</v>
      </c>
      <c r="L10792" t="n">
        <v>0</v>
      </c>
      <c r="M10792" t="n">
        <v>0</v>
      </c>
      <c r="N10792" t="n">
        <v>0</v>
      </c>
      <c r="O10792" t="n">
        <v>0</v>
      </c>
      <c r="P10792" t="n">
        <v>0</v>
      </c>
      <c r="Q10792" t="n">
        <v>0</v>
      </c>
      <c r="R10792" s="2" t="inlineStr"/>
    </row>
    <row r="10793" ht="15" customHeight="1">
      <c r="A10793" t="inlineStr">
        <is>
          <t>A 59325-2023</t>
        </is>
      </c>
      <c r="B10793" s="1" t="n">
        <v>45253</v>
      </c>
      <c r="C10793" s="1" t="n">
        <v>45952</v>
      </c>
      <c r="D10793" t="inlineStr">
        <is>
          <t>VÄSTRA GÖTALANDS LÄN</t>
        </is>
      </c>
      <c r="E10793" t="inlineStr">
        <is>
          <t>VÅRGÅRDA</t>
        </is>
      </c>
      <c r="G10793" t="n">
        <v>3.7</v>
      </c>
      <c r="H10793" t="n">
        <v>0</v>
      </c>
      <c r="I10793" t="n">
        <v>0</v>
      </c>
      <c r="J10793" t="n">
        <v>0</v>
      </c>
      <c r="K10793" t="n">
        <v>0</v>
      </c>
      <c r="L10793" t="n">
        <v>0</v>
      </c>
      <c r="M10793" t="n">
        <v>0</v>
      </c>
      <c r="N10793" t="n">
        <v>0</v>
      </c>
      <c r="O10793" t="n">
        <v>0</v>
      </c>
      <c r="P10793" t="n">
        <v>0</v>
      </c>
      <c r="Q10793" t="n">
        <v>0</v>
      </c>
      <c r="R10793" s="2" t="inlineStr"/>
    </row>
    <row r="10794" ht="15" customHeight="1">
      <c r="A10794" t="inlineStr">
        <is>
          <t>A 5630-2023</t>
        </is>
      </c>
      <c r="B10794" s="1" t="n">
        <v>44960</v>
      </c>
      <c r="C10794" s="1" t="n">
        <v>45952</v>
      </c>
      <c r="D10794" t="inlineStr">
        <is>
          <t>VÄSTRA GÖTALANDS LÄN</t>
        </is>
      </c>
      <c r="E10794" t="inlineStr">
        <is>
          <t>HÄRRYDA</t>
        </is>
      </c>
      <c r="G10794" t="n">
        <v>1.8</v>
      </c>
      <c r="H10794" t="n">
        <v>0</v>
      </c>
      <c r="I10794" t="n">
        <v>0</v>
      </c>
      <c r="J10794" t="n">
        <v>0</v>
      </c>
      <c r="K10794" t="n">
        <v>0</v>
      </c>
      <c r="L10794" t="n">
        <v>0</v>
      </c>
      <c r="M10794" t="n">
        <v>0</v>
      </c>
      <c r="N10794" t="n">
        <v>0</v>
      </c>
      <c r="O10794" t="n">
        <v>0</v>
      </c>
      <c r="P10794" t="n">
        <v>0</v>
      </c>
      <c r="Q10794" t="n">
        <v>0</v>
      </c>
      <c r="R10794" s="2" t="inlineStr"/>
    </row>
    <row r="10795" ht="15" customHeight="1">
      <c r="A10795" t="inlineStr">
        <is>
          <t>A 25469-2024</t>
        </is>
      </c>
      <c r="B10795" s="1" t="n">
        <v>45463.44024305556</v>
      </c>
      <c r="C10795" s="1" t="n">
        <v>45952</v>
      </c>
      <c r="D10795" t="inlineStr">
        <is>
          <t>VÄSTRA GÖTALANDS LÄN</t>
        </is>
      </c>
      <c r="E10795" t="inlineStr">
        <is>
          <t>UDDEVALLA</t>
        </is>
      </c>
      <c r="G10795" t="n">
        <v>0.6</v>
      </c>
      <c r="H10795" t="n">
        <v>0</v>
      </c>
      <c r="I10795" t="n">
        <v>0</v>
      </c>
      <c r="J10795" t="n">
        <v>0</v>
      </c>
      <c r="K10795" t="n">
        <v>0</v>
      </c>
      <c r="L10795" t="n">
        <v>0</v>
      </c>
      <c r="M10795" t="n">
        <v>0</v>
      </c>
      <c r="N10795" t="n">
        <v>0</v>
      </c>
      <c r="O10795" t="n">
        <v>0</v>
      </c>
      <c r="P10795" t="n">
        <v>0</v>
      </c>
      <c r="Q10795" t="n">
        <v>0</v>
      </c>
      <c r="R10795" s="2" t="inlineStr"/>
    </row>
    <row r="10796" ht="15" customHeight="1">
      <c r="A10796" t="inlineStr">
        <is>
          <t>A 25485-2024</t>
        </is>
      </c>
      <c r="B10796" s="1" t="n">
        <v>45463.46701388889</v>
      </c>
      <c r="C10796" s="1" t="n">
        <v>45952</v>
      </c>
      <c r="D10796" t="inlineStr">
        <is>
          <t>VÄSTRA GÖTALANDS LÄN</t>
        </is>
      </c>
      <c r="E10796" t="inlineStr">
        <is>
          <t>TRANEMO</t>
        </is>
      </c>
      <c r="G10796" t="n">
        <v>2</v>
      </c>
      <c r="H10796" t="n">
        <v>0</v>
      </c>
      <c r="I10796" t="n">
        <v>0</v>
      </c>
      <c r="J10796" t="n">
        <v>0</v>
      </c>
      <c r="K10796" t="n">
        <v>0</v>
      </c>
      <c r="L10796" t="n">
        <v>0</v>
      </c>
      <c r="M10796" t="n">
        <v>0</v>
      </c>
      <c r="N10796" t="n">
        <v>0</v>
      </c>
      <c r="O10796" t="n">
        <v>0</v>
      </c>
      <c r="P10796" t="n">
        <v>0</v>
      </c>
      <c r="Q10796" t="n">
        <v>0</v>
      </c>
      <c r="R10796" s="2" t="inlineStr"/>
    </row>
    <row r="10797" ht="15" customHeight="1">
      <c r="A10797" t="inlineStr">
        <is>
          <t>A 32205-2024</t>
        </is>
      </c>
      <c r="B10797" s="1" t="n">
        <v>45511.67317129629</v>
      </c>
      <c r="C10797" s="1" t="n">
        <v>45952</v>
      </c>
      <c r="D10797" t="inlineStr">
        <is>
          <t>VÄSTRA GÖTALANDS LÄN</t>
        </is>
      </c>
      <c r="E10797" t="inlineStr">
        <is>
          <t>FALKÖPING</t>
        </is>
      </c>
      <c r="G10797" t="n">
        <v>1</v>
      </c>
      <c r="H10797" t="n">
        <v>0</v>
      </c>
      <c r="I10797" t="n">
        <v>0</v>
      </c>
      <c r="J10797" t="n">
        <v>0</v>
      </c>
      <c r="K10797" t="n">
        <v>0</v>
      </c>
      <c r="L10797" t="n">
        <v>0</v>
      </c>
      <c r="M10797" t="n">
        <v>0</v>
      </c>
      <c r="N10797" t="n">
        <v>0</v>
      </c>
      <c r="O10797" t="n">
        <v>0</v>
      </c>
      <c r="P10797" t="n">
        <v>0</v>
      </c>
      <c r="Q10797" t="n">
        <v>0</v>
      </c>
      <c r="R10797" s="2" t="inlineStr"/>
    </row>
    <row r="10798" ht="15" customHeight="1">
      <c r="A10798" t="inlineStr">
        <is>
          <t>A 27856-2024</t>
        </is>
      </c>
      <c r="B10798" s="1" t="n">
        <v>45475</v>
      </c>
      <c r="C10798" s="1" t="n">
        <v>45952</v>
      </c>
      <c r="D10798" t="inlineStr">
        <is>
          <t>VÄSTRA GÖTALANDS LÄN</t>
        </is>
      </c>
      <c r="E10798" t="inlineStr">
        <is>
          <t>VARA</t>
        </is>
      </c>
      <c r="G10798" t="n">
        <v>4.5</v>
      </c>
      <c r="H10798" t="n">
        <v>0</v>
      </c>
      <c r="I10798" t="n">
        <v>0</v>
      </c>
      <c r="J10798" t="n">
        <v>0</v>
      </c>
      <c r="K10798" t="n">
        <v>0</v>
      </c>
      <c r="L10798" t="n">
        <v>0</v>
      </c>
      <c r="M10798" t="n">
        <v>0</v>
      </c>
      <c r="N10798" t="n">
        <v>0</v>
      </c>
      <c r="O10798" t="n">
        <v>0</v>
      </c>
      <c r="P10798" t="n">
        <v>0</v>
      </c>
      <c r="Q10798" t="n">
        <v>0</v>
      </c>
      <c r="R10798" s="2" t="inlineStr"/>
    </row>
    <row r="10799" ht="15" customHeight="1">
      <c r="A10799" t="inlineStr">
        <is>
          <t>A 19631-2022</t>
        </is>
      </c>
      <c r="B10799" s="1" t="n">
        <v>44694</v>
      </c>
      <c r="C10799" s="1" t="n">
        <v>45952</v>
      </c>
      <c r="D10799" t="inlineStr">
        <is>
          <t>VÄSTRA GÖTALANDS LÄN</t>
        </is>
      </c>
      <c r="E10799" t="inlineStr">
        <is>
          <t>MUNKEDAL</t>
        </is>
      </c>
      <c r="G10799" t="n">
        <v>1.8</v>
      </c>
      <c r="H10799" t="n">
        <v>0</v>
      </c>
      <c r="I10799" t="n">
        <v>0</v>
      </c>
      <c r="J10799" t="n">
        <v>0</v>
      </c>
      <c r="K10799" t="n">
        <v>0</v>
      </c>
      <c r="L10799" t="n">
        <v>0</v>
      </c>
      <c r="M10799" t="n">
        <v>0</v>
      </c>
      <c r="N10799" t="n">
        <v>0</v>
      </c>
      <c r="O10799" t="n">
        <v>0</v>
      </c>
      <c r="P10799" t="n">
        <v>0</v>
      </c>
      <c r="Q10799" t="n">
        <v>0</v>
      </c>
      <c r="R10799" s="2" t="inlineStr"/>
    </row>
    <row r="10800" ht="15" customHeight="1">
      <c r="A10800" t="inlineStr">
        <is>
          <t>A 28703-2022</t>
        </is>
      </c>
      <c r="B10800" s="1" t="n">
        <v>44748.82637731481</v>
      </c>
      <c r="C10800" s="1" t="n">
        <v>45952</v>
      </c>
      <c r="D10800" t="inlineStr">
        <is>
          <t>VÄSTRA GÖTALANDS LÄN</t>
        </is>
      </c>
      <c r="E10800" t="inlineStr">
        <is>
          <t>ÅMÅL</t>
        </is>
      </c>
      <c r="G10800" t="n">
        <v>3.3</v>
      </c>
      <c r="H10800" t="n">
        <v>0</v>
      </c>
      <c r="I10800" t="n">
        <v>0</v>
      </c>
      <c r="J10800" t="n">
        <v>0</v>
      </c>
      <c r="K10800" t="n">
        <v>0</v>
      </c>
      <c r="L10800" t="n">
        <v>0</v>
      </c>
      <c r="M10800" t="n">
        <v>0</v>
      </c>
      <c r="N10800" t="n">
        <v>0</v>
      </c>
      <c r="O10800" t="n">
        <v>0</v>
      </c>
      <c r="P10800" t="n">
        <v>0</v>
      </c>
      <c r="Q10800" t="n">
        <v>0</v>
      </c>
      <c r="R10800" s="2" t="inlineStr"/>
    </row>
    <row r="10801" ht="15" customHeight="1">
      <c r="A10801" t="inlineStr">
        <is>
          <t>A 48034-2024</t>
        </is>
      </c>
      <c r="B10801" s="1" t="n">
        <v>45589.49070601852</v>
      </c>
      <c r="C10801" s="1" t="n">
        <v>45952</v>
      </c>
      <c r="D10801" t="inlineStr">
        <is>
          <t>VÄSTRA GÖTALANDS LÄN</t>
        </is>
      </c>
      <c r="E10801" t="inlineStr">
        <is>
          <t>VÄNERSBORG</t>
        </is>
      </c>
      <c r="G10801" t="n">
        <v>1.1</v>
      </c>
      <c r="H10801" t="n">
        <v>0</v>
      </c>
      <c r="I10801" t="n">
        <v>0</v>
      </c>
      <c r="J10801" t="n">
        <v>0</v>
      </c>
      <c r="K10801" t="n">
        <v>0</v>
      </c>
      <c r="L10801" t="n">
        <v>0</v>
      </c>
      <c r="M10801" t="n">
        <v>0</v>
      </c>
      <c r="N10801" t="n">
        <v>0</v>
      </c>
      <c r="O10801" t="n">
        <v>0</v>
      </c>
      <c r="P10801" t="n">
        <v>0</v>
      </c>
      <c r="Q10801" t="n">
        <v>0</v>
      </c>
      <c r="R10801" s="2" t="inlineStr"/>
    </row>
    <row r="10802" ht="15" customHeight="1">
      <c r="A10802" t="inlineStr">
        <is>
          <t>A 5875-2023</t>
        </is>
      </c>
      <c r="B10802" s="1" t="n">
        <v>44963</v>
      </c>
      <c r="C10802" s="1" t="n">
        <v>45952</v>
      </c>
      <c r="D10802" t="inlineStr">
        <is>
          <t>VÄSTRA GÖTALANDS LÄN</t>
        </is>
      </c>
      <c r="E10802" t="inlineStr">
        <is>
          <t>ALE</t>
        </is>
      </c>
      <c r="G10802" t="n">
        <v>2.2</v>
      </c>
      <c r="H10802" t="n">
        <v>0</v>
      </c>
      <c r="I10802" t="n">
        <v>0</v>
      </c>
      <c r="J10802" t="n">
        <v>0</v>
      </c>
      <c r="K10802" t="n">
        <v>0</v>
      </c>
      <c r="L10802" t="n">
        <v>0</v>
      </c>
      <c r="M10802" t="n">
        <v>0</v>
      </c>
      <c r="N10802" t="n">
        <v>0</v>
      </c>
      <c r="O10802" t="n">
        <v>0</v>
      </c>
      <c r="P10802" t="n">
        <v>0</v>
      </c>
      <c r="Q10802" t="n">
        <v>0</v>
      </c>
      <c r="R10802" s="2" t="inlineStr"/>
    </row>
    <row r="10803" ht="15" customHeight="1">
      <c r="A10803" t="inlineStr">
        <is>
          <t>A 50510-2025</t>
        </is>
      </c>
      <c r="B10803" s="1" t="n">
        <v>45945.4416087963</v>
      </c>
      <c r="C10803" s="1" t="n">
        <v>45952</v>
      </c>
      <c r="D10803" t="inlineStr">
        <is>
          <t>VÄSTRA GÖTALANDS LÄN</t>
        </is>
      </c>
      <c r="E10803" t="inlineStr">
        <is>
          <t>BENGTSFORS</t>
        </is>
      </c>
      <c r="G10803" t="n">
        <v>2.2</v>
      </c>
      <c r="H10803" t="n">
        <v>0</v>
      </c>
      <c r="I10803" t="n">
        <v>0</v>
      </c>
      <c r="J10803" t="n">
        <v>0</v>
      </c>
      <c r="K10803" t="n">
        <v>0</v>
      </c>
      <c r="L10803" t="n">
        <v>0</v>
      </c>
      <c r="M10803" t="n">
        <v>0</v>
      </c>
      <c r="N10803" t="n">
        <v>0</v>
      </c>
      <c r="O10803" t="n">
        <v>0</v>
      </c>
      <c r="P10803" t="n">
        <v>0</v>
      </c>
      <c r="Q10803" t="n">
        <v>0</v>
      </c>
      <c r="R10803" s="2" t="inlineStr"/>
    </row>
    <row r="10804" ht="15" customHeight="1">
      <c r="A10804" t="inlineStr">
        <is>
          <t>A 26749-2023</t>
        </is>
      </c>
      <c r="B10804" s="1" t="n">
        <v>45093</v>
      </c>
      <c r="C10804" s="1" t="n">
        <v>45952</v>
      </c>
      <c r="D10804" t="inlineStr">
        <is>
          <t>VÄSTRA GÖTALANDS LÄN</t>
        </is>
      </c>
      <c r="E10804" t="inlineStr">
        <is>
          <t>ULRICEHAMN</t>
        </is>
      </c>
      <c r="G10804" t="n">
        <v>7.8</v>
      </c>
      <c r="H10804" t="n">
        <v>0</v>
      </c>
      <c r="I10804" t="n">
        <v>0</v>
      </c>
      <c r="J10804" t="n">
        <v>0</v>
      </c>
      <c r="K10804" t="n">
        <v>0</v>
      </c>
      <c r="L10804" t="n">
        <v>0</v>
      </c>
      <c r="M10804" t="n">
        <v>0</v>
      </c>
      <c r="N10804" t="n">
        <v>0</v>
      </c>
      <c r="O10804" t="n">
        <v>0</v>
      </c>
      <c r="P10804" t="n">
        <v>0</v>
      </c>
      <c r="Q10804" t="n">
        <v>0</v>
      </c>
      <c r="R10804" s="2" t="inlineStr"/>
    </row>
    <row r="10805" ht="15" customHeight="1">
      <c r="A10805" t="inlineStr">
        <is>
          <t>A 29402-2024</t>
        </is>
      </c>
      <c r="B10805" s="1" t="n">
        <v>45483.66359953704</v>
      </c>
      <c r="C10805" s="1" t="n">
        <v>45952</v>
      </c>
      <c r="D10805" t="inlineStr">
        <is>
          <t>VÄSTRA GÖTALANDS LÄN</t>
        </is>
      </c>
      <c r="E10805" t="inlineStr">
        <is>
          <t>MELLERUD</t>
        </is>
      </c>
      <c r="G10805" t="n">
        <v>2.4</v>
      </c>
      <c r="H10805" t="n">
        <v>0</v>
      </c>
      <c r="I10805" t="n">
        <v>0</v>
      </c>
      <c r="J10805" t="n">
        <v>0</v>
      </c>
      <c r="K10805" t="n">
        <v>0</v>
      </c>
      <c r="L10805" t="n">
        <v>0</v>
      </c>
      <c r="M10805" t="n">
        <v>0</v>
      </c>
      <c r="N10805" t="n">
        <v>0</v>
      </c>
      <c r="O10805" t="n">
        <v>0</v>
      </c>
      <c r="P10805" t="n">
        <v>0</v>
      </c>
      <c r="Q10805" t="n">
        <v>0</v>
      </c>
      <c r="R10805" s="2" t="inlineStr"/>
    </row>
    <row r="10806" ht="15" customHeight="1">
      <c r="A10806" t="inlineStr">
        <is>
          <t>A 8092-2025</t>
        </is>
      </c>
      <c r="B10806" s="1" t="n">
        <v>45707.67640046297</v>
      </c>
      <c r="C10806" s="1" t="n">
        <v>45952</v>
      </c>
      <c r="D10806" t="inlineStr">
        <is>
          <t>VÄSTRA GÖTALANDS LÄN</t>
        </is>
      </c>
      <c r="E10806" t="inlineStr">
        <is>
          <t>ÅMÅL</t>
        </is>
      </c>
      <c r="G10806" t="n">
        <v>1</v>
      </c>
      <c r="H10806" t="n">
        <v>0</v>
      </c>
      <c r="I10806" t="n">
        <v>0</v>
      </c>
      <c r="J10806" t="n">
        <v>0</v>
      </c>
      <c r="K10806" t="n">
        <v>0</v>
      </c>
      <c r="L10806" t="n">
        <v>0</v>
      </c>
      <c r="M10806" t="n">
        <v>0</v>
      </c>
      <c r="N10806" t="n">
        <v>0</v>
      </c>
      <c r="O10806" t="n">
        <v>0</v>
      </c>
      <c r="P10806" t="n">
        <v>0</v>
      </c>
      <c r="Q10806" t="n">
        <v>0</v>
      </c>
      <c r="R10806" s="2" t="inlineStr"/>
    </row>
    <row r="10807" ht="15" customHeight="1">
      <c r="A10807" t="inlineStr">
        <is>
          <t>A 8089-2025</t>
        </is>
      </c>
      <c r="B10807" s="1" t="n">
        <v>45707.67461805556</v>
      </c>
      <c r="C10807" s="1" t="n">
        <v>45952</v>
      </c>
      <c r="D10807" t="inlineStr">
        <is>
          <t>VÄSTRA GÖTALANDS LÄN</t>
        </is>
      </c>
      <c r="E10807" t="inlineStr">
        <is>
          <t>ÅMÅL</t>
        </is>
      </c>
      <c r="G10807" t="n">
        <v>1</v>
      </c>
      <c r="H10807" t="n">
        <v>0</v>
      </c>
      <c r="I10807" t="n">
        <v>0</v>
      </c>
      <c r="J10807" t="n">
        <v>0</v>
      </c>
      <c r="K10807" t="n">
        <v>0</v>
      </c>
      <c r="L10807" t="n">
        <v>0</v>
      </c>
      <c r="M10807" t="n">
        <v>0</v>
      </c>
      <c r="N10807" t="n">
        <v>0</v>
      </c>
      <c r="O10807" t="n">
        <v>0</v>
      </c>
      <c r="P10807" t="n">
        <v>0</v>
      </c>
      <c r="Q10807" t="n">
        <v>0</v>
      </c>
      <c r="R10807" s="2" t="inlineStr"/>
    </row>
    <row r="10808" ht="15" customHeight="1">
      <c r="A10808" t="inlineStr">
        <is>
          <t>A 7978-2025</t>
        </is>
      </c>
      <c r="B10808" s="1" t="n">
        <v>45707.46611111111</v>
      </c>
      <c r="C10808" s="1" t="n">
        <v>45952</v>
      </c>
      <c r="D10808" t="inlineStr">
        <is>
          <t>VÄSTRA GÖTALANDS LÄN</t>
        </is>
      </c>
      <c r="E10808" t="inlineStr">
        <is>
          <t>KARLSBORG</t>
        </is>
      </c>
      <c r="G10808" t="n">
        <v>3</v>
      </c>
      <c r="H10808" t="n">
        <v>0</v>
      </c>
      <c r="I10808" t="n">
        <v>0</v>
      </c>
      <c r="J10808" t="n">
        <v>0</v>
      </c>
      <c r="K10808" t="n">
        <v>0</v>
      </c>
      <c r="L10808" t="n">
        <v>0</v>
      </c>
      <c r="M10808" t="n">
        <v>0</v>
      </c>
      <c r="N10808" t="n">
        <v>0</v>
      </c>
      <c r="O10808" t="n">
        <v>0</v>
      </c>
      <c r="P10808" t="n">
        <v>0</v>
      </c>
      <c r="Q10808" t="n">
        <v>0</v>
      </c>
      <c r="R10808" s="2" t="inlineStr"/>
    </row>
    <row r="10809" ht="15" customHeight="1">
      <c r="A10809" t="inlineStr">
        <is>
          <t>A 5174-2025</t>
        </is>
      </c>
      <c r="B10809" s="1" t="n">
        <v>45691.61997685185</v>
      </c>
      <c r="C10809" s="1" t="n">
        <v>45952</v>
      </c>
      <c r="D10809" t="inlineStr">
        <is>
          <t>VÄSTRA GÖTALANDS LÄN</t>
        </is>
      </c>
      <c r="E10809" t="inlineStr">
        <is>
          <t>ULRICEHAMN</t>
        </is>
      </c>
      <c r="G10809" t="n">
        <v>2.6</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50515-2025</t>
        </is>
      </c>
      <c r="B10810" s="1" t="n">
        <v>45945.45089120371</v>
      </c>
      <c r="C10810" s="1" t="n">
        <v>45952</v>
      </c>
      <c r="D10810" t="inlineStr">
        <is>
          <t>VÄSTRA GÖTALANDS LÄN</t>
        </is>
      </c>
      <c r="E10810" t="inlineStr">
        <is>
          <t>ÅMÅL</t>
        </is>
      </c>
      <c r="G10810" t="n">
        <v>2</v>
      </c>
      <c r="H10810" t="n">
        <v>0</v>
      </c>
      <c r="I10810" t="n">
        <v>0</v>
      </c>
      <c r="J10810" t="n">
        <v>0</v>
      </c>
      <c r="K10810" t="n">
        <v>0</v>
      </c>
      <c r="L10810" t="n">
        <v>0</v>
      </c>
      <c r="M10810" t="n">
        <v>0</v>
      </c>
      <c r="N10810" t="n">
        <v>0</v>
      </c>
      <c r="O10810" t="n">
        <v>0</v>
      </c>
      <c r="P10810" t="n">
        <v>0</v>
      </c>
      <c r="Q10810" t="n">
        <v>0</v>
      </c>
      <c r="R10810" s="2" t="inlineStr"/>
    </row>
    <row r="10811" ht="15" customHeight="1">
      <c r="A10811" t="inlineStr">
        <is>
          <t>A 16713-2025</t>
        </is>
      </c>
      <c r="B10811" s="1" t="n">
        <v>45754.48366898148</v>
      </c>
      <c r="C10811" s="1" t="n">
        <v>45952</v>
      </c>
      <c r="D10811" t="inlineStr">
        <is>
          <t>VÄSTRA GÖTALANDS LÄN</t>
        </is>
      </c>
      <c r="E10811" t="inlineStr">
        <is>
          <t>MARIESTAD</t>
        </is>
      </c>
      <c r="G10811" t="n">
        <v>1.1</v>
      </c>
      <c r="H10811" t="n">
        <v>0</v>
      </c>
      <c r="I10811" t="n">
        <v>0</v>
      </c>
      <c r="J10811" t="n">
        <v>0</v>
      </c>
      <c r="K10811" t="n">
        <v>0</v>
      </c>
      <c r="L10811" t="n">
        <v>0</v>
      </c>
      <c r="M10811" t="n">
        <v>0</v>
      </c>
      <c r="N10811" t="n">
        <v>0</v>
      </c>
      <c r="O10811" t="n">
        <v>0</v>
      </c>
      <c r="P10811" t="n">
        <v>0</v>
      </c>
      <c r="Q10811" t="n">
        <v>0</v>
      </c>
      <c r="R10811" s="2" t="inlineStr"/>
    </row>
    <row r="10812" ht="15" customHeight="1">
      <c r="A10812" t="inlineStr">
        <is>
          <t>A 58420-2023</t>
        </is>
      </c>
      <c r="B10812" s="1" t="n">
        <v>45250</v>
      </c>
      <c r="C10812" s="1" t="n">
        <v>45952</v>
      </c>
      <c r="D10812" t="inlineStr">
        <is>
          <t>VÄSTRA GÖTALANDS LÄN</t>
        </is>
      </c>
      <c r="E10812" t="inlineStr">
        <is>
          <t>LIDKÖPING</t>
        </is>
      </c>
      <c r="G10812" t="n">
        <v>2.5</v>
      </c>
      <c r="H10812" t="n">
        <v>0</v>
      </c>
      <c r="I10812" t="n">
        <v>0</v>
      </c>
      <c r="J10812" t="n">
        <v>0</v>
      </c>
      <c r="K10812" t="n">
        <v>0</v>
      </c>
      <c r="L10812" t="n">
        <v>0</v>
      </c>
      <c r="M10812" t="n">
        <v>0</v>
      </c>
      <c r="N10812" t="n">
        <v>0</v>
      </c>
      <c r="O10812" t="n">
        <v>0</v>
      </c>
      <c r="P10812" t="n">
        <v>0</v>
      </c>
      <c r="Q10812" t="n">
        <v>0</v>
      </c>
      <c r="R10812" s="2" t="inlineStr"/>
    </row>
    <row r="10813" ht="15" customHeight="1">
      <c r="A10813" t="inlineStr">
        <is>
          <t>A 7783-2023</t>
        </is>
      </c>
      <c r="B10813" s="1" t="n">
        <v>44973</v>
      </c>
      <c r="C10813" s="1" t="n">
        <v>45952</v>
      </c>
      <c r="D10813" t="inlineStr">
        <is>
          <t>VÄSTRA GÖTALANDS LÄN</t>
        </is>
      </c>
      <c r="E10813" t="inlineStr">
        <is>
          <t>TROLLHÄTTAN</t>
        </is>
      </c>
      <c r="G10813" t="n">
        <v>1.2</v>
      </c>
      <c r="H10813" t="n">
        <v>0</v>
      </c>
      <c r="I10813" t="n">
        <v>0</v>
      </c>
      <c r="J10813" t="n">
        <v>0</v>
      </c>
      <c r="K10813" t="n">
        <v>0</v>
      </c>
      <c r="L10813" t="n">
        <v>0</v>
      </c>
      <c r="M10813" t="n">
        <v>0</v>
      </c>
      <c r="N10813" t="n">
        <v>0</v>
      </c>
      <c r="O10813" t="n">
        <v>0</v>
      </c>
      <c r="P10813" t="n">
        <v>0</v>
      </c>
      <c r="Q10813" t="n">
        <v>0</v>
      </c>
      <c r="R10813" s="2" t="inlineStr"/>
    </row>
    <row r="10814" ht="15" customHeight="1">
      <c r="A10814" t="inlineStr">
        <is>
          <t>A 10684-2022</t>
        </is>
      </c>
      <c r="B10814" s="1" t="n">
        <v>44624</v>
      </c>
      <c r="C10814" s="1" t="n">
        <v>45952</v>
      </c>
      <c r="D10814" t="inlineStr">
        <is>
          <t>VÄSTRA GÖTALANDS LÄN</t>
        </is>
      </c>
      <c r="E10814" t="inlineStr">
        <is>
          <t>UDDEVALLA</t>
        </is>
      </c>
      <c r="G10814" t="n">
        <v>2</v>
      </c>
      <c r="H10814" t="n">
        <v>0</v>
      </c>
      <c r="I10814" t="n">
        <v>0</v>
      </c>
      <c r="J10814" t="n">
        <v>0</v>
      </c>
      <c r="K10814" t="n">
        <v>0</v>
      </c>
      <c r="L10814" t="n">
        <v>0</v>
      </c>
      <c r="M10814" t="n">
        <v>0</v>
      </c>
      <c r="N10814" t="n">
        <v>0</v>
      </c>
      <c r="O10814" t="n">
        <v>0</v>
      </c>
      <c r="P10814" t="n">
        <v>0</v>
      </c>
      <c r="Q10814" t="n">
        <v>0</v>
      </c>
      <c r="R10814" s="2" t="inlineStr"/>
    </row>
    <row r="10815" ht="15" customHeight="1">
      <c r="A10815" t="inlineStr">
        <is>
          <t>A 61417-2022</t>
        </is>
      </c>
      <c r="B10815" s="1" t="n">
        <v>44916.35082175926</v>
      </c>
      <c r="C10815" s="1" t="n">
        <v>45952</v>
      </c>
      <c r="D10815" t="inlineStr">
        <is>
          <t>VÄSTRA GÖTALANDS LÄN</t>
        </is>
      </c>
      <c r="E10815" t="inlineStr">
        <is>
          <t>KUNGÄLV</t>
        </is>
      </c>
      <c r="G10815" t="n">
        <v>3.6</v>
      </c>
      <c r="H10815" t="n">
        <v>0</v>
      </c>
      <c r="I10815" t="n">
        <v>0</v>
      </c>
      <c r="J10815" t="n">
        <v>0</v>
      </c>
      <c r="K10815" t="n">
        <v>0</v>
      </c>
      <c r="L10815" t="n">
        <v>0</v>
      </c>
      <c r="M10815" t="n">
        <v>0</v>
      </c>
      <c r="N10815" t="n">
        <v>0</v>
      </c>
      <c r="O10815" t="n">
        <v>0</v>
      </c>
      <c r="P10815" t="n">
        <v>0</v>
      </c>
      <c r="Q10815" t="n">
        <v>0</v>
      </c>
      <c r="R10815" s="2" t="inlineStr"/>
    </row>
    <row r="10816" ht="15" customHeight="1">
      <c r="A10816" t="inlineStr">
        <is>
          <t>A 15552-2023</t>
        </is>
      </c>
      <c r="B10816" s="1" t="n">
        <v>45018</v>
      </c>
      <c r="C10816" s="1" t="n">
        <v>45952</v>
      </c>
      <c r="D10816" t="inlineStr">
        <is>
          <t>VÄSTRA GÖTALANDS LÄN</t>
        </is>
      </c>
      <c r="E10816" t="inlineStr">
        <is>
          <t>STRÖMSTAD</t>
        </is>
      </c>
      <c r="G10816" t="n">
        <v>3.4</v>
      </c>
      <c r="H10816" t="n">
        <v>0</v>
      </c>
      <c r="I10816" t="n">
        <v>0</v>
      </c>
      <c r="J10816" t="n">
        <v>0</v>
      </c>
      <c r="K10816" t="n">
        <v>0</v>
      </c>
      <c r="L10816" t="n">
        <v>0</v>
      </c>
      <c r="M10816" t="n">
        <v>0</v>
      </c>
      <c r="N10816" t="n">
        <v>0</v>
      </c>
      <c r="O10816" t="n">
        <v>0</v>
      </c>
      <c r="P10816" t="n">
        <v>0</v>
      </c>
      <c r="Q10816" t="n">
        <v>0</v>
      </c>
      <c r="R10816" s="2" t="inlineStr"/>
    </row>
    <row r="10817" ht="15" customHeight="1">
      <c r="A10817" t="inlineStr">
        <is>
          <t>A 26941-2025</t>
        </is>
      </c>
      <c r="B10817" s="1" t="n">
        <v>45811</v>
      </c>
      <c r="C10817" s="1" t="n">
        <v>45952</v>
      </c>
      <c r="D10817" t="inlineStr">
        <is>
          <t>VÄSTRA GÖTALANDS LÄN</t>
        </is>
      </c>
      <c r="E10817" t="inlineStr">
        <is>
          <t>TÖREBODA</t>
        </is>
      </c>
      <c r="G10817" t="n">
        <v>3.1</v>
      </c>
      <c r="H10817" t="n">
        <v>0</v>
      </c>
      <c r="I10817" t="n">
        <v>0</v>
      </c>
      <c r="J10817" t="n">
        <v>0</v>
      </c>
      <c r="K10817" t="n">
        <v>0</v>
      </c>
      <c r="L10817" t="n">
        <v>0</v>
      </c>
      <c r="M10817" t="n">
        <v>0</v>
      </c>
      <c r="N10817" t="n">
        <v>0</v>
      </c>
      <c r="O10817" t="n">
        <v>0</v>
      </c>
      <c r="P10817" t="n">
        <v>0</v>
      </c>
      <c r="Q10817" t="n">
        <v>0</v>
      </c>
      <c r="R10817" s="2" t="inlineStr"/>
    </row>
    <row r="10818" ht="15" customHeight="1">
      <c r="A10818" t="inlineStr">
        <is>
          <t>A 44301-2022</t>
        </is>
      </c>
      <c r="B10818" s="1" t="n">
        <v>44839.62133101852</v>
      </c>
      <c r="C10818" s="1" t="n">
        <v>45952</v>
      </c>
      <c r="D10818" t="inlineStr">
        <is>
          <t>VÄSTRA GÖTALANDS LÄN</t>
        </is>
      </c>
      <c r="E10818" t="inlineStr">
        <is>
          <t>TANUM</t>
        </is>
      </c>
      <c r="G10818" t="n">
        <v>1.1</v>
      </c>
      <c r="H10818" t="n">
        <v>0</v>
      </c>
      <c r="I10818" t="n">
        <v>0</v>
      </c>
      <c r="J10818" t="n">
        <v>0</v>
      </c>
      <c r="K10818" t="n">
        <v>0</v>
      </c>
      <c r="L10818" t="n">
        <v>0</v>
      </c>
      <c r="M10818" t="n">
        <v>0</v>
      </c>
      <c r="N10818" t="n">
        <v>0</v>
      </c>
      <c r="O10818" t="n">
        <v>0</v>
      </c>
      <c r="P10818" t="n">
        <v>0</v>
      </c>
      <c r="Q10818" t="n">
        <v>0</v>
      </c>
      <c r="R10818" s="2" t="inlineStr"/>
    </row>
    <row r="10819" ht="15" customHeight="1">
      <c r="A10819" t="inlineStr">
        <is>
          <t>A 26712-2025</t>
        </is>
      </c>
      <c r="B10819" s="1" t="n">
        <v>45810.46396990741</v>
      </c>
      <c r="C10819" s="1" t="n">
        <v>45952</v>
      </c>
      <c r="D10819" t="inlineStr">
        <is>
          <t>VÄSTRA GÖTALANDS LÄN</t>
        </is>
      </c>
      <c r="E10819" t="inlineStr">
        <is>
          <t>SKÖVDE</t>
        </is>
      </c>
      <c r="F10819" t="inlineStr">
        <is>
          <t>Kommuner</t>
        </is>
      </c>
      <c r="G10819" t="n">
        <v>1.2</v>
      </c>
      <c r="H10819" t="n">
        <v>0</v>
      </c>
      <c r="I10819" t="n">
        <v>0</v>
      </c>
      <c r="J10819" t="n">
        <v>0</v>
      </c>
      <c r="K10819" t="n">
        <v>0</v>
      </c>
      <c r="L10819" t="n">
        <v>0</v>
      </c>
      <c r="M10819" t="n">
        <v>0</v>
      </c>
      <c r="N10819" t="n">
        <v>0</v>
      </c>
      <c r="O10819" t="n">
        <v>0</v>
      </c>
      <c r="P10819" t="n">
        <v>0</v>
      </c>
      <c r="Q10819" t="n">
        <v>0</v>
      </c>
      <c r="R10819" s="2" t="inlineStr"/>
    </row>
    <row r="10820" ht="15" customHeight="1">
      <c r="A10820" t="inlineStr">
        <is>
          <t>A 10703-2025</t>
        </is>
      </c>
      <c r="B10820" s="1" t="n">
        <v>45722.33243055556</v>
      </c>
      <c r="C10820" s="1" t="n">
        <v>45952</v>
      </c>
      <c r="D10820" t="inlineStr">
        <is>
          <t>VÄSTRA GÖTALANDS LÄN</t>
        </is>
      </c>
      <c r="E10820" t="inlineStr">
        <is>
          <t>GÖTENE</t>
        </is>
      </c>
      <c r="G10820" t="n">
        <v>1.5</v>
      </c>
      <c r="H10820" t="n">
        <v>0</v>
      </c>
      <c r="I10820" t="n">
        <v>0</v>
      </c>
      <c r="J10820" t="n">
        <v>0</v>
      </c>
      <c r="K10820" t="n">
        <v>0</v>
      </c>
      <c r="L10820" t="n">
        <v>0</v>
      </c>
      <c r="M10820" t="n">
        <v>0</v>
      </c>
      <c r="N10820" t="n">
        <v>0</v>
      </c>
      <c r="O10820" t="n">
        <v>0</v>
      </c>
      <c r="P10820" t="n">
        <v>0</v>
      </c>
      <c r="Q10820" t="n">
        <v>0</v>
      </c>
      <c r="R10820" s="2" t="inlineStr"/>
    </row>
    <row r="10821" ht="15" customHeight="1">
      <c r="A10821" t="inlineStr">
        <is>
          <t>A 7233-2023</t>
        </is>
      </c>
      <c r="B10821" s="1" t="n">
        <v>44970.6025</v>
      </c>
      <c r="C10821" s="1" t="n">
        <v>45952</v>
      </c>
      <c r="D10821" t="inlineStr">
        <is>
          <t>VÄSTRA GÖTALANDS LÄN</t>
        </is>
      </c>
      <c r="E10821" t="inlineStr">
        <is>
          <t>SKARA</t>
        </is>
      </c>
      <c r="G10821" t="n">
        <v>0.2</v>
      </c>
      <c r="H10821" t="n">
        <v>0</v>
      </c>
      <c r="I10821" t="n">
        <v>0</v>
      </c>
      <c r="J10821" t="n">
        <v>0</v>
      </c>
      <c r="K10821" t="n">
        <v>0</v>
      </c>
      <c r="L10821" t="n">
        <v>0</v>
      </c>
      <c r="M10821" t="n">
        <v>0</v>
      </c>
      <c r="N10821" t="n">
        <v>0</v>
      </c>
      <c r="O10821" t="n">
        <v>0</v>
      </c>
      <c r="P10821" t="n">
        <v>0</v>
      </c>
      <c r="Q10821" t="n">
        <v>0</v>
      </c>
      <c r="R10821" s="2" t="inlineStr"/>
    </row>
    <row r="10822" ht="15" customHeight="1">
      <c r="A10822" t="inlineStr">
        <is>
          <t>A 49106-2022</t>
        </is>
      </c>
      <c r="B10822" s="1" t="n">
        <v>44860.6234375</v>
      </c>
      <c r="C10822" s="1" t="n">
        <v>45952</v>
      </c>
      <c r="D10822" t="inlineStr">
        <is>
          <t>VÄSTRA GÖTALANDS LÄN</t>
        </is>
      </c>
      <c r="E10822" t="inlineStr">
        <is>
          <t>HERRLJUNGA</t>
        </is>
      </c>
      <c r="G10822" t="n">
        <v>1.5</v>
      </c>
      <c r="H10822" t="n">
        <v>0</v>
      </c>
      <c r="I10822" t="n">
        <v>0</v>
      </c>
      <c r="J10822" t="n">
        <v>0</v>
      </c>
      <c r="K10822" t="n">
        <v>0</v>
      </c>
      <c r="L10822" t="n">
        <v>0</v>
      </c>
      <c r="M10822" t="n">
        <v>0</v>
      </c>
      <c r="N10822" t="n">
        <v>0</v>
      </c>
      <c r="O10822" t="n">
        <v>0</v>
      </c>
      <c r="P10822" t="n">
        <v>0</v>
      </c>
      <c r="Q10822" t="n">
        <v>0</v>
      </c>
      <c r="R10822" s="2" t="inlineStr"/>
    </row>
    <row r="10823" ht="15" customHeight="1">
      <c r="A10823" t="inlineStr">
        <is>
          <t>A 4941-2023</t>
        </is>
      </c>
      <c r="B10823" s="1" t="n">
        <v>44958.433125</v>
      </c>
      <c r="C10823" s="1" t="n">
        <v>45952</v>
      </c>
      <c r="D10823" t="inlineStr">
        <is>
          <t>VÄSTRA GÖTALANDS LÄN</t>
        </is>
      </c>
      <c r="E10823" t="inlineStr">
        <is>
          <t>TÖREBODA</t>
        </is>
      </c>
      <c r="G10823" t="n">
        <v>1.1</v>
      </c>
      <c r="H10823" t="n">
        <v>0</v>
      </c>
      <c r="I10823" t="n">
        <v>0</v>
      </c>
      <c r="J10823" t="n">
        <v>0</v>
      </c>
      <c r="K10823" t="n">
        <v>0</v>
      </c>
      <c r="L10823" t="n">
        <v>0</v>
      </c>
      <c r="M10823" t="n">
        <v>0</v>
      </c>
      <c r="N10823" t="n">
        <v>0</v>
      </c>
      <c r="O10823" t="n">
        <v>0</v>
      </c>
      <c r="P10823" t="n">
        <v>0</v>
      </c>
      <c r="Q10823" t="n">
        <v>0</v>
      </c>
      <c r="R10823" s="2" t="inlineStr"/>
    </row>
    <row r="10824" ht="15" customHeight="1">
      <c r="A10824" t="inlineStr">
        <is>
          <t>A 25518-2024</t>
        </is>
      </c>
      <c r="B10824" s="1" t="n">
        <v>45463.50510416667</v>
      </c>
      <c r="C10824" s="1" t="n">
        <v>45952</v>
      </c>
      <c r="D10824" t="inlineStr">
        <is>
          <t>VÄSTRA GÖTALANDS LÄN</t>
        </is>
      </c>
      <c r="E10824" t="inlineStr">
        <is>
          <t>TRANEMO</t>
        </is>
      </c>
      <c r="G10824" t="n">
        <v>0.9</v>
      </c>
      <c r="H10824" t="n">
        <v>0</v>
      </c>
      <c r="I10824" t="n">
        <v>0</v>
      </c>
      <c r="J10824" t="n">
        <v>0</v>
      </c>
      <c r="K10824" t="n">
        <v>0</v>
      </c>
      <c r="L10824" t="n">
        <v>0</v>
      </c>
      <c r="M10824" t="n">
        <v>0</v>
      </c>
      <c r="N10824" t="n">
        <v>0</v>
      </c>
      <c r="O10824" t="n">
        <v>0</v>
      </c>
      <c r="P10824" t="n">
        <v>0</v>
      </c>
      <c r="Q10824" t="n">
        <v>0</v>
      </c>
      <c r="R10824" s="2" t="inlineStr"/>
    </row>
    <row r="10825" ht="15" customHeight="1">
      <c r="A10825" t="inlineStr">
        <is>
          <t>A 43574-2023</t>
        </is>
      </c>
      <c r="B10825" s="1" t="n">
        <v>45184</v>
      </c>
      <c r="C10825" s="1" t="n">
        <v>45952</v>
      </c>
      <c r="D10825" t="inlineStr">
        <is>
          <t>VÄSTRA GÖTALANDS LÄN</t>
        </is>
      </c>
      <c r="E10825" t="inlineStr">
        <is>
          <t>BORÅS</t>
        </is>
      </c>
      <c r="G10825" t="n">
        <v>5</v>
      </c>
      <c r="H10825" t="n">
        <v>0</v>
      </c>
      <c r="I10825" t="n">
        <v>0</v>
      </c>
      <c r="J10825" t="n">
        <v>0</v>
      </c>
      <c r="K10825" t="n">
        <v>0</v>
      </c>
      <c r="L10825" t="n">
        <v>0</v>
      </c>
      <c r="M10825" t="n">
        <v>0</v>
      </c>
      <c r="N10825" t="n">
        <v>0</v>
      </c>
      <c r="O10825" t="n">
        <v>0</v>
      </c>
      <c r="P10825" t="n">
        <v>0</v>
      </c>
      <c r="Q10825" t="n">
        <v>0</v>
      </c>
      <c r="R10825" s="2" t="inlineStr"/>
    </row>
    <row r="10826" ht="15" customHeight="1">
      <c r="A10826" t="inlineStr">
        <is>
          <t>A 43575-2023</t>
        </is>
      </c>
      <c r="B10826" s="1" t="n">
        <v>45181</v>
      </c>
      <c r="C10826" s="1" t="n">
        <v>45952</v>
      </c>
      <c r="D10826" t="inlineStr">
        <is>
          <t>VÄSTRA GÖTALANDS LÄN</t>
        </is>
      </c>
      <c r="E10826" t="inlineStr">
        <is>
          <t>BENGTSFORS</t>
        </is>
      </c>
      <c r="G10826" t="n">
        <v>3.1</v>
      </c>
      <c r="H10826" t="n">
        <v>0</v>
      </c>
      <c r="I10826" t="n">
        <v>0</v>
      </c>
      <c r="J10826" t="n">
        <v>0</v>
      </c>
      <c r="K10826" t="n">
        <v>0</v>
      </c>
      <c r="L10826" t="n">
        <v>0</v>
      </c>
      <c r="M10826" t="n">
        <v>0</v>
      </c>
      <c r="N10826" t="n">
        <v>0</v>
      </c>
      <c r="O10826" t="n">
        <v>0</v>
      </c>
      <c r="P10826" t="n">
        <v>0</v>
      </c>
      <c r="Q10826" t="n">
        <v>0</v>
      </c>
      <c r="R10826" s="2" t="inlineStr"/>
    </row>
    <row r="10827" ht="15" customHeight="1">
      <c r="A10827" t="inlineStr">
        <is>
          <t>A 8923-2024</t>
        </is>
      </c>
      <c r="B10827" s="1" t="n">
        <v>45356</v>
      </c>
      <c r="C10827" s="1" t="n">
        <v>45952</v>
      </c>
      <c r="D10827" t="inlineStr">
        <is>
          <t>VÄSTRA GÖTALANDS LÄN</t>
        </is>
      </c>
      <c r="E10827" t="inlineStr">
        <is>
          <t>MELLERUD</t>
        </is>
      </c>
      <c r="G10827" t="n">
        <v>3.2</v>
      </c>
      <c r="H10827" t="n">
        <v>0</v>
      </c>
      <c r="I10827" t="n">
        <v>0</v>
      </c>
      <c r="J10827" t="n">
        <v>0</v>
      </c>
      <c r="K10827" t="n">
        <v>0</v>
      </c>
      <c r="L10827" t="n">
        <v>0</v>
      </c>
      <c r="M10827" t="n">
        <v>0</v>
      </c>
      <c r="N10827" t="n">
        <v>0</v>
      </c>
      <c r="O10827" t="n">
        <v>0</v>
      </c>
      <c r="P10827" t="n">
        <v>0</v>
      </c>
      <c r="Q10827" t="n">
        <v>0</v>
      </c>
      <c r="R10827" s="2" t="inlineStr"/>
    </row>
    <row r="10828" ht="15" customHeight="1">
      <c r="A10828" t="inlineStr">
        <is>
          <t>A 56629-2021</t>
        </is>
      </c>
      <c r="B10828" s="1" t="n">
        <v>44480.84695601852</v>
      </c>
      <c r="C10828" s="1" t="n">
        <v>45952</v>
      </c>
      <c r="D10828" t="inlineStr">
        <is>
          <t>VÄSTRA GÖTALANDS LÄN</t>
        </is>
      </c>
      <c r="E10828" t="inlineStr">
        <is>
          <t>ESSUNGA</t>
        </is>
      </c>
      <c r="G10828" t="n">
        <v>1.1</v>
      </c>
      <c r="H10828" t="n">
        <v>0</v>
      </c>
      <c r="I10828" t="n">
        <v>0</v>
      </c>
      <c r="J10828" t="n">
        <v>0</v>
      </c>
      <c r="K10828" t="n">
        <v>0</v>
      </c>
      <c r="L10828" t="n">
        <v>0</v>
      </c>
      <c r="M10828" t="n">
        <v>0</v>
      </c>
      <c r="N10828" t="n">
        <v>0</v>
      </c>
      <c r="O10828" t="n">
        <v>0</v>
      </c>
      <c r="P10828" t="n">
        <v>0</v>
      </c>
      <c r="Q10828" t="n">
        <v>0</v>
      </c>
      <c r="R10828" s="2" t="inlineStr"/>
    </row>
    <row r="10829" ht="15" customHeight="1">
      <c r="A10829" t="inlineStr">
        <is>
          <t>A 40666-2023</t>
        </is>
      </c>
      <c r="B10829" s="1" t="n">
        <v>45170</v>
      </c>
      <c r="C10829" s="1" t="n">
        <v>45952</v>
      </c>
      <c r="D10829" t="inlineStr">
        <is>
          <t>VÄSTRA GÖTALANDS LÄN</t>
        </is>
      </c>
      <c r="E10829" t="inlineStr">
        <is>
          <t>SKARA</t>
        </is>
      </c>
      <c r="F10829" t="inlineStr">
        <is>
          <t>Kyrkan</t>
        </is>
      </c>
      <c r="G10829" t="n">
        <v>1.2</v>
      </c>
      <c r="H10829" t="n">
        <v>0</v>
      </c>
      <c r="I10829" t="n">
        <v>0</v>
      </c>
      <c r="J10829" t="n">
        <v>0</v>
      </c>
      <c r="K10829" t="n">
        <v>0</v>
      </c>
      <c r="L10829" t="n">
        <v>0</v>
      </c>
      <c r="M10829" t="n">
        <v>0</v>
      </c>
      <c r="N10829" t="n">
        <v>0</v>
      </c>
      <c r="O10829" t="n">
        <v>0</v>
      </c>
      <c r="P10829" t="n">
        <v>0</v>
      </c>
      <c r="Q10829" t="n">
        <v>0</v>
      </c>
      <c r="R10829" s="2" t="inlineStr"/>
    </row>
    <row r="10830" ht="15" customHeight="1">
      <c r="A10830" t="inlineStr">
        <is>
          <t>A 31940-2024</t>
        </is>
      </c>
      <c r="B10830" s="1" t="n">
        <v>45510</v>
      </c>
      <c r="C10830" s="1" t="n">
        <v>45952</v>
      </c>
      <c r="D10830" t="inlineStr">
        <is>
          <t>VÄSTRA GÖTALANDS LÄN</t>
        </is>
      </c>
      <c r="E10830" t="inlineStr">
        <is>
          <t>BORÅS</t>
        </is>
      </c>
      <c r="G10830" t="n">
        <v>0.7</v>
      </c>
      <c r="H10830" t="n">
        <v>0</v>
      </c>
      <c r="I10830" t="n">
        <v>0</v>
      </c>
      <c r="J10830" t="n">
        <v>0</v>
      </c>
      <c r="K10830" t="n">
        <v>0</v>
      </c>
      <c r="L10830" t="n">
        <v>0</v>
      </c>
      <c r="M10830" t="n">
        <v>0</v>
      </c>
      <c r="N10830" t="n">
        <v>0</v>
      </c>
      <c r="O10830" t="n">
        <v>0</v>
      </c>
      <c r="P10830" t="n">
        <v>0</v>
      </c>
      <c r="Q10830" t="n">
        <v>0</v>
      </c>
      <c r="R10830" s="2" t="inlineStr"/>
    </row>
    <row r="10831" ht="15" customHeight="1">
      <c r="A10831" t="inlineStr">
        <is>
          <t>A 62359-2022</t>
        </is>
      </c>
      <c r="B10831" s="1" t="n">
        <v>44923</v>
      </c>
      <c r="C10831" s="1" t="n">
        <v>45952</v>
      </c>
      <c r="D10831" t="inlineStr">
        <is>
          <t>VÄSTRA GÖTALANDS LÄN</t>
        </is>
      </c>
      <c r="E10831" t="inlineStr">
        <is>
          <t>TÖREBODA</t>
        </is>
      </c>
      <c r="G10831" t="n">
        <v>3.5</v>
      </c>
      <c r="H10831" t="n">
        <v>0</v>
      </c>
      <c r="I10831" t="n">
        <v>0</v>
      </c>
      <c r="J10831" t="n">
        <v>0</v>
      </c>
      <c r="K10831" t="n">
        <v>0</v>
      </c>
      <c r="L10831" t="n">
        <v>0</v>
      </c>
      <c r="M10831" t="n">
        <v>0</v>
      </c>
      <c r="N10831" t="n">
        <v>0</v>
      </c>
      <c r="O10831" t="n">
        <v>0</v>
      </c>
      <c r="P10831" t="n">
        <v>0</v>
      </c>
      <c r="Q10831" t="n">
        <v>0</v>
      </c>
      <c r="R10831" s="2" t="inlineStr"/>
    </row>
    <row r="10832" ht="15" customHeight="1">
      <c r="A10832" t="inlineStr">
        <is>
          <t>A 62360-2022</t>
        </is>
      </c>
      <c r="B10832" s="1" t="n">
        <v>44923.64385416666</v>
      </c>
      <c r="C10832" s="1" t="n">
        <v>45952</v>
      </c>
      <c r="D10832" t="inlineStr">
        <is>
          <t>VÄSTRA GÖTALANDS LÄN</t>
        </is>
      </c>
      <c r="E10832" t="inlineStr">
        <is>
          <t>TÖREBODA</t>
        </is>
      </c>
      <c r="G10832" t="n">
        <v>2.6</v>
      </c>
      <c r="H10832" t="n">
        <v>0</v>
      </c>
      <c r="I10832" t="n">
        <v>0</v>
      </c>
      <c r="J10832" t="n">
        <v>0</v>
      </c>
      <c r="K10832" t="n">
        <v>0</v>
      </c>
      <c r="L10832" t="n">
        <v>0</v>
      </c>
      <c r="M10832" t="n">
        <v>0</v>
      </c>
      <c r="N10832" t="n">
        <v>0</v>
      </c>
      <c r="O10832" t="n">
        <v>0</v>
      </c>
      <c r="P10832" t="n">
        <v>0</v>
      </c>
      <c r="Q10832" t="n">
        <v>0</v>
      </c>
      <c r="R10832" s="2" t="inlineStr"/>
    </row>
    <row r="10833" ht="15" customHeight="1">
      <c r="A10833" t="inlineStr">
        <is>
          <t>A 62363-2022</t>
        </is>
      </c>
      <c r="B10833" s="1" t="n">
        <v>44923.64582175926</v>
      </c>
      <c r="C10833" s="1" t="n">
        <v>45952</v>
      </c>
      <c r="D10833" t="inlineStr">
        <is>
          <t>VÄSTRA GÖTALANDS LÄN</t>
        </is>
      </c>
      <c r="E10833" t="inlineStr">
        <is>
          <t>TÖREBODA</t>
        </is>
      </c>
      <c r="G10833" t="n">
        <v>0.4</v>
      </c>
      <c r="H10833" t="n">
        <v>0</v>
      </c>
      <c r="I10833" t="n">
        <v>0</v>
      </c>
      <c r="J10833" t="n">
        <v>0</v>
      </c>
      <c r="K10833" t="n">
        <v>0</v>
      </c>
      <c r="L10833" t="n">
        <v>0</v>
      </c>
      <c r="M10833" t="n">
        <v>0</v>
      </c>
      <c r="N10833" t="n">
        <v>0</v>
      </c>
      <c r="O10833" t="n">
        <v>0</v>
      </c>
      <c r="P10833" t="n">
        <v>0</v>
      </c>
      <c r="Q10833" t="n">
        <v>0</v>
      </c>
      <c r="R10833" s="2" t="inlineStr"/>
    </row>
    <row r="10834" ht="15" customHeight="1">
      <c r="A10834" t="inlineStr">
        <is>
          <t>A 23228-2022</t>
        </is>
      </c>
      <c r="B10834" s="1" t="n">
        <v>44719.98341435185</v>
      </c>
      <c r="C10834" s="1" t="n">
        <v>45952</v>
      </c>
      <c r="D10834" t="inlineStr">
        <is>
          <t>VÄSTRA GÖTALANDS LÄN</t>
        </is>
      </c>
      <c r="E10834" t="inlineStr">
        <is>
          <t>TANUM</t>
        </is>
      </c>
      <c r="G10834" t="n">
        <v>1.3</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40527-2023</t>
        </is>
      </c>
      <c r="B10835" s="1" t="n">
        <v>45170.43162037037</v>
      </c>
      <c r="C10835" s="1" t="n">
        <v>45952</v>
      </c>
      <c r="D10835" t="inlineStr">
        <is>
          <t>VÄSTRA GÖTALANDS LÄN</t>
        </is>
      </c>
      <c r="E10835" t="inlineStr">
        <is>
          <t>TIDAHOLM</t>
        </is>
      </c>
      <c r="G10835" t="n">
        <v>7.8</v>
      </c>
      <c r="H10835" t="n">
        <v>0</v>
      </c>
      <c r="I10835" t="n">
        <v>0</v>
      </c>
      <c r="J10835" t="n">
        <v>0</v>
      </c>
      <c r="K10835" t="n">
        <v>0</v>
      </c>
      <c r="L10835" t="n">
        <v>0</v>
      </c>
      <c r="M10835" t="n">
        <v>0</v>
      </c>
      <c r="N10835" t="n">
        <v>0</v>
      </c>
      <c r="O10835" t="n">
        <v>0</v>
      </c>
      <c r="P10835" t="n">
        <v>0</v>
      </c>
      <c r="Q10835" t="n">
        <v>0</v>
      </c>
      <c r="R10835" s="2" t="inlineStr"/>
    </row>
    <row r="10836" ht="15" customHeight="1">
      <c r="A10836" t="inlineStr">
        <is>
          <t>A 10882-2025</t>
        </is>
      </c>
      <c r="B10836" s="1" t="n">
        <v>45722.65290509259</v>
      </c>
      <c r="C10836" s="1" t="n">
        <v>45952</v>
      </c>
      <c r="D10836" t="inlineStr">
        <is>
          <t>VÄSTRA GÖTALANDS LÄN</t>
        </is>
      </c>
      <c r="E10836" t="inlineStr">
        <is>
          <t>BENGTSFORS</t>
        </is>
      </c>
      <c r="G10836" t="n">
        <v>1.8</v>
      </c>
      <c r="H10836" t="n">
        <v>0</v>
      </c>
      <c r="I10836" t="n">
        <v>0</v>
      </c>
      <c r="J10836" t="n">
        <v>0</v>
      </c>
      <c r="K10836" t="n">
        <v>0</v>
      </c>
      <c r="L10836" t="n">
        <v>0</v>
      </c>
      <c r="M10836" t="n">
        <v>0</v>
      </c>
      <c r="N10836" t="n">
        <v>0</v>
      </c>
      <c r="O10836" t="n">
        <v>0</v>
      </c>
      <c r="P10836" t="n">
        <v>0</v>
      </c>
      <c r="Q10836" t="n">
        <v>0</v>
      </c>
      <c r="R10836" s="2" t="inlineStr"/>
    </row>
    <row r="10837" ht="15" customHeight="1">
      <c r="A10837" t="inlineStr">
        <is>
          <t>A 10900-2025</t>
        </is>
      </c>
      <c r="B10837" s="1" t="n">
        <v>45722.69118055556</v>
      </c>
      <c r="C10837" s="1" t="n">
        <v>45952</v>
      </c>
      <c r="D10837" t="inlineStr">
        <is>
          <t>VÄSTRA GÖTALANDS LÄN</t>
        </is>
      </c>
      <c r="E10837" t="inlineStr">
        <is>
          <t>UDDEVALLA</t>
        </is>
      </c>
      <c r="G10837" t="n">
        <v>1.2</v>
      </c>
      <c r="H10837" t="n">
        <v>0</v>
      </c>
      <c r="I10837" t="n">
        <v>0</v>
      </c>
      <c r="J10837" t="n">
        <v>0</v>
      </c>
      <c r="K10837" t="n">
        <v>0</v>
      </c>
      <c r="L10837" t="n">
        <v>0</v>
      </c>
      <c r="M10837" t="n">
        <v>0</v>
      </c>
      <c r="N10837" t="n">
        <v>0</v>
      </c>
      <c r="O10837" t="n">
        <v>0</v>
      </c>
      <c r="P10837" t="n">
        <v>0</v>
      </c>
      <c r="Q10837" t="n">
        <v>0</v>
      </c>
      <c r="R10837" s="2" t="inlineStr"/>
    </row>
    <row r="10838" ht="15" customHeight="1">
      <c r="A10838" t="inlineStr">
        <is>
          <t>A 25560-2022</t>
        </is>
      </c>
      <c r="B10838" s="1" t="n">
        <v>44732</v>
      </c>
      <c r="C10838" s="1" t="n">
        <v>45952</v>
      </c>
      <c r="D10838" t="inlineStr">
        <is>
          <t>VÄSTRA GÖTALANDS LÄN</t>
        </is>
      </c>
      <c r="E10838" t="inlineStr">
        <is>
          <t>MARK</t>
        </is>
      </c>
      <c r="G10838" t="n">
        <v>1.1</v>
      </c>
      <c r="H10838" t="n">
        <v>0</v>
      </c>
      <c r="I10838" t="n">
        <v>0</v>
      </c>
      <c r="J10838" t="n">
        <v>0</v>
      </c>
      <c r="K10838" t="n">
        <v>0</v>
      </c>
      <c r="L10838" t="n">
        <v>0</v>
      </c>
      <c r="M10838" t="n">
        <v>0</v>
      </c>
      <c r="N10838" t="n">
        <v>0</v>
      </c>
      <c r="O10838" t="n">
        <v>0</v>
      </c>
      <c r="P10838" t="n">
        <v>0</v>
      </c>
      <c r="Q10838" t="n">
        <v>0</v>
      </c>
      <c r="R10838" s="2" t="inlineStr"/>
    </row>
    <row r="10839" ht="15" customHeight="1">
      <c r="A10839" t="inlineStr">
        <is>
          <t>A 13890-2022</t>
        </is>
      </c>
      <c r="B10839" s="1" t="n">
        <v>44649</v>
      </c>
      <c r="C10839" s="1" t="n">
        <v>45952</v>
      </c>
      <c r="D10839" t="inlineStr">
        <is>
          <t>VÄSTRA GÖTALANDS LÄN</t>
        </is>
      </c>
      <c r="E10839" t="inlineStr">
        <is>
          <t>STRÖMSTAD</t>
        </is>
      </c>
      <c r="G10839" t="n">
        <v>3.5</v>
      </c>
      <c r="H10839" t="n">
        <v>0</v>
      </c>
      <c r="I10839" t="n">
        <v>0</v>
      </c>
      <c r="J10839" t="n">
        <v>0</v>
      </c>
      <c r="K10839" t="n">
        <v>0</v>
      </c>
      <c r="L10839" t="n">
        <v>0</v>
      </c>
      <c r="M10839" t="n">
        <v>0</v>
      </c>
      <c r="N10839" t="n">
        <v>0</v>
      </c>
      <c r="O10839" t="n">
        <v>0</v>
      </c>
      <c r="P10839" t="n">
        <v>0</v>
      </c>
      <c r="Q10839" t="n">
        <v>0</v>
      </c>
      <c r="R10839" s="2" t="inlineStr"/>
    </row>
    <row r="10840" ht="15" customHeight="1">
      <c r="A10840" t="inlineStr">
        <is>
          <t>A 41990-2025</t>
        </is>
      </c>
      <c r="B10840" s="1" t="n">
        <v>45903.54530092593</v>
      </c>
      <c r="C10840" s="1" t="n">
        <v>45952</v>
      </c>
      <c r="D10840" t="inlineStr">
        <is>
          <t>VÄSTRA GÖTALANDS LÄN</t>
        </is>
      </c>
      <c r="E10840" t="inlineStr">
        <is>
          <t>BENGTSFORS</t>
        </is>
      </c>
      <c r="G10840" t="n">
        <v>6.7</v>
      </c>
      <c r="H10840" t="n">
        <v>0</v>
      </c>
      <c r="I10840" t="n">
        <v>0</v>
      </c>
      <c r="J10840" t="n">
        <v>0</v>
      </c>
      <c r="K10840" t="n">
        <v>0</v>
      </c>
      <c r="L10840" t="n">
        <v>0</v>
      </c>
      <c r="M10840" t="n">
        <v>0</v>
      </c>
      <c r="N10840" t="n">
        <v>0</v>
      </c>
      <c r="O10840" t="n">
        <v>0</v>
      </c>
      <c r="P10840" t="n">
        <v>0</v>
      </c>
      <c r="Q10840" t="n">
        <v>0</v>
      </c>
      <c r="R10840" s="2" t="inlineStr"/>
    </row>
    <row r="10841" ht="15" customHeight="1">
      <c r="A10841" t="inlineStr">
        <is>
          <t>A 41256-2024</t>
        </is>
      </c>
      <c r="B10841" s="1" t="n">
        <v>45559</v>
      </c>
      <c r="C10841" s="1" t="n">
        <v>45952</v>
      </c>
      <c r="D10841" t="inlineStr">
        <is>
          <t>VÄSTRA GÖTALANDS LÄN</t>
        </is>
      </c>
      <c r="E10841" t="inlineStr">
        <is>
          <t>GULLSPÅNG</t>
        </is>
      </c>
      <c r="G10841" t="n">
        <v>1.1</v>
      </c>
      <c r="H10841" t="n">
        <v>0</v>
      </c>
      <c r="I10841" t="n">
        <v>0</v>
      </c>
      <c r="J10841" t="n">
        <v>0</v>
      </c>
      <c r="K10841" t="n">
        <v>0</v>
      </c>
      <c r="L10841" t="n">
        <v>0</v>
      </c>
      <c r="M10841" t="n">
        <v>0</v>
      </c>
      <c r="N10841" t="n">
        <v>0</v>
      </c>
      <c r="O10841" t="n">
        <v>0</v>
      </c>
      <c r="P10841" t="n">
        <v>0</v>
      </c>
      <c r="Q10841" t="n">
        <v>0</v>
      </c>
      <c r="R10841" s="2" t="inlineStr"/>
    </row>
    <row r="10842" ht="15" customHeight="1">
      <c r="A10842" t="inlineStr">
        <is>
          <t>A 41988-2025</t>
        </is>
      </c>
      <c r="B10842" s="1" t="n">
        <v>45903.54369212963</v>
      </c>
      <c r="C10842" s="1" t="n">
        <v>45952</v>
      </c>
      <c r="D10842" t="inlineStr">
        <is>
          <t>VÄSTRA GÖTALANDS LÄN</t>
        </is>
      </c>
      <c r="E10842" t="inlineStr">
        <is>
          <t>TANUM</t>
        </is>
      </c>
      <c r="G10842" t="n">
        <v>13</v>
      </c>
      <c r="H10842" t="n">
        <v>0</v>
      </c>
      <c r="I10842" t="n">
        <v>0</v>
      </c>
      <c r="J10842" t="n">
        <v>0</v>
      </c>
      <c r="K10842" t="n">
        <v>0</v>
      </c>
      <c r="L10842" t="n">
        <v>0</v>
      </c>
      <c r="M10842" t="n">
        <v>0</v>
      </c>
      <c r="N10842" t="n">
        <v>0</v>
      </c>
      <c r="O10842" t="n">
        <v>0</v>
      </c>
      <c r="P10842" t="n">
        <v>0</v>
      </c>
      <c r="Q10842" t="n">
        <v>0</v>
      </c>
      <c r="R10842" s="2" t="inlineStr"/>
    </row>
    <row r="10843" ht="15" customHeight="1">
      <c r="A10843" t="inlineStr">
        <is>
          <t>A 46451-2024</t>
        </is>
      </c>
      <c r="B10843" s="1" t="n">
        <v>45582.50539351852</v>
      </c>
      <c r="C10843" s="1" t="n">
        <v>45952</v>
      </c>
      <c r="D10843" t="inlineStr">
        <is>
          <t>VÄSTRA GÖTALANDS LÄN</t>
        </is>
      </c>
      <c r="E10843" t="inlineStr">
        <is>
          <t>BORÅS</t>
        </is>
      </c>
      <c r="G10843" t="n">
        <v>1.6</v>
      </c>
      <c r="H10843" t="n">
        <v>0</v>
      </c>
      <c r="I10843" t="n">
        <v>0</v>
      </c>
      <c r="J10843" t="n">
        <v>0</v>
      </c>
      <c r="K10843" t="n">
        <v>0</v>
      </c>
      <c r="L10843" t="n">
        <v>0</v>
      </c>
      <c r="M10843" t="n">
        <v>0</v>
      </c>
      <c r="N10843" t="n">
        <v>0</v>
      </c>
      <c r="O10843" t="n">
        <v>0</v>
      </c>
      <c r="P10843" t="n">
        <v>0</v>
      </c>
      <c r="Q10843" t="n">
        <v>0</v>
      </c>
      <c r="R10843" s="2" t="inlineStr"/>
    </row>
    <row r="10844" ht="15" customHeight="1">
      <c r="A10844" t="inlineStr">
        <is>
          <t>A 41309-2024</t>
        </is>
      </c>
      <c r="B10844" s="1" t="n">
        <v>45559</v>
      </c>
      <c r="C10844" s="1" t="n">
        <v>45952</v>
      </c>
      <c r="D10844" t="inlineStr">
        <is>
          <t>VÄSTRA GÖTALANDS LÄN</t>
        </is>
      </c>
      <c r="E10844" t="inlineStr">
        <is>
          <t>ALE</t>
        </is>
      </c>
      <c r="G10844" t="n">
        <v>8.4</v>
      </c>
      <c r="H10844" t="n">
        <v>0</v>
      </c>
      <c r="I10844" t="n">
        <v>0</v>
      </c>
      <c r="J10844" t="n">
        <v>0</v>
      </c>
      <c r="K10844" t="n">
        <v>0</v>
      </c>
      <c r="L10844" t="n">
        <v>0</v>
      </c>
      <c r="M10844" t="n">
        <v>0</v>
      </c>
      <c r="N10844" t="n">
        <v>0</v>
      </c>
      <c r="O10844" t="n">
        <v>0</v>
      </c>
      <c r="P10844" t="n">
        <v>0</v>
      </c>
      <c r="Q10844" t="n">
        <v>0</v>
      </c>
      <c r="R10844" s="2" t="inlineStr"/>
    </row>
    <row r="10845" ht="15" customHeight="1">
      <c r="A10845" t="inlineStr">
        <is>
          <t>A 2619-2025</t>
        </is>
      </c>
      <c r="B10845" s="1" t="n">
        <v>45675</v>
      </c>
      <c r="C10845" s="1" t="n">
        <v>45952</v>
      </c>
      <c r="D10845" t="inlineStr">
        <is>
          <t>VÄSTRA GÖTALANDS LÄN</t>
        </is>
      </c>
      <c r="E10845" t="inlineStr">
        <is>
          <t>ULRICEHAMN</t>
        </is>
      </c>
      <c r="G10845" t="n">
        <v>2.9</v>
      </c>
      <c r="H10845" t="n">
        <v>0</v>
      </c>
      <c r="I10845" t="n">
        <v>0</v>
      </c>
      <c r="J10845" t="n">
        <v>0</v>
      </c>
      <c r="K10845" t="n">
        <v>0</v>
      </c>
      <c r="L10845" t="n">
        <v>0</v>
      </c>
      <c r="M10845" t="n">
        <v>0</v>
      </c>
      <c r="N10845" t="n">
        <v>0</v>
      </c>
      <c r="O10845" t="n">
        <v>0</v>
      </c>
      <c r="P10845" t="n">
        <v>0</v>
      </c>
      <c r="Q10845" t="n">
        <v>0</v>
      </c>
      <c r="R10845" s="2" t="inlineStr"/>
    </row>
    <row r="10846" ht="15" customHeight="1">
      <c r="A10846" t="inlineStr">
        <is>
          <t>A 2673-2025</t>
        </is>
      </c>
      <c r="B10846" s="1" t="n">
        <v>45677.33115740741</v>
      </c>
      <c r="C10846" s="1" t="n">
        <v>45952</v>
      </c>
      <c r="D10846" t="inlineStr">
        <is>
          <t>VÄSTRA GÖTALANDS LÄN</t>
        </is>
      </c>
      <c r="E10846" t="inlineStr">
        <is>
          <t>TRANEMO</t>
        </is>
      </c>
      <c r="G10846" t="n">
        <v>3.3</v>
      </c>
      <c r="H10846" t="n">
        <v>0</v>
      </c>
      <c r="I10846" t="n">
        <v>0</v>
      </c>
      <c r="J10846" t="n">
        <v>0</v>
      </c>
      <c r="K10846" t="n">
        <v>0</v>
      </c>
      <c r="L10846" t="n">
        <v>0</v>
      </c>
      <c r="M10846" t="n">
        <v>0</v>
      </c>
      <c r="N10846" t="n">
        <v>0</v>
      </c>
      <c r="O10846" t="n">
        <v>0</v>
      </c>
      <c r="P10846" t="n">
        <v>0</v>
      </c>
      <c r="Q10846" t="n">
        <v>0</v>
      </c>
      <c r="R10846" s="2" t="inlineStr"/>
    </row>
    <row r="10847" ht="15" customHeight="1">
      <c r="A10847" t="inlineStr">
        <is>
          <t>A 41970-2025</t>
        </is>
      </c>
      <c r="B10847" s="1" t="n">
        <v>45903.4885300926</v>
      </c>
      <c r="C10847" s="1" t="n">
        <v>45952</v>
      </c>
      <c r="D10847" t="inlineStr">
        <is>
          <t>VÄSTRA GÖTALANDS LÄN</t>
        </is>
      </c>
      <c r="E10847" t="inlineStr">
        <is>
          <t>MARIESTAD</t>
        </is>
      </c>
      <c r="G10847" t="n">
        <v>1.5</v>
      </c>
      <c r="H10847" t="n">
        <v>0</v>
      </c>
      <c r="I10847" t="n">
        <v>0</v>
      </c>
      <c r="J10847" t="n">
        <v>0</v>
      </c>
      <c r="K10847" t="n">
        <v>0</v>
      </c>
      <c r="L10847" t="n">
        <v>0</v>
      </c>
      <c r="M10847" t="n">
        <v>0</v>
      </c>
      <c r="N10847" t="n">
        <v>0</v>
      </c>
      <c r="O10847" t="n">
        <v>0</v>
      </c>
      <c r="P10847" t="n">
        <v>0</v>
      </c>
      <c r="Q10847" t="n">
        <v>0</v>
      </c>
      <c r="R10847" s="2" t="inlineStr"/>
    </row>
    <row r="10848" ht="15" customHeight="1">
      <c r="A10848" t="inlineStr">
        <is>
          <t>A 2680-2025</t>
        </is>
      </c>
      <c r="B10848" s="1" t="n">
        <v>45677.34737268519</v>
      </c>
      <c r="C10848" s="1" t="n">
        <v>45952</v>
      </c>
      <c r="D10848" t="inlineStr">
        <is>
          <t>VÄSTRA GÖTALANDS LÄN</t>
        </is>
      </c>
      <c r="E10848" t="inlineStr">
        <is>
          <t>VARA</t>
        </is>
      </c>
      <c r="G10848" t="n">
        <v>2.2</v>
      </c>
      <c r="H10848" t="n">
        <v>0</v>
      </c>
      <c r="I10848" t="n">
        <v>0</v>
      </c>
      <c r="J10848" t="n">
        <v>0</v>
      </c>
      <c r="K10848" t="n">
        <v>0</v>
      </c>
      <c r="L10848" t="n">
        <v>0</v>
      </c>
      <c r="M10848" t="n">
        <v>0</v>
      </c>
      <c r="N10848" t="n">
        <v>0</v>
      </c>
      <c r="O10848" t="n">
        <v>0</v>
      </c>
      <c r="P10848" t="n">
        <v>0</v>
      </c>
      <c r="Q10848" t="n">
        <v>0</v>
      </c>
      <c r="R10848" s="2" t="inlineStr"/>
    </row>
    <row r="10849" ht="15" customHeight="1">
      <c r="A10849" t="inlineStr">
        <is>
          <t>A 52420-2024</t>
        </is>
      </c>
      <c r="B10849" s="1" t="n">
        <v>45609.46583333334</v>
      </c>
      <c r="C10849" s="1" t="n">
        <v>45952</v>
      </c>
      <c r="D10849" t="inlineStr">
        <is>
          <t>VÄSTRA GÖTALANDS LÄN</t>
        </is>
      </c>
      <c r="E10849" t="inlineStr">
        <is>
          <t>FALKÖPING</t>
        </is>
      </c>
      <c r="G10849" t="n">
        <v>2</v>
      </c>
      <c r="H10849" t="n">
        <v>0</v>
      </c>
      <c r="I10849" t="n">
        <v>0</v>
      </c>
      <c r="J10849" t="n">
        <v>0</v>
      </c>
      <c r="K10849" t="n">
        <v>0</v>
      </c>
      <c r="L10849" t="n">
        <v>0</v>
      </c>
      <c r="M10849" t="n">
        <v>0</v>
      </c>
      <c r="N10849" t="n">
        <v>0</v>
      </c>
      <c r="O10849" t="n">
        <v>0</v>
      </c>
      <c r="P10849" t="n">
        <v>0</v>
      </c>
      <c r="Q10849" t="n">
        <v>0</v>
      </c>
      <c r="R10849" s="2" t="inlineStr"/>
    </row>
    <row r="10850" ht="15" customHeight="1">
      <c r="A10850" t="inlineStr">
        <is>
          <t>A 4243-2025</t>
        </is>
      </c>
      <c r="B10850" s="1" t="n">
        <v>45685.58085648148</v>
      </c>
      <c r="C10850" s="1" t="n">
        <v>45952</v>
      </c>
      <c r="D10850" t="inlineStr">
        <is>
          <t>VÄSTRA GÖTALANDS LÄN</t>
        </is>
      </c>
      <c r="E10850" t="inlineStr">
        <is>
          <t>HJO</t>
        </is>
      </c>
      <c r="G10850" t="n">
        <v>1.5</v>
      </c>
      <c r="H10850" t="n">
        <v>0</v>
      </c>
      <c r="I10850" t="n">
        <v>0</v>
      </c>
      <c r="J10850" t="n">
        <v>0</v>
      </c>
      <c r="K10850" t="n">
        <v>0</v>
      </c>
      <c r="L10850" t="n">
        <v>0</v>
      </c>
      <c r="M10850" t="n">
        <v>0</v>
      </c>
      <c r="N10850" t="n">
        <v>0</v>
      </c>
      <c r="O10850" t="n">
        <v>0</v>
      </c>
      <c r="P10850" t="n">
        <v>0</v>
      </c>
      <c r="Q10850" t="n">
        <v>0</v>
      </c>
      <c r="R10850" s="2" t="inlineStr"/>
    </row>
    <row r="10851" ht="15" customHeight="1">
      <c r="A10851" t="inlineStr">
        <is>
          <t>A 47026-2024</t>
        </is>
      </c>
      <c r="B10851" s="1" t="n">
        <v>45586.41668981482</v>
      </c>
      <c r="C10851" s="1" t="n">
        <v>45952</v>
      </c>
      <c r="D10851" t="inlineStr">
        <is>
          <t>VÄSTRA GÖTALANDS LÄN</t>
        </is>
      </c>
      <c r="E10851" t="inlineStr">
        <is>
          <t>ÅMÅL</t>
        </is>
      </c>
      <c r="G10851" t="n">
        <v>4.4</v>
      </c>
      <c r="H10851" t="n">
        <v>0</v>
      </c>
      <c r="I10851" t="n">
        <v>0</v>
      </c>
      <c r="J10851" t="n">
        <v>0</v>
      </c>
      <c r="K10851" t="n">
        <v>0</v>
      </c>
      <c r="L10851" t="n">
        <v>0</v>
      </c>
      <c r="M10851" t="n">
        <v>0</v>
      </c>
      <c r="N10851" t="n">
        <v>0</v>
      </c>
      <c r="O10851" t="n">
        <v>0</v>
      </c>
      <c r="P10851" t="n">
        <v>0</v>
      </c>
      <c r="Q10851" t="n">
        <v>0</v>
      </c>
      <c r="R10851" s="2" t="inlineStr"/>
    </row>
    <row r="10852" ht="15" customHeight="1">
      <c r="A10852" t="inlineStr">
        <is>
          <t>A 56867-2024</t>
        </is>
      </c>
      <c r="B10852" s="1" t="n">
        <v>45625</v>
      </c>
      <c r="C10852" s="1" t="n">
        <v>45952</v>
      </c>
      <c r="D10852" t="inlineStr">
        <is>
          <t>VÄSTRA GÖTALANDS LÄN</t>
        </is>
      </c>
      <c r="E10852" t="inlineStr">
        <is>
          <t>MUNKEDAL</t>
        </is>
      </c>
      <c r="F10852" t="inlineStr">
        <is>
          <t>Kyrkan</t>
        </is>
      </c>
      <c r="G10852" t="n">
        <v>1.5</v>
      </c>
      <c r="H10852" t="n">
        <v>0</v>
      </c>
      <c r="I10852" t="n">
        <v>0</v>
      </c>
      <c r="J10852" t="n">
        <v>0</v>
      </c>
      <c r="K10852" t="n">
        <v>0</v>
      </c>
      <c r="L10852" t="n">
        <v>0</v>
      </c>
      <c r="M10852" t="n">
        <v>0</v>
      </c>
      <c r="N10852" t="n">
        <v>0</v>
      </c>
      <c r="O10852" t="n">
        <v>0</v>
      </c>
      <c r="P10852" t="n">
        <v>0</v>
      </c>
      <c r="Q10852" t="n">
        <v>0</v>
      </c>
      <c r="R10852" s="2" t="inlineStr"/>
    </row>
    <row r="10853" ht="15" customHeight="1">
      <c r="A10853" t="inlineStr">
        <is>
          <t>A 51398-2024</t>
        </is>
      </c>
      <c r="B10853" s="1" t="n">
        <v>45604.4233912037</v>
      </c>
      <c r="C10853" s="1" t="n">
        <v>45952</v>
      </c>
      <c r="D10853" t="inlineStr">
        <is>
          <t>VÄSTRA GÖTALANDS LÄN</t>
        </is>
      </c>
      <c r="E10853" t="inlineStr">
        <is>
          <t>VARA</t>
        </is>
      </c>
      <c r="G10853" t="n">
        <v>4</v>
      </c>
      <c r="H10853" t="n">
        <v>0</v>
      </c>
      <c r="I10853" t="n">
        <v>0</v>
      </c>
      <c r="J10853" t="n">
        <v>0</v>
      </c>
      <c r="K10853" t="n">
        <v>0</v>
      </c>
      <c r="L10853" t="n">
        <v>0</v>
      </c>
      <c r="M10853" t="n">
        <v>0</v>
      </c>
      <c r="N10853" t="n">
        <v>0</v>
      </c>
      <c r="O10853" t="n">
        <v>0</v>
      </c>
      <c r="P10853" t="n">
        <v>0</v>
      </c>
      <c r="Q10853" t="n">
        <v>0</v>
      </c>
      <c r="R10853" s="2" t="inlineStr"/>
    </row>
    <row r="10854" ht="15" customHeight="1">
      <c r="A10854" t="inlineStr">
        <is>
          <t>A 131-2024</t>
        </is>
      </c>
      <c r="B10854" s="1" t="n">
        <v>45294.42097222222</v>
      </c>
      <c r="C10854" s="1" t="n">
        <v>45952</v>
      </c>
      <c r="D10854" t="inlineStr">
        <is>
          <t>VÄSTRA GÖTALANDS LÄN</t>
        </is>
      </c>
      <c r="E10854" t="inlineStr">
        <is>
          <t>TROLLHÄTTAN</t>
        </is>
      </c>
      <c r="G10854" t="n">
        <v>7.5</v>
      </c>
      <c r="H10854" t="n">
        <v>0</v>
      </c>
      <c r="I10854" t="n">
        <v>0</v>
      </c>
      <c r="J10854" t="n">
        <v>0</v>
      </c>
      <c r="K10854" t="n">
        <v>0</v>
      </c>
      <c r="L10854" t="n">
        <v>0</v>
      </c>
      <c r="M10854" t="n">
        <v>0</v>
      </c>
      <c r="N10854" t="n">
        <v>0</v>
      </c>
      <c r="O10854" t="n">
        <v>0</v>
      </c>
      <c r="P10854" t="n">
        <v>0</v>
      </c>
      <c r="Q10854" t="n">
        <v>0</v>
      </c>
      <c r="R10854" s="2" t="inlineStr"/>
    </row>
    <row r="10855" ht="15" customHeight="1">
      <c r="A10855" t="inlineStr">
        <is>
          <t>A 3440-2024</t>
        </is>
      </c>
      <c r="B10855" s="1" t="n">
        <v>45320</v>
      </c>
      <c r="C10855" s="1" t="n">
        <v>45952</v>
      </c>
      <c r="D10855" t="inlineStr">
        <is>
          <t>VÄSTRA GÖTALANDS LÄN</t>
        </is>
      </c>
      <c r="E10855" t="inlineStr">
        <is>
          <t>ULRICEHAMN</t>
        </is>
      </c>
      <c r="G10855" t="n">
        <v>0.6</v>
      </c>
      <c r="H10855" t="n">
        <v>0</v>
      </c>
      <c r="I10855" t="n">
        <v>0</v>
      </c>
      <c r="J10855" t="n">
        <v>0</v>
      </c>
      <c r="K10855" t="n">
        <v>0</v>
      </c>
      <c r="L10855" t="n">
        <v>0</v>
      </c>
      <c r="M10855" t="n">
        <v>0</v>
      </c>
      <c r="N10855" t="n">
        <v>0</v>
      </c>
      <c r="O10855" t="n">
        <v>0</v>
      </c>
      <c r="P10855" t="n">
        <v>0</v>
      </c>
      <c r="Q10855" t="n">
        <v>0</v>
      </c>
      <c r="R10855" s="2" t="inlineStr"/>
    </row>
    <row r="10856" ht="15" customHeight="1">
      <c r="A10856" t="inlineStr">
        <is>
          <t>A 151-2024</t>
        </is>
      </c>
      <c r="B10856" s="1" t="n">
        <v>45293</v>
      </c>
      <c r="C10856" s="1" t="n">
        <v>45952</v>
      </c>
      <c r="D10856" t="inlineStr">
        <is>
          <t>VÄSTRA GÖTALANDS LÄN</t>
        </is>
      </c>
      <c r="E10856" t="inlineStr">
        <is>
          <t>TANUM</t>
        </is>
      </c>
      <c r="G10856" t="n">
        <v>1.5</v>
      </c>
      <c r="H10856" t="n">
        <v>0</v>
      </c>
      <c r="I10856" t="n">
        <v>0</v>
      </c>
      <c r="J10856" t="n">
        <v>0</v>
      </c>
      <c r="K10856" t="n">
        <v>0</v>
      </c>
      <c r="L10856" t="n">
        <v>0</v>
      </c>
      <c r="M10856" t="n">
        <v>0</v>
      </c>
      <c r="N10856" t="n">
        <v>0</v>
      </c>
      <c r="O10856" t="n">
        <v>0</v>
      </c>
      <c r="P10856" t="n">
        <v>0</v>
      </c>
      <c r="Q10856" t="n">
        <v>0</v>
      </c>
      <c r="R10856" s="2" t="inlineStr"/>
    </row>
    <row r="10857" ht="15" customHeight="1">
      <c r="A10857" t="inlineStr">
        <is>
          <t>A 216-2024</t>
        </is>
      </c>
      <c r="B10857" s="1" t="n">
        <v>45293</v>
      </c>
      <c r="C10857" s="1" t="n">
        <v>45952</v>
      </c>
      <c r="D10857" t="inlineStr">
        <is>
          <t>VÄSTRA GÖTALANDS LÄN</t>
        </is>
      </c>
      <c r="E10857" t="inlineStr">
        <is>
          <t>MUNKEDAL</t>
        </is>
      </c>
      <c r="F10857" t="inlineStr">
        <is>
          <t>Övriga Aktiebolag</t>
        </is>
      </c>
      <c r="G10857" t="n">
        <v>1.6</v>
      </c>
      <c r="H10857" t="n">
        <v>0</v>
      </c>
      <c r="I10857" t="n">
        <v>0</v>
      </c>
      <c r="J10857" t="n">
        <v>0</v>
      </c>
      <c r="K10857" t="n">
        <v>0</v>
      </c>
      <c r="L10857" t="n">
        <v>0</v>
      </c>
      <c r="M10857" t="n">
        <v>0</v>
      </c>
      <c r="N10857" t="n">
        <v>0</v>
      </c>
      <c r="O10857" t="n">
        <v>0</v>
      </c>
      <c r="P10857" t="n">
        <v>0</v>
      </c>
      <c r="Q10857" t="n">
        <v>0</v>
      </c>
      <c r="R10857" s="2" t="inlineStr"/>
    </row>
    <row r="10858" ht="15" customHeight="1">
      <c r="A10858" t="inlineStr">
        <is>
          <t>A 20430-2025</t>
        </is>
      </c>
      <c r="B10858" s="1" t="n">
        <v>45775.47766203704</v>
      </c>
      <c r="C10858" s="1" t="n">
        <v>45952</v>
      </c>
      <c r="D10858" t="inlineStr">
        <is>
          <t>VÄSTRA GÖTALANDS LÄN</t>
        </is>
      </c>
      <c r="E10858" t="inlineStr">
        <is>
          <t>TIBRO</t>
        </is>
      </c>
      <c r="G10858" t="n">
        <v>4.5</v>
      </c>
      <c r="H10858" t="n">
        <v>0</v>
      </c>
      <c r="I10858" t="n">
        <v>0</v>
      </c>
      <c r="J10858" t="n">
        <v>0</v>
      </c>
      <c r="K10858" t="n">
        <v>0</v>
      </c>
      <c r="L10858" t="n">
        <v>0</v>
      </c>
      <c r="M10858" t="n">
        <v>0</v>
      </c>
      <c r="N10858" t="n">
        <v>0</v>
      </c>
      <c r="O10858" t="n">
        <v>0</v>
      </c>
      <c r="P10858" t="n">
        <v>0</v>
      </c>
      <c r="Q10858" t="n">
        <v>0</v>
      </c>
      <c r="R10858" s="2" t="inlineStr"/>
    </row>
    <row r="10859" ht="15" customHeight="1">
      <c r="A10859" t="inlineStr">
        <is>
          <t>A 9131-2023</t>
        </is>
      </c>
      <c r="B10859" s="1" t="n">
        <v>44980.34190972222</v>
      </c>
      <c r="C10859" s="1" t="n">
        <v>45952</v>
      </c>
      <c r="D10859" t="inlineStr">
        <is>
          <t>VÄSTRA GÖTALANDS LÄN</t>
        </is>
      </c>
      <c r="E10859" t="inlineStr">
        <is>
          <t>HERRLJUNGA</t>
        </is>
      </c>
      <c r="G10859" t="n">
        <v>1.4</v>
      </c>
      <c r="H10859" t="n">
        <v>0</v>
      </c>
      <c r="I10859" t="n">
        <v>0</v>
      </c>
      <c r="J10859" t="n">
        <v>0</v>
      </c>
      <c r="K10859" t="n">
        <v>0</v>
      </c>
      <c r="L10859" t="n">
        <v>0</v>
      </c>
      <c r="M10859" t="n">
        <v>0</v>
      </c>
      <c r="N10859" t="n">
        <v>0</v>
      </c>
      <c r="O10859" t="n">
        <v>0</v>
      </c>
      <c r="P10859" t="n">
        <v>0</v>
      </c>
      <c r="Q10859" t="n">
        <v>0</v>
      </c>
      <c r="R10859" s="2" t="inlineStr"/>
    </row>
    <row r="10860" ht="15" customHeight="1">
      <c r="A10860" t="inlineStr">
        <is>
          <t>A 9145-2023</t>
        </is>
      </c>
      <c r="B10860" s="1" t="n">
        <v>44974</v>
      </c>
      <c r="C10860" s="1" t="n">
        <v>45952</v>
      </c>
      <c r="D10860" t="inlineStr">
        <is>
          <t>VÄSTRA GÖTALANDS LÄN</t>
        </is>
      </c>
      <c r="E10860" t="inlineStr">
        <is>
          <t>GÖTENE</t>
        </is>
      </c>
      <c r="G10860" t="n">
        <v>1.7</v>
      </c>
      <c r="H10860" t="n">
        <v>0</v>
      </c>
      <c r="I10860" t="n">
        <v>0</v>
      </c>
      <c r="J10860" t="n">
        <v>0</v>
      </c>
      <c r="K10860" t="n">
        <v>0</v>
      </c>
      <c r="L10860" t="n">
        <v>0</v>
      </c>
      <c r="M10860" t="n">
        <v>0</v>
      </c>
      <c r="N10860" t="n">
        <v>0</v>
      </c>
      <c r="O10860" t="n">
        <v>0</v>
      </c>
      <c r="P10860" t="n">
        <v>0</v>
      </c>
      <c r="Q10860" t="n">
        <v>0</v>
      </c>
      <c r="R10860" s="2" t="inlineStr"/>
    </row>
    <row r="10861" ht="15" customHeight="1">
      <c r="A10861" t="inlineStr">
        <is>
          <t>A 8546-2025</t>
        </is>
      </c>
      <c r="B10861" s="1" t="n">
        <v>45709.60895833333</v>
      </c>
      <c r="C10861" s="1" t="n">
        <v>45952</v>
      </c>
      <c r="D10861" t="inlineStr">
        <is>
          <t>VÄSTRA GÖTALANDS LÄN</t>
        </is>
      </c>
      <c r="E10861" t="inlineStr">
        <is>
          <t>MARK</t>
        </is>
      </c>
      <c r="G10861" t="n">
        <v>4.6</v>
      </c>
      <c r="H10861" t="n">
        <v>0</v>
      </c>
      <c r="I10861" t="n">
        <v>0</v>
      </c>
      <c r="J10861" t="n">
        <v>0</v>
      </c>
      <c r="K10861" t="n">
        <v>0</v>
      </c>
      <c r="L10861" t="n">
        <v>0</v>
      </c>
      <c r="M10861" t="n">
        <v>0</v>
      </c>
      <c r="N10861" t="n">
        <v>0</v>
      </c>
      <c r="O10861" t="n">
        <v>0</v>
      </c>
      <c r="P10861" t="n">
        <v>0</v>
      </c>
      <c r="Q10861" t="n">
        <v>0</v>
      </c>
      <c r="R10861" s="2" t="inlineStr"/>
    </row>
    <row r="10862" ht="15" customHeight="1">
      <c r="A10862" t="inlineStr">
        <is>
          <t>A 48098-2022</t>
        </is>
      </c>
      <c r="B10862" s="1" t="n">
        <v>44856.37269675926</v>
      </c>
      <c r="C10862" s="1" t="n">
        <v>45952</v>
      </c>
      <c r="D10862" t="inlineStr">
        <is>
          <t>VÄSTRA GÖTALANDS LÄN</t>
        </is>
      </c>
      <c r="E10862" t="inlineStr">
        <is>
          <t>SKARA</t>
        </is>
      </c>
      <c r="G10862" t="n">
        <v>1.2</v>
      </c>
      <c r="H10862" t="n">
        <v>0</v>
      </c>
      <c r="I10862" t="n">
        <v>0</v>
      </c>
      <c r="J10862" t="n">
        <v>0</v>
      </c>
      <c r="K10862" t="n">
        <v>0</v>
      </c>
      <c r="L10862" t="n">
        <v>0</v>
      </c>
      <c r="M10862" t="n">
        <v>0</v>
      </c>
      <c r="N10862" t="n">
        <v>0</v>
      </c>
      <c r="O10862" t="n">
        <v>0</v>
      </c>
      <c r="P10862" t="n">
        <v>0</v>
      </c>
      <c r="Q10862" t="n">
        <v>0</v>
      </c>
      <c r="R10862" s="2" t="inlineStr"/>
    </row>
    <row r="10863" ht="15" customHeight="1">
      <c r="A10863" t="inlineStr">
        <is>
          <t>A 19675-2025</t>
        </is>
      </c>
      <c r="B10863" s="1" t="n">
        <v>45770.73893518518</v>
      </c>
      <c r="C10863" s="1" t="n">
        <v>45952</v>
      </c>
      <c r="D10863" t="inlineStr">
        <is>
          <t>VÄSTRA GÖTALANDS LÄN</t>
        </is>
      </c>
      <c r="E10863" t="inlineStr">
        <is>
          <t>SVENLJUNGA</t>
        </is>
      </c>
      <c r="G10863" t="n">
        <v>2.1</v>
      </c>
      <c r="H10863" t="n">
        <v>0</v>
      </c>
      <c r="I10863" t="n">
        <v>0</v>
      </c>
      <c r="J10863" t="n">
        <v>0</v>
      </c>
      <c r="K10863" t="n">
        <v>0</v>
      </c>
      <c r="L10863" t="n">
        <v>0</v>
      </c>
      <c r="M10863" t="n">
        <v>0</v>
      </c>
      <c r="N10863" t="n">
        <v>0</v>
      </c>
      <c r="O10863" t="n">
        <v>0</v>
      </c>
      <c r="P10863" t="n">
        <v>0</v>
      </c>
      <c r="Q10863" t="n">
        <v>0</v>
      </c>
      <c r="R10863" s="2" t="inlineStr"/>
    </row>
    <row r="10864" ht="15" customHeight="1">
      <c r="A10864" t="inlineStr">
        <is>
          <t>A 19692-2025</t>
        </is>
      </c>
      <c r="B10864" s="1" t="n">
        <v>45770.91193287037</v>
      </c>
      <c r="C10864" s="1" t="n">
        <v>45952</v>
      </c>
      <c r="D10864" t="inlineStr">
        <is>
          <t>VÄSTRA GÖTALANDS LÄN</t>
        </is>
      </c>
      <c r="E10864" t="inlineStr">
        <is>
          <t>TRANEMO</t>
        </is>
      </c>
      <c r="G10864" t="n">
        <v>3.3</v>
      </c>
      <c r="H10864" t="n">
        <v>0</v>
      </c>
      <c r="I10864" t="n">
        <v>0</v>
      </c>
      <c r="J10864" t="n">
        <v>0</v>
      </c>
      <c r="K10864" t="n">
        <v>0</v>
      </c>
      <c r="L10864" t="n">
        <v>0</v>
      </c>
      <c r="M10864" t="n">
        <v>0</v>
      </c>
      <c r="N10864" t="n">
        <v>0</v>
      </c>
      <c r="O10864" t="n">
        <v>0</v>
      </c>
      <c r="P10864" t="n">
        <v>0</v>
      </c>
      <c r="Q10864" t="n">
        <v>0</v>
      </c>
      <c r="R10864" s="2" t="inlineStr"/>
    </row>
    <row r="10865" ht="15" customHeight="1">
      <c r="A10865" t="inlineStr">
        <is>
          <t>A 48957-2022</t>
        </is>
      </c>
      <c r="B10865" s="1" t="n">
        <v>44860.31002314815</v>
      </c>
      <c r="C10865" s="1" t="n">
        <v>45952</v>
      </c>
      <c r="D10865" t="inlineStr">
        <is>
          <t>VÄSTRA GÖTALANDS LÄN</t>
        </is>
      </c>
      <c r="E10865" t="inlineStr">
        <is>
          <t>TÖREBODA</t>
        </is>
      </c>
      <c r="F10865" t="inlineStr">
        <is>
          <t>Sveaskog</t>
        </is>
      </c>
      <c r="G10865" t="n">
        <v>1.4</v>
      </c>
      <c r="H10865" t="n">
        <v>0</v>
      </c>
      <c r="I10865" t="n">
        <v>0</v>
      </c>
      <c r="J10865" t="n">
        <v>0</v>
      </c>
      <c r="K10865" t="n">
        <v>0</v>
      </c>
      <c r="L10865" t="n">
        <v>0</v>
      </c>
      <c r="M10865" t="n">
        <v>0</v>
      </c>
      <c r="N10865" t="n">
        <v>0</v>
      </c>
      <c r="O10865" t="n">
        <v>0</v>
      </c>
      <c r="P10865" t="n">
        <v>0</v>
      </c>
      <c r="Q10865" t="n">
        <v>0</v>
      </c>
      <c r="R10865" s="2" t="inlineStr"/>
    </row>
    <row r="10866" ht="15" customHeight="1">
      <c r="A10866" t="inlineStr">
        <is>
          <t>A 34159-2023</t>
        </is>
      </c>
      <c r="B10866" s="1" t="n">
        <v>45137</v>
      </c>
      <c r="C10866" s="1" t="n">
        <v>45952</v>
      </c>
      <c r="D10866" t="inlineStr">
        <is>
          <t>VÄSTRA GÖTALANDS LÄN</t>
        </is>
      </c>
      <c r="E10866" t="inlineStr">
        <is>
          <t>MARK</t>
        </is>
      </c>
      <c r="G10866" t="n">
        <v>6</v>
      </c>
      <c r="H10866" t="n">
        <v>0</v>
      </c>
      <c r="I10866" t="n">
        <v>0</v>
      </c>
      <c r="J10866" t="n">
        <v>0</v>
      </c>
      <c r="K10866" t="n">
        <v>0</v>
      </c>
      <c r="L10866" t="n">
        <v>0</v>
      </c>
      <c r="M10866" t="n">
        <v>0</v>
      </c>
      <c r="N10866" t="n">
        <v>0</v>
      </c>
      <c r="O10866" t="n">
        <v>0</v>
      </c>
      <c r="P10866" t="n">
        <v>0</v>
      </c>
      <c r="Q10866" t="n">
        <v>0</v>
      </c>
      <c r="R10866" s="2" t="inlineStr"/>
    </row>
    <row r="10867" ht="15" customHeight="1">
      <c r="A10867" t="inlineStr">
        <is>
          <t>A 41777-2025</t>
        </is>
      </c>
      <c r="B10867" s="1" t="n">
        <v>45902.57</v>
      </c>
      <c r="C10867" s="1" t="n">
        <v>45952</v>
      </c>
      <c r="D10867" t="inlineStr">
        <is>
          <t>VÄSTRA GÖTALANDS LÄN</t>
        </is>
      </c>
      <c r="E10867" t="inlineStr">
        <is>
          <t>TANUM</t>
        </is>
      </c>
      <c r="G10867" t="n">
        <v>0.5</v>
      </c>
      <c r="H10867" t="n">
        <v>0</v>
      </c>
      <c r="I10867" t="n">
        <v>0</v>
      </c>
      <c r="J10867" t="n">
        <v>0</v>
      </c>
      <c r="K10867" t="n">
        <v>0</v>
      </c>
      <c r="L10867" t="n">
        <v>0</v>
      </c>
      <c r="M10867" t="n">
        <v>0</v>
      </c>
      <c r="N10867" t="n">
        <v>0</v>
      </c>
      <c r="O10867" t="n">
        <v>0</v>
      </c>
      <c r="P10867" t="n">
        <v>0</v>
      </c>
      <c r="Q10867" t="n">
        <v>0</v>
      </c>
      <c r="R10867" s="2" t="inlineStr"/>
    </row>
    <row r="10868" ht="15" customHeight="1">
      <c r="A10868" t="inlineStr">
        <is>
          <t>A 49002-2022</t>
        </is>
      </c>
      <c r="B10868" s="1" t="n">
        <v>44860.390625</v>
      </c>
      <c r="C10868" s="1" t="n">
        <v>45952</v>
      </c>
      <c r="D10868" t="inlineStr">
        <is>
          <t>VÄSTRA GÖTALANDS LÄN</t>
        </is>
      </c>
      <c r="E10868" t="inlineStr">
        <is>
          <t>SKARA</t>
        </is>
      </c>
      <c r="G10868" t="n">
        <v>1.1</v>
      </c>
      <c r="H10868" t="n">
        <v>0</v>
      </c>
      <c r="I10868" t="n">
        <v>0</v>
      </c>
      <c r="J10868" t="n">
        <v>0</v>
      </c>
      <c r="K10868" t="n">
        <v>0</v>
      </c>
      <c r="L10868" t="n">
        <v>0</v>
      </c>
      <c r="M10868" t="n">
        <v>0</v>
      </c>
      <c r="N10868" t="n">
        <v>0</v>
      </c>
      <c r="O10868" t="n">
        <v>0</v>
      </c>
      <c r="P10868" t="n">
        <v>0</v>
      </c>
      <c r="Q10868" t="n">
        <v>0</v>
      </c>
      <c r="R10868" s="2" t="inlineStr"/>
    </row>
    <row r="10869" ht="15" customHeight="1">
      <c r="A10869" t="inlineStr">
        <is>
          <t>A 15788-2023</t>
        </is>
      </c>
      <c r="B10869" s="1" t="n">
        <v>45021.6837037037</v>
      </c>
      <c r="C10869" s="1" t="n">
        <v>45952</v>
      </c>
      <c r="D10869" t="inlineStr">
        <is>
          <t>VÄSTRA GÖTALANDS LÄN</t>
        </is>
      </c>
      <c r="E10869" t="inlineStr">
        <is>
          <t>MARK</t>
        </is>
      </c>
      <c r="G10869" t="n">
        <v>1.1</v>
      </c>
      <c r="H10869" t="n">
        <v>0</v>
      </c>
      <c r="I10869" t="n">
        <v>0</v>
      </c>
      <c r="J10869" t="n">
        <v>0</v>
      </c>
      <c r="K10869" t="n">
        <v>0</v>
      </c>
      <c r="L10869" t="n">
        <v>0</v>
      </c>
      <c r="M10869" t="n">
        <v>0</v>
      </c>
      <c r="N10869" t="n">
        <v>0</v>
      </c>
      <c r="O10869" t="n">
        <v>0</v>
      </c>
      <c r="P10869" t="n">
        <v>0</v>
      </c>
      <c r="Q10869" t="n">
        <v>0</v>
      </c>
      <c r="R10869" s="2" t="inlineStr"/>
    </row>
    <row r="10870" ht="15" customHeight="1">
      <c r="A10870" t="inlineStr">
        <is>
          <t>A 15801-2023</t>
        </is>
      </c>
      <c r="B10870" s="1" t="n">
        <v>45021</v>
      </c>
      <c r="C10870" s="1" t="n">
        <v>45952</v>
      </c>
      <c r="D10870" t="inlineStr">
        <is>
          <t>VÄSTRA GÖTALANDS LÄN</t>
        </is>
      </c>
      <c r="E10870" t="inlineStr">
        <is>
          <t>HERRLJUNGA</t>
        </is>
      </c>
      <c r="G10870" t="n">
        <v>0.6</v>
      </c>
      <c r="H10870" t="n">
        <v>0</v>
      </c>
      <c r="I10870" t="n">
        <v>0</v>
      </c>
      <c r="J10870" t="n">
        <v>0</v>
      </c>
      <c r="K10870" t="n">
        <v>0</v>
      </c>
      <c r="L10870" t="n">
        <v>0</v>
      </c>
      <c r="M10870" t="n">
        <v>0</v>
      </c>
      <c r="N10870" t="n">
        <v>0</v>
      </c>
      <c r="O10870" t="n">
        <v>0</v>
      </c>
      <c r="P10870" t="n">
        <v>0</v>
      </c>
      <c r="Q10870" t="n">
        <v>0</v>
      </c>
      <c r="R10870" s="2" t="inlineStr"/>
    </row>
    <row r="10871" ht="15" customHeight="1">
      <c r="A10871" t="inlineStr">
        <is>
          <t>A 41814-2025</t>
        </is>
      </c>
      <c r="B10871" s="1" t="n">
        <v>45902</v>
      </c>
      <c r="C10871" s="1" t="n">
        <v>45952</v>
      </c>
      <c r="D10871" t="inlineStr">
        <is>
          <t>VÄSTRA GÖTALANDS LÄN</t>
        </is>
      </c>
      <c r="E10871" t="inlineStr">
        <is>
          <t>ÅMÅL</t>
        </is>
      </c>
      <c r="F10871" t="inlineStr">
        <is>
          <t>Kyrkan</t>
        </is>
      </c>
      <c r="G10871" t="n">
        <v>1.2</v>
      </c>
      <c r="H10871" t="n">
        <v>0</v>
      </c>
      <c r="I10871" t="n">
        <v>0</v>
      </c>
      <c r="J10871" t="n">
        <v>0</v>
      </c>
      <c r="K10871" t="n">
        <v>0</v>
      </c>
      <c r="L10871" t="n">
        <v>0</v>
      </c>
      <c r="M10871" t="n">
        <v>0</v>
      </c>
      <c r="N10871" t="n">
        <v>0</v>
      </c>
      <c r="O10871" t="n">
        <v>0</v>
      </c>
      <c r="P10871" t="n">
        <v>0</v>
      </c>
      <c r="Q10871" t="n">
        <v>0</v>
      </c>
      <c r="R10871" s="2" t="inlineStr"/>
    </row>
    <row r="10872" ht="15" customHeight="1">
      <c r="A10872" t="inlineStr">
        <is>
          <t>A 41830-2025</t>
        </is>
      </c>
      <c r="B10872" s="1" t="n">
        <v>45902.67804398148</v>
      </c>
      <c r="C10872" s="1" t="n">
        <v>45952</v>
      </c>
      <c r="D10872" t="inlineStr">
        <is>
          <t>VÄSTRA GÖTALANDS LÄN</t>
        </is>
      </c>
      <c r="E10872" t="inlineStr">
        <is>
          <t>ALINGSÅS</t>
        </is>
      </c>
      <c r="G10872" t="n">
        <v>1.3</v>
      </c>
      <c r="H10872" t="n">
        <v>0</v>
      </c>
      <c r="I10872" t="n">
        <v>0</v>
      </c>
      <c r="J10872" t="n">
        <v>0</v>
      </c>
      <c r="K10872" t="n">
        <v>0</v>
      </c>
      <c r="L10872" t="n">
        <v>0</v>
      </c>
      <c r="M10872" t="n">
        <v>0</v>
      </c>
      <c r="N10872" t="n">
        <v>0</v>
      </c>
      <c r="O10872" t="n">
        <v>0</v>
      </c>
      <c r="P10872" t="n">
        <v>0</v>
      </c>
      <c r="Q10872" t="n">
        <v>0</v>
      </c>
      <c r="R10872" s="2" t="inlineStr"/>
    </row>
    <row r="10873" ht="15" customHeight="1">
      <c r="A10873" t="inlineStr">
        <is>
          <t>A 60589-2023</t>
        </is>
      </c>
      <c r="B10873" s="1" t="n">
        <v>45260.28659722222</v>
      </c>
      <c r="C10873" s="1" t="n">
        <v>45952</v>
      </c>
      <c r="D10873" t="inlineStr">
        <is>
          <t>VÄSTRA GÖTALANDS LÄN</t>
        </is>
      </c>
      <c r="E10873" t="inlineStr">
        <is>
          <t>VÅRGÅRDA</t>
        </is>
      </c>
      <c r="G10873" t="n">
        <v>3.8</v>
      </c>
      <c r="H10873" t="n">
        <v>0</v>
      </c>
      <c r="I10873" t="n">
        <v>0</v>
      </c>
      <c r="J10873" t="n">
        <v>0</v>
      </c>
      <c r="K10873" t="n">
        <v>0</v>
      </c>
      <c r="L10873" t="n">
        <v>0</v>
      </c>
      <c r="M10873" t="n">
        <v>0</v>
      </c>
      <c r="N10873" t="n">
        <v>0</v>
      </c>
      <c r="O10873" t="n">
        <v>0</v>
      </c>
      <c r="P10873" t="n">
        <v>0</v>
      </c>
      <c r="Q10873" t="n">
        <v>0</v>
      </c>
      <c r="R10873" s="2" t="inlineStr"/>
    </row>
    <row r="10874" ht="15" customHeight="1">
      <c r="A10874" t="inlineStr">
        <is>
          <t>A 24785-2023</t>
        </is>
      </c>
      <c r="B10874" s="1" t="n">
        <v>45084.67194444445</v>
      </c>
      <c r="C10874" s="1" t="n">
        <v>45952</v>
      </c>
      <c r="D10874" t="inlineStr">
        <is>
          <t>VÄSTRA GÖTALANDS LÄN</t>
        </is>
      </c>
      <c r="E10874" t="inlineStr">
        <is>
          <t>VÅRGÅRDA</t>
        </is>
      </c>
      <c r="G10874" t="n">
        <v>2.6</v>
      </c>
      <c r="H10874" t="n">
        <v>0</v>
      </c>
      <c r="I10874" t="n">
        <v>0</v>
      </c>
      <c r="J10874" t="n">
        <v>0</v>
      </c>
      <c r="K10874" t="n">
        <v>0</v>
      </c>
      <c r="L10874" t="n">
        <v>0</v>
      </c>
      <c r="M10874" t="n">
        <v>0</v>
      </c>
      <c r="N10874" t="n">
        <v>0</v>
      </c>
      <c r="O10874" t="n">
        <v>0</v>
      </c>
      <c r="P10874" t="n">
        <v>0</v>
      </c>
      <c r="Q10874" t="n">
        <v>0</v>
      </c>
      <c r="R10874" s="2" t="inlineStr"/>
    </row>
    <row r="10875" ht="15" customHeight="1">
      <c r="A10875" t="inlineStr">
        <is>
          <t>A 24791-2023</t>
        </is>
      </c>
      <c r="B10875" s="1" t="n">
        <v>45084</v>
      </c>
      <c r="C10875" s="1" t="n">
        <v>45952</v>
      </c>
      <c r="D10875" t="inlineStr">
        <is>
          <t>VÄSTRA GÖTALANDS LÄN</t>
        </is>
      </c>
      <c r="E10875" t="inlineStr">
        <is>
          <t>FÄRGELANDA</t>
        </is>
      </c>
      <c r="G10875" t="n">
        <v>4.3</v>
      </c>
      <c r="H10875" t="n">
        <v>0</v>
      </c>
      <c r="I10875" t="n">
        <v>0</v>
      </c>
      <c r="J10875" t="n">
        <v>0</v>
      </c>
      <c r="K10875" t="n">
        <v>0</v>
      </c>
      <c r="L10875" t="n">
        <v>0</v>
      </c>
      <c r="M10875" t="n">
        <v>0</v>
      </c>
      <c r="N10875" t="n">
        <v>0</v>
      </c>
      <c r="O10875" t="n">
        <v>0</v>
      </c>
      <c r="P10875" t="n">
        <v>0</v>
      </c>
      <c r="Q10875" t="n">
        <v>0</v>
      </c>
      <c r="R10875" s="2" t="inlineStr"/>
    </row>
    <row r="10876" ht="15" customHeight="1">
      <c r="A10876" t="inlineStr">
        <is>
          <t>A 30380-2021</t>
        </is>
      </c>
      <c r="B10876" s="1" t="n">
        <v>44364.47981481482</v>
      </c>
      <c r="C10876" s="1" t="n">
        <v>45952</v>
      </c>
      <c r="D10876" t="inlineStr">
        <is>
          <t>VÄSTRA GÖTALANDS LÄN</t>
        </is>
      </c>
      <c r="E10876" t="inlineStr">
        <is>
          <t>DALS-ED</t>
        </is>
      </c>
      <c r="G10876" t="n">
        <v>4.5</v>
      </c>
      <c r="H10876" t="n">
        <v>0</v>
      </c>
      <c r="I10876" t="n">
        <v>0</v>
      </c>
      <c r="J10876" t="n">
        <v>0</v>
      </c>
      <c r="K10876" t="n">
        <v>0</v>
      </c>
      <c r="L10876" t="n">
        <v>0</v>
      </c>
      <c r="M10876" t="n">
        <v>0</v>
      </c>
      <c r="N10876" t="n">
        <v>0</v>
      </c>
      <c r="O10876" t="n">
        <v>0</v>
      </c>
      <c r="P10876" t="n">
        <v>0</v>
      </c>
      <c r="Q10876" t="n">
        <v>0</v>
      </c>
      <c r="R10876" s="2" t="inlineStr"/>
    </row>
    <row r="10877" ht="15" customHeight="1">
      <c r="A10877" t="inlineStr">
        <is>
          <t>A 72806-2021</t>
        </is>
      </c>
      <c r="B10877" s="1" t="n">
        <v>44547.38486111111</v>
      </c>
      <c r="C10877" s="1" t="n">
        <v>45952</v>
      </c>
      <c r="D10877" t="inlineStr">
        <is>
          <t>VÄSTRA GÖTALANDS LÄN</t>
        </is>
      </c>
      <c r="E10877" t="inlineStr">
        <is>
          <t>BORÅS</t>
        </is>
      </c>
      <c r="G10877" t="n">
        <v>2</v>
      </c>
      <c r="H10877" t="n">
        <v>0</v>
      </c>
      <c r="I10877" t="n">
        <v>0</v>
      </c>
      <c r="J10877" t="n">
        <v>0</v>
      </c>
      <c r="K10877" t="n">
        <v>0</v>
      </c>
      <c r="L10877" t="n">
        <v>0</v>
      </c>
      <c r="M10877" t="n">
        <v>0</v>
      </c>
      <c r="N10877" t="n">
        <v>0</v>
      </c>
      <c r="O10877" t="n">
        <v>0</v>
      </c>
      <c r="P10877" t="n">
        <v>0</v>
      </c>
      <c r="Q10877" t="n">
        <v>0</v>
      </c>
      <c r="R10877" s="2" t="inlineStr"/>
    </row>
    <row r="10878" ht="15" customHeight="1">
      <c r="A10878" t="inlineStr">
        <is>
          <t>A 6999-2025</t>
        </is>
      </c>
      <c r="B10878" s="1" t="n">
        <v>45701.59465277778</v>
      </c>
      <c r="C10878" s="1" t="n">
        <v>45952</v>
      </c>
      <c r="D10878" t="inlineStr">
        <is>
          <t>VÄSTRA GÖTALANDS LÄN</t>
        </is>
      </c>
      <c r="E10878" t="inlineStr">
        <is>
          <t>TRANEMO</t>
        </is>
      </c>
      <c r="G10878" t="n">
        <v>1.1</v>
      </c>
      <c r="H10878" t="n">
        <v>0</v>
      </c>
      <c r="I10878" t="n">
        <v>0</v>
      </c>
      <c r="J10878" t="n">
        <v>0</v>
      </c>
      <c r="K10878" t="n">
        <v>0</v>
      </c>
      <c r="L10878" t="n">
        <v>0</v>
      </c>
      <c r="M10878" t="n">
        <v>0</v>
      </c>
      <c r="N10878" t="n">
        <v>0</v>
      </c>
      <c r="O10878" t="n">
        <v>0</v>
      </c>
      <c r="P10878" t="n">
        <v>0</v>
      </c>
      <c r="Q10878" t="n">
        <v>0</v>
      </c>
      <c r="R10878" s="2" t="inlineStr"/>
    </row>
    <row r="10879" ht="15" customHeight="1">
      <c r="A10879" t="inlineStr">
        <is>
          <t>A 41806-2025</t>
        </is>
      </c>
      <c r="B10879" s="1" t="n">
        <v>45902.63655092593</v>
      </c>
      <c r="C10879" s="1" t="n">
        <v>45952</v>
      </c>
      <c r="D10879" t="inlineStr">
        <is>
          <t>VÄSTRA GÖTALANDS LÄN</t>
        </is>
      </c>
      <c r="E10879" t="inlineStr">
        <is>
          <t>BENGTSFORS</t>
        </is>
      </c>
      <c r="G10879" t="n">
        <v>3.4</v>
      </c>
      <c r="H10879" t="n">
        <v>0</v>
      </c>
      <c r="I10879" t="n">
        <v>0</v>
      </c>
      <c r="J10879" t="n">
        <v>0</v>
      </c>
      <c r="K10879" t="n">
        <v>0</v>
      </c>
      <c r="L10879" t="n">
        <v>0</v>
      </c>
      <c r="M10879" t="n">
        <v>0</v>
      </c>
      <c r="N10879" t="n">
        <v>0</v>
      </c>
      <c r="O10879" t="n">
        <v>0</v>
      </c>
      <c r="P10879" t="n">
        <v>0</v>
      </c>
      <c r="Q10879" t="n">
        <v>0</v>
      </c>
      <c r="R10879" s="2" t="inlineStr"/>
    </row>
    <row r="10880" ht="15" customHeight="1">
      <c r="A10880" t="inlineStr">
        <is>
          <t>A 7578-2025</t>
        </is>
      </c>
      <c r="B10880" s="1" t="n">
        <v>45705</v>
      </c>
      <c r="C10880" s="1" t="n">
        <v>45952</v>
      </c>
      <c r="D10880" t="inlineStr">
        <is>
          <t>VÄSTRA GÖTALANDS LÄN</t>
        </is>
      </c>
      <c r="E10880" t="inlineStr">
        <is>
          <t>MARIESTAD</t>
        </is>
      </c>
      <c r="G10880" t="n">
        <v>1.1</v>
      </c>
      <c r="H10880" t="n">
        <v>0</v>
      </c>
      <c r="I10880" t="n">
        <v>0</v>
      </c>
      <c r="J10880" t="n">
        <v>0</v>
      </c>
      <c r="K10880" t="n">
        <v>0</v>
      </c>
      <c r="L10880" t="n">
        <v>0</v>
      </c>
      <c r="M10880" t="n">
        <v>0</v>
      </c>
      <c r="N10880" t="n">
        <v>0</v>
      </c>
      <c r="O10880" t="n">
        <v>0</v>
      </c>
      <c r="P10880" t="n">
        <v>0</v>
      </c>
      <c r="Q10880" t="n">
        <v>0</v>
      </c>
      <c r="R10880" s="2" t="inlineStr"/>
    </row>
    <row r="10881" ht="15" customHeight="1">
      <c r="A10881" t="inlineStr">
        <is>
          <t>A 12162-2022</t>
        </is>
      </c>
      <c r="B10881" s="1" t="n">
        <v>44636</v>
      </c>
      <c r="C10881" s="1" t="n">
        <v>45952</v>
      </c>
      <c r="D10881" t="inlineStr">
        <is>
          <t>VÄSTRA GÖTALANDS LÄN</t>
        </is>
      </c>
      <c r="E10881" t="inlineStr">
        <is>
          <t>SKÖVDE</t>
        </is>
      </c>
      <c r="G10881" t="n">
        <v>1</v>
      </c>
      <c r="H10881" t="n">
        <v>0</v>
      </c>
      <c r="I10881" t="n">
        <v>0</v>
      </c>
      <c r="J10881" t="n">
        <v>0</v>
      </c>
      <c r="K10881" t="n">
        <v>0</v>
      </c>
      <c r="L10881" t="n">
        <v>0</v>
      </c>
      <c r="M10881" t="n">
        <v>0</v>
      </c>
      <c r="N10881" t="n">
        <v>0</v>
      </c>
      <c r="O10881" t="n">
        <v>0</v>
      </c>
      <c r="P10881" t="n">
        <v>0</v>
      </c>
      <c r="Q10881" t="n">
        <v>0</v>
      </c>
      <c r="R10881" s="2" t="inlineStr"/>
    </row>
    <row r="10882" ht="15" customHeight="1">
      <c r="A10882" t="inlineStr">
        <is>
          <t>A 37110-2022</t>
        </is>
      </c>
      <c r="B10882" s="1" t="n">
        <v>44806.52619212963</v>
      </c>
      <c r="C10882" s="1" t="n">
        <v>45952</v>
      </c>
      <c r="D10882" t="inlineStr">
        <is>
          <t>VÄSTRA GÖTALANDS LÄN</t>
        </is>
      </c>
      <c r="E10882" t="inlineStr">
        <is>
          <t>SVENLJUNGA</t>
        </is>
      </c>
      <c r="G10882" t="n">
        <v>0.9</v>
      </c>
      <c r="H10882" t="n">
        <v>0</v>
      </c>
      <c r="I10882" t="n">
        <v>0</v>
      </c>
      <c r="J10882" t="n">
        <v>0</v>
      </c>
      <c r="K10882" t="n">
        <v>0</v>
      </c>
      <c r="L10882" t="n">
        <v>0</v>
      </c>
      <c r="M10882" t="n">
        <v>0</v>
      </c>
      <c r="N10882" t="n">
        <v>0</v>
      </c>
      <c r="O10882" t="n">
        <v>0</v>
      </c>
      <c r="P10882" t="n">
        <v>0</v>
      </c>
      <c r="Q10882" t="n">
        <v>0</v>
      </c>
      <c r="R10882" s="2" t="inlineStr"/>
    </row>
    <row r="10883" ht="15" customHeight="1">
      <c r="A10883" t="inlineStr">
        <is>
          <t>A 55998-2022</t>
        </is>
      </c>
      <c r="B10883" s="1" t="n">
        <v>44889.47790509259</v>
      </c>
      <c r="C10883" s="1" t="n">
        <v>45952</v>
      </c>
      <c r="D10883" t="inlineStr">
        <is>
          <t>VÄSTRA GÖTALANDS LÄN</t>
        </is>
      </c>
      <c r="E10883" t="inlineStr">
        <is>
          <t>BENGTSFORS</t>
        </is>
      </c>
      <c r="G10883" t="n">
        <v>1.6</v>
      </c>
      <c r="H10883" t="n">
        <v>0</v>
      </c>
      <c r="I10883" t="n">
        <v>0</v>
      </c>
      <c r="J10883" t="n">
        <v>0</v>
      </c>
      <c r="K10883" t="n">
        <v>0</v>
      </c>
      <c r="L10883" t="n">
        <v>0</v>
      </c>
      <c r="M10883" t="n">
        <v>0</v>
      </c>
      <c r="N10883" t="n">
        <v>0</v>
      </c>
      <c r="O10883" t="n">
        <v>0</v>
      </c>
      <c r="P10883" t="n">
        <v>0</v>
      </c>
      <c r="Q10883" t="n">
        <v>0</v>
      </c>
      <c r="R10883" s="2" t="inlineStr"/>
    </row>
    <row r="10884" ht="15" customHeight="1">
      <c r="A10884" t="inlineStr">
        <is>
          <t>A 27819-2024</t>
        </is>
      </c>
      <c r="B10884" s="1" t="n">
        <v>45475</v>
      </c>
      <c r="C10884" s="1" t="n">
        <v>45952</v>
      </c>
      <c r="D10884" t="inlineStr">
        <is>
          <t>VÄSTRA GÖTALANDS LÄN</t>
        </is>
      </c>
      <c r="E10884" t="inlineStr">
        <is>
          <t>VARA</t>
        </is>
      </c>
      <c r="G10884" t="n">
        <v>4.6</v>
      </c>
      <c r="H10884" t="n">
        <v>0</v>
      </c>
      <c r="I10884" t="n">
        <v>0</v>
      </c>
      <c r="J10884" t="n">
        <v>0</v>
      </c>
      <c r="K10884" t="n">
        <v>0</v>
      </c>
      <c r="L10884" t="n">
        <v>0</v>
      </c>
      <c r="M10884" t="n">
        <v>0</v>
      </c>
      <c r="N10884" t="n">
        <v>0</v>
      </c>
      <c r="O10884" t="n">
        <v>0</v>
      </c>
      <c r="P10884" t="n">
        <v>0</v>
      </c>
      <c r="Q10884" t="n">
        <v>0</v>
      </c>
      <c r="R10884" s="2" t="inlineStr"/>
    </row>
    <row r="10885" ht="15" customHeight="1">
      <c r="A10885" t="inlineStr">
        <is>
          <t>A 75-2025</t>
        </is>
      </c>
      <c r="B10885" s="1" t="n">
        <v>45659</v>
      </c>
      <c r="C10885" s="1" t="n">
        <v>45952</v>
      </c>
      <c r="D10885" t="inlineStr">
        <is>
          <t>VÄSTRA GÖTALANDS LÄN</t>
        </is>
      </c>
      <c r="E10885" t="inlineStr">
        <is>
          <t>TROLLHÄTTAN</t>
        </is>
      </c>
      <c r="G10885" t="n">
        <v>5.4</v>
      </c>
      <c r="H10885" t="n">
        <v>0</v>
      </c>
      <c r="I10885" t="n">
        <v>0</v>
      </c>
      <c r="J10885" t="n">
        <v>0</v>
      </c>
      <c r="K10885" t="n">
        <v>0</v>
      </c>
      <c r="L10885" t="n">
        <v>0</v>
      </c>
      <c r="M10885" t="n">
        <v>0</v>
      </c>
      <c r="N10885" t="n">
        <v>0</v>
      </c>
      <c r="O10885" t="n">
        <v>0</v>
      </c>
      <c r="P10885" t="n">
        <v>0</v>
      </c>
      <c r="Q10885" t="n">
        <v>0</v>
      </c>
      <c r="R10885" s="2" t="inlineStr"/>
    </row>
    <row r="10886" ht="15" customHeight="1">
      <c r="A10886" t="inlineStr">
        <is>
          <t>A 57313-2024</t>
        </is>
      </c>
      <c r="B10886" s="1" t="n">
        <v>45629</v>
      </c>
      <c r="C10886" s="1" t="n">
        <v>45952</v>
      </c>
      <c r="D10886" t="inlineStr">
        <is>
          <t>VÄSTRA GÖTALANDS LÄN</t>
        </is>
      </c>
      <c r="E10886" t="inlineStr">
        <is>
          <t>VARA</t>
        </is>
      </c>
      <c r="G10886" t="n">
        <v>1.2</v>
      </c>
      <c r="H10886" t="n">
        <v>0</v>
      </c>
      <c r="I10886" t="n">
        <v>0</v>
      </c>
      <c r="J10886" t="n">
        <v>0</v>
      </c>
      <c r="K10886" t="n">
        <v>0</v>
      </c>
      <c r="L10886" t="n">
        <v>0</v>
      </c>
      <c r="M10886" t="n">
        <v>0</v>
      </c>
      <c r="N10886" t="n">
        <v>0</v>
      </c>
      <c r="O10886" t="n">
        <v>0</v>
      </c>
      <c r="P10886" t="n">
        <v>0</v>
      </c>
      <c r="Q10886" t="n">
        <v>0</v>
      </c>
      <c r="R10886" s="2" t="inlineStr"/>
    </row>
    <row r="10887" ht="15" customHeight="1">
      <c r="A10887" t="inlineStr">
        <is>
          <t>A 41709-2025</t>
        </is>
      </c>
      <c r="B10887" s="1" t="n">
        <v>45902.42664351852</v>
      </c>
      <c r="C10887" s="1" t="n">
        <v>45952</v>
      </c>
      <c r="D10887" t="inlineStr">
        <is>
          <t>VÄSTRA GÖTALANDS LÄN</t>
        </is>
      </c>
      <c r="E10887" t="inlineStr">
        <is>
          <t>DALS-ED</t>
        </is>
      </c>
      <c r="G10887" t="n">
        <v>4.1</v>
      </c>
      <c r="H10887" t="n">
        <v>0</v>
      </c>
      <c r="I10887" t="n">
        <v>0</v>
      </c>
      <c r="J10887" t="n">
        <v>0</v>
      </c>
      <c r="K10887" t="n">
        <v>0</v>
      </c>
      <c r="L10887" t="n">
        <v>0</v>
      </c>
      <c r="M10887" t="n">
        <v>0</v>
      </c>
      <c r="N10887" t="n">
        <v>0</v>
      </c>
      <c r="O10887" t="n">
        <v>0</v>
      </c>
      <c r="P10887" t="n">
        <v>0</v>
      </c>
      <c r="Q10887" t="n">
        <v>0</v>
      </c>
      <c r="R10887" s="2" t="inlineStr"/>
    </row>
    <row r="10888" ht="15" customHeight="1">
      <c r="A10888" t="inlineStr">
        <is>
          <t>A 41715-2025</t>
        </is>
      </c>
      <c r="B10888" s="1" t="n">
        <v>45902.43572916667</v>
      </c>
      <c r="C10888" s="1" t="n">
        <v>45952</v>
      </c>
      <c r="D10888" t="inlineStr">
        <is>
          <t>VÄSTRA GÖTALANDS LÄN</t>
        </is>
      </c>
      <c r="E10888" t="inlineStr">
        <is>
          <t>MUNKEDAL</t>
        </is>
      </c>
      <c r="G10888" t="n">
        <v>1</v>
      </c>
      <c r="H10888" t="n">
        <v>0</v>
      </c>
      <c r="I10888" t="n">
        <v>0</v>
      </c>
      <c r="J10888" t="n">
        <v>0</v>
      </c>
      <c r="K10888" t="n">
        <v>0</v>
      </c>
      <c r="L10888" t="n">
        <v>0</v>
      </c>
      <c r="M10888" t="n">
        <v>0</v>
      </c>
      <c r="N10888" t="n">
        <v>0</v>
      </c>
      <c r="O10888" t="n">
        <v>0</v>
      </c>
      <c r="P10888" t="n">
        <v>0</v>
      </c>
      <c r="Q10888" t="n">
        <v>0</v>
      </c>
      <c r="R10888" s="2" t="inlineStr"/>
    </row>
    <row r="10889" ht="15" customHeight="1">
      <c r="A10889" t="inlineStr">
        <is>
          <t>A 32131-2024</t>
        </is>
      </c>
      <c r="B10889" s="1" t="n">
        <v>45511.48479166667</v>
      </c>
      <c r="C10889" s="1" t="n">
        <v>45952</v>
      </c>
      <c r="D10889" t="inlineStr">
        <is>
          <t>VÄSTRA GÖTALANDS LÄN</t>
        </is>
      </c>
      <c r="E10889" t="inlineStr">
        <is>
          <t>HERRLJUNGA</t>
        </is>
      </c>
      <c r="G10889" t="n">
        <v>1.5</v>
      </c>
      <c r="H10889" t="n">
        <v>0</v>
      </c>
      <c r="I10889" t="n">
        <v>0</v>
      </c>
      <c r="J10889" t="n">
        <v>0</v>
      </c>
      <c r="K10889" t="n">
        <v>0</v>
      </c>
      <c r="L10889" t="n">
        <v>0</v>
      </c>
      <c r="M10889" t="n">
        <v>0</v>
      </c>
      <c r="N10889" t="n">
        <v>0</v>
      </c>
      <c r="O10889" t="n">
        <v>0</v>
      </c>
      <c r="P10889" t="n">
        <v>0</v>
      </c>
      <c r="Q10889" t="n">
        <v>0</v>
      </c>
      <c r="R10889" s="2" t="inlineStr"/>
    </row>
    <row r="10890" ht="15" customHeight="1">
      <c r="A10890" t="inlineStr">
        <is>
          <t>A 39355-2024</t>
        </is>
      </c>
      <c r="B10890" s="1" t="n">
        <v>45551.46081018518</v>
      </c>
      <c r="C10890" s="1" t="n">
        <v>45952</v>
      </c>
      <c r="D10890" t="inlineStr">
        <is>
          <t>VÄSTRA GÖTALANDS LÄN</t>
        </is>
      </c>
      <c r="E10890" t="inlineStr">
        <is>
          <t>UDDEVALLA</t>
        </is>
      </c>
      <c r="G10890" t="n">
        <v>3.7</v>
      </c>
      <c r="H10890" t="n">
        <v>0</v>
      </c>
      <c r="I10890" t="n">
        <v>0</v>
      </c>
      <c r="J10890" t="n">
        <v>0</v>
      </c>
      <c r="K10890" t="n">
        <v>0</v>
      </c>
      <c r="L10890" t="n">
        <v>0</v>
      </c>
      <c r="M10890" t="n">
        <v>0</v>
      </c>
      <c r="N10890" t="n">
        <v>0</v>
      </c>
      <c r="O10890" t="n">
        <v>0</v>
      </c>
      <c r="P10890" t="n">
        <v>0</v>
      </c>
      <c r="Q10890" t="n">
        <v>0</v>
      </c>
      <c r="R10890" s="2" t="inlineStr"/>
    </row>
    <row r="10891" ht="15" customHeight="1">
      <c r="A10891" t="inlineStr">
        <is>
          <t>A 60509-2022</t>
        </is>
      </c>
      <c r="B10891" s="1" t="n">
        <v>44904</v>
      </c>
      <c r="C10891" s="1" t="n">
        <v>45952</v>
      </c>
      <c r="D10891" t="inlineStr">
        <is>
          <t>VÄSTRA GÖTALANDS LÄN</t>
        </is>
      </c>
      <c r="E10891" t="inlineStr">
        <is>
          <t>HERRLJUNGA</t>
        </is>
      </c>
      <c r="F10891" t="inlineStr">
        <is>
          <t>Övriga statliga verk och myndigheter</t>
        </is>
      </c>
      <c r="G10891" t="n">
        <v>4.8</v>
      </c>
      <c r="H10891" t="n">
        <v>0</v>
      </c>
      <c r="I10891" t="n">
        <v>0</v>
      </c>
      <c r="J10891" t="n">
        <v>0</v>
      </c>
      <c r="K10891" t="n">
        <v>0</v>
      </c>
      <c r="L10891" t="n">
        <v>0</v>
      </c>
      <c r="M10891" t="n">
        <v>0</v>
      </c>
      <c r="N10891" t="n">
        <v>0</v>
      </c>
      <c r="O10891" t="n">
        <v>0</v>
      </c>
      <c r="P10891" t="n">
        <v>0</v>
      </c>
      <c r="Q10891" t="n">
        <v>0</v>
      </c>
      <c r="R10891" s="2" t="inlineStr"/>
    </row>
    <row r="10892" ht="15" customHeight="1">
      <c r="A10892" t="inlineStr">
        <is>
          <t>A 46514-2024</t>
        </is>
      </c>
      <c r="B10892" s="1" t="n">
        <v>45582.62592592592</v>
      </c>
      <c r="C10892" s="1" t="n">
        <v>45952</v>
      </c>
      <c r="D10892" t="inlineStr">
        <is>
          <t>VÄSTRA GÖTALANDS LÄN</t>
        </is>
      </c>
      <c r="E10892" t="inlineStr">
        <is>
          <t>VÄNERSBORG</t>
        </is>
      </c>
      <c r="G10892" t="n">
        <v>2.1</v>
      </c>
      <c r="H10892" t="n">
        <v>0</v>
      </c>
      <c r="I10892" t="n">
        <v>0</v>
      </c>
      <c r="J10892" t="n">
        <v>0</v>
      </c>
      <c r="K10892" t="n">
        <v>0</v>
      </c>
      <c r="L10892" t="n">
        <v>0</v>
      </c>
      <c r="M10892" t="n">
        <v>0</v>
      </c>
      <c r="N10892" t="n">
        <v>0</v>
      </c>
      <c r="O10892" t="n">
        <v>0</v>
      </c>
      <c r="P10892" t="n">
        <v>0</v>
      </c>
      <c r="Q10892" t="n">
        <v>0</v>
      </c>
      <c r="R10892" s="2" t="inlineStr"/>
    </row>
    <row r="10893" ht="15" customHeight="1">
      <c r="A10893" t="inlineStr">
        <is>
          <t>A 46521-2024</t>
        </is>
      </c>
      <c r="B10893" s="1" t="n">
        <v>45582.62986111111</v>
      </c>
      <c r="C10893" s="1" t="n">
        <v>45952</v>
      </c>
      <c r="D10893" t="inlineStr">
        <is>
          <t>VÄSTRA GÖTALANDS LÄN</t>
        </is>
      </c>
      <c r="E10893" t="inlineStr">
        <is>
          <t>VÄNERSBORG</t>
        </is>
      </c>
      <c r="G10893" t="n">
        <v>1.1</v>
      </c>
      <c r="H10893" t="n">
        <v>0</v>
      </c>
      <c r="I10893" t="n">
        <v>0</v>
      </c>
      <c r="J10893" t="n">
        <v>0</v>
      </c>
      <c r="K10893" t="n">
        <v>0</v>
      </c>
      <c r="L10893" t="n">
        <v>0</v>
      </c>
      <c r="M10893" t="n">
        <v>0</v>
      </c>
      <c r="N10893" t="n">
        <v>0</v>
      </c>
      <c r="O10893" t="n">
        <v>0</v>
      </c>
      <c r="P10893" t="n">
        <v>0</v>
      </c>
      <c r="Q10893" t="n">
        <v>0</v>
      </c>
      <c r="R10893" s="2" t="inlineStr"/>
    </row>
    <row r="10894" ht="15" customHeight="1">
      <c r="A10894" t="inlineStr">
        <is>
          <t>A 26899-2025</t>
        </is>
      </c>
      <c r="B10894" s="1" t="n">
        <v>45811.34417824074</v>
      </c>
      <c r="C10894" s="1" t="n">
        <v>45952</v>
      </c>
      <c r="D10894" t="inlineStr">
        <is>
          <t>VÄSTRA GÖTALANDS LÄN</t>
        </is>
      </c>
      <c r="E10894" t="inlineStr">
        <is>
          <t>DALS-ED</t>
        </is>
      </c>
      <c r="G10894" t="n">
        <v>7.2</v>
      </c>
      <c r="H10894" t="n">
        <v>0</v>
      </c>
      <c r="I10894" t="n">
        <v>0</v>
      </c>
      <c r="J10894" t="n">
        <v>0</v>
      </c>
      <c r="K10894" t="n">
        <v>0</v>
      </c>
      <c r="L10894" t="n">
        <v>0</v>
      </c>
      <c r="M10894" t="n">
        <v>0</v>
      </c>
      <c r="N10894" t="n">
        <v>0</v>
      </c>
      <c r="O10894" t="n">
        <v>0</v>
      </c>
      <c r="P10894" t="n">
        <v>0</v>
      </c>
      <c r="Q10894" t="n">
        <v>0</v>
      </c>
      <c r="R10894" s="2" t="inlineStr"/>
    </row>
    <row r="10895" ht="15" customHeight="1">
      <c r="A10895" t="inlineStr">
        <is>
          <t>A 59854-2024</t>
        </is>
      </c>
      <c r="B10895" s="1" t="n">
        <v>45639.71099537037</v>
      </c>
      <c r="C10895" s="1" t="n">
        <v>45952</v>
      </c>
      <c r="D10895" t="inlineStr">
        <is>
          <t>VÄSTRA GÖTALANDS LÄN</t>
        </is>
      </c>
      <c r="E10895" t="inlineStr">
        <is>
          <t>DALS-ED</t>
        </is>
      </c>
      <c r="G10895" t="n">
        <v>2</v>
      </c>
      <c r="H10895" t="n">
        <v>0</v>
      </c>
      <c r="I10895" t="n">
        <v>0</v>
      </c>
      <c r="J10895" t="n">
        <v>0</v>
      </c>
      <c r="K10895" t="n">
        <v>0</v>
      </c>
      <c r="L10895" t="n">
        <v>0</v>
      </c>
      <c r="M10895" t="n">
        <v>0</v>
      </c>
      <c r="N10895" t="n">
        <v>0</v>
      </c>
      <c r="O10895" t="n">
        <v>0</v>
      </c>
      <c r="P10895" t="n">
        <v>0</v>
      </c>
      <c r="Q10895" t="n">
        <v>0</v>
      </c>
      <c r="R10895" s="2" t="inlineStr"/>
    </row>
    <row r="10896" ht="15" customHeight="1">
      <c r="A10896" t="inlineStr">
        <is>
          <t>A 59855-2024</t>
        </is>
      </c>
      <c r="B10896" s="1" t="n">
        <v>45639.71262731482</v>
      </c>
      <c r="C10896" s="1" t="n">
        <v>45952</v>
      </c>
      <c r="D10896" t="inlineStr">
        <is>
          <t>VÄSTRA GÖTALANDS LÄN</t>
        </is>
      </c>
      <c r="E10896" t="inlineStr">
        <is>
          <t>DALS-ED</t>
        </is>
      </c>
      <c r="G10896" t="n">
        <v>0.6</v>
      </c>
      <c r="H10896" t="n">
        <v>0</v>
      </c>
      <c r="I10896" t="n">
        <v>0</v>
      </c>
      <c r="J10896" t="n">
        <v>0</v>
      </c>
      <c r="K10896" t="n">
        <v>0</v>
      </c>
      <c r="L10896" t="n">
        <v>0</v>
      </c>
      <c r="M10896" t="n">
        <v>0</v>
      </c>
      <c r="N10896" t="n">
        <v>0</v>
      </c>
      <c r="O10896" t="n">
        <v>0</v>
      </c>
      <c r="P10896" t="n">
        <v>0</v>
      </c>
      <c r="Q10896" t="n">
        <v>0</v>
      </c>
      <c r="R10896" s="2" t="inlineStr"/>
    </row>
    <row r="10897" ht="15" customHeight="1">
      <c r="A10897" t="inlineStr">
        <is>
          <t>A 42052-2025</t>
        </is>
      </c>
      <c r="B10897" s="1" t="n">
        <v>45902</v>
      </c>
      <c r="C10897" s="1" t="n">
        <v>45952</v>
      </c>
      <c r="D10897" t="inlineStr">
        <is>
          <t>VÄSTRA GÖTALANDS LÄN</t>
        </is>
      </c>
      <c r="E10897" t="inlineStr">
        <is>
          <t>SVENLJUNGA</t>
        </is>
      </c>
      <c r="G10897" t="n">
        <v>1.2</v>
      </c>
      <c r="H10897" t="n">
        <v>0</v>
      </c>
      <c r="I10897" t="n">
        <v>0</v>
      </c>
      <c r="J10897" t="n">
        <v>0</v>
      </c>
      <c r="K10897" t="n">
        <v>0</v>
      </c>
      <c r="L10897" t="n">
        <v>0</v>
      </c>
      <c r="M10897" t="n">
        <v>0</v>
      </c>
      <c r="N10897" t="n">
        <v>0</v>
      </c>
      <c r="O10897" t="n">
        <v>0</v>
      </c>
      <c r="P10897" t="n">
        <v>0</v>
      </c>
      <c r="Q10897" t="n">
        <v>0</v>
      </c>
      <c r="R10897" s="2" t="inlineStr"/>
    </row>
    <row r="10898" ht="15" customHeight="1">
      <c r="A10898" t="inlineStr">
        <is>
          <t>A 27054-2025</t>
        </is>
      </c>
      <c r="B10898" s="1" t="n">
        <v>45811.62824074074</v>
      </c>
      <c r="C10898" s="1" t="n">
        <v>45952</v>
      </c>
      <c r="D10898" t="inlineStr">
        <is>
          <t>VÄSTRA GÖTALANDS LÄN</t>
        </is>
      </c>
      <c r="E10898" t="inlineStr">
        <is>
          <t>FÄRGELANDA</t>
        </is>
      </c>
      <c r="G10898" t="n">
        <v>1.6</v>
      </c>
      <c r="H10898" t="n">
        <v>0</v>
      </c>
      <c r="I10898" t="n">
        <v>0</v>
      </c>
      <c r="J10898" t="n">
        <v>0</v>
      </c>
      <c r="K10898" t="n">
        <v>0</v>
      </c>
      <c r="L10898" t="n">
        <v>0</v>
      </c>
      <c r="M10898" t="n">
        <v>0</v>
      </c>
      <c r="N10898" t="n">
        <v>0</v>
      </c>
      <c r="O10898" t="n">
        <v>0</v>
      </c>
      <c r="P10898" t="n">
        <v>0</v>
      </c>
      <c r="Q10898" t="n">
        <v>0</v>
      </c>
      <c r="R10898" s="2" t="inlineStr"/>
    </row>
    <row r="10899" ht="15" customHeight="1">
      <c r="A10899" t="inlineStr">
        <is>
          <t>A 41756-2025</t>
        </is>
      </c>
      <c r="B10899" s="1" t="n">
        <v>45902.50689814815</v>
      </c>
      <c r="C10899" s="1" t="n">
        <v>45952</v>
      </c>
      <c r="D10899" t="inlineStr">
        <is>
          <t>VÄSTRA GÖTALANDS LÄN</t>
        </is>
      </c>
      <c r="E10899" t="inlineStr">
        <is>
          <t>LILLA EDET</t>
        </is>
      </c>
      <c r="G10899" t="n">
        <v>2</v>
      </c>
      <c r="H10899" t="n">
        <v>0</v>
      </c>
      <c r="I10899" t="n">
        <v>0</v>
      </c>
      <c r="J10899" t="n">
        <v>0</v>
      </c>
      <c r="K10899" t="n">
        <v>0</v>
      </c>
      <c r="L10899" t="n">
        <v>0</v>
      </c>
      <c r="M10899" t="n">
        <v>0</v>
      </c>
      <c r="N10899" t="n">
        <v>0</v>
      </c>
      <c r="O10899" t="n">
        <v>0</v>
      </c>
      <c r="P10899" t="n">
        <v>0</v>
      </c>
      <c r="Q10899" t="n">
        <v>0</v>
      </c>
      <c r="R10899" s="2" t="inlineStr"/>
    </row>
    <row r="10900" ht="15" customHeight="1">
      <c r="A10900" t="inlineStr">
        <is>
          <t>A 41758-2025</t>
        </is>
      </c>
      <c r="B10900" s="1" t="n">
        <v>45902.51023148148</v>
      </c>
      <c r="C10900" s="1" t="n">
        <v>45952</v>
      </c>
      <c r="D10900" t="inlineStr">
        <is>
          <t>VÄSTRA GÖTALANDS LÄN</t>
        </is>
      </c>
      <c r="E10900" t="inlineStr">
        <is>
          <t>LILLA EDET</t>
        </is>
      </c>
      <c r="G10900" t="n">
        <v>1.9</v>
      </c>
      <c r="H10900" t="n">
        <v>0</v>
      </c>
      <c r="I10900" t="n">
        <v>0</v>
      </c>
      <c r="J10900" t="n">
        <v>0</v>
      </c>
      <c r="K10900" t="n">
        <v>0</v>
      </c>
      <c r="L10900" t="n">
        <v>0</v>
      </c>
      <c r="M10900" t="n">
        <v>0</v>
      </c>
      <c r="N10900" t="n">
        <v>0</v>
      </c>
      <c r="O10900" t="n">
        <v>0</v>
      </c>
      <c r="P10900" t="n">
        <v>0</v>
      </c>
      <c r="Q10900" t="n">
        <v>0</v>
      </c>
      <c r="R10900" s="2" t="inlineStr"/>
    </row>
    <row r="10901" ht="15" customHeight="1">
      <c r="A10901" t="inlineStr">
        <is>
          <t>A 41760-2025</t>
        </is>
      </c>
      <c r="B10901" s="1" t="n">
        <v>45902.51596064815</v>
      </c>
      <c r="C10901" s="1" t="n">
        <v>45952</v>
      </c>
      <c r="D10901" t="inlineStr">
        <is>
          <t>VÄSTRA GÖTALANDS LÄN</t>
        </is>
      </c>
      <c r="E10901" t="inlineStr">
        <is>
          <t>LILLA EDET</t>
        </is>
      </c>
      <c r="G10901" t="n">
        <v>1.1</v>
      </c>
      <c r="H10901" t="n">
        <v>0</v>
      </c>
      <c r="I10901" t="n">
        <v>0</v>
      </c>
      <c r="J10901" t="n">
        <v>0</v>
      </c>
      <c r="K10901" t="n">
        <v>0</v>
      </c>
      <c r="L10901" t="n">
        <v>0</v>
      </c>
      <c r="M10901" t="n">
        <v>0</v>
      </c>
      <c r="N10901" t="n">
        <v>0</v>
      </c>
      <c r="O10901" t="n">
        <v>0</v>
      </c>
      <c r="P10901" t="n">
        <v>0</v>
      </c>
      <c r="Q10901" t="n">
        <v>0</v>
      </c>
      <c r="R10901" s="2" t="inlineStr"/>
    </row>
    <row r="10902" ht="15" customHeight="1">
      <c r="A10902" t="inlineStr">
        <is>
          <t>A 41761-2025</t>
        </is>
      </c>
      <c r="B10902" s="1" t="n">
        <v>45902.51922453703</v>
      </c>
      <c r="C10902" s="1" t="n">
        <v>45952</v>
      </c>
      <c r="D10902" t="inlineStr">
        <is>
          <t>VÄSTRA GÖTALANDS LÄN</t>
        </is>
      </c>
      <c r="E10902" t="inlineStr">
        <is>
          <t>LILLA EDET</t>
        </is>
      </c>
      <c r="G10902" t="n">
        <v>6.6</v>
      </c>
      <c r="H10902" t="n">
        <v>0</v>
      </c>
      <c r="I10902" t="n">
        <v>0</v>
      </c>
      <c r="J10902" t="n">
        <v>0</v>
      </c>
      <c r="K10902" t="n">
        <v>0</v>
      </c>
      <c r="L10902" t="n">
        <v>0</v>
      </c>
      <c r="M10902" t="n">
        <v>0</v>
      </c>
      <c r="N10902" t="n">
        <v>0</v>
      </c>
      <c r="O10902" t="n">
        <v>0</v>
      </c>
      <c r="P10902" t="n">
        <v>0</v>
      </c>
      <c r="Q10902" t="n">
        <v>0</v>
      </c>
      <c r="R10902" s="2" t="inlineStr"/>
    </row>
    <row r="10903" ht="15" customHeight="1">
      <c r="A10903" t="inlineStr">
        <is>
          <t>A 41795-2025</t>
        </is>
      </c>
      <c r="B10903" s="1" t="n">
        <v>45902.60028935185</v>
      </c>
      <c r="C10903" s="1" t="n">
        <v>45952</v>
      </c>
      <c r="D10903" t="inlineStr">
        <is>
          <t>VÄSTRA GÖTALANDS LÄN</t>
        </is>
      </c>
      <c r="E10903" t="inlineStr">
        <is>
          <t>VÄNERSBORG</t>
        </is>
      </c>
      <c r="G10903" t="n">
        <v>2.6</v>
      </c>
      <c r="H10903" t="n">
        <v>0</v>
      </c>
      <c r="I10903" t="n">
        <v>0</v>
      </c>
      <c r="J10903" t="n">
        <v>0</v>
      </c>
      <c r="K10903" t="n">
        <v>0</v>
      </c>
      <c r="L10903" t="n">
        <v>0</v>
      </c>
      <c r="M10903" t="n">
        <v>0</v>
      </c>
      <c r="N10903" t="n">
        <v>0</v>
      </c>
      <c r="O10903" t="n">
        <v>0</v>
      </c>
      <c r="P10903" t="n">
        <v>0</v>
      </c>
      <c r="Q10903" t="n">
        <v>0</v>
      </c>
      <c r="R10903" s="2" t="inlineStr"/>
    </row>
    <row r="10904" ht="15" customHeight="1">
      <c r="A10904" t="inlineStr">
        <is>
          <t>A 41811-2025</t>
        </is>
      </c>
      <c r="B10904" s="1" t="n">
        <v>45902.64659722222</v>
      </c>
      <c r="C10904" s="1" t="n">
        <v>45952</v>
      </c>
      <c r="D10904" t="inlineStr">
        <is>
          <t>VÄSTRA GÖTALANDS LÄN</t>
        </is>
      </c>
      <c r="E10904" t="inlineStr">
        <is>
          <t>MUNKEDAL</t>
        </is>
      </c>
      <c r="G10904" t="n">
        <v>5.6</v>
      </c>
      <c r="H10904" t="n">
        <v>0</v>
      </c>
      <c r="I10904" t="n">
        <v>0</v>
      </c>
      <c r="J10904" t="n">
        <v>0</v>
      </c>
      <c r="K10904" t="n">
        <v>0</v>
      </c>
      <c r="L10904" t="n">
        <v>0</v>
      </c>
      <c r="M10904" t="n">
        <v>0</v>
      </c>
      <c r="N10904" t="n">
        <v>0</v>
      </c>
      <c r="O10904" t="n">
        <v>0</v>
      </c>
      <c r="P10904" t="n">
        <v>0</v>
      </c>
      <c r="Q10904" t="n">
        <v>0</v>
      </c>
      <c r="R10904" s="2" t="inlineStr"/>
    </row>
    <row r="10905" ht="15" customHeight="1">
      <c r="A10905" t="inlineStr">
        <is>
          <t>A 27130-2025</t>
        </is>
      </c>
      <c r="B10905" s="1" t="n">
        <v>45811</v>
      </c>
      <c r="C10905" s="1" t="n">
        <v>45952</v>
      </c>
      <c r="D10905" t="inlineStr">
        <is>
          <t>VÄSTRA GÖTALANDS LÄN</t>
        </is>
      </c>
      <c r="E10905" t="inlineStr">
        <is>
          <t>BENGTSFORS</t>
        </is>
      </c>
      <c r="G10905" t="n">
        <v>3.3</v>
      </c>
      <c r="H10905" t="n">
        <v>0</v>
      </c>
      <c r="I10905" t="n">
        <v>0</v>
      </c>
      <c r="J10905" t="n">
        <v>0</v>
      </c>
      <c r="K10905" t="n">
        <v>0</v>
      </c>
      <c r="L10905" t="n">
        <v>0</v>
      </c>
      <c r="M10905" t="n">
        <v>0</v>
      </c>
      <c r="N10905" t="n">
        <v>0</v>
      </c>
      <c r="O10905" t="n">
        <v>0</v>
      </c>
      <c r="P10905" t="n">
        <v>0</v>
      </c>
      <c r="Q10905" t="n">
        <v>0</v>
      </c>
      <c r="R10905" s="2" t="inlineStr"/>
    </row>
    <row r="10906" ht="15" customHeight="1">
      <c r="A10906" t="inlineStr">
        <is>
          <t>A 55882-2021</t>
        </is>
      </c>
      <c r="B10906" s="1" t="n">
        <v>44476</v>
      </c>
      <c r="C10906" s="1" t="n">
        <v>45952</v>
      </c>
      <c r="D10906" t="inlineStr">
        <is>
          <t>VÄSTRA GÖTALANDS LÄN</t>
        </is>
      </c>
      <c r="E10906" t="inlineStr">
        <is>
          <t>BENGTSFORS</t>
        </is>
      </c>
      <c r="G10906" t="n">
        <v>3.2</v>
      </c>
      <c r="H10906" t="n">
        <v>0</v>
      </c>
      <c r="I10906" t="n">
        <v>0</v>
      </c>
      <c r="J10906" t="n">
        <v>0</v>
      </c>
      <c r="K10906" t="n">
        <v>0</v>
      </c>
      <c r="L10906" t="n">
        <v>0</v>
      </c>
      <c r="M10906" t="n">
        <v>0</v>
      </c>
      <c r="N10906" t="n">
        <v>0</v>
      </c>
      <c r="O10906" t="n">
        <v>0</v>
      </c>
      <c r="P10906" t="n">
        <v>0</v>
      </c>
      <c r="Q10906" t="n">
        <v>0</v>
      </c>
      <c r="R10906" s="2" t="inlineStr"/>
    </row>
    <row r="10907" ht="15" customHeight="1">
      <c r="A10907" t="inlineStr">
        <is>
          <t>A 26911-2025</t>
        </is>
      </c>
      <c r="B10907" s="1" t="n">
        <v>45811.35607638889</v>
      </c>
      <c r="C10907" s="1" t="n">
        <v>45952</v>
      </c>
      <c r="D10907" t="inlineStr">
        <is>
          <t>VÄSTRA GÖTALANDS LÄN</t>
        </is>
      </c>
      <c r="E10907" t="inlineStr">
        <is>
          <t>ÅMÅL</t>
        </is>
      </c>
      <c r="G10907" t="n">
        <v>3.5</v>
      </c>
      <c r="H10907" t="n">
        <v>0</v>
      </c>
      <c r="I10907" t="n">
        <v>0</v>
      </c>
      <c r="J10907" t="n">
        <v>0</v>
      </c>
      <c r="K10907" t="n">
        <v>0</v>
      </c>
      <c r="L10907" t="n">
        <v>0</v>
      </c>
      <c r="M10907" t="n">
        <v>0</v>
      </c>
      <c r="N10907" t="n">
        <v>0</v>
      </c>
      <c r="O10907" t="n">
        <v>0</v>
      </c>
      <c r="P10907" t="n">
        <v>0</v>
      </c>
      <c r="Q10907" t="n">
        <v>0</v>
      </c>
      <c r="R10907" s="2" t="inlineStr"/>
    </row>
    <row r="10908" ht="15" customHeight="1">
      <c r="A10908" t="inlineStr">
        <is>
          <t>A 39747-2022</t>
        </is>
      </c>
      <c r="B10908" s="1" t="n">
        <v>44819.38932870371</v>
      </c>
      <c r="C10908" s="1" t="n">
        <v>45952</v>
      </c>
      <c r="D10908" t="inlineStr">
        <is>
          <t>VÄSTRA GÖTALANDS LÄN</t>
        </is>
      </c>
      <c r="E10908" t="inlineStr">
        <is>
          <t>TRANEMO</t>
        </is>
      </c>
      <c r="G10908" t="n">
        <v>6.5</v>
      </c>
      <c r="H10908" t="n">
        <v>0</v>
      </c>
      <c r="I10908" t="n">
        <v>0</v>
      </c>
      <c r="J10908" t="n">
        <v>0</v>
      </c>
      <c r="K10908" t="n">
        <v>0</v>
      </c>
      <c r="L10908" t="n">
        <v>0</v>
      </c>
      <c r="M10908" t="n">
        <v>0</v>
      </c>
      <c r="N10908" t="n">
        <v>0</v>
      </c>
      <c r="O10908" t="n">
        <v>0</v>
      </c>
      <c r="P10908" t="n">
        <v>0</v>
      </c>
      <c r="Q10908" t="n">
        <v>0</v>
      </c>
      <c r="R10908" s="2" t="inlineStr"/>
    </row>
    <row r="10909" ht="15" customHeight="1">
      <c r="A10909" t="inlineStr">
        <is>
          <t>A 26912-2025</t>
        </is>
      </c>
      <c r="B10909" s="1" t="n">
        <v>45811.35936342592</v>
      </c>
      <c r="C10909" s="1" t="n">
        <v>45952</v>
      </c>
      <c r="D10909" t="inlineStr">
        <is>
          <t>VÄSTRA GÖTALANDS LÄN</t>
        </is>
      </c>
      <c r="E10909" t="inlineStr">
        <is>
          <t>ÅMÅL</t>
        </is>
      </c>
      <c r="G10909" t="n">
        <v>2.8</v>
      </c>
      <c r="H10909" t="n">
        <v>0</v>
      </c>
      <c r="I10909" t="n">
        <v>0</v>
      </c>
      <c r="J10909" t="n">
        <v>0</v>
      </c>
      <c r="K10909" t="n">
        <v>0</v>
      </c>
      <c r="L10909" t="n">
        <v>0</v>
      </c>
      <c r="M10909" t="n">
        <v>0</v>
      </c>
      <c r="N10909" t="n">
        <v>0</v>
      </c>
      <c r="O10909" t="n">
        <v>0</v>
      </c>
      <c r="P10909" t="n">
        <v>0</v>
      </c>
      <c r="Q10909" t="n">
        <v>0</v>
      </c>
      <c r="R10909" s="2" t="inlineStr"/>
    </row>
    <row r="10910" ht="15" customHeight="1">
      <c r="A10910" t="inlineStr">
        <is>
          <t>A 32631-2023</t>
        </is>
      </c>
      <c r="B10910" s="1" t="n">
        <v>45121.58388888889</v>
      </c>
      <c r="C10910" s="1" t="n">
        <v>45952</v>
      </c>
      <c r="D10910" t="inlineStr">
        <is>
          <t>VÄSTRA GÖTALANDS LÄN</t>
        </is>
      </c>
      <c r="E10910" t="inlineStr">
        <is>
          <t>MARK</t>
        </is>
      </c>
      <c r="G10910" t="n">
        <v>2.2</v>
      </c>
      <c r="H10910" t="n">
        <v>0</v>
      </c>
      <c r="I10910" t="n">
        <v>0</v>
      </c>
      <c r="J10910" t="n">
        <v>0</v>
      </c>
      <c r="K10910" t="n">
        <v>0</v>
      </c>
      <c r="L10910" t="n">
        <v>0</v>
      </c>
      <c r="M10910" t="n">
        <v>0</v>
      </c>
      <c r="N10910" t="n">
        <v>0</v>
      </c>
      <c r="O10910" t="n">
        <v>0</v>
      </c>
      <c r="P10910" t="n">
        <v>0</v>
      </c>
      <c r="Q10910" t="n">
        <v>0</v>
      </c>
      <c r="R10910" s="2" t="inlineStr"/>
    </row>
    <row r="10911" ht="15" customHeight="1">
      <c r="A10911" t="inlineStr">
        <is>
          <t>A 50009-2024</t>
        </is>
      </c>
      <c r="B10911" s="1" t="n">
        <v>45598</v>
      </c>
      <c r="C10911" s="1" t="n">
        <v>45952</v>
      </c>
      <c r="D10911" t="inlineStr">
        <is>
          <t>VÄSTRA GÖTALANDS LÄN</t>
        </is>
      </c>
      <c r="E10911" t="inlineStr">
        <is>
          <t>FÄRGELANDA</t>
        </is>
      </c>
      <c r="G10911" t="n">
        <v>1.5</v>
      </c>
      <c r="H10911" t="n">
        <v>0</v>
      </c>
      <c r="I10911" t="n">
        <v>0</v>
      </c>
      <c r="J10911" t="n">
        <v>0</v>
      </c>
      <c r="K10911" t="n">
        <v>0</v>
      </c>
      <c r="L10911" t="n">
        <v>0</v>
      </c>
      <c r="M10911" t="n">
        <v>0</v>
      </c>
      <c r="N10911" t="n">
        <v>0</v>
      </c>
      <c r="O10911" t="n">
        <v>0</v>
      </c>
      <c r="P10911" t="n">
        <v>0</v>
      </c>
      <c r="Q10911" t="n">
        <v>0</v>
      </c>
      <c r="R10911" s="2" t="inlineStr"/>
    </row>
    <row r="10912" ht="15" customHeight="1">
      <c r="A10912" t="inlineStr">
        <is>
          <t>A 50580-2025</t>
        </is>
      </c>
      <c r="B10912" s="1" t="n">
        <v>45945.58512731481</v>
      </c>
      <c r="C10912" s="1" t="n">
        <v>45952</v>
      </c>
      <c r="D10912" t="inlineStr">
        <is>
          <t>VÄSTRA GÖTALANDS LÄN</t>
        </is>
      </c>
      <c r="E10912" t="inlineStr">
        <is>
          <t>UDDEVALLA</t>
        </is>
      </c>
      <c r="G10912" t="n">
        <v>3.6</v>
      </c>
      <c r="H10912" t="n">
        <v>0</v>
      </c>
      <c r="I10912" t="n">
        <v>0</v>
      </c>
      <c r="J10912" t="n">
        <v>0</v>
      </c>
      <c r="K10912" t="n">
        <v>0</v>
      </c>
      <c r="L10912" t="n">
        <v>0</v>
      </c>
      <c r="M10912" t="n">
        <v>0</v>
      </c>
      <c r="N10912" t="n">
        <v>0</v>
      </c>
      <c r="O10912" t="n">
        <v>0</v>
      </c>
      <c r="P10912" t="n">
        <v>0</v>
      </c>
      <c r="Q10912" t="n">
        <v>0</v>
      </c>
      <c r="R10912" s="2" t="inlineStr"/>
    </row>
    <row r="10913" ht="15" customHeight="1">
      <c r="A10913" t="inlineStr">
        <is>
          <t>A 41859-2025</t>
        </is>
      </c>
      <c r="B10913" s="1" t="n">
        <v>45903.23393518518</v>
      </c>
      <c r="C10913" s="1" t="n">
        <v>45952</v>
      </c>
      <c r="D10913" t="inlineStr">
        <is>
          <t>VÄSTRA GÖTALANDS LÄN</t>
        </is>
      </c>
      <c r="E10913" t="inlineStr">
        <is>
          <t>DALS-ED</t>
        </is>
      </c>
      <c r="G10913" t="n">
        <v>0.4</v>
      </c>
      <c r="H10913" t="n">
        <v>0</v>
      </c>
      <c r="I10913" t="n">
        <v>0</v>
      </c>
      <c r="J10913" t="n">
        <v>0</v>
      </c>
      <c r="K10913" t="n">
        <v>0</v>
      </c>
      <c r="L10913" t="n">
        <v>0</v>
      </c>
      <c r="M10913" t="n">
        <v>0</v>
      </c>
      <c r="N10913" t="n">
        <v>0</v>
      </c>
      <c r="O10913" t="n">
        <v>0</v>
      </c>
      <c r="P10913" t="n">
        <v>0</v>
      </c>
      <c r="Q10913" t="n">
        <v>0</v>
      </c>
      <c r="R10913" s="2" t="inlineStr"/>
    </row>
    <row r="10914" ht="15" customHeight="1">
      <c r="A10914" t="inlineStr">
        <is>
          <t>A 39887-2022</t>
        </is>
      </c>
      <c r="B10914" s="1" t="n">
        <v>44819.64585648148</v>
      </c>
      <c r="C10914" s="1" t="n">
        <v>45952</v>
      </c>
      <c r="D10914" t="inlineStr">
        <is>
          <t>VÄSTRA GÖTALANDS LÄN</t>
        </is>
      </c>
      <c r="E10914" t="inlineStr">
        <is>
          <t>GULLSPÅNG</t>
        </is>
      </c>
      <c r="G10914" t="n">
        <v>3.3</v>
      </c>
      <c r="H10914" t="n">
        <v>0</v>
      </c>
      <c r="I10914" t="n">
        <v>0</v>
      </c>
      <c r="J10914" t="n">
        <v>0</v>
      </c>
      <c r="K10914" t="n">
        <v>0</v>
      </c>
      <c r="L10914" t="n">
        <v>0</v>
      </c>
      <c r="M10914" t="n">
        <v>0</v>
      </c>
      <c r="N10914" t="n">
        <v>0</v>
      </c>
      <c r="O10914" t="n">
        <v>0</v>
      </c>
      <c r="P10914" t="n">
        <v>0</v>
      </c>
      <c r="Q10914" t="n">
        <v>0</v>
      </c>
      <c r="R10914" s="2" t="inlineStr"/>
    </row>
    <row r="10915" ht="15" customHeight="1">
      <c r="A10915" t="inlineStr">
        <is>
          <t>A 21625-2023</t>
        </is>
      </c>
      <c r="B10915" s="1" t="n">
        <v>45063.66107638889</v>
      </c>
      <c r="C10915" s="1" t="n">
        <v>45952</v>
      </c>
      <c r="D10915" t="inlineStr">
        <is>
          <t>VÄSTRA GÖTALANDS LÄN</t>
        </is>
      </c>
      <c r="E10915" t="inlineStr">
        <is>
          <t>MUNKEDAL</t>
        </is>
      </c>
      <c r="G10915" t="n">
        <v>1.7</v>
      </c>
      <c r="H10915" t="n">
        <v>0</v>
      </c>
      <c r="I10915" t="n">
        <v>0</v>
      </c>
      <c r="J10915" t="n">
        <v>0</v>
      </c>
      <c r="K10915" t="n">
        <v>0</v>
      </c>
      <c r="L10915" t="n">
        <v>0</v>
      </c>
      <c r="M10915" t="n">
        <v>0</v>
      </c>
      <c r="N10915" t="n">
        <v>0</v>
      </c>
      <c r="O10915" t="n">
        <v>0</v>
      </c>
      <c r="P10915" t="n">
        <v>0</v>
      </c>
      <c r="Q10915" t="n">
        <v>0</v>
      </c>
      <c r="R10915" s="2" t="inlineStr"/>
    </row>
    <row r="10916" ht="15" customHeight="1">
      <c r="A10916" t="inlineStr">
        <is>
          <t>A 50343-2025</t>
        </is>
      </c>
      <c r="B10916" s="1" t="n">
        <v>45944.53710648148</v>
      </c>
      <c r="C10916" s="1" t="n">
        <v>45952</v>
      </c>
      <c r="D10916" t="inlineStr">
        <is>
          <t>VÄSTRA GÖTALANDS LÄN</t>
        </is>
      </c>
      <c r="E10916" t="inlineStr">
        <is>
          <t>LIDKÖPING</t>
        </is>
      </c>
      <c r="G10916" t="n">
        <v>1.4</v>
      </c>
      <c r="H10916" t="n">
        <v>0</v>
      </c>
      <c r="I10916" t="n">
        <v>0</v>
      </c>
      <c r="J10916" t="n">
        <v>0</v>
      </c>
      <c r="K10916" t="n">
        <v>0</v>
      </c>
      <c r="L10916" t="n">
        <v>0</v>
      </c>
      <c r="M10916" t="n">
        <v>0</v>
      </c>
      <c r="N10916" t="n">
        <v>0</v>
      </c>
      <c r="O10916" t="n">
        <v>0</v>
      </c>
      <c r="P10916" t="n">
        <v>0</v>
      </c>
      <c r="Q10916" t="n">
        <v>0</v>
      </c>
      <c r="R10916" s="2" t="inlineStr"/>
    </row>
    <row r="10917" ht="15" customHeight="1">
      <c r="A10917" t="inlineStr">
        <is>
          <t>A 63590-2023</t>
        </is>
      </c>
      <c r="B10917" s="1" t="n">
        <v>45275</v>
      </c>
      <c r="C10917" s="1" t="n">
        <v>45952</v>
      </c>
      <c r="D10917" t="inlineStr">
        <is>
          <t>VÄSTRA GÖTALANDS LÄN</t>
        </is>
      </c>
      <c r="E10917" t="inlineStr">
        <is>
          <t>MARK</t>
        </is>
      </c>
      <c r="G10917" t="n">
        <v>4.4</v>
      </c>
      <c r="H10917" t="n">
        <v>0</v>
      </c>
      <c r="I10917" t="n">
        <v>0</v>
      </c>
      <c r="J10917" t="n">
        <v>0</v>
      </c>
      <c r="K10917" t="n">
        <v>0</v>
      </c>
      <c r="L10917" t="n">
        <v>0</v>
      </c>
      <c r="M10917" t="n">
        <v>0</v>
      </c>
      <c r="N10917" t="n">
        <v>0</v>
      </c>
      <c r="O10917" t="n">
        <v>0</v>
      </c>
      <c r="P10917" t="n">
        <v>0</v>
      </c>
      <c r="Q10917" t="n">
        <v>0</v>
      </c>
      <c r="R10917" s="2" t="inlineStr"/>
    </row>
    <row r="10918" ht="15" customHeight="1">
      <c r="A10918" t="inlineStr">
        <is>
          <t>A 63591-2023</t>
        </is>
      </c>
      <c r="B10918" s="1" t="n">
        <v>45275</v>
      </c>
      <c r="C10918" s="1" t="n">
        <v>45952</v>
      </c>
      <c r="D10918" t="inlineStr">
        <is>
          <t>VÄSTRA GÖTALANDS LÄN</t>
        </is>
      </c>
      <c r="E10918" t="inlineStr">
        <is>
          <t>MARK</t>
        </is>
      </c>
      <c r="G10918" t="n">
        <v>1</v>
      </c>
      <c r="H10918" t="n">
        <v>0</v>
      </c>
      <c r="I10918" t="n">
        <v>0</v>
      </c>
      <c r="J10918" t="n">
        <v>0</v>
      </c>
      <c r="K10918" t="n">
        <v>0</v>
      </c>
      <c r="L10918" t="n">
        <v>0</v>
      </c>
      <c r="M10918" t="n">
        <v>0</v>
      </c>
      <c r="N10918" t="n">
        <v>0</v>
      </c>
      <c r="O10918" t="n">
        <v>0</v>
      </c>
      <c r="P10918" t="n">
        <v>0</v>
      </c>
      <c r="Q10918" t="n">
        <v>0</v>
      </c>
      <c r="R10918" s="2" t="inlineStr"/>
    </row>
    <row r="10919" ht="15" customHeight="1">
      <c r="A10919" t="inlineStr">
        <is>
          <t>A 41687-2025</t>
        </is>
      </c>
      <c r="B10919" s="1" t="n">
        <v>45902.39866898148</v>
      </c>
      <c r="C10919" s="1" t="n">
        <v>45952</v>
      </c>
      <c r="D10919" t="inlineStr">
        <is>
          <t>VÄSTRA GÖTALANDS LÄN</t>
        </is>
      </c>
      <c r="E10919" t="inlineStr">
        <is>
          <t>BORÅS</t>
        </is>
      </c>
      <c r="G10919" t="n">
        <v>1.5</v>
      </c>
      <c r="H10919" t="n">
        <v>0</v>
      </c>
      <c r="I10919" t="n">
        <v>0</v>
      </c>
      <c r="J10919" t="n">
        <v>0</v>
      </c>
      <c r="K10919" t="n">
        <v>0</v>
      </c>
      <c r="L10919" t="n">
        <v>0</v>
      </c>
      <c r="M10919" t="n">
        <v>0</v>
      </c>
      <c r="N10919" t="n">
        <v>0</v>
      </c>
      <c r="O10919" t="n">
        <v>0</v>
      </c>
      <c r="P10919" t="n">
        <v>0</v>
      </c>
      <c r="Q10919" t="n">
        <v>0</v>
      </c>
      <c r="R10919" s="2" t="inlineStr"/>
    </row>
    <row r="10920" ht="15" customHeight="1">
      <c r="A10920" t="inlineStr">
        <is>
          <t>A 35814-2023</t>
        </is>
      </c>
      <c r="B10920" s="1" t="n">
        <v>45148</v>
      </c>
      <c r="C10920" s="1" t="n">
        <v>45952</v>
      </c>
      <c r="D10920" t="inlineStr">
        <is>
          <t>VÄSTRA GÖTALANDS LÄN</t>
        </is>
      </c>
      <c r="E10920" t="inlineStr">
        <is>
          <t>MUNKEDAL</t>
        </is>
      </c>
      <c r="G10920" t="n">
        <v>4.3</v>
      </c>
      <c r="H10920" t="n">
        <v>0</v>
      </c>
      <c r="I10920" t="n">
        <v>0</v>
      </c>
      <c r="J10920" t="n">
        <v>0</v>
      </c>
      <c r="K10920" t="n">
        <v>0</v>
      </c>
      <c r="L10920" t="n">
        <v>0</v>
      </c>
      <c r="M10920" t="n">
        <v>0</v>
      </c>
      <c r="N10920" t="n">
        <v>0</v>
      </c>
      <c r="O10920" t="n">
        <v>0</v>
      </c>
      <c r="P10920" t="n">
        <v>0</v>
      </c>
      <c r="Q10920" t="n">
        <v>0</v>
      </c>
      <c r="R10920" s="2" t="inlineStr"/>
    </row>
    <row r="10921" ht="15" customHeight="1">
      <c r="A10921" t="inlineStr">
        <is>
          <t>A 35836-2023</t>
        </is>
      </c>
      <c r="B10921" s="1" t="n">
        <v>45148</v>
      </c>
      <c r="C10921" s="1" t="n">
        <v>45952</v>
      </c>
      <c r="D10921" t="inlineStr">
        <is>
          <t>VÄSTRA GÖTALANDS LÄN</t>
        </is>
      </c>
      <c r="E10921" t="inlineStr">
        <is>
          <t>FALKÖPING</t>
        </is>
      </c>
      <c r="G10921" t="n">
        <v>1.5</v>
      </c>
      <c r="H10921" t="n">
        <v>0</v>
      </c>
      <c r="I10921" t="n">
        <v>0</v>
      </c>
      <c r="J10921" t="n">
        <v>0</v>
      </c>
      <c r="K10921" t="n">
        <v>0</v>
      </c>
      <c r="L10921" t="n">
        <v>0</v>
      </c>
      <c r="M10921" t="n">
        <v>0</v>
      </c>
      <c r="N10921" t="n">
        <v>0</v>
      </c>
      <c r="O10921" t="n">
        <v>0</v>
      </c>
      <c r="P10921" t="n">
        <v>0</v>
      </c>
      <c r="Q10921" t="n">
        <v>0</v>
      </c>
      <c r="R10921" s="2" t="inlineStr"/>
    </row>
    <row r="10922" ht="15" customHeight="1">
      <c r="A10922" t="inlineStr">
        <is>
          <t>A 41813-2025</t>
        </is>
      </c>
      <c r="B10922" s="1" t="n">
        <v>45902.65517361111</v>
      </c>
      <c r="C10922" s="1" t="n">
        <v>45952</v>
      </c>
      <c r="D10922" t="inlineStr">
        <is>
          <t>VÄSTRA GÖTALANDS LÄN</t>
        </is>
      </c>
      <c r="E10922" t="inlineStr">
        <is>
          <t>MUNKEDAL</t>
        </is>
      </c>
      <c r="G10922" t="n">
        <v>7.8</v>
      </c>
      <c r="H10922" t="n">
        <v>0</v>
      </c>
      <c r="I10922" t="n">
        <v>0</v>
      </c>
      <c r="J10922" t="n">
        <v>0</v>
      </c>
      <c r="K10922" t="n">
        <v>0</v>
      </c>
      <c r="L10922" t="n">
        <v>0</v>
      </c>
      <c r="M10922" t="n">
        <v>0</v>
      </c>
      <c r="N10922" t="n">
        <v>0</v>
      </c>
      <c r="O10922" t="n">
        <v>0</v>
      </c>
      <c r="P10922" t="n">
        <v>0</v>
      </c>
      <c r="Q10922" t="n">
        <v>0</v>
      </c>
      <c r="R10922" s="2" t="inlineStr"/>
    </row>
    <row r="10923" ht="15" customHeight="1">
      <c r="A10923" t="inlineStr">
        <is>
          <t>A 41031-2023</t>
        </is>
      </c>
      <c r="B10923" s="1" t="n">
        <v>45170</v>
      </c>
      <c r="C10923" s="1" t="n">
        <v>45952</v>
      </c>
      <c r="D10923" t="inlineStr">
        <is>
          <t>VÄSTRA GÖTALANDS LÄN</t>
        </is>
      </c>
      <c r="E10923" t="inlineStr">
        <is>
          <t>TANUM</t>
        </is>
      </c>
      <c r="G10923" t="n">
        <v>4.4</v>
      </c>
      <c r="H10923" t="n">
        <v>0</v>
      </c>
      <c r="I10923" t="n">
        <v>0</v>
      </c>
      <c r="J10923" t="n">
        <v>0</v>
      </c>
      <c r="K10923" t="n">
        <v>0</v>
      </c>
      <c r="L10923" t="n">
        <v>0</v>
      </c>
      <c r="M10923" t="n">
        <v>0</v>
      </c>
      <c r="N10923" t="n">
        <v>0</v>
      </c>
      <c r="O10923" t="n">
        <v>0</v>
      </c>
      <c r="P10923" t="n">
        <v>0</v>
      </c>
      <c r="Q10923" t="n">
        <v>0</v>
      </c>
      <c r="R10923" s="2" t="inlineStr"/>
    </row>
    <row r="10924" ht="15" customHeight="1">
      <c r="A10924" t="inlineStr">
        <is>
          <t>A 21552-2022</t>
        </is>
      </c>
      <c r="B10924" s="1" t="n">
        <v>44706.56496527778</v>
      </c>
      <c r="C10924" s="1" t="n">
        <v>45952</v>
      </c>
      <c r="D10924" t="inlineStr">
        <is>
          <t>VÄSTRA GÖTALANDS LÄN</t>
        </is>
      </c>
      <c r="E10924" t="inlineStr">
        <is>
          <t>BENGTSFORS</t>
        </is>
      </c>
      <c r="G10924" t="n">
        <v>0.8</v>
      </c>
      <c r="H10924" t="n">
        <v>0</v>
      </c>
      <c r="I10924" t="n">
        <v>0</v>
      </c>
      <c r="J10924" t="n">
        <v>0</v>
      </c>
      <c r="K10924" t="n">
        <v>0</v>
      </c>
      <c r="L10924" t="n">
        <v>0</v>
      </c>
      <c r="M10924" t="n">
        <v>0</v>
      </c>
      <c r="N10924" t="n">
        <v>0</v>
      </c>
      <c r="O10924" t="n">
        <v>0</v>
      </c>
      <c r="P10924" t="n">
        <v>0</v>
      </c>
      <c r="Q10924" t="n">
        <v>0</v>
      </c>
      <c r="R10924" s="2" t="inlineStr"/>
    </row>
    <row r="10925" ht="15" customHeight="1">
      <c r="A10925" t="inlineStr">
        <is>
          <t>A 40552-2024</t>
        </is>
      </c>
      <c r="B10925" s="1" t="n">
        <v>45555.64620370371</v>
      </c>
      <c r="C10925" s="1" t="n">
        <v>45952</v>
      </c>
      <c r="D10925" t="inlineStr">
        <is>
          <t>VÄSTRA GÖTALANDS LÄN</t>
        </is>
      </c>
      <c r="E10925" t="inlineStr">
        <is>
          <t>SVENLJUNGA</t>
        </is>
      </c>
      <c r="F10925" t="inlineStr">
        <is>
          <t>Kommuner</t>
        </is>
      </c>
      <c r="G10925" t="n">
        <v>0.2</v>
      </c>
      <c r="H10925" t="n">
        <v>0</v>
      </c>
      <c r="I10925" t="n">
        <v>0</v>
      </c>
      <c r="J10925" t="n">
        <v>0</v>
      </c>
      <c r="K10925" t="n">
        <v>0</v>
      </c>
      <c r="L10925" t="n">
        <v>0</v>
      </c>
      <c r="M10925" t="n">
        <v>0</v>
      </c>
      <c r="N10925" t="n">
        <v>0</v>
      </c>
      <c r="O10925" t="n">
        <v>0</v>
      </c>
      <c r="P10925" t="n">
        <v>0</v>
      </c>
      <c r="Q10925" t="n">
        <v>0</v>
      </c>
      <c r="R10925" s="2" t="inlineStr"/>
    </row>
    <row r="10926" ht="15" customHeight="1">
      <c r="A10926" t="inlineStr">
        <is>
          <t>A 61552-2023</t>
        </is>
      </c>
      <c r="B10926" s="1" t="n">
        <v>45265</v>
      </c>
      <c r="C10926" s="1" t="n">
        <v>45952</v>
      </c>
      <c r="D10926" t="inlineStr">
        <is>
          <t>VÄSTRA GÖTALANDS LÄN</t>
        </is>
      </c>
      <c r="E10926" t="inlineStr">
        <is>
          <t>GRÄSTORP</t>
        </is>
      </c>
      <c r="G10926" t="n">
        <v>2</v>
      </c>
      <c r="H10926" t="n">
        <v>0</v>
      </c>
      <c r="I10926" t="n">
        <v>0</v>
      </c>
      <c r="J10926" t="n">
        <v>0</v>
      </c>
      <c r="K10926" t="n">
        <v>0</v>
      </c>
      <c r="L10926" t="n">
        <v>0</v>
      </c>
      <c r="M10926" t="n">
        <v>0</v>
      </c>
      <c r="N10926" t="n">
        <v>0</v>
      </c>
      <c r="O10926" t="n">
        <v>0</v>
      </c>
      <c r="P10926" t="n">
        <v>0</v>
      </c>
      <c r="Q10926" t="n">
        <v>0</v>
      </c>
      <c r="R10926" s="2" t="inlineStr"/>
    </row>
    <row r="10927" ht="15" customHeight="1">
      <c r="A10927" t="inlineStr">
        <is>
          <t>A 40598-2024</t>
        </is>
      </c>
      <c r="B10927" s="1" t="n">
        <v>45556.34140046296</v>
      </c>
      <c r="C10927" s="1" t="n">
        <v>45952</v>
      </c>
      <c r="D10927" t="inlineStr">
        <is>
          <t>VÄSTRA GÖTALANDS LÄN</t>
        </is>
      </c>
      <c r="E10927" t="inlineStr">
        <is>
          <t>TÖREBODA</t>
        </is>
      </c>
      <c r="G10927" t="n">
        <v>2.4</v>
      </c>
      <c r="H10927" t="n">
        <v>0</v>
      </c>
      <c r="I10927" t="n">
        <v>0</v>
      </c>
      <c r="J10927" t="n">
        <v>0</v>
      </c>
      <c r="K10927" t="n">
        <v>0</v>
      </c>
      <c r="L10927" t="n">
        <v>0</v>
      </c>
      <c r="M10927" t="n">
        <v>0</v>
      </c>
      <c r="N10927" t="n">
        <v>0</v>
      </c>
      <c r="O10927" t="n">
        <v>0</v>
      </c>
      <c r="P10927" t="n">
        <v>0</v>
      </c>
      <c r="Q10927" t="n">
        <v>0</v>
      </c>
      <c r="R10927" s="2" t="inlineStr"/>
    </row>
    <row r="10928" ht="15" customHeight="1">
      <c r="A10928" t="inlineStr">
        <is>
          <t>A 19514-2025</t>
        </is>
      </c>
      <c r="B10928" s="1" t="n">
        <v>45770.4296875</v>
      </c>
      <c r="C10928" s="1" t="n">
        <v>45952</v>
      </c>
      <c r="D10928" t="inlineStr">
        <is>
          <t>VÄSTRA GÖTALANDS LÄN</t>
        </is>
      </c>
      <c r="E10928" t="inlineStr">
        <is>
          <t>MARK</t>
        </is>
      </c>
      <c r="G10928" t="n">
        <v>1.8</v>
      </c>
      <c r="H10928" t="n">
        <v>0</v>
      </c>
      <c r="I10928" t="n">
        <v>0</v>
      </c>
      <c r="J10928" t="n">
        <v>0</v>
      </c>
      <c r="K10928" t="n">
        <v>0</v>
      </c>
      <c r="L10928" t="n">
        <v>0</v>
      </c>
      <c r="M10928" t="n">
        <v>0</v>
      </c>
      <c r="N10928" t="n">
        <v>0</v>
      </c>
      <c r="O10928" t="n">
        <v>0</v>
      </c>
      <c r="P10928" t="n">
        <v>0</v>
      </c>
      <c r="Q10928" t="n">
        <v>0</v>
      </c>
      <c r="R10928" s="2" t="inlineStr"/>
    </row>
    <row r="10929" ht="15" customHeight="1">
      <c r="A10929" t="inlineStr">
        <is>
          <t>A 42330-2023</t>
        </is>
      </c>
      <c r="B10929" s="1" t="n">
        <v>45180</v>
      </c>
      <c r="C10929" s="1" t="n">
        <v>45952</v>
      </c>
      <c r="D10929" t="inlineStr">
        <is>
          <t>VÄSTRA GÖTALANDS LÄN</t>
        </is>
      </c>
      <c r="E10929" t="inlineStr">
        <is>
          <t>VÅRGÅRDA</t>
        </is>
      </c>
      <c r="G10929" t="n">
        <v>0.6</v>
      </c>
      <c r="H10929" t="n">
        <v>0</v>
      </c>
      <c r="I10929" t="n">
        <v>0</v>
      </c>
      <c r="J10929" t="n">
        <v>0</v>
      </c>
      <c r="K10929" t="n">
        <v>0</v>
      </c>
      <c r="L10929" t="n">
        <v>0</v>
      </c>
      <c r="M10929" t="n">
        <v>0</v>
      </c>
      <c r="N10929" t="n">
        <v>0</v>
      </c>
      <c r="O10929" t="n">
        <v>0</v>
      </c>
      <c r="P10929" t="n">
        <v>0</v>
      </c>
      <c r="Q10929" t="n">
        <v>0</v>
      </c>
      <c r="R10929" s="2" t="inlineStr"/>
    </row>
    <row r="10930" ht="15" customHeight="1">
      <c r="A10930" t="inlineStr">
        <is>
          <t>A 36416-2023</t>
        </is>
      </c>
      <c r="B10930" s="1" t="n">
        <v>45151</v>
      </c>
      <c r="C10930" s="1" t="n">
        <v>45952</v>
      </c>
      <c r="D10930" t="inlineStr">
        <is>
          <t>VÄSTRA GÖTALANDS LÄN</t>
        </is>
      </c>
      <c r="E10930" t="inlineStr">
        <is>
          <t>BENGTSFORS</t>
        </is>
      </c>
      <c r="G10930" t="n">
        <v>1.8</v>
      </c>
      <c r="H10930" t="n">
        <v>0</v>
      </c>
      <c r="I10930" t="n">
        <v>0</v>
      </c>
      <c r="J10930" t="n">
        <v>0</v>
      </c>
      <c r="K10930" t="n">
        <v>0</v>
      </c>
      <c r="L10930" t="n">
        <v>0</v>
      </c>
      <c r="M10930" t="n">
        <v>0</v>
      </c>
      <c r="N10930" t="n">
        <v>0</v>
      </c>
      <c r="O10930" t="n">
        <v>0</v>
      </c>
      <c r="P10930" t="n">
        <v>0</v>
      </c>
      <c r="Q10930" t="n">
        <v>0</v>
      </c>
      <c r="R10930" s="2" t="inlineStr"/>
    </row>
    <row r="10931" ht="15" customHeight="1">
      <c r="A10931" t="inlineStr">
        <is>
          <t>A 13970-2023</t>
        </is>
      </c>
      <c r="B10931" s="1" t="n">
        <v>45008.48313657408</v>
      </c>
      <c r="C10931" s="1" t="n">
        <v>45952</v>
      </c>
      <c r="D10931" t="inlineStr">
        <is>
          <t>VÄSTRA GÖTALANDS LÄN</t>
        </is>
      </c>
      <c r="E10931" t="inlineStr">
        <is>
          <t>BENGTSFORS</t>
        </is>
      </c>
      <c r="G10931" t="n">
        <v>1.3</v>
      </c>
      <c r="H10931" t="n">
        <v>0</v>
      </c>
      <c r="I10931" t="n">
        <v>0</v>
      </c>
      <c r="J10931" t="n">
        <v>0</v>
      </c>
      <c r="K10931" t="n">
        <v>0</v>
      </c>
      <c r="L10931" t="n">
        <v>0</v>
      </c>
      <c r="M10931" t="n">
        <v>0</v>
      </c>
      <c r="N10931" t="n">
        <v>0</v>
      </c>
      <c r="O10931" t="n">
        <v>0</v>
      </c>
      <c r="P10931" t="n">
        <v>0</v>
      </c>
      <c r="Q10931" t="n">
        <v>0</v>
      </c>
      <c r="R10931" s="2" t="inlineStr"/>
    </row>
    <row r="10932" ht="15" customHeight="1">
      <c r="A10932" t="inlineStr">
        <is>
          <t>A 36423-2023</t>
        </is>
      </c>
      <c r="B10932" s="1" t="n">
        <v>45151</v>
      </c>
      <c r="C10932" s="1" t="n">
        <v>45952</v>
      </c>
      <c r="D10932" t="inlineStr">
        <is>
          <t>VÄSTRA GÖTALANDS LÄN</t>
        </is>
      </c>
      <c r="E10932" t="inlineStr">
        <is>
          <t>BENGTSFORS</t>
        </is>
      </c>
      <c r="G10932" t="n">
        <v>1.3</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3592-2025</t>
        </is>
      </c>
      <c r="B10933" s="1" t="n">
        <v>45679</v>
      </c>
      <c r="C10933" s="1" t="n">
        <v>45952</v>
      </c>
      <c r="D10933" t="inlineStr">
        <is>
          <t>VÄSTRA GÖTALANDS LÄN</t>
        </is>
      </c>
      <c r="E10933" t="inlineStr">
        <is>
          <t>HERRLJUNGA</t>
        </is>
      </c>
      <c r="G10933" t="n">
        <v>2.6</v>
      </c>
      <c r="H10933" t="n">
        <v>0</v>
      </c>
      <c r="I10933" t="n">
        <v>0</v>
      </c>
      <c r="J10933" t="n">
        <v>0</v>
      </c>
      <c r="K10933" t="n">
        <v>0</v>
      </c>
      <c r="L10933" t="n">
        <v>0</v>
      </c>
      <c r="M10933" t="n">
        <v>0</v>
      </c>
      <c r="N10933" t="n">
        <v>0</v>
      </c>
      <c r="O10933" t="n">
        <v>0</v>
      </c>
      <c r="P10933" t="n">
        <v>0</v>
      </c>
      <c r="Q10933" t="n">
        <v>0</v>
      </c>
      <c r="R10933" s="2" t="inlineStr"/>
    </row>
    <row r="10934" ht="15" customHeight="1">
      <c r="A10934" t="inlineStr">
        <is>
          <t>A 23895-2024</t>
        </is>
      </c>
      <c r="B10934" s="1" t="n">
        <v>45455.67287037037</v>
      </c>
      <c r="C10934" s="1" t="n">
        <v>45952</v>
      </c>
      <c r="D10934" t="inlineStr">
        <is>
          <t>VÄSTRA GÖTALANDS LÄN</t>
        </is>
      </c>
      <c r="E10934" t="inlineStr">
        <is>
          <t>UDDEVALLA</t>
        </is>
      </c>
      <c r="G10934" t="n">
        <v>1.5</v>
      </c>
      <c r="H10934" t="n">
        <v>0</v>
      </c>
      <c r="I10934" t="n">
        <v>0</v>
      </c>
      <c r="J10934" t="n">
        <v>0</v>
      </c>
      <c r="K10934" t="n">
        <v>0</v>
      </c>
      <c r="L10934" t="n">
        <v>0</v>
      </c>
      <c r="M10934" t="n">
        <v>0</v>
      </c>
      <c r="N10934" t="n">
        <v>0</v>
      </c>
      <c r="O10934" t="n">
        <v>0</v>
      </c>
      <c r="P10934" t="n">
        <v>0</v>
      </c>
      <c r="Q10934" t="n">
        <v>0</v>
      </c>
      <c r="R10934" s="2" t="inlineStr"/>
    </row>
    <row r="10935" ht="15" customHeight="1">
      <c r="A10935" t="inlineStr">
        <is>
          <t>A 26864-2024</t>
        </is>
      </c>
      <c r="B10935" s="1" t="n">
        <v>45470.60967592592</v>
      </c>
      <c r="C10935" s="1" t="n">
        <v>45952</v>
      </c>
      <c r="D10935" t="inlineStr">
        <is>
          <t>VÄSTRA GÖTALANDS LÄN</t>
        </is>
      </c>
      <c r="E10935" t="inlineStr">
        <is>
          <t>DALS-ED</t>
        </is>
      </c>
      <c r="G10935" t="n">
        <v>2.6</v>
      </c>
      <c r="H10935" t="n">
        <v>0</v>
      </c>
      <c r="I10935" t="n">
        <v>0</v>
      </c>
      <c r="J10935" t="n">
        <v>0</v>
      </c>
      <c r="K10935" t="n">
        <v>0</v>
      </c>
      <c r="L10935" t="n">
        <v>0</v>
      </c>
      <c r="M10935" t="n">
        <v>0</v>
      </c>
      <c r="N10935" t="n">
        <v>0</v>
      </c>
      <c r="O10935" t="n">
        <v>0</v>
      </c>
      <c r="P10935" t="n">
        <v>0</v>
      </c>
      <c r="Q10935" t="n">
        <v>0</v>
      </c>
      <c r="R10935" s="2" t="inlineStr"/>
    </row>
    <row r="10936" ht="15" customHeight="1">
      <c r="A10936" t="inlineStr">
        <is>
          <t>A 47912-2023</t>
        </is>
      </c>
      <c r="B10936" s="1" t="n">
        <v>45204.51583333333</v>
      </c>
      <c r="C10936" s="1" t="n">
        <v>45952</v>
      </c>
      <c r="D10936" t="inlineStr">
        <is>
          <t>VÄSTRA GÖTALANDS LÄN</t>
        </is>
      </c>
      <c r="E10936" t="inlineStr">
        <is>
          <t>TIDAHOLM</t>
        </is>
      </c>
      <c r="G10936" t="n">
        <v>4.9</v>
      </c>
      <c r="H10936" t="n">
        <v>0</v>
      </c>
      <c r="I10936" t="n">
        <v>0</v>
      </c>
      <c r="J10936" t="n">
        <v>0</v>
      </c>
      <c r="K10936" t="n">
        <v>0</v>
      </c>
      <c r="L10936" t="n">
        <v>0</v>
      </c>
      <c r="M10936" t="n">
        <v>0</v>
      </c>
      <c r="N10936" t="n">
        <v>0</v>
      </c>
      <c r="O10936" t="n">
        <v>0</v>
      </c>
      <c r="P10936" t="n">
        <v>0</v>
      </c>
      <c r="Q10936" t="n">
        <v>0</v>
      </c>
      <c r="R10936" s="2" t="inlineStr"/>
    </row>
    <row r="10937" ht="15" customHeight="1">
      <c r="A10937" t="inlineStr">
        <is>
          <t>A 13423-2024</t>
        </is>
      </c>
      <c r="B10937" s="1" t="n">
        <v>45387.47238425926</v>
      </c>
      <c r="C10937" s="1" t="n">
        <v>45952</v>
      </c>
      <c r="D10937" t="inlineStr">
        <is>
          <t>VÄSTRA GÖTALANDS LÄN</t>
        </is>
      </c>
      <c r="E10937" t="inlineStr">
        <is>
          <t>TANUM</t>
        </is>
      </c>
      <c r="G10937" t="n">
        <v>3.6</v>
      </c>
      <c r="H10937" t="n">
        <v>0</v>
      </c>
      <c r="I10937" t="n">
        <v>0</v>
      </c>
      <c r="J10937" t="n">
        <v>0</v>
      </c>
      <c r="K10937" t="n">
        <v>0</v>
      </c>
      <c r="L10937" t="n">
        <v>0</v>
      </c>
      <c r="M10937" t="n">
        <v>0</v>
      </c>
      <c r="N10937" t="n">
        <v>0</v>
      </c>
      <c r="O10937" t="n">
        <v>0</v>
      </c>
      <c r="P10937" t="n">
        <v>0</v>
      </c>
      <c r="Q10937" t="n">
        <v>0</v>
      </c>
      <c r="R10937" s="2" t="inlineStr"/>
    </row>
    <row r="10938" ht="15" customHeight="1">
      <c r="A10938" t="inlineStr">
        <is>
          <t>A 26618-2025</t>
        </is>
      </c>
      <c r="B10938" s="1" t="n">
        <v>45810.30840277778</v>
      </c>
      <c r="C10938" s="1" t="n">
        <v>45952</v>
      </c>
      <c r="D10938" t="inlineStr">
        <is>
          <t>VÄSTRA GÖTALANDS LÄN</t>
        </is>
      </c>
      <c r="E10938" t="inlineStr">
        <is>
          <t>SKÖVDE</t>
        </is>
      </c>
      <c r="G10938" t="n">
        <v>0.8</v>
      </c>
      <c r="H10938" t="n">
        <v>0</v>
      </c>
      <c r="I10938" t="n">
        <v>0</v>
      </c>
      <c r="J10938" t="n">
        <v>0</v>
      </c>
      <c r="K10938" t="n">
        <v>0</v>
      </c>
      <c r="L10938" t="n">
        <v>0</v>
      </c>
      <c r="M10938" t="n">
        <v>0</v>
      </c>
      <c r="N10938" t="n">
        <v>0</v>
      </c>
      <c r="O10938" t="n">
        <v>0</v>
      </c>
      <c r="P10938" t="n">
        <v>0</v>
      </c>
      <c r="Q10938" t="n">
        <v>0</v>
      </c>
      <c r="R10938" s="2" t="inlineStr"/>
    </row>
    <row r="10939" ht="15" customHeight="1">
      <c r="A10939" t="inlineStr">
        <is>
          <t>A 12532-2022</t>
        </is>
      </c>
      <c r="B10939" s="1" t="n">
        <v>44638</v>
      </c>
      <c r="C10939" s="1" t="n">
        <v>45952</v>
      </c>
      <c r="D10939" t="inlineStr">
        <is>
          <t>VÄSTRA GÖTALANDS LÄN</t>
        </is>
      </c>
      <c r="E10939" t="inlineStr">
        <is>
          <t>MARIESTAD</t>
        </is>
      </c>
      <c r="G10939" t="n">
        <v>3.1</v>
      </c>
      <c r="H10939" t="n">
        <v>0</v>
      </c>
      <c r="I10939" t="n">
        <v>0</v>
      </c>
      <c r="J10939" t="n">
        <v>0</v>
      </c>
      <c r="K10939" t="n">
        <v>0</v>
      </c>
      <c r="L10939" t="n">
        <v>0</v>
      </c>
      <c r="M10939" t="n">
        <v>0</v>
      </c>
      <c r="N10939" t="n">
        <v>0</v>
      </c>
      <c r="O10939" t="n">
        <v>0</v>
      </c>
      <c r="P10939" t="n">
        <v>0</v>
      </c>
      <c r="Q10939" t="n">
        <v>0</v>
      </c>
      <c r="R10939" s="2" t="inlineStr"/>
    </row>
    <row r="10940" ht="15" customHeight="1">
      <c r="A10940" t="inlineStr">
        <is>
          <t>A 12551-2022</t>
        </is>
      </c>
      <c r="B10940" s="1" t="n">
        <v>44638.75818287037</v>
      </c>
      <c r="C10940" s="1" t="n">
        <v>45952</v>
      </c>
      <c r="D10940" t="inlineStr">
        <is>
          <t>VÄSTRA GÖTALANDS LÄN</t>
        </is>
      </c>
      <c r="E10940" t="inlineStr">
        <is>
          <t>ULRICEHAMN</t>
        </is>
      </c>
      <c r="F10940" t="inlineStr">
        <is>
          <t>Kommuner</t>
        </is>
      </c>
      <c r="G10940" t="n">
        <v>5.8</v>
      </c>
      <c r="H10940" t="n">
        <v>0</v>
      </c>
      <c r="I10940" t="n">
        <v>0</v>
      </c>
      <c r="J10940" t="n">
        <v>0</v>
      </c>
      <c r="K10940" t="n">
        <v>0</v>
      </c>
      <c r="L10940" t="n">
        <v>0</v>
      </c>
      <c r="M10940" t="n">
        <v>0</v>
      </c>
      <c r="N10940" t="n">
        <v>0</v>
      </c>
      <c r="O10940" t="n">
        <v>0</v>
      </c>
      <c r="P10940" t="n">
        <v>0</v>
      </c>
      <c r="Q10940" t="n">
        <v>0</v>
      </c>
      <c r="R10940" s="2" t="inlineStr"/>
    </row>
    <row r="10941" ht="15" customHeight="1">
      <c r="A10941" t="inlineStr">
        <is>
          <t>A 12553-2022</t>
        </is>
      </c>
      <c r="B10941" s="1" t="n">
        <v>44638.76068287037</v>
      </c>
      <c r="C10941" s="1" t="n">
        <v>45952</v>
      </c>
      <c r="D10941" t="inlineStr">
        <is>
          <t>VÄSTRA GÖTALANDS LÄN</t>
        </is>
      </c>
      <c r="E10941" t="inlineStr">
        <is>
          <t>ULRICEHAMN</t>
        </is>
      </c>
      <c r="F10941" t="inlineStr">
        <is>
          <t>Kommuner</t>
        </is>
      </c>
      <c r="G10941" t="n">
        <v>2.5</v>
      </c>
      <c r="H10941" t="n">
        <v>0</v>
      </c>
      <c r="I10941" t="n">
        <v>0</v>
      </c>
      <c r="J10941" t="n">
        <v>0</v>
      </c>
      <c r="K10941" t="n">
        <v>0</v>
      </c>
      <c r="L10941" t="n">
        <v>0</v>
      </c>
      <c r="M10941" t="n">
        <v>0</v>
      </c>
      <c r="N10941" t="n">
        <v>0</v>
      </c>
      <c r="O10941" t="n">
        <v>0</v>
      </c>
      <c r="P10941" t="n">
        <v>0</v>
      </c>
      <c r="Q10941" t="n">
        <v>0</v>
      </c>
      <c r="R10941" s="2" t="inlineStr"/>
    </row>
    <row r="10942" ht="15" customHeight="1">
      <c r="A10942" t="inlineStr">
        <is>
          <t>A 28889-2022</t>
        </is>
      </c>
      <c r="B10942" s="1" t="n">
        <v>44749.5343287037</v>
      </c>
      <c r="C10942" s="1" t="n">
        <v>45952</v>
      </c>
      <c r="D10942" t="inlineStr">
        <is>
          <t>VÄSTRA GÖTALANDS LÄN</t>
        </is>
      </c>
      <c r="E10942" t="inlineStr">
        <is>
          <t>SVENLJUNGA</t>
        </is>
      </c>
      <c r="G10942" t="n">
        <v>1.7</v>
      </c>
      <c r="H10942" t="n">
        <v>0</v>
      </c>
      <c r="I10942" t="n">
        <v>0</v>
      </c>
      <c r="J10942" t="n">
        <v>0</v>
      </c>
      <c r="K10942" t="n">
        <v>0</v>
      </c>
      <c r="L10942" t="n">
        <v>0</v>
      </c>
      <c r="M10942" t="n">
        <v>0</v>
      </c>
      <c r="N10942" t="n">
        <v>0</v>
      </c>
      <c r="O10942" t="n">
        <v>0</v>
      </c>
      <c r="P10942" t="n">
        <v>0</v>
      </c>
      <c r="Q10942" t="n">
        <v>0</v>
      </c>
      <c r="R10942" s="2" t="inlineStr"/>
    </row>
    <row r="10943" ht="15" customHeight="1">
      <c r="A10943" t="inlineStr">
        <is>
          <t>A 39942-2023</t>
        </is>
      </c>
      <c r="B10943" s="1" t="n">
        <v>45167</v>
      </c>
      <c r="C10943" s="1" t="n">
        <v>45952</v>
      </c>
      <c r="D10943" t="inlineStr">
        <is>
          <t>VÄSTRA GÖTALANDS LÄN</t>
        </is>
      </c>
      <c r="E10943" t="inlineStr">
        <is>
          <t>MELLERUD</t>
        </is>
      </c>
      <c r="G10943" t="n">
        <v>1.5</v>
      </c>
      <c r="H10943" t="n">
        <v>0</v>
      </c>
      <c r="I10943" t="n">
        <v>0</v>
      </c>
      <c r="J10943" t="n">
        <v>0</v>
      </c>
      <c r="K10943" t="n">
        <v>0</v>
      </c>
      <c r="L10943" t="n">
        <v>0</v>
      </c>
      <c r="M10943" t="n">
        <v>0</v>
      </c>
      <c r="N10943" t="n">
        <v>0</v>
      </c>
      <c r="O10943" t="n">
        <v>0</v>
      </c>
      <c r="P10943" t="n">
        <v>0</v>
      </c>
      <c r="Q10943" t="n">
        <v>0</v>
      </c>
      <c r="R10943" s="2" t="inlineStr"/>
    </row>
    <row r="10944" ht="15" customHeight="1">
      <c r="A10944" t="inlineStr">
        <is>
          <t>A 68285-2021</t>
        </is>
      </c>
      <c r="B10944" s="1" t="n">
        <v>44526.68493055556</v>
      </c>
      <c r="C10944" s="1" t="n">
        <v>45952</v>
      </c>
      <c r="D10944" t="inlineStr">
        <is>
          <t>VÄSTRA GÖTALANDS LÄN</t>
        </is>
      </c>
      <c r="E10944" t="inlineStr">
        <is>
          <t>FÄRGELANDA</t>
        </is>
      </c>
      <c r="G10944" t="n">
        <v>1.6</v>
      </c>
      <c r="H10944" t="n">
        <v>0</v>
      </c>
      <c r="I10944" t="n">
        <v>0</v>
      </c>
      <c r="J10944" t="n">
        <v>0</v>
      </c>
      <c r="K10944" t="n">
        <v>0</v>
      </c>
      <c r="L10944" t="n">
        <v>0</v>
      </c>
      <c r="M10944" t="n">
        <v>0</v>
      </c>
      <c r="N10944" t="n">
        <v>0</v>
      </c>
      <c r="O10944" t="n">
        <v>0</v>
      </c>
      <c r="P10944" t="n">
        <v>0</v>
      </c>
      <c r="Q10944" t="n">
        <v>0</v>
      </c>
      <c r="R10944" s="2" t="inlineStr"/>
    </row>
    <row r="10945" ht="15" customHeight="1">
      <c r="A10945" t="inlineStr">
        <is>
          <t>A 50254-2025</t>
        </is>
      </c>
      <c r="B10945" s="1" t="n">
        <v>45944.33063657407</v>
      </c>
      <c r="C10945" s="1" t="n">
        <v>45952</v>
      </c>
      <c r="D10945" t="inlineStr">
        <is>
          <t>VÄSTRA GÖTALANDS LÄN</t>
        </is>
      </c>
      <c r="E10945" t="inlineStr">
        <is>
          <t>BORÅS</t>
        </is>
      </c>
      <c r="G10945" t="n">
        <v>1.6</v>
      </c>
      <c r="H10945" t="n">
        <v>0</v>
      </c>
      <c r="I10945" t="n">
        <v>0</v>
      </c>
      <c r="J10945" t="n">
        <v>0</v>
      </c>
      <c r="K10945" t="n">
        <v>0</v>
      </c>
      <c r="L10945" t="n">
        <v>0</v>
      </c>
      <c r="M10945" t="n">
        <v>0</v>
      </c>
      <c r="N10945" t="n">
        <v>0</v>
      </c>
      <c r="O10945" t="n">
        <v>0</v>
      </c>
      <c r="P10945" t="n">
        <v>0</v>
      </c>
      <c r="Q10945" t="n">
        <v>0</v>
      </c>
      <c r="R10945" s="2" t="inlineStr"/>
    </row>
    <row r="10946" ht="15" customHeight="1">
      <c r="A10946" t="inlineStr">
        <is>
          <t>A 11850-2021</t>
        </is>
      </c>
      <c r="B10946" s="1" t="n">
        <v>44265</v>
      </c>
      <c r="C10946" s="1" t="n">
        <v>45952</v>
      </c>
      <c r="D10946" t="inlineStr">
        <is>
          <t>VÄSTRA GÖTALANDS LÄN</t>
        </is>
      </c>
      <c r="E10946" t="inlineStr">
        <is>
          <t>UDDEVALLA</t>
        </is>
      </c>
      <c r="G10946" t="n">
        <v>7.6</v>
      </c>
      <c r="H10946" t="n">
        <v>0</v>
      </c>
      <c r="I10946" t="n">
        <v>0</v>
      </c>
      <c r="J10946" t="n">
        <v>0</v>
      </c>
      <c r="K10946" t="n">
        <v>0</v>
      </c>
      <c r="L10946" t="n">
        <v>0</v>
      </c>
      <c r="M10946" t="n">
        <v>0</v>
      </c>
      <c r="N10946" t="n">
        <v>0</v>
      </c>
      <c r="O10946" t="n">
        <v>0</v>
      </c>
      <c r="P10946" t="n">
        <v>0</v>
      </c>
      <c r="Q10946" t="n">
        <v>0</v>
      </c>
      <c r="R10946" s="2" t="inlineStr"/>
    </row>
    <row r="10947" ht="15" customHeight="1">
      <c r="A10947" t="inlineStr">
        <is>
          <t>A 50508-2025</t>
        </is>
      </c>
      <c r="B10947" s="1" t="n">
        <v>45945.43429398148</v>
      </c>
      <c r="C10947" s="1" t="n">
        <v>45952</v>
      </c>
      <c r="D10947" t="inlineStr">
        <is>
          <t>VÄSTRA GÖTALANDS LÄN</t>
        </is>
      </c>
      <c r="E10947" t="inlineStr">
        <is>
          <t>STENUNGSUND</t>
        </is>
      </c>
      <c r="G10947" t="n">
        <v>3.6</v>
      </c>
      <c r="H10947" t="n">
        <v>0</v>
      </c>
      <c r="I10947" t="n">
        <v>0</v>
      </c>
      <c r="J10947" t="n">
        <v>0</v>
      </c>
      <c r="K10947" t="n">
        <v>0</v>
      </c>
      <c r="L10947" t="n">
        <v>0</v>
      </c>
      <c r="M10947" t="n">
        <v>0</v>
      </c>
      <c r="N10947" t="n">
        <v>0</v>
      </c>
      <c r="O10947" t="n">
        <v>0</v>
      </c>
      <c r="P10947" t="n">
        <v>0</v>
      </c>
      <c r="Q10947" t="n">
        <v>0</v>
      </c>
      <c r="R10947" s="2" t="inlineStr"/>
    </row>
    <row r="10948" ht="15" customHeight="1">
      <c r="A10948" t="inlineStr">
        <is>
          <t>A 52763-2023</t>
        </is>
      </c>
      <c r="B10948" s="1" t="n">
        <v>45226.28296296296</v>
      </c>
      <c r="C10948" s="1" t="n">
        <v>45952</v>
      </c>
      <c r="D10948" t="inlineStr">
        <is>
          <t>VÄSTRA GÖTALANDS LÄN</t>
        </is>
      </c>
      <c r="E10948" t="inlineStr">
        <is>
          <t>ULRICEHAMN</t>
        </is>
      </c>
      <c r="G10948" t="n">
        <v>2.5</v>
      </c>
      <c r="H10948" t="n">
        <v>0</v>
      </c>
      <c r="I10948" t="n">
        <v>0</v>
      </c>
      <c r="J10948" t="n">
        <v>0</v>
      </c>
      <c r="K10948" t="n">
        <v>0</v>
      </c>
      <c r="L10948" t="n">
        <v>0</v>
      </c>
      <c r="M10948" t="n">
        <v>0</v>
      </c>
      <c r="N10948" t="n">
        <v>0</v>
      </c>
      <c r="O10948" t="n">
        <v>0</v>
      </c>
      <c r="P10948" t="n">
        <v>0</v>
      </c>
      <c r="Q10948" t="n">
        <v>0</v>
      </c>
      <c r="R10948" s="2" t="inlineStr"/>
    </row>
    <row r="10949" ht="15" customHeight="1">
      <c r="A10949" t="inlineStr">
        <is>
          <t>A 29026-2023</t>
        </is>
      </c>
      <c r="B10949" s="1" t="n">
        <v>45104.70768518518</v>
      </c>
      <c r="C10949" s="1" t="n">
        <v>45952</v>
      </c>
      <c r="D10949" t="inlineStr">
        <is>
          <t>VÄSTRA GÖTALANDS LÄN</t>
        </is>
      </c>
      <c r="E10949" t="inlineStr">
        <is>
          <t>BORÅS</t>
        </is>
      </c>
      <c r="G10949" t="n">
        <v>1.1</v>
      </c>
      <c r="H10949" t="n">
        <v>0</v>
      </c>
      <c r="I10949" t="n">
        <v>0</v>
      </c>
      <c r="J10949" t="n">
        <v>0</v>
      </c>
      <c r="K10949" t="n">
        <v>0</v>
      </c>
      <c r="L10949" t="n">
        <v>0</v>
      </c>
      <c r="M10949" t="n">
        <v>0</v>
      </c>
      <c r="N10949" t="n">
        <v>0</v>
      </c>
      <c r="O10949" t="n">
        <v>0</v>
      </c>
      <c r="P10949" t="n">
        <v>0</v>
      </c>
      <c r="Q10949" t="n">
        <v>0</v>
      </c>
      <c r="R10949" s="2" t="inlineStr"/>
    </row>
    <row r="10950" ht="15" customHeight="1">
      <c r="A10950" t="inlineStr">
        <is>
          <t>A 64199-2021</t>
        </is>
      </c>
      <c r="B10950" s="1" t="n">
        <v>44510</v>
      </c>
      <c r="C10950" s="1" t="n">
        <v>45952</v>
      </c>
      <c r="D10950" t="inlineStr">
        <is>
          <t>VÄSTRA GÖTALANDS LÄN</t>
        </is>
      </c>
      <c r="E10950" t="inlineStr">
        <is>
          <t>ALE</t>
        </is>
      </c>
      <c r="G10950" t="n">
        <v>5.7</v>
      </c>
      <c r="H10950" t="n">
        <v>0</v>
      </c>
      <c r="I10950" t="n">
        <v>0</v>
      </c>
      <c r="J10950" t="n">
        <v>0</v>
      </c>
      <c r="K10950" t="n">
        <v>0</v>
      </c>
      <c r="L10950" t="n">
        <v>0</v>
      </c>
      <c r="M10950" t="n">
        <v>0</v>
      </c>
      <c r="N10950" t="n">
        <v>0</v>
      </c>
      <c r="O10950" t="n">
        <v>0</v>
      </c>
      <c r="P10950" t="n">
        <v>0</v>
      </c>
      <c r="Q10950" t="n">
        <v>0</v>
      </c>
      <c r="R10950" s="2" t="inlineStr"/>
    </row>
    <row r="10951" ht="15" customHeight="1">
      <c r="A10951" t="inlineStr">
        <is>
          <t>A 68400-2021</t>
        </is>
      </c>
      <c r="B10951" s="1" t="n">
        <v>44529</v>
      </c>
      <c r="C10951" s="1" t="n">
        <v>45952</v>
      </c>
      <c r="D10951" t="inlineStr">
        <is>
          <t>VÄSTRA GÖTALANDS LÄN</t>
        </is>
      </c>
      <c r="E10951" t="inlineStr">
        <is>
          <t>TROLLHÄTTAN</t>
        </is>
      </c>
      <c r="G10951" t="n">
        <v>2.8</v>
      </c>
      <c r="H10951" t="n">
        <v>0</v>
      </c>
      <c r="I10951" t="n">
        <v>0</v>
      </c>
      <c r="J10951" t="n">
        <v>0</v>
      </c>
      <c r="K10951" t="n">
        <v>0</v>
      </c>
      <c r="L10951" t="n">
        <v>0</v>
      </c>
      <c r="M10951" t="n">
        <v>0</v>
      </c>
      <c r="N10951" t="n">
        <v>0</v>
      </c>
      <c r="O10951" t="n">
        <v>0</v>
      </c>
      <c r="P10951" t="n">
        <v>0</v>
      </c>
      <c r="Q10951" t="n">
        <v>0</v>
      </c>
      <c r="R10951" s="2" t="inlineStr"/>
    </row>
    <row r="10952" ht="15" customHeight="1">
      <c r="A10952" t="inlineStr">
        <is>
          <t>A 50556-2025</t>
        </is>
      </c>
      <c r="B10952" s="1" t="n">
        <v>45945.53465277778</v>
      </c>
      <c r="C10952" s="1" t="n">
        <v>45952</v>
      </c>
      <c r="D10952" t="inlineStr">
        <is>
          <t>VÄSTRA GÖTALANDS LÄN</t>
        </is>
      </c>
      <c r="E10952" t="inlineStr">
        <is>
          <t>TANUM</t>
        </is>
      </c>
      <c r="G10952" t="n">
        <v>2.2</v>
      </c>
      <c r="H10952" t="n">
        <v>0</v>
      </c>
      <c r="I10952" t="n">
        <v>0</v>
      </c>
      <c r="J10952" t="n">
        <v>0</v>
      </c>
      <c r="K10952" t="n">
        <v>0</v>
      </c>
      <c r="L10952" t="n">
        <v>0</v>
      </c>
      <c r="M10952" t="n">
        <v>0</v>
      </c>
      <c r="N10952" t="n">
        <v>0</v>
      </c>
      <c r="O10952" t="n">
        <v>0</v>
      </c>
      <c r="P10952" t="n">
        <v>0</v>
      </c>
      <c r="Q10952" t="n">
        <v>0</v>
      </c>
      <c r="R10952" s="2" t="inlineStr"/>
    </row>
    <row r="10953" ht="15" customHeight="1">
      <c r="A10953" t="inlineStr">
        <is>
          <t>A 52853-2023</t>
        </is>
      </c>
      <c r="B10953" s="1" t="n">
        <v>45226.44390046296</v>
      </c>
      <c r="C10953" s="1" t="n">
        <v>45952</v>
      </c>
      <c r="D10953" t="inlineStr">
        <is>
          <t>VÄSTRA GÖTALANDS LÄN</t>
        </is>
      </c>
      <c r="E10953" t="inlineStr">
        <is>
          <t>LIDKÖPING</t>
        </is>
      </c>
      <c r="G10953" t="n">
        <v>1.6</v>
      </c>
      <c r="H10953" t="n">
        <v>0</v>
      </c>
      <c r="I10953" t="n">
        <v>0</v>
      </c>
      <c r="J10953" t="n">
        <v>0</v>
      </c>
      <c r="K10953" t="n">
        <v>0</v>
      </c>
      <c r="L10953" t="n">
        <v>0</v>
      </c>
      <c r="M10953" t="n">
        <v>0</v>
      </c>
      <c r="N10953" t="n">
        <v>0</v>
      </c>
      <c r="O10953" t="n">
        <v>0</v>
      </c>
      <c r="P10953" t="n">
        <v>0</v>
      </c>
      <c r="Q10953" t="n">
        <v>0</v>
      </c>
      <c r="R10953" s="2" t="inlineStr"/>
    </row>
    <row r="10954" ht="15" customHeight="1">
      <c r="A10954" t="inlineStr">
        <is>
          <t>A 8969-2023</t>
        </is>
      </c>
      <c r="B10954" s="1" t="n">
        <v>44979.50427083333</v>
      </c>
      <c r="C10954" s="1" t="n">
        <v>45952</v>
      </c>
      <c r="D10954" t="inlineStr">
        <is>
          <t>VÄSTRA GÖTALANDS LÄN</t>
        </is>
      </c>
      <c r="E10954" t="inlineStr">
        <is>
          <t>TIBRO</t>
        </is>
      </c>
      <c r="G10954" t="n">
        <v>0.6</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49471-2023</t>
        </is>
      </c>
      <c r="B10955" s="1" t="n">
        <v>45211</v>
      </c>
      <c r="C10955" s="1" t="n">
        <v>45952</v>
      </c>
      <c r="D10955" t="inlineStr">
        <is>
          <t>VÄSTRA GÖTALANDS LÄN</t>
        </is>
      </c>
      <c r="E10955" t="inlineStr">
        <is>
          <t>BORÅS</t>
        </is>
      </c>
      <c r="G10955" t="n">
        <v>0.6</v>
      </c>
      <c r="H10955" t="n">
        <v>0</v>
      </c>
      <c r="I10955" t="n">
        <v>0</v>
      </c>
      <c r="J10955" t="n">
        <v>0</v>
      </c>
      <c r="K10955" t="n">
        <v>0</v>
      </c>
      <c r="L10955" t="n">
        <v>0</v>
      </c>
      <c r="M10955" t="n">
        <v>0</v>
      </c>
      <c r="N10955" t="n">
        <v>0</v>
      </c>
      <c r="O10955" t="n">
        <v>0</v>
      </c>
      <c r="P10955" t="n">
        <v>0</v>
      </c>
      <c r="Q10955" t="n">
        <v>0</v>
      </c>
      <c r="R10955" s="2" t="inlineStr"/>
    </row>
    <row r="10956" ht="15" customHeight="1">
      <c r="A10956" t="inlineStr">
        <is>
          <t>A 49472-2023</t>
        </is>
      </c>
      <c r="B10956" s="1" t="n">
        <v>45211</v>
      </c>
      <c r="C10956" s="1" t="n">
        <v>45952</v>
      </c>
      <c r="D10956" t="inlineStr">
        <is>
          <t>VÄSTRA GÖTALANDS LÄN</t>
        </is>
      </c>
      <c r="E10956" t="inlineStr">
        <is>
          <t>ALINGSÅS</t>
        </is>
      </c>
      <c r="G10956" t="n">
        <v>5.1</v>
      </c>
      <c r="H10956" t="n">
        <v>0</v>
      </c>
      <c r="I10956" t="n">
        <v>0</v>
      </c>
      <c r="J10956" t="n">
        <v>0</v>
      </c>
      <c r="K10956" t="n">
        <v>0</v>
      </c>
      <c r="L10956" t="n">
        <v>0</v>
      </c>
      <c r="M10956" t="n">
        <v>0</v>
      </c>
      <c r="N10956" t="n">
        <v>0</v>
      </c>
      <c r="O10956" t="n">
        <v>0</v>
      </c>
      <c r="P10956" t="n">
        <v>0</v>
      </c>
      <c r="Q10956" t="n">
        <v>0</v>
      </c>
      <c r="R10956" s="2" t="inlineStr"/>
    </row>
    <row r="10957" ht="15" customHeight="1">
      <c r="A10957" t="inlineStr">
        <is>
          <t>A 49538-2023</t>
        </is>
      </c>
      <c r="B10957" s="1" t="n">
        <v>45211</v>
      </c>
      <c r="C10957" s="1" t="n">
        <v>45952</v>
      </c>
      <c r="D10957" t="inlineStr">
        <is>
          <t>VÄSTRA GÖTALANDS LÄN</t>
        </is>
      </c>
      <c r="E10957" t="inlineStr">
        <is>
          <t>SVENLJUNGA</t>
        </is>
      </c>
      <c r="G10957" t="n">
        <v>3.9</v>
      </c>
      <c r="H10957" t="n">
        <v>0</v>
      </c>
      <c r="I10957" t="n">
        <v>0</v>
      </c>
      <c r="J10957" t="n">
        <v>0</v>
      </c>
      <c r="K10957" t="n">
        <v>0</v>
      </c>
      <c r="L10957" t="n">
        <v>0</v>
      </c>
      <c r="M10957" t="n">
        <v>0</v>
      </c>
      <c r="N10957" t="n">
        <v>0</v>
      </c>
      <c r="O10957" t="n">
        <v>0</v>
      </c>
      <c r="P10957" t="n">
        <v>0</v>
      </c>
      <c r="Q10957" t="n">
        <v>0</v>
      </c>
      <c r="R10957" s="2" t="inlineStr"/>
    </row>
    <row r="10958" ht="15" customHeight="1">
      <c r="A10958" t="inlineStr">
        <is>
          <t>A 39472-2023</t>
        </is>
      </c>
      <c r="B10958" s="1" t="n">
        <v>45166.87391203704</v>
      </c>
      <c r="C10958" s="1" t="n">
        <v>45952</v>
      </c>
      <c r="D10958" t="inlineStr">
        <is>
          <t>VÄSTRA GÖTALANDS LÄN</t>
        </is>
      </c>
      <c r="E10958" t="inlineStr">
        <is>
          <t>ALINGSÅS</t>
        </is>
      </c>
      <c r="G10958" t="n">
        <v>5</v>
      </c>
      <c r="H10958" t="n">
        <v>0</v>
      </c>
      <c r="I10958" t="n">
        <v>0</v>
      </c>
      <c r="J10958" t="n">
        <v>0</v>
      </c>
      <c r="K10958" t="n">
        <v>0</v>
      </c>
      <c r="L10958" t="n">
        <v>0</v>
      </c>
      <c r="M10958" t="n">
        <v>0</v>
      </c>
      <c r="N10958" t="n">
        <v>0</v>
      </c>
      <c r="O10958" t="n">
        <v>0</v>
      </c>
      <c r="P10958" t="n">
        <v>0</v>
      </c>
      <c r="Q10958" t="n">
        <v>0</v>
      </c>
      <c r="R10958" s="2" t="inlineStr"/>
    </row>
    <row r="10959" ht="15" customHeight="1">
      <c r="A10959" t="inlineStr">
        <is>
          <t>A 50579-2025</t>
        </is>
      </c>
      <c r="B10959" s="1" t="n">
        <v>45945.58449074074</v>
      </c>
      <c r="C10959" s="1" t="n">
        <v>45952</v>
      </c>
      <c r="D10959" t="inlineStr">
        <is>
          <t>VÄSTRA GÖTALANDS LÄN</t>
        </is>
      </c>
      <c r="E10959" t="inlineStr">
        <is>
          <t>STRÖMSTAD</t>
        </is>
      </c>
      <c r="G10959" t="n">
        <v>2.2</v>
      </c>
      <c r="H10959" t="n">
        <v>0</v>
      </c>
      <c r="I10959" t="n">
        <v>0</v>
      </c>
      <c r="J10959" t="n">
        <v>0</v>
      </c>
      <c r="K10959" t="n">
        <v>0</v>
      </c>
      <c r="L10959" t="n">
        <v>0</v>
      </c>
      <c r="M10959" t="n">
        <v>0</v>
      </c>
      <c r="N10959" t="n">
        <v>0</v>
      </c>
      <c r="O10959" t="n">
        <v>0</v>
      </c>
      <c r="P10959" t="n">
        <v>0</v>
      </c>
      <c r="Q10959" t="n">
        <v>0</v>
      </c>
      <c r="R10959" s="2" t="inlineStr"/>
    </row>
    <row r="10960" ht="15" customHeight="1">
      <c r="A10960" t="inlineStr">
        <is>
          <t>A 911-2025</t>
        </is>
      </c>
      <c r="B10960" s="1" t="n">
        <v>45665.75994212963</v>
      </c>
      <c r="C10960" s="1" t="n">
        <v>45952</v>
      </c>
      <c r="D10960" t="inlineStr">
        <is>
          <t>VÄSTRA GÖTALANDS LÄN</t>
        </is>
      </c>
      <c r="E10960" t="inlineStr">
        <is>
          <t>TRANEMO</t>
        </is>
      </c>
      <c r="G10960" t="n">
        <v>7.2</v>
      </c>
      <c r="H10960" t="n">
        <v>0</v>
      </c>
      <c r="I10960" t="n">
        <v>0</v>
      </c>
      <c r="J10960" t="n">
        <v>0</v>
      </c>
      <c r="K10960" t="n">
        <v>0</v>
      </c>
      <c r="L10960" t="n">
        <v>0</v>
      </c>
      <c r="M10960" t="n">
        <v>0</v>
      </c>
      <c r="N10960" t="n">
        <v>0</v>
      </c>
      <c r="O10960" t="n">
        <v>0</v>
      </c>
      <c r="P10960" t="n">
        <v>0</v>
      </c>
      <c r="Q10960" t="n">
        <v>0</v>
      </c>
      <c r="R10960" s="2" t="inlineStr"/>
    </row>
    <row r="10961" ht="15" customHeight="1">
      <c r="A10961" t="inlineStr">
        <is>
          <t>A 35055-2025</t>
        </is>
      </c>
      <c r="B10961" s="1" t="n">
        <v>45852</v>
      </c>
      <c r="C10961" s="1" t="n">
        <v>45952</v>
      </c>
      <c r="D10961" t="inlineStr">
        <is>
          <t>VÄSTRA GÖTALANDS LÄN</t>
        </is>
      </c>
      <c r="E10961" t="inlineStr">
        <is>
          <t>VÅRGÅRDA</t>
        </is>
      </c>
      <c r="G10961" t="n">
        <v>0.1</v>
      </c>
      <c r="H10961" t="n">
        <v>0</v>
      </c>
      <c r="I10961" t="n">
        <v>0</v>
      </c>
      <c r="J10961" t="n">
        <v>0</v>
      </c>
      <c r="K10961" t="n">
        <v>0</v>
      </c>
      <c r="L10961" t="n">
        <v>0</v>
      </c>
      <c r="M10961" t="n">
        <v>0</v>
      </c>
      <c r="N10961" t="n">
        <v>0</v>
      </c>
      <c r="O10961" t="n">
        <v>0</v>
      </c>
      <c r="P10961" t="n">
        <v>0</v>
      </c>
      <c r="Q10961" t="n">
        <v>0</v>
      </c>
      <c r="R10961" s="2" t="inlineStr"/>
    </row>
    <row r="10962" ht="15" customHeight="1">
      <c r="A10962" t="inlineStr">
        <is>
          <t>A 25908-2025</t>
        </is>
      </c>
      <c r="B10962" s="1" t="n">
        <v>45803</v>
      </c>
      <c r="C10962" s="1" t="n">
        <v>45952</v>
      </c>
      <c r="D10962" t="inlineStr">
        <is>
          <t>VÄSTRA GÖTALANDS LÄN</t>
        </is>
      </c>
      <c r="E10962" t="inlineStr">
        <is>
          <t>TÖREBODA</t>
        </is>
      </c>
      <c r="G10962" t="n">
        <v>1.4</v>
      </c>
      <c r="H10962" t="n">
        <v>0</v>
      </c>
      <c r="I10962" t="n">
        <v>0</v>
      </c>
      <c r="J10962" t="n">
        <v>0</v>
      </c>
      <c r="K10962" t="n">
        <v>0</v>
      </c>
      <c r="L10962" t="n">
        <v>0</v>
      </c>
      <c r="M10962" t="n">
        <v>0</v>
      </c>
      <c r="N10962" t="n">
        <v>0</v>
      </c>
      <c r="O10962" t="n">
        <v>0</v>
      </c>
      <c r="P10962" t="n">
        <v>0</v>
      </c>
      <c r="Q10962" t="n">
        <v>0</v>
      </c>
      <c r="R10962" s="2" t="inlineStr"/>
    </row>
    <row r="10963" ht="15" customHeight="1">
      <c r="A10963" t="inlineStr">
        <is>
          <t>A 27109-2025</t>
        </is>
      </c>
      <c r="B10963" s="1" t="n">
        <v>45811.73126157407</v>
      </c>
      <c r="C10963" s="1" t="n">
        <v>45952</v>
      </c>
      <c r="D10963" t="inlineStr">
        <is>
          <t>VÄSTRA GÖTALANDS LÄN</t>
        </is>
      </c>
      <c r="E10963" t="inlineStr">
        <is>
          <t>VÅRGÅRDA</t>
        </is>
      </c>
      <c r="G10963" t="n">
        <v>0.7</v>
      </c>
      <c r="H10963" t="n">
        <v>0</v>
      </c>
      <c r="I10963" t="n">
        <v>0</v>
      </c>
      <c r="J10963" t="n">
        <v>0</v>
      </c>
      <c r="K10963" t="n">
        <v>0</v>
      </c>
      <c r="L10963" t="n">
        <v>0</v>
      </c>
      <c r="M10963" t="n">
        <v>0</v>
      </c>
      <c r="N10963" t="n">
        <v>0</v>
      </c>
      <c r="O10963" t="n">
        <v>0</v>
      </c>
      <c r="P10963" t="n">
        <v>0</v>
      </c>
      <c r="Q10963" t="n">
        <v>0</v>
      </c>
      <c r="R10963" s="2" t="inlineStr"/>
    </row>
    <row r="10964" ht="15" customHeight="1">
      <c r="A10964" t="inlineStr">
        <is>
          <t>A 27110-2025</t>
        </is>
      </c>
      <c r="B10964" s="1" t="n">
        <v>45811.73269675926</v>
      </c>
      <c r="C10964" s="1" t="n">
        <v>45952</v>
      </c>
      <c r="D10964" t="inlineStr">
        <is>
          <t>VÄSTRA GÖTALANDS LÄN</t>
        </is>
      </c>
      <c r="E10964" t="inlineStr">
        <is>
          <t>VÅRGÅRDA</t>
        </is>
      </c>
      <c r="G10964" t="n">
        <v>1.5</v>
      </c>
      <c r="H10964" t="n">
        <v>0</v>
      </c>
      <c r="I10964" t="n">
        <v>0</v>
      </c>
      <c r="J10964" t="n">
        <v>0</v>
      </c>
      <c r="K10964" t="n">
        <v>0</v>
      </c>
      <c r="L10964" t="n">
        <v>0</v>
      </c>
      <c r="M10964" t="n">
        <v>0</v>
      </c>
      <c r="N10964" t="n">
        <v>0</v>
      </c>
      <c r="O10964" t="n">
        <v>0</v>
      </c>
      <c r="P10964" t="n">
        <v>0</v>
      </c>
      <c r="Q10964" t="n">
        <v>0</v>
      </c>
      <c r="R10964" s="2" t="inlineStr"/>
    </row>
    <row r="10965" ht="15" customHeight="1">
      <c r="A10965" t="inlineStr">
        <is>
          <t>A 26970-2025</t>
        </is>
      </c>
      <c r="B10965" s="1" t="n">
        <v>45811.48039351852</v>
      </c>
      <c r="C10965" s="1" t="n">
        <v>45952</v>
      </c>
      <c r="D10965" t="inlineStr">
        <is>
          <t>VÄSTRA GÖTALANDS LÄN</t>
        </is>
      </c>
      <c r="E10965" t="inlineStr">
        <is>
          <t>TIDAHOLM</t>
        </is>
      </c>
      <c r="G10965" t="n">
        <v>0.9</v>
      </c>
      <c r="H10965" t="n">
        <v>0</v>
      </c>
      <c r="I10965" t="n">
        <v>0</v>
      </c>
      <c r="J10965" t="n">
        <v>0</v>
      </c>
      <c r="K10965" t="n">
        <v>0</v>
      </c>
      <c r="L10965" t="n">
        <v>0</v>
      </c>
      <c r="M10965" t="n">
        <v>0</v>
      </c>
      <c r="N10965" t="n">
        <v>0</v>
      </c>
      <c r="O10965" t="n">
        <v>0</v>
      </c>
      <c r="P10965" t="n">
        <v>0</v>
      </c>
      <c r="Q10965" t="n">
        <v>0</v>
      </c>
      <c r="R10965" s="2" t="inlineStr"/>
    </row>
    <row r="10966" ht="15" customHeight="1">
      <c r="A10966" t="inlineStr">
        <is>
          <t>A 41985-2025</t>
        </is>
      </c>
      <c r="B10966" s="1" t="n">
        <v>45903.54034722222</v>
      </c>
      <c r="C10966" s="1" t="n">
        <v>45952</v>
      </c>
      <c r="D10966" t="inlineStr">
        <is>
          <t>VÄSTRA GÖTALANDS LÄN</t>
        </is>
      </c>
      <c r="E10966" t="inlineStr">
        <is>
          <t>BENGTSFORS</t>
        </is>
      </c>
      <c r="G10966" t="n">
        <v>3.1</v>
      </c>
      <c r="H10966" t="n">
        <v>0</v>
      </c>
      <c r="I10966" t="n">
        <v>0</v>
      </c>
      <c r="J10966" t="n">
        <v>0</v>
      </c>
      <c r="K10966" t="n">
        <v>0</v>
      </c>
      <c r="L10966" t="n">
        <v>0</v>
      </c>
      <c r="M10966" t="n">
        <v>0</v>
      </c>
      <c r="N10966" t="n">
        <v>0</v>
      </c>
      <c r="O10966" t="n">
        <v>0</v>
      </c>
      <c r="P10966" t="n">
        <v>0</v>
      </c>
      <c r="Q10966" t="n">
        <v>0</v>
      </c>
      <c r="R10966" s="2" t="inlineStr"/>
    </row>
    <row r="10967" ht="15" customHeight="1">
      <c r="A10967" t="inlineStr">
        <is>
          <t>A 41987-2025</t>
        </is>
      </c>
      <c r="B10967" s="1" t="n">
        <v>45903.54355324074</v>
      </c>
      <c r="C10967" s="1" t="n">
        <v>45952</v>
      </c>
      <c r="D10967" t="inlineStr">
        <is>
          <t>VÄSTRA GÖTALANDS LÄN</t>
        </is>
      </c>
      <c r="E10967" t="inlineStr">
        <is>
          <t>TANUM</t>
        </is>
      </c>
      <c r="G10967" t="n">
        <v>0.9</v>
      </c>
      <c r="H10967" t="n">
        <v>0</v>
      </c>
      <c r="I10967" t="n">
        <v>0</v>
      </c>
      <c r="J10967" t="n">
        <v>0</v>
      </c>
      <c r="K10967" t="n">
        <v>0</v>
      </c>
      <c r="L10967" t="n">
        <v>0</v>
      </c>
      <c r="M10967" t="n">
        <v>0</v>
      </c>
      <c r="N10967" t="n">
        <v>0</v>
      </c>
      <c r="O10967" t="n">
        <v>0</v>
      </c>
      <c r="P10967" t="n">
        <v>0</v>
      </c>
      <c r="Q10967" t="n">
        <v>0</v>
      </c>
      <c r="R10967" s="2" t="inlineStr"/>
    </row>
    <row r="10968" ht="15" customHeight="1">
      <c r="A10968" t="inlineStr">
        <is>
          <t>A 50609-2025</t>
        </is>
      </c>
      <c r="B10968" s="1" t="n">
        <v>45945.6228125</v>
      </c>
      <c r="C10968" s="1" t="n">
        <v>45952</v>
      </c>
      <c r="D10968" t="inlineStr">
        <is>
          <t>VÄSTRA GÖTALANDS LÄN</t>
        </is>
      </c>
      <c r="E10968" t="inlineStr">
        <is>
          <t>UDDEVALLA</t>
        </is>
      </c>
      <c r="G10968" t="n">
        <v>2</v>
      </c>
      <c r="H10968" t="n">
        <v>0</v>
      </c>
      <c r="I10968" t="n">
        <v>0</v>
      </c>
      <c r="J10968" t="n">
        <v>0</v>
      </c>
      <c r="K10968" t="n">
        <v>0</v>
      </c>
      <c r="L10968" t="n">
        <v>0</v>
      </c>
      <c r="M10968" t="n">
        <v>0</v>
      </c>
      <c r="N10968" t="n">
        <v>0</v>
      </c>
      <c r="O10968" t="n">
        <v>0</v>
      </c>
      <c r="P10968" t="n">
        <v>0</v>
      </c>
      <c r="Q10968" t="n">
        <v>0</v>
      </c>
      <c r="R10968" s="2" t="inlineStr"/>
    </row>
    <row r="10969" ht="15" customHeight="1">
      <c r="A10969" t="inlineStr">
        <is>
          <t>A 50611-2025</t>
        </is>
      </c>
      <c r="B10969" s="1" t="n">
        <v>45945.62559027778</v>
      </c>
      <c r="C10969" s="1" t="n">
        <v>45952</v>
      </c>
      <c r="D10969" t="inlineStr">
        <is>
          <t>VÄSTRA GÖTALANDS LÄN</t>
        </is>
      </c>
      <c r="E10969" t="inlineStr">
        <is>
          <t>UDDEVALLA</t>
        </is>
      </c>
      <c r="G10969" t="n">
        <v>5.1</v>
      </c>
      <c r="H10969" t="n">
        <v>0</v>
      </c>
      <c r="I10969" t="n">
        <v>0</v>
      </c>
      <c r="J10969" t="n">
        <v>0</v>
      </c>
      <c r="K10969" t="n">
        <v>0</v>
      </c>
      <c r="L10969" t="n">
        <v>0</v>
      </c>
      <c r="M10969" t="n">
        <v>0</v>
      </c>
      <c r="N10969" t="n">
        <v>0</v>
      </c>
      <c r="O10969" t="n">
        <v>0</v>
      </c>
      <c r="P10969" t="n">
        <v>0</v>
      </c>
      <c r="Q10969" t="n">
        <v>0</v>
      </c>
      <c r="R10969" s="2" t="inlineStr"/>
    </row>
    <row r="10970" ht="15" customHeight="1">
      <c r="A10970" t="inlineStr">
        <is>
          <t>A 26850-2025</t>
        </is>
      </c>
      <c r="B10970" s="1" t="n">
        <v>45810.67208333333</v>
      </c>
      <c r="C10970" s="1" t="n">
        <v>45952</v>
      </c>
      <c r="D10970" t="inlineStr">
        <is>
          <t>VÄSTRA GÖTALANDS LÄN</t>
        </is>
      </c>
      <c r="E10970" t="inlineStr">
        <is>
          <t>BENGTSFORS</t>
        </is>
      </c>
      <c r="G10970" t="n">
        <v>3.7</v>
      </c>
      <c r="H10970" t="n">
        <v>0</v>
      </c>
      <c r="I10970" t="n">
        <v>0</v>
      </c>
      <c r="J10970" t="n">
        <v>0</v>
      </c>
      <c r="K10970" t="n">
        <v>0</v>
      </c>
      <c r="L10970" t="n">
        <v>0</v>
      </c>
      <c r="M10970" t="n">
        <v>0</v>
      </c>
      <c r="N10970" t="n">
        <v>0</v>
      </c>
      <c r="O10970" t="n">
        <v>0</v>
      </c>
      <c r="P10970" t="n">
        <v>0</v>
      </c>
      <c r="Q10970" t="n">
        <v>0</v>
      </c>
      <c r="R10970" s="2" t="inlineStr"/>
    </row>
    <row r="10971" ht="15" customHeight="1">
      <c r="A10971" t="inlineStr">
        <is>
          <t>A 26853-2025</t>
        </is>
      </c>
      <c r="B10971" s="1" t="n">
        <v>45810.67379629629</v>
      </c>
      <c r="C10971" s="1" t="n">
        <v>45952</v>
      </c>
      <c r="D10971" t="inlineStr">
        <is>
          <t>VÄSTRA GÖTALANDS LÄN</t>
        </is>
      </c>
      <c r="E10971" t="inlineStr">
        <is>
          <t>BENGTSFORS</t>
        </is>
      </c>
      <c r="G10971" t="n">
        <v>1.9</v>
      </c>
      <c r="H10971" t="n">
        <v>0</v>
      </c>
      <c r="I10971" t="n">
        <v>0</v>
      </c>
      <c r="J10971" t="n">
        <v>0</v>
      </c>
      <c r="K10971" t="n">
        <v>0</v>
      </c>
      <c r="L10971" t="n">
        <v>0</v>
      </c>
      <c r="M10971" t="n">
        <v>0</v>
      </c>
      <c r="N10971" t="n">
        <v>0</v>
      </c>
      <c r="O10971" t="n">
        <v>0</v>
      </c>
      <c r="P10971" t="n">
        <v>0</v>
      </c>
      <c r="Q10971" t="n">
        <v>0</v>
      </c>
      <c r="R10971" s="2" t="inlineStr"/>
    </row>
    <row r="10972" ht="15" customHeight="1">
      <c r="A10972" t="inlineStr">
        <is>
          <t>A 26858-2025</t>
        </is>
      </c>
      <c r="B10972" s="1" t="n">
        <v>45810.67701388889</v>
      </c>
      <c r="C10972" s="1" t="n">
        <v>45952</v>
      </c>
      <c r="D10972" t="inlineStr">
        <is>
          <t>VÄSTRA GÖTALANDS LÄN</t>
        </is>
      </c>
      <c r="E10972" t="inlineStr">
        <is>
          <t>BENGTSFORS</t>
        </is>
      </c>
      <c r="G10972" t="n">
        <v>1.1</v>
      </c>
      <c r="H10972" t="n">
        <v>0</v>
      </c>
      <c r="I10972" t="n">
        <v>0</v>
      </c>
      <c r="J10972" t="n">
        <v>0</v>
      </c>
      <c r="K10972" t="n">
        <v>0</v>
      </c>
      <c r="L10972" t="n">
        <v>0</v>
      </c>
      <c r="M10972" t="n">
        <v>0</v>
      </c>
      <c r="N10972" t="n">
        <v>0</v>
      </c>
      <c r="O10972" t="n">
        <v>0</v>
      </c>
      <c r="P10972" t="n">
        <v>0</v>
      </c>
      <c r="Q10972" t="n">
        <v>0</v>
      </c>
      <c r="R10972" s="2" t="inlineStr"/>
    </row>
    <row r="10973" ht="15" customHeight="1">
      <c r="A10973" t="inlineStr">
        <is>
          <t>A 26860-2025</t>
        </is>
      </c>
      <c r="B10973" s="1" t="n">
        <v>45810.68019675926</v>
      </c>
      <c r="C10973" s="1" t="n">
        <v>45952</v>
      </c>
      <c r="D10973" t="inlineStr">
        <is>
          <t>VÄSTRA GÖTALANDS LÄN</t>
        </is>
      </c>
      <c r="E10973" t="inlineStr">
        <is>
          <t>DALS-ED</t>
        </is>
      </c>
      <c r="G10973" t="n">
        <v>1.8</v>
      </c>
      <c r="H10973" t="n">
        <v>0</v>
      </c>
      <c r="I10973" t="n">
        <v>0</v>
      </c>
      <c r="J10973" t="n">
        <v>0</v>
      </c>
      <c r="K10973" t="n">
        <v>0</v>
      </c>
      <c r="L10973" t="n">
        <v>0</v>
      </c>
      <c r="M10973" t="n">
        <v>0</v>
      </c>
      <c r="N10973" t="n">
        <v>0</v>
      </c>
      <c r="O10973" t="n">
        <v>0</v>
      </c>
      <c r="P10973" t="n">
        <v>0</v>
      </c>
      <c r="Q10973" t="n">
        <v>0</v>
      </c>
      <c r="R10973" s="2" t="inlineStr"/>
    </row>
    <row r="10974" ht="15" customHeight="1">
      <c r="A10974" t="inlineStr">
        <is>
          <t>A 41688-2025</t>
        </is>
      </c>
      <c r="B10974" s="1" t="n">
        <v>45902.39888888889</v>
      </c>
      <c r="C10974" s="1" t="n">
        <v>45952</v>
      </c>
      <c r="D10974" t="inlineStr">
        <is>
          <t>VÄSTRA GÖTALANDS LÄN</t>
        </is>
      </c>
      <c r="E10974" t="inlineStr">
        <is>
          <t>ORUST</t>
        </is>
      </c>
      <c r="G10974" t="n">
        <v>1.3</v>
      </c>
      <c r="H10974" t="n">
        <v>0</v>
      </c>
      <c r="I10974" t="n">
        <v>0</v>
      </c>
      <c r="J10974" t="n">
        <v>0</v>
      </c>
      <c r="K10974" t="n">
        <v>0</v>
      </c>
      <c r="L10974" t="n">
        <v>0</v>
      </c>
      <c r="M10974" t="n">
        <v>0</v>
      </c>
      <c r="N10974" t="n">
        <v>0</v>
      </c>
      <c r="O10974" t="n">
        <v>0</v>
      </c>
      <c r="P10974" t="n">
        <v>0</v>
      </c>
      <c r="Q10974" t="n">
        <v>0</v>
      </c>
      <c r="R10974" s="2" t="inlineStr"/>
    </row>
    <row r="10975" ht="15" customHeight="1">
      <c r="A10975" t="inlineStr">
        <is>
          <t>A 41690-2025</t>
        </is>
      </c>
      <c r="B10975" s="1" t="n">
        <v>45902.40304398148</v>
      </c>
      <c r="C10975" s="1" t="n">
        <v>45952</v>
      </c>
      <c r="D10975" t="inlineStr">
        <is>
          <t>VÄSTRA GÖTALANDS LÄN</t>
        </is>
      </c>
      <c r="E10975" t="inlineStr">
        <is>
          <t>BORÅS</t>
        </is>
      </c>
      <c r="G10975" t="n">
        <v>1.6</v>
      </c>
      <c r="H10975" t="n">
        <v>0</v>
      </c>
      <c r="I10975" t="n">
        <v>0</v>
      </c>
      <c r="J10975" t="n">
        <v>0</v>
      </c>
      <c r="K10975" t="n">
        <v>0</v>
      </c>
      <c r="L10975" t="n">
        <v>0</v>
      </c>
      <c r="M10975" t="n">
        <v>0</v>
      </c>
      <c r="N10975" t="n">
        <v>0</v>
      </c>
      <c r="O10975" t="n">
        <v>0</v>
      </c>
      <c r="P10975" t="n">
        <v>0</v>
      </c>
      <c r="Q10975" t="n">
        <v>0</v>
      </c>
      <c r="R10975" s="2" t="inlineStr"/>
    </row>
    <row r="10976" ht="15" customHeight="1">
      <c r="A10976" t="inlineStr">
        <is>
          <t>A 54579-2024</t>
        </is>
      </c>
      <c r="B10976" s="1" t="n">
        <v>45617</v>
      </c>
      <c r="C10976" s="1" t="n">
        <v>45952</v>
      </c>
      <c r="D10976" t="inlineStr">
        <is>
          <t>VÄSTRA GÖTALANDS LÄN</t>
        </is>
      </c>
      <c r="E10976" t="inlineStr">
        <is>
          <t>ALINGSÅS</t>
        </is>
      </c>
      <c r="G10976" t="n">
        <v>1.4</v>
      </c>
      <c r="H10976" t="n">
        <v>0</v>
      </c>
      <c r="I10976" t="n">
        <v>0</v>
      </c>
      <c r="J10976" t="n">
        <v>0</v>
      </c>
      <c r="K10976" t="n">
        <v>0</v>
      </c>
      <c r="L10976" t="n">
        <v>0</v>
      </c>
      <c r="M10976" t="n">
        <v>0</v>
      </c>
      <c r="N10976" t="n">
        <v>0</v>
      </c>
      <c r="O10976" t="n">
        <v>0</v>
      </c>
      <c r="P10976" t="n">
        <v>0</v>
      </c>
      <c r="Q10976" t="n">
        <v>0</v>
      </c>
      <c r="R10976" s="2" t="inlineStr"/>
    </row>
    <row r="10977" ht="15" customHeight="1">
      <c r="A10977" t="inlineStr">
        <is>
          <t>A 41724-2025</t>
        </is>
      </c>
      <c r="B10977" s="1" t="n">
        <v>45902.4534375</v>
      </c>
      <c r="C10977" s="1" t="n">
        <v>45952</v>
      </c>
      <c r="D10977" t="inlineStr">
        <is>
          <t>VÄSTRA GÖTALANDS LÄN</t>
        </is>
      </c>
      <c r="E10977" t="inlineStr">
        <is>
          <t>VÅRGÅRDA</t>
        </is>
      </c>
      <c r="G10977" t="n">
        <v>0.6</v>
      </c>
      <c r="H10977" t="n">
        <v>0</v>
      </c>
      <c r="I10977" t="n">
        <v>0</v>
      </c>
      <c r="J10977" t="n">
        <v>0</v>
      </c>
      <c r="K10977" t="n">
        <v>0</v>
      </c>
      <c r="L10977" t="n">
        <v>0</v>
      </c>
      <c r="M10977" t="n">
        <v>0</v>
      </c>
      <c r="N10977" t="n">
        <v>0</v>
      </c>
      <c r="O10977" t="n">
        <v>0</v>
      </c>
      <c r="P10977" t="n">
        <v>0</v>
      </c>
      <c r="Q10977" t="n">
        <v>0</v>
      </c>
      <c r="R10977" s="2" t="inlineStr"/>
    </row>
    <row r="10978" ht="15" customHeight="1">
      <c r="A10978" t="inlineStr">
        <is>
          <t>A 26480-2024</t>
        </is>
      </c>
      <c r="B10978" s="1" t="n">
        <v>45469.55256944444</v>
      </c>
      <c r="C10978" s="1" t="n">
        <v>45952</v>
      </c>
      <c r="D10978" t="inlineStr">
        <is>
          <t>VÄSTRA GÖTALANDS LÄN</t>
        </is>
      </c>
      <c r="E10978" t="inlineStr">
        <is>
          <t>SKARA</t>
        </is>
      </c>
      <c r="G10978" t="n">
        <v>0.7</v>
      </c>
      <c r="H10978" t="n">
        <v>0</v>
      </c>
      <c r="I10978" t="n">
        <v>0</v>
      </c>
      <c r="J10978" t="n">
        <v>0</v>
      </c>
      <c r="K10978" t="n">
        <v>0</v>
      </c>
      <c r="L10978" t="n">
        <v>0</v>
      </c>
      <c r="M10978" t="n">
        <v>0</v>
      </c>
      <c r="N10978" t="n">
        <v>0</v>
      </c>
      <c r="O10978" t="n">
        <v>0</v>
      </c>
      <c r="P10978" t="n">
        <v>0</v>
      </c>
      <c r="Q10978" t="n">
        <v>0</v>
      </c>
      <c r="R10978" s="2" t="inlineStr"/>
    </row>
    <row r="10979" ht="15" customHeight="1">
      <c r="A10979" t="inlineStr">
        <is>
          <t>A 39672-2025</t>
        </is>
      </c>
      <c r="B10979" s="1" t="n">
        <v>45890.64541666667</v>
      </c>
      <c r="C10979" s="1" t="n">
        <v>45952</v>
      </c>
      <c r="D10979" t="inlineStr">
        <is>
          <t>VÄSTRA GÖTALANDS LÄN</t>
        </is>
      </c>
      <c r="E10979" t="inlineStr">
        <is>
          <t>HÄRRYDA</t>
        </is>
      </c>
      <c r="G10979" t="n">
        <v>3.8</v>
      </c>
      <c r="H10979" t="n">
        <v>0</v>
      </c>
      <c r="I10979" t="n">
        <v>0</v>
      </c>
      <c r="J10979" t="n">
        <v>0</v>
      </c>
      <c r="K10979" t="n">
        <v>0</v>
      </c>
      <c r="L10979" t="n">
        <v>0</v>
      </c>
      <c r="M10979" t="n">
        <v>0</v>
      </c>
      <c r="N10979" t="n">
        <v>0</v>
      </c>
      <c r="O10979" t="n">
        <v>0</v>
      </c>
      <c r="P10979" t="n">
        <v>0</v>
      </c>
      <c r="Q10979" t="n">
        <v>0</v>
      </c>
      <c r="R10979" s="2" t="inlineStr"/>
    </row>
    <row r="10980" ht="15" customHeight="1">
      <c r="A10980" t="inlineStr">
        <is>
          <t>A 26075-2023</t>
        </is>
      </c>
      <c r="B10980" s="1" t="n">
        <v>45091</v>
      </c>
      <c r="C10980" s="1" t="n">
        <v>45952</v>
      </c>
      <c r="D10980" t="inlineStr">
        <is>
          <t>VÄSTRA GÖTALANDS LÄN</t>
        </is>
      </c>
      <c r="E10980" t="inlineStr">
        <is>
          <t>MARK</t>
        </is>
      </c>
      <c r="G10980" t="n">
        <v>1.6</v>
      </c>
      <c r="H10980" t="n">
        <v>0</v>
      </c>
      <c r="I10980" t="n">
        <v>0</v>
      </c>
      <c r="J10980" t="n">
        <v>0</v>
      </c>
      <c r="K10980" t="n">
        <v>0</v>
      </c>
      <c r="L10980" t="n">
        <v>0</v>
      </c>
      <c r="M10980" t="n">
        <v>0</v>
      </c>
      <c r="N10980" t="n">
        <v>0</v>
      </c>
      <c r="O10980" t="n">
        <v>0</v>
      </c>
      <c r="P10980" t="n">
        <v>0</v>
      </c>
      <c r="Q10980" t="n">
        <v>0</v>
      </c>
      <c r="R10980" s="2" t="inlineStr"/>
    </row>
    <row r="10981" ht="15" customHeight="1">
      <c r="A10981" t="inlineStr">
        <is>
          <t>A 26482-2024</t>
        </is>
      </c>
      <c r="B10981" s="1" t="n">
        <v>45469</v>
      </c>
      <c r="C10981" s="1" t="n">
        <v>45952</v>
      </c>
      <c r="D10981" t="inlineStr">
        <is>
          <t>VÄSTRA GÖTALANDS LÄN</t>
        </is>
      </c>
      <c r="E10981" t="inlineStr">
        <is>
          <t>SKARA</t>
        </is>
      </c>
      <c r="G10981" t="n">
        <v>3.2</v>
      </c>
      <c r="H10981" t="n">
        <v>0</v>
      </c>
      <c r="I10981" t="n">
        <v>0</v>
      </c>
      <c r="J10981" t="n">
        <v>0</v>
      </c>
      <c r="K10981" t="n">
        <v>0</v>
      </c>
      <c r="L10981" t="n">
        <v>0</v>
      </c>
      <c r="M10981" t="n">
        <v>0</v>
      </c>
      <c r="N10981" t="n">
        <v>0</v>
      </c>
      <c r="O10981" t="n">
        <v>0</v>
      </c>
      <c r="P10981" t="n">
        <v>0</v>
      </c>
      <c r="Q10981" t="n">
        <v>0</v>
      </c>
      <c r="R10981" s="2" t="inlineStr"/>
    </row>
    <row r="10982" ht="15" customHeight="1">
      <c r="A10982" t="inlineStr">
        <is>
          <t>A 53032-2024</t>
        </is>
      </c>
      <c r="B10982" s="1" t="n">
        <v>45611.4250462963</v>
      </c>
      <c r="C10982" s="1" t="n">
        <v>45952</v>
      </c>
      <c r="D10982" t="inlineStr">
        <is>
          <t>VÄSTRA GÖTALANDS LÄN</t>
        </is>
      </c>
      <c r="E10982" t="inlineStr">
        <is>
          <t>MARK</t>
        </is>
      </c>
      <c r="G10982" t="n">
        <v>2.9</v>
      </c>
      <c r="H10982" t="n">
        <v>0</v>
      </c>
      <c r="I10982" t="n">
        <v>0</v>
      </c>
      <c r="J10982" t="n">
        <v>0</v>
      </c>
      <c r="K10982" t="n">
        <v>0</v>
      </c>
      <c r="L10982" t="n">
        <v>0</v>
      </c>
      <c r="M10982" t="n">
        <v>0</v>
      </c>
      <c r="N10982" t="n">
        <v>0</v>
      </c>
      <c r="O10982" t="n">
        <v>0</v>
      </c>
      <c r="P10982" t="n">
        <v>0</v>
      </c>
      <c r="Q10982" t="n">
        <v>0</v>
      </c>
      <c r="R10982" s="2" t="inlineStr"/>
    </row>
    <row r="10983" ht="15" customHeight="1">
      <c r="A10983" t="inlineStr">
        <is>
          <t>A 48750-2024</t>
        </is>
      </c>
      <c r="B10983" s="1" t="n">
        <v>45593.58693287037</v>
      </c>
      <c r="C10983" s="1" t="n">
        <v>45952</v>
      </c>
      <c r="D10983" t="inlineStr">
        <is>
          <t>VÄSTRA GÖTALANDS LÄN</t>
        </is>
      </c>
      <c r="E10983" t="inlineStr">
        <is>
          <t>TANUM</t>
        </is>
      </c>
      <c r="G10983" t="n">
        <v>2.9</v>
      </c>
      <c r="H10983" t="n">
        <v>0</v>
      </c>
      <c r="I10983" t="n">
        <v>0</v>
      </c>
      <c r="J10983" t="n">
        <v>0</v>
      </c>
      <c r="K10983" t="n">
        <v>0</v>
      </c>
      <c r="L10983" t="n">
        <v>0</v>
      </c>
      <c r="M10983" t="n">
        <v>0</v>
      </c>
      <c r="N10983" t="n">
        <v>0</v>
      </c>
      <c r="O10983" t="n">
        <v>0</v>
      </c>
      <c r="P10983" t="n">
        <v>0</v>
      </c>
      <c r="Q10983" t="n">
        <v>0</v>
      </c>
      <c r="R10983" s="2" t="inlineStr"/>
    </row>
    <row r="10984" ht="15" customHeight="1">
      <c r="A10984" t="inlineStr">
        <is>
          <t>A 6420-2025</t>
        </is>
      </c>
      <c r="B10984" s="1" t="n">
        <v>45699.48056712963</v>
      </c>
      <c r="C10984" s="1" t="n">
        <v>45952</v>
      </c>
      <c r="D10984" t="inlineStr">
        <is>
          <t>VÄSTRA GÖTALANDS LÄN</t>
        </is>
      </c>
      <c r="E10984" t="inlineStr">
        <is>
          <t>ULRICEHAMN</t>
        </is>
      </c>
      <c r="G10984" t="n">
        <v>6.3</v>
      </c>
      <c r="H10984" t="n">
        <v>0</v>
      </c>
      <c r="I10984" t="n">
        <v>0</v>
      </c>
      <c r="J10984" t="n">
        <v>0</v>
      </c>
      <c r="K10984" t="n">
        <v>0</v>
      </c>
      <c r="L10984" t="n">
        <v>0</v>
      </c>
      <c r="M10984" t="n">
        <v>0</v>
      </c>
      <c r="N10984" t="n">
        <v>0</v>
      </c>
      <c r="O10984" t="n">
        <v>0</v>
      </c>
      <c r="P10984" t="n">
        <v>0</v>
      </c>
      <c r="Q10984" t="n">
        <v>0</v>
      </c>
      <c r="R10984" s="2" t="inlineStr"/>
    </row>
    <row r="10985" ht="15" customHeight="1">
      <c r="A10985" t="inlineStr">
        <is>
          <t>A 26534-2024</t>
        </is>
      </c>
      <c r="B10985" s="1" t="n">
        <v>45469.61435185185</v>
      </c>
      <c r="C10985" s="1" t="n">
        <v>45952</v>
      </c>
      <c r="D10985" t="inlineStr">
        <is>
          <t>VÄSTRA GÖTALANDS LÄN</t>
        </is>
      </c>
      <c r="E10985" t="inlineStr">
        <is>
          <t>TIDAHOLM</t>
        </is>
      </c>
      <c r="F10985" t="inlineStr">
        <is>
          <t>Sveaskog</t>
        </is>
      </c>
      <c r="G10985" t="n">
        <v>1.5</v>
      </c>
      <c r="H10985" t="n">
        <v>0</v>
      </c>
      <c r="I10985" t="n">
        <v>0</v>
      </c>
      <c r="J10985" t="n">
        <v>0</v>
      </c>
      <c r="K10985" t="n">
        <v>0</v>
      </c>
      <c r="L10985" t="n">
        <v>0</v>
      </c>
      <c r="M10985" t="n">
        <v>0</v>
      </c>
      <c r="N10985" t="n">
        <v>0</v>
      </c>
      <c r="O10985" t="n">
        <v>0</v>
      </c>
      <c r="P10985" t="n">
        <v>0</v>
      </c>
      <c r="Q10985" t="n">
        <v>0</v>
      </c>
      <c r="R10985" s="2" t="inlineStr"/>
    </row>
    <row r="10986" ht="15" customHeight="1">
      <c r="A10986" t="inlineStr">
        <is>
          <t>A 26548-2024</t>
        </is>
      </c>
      <c r="B10986" s="1" t="n">
        <v>45469.61974537037</v>
      </c>
      <c r="C10986" s="1" t="n">
        <v>45952</v>
      </c>
      <c r="D10986" t="inlineStr">
        <is>
          <t>VÄSTRA GÖTALANDS LÄN</t>
        </is>
      </c>
      <c r="E10986" t="inlineStr">
        <is>
          <t>TIDAHOLM</t>
        </is>
      </c>
      <c r="F10986" t="inlineStr">
        <is>
          <t>Sveaskog</t>
        </is>
      </c>
      <c r="G10986" t="n">
        <v>2.3</v>
      </c>
      <c r="H10986" t="n">
        <v>0</v>
      </c>
      <c r="I10986" t="n">
        <v>0</v>
      </c>
      <c r="J10986" t="n">
        <v>0</v>
      </c>
      <c r="K10986" t="n">
        <v>0</v>
      </c>
      <c r="L10986" t="n">
        <v>0</v>
      </c>
      <c r="M10986" t="n">
        <v>0</v>
      </c>
      <c r="N10986" t="n">
        <v>0</v>
      </c>
      <c r="O10986" t="n">
        <v>0</v>
      </c>
      <c r="P10986" t="n">
        <v>0</v>
      </c>
      <c r="Q10986" t="n">
        <v>0</v>
      </c>
      <c r="R10986" s="2" t="inlineStr"/>
    </row>
    <row r="10987" ht="15" customHeight="1">
      <c r="A10987" t="inlineStr">
        <is>
          <t>A 46491-2021</t>
        </is>
      </c>
      <c r="B10987" s="1" t="n">
        <v>44445</v>
      </c>
      <c r="C10987" s="1" t="n">
        <v>45952</v>
      </c>
      <c r="D10987" t="inlineStr">
        <is>
          <t>VÄSTRA GÖTALANDS LÄN</t>
        </is>
      </c>
      <c r="E10987" t="inlineStr">
        <is>
          <t>ALINGSÅS</t>
        </is>
      </c>
      <c r="G10987" t="n">
        <v>1.3</v>
      </c>
      <c r="H10987" t="n">
        <v>0</v>
      </c>
      <c r="I10987" t="n">
        <v>0</v>
      </c>
      <c r="J10987" t="n">
        <v>0</v>
      </c>
      <c r="K10987" t="n">
        <v>0</v>
      </c>
      <c r="L10987" t="n">
        <v>0</v>
      </c>
      <c r="M10987" t="n">
        <v>0</v>
      </c>
      <c r="N10987" t="n">
        <v>0</v>
      </c>
      <c r="O10987" t="n">
        <v>0</v>
      </c>
      <c r="P10987" t="n">
        <v>0</v>
      </c>
      <c r="Q10987" t="n">
        <v>0</v>
      </c>
      <c r="R10987" s="2" t="inlineStr"/>
    </row>
    <row r="10988" ht="15" customHeight="1">
      <c r="A10988" t="inlineStr">
        <is>
          <t>A 26914-2025</t>
        </is>
      </c>
      <c r="B10988" s="1" t="n">
        <v>45811.36456018518</v>
      </c>
      <c r="C10988" s="1" t="n">
        <v>45952</v>
      </c>
      <c r="D10988" t="inlineStr">
        <is>
          <t>VÄSTRA GÖTALANDS LÄN</t>
        </is>
      </c>
      <c r="E10988" t="inlineStr">
        <is>
          <t>ÅMÅL</t>
        </is>
      </c>
      <c r="G10988" t="n">
        <v>3.4</v>
      </c>
      <c r="H10988" t="n">
        <v>0</v>
      </c>
      <c r="I10988" t="n">
        <v>0</v>
      </c>
      <c r="J10988" t="n">
        <v>0</v>
      </c>
      <c r="K10988" t="n">
        <v>0</v>
      </c>
      <c r="L10988" t="n">
        <v>0</v>
      </c>
      <c r="M10988" t="n">
        <v>0</v>
      </c>
      <c r="N10988" t="n">
        <v>0</v>
      </c>
      <c r="O10988" t="n">
        <v>0</v>
      </c>
      <c r="P10988" t="n">
        <v>0</v>
      </c>
      <c r="Q10988" t="n">
        <v>0</v>
      </c>
      <c r="R10988" s="2" t="inlineStr"/>
    </row>
    <row r="10989" ht="15" customHeight="1">
      <c r="A10989" t="inlineStr">
        <is>
          <t>A 51076-2025</t>
        </is>
      </c>
      <c r="B10989" s="1" t="n">
        <v>45947.46234953704</v>
      </c>
      <c r="C10989" s="1" t="n">
        <v>45952</v>
      </c>
      <c r="D10989" t="inlineStr">
        <is>
          <t>VÄSTRA GÖTALANDS LÄN</t>
        </is>
      </c>
      <c r="E10989" t="inlineStr">
        <is>
          <t>GULLSPÅNG</t>
        </is>
      </c>
      <c r="G10989" t="n">
        <v>0.9</v>
      </c>
      <c r="H10989" t="n">
        <v>0</v>
      </c>
      <c r="I10989" t="n">
        <v>0</v>
      </c>
      <c r="J10989" t="n">
        <v>0</v>
      </c>
      <c r="K10989" t="n">
        <v>0</v>
      </c>
      <c r="L10989" t="n">
        <v>0</v>
      </c>
      <c r="M10989" t="n">
        <v>0</v>
      </c>
      <c r="N10989" t="n">
        <v>0</v>
      </c>
      <c r="O10989" t="n">
        <v>0</v>
      </c>
      <c r="P10989" t="n">
        <v>0</v>
      </c>
      <c r="Q10989" t="n">
        <v>0</v>
      </c>
      <c r="R10989" s="2" t="inlineStr"/>
    </row>
    <row r="10990" ht="15" customHeight="1">
      <c r="A10990" t="inlineStr">
        <is>
          <t>A 51081-2025</t>
        </is>
      </c>
      <c r="B10990" s="1" t="n">
        <v>45947.46731481481</v>
      </c>
      <c r="C10990" s="1" t="n">
        <v>45952</v>
      </c>
      <c r="D10990" t="inlineStr">
        <is>
          <t>VÄSTRA GÖTALANDS LÄN</t>
        </is>
      </c>
      <c r="E10990" t="inlineStr">
        <is>
          <t>TÖREBODA</t>
        </is>
      </c>
      <c r="G10990" t="n">
        <v>5.3</v>
      </c>
      <c r="H10990" t="n">
        <v>0</v>
      </c>
      <c r="I10990" t="n">
        <v>0</v>
      </c>
      <c r="J10990" t="n">
        <v>0</v>
      </c>
      <c r="K10990" t="n">
        <v>0</v>
      </c>
      <c r="L10990" t="n">
        <v>0</v>
      </c>
      <c r="M10990" t="n">
        <v>0</v>
      </c>
      <c r="N10990" t="n">
        <v>0</v>
      </c>
      <c r="O10990" t="n">
        <v>0</v>
      </c>
      <c r="P10990" t="n">
        <v>0</v>
      </c>
      <c r="Q10990" t="n">
        <v>0</v>
      </c>
      <c r="R10990" s="2" t="inlineStr"/>
    </row>
    <row r="10991" ht="15" customHeight="1">
      <c r="A10991" t="inlineStr">
        <is>
          <t>A 51107-2025</t>
        </is>
      </c>
      <c r="B10991" s="1" t="n">
        <v>45947.49659722222</v>
      </c>
      <c r="C10991" s="1" t="n">
        <v>45952</v>
      </c>
      <c r="D10991" t="inlineStr">
        <is>
          <t>VÄSTRA GÖTALANDS LÄN</t>
        </is>
      </c>
      <c r="E10991" t="inlineStr">
        <is>
          <t>SVENLJUNGA</t>
        </is>
      </c>
      <c r="G10991" t="n">
        <v>1.2</v>
      </c>
      <c r="H10991" t="n">
        <v>0</v>
      </c>
      <c r="I10991" t="n">
        <v>0</v>
      </c>
      <c r="J10991" t="n">
        <v>0</v>
      </c>
      <c r="K10991" t="n">
        <v>0</v>
      </c>
      <c r="L10991" t="n">
        <v>0</v>
      </c>
      <c r="M10991" t="n">
        <v>0</v>
      </c>
      <c r="N10991" t="n">
        <v>0</v>
      </c>
      <c r="O10991" t="n">
        <v>0</v>
      </c>
      <c r="P10991" t="n">
        <v>0</v>
      </c>
      <c r="Q10991" t="n">
        <v>0</v>
      </c>
      <c r="R10991" s="2" t="inlineStr"/>
    </row>
    <row r="10992" ht="15" customHeight="1">
      <c r="A10992" t="inlineStr">
        <is>
          <t>A 26992-2025</t>
        </is>
      </c>
      <c r="B10992" s="1" t="n">
        <v>45811.52253472222</v>
      </c>
      <c r="C10992" s="1" t="n">
        <v>45952</v>
      </c>
      <c r="D10992" t="inlineStr">
        <is>
          <t>VÄSTRA GÖTALANDS LÄN</t>
        </is>
      </c>
      <c r="E10992" t="inlineStr">
        <is>
          <t>HÄRRYDA</t>
        </is>
      </c>
      <c r="G10992" t="n">
        <v>3.9</v>
      </c>
      <c r="H10992" t="n">
        <v>0</v>
      </c>
      <c r="I10992" t="n">
        <v>0</v>
      </c>
      <c r="J10992" t="n">
        <v>0</v>
      </c>
      <c r="K10992" t="n">
        <v>0</v>
      </c>
      <c r="L10992" t="n">
        <v>0</v>
      </c>
      <c r="M10992" t="n">
        <v>0</v>
      </c>
      <c r="N10992" t="n">
        <v>0</v>
      </c>
      <c r="O10992" t="n">
        <v>0</v>
      </c>
      <c r="P10992" t="n">
        <v>0</v>
      </c>
      <c r="Q10992" t="n">
        <v>0</v>
      </c>
      <c r="R10992" s="2" t="inlineStr"/>
    </row>
    <row r="10993" ht="15" customHeight="1">
      <c r="A10993" t="inlineStr">
        <is>
          <t>A 5740-2025</t>
        </is>
      </c>
      <c r="B10993" s="1" t="n">
        <v>45694.5205324074</v>
      </c>
      <c r="C10993" s="1" t="n">
        <v>45952</v>
      </c>
      <c r="D10993" t="inlineStr">
        <is>
          <t>VÄSTRA GÖTALANDS LÄN</t>
        </is>
      </c>
      <c r="E10993" t="inlineStr">
        <is>
          <t>LILLA EDET</t>
        </is>
      </c>
      <c r="G10993" t="n">
        <v>1.4</v>
      </c>
      <c r="H10993" t="n">
        <v>0</v>
      </c>
      <c r="I10993" t="n">
        <v>0</v>
      </c>
      <c r="J10993" t="n">
        <v>0</v>
      </c>
      <c r="K10993" t="n">
        <v>0</v>
      </c>
      <c r="L10993" t="n">
        <v>0</v>
      </c>
      <c r="M10993" t="n">
        <v>0</v>
      </c>
      <c r="N10993" t="n">
        <v>0</v>
      </c>
      <c r="O10993" t="n">
        <v>0</v>
      </c>
      <c r="P10993" t="n">
        <v>0</v>
      </c>
      <c r="Q10993" t="n">
        <v>0</v>
      </c>
      <c r="R10993" s="2" t="inlineStr"/>
    </row>
    <row r="10994" ht="15" customHeight="1">
      <c r="A10994" t="inlineStr">
        <is>
          <t>A 26091-2023</t>
        </is>
      </c>
      <c r="B10994" s="1" t="n">
        <v>45091</v>
      </c>
      <c r="C10994" s="1" t="n">
        <v>45952</v>
      </c>
      <c r="D10994" t="inlineStr">
        <is>
          <t>VÄSTRA GÖTALANDS LÄN</t>
        </is>
      </c>
      <c r="E10994" t="inlineStr">
        <is>
          <t>SKARA</t>
        </is>
      </c>
      <c r="G10994" t="n">
        <v>0.5</v>
      </c>
      <c r="H10994" t="n">
        <v>0</v>
      </c>
      <c r="I10994" t="n">
        <v>0</v>
      </c>
      <c r="J10994" t="n">
        <v>0</v>
      </c>
      <c r="K10994" t="n">
        <v>0</v>
      </c>
      <c r="L10994" t="n">
        <v>0</v>
      </c>
      <c r="M10994" t="n">
        <v>0</v>
      </c>
      <c r="N10994" t="n">
        <v>0</v>
      </c>
      <c r="O10994" t="n">
        <v>0</v>
      </c>
      <c r="P10994" t="n">
        <v>0</v>
      </c>
      <c r="Q10994" t="n">
        <v>0</v>
      </c>
      <c r="R10994" s="2" t="inlineStr"/>
    </row>
    <row r="10995" ht="15" customHeight="1">
      <c r="A10995" t="inlineStr">
        <is>
          <t>A 32591-2022</t>
        </is>
      </c>
      <c r="B10995" s="1" t="n">
        <v>44783</v>
      </c>
      <c r="C10995" s="1" t="n">
        <v>45952</v>
      </c>
      <c r="D10995" t="inlineStr">
        <is>
          <t>VÄSTRA GÖTALANDS LÄN</t>
        </is>
      </c>
      <c r="E10995" t="inlineStr">
        <is>
          <t>TIDAHOLM</t>
        </is>
      </c>
      <c r="F10995" t="inlineStr">
        <is>
          <t>Sveaskog</t>
        </is>
      </c>
      <c r="G10995" t="n">
        <v>1.4</v>
      </c>
      <c r="H10995" t="n">
        <v>0</v>
      </c>
      <c r="I10995" t="n">
        <v>0</v>
      </c>
      <c r="J10995" t="n">
        <v>0</v>
      </c>
      <c r="K10995" t="n">
        <v>0</v>
      </c>
      <c r="L10995" t="n">
        <v>0</v>
      </c>
      <c r="M10995" t="n">
        <v>0</v>
      </c>
      <c r="N10995" t="n">
        <v>0</v>
      </c>
      <c r="O10995" t="n">
        <v>0</v>
      </c>
      <c r="P10995" t="n">
        <v>0</v>
      </c>
      <c r="Q10995" t="n">
        <v>0</v>
      </c>
      <c r="R10995" s="2" t="inlineStr"/>
    </row>
    <row r="10996" ht="15" customHeight="1">
      <c r="A10996" t="inlineStr">
        <is>
          <t>A 11362-2022</t>
        </is>
      </c>
      <c r="B10996" s="1" t="n">
        <v>44630</v>
      </c>
      <c r="C10996" s="1" t="n">
        <v>45952</v>
      </c>
      <c r="D10996" t="inlineStr">
        <is>
          <t>VÄSTRA GÖTALANDS LÄN</t>
        </is>
      </c>
      <c r="E10996" t="inlineStr">
        <is>
          <t>BORÅS</t>
        </is>
      </c>
      <c r="G10996" t="n">
        <v>2.1</v>
      </c>
      <c r="H10996" t="n">
        <v>0</v>
      </c>
      <c r="I10996" t="n">
        <v>0</v>
      </c>
      <c r="J10996" t="n">
        <v>0</v>
      </c>
      <c r="K10996" t="n">
        <v>0</v>
      </c>
      <c r="L10996" t="n">
        <v>0</v>
      </c>
      <c r="M10996" t="n">
        <v>0</v>
      </c>
      <c r="N10996" t="n">
        <v>0</v>
      </c>
      <c r="O10996" t="n">
        <v>0</v>
      </c>
      <c r="P10996" t="n">
        <v>0</v>
      </c>
      <c r="Q10996" t="n">
        <v>0</v>
      </c>
      <c r="R10996" s="2" t="inlineStr"/>
    </row>
    <row r="10997" ht="15" customHeight="1">
      <c r="A10997" t="inlineStr">
        <is>
          <t>A 55409-2022</t>
        </is>
      </c>
      <c r="B10997" s="1" t="n">
        <v>44887.58810185185</v>
      </c>
      <c r="C10997" s="1" t="n">
        <v>45952</v>
      </c>
      <c r="D10997" t="inlineStr">
        <is>
          <t>VÄSTRA GÖTALANDS LÄN</t>
        </is>
      </c>
      <c r="E10997" t="inlineStr">
        <is>
          <t>BENGTSFORS</t>
        </is>
      </c>
      <c r="G10997" t="n">
        <v>3.8</v>
      </c>
      <c r="H10997" t="n">
        <v>0</v>
      </c>
      <c r="I10997" t="n">
        <v>0</v>
      </c>
      <c r="J10997" t="n">
        <v>0</v>
      </c>
      <c r="K10997" t="n">
        <v>0</v>
      </c>
      <c r="L10997" t="n">
        <v>0</v>
      </c>
      <c r="M10997" t="n">
        <v>0</v>
      </c>
      <c r="N10997" t="n">
        <v>0</v>
      </c>
      <c r="O10997" t="n">
        <v>0</v>
      </c>
      <c r="P10997" t="n">
        <v>0</v>
      </c>
      <c r="Q10997" t="n">
        <v>0</v>
      </c>
      <c r="R10997" s="2" t="inlineStr"/>
    </row>
    <row r="10998" ht="15" customHeight="1">
      <c r="A10998" t="inlineStr">
        <is>
          <t>A 50797-2025</t>
        </is>
      </c>
      <c r="B10998" s="1" t="n">
        <v>45946.48350694445</v>
      </c>
      <c r="C10998" s="1" t="n">
        <v>45952</v>
      </c>
      <c r="D10998" t="inlineStr">
        <is>
          <t>VÄSTRA GÖTALANDS LÄN</t>
        </is>
      </c>
      <c r="E10998" t="inlineStr">
        <is>
          <t>STRÖMSTAD</t>
        </is>
      </c>
      <c r="G10998" t="n">
        <v>0.6</v>
      </c>
      <c r="H10998" t="n">
        <v>0</v>
      </c>
      <c r="I10998" t="n">
        <v>0</v>
      </c>
      <c r="J10998" t="n">
        <v>0</v>
      </c>
      <c r="K10998" t="n">
        <v>0</v>
      </c>
      <c r="L10998" t="n">
        <v>0</v>
      </c>
      <c r="M10998" t="n">
        <v>0</v>
      </c>
      <c r="N10998" t="n">
        <v>0</v>
      </c>
      <c r="O10998" t="n">
        <v>0</v>
      </c>
      <c r="P10998" t="n">
        <v>0</v>
      </c>
      <c r="Q10998" t="n">
        <v>0</v>
      </c>
      <c r="R10998" s="2" t="inlineStr"/>
    </row>
    <row r="10999" ht="15" customHeight="1">
      <c r="A10999" t="inlineStr">
        <is>
          <t>A 26778-2025</t>
        </is>
      </c>
      <c r="B10999" s="1" t="n">
        <v>45810.57994212963</v>
      </c>
      <c r="C10999" s="1" t="n">
        <v>45952</v>
      </c>
      <c r="D10999" t="inlineStr">
        <is>
          <t>VÄSTRA GÖTALANDS LÄN</t>
        </is>
      </c>
      <c r="E10999" t="inlineStr">
        <is>
          <t>BENGTSFORS</t>
        </is>
      </c>
      <c r="G10999" t="n">
        <v>9.4</v>
      </c>
      <c r="H10999" t="n">
        <v>0</v>
      </c>
      <c r="I10999" t="n">
        <v>0</v>
      </c>
      <c r="J10999" t="n">
        <v>0</v>
      </c>
      <c r="K10999" t="n">
        <v>0</v>
      </c>
      <c r="L10999" t="n">
        <v>0</v>
      </c>
      <c r="M10999" t="n">
        <v>0</v>
      </c>
      <c r="N10999" t="n">
        <v>0</v>
      </c>
      <c r="O10999" t="n">
        <v>0</v>
      </c>
      <c r="P10999" t="n">
        <v>0</v>
      </c>
      <c r="Q10999" t="n">
        <v>0</v>
      </c>
      <c r="R10999" s="2" t="inlineStr"/>
    </row>
    <row r="11000" ht="15" customHeight="1">
      <c r="A11000" t="inlineStr">
        <is>
          <t>A 26815-2025</t>
        </is>
      </c>
      <c r="B11000" s="1" t="n">
        <v>45810.63402777778</v>
      </c>
      <c r="C11000" s="1" t="n">
        <v>45952</v>
      </c>
      <c r="D11000" t="inlineStr">
        <is>
          <t>VÄSTRA GÖTALANDS LÄN</t>
        </is>
      </c>
      <c r="E11000" t="inlineStr">
        <is>
          <t>MARIESTAD</t>
        </is>
      </c>
      <c r="G11000" t="n">
        <v>2.6</v>
      </c>
      <c r="H11000" t="n">
        <v>0</v>
      </c>
      <c r="I11000" t="n">
        <v>0</v>
      </c>
      <c r="J11000" t="n">
        <v>0</v>
      </c>
      <c r="K11000" t="n">
        <v>0</v>
      </c>
      <c r="L11000" t="n">
        <v>0</v>
      </c>
      <c r="M11000" t="n">
        <v>0</v>
      </c>
      <c r="N11000" t="n">
        <v>0</v>
      </c>
      <c r="O11000" t="n">
        <v>0</v>
      </c>
      <c r="P11000" t="n">
        <v>0</v>
      </c>
      <c r="Q11000" t="n">
        <v>0</v>
      </c>
      <c r="R11000" s="2" t="inlineStr"/>
    </row>
    <row r="11001" ht="15" customHeight="1">
      <c r="A11001" t="inlineStr">
        <is>
          <t>A 27031-2025</t>
        </is>
      </c>
      <c r="B11001" s="1" t="n">
        <v>45811.5890625</v>
      </c>
      <c r="C11001" s="1" t="n">
        <v>45952</v>
      </c>
      <c r="D11001" t="inlineStr">
        <is>
          <t>VÄSTRA GÖTALANDS LÄN</t>
        </is>
      </c>
      <c r="E11001" t="inlineStr">
        <is>
          <t>VÄNERSBORG</t>
        </is>
      </c>
      <c r="G11001" t="n">
        <v>1.5</v>
      </c>
      <c r="H11001" t="n">
        <v>0</v>
      </c>
      <c r="I11001" t="n">
        <v>0</v>
      </c>
      <c r="J11001" t="n">
        <v>0</v>
      </c>
      <c r="K11001" t="n">
        <v>0</v>
      </c>
      <c r="L11001" t="n">
        <v>0</v>
      </c>
      <c r="M11001" t="n">
        <v>0</v>
      </c>
      <c r="N11001" t="n">
        <v>0</v>
      </c>
      <c r="O11001" t="n">
        <v>0</v>
      </c>
      <c r="P11001" t="n">
        <v>0</v>
      </c>
      <c r="Q11001" t="n">
        <v>0</v>
      </c>
      <c r="R11001" s="2" t="inlineStr"/>
    </row>
    <row r="11002" ht="15" customHeight="1">
      <c r="A11002" t="inlineStr">
        <is>
          <t>A 2442-2024</t>
        </is>
      </c>
      <c r="B11002" s="1" t="n">
        <v>45311.59244212963</v>
      </c>
      <c r="C11002" s="1" t="n">
        <v>45952</v>
      </c>
      <c r="D11002" t="inlineStr">
        <is>
          <t>VÄSTRA GÖTALANDS LÄN</t>
        </is>
      </c>
      <c r="E11002" t="inlineStr">
        <is>
          <t>TIDAHOLM</t>
        </is>
      </c>
      <c r="G11002" t="n">
        <v>4.6</v>
      </c>
      <c r="H11002" t="n">
        <v>0</v>
      </c>
      <c r="I11002" t="n">
        <v>0</v>
      </c>
      <c r="J11002" t="n">
        <v>0</v>
      </c>
      <c r="K11002" t="n">
        <v>0</v>
      </c>
      <c r="L11002" t="n">
        <v>0</v>
      </c>
      <c r="M11002" t="n">
        <v>0</v>
      </c>
      <c r="N11002" t="n">
        <v>0</v>
      </c>
      <c r="O11002" t="n">
        <v>0</v>
      </c>
      <c r="P11002" t="n">
        <v>0</v>
      </c>
      <c r="Q11002" t="n">
        <v>0</v>
      </c>
      <c r="R11002" s="2" t="inlineStr"/>
    </row>
    <row r="11003" ht="15" customHeight="1">
      <c r="A11003" t="inlineStr">
        <is>
          <t>A 2472-2024</t>
        </is>
      </c>
      <c r="B11003" s="1" t="n">
        <v>45313.3825</v>
      </c>
      <c r="C11003" s="1" t="n">
        <v>45952</v>
      </c>
      <c r="D11003" t="inlineStr">
        <is>
          <t>VÄSTRA GÖTALANDS LÄN</t>
        </is>
      </c>
      <c r="E11003" t="inlineStr">
        <is>
          <t>SKARA</t>
        </is>
      </c>
      <c r="G11003" t="n">
        <v>1.1</v>
      </c>
      <c r="H11003" t="n">
        <v>0</v>
      </c>
      <c r="I11003" t="n">
        <v>0</v>
      </c>
      <c r="J11003" t="n">
        <v>0</v>
      </c>
      <c r="K11003" t="n">
        <v>0</v>
      </c>
      <c r="L11003" t="n">
        <v>0</v>
      </c>
      <c r="M11003" t="n">
        <v>0</v>
      </c>
      <c r="N11003" t="n">
        <v>0</v>
      </c>
      <c r="O11003" t="n">
        <v>0</v>
      </c>
      <c r="P11003" t="n">
        <v>0</v>
      </c>
      <c r="Q11003" t="n">
        <v>0</v>
      </c>
      <c r="R11003" s="2" t="inlineStr"/>
    </row>
    <row r="11004" ht="15" customHeight="1">
      <c r="A11004" t="inlineStr">
        <is>
          <t>A 9404-2022</t>
        </is>
      </c>
      <c r="B11004" s="1" t="n">
        <v>44616</v>
      </c>
      <c r="C11004" s="1" t="n">
        <v>45952</v>
      </c>
      <c r="D11004" t="inlineStr">
        <is>
          <t>VÄSTRA GÖTALANDS LÄN</t>
        </is>
      </c>
      <c r="E11004" t="inlineStr">
        <is>
          <t>VARA</t>
        </is>
      </c>
      <c r="G11004" t="n">
        <v>1.9</v>
      </c>
      <c r="H11004" t="n">
        <v>0</v>
      </c>
      <c r="I11004" t="n">
        <v>0</v>
      </c>
      <c r="J11004" t="n">
        <v>0</v>
      </c>
      <c r="K11004" t="n">
        <v>0</v>
      </c>
      <c r="L11004" t="n">
        <v>0</v>
      </c>
      <c r="M11004" t="n">
        <v>0</v>
      </c>
      <c r="N11004" t="n">
        <v>0</v>
      </c>
      <c r="O11004" t="n">
        <v>0</v>
      </c>
      <c r="P11004" t="n">
        <v>0</v>
      </c>
      <c r="Q11004" t="n">
        <v>0</v>
      </c>
      <c r="R11004" s="2" t="inlineStr"/>
    </row>
    <row r="11005" ht="15" customHeight="1">
      <c r="A11005" t="inlineStr">
        <is>
          <t>A 9523-2022</t>
        </is>
      </c>
      <c r="B11005" s="1" t="n">
        <v>44617</v>
      </c>
      <c r="C11005" s="1" t="n">
        <v>45952</v>
      </c>
      <c r="D11005" t="inlineStr">
        <is>
          <t>VÄSTRA GÖTALANDS LÄN</t>
        </is>
      </c>
      <c r="E11005" t="inlineStr">
        <is>
          <t>BENGTSFORS</t>
        </is>
      </c>
      <c r="F11005" t="inlineStr">
        <is>
          <t>Kyrkan</t>
        </is>
      </c>
      <c r="G11005" t="n">
        <v>2.8</v>
      </c>
      <c r="H11005" t="n">
        <v>0</v>
      </c>
      <c r="I11005" t="n">
        <v>0</v>
      </c>
      <c r="J11005" t="n">
        <v>0</v>
      </c>
      <c r="K11005" t="n">
        <v>0</v>
      </c>
      <c r="L11005" t="n">
        <v>0</v>
      </c>
      <c r="M11005" t="n">
        <v>0</v>
      </c>
      <c r="N11005" t="n">
        <v>0</v>
      </c>
      <c r="O11005" t="n">
        <v>0</v>
      </c>
      <c r="P11005" t="n">
        <v>0</v>
      </c>
      <c r="Q11005" t="n">
        <v>0</v>
      </c>
      <c r="R11005" s="2" t="inlineStr"/>
    </row>
    <row r="11006" ht="15" customHeight="1">
      <c r="A11006" t="inlineStr">
        <is>
          <t>A 26828-2025</t>
        </is>
      </c>
      <c r="B11006" s="1" t="n">
        <v>45810.65199074074</v>
      </c>
      <c r="C11006" s="1" t="n">
        <v>45952</v>
      </c>
      <c r="D11006" t="inlineStr">
        <is>
          <t>VÄSTRA GÖTALANDS LÄN</t>
        </is>
      </c>
      <c r="E11006" t="inlineStr">
        <is>
          <t>HERRLJUNGA</t>
        </is>
      </c>
      <c r="G11006" t="n">
        <v>0.3</v>
      </c>
      <c r="H11006" t="n">
        <v>0</v>
      </c>
      <c r="I11006" t="n">
        <v>0</v>
      </c>
      <c r="J11006" t="n">
        <v>0</v>
      </c>
      <c r="K11006" t="n">
        <v>0</v>
      </c>
      <c r="L11006" t="n">
        <v>0</v>
      </c>
      <c r="M11006" t="n">
        <v>0</v>
      </c>
      <c r="N11006" t="n">
        <v>0</v>
      </c>
      <c r="O11006" t="n">
        <v>0</v>
      </c>
      <c r="P11006" t="n">
        <v>0</v>
      </c>
      <c r="Q11006" t="n">
        <v>0</v>
      </c>
      <c r="R11006" s="2" t="inlineStr"/>
    </row>
    <row r="11007" ht="15" customHeight="1">
      <c r="A11007" t="inlineStr">
        <is>
          <t>A 26859-2025</t>
        </is>
      </c>
      <c r="B11007" s="1" t="n">
        <v>45810.67752314815</v>
      </c>
      <c r="C11007" s="1" t="n">
        <v>45952</v>
      </c>
      <c r="D11007" t="inlineStr">
        <is>
          <t>VÄSTRA GÖTALANDS LÄN</t>
        </is>
      </c>
      <c r="E11007" t="inlineStr">
        <is>
          <t>GRÄSTORP</t>
        </is>
      </c>
      <c r="G11007" t="n">
        <v>2.2</v>
      </c>
      <c r="H11007" t="n">
        <v>0</v>
      </c>
      <c r="I11007" t="n">
        <v>0</v>
      </c>
      <c r="J11007" t="n">
        <v>0</v>
      </c>
      <c r="K11007" t="n">
        <v>0</v>
      </c>
      <c r="L11007" t="n">
        <v>0</v>
      </c>
      <c r="M11007" t="n">
        <v>0</v>
      </c>
      <c r="N11007" t="n">
        <v>0</v>
      </c>
      <c r="O11007" t="n">
        <v>0</v>
      </c>
      <c r="P11007" t="n">
        <v>0</v>
      </c>
      <c r="Q11007" t="n">
        <v>0</v>
      </c>
      <c r="R11007" s="2" t="inlineStr"/>
    </row>
    <row r="11008" ht="15" customHeight="1">
      <c r="A11008" t="inlineStr">
        <is>
          <t>A 41166-2024</t>
        </is>
      </c>
      <c r="B11008" s="1" t="n">
        <v>45559.48377314815</v>
      </c>
      <c r="C11008" s="1" t="n">
        <v>45952</v>
      </c>
      <c r="D11008" t="inlineStr">
        <is>
          <t>VÄSTRA GÖTALANDS LÄN</t>
        </is>
      </c>
      <c r="E11008" t="inlineStr">
        <is>
          <t>BENGTSFORS</t>
        </is>
      </c>
      <c r="G11008" t="n">
        <v>3.2</v>
      </c>
      <c r="H11008" t="n">
        <v>0</v>
      </c>
      <c r="I11008" t="n">
        <v>0</v>
      </c>
      <c r="J11008" t="n">
        <v>0</v>
      </c>
      <c r="K11008" t="n">
        <v>0</v>
      </c>
      <c r="L11008" t="n">
        <v>0</v>
      </c>
      <c r="M11008" t="n">
        <v>0</v>
      </c>
      <c r="N11008" t="n">
        <v>0</v>
      </c>
      <c r="O11008" t="n">
        <v>0</v>
      </c>
      <c r="P11008" t="n">
        <v>0</v>
      </c>
      <c r="Q11008" t="n">
        <v>0</v>
      </c>
      <c r="R11008" s="2" t="inlineStr"/>
    </row>
    <row r="11009" ht="15" customHeight="1">
      <c r="A11009" t="inlineStr">
        <is>
          <t>A 4736-2024</t>
        </is>
      </c>
      <c r="B11009" s="1" t="n">
        <v>45328</v>
      </c>
      <c r="C11009" s="1" t="n">
        <v>45952</v>
      </c>
      <c r="D11009" t="inlineStr">
        <is>
          <t>VÄSTRA GÖTALANDS LÄN</t>
        </is>
      </c>
      <c r="E11009" t="inlineStr">
        <is>
          <t>VÄNERSBORG</t>
        </is>
      </c>
      <c r="F11009" t="inlineStr">
        <is>
          <t>Kommuner</t>
        </is>
      </c>
      <c r="G11009" t="n">
        <v>4.8</v>
      </c>
      <c r="H11009" t="n">
        <v>0</v>
      </c>
      <c r="I11009" t="n">
        <v>0</v>
      </c>
      <c r="J11009" t="n">
        <v>0</v>
      </c>
      <c r="K11009" t="n">
        <v>0</v>
      </c>
      <c r="L11009" t="n">
        <v>0</v>
      </c>
      <c r="M11009" t="n">
        <v>0</v>
      </c>
      <c r="N11009" t="n">
        <v>0</v>
      </c>
      <c r="O11009" t="n">
        <v>0</v>
      </c>
      <c r="P11009" t="n">
        <v>0</v>
      </c>
      <c r="Q11009" t="n">
        <v>0</v>
      </c>
      <c r="R11009" s="2" t="inlineStr"/>
    </row>
    <row r="11010" ht="15" customHeight="1">
      <c r="A11010" t="inlineStr">
        <is>
          <t>A 28430-2024</t>
        </is>
      </c>
      <c r="B11010" s="1" t="n">
        <v>45477</v>
      </c>
      <c r="C11010" s="1" t="n">
        <v>45952</v>
      </c>
      <c r="D11010" t="inlineStr">
        <is>
          <t>VÄSTRA GÖTALANDS LÄN</t>
        </is>
      </c>
      <c r="E11010" t="inlineStr">
        <is>
          <t>STRÖMSTAD</t>
        </is>
      </c>
      <c r="G11010" t="n">
        <v>0.6</v>
      </c>
      <c r="H11010" t="n">
        <v>0</v>
      </c>
      <c r="I11010" t="n">
        <v>0</v>
      </c>
      <c r="J11010" t="n">
        <v>0</v>
      </c>
      <c r="K11010" t="n">
        <v>0</v>
      </c>
      <c r="L11010" t="n">
        <v>0</v>
      </c>
      <c r="M11010" t="n">
        <v>0</v>
      </c>
      <c r="N11010" t="n">
        <v>0</v>
      </c>
      <c r="O11010" t="n">
        <v>0</v>
      </c>
      <c r="P11010" t="n">
        <v>0</v>
      </c>
      <c r="Q11010" t="n">
        <v>0</v>
      </c>
      <c r="R11010" s="2" t="inlineStr"/>
    </row>
    <row r="11011" ht="15" customHeight="1">
      <c r="A11011" t="inlineStr">
        <is>
          <t>A 54808-2020</t>
        </is>
      </c>
      <c r="B11011" s="1" t="n">
        <v>44127</v>
      </c>
      <c r="C11011" s="1" t="n">
        <v>45952</v>
      </c>
      <c r="D11011" t="inlineStr">
        <is>
          <t>VÄSTRA GÖTALANDS LÄN</t>
        </is>
      </c>
      <c r="E11011" t="inlineStr">
        <is>
          <t>VARA</t>
        </is>
      </c>
      <c r="G11011" t="n">
        <v>4.5</v>
      </c>
      <c r="H11011" t="n">
        <v>0</v>
      </c>
      <c r="I11011" t="n">
        <v>0</v>
      </c>
      <c r="J11011" t="n">
        <v>0</v>
      </c>
      <c r="K11011" t="n">
        <v>0</v>
      </c>
      <c r="L11011" t="n">
        <v>0</v>
      </c>
      <c r="M11011" t="n">
        <v>0</v>
      </c>
      <c r="N11011" t="n">
        <v>0</v>
      </c>
      <c r="O11011" t="n">
        <v>0</v>
      </c>
      <c r="P11011" t="n">
        <v>0</v>
      </c>
      <c r="Q11011" t="n">
        <v>0</v>
      </c>
      <c r="R11011" s="2" t="inlineStr"/>
    </row>
    <row r="11012" ht="15" customHeight="1">
      <c r="A11012" t="inlineStr">
        <is>
          <t>A 29815-2024</t>
        </is>
      </c>
      <c r="B11012" s="1" t="n">
        <v>45485.54372685185</v>
      </c>
      <c r="C11012" s="1" t="n">
        <v>45952</v>
      </c>
      <c r="D11012" t="inlineStr">
        <is>
          <t>VÄSTRA GÖTALANDS LÄN</t>
        </is>
      </c>
      <c r="E11012" t="inlineStr">
        <is>
          <t>SVENLJUNGA</t>
        </is>
      </c>
      <c r="G11012" t="n">
        <v>7</v>
      </c>
      <c r="H11012" t="n">
        <v>0</v>
      </c>
      <c r="I11012" t="n">
        <v>0</v>
      </c>
      <c r="J11012" t="n">
        <v>0</v>
      </c>
      <c r="K11012" t="n">
        <v>0</v>
      </c>
      <c r="L11012" t="n">
        <v>0</v>
      </c>
      <c r="M11012" t="n">
        <v>0</v>
      </c>
      <c r="N11012" t="n">
        <v>0</v>
      </c>
      <c r="O11012" t="n">
        <v>0</v>
      </c>
      <c r="P11012" t="n">
        <v>0</v>
      </c>
      <c r="Q11012" t="n">
        <v>0</v>
      </c>
      <c r="R11012" s="2" t="inlineStr"/>
    </row>
    <row r="11013" ht="15" customHeight="1">
      <c r="A11013" t="inlineStr">
        <is>
          <t>A 29816-2024</t>
        </is>
      </c>
      <c r="B11013" s="1" t="n">
        <v>45485.54509259259</v>
      </c>
      <c r="C11013" s="1" t="n">
        <v>45952</v>
      </c>
      <c r="D11013" t="inlineStr">
        <is>
          <t>VÄSTRA GÖTALANDS LÄN</t>
        </is>
      </c>
      <c r="E11013" t="inlineStr">
        <is>
          <t>SVENLJUNGA</t>
        </is>
      </c>
      <c r="G11013" t="n">
        <v>1.2</v>
      </c>
      <c r="H11013" t="n">
        <v>0</v>
      </c>
      <c r="I11013" t="n">
        <v>0</v>
      </c>
      <c r="J11013" t="n">
        <v>0</v>
      </c>
      <c r="K11013" t="n">
        <v>0</v>
      </c>
      <c r="L11013" t="n">
        <v>0</v>
      </c>
      <c r="M11013" t="n">
        <v>0</v>
      </c>
      <c r="N11013" t="n">
        <v>0</v>
      </c>
      <c r="O11013" t="n">
        <v>0</v>
      </c>
      <c r="P11013" t="n">
        <v>0</v>
      </c>
      <c r="Q11013" t="n">
        <v>0</v>
      </c>
      <c r="R11013" s="2" t="inlineStr"/>
    </row>
    <row r="11014" ht="15" customHeight="1">
      <c r="A11014" t="inlineStr">
        <is>
          <t>A 57295-2024</t>
        </is>
      </c>
      <c r="B11014" s="1" t="n">
        <v>45629</v>
      </c>
      <c r="C11014" s="1" t="n">
        <v>45952</v>
      </c>
      <c r="D11014" t="inlineStr">
        <is>
          <t>VÄSTRA GÖTALANDS LÄN</t>
        </is>
      </c>
      <c r="E11014" t="inlineStr">
        <is>
          <t>VARA</t>
        </is>
      </c>
      <c r="G11014" t="n">
        <v>1.3</v>
      </c>
      <c r="H11014" t="n">
        <v>0</v>
      </c>
      <c r="I11014" t="n">
        <v>0</v>
      </c>
      <c r="J11014" t="n">
        <v>0</v>
      </c>
      <c r="K11014" t="n">
        <v>0</v>
      </c>
      <c r="L11014" t="n">
        <v>0</v>
      </c>
      <c r="M11014" t="n">
        <v>0</v>
      </c>
      <c r="N11014" t="n">
        <v>0</v>
      </c>
      <c r="O11014" t="n">
        <v>0</v>
      </c>
      <c r="P11014" t="n">
        <v>0</v>
      </c>
      <c r="Q11014" t="n">
        <v>0</v>
      </c>
      <c r="R11014" s="2" t="inlineStr"/>
    </row>
    <row r="11015" ht="15" customHeight="1">
      <c r="A11015" t="inlineStr">
        <is>
          <t>A 53485-2023</t>
        </is>
      </c>
      <c r="B11015" s="1" t="n">
        <v>45230</v>
      </c>
      <c r="C11015" s="1" t="n">
        <v>45952</v>
      </c>
      <c r="D11015" t="inlineStr">
        <is>
          <t>VÄSTRA GÖTALANDS LÄN</t>
        </is>
      </c>
      <c r="E11015" t="inlineStr">
        <is>
          <t>STRÖMSTAD</t>
        </is>
      </c>
      <c r="G11015" t="n">
        <v>1.9</v>
      </c>
      <c r="H11015" t="n">
        <v>0</v>
      </c>
      <c r="I11015" t="n">
        <v>0</v>
      </c>
      <c r="J11015" t="n">
        <v>0</v>
      </c>
      <c r="K11015" t="n">
        <v>0</v>
      </c>
      <c r="L11015" t="n">
        <v>0</v>
      </c>
      <c r="M11015" t="n">
        <v>0</v>
      </c>
      <c r="N11015" t="n">
        <v>0</v>
      </c>
      <c r="O11015" t="n">
        <v>0</v>
      </c>
      <c r="P11015" t="n">
        <v>0</v>
      </c>
      <c r="Q11015" t="n">
        <v>0</v>
      </c>
      <c r="R11015" s="2" t="inlineStr"/>
    </row>
    <row r="11016" ht="15" customHeight="1">
      <c r="A11016" t="inlineStr">
        <is>
          <t>A 51886-2021</t>
        </is>
      </c>
      <c r="B11016" s="1" t="n">
        <v>44462.82854166667</v>
      </c>
      <c r="C11016" s="1" t="n">
        <v>45952</v>
      </c>
      <c r="D11016" t="inlineStr">
        <is>
          <t>VÄSTRA GÖTALANDS LÄN</t>
        </is>
      </c>
      <c r="E11016" t="inlineStr">
        <is>
          <t>SKÖVDE</t>
        </is>
      </c>
      <c r="G11016" t="n">
        <v>1.5</v>
      </c>
      <c r="H11016" t="n">
        <v>0</v>
      </c>
      <c r="I11016" t="n">
        <v>0</v>
      </c>
      <c r="J11016" t="n">
        <v>0</v>
      </c>
      <c r="K11016" t="n">
        <v>0</v>
      </c>
      <c r="L11016" t="n">
        <v>0</v>
      </c>
      <c r="M11016" t="n">
        <v>0</v>
      </c>
      <c r="N11016" t="n">
        <v>0</v>
      </c>
      <c r="O11016" t="n">
        <v>0</v>
      </c>
      <c r="P11016" t="n">
        <v>0</v>
      </c>
      <c r="Q11016" t="n">
        <v>0</v>
      </c>
      <c r="R11016" s="2" t="inlineStr"/>
    </row>
    <row r="11017" ht="15" customHeight="1">
      <c r="A11017" t="inlineStr">
        <is>
          <t>A 50761-2025</t>
        </is>
      </c>
      <c r="B11017" s="1" t="n">
        <v>45946.42431712963</v>
      </c>
      <c r="C11017" s="1" t="n">
        <v>45952</v>
      </c>
      <c r="D11017" t="inlineStr">
        <is>
          <t>VÄSTRA GÖTALANDS LÄN</t>
        </is>
      </c>
      <c r="E11017" t="inlineStr">
        <is>
          <t>TANUM</t>
        </is>
      </c>
      <c r="F11017" t="inlineStr">
        <is>
          <t>Kyrkan</t>
        </is>
      </c>
      <c r="G11017" t="n">
        <v>5.4</v>
      </c>
      <c r="H11017" t="n">
        <v>0</v>
      </c>
      <c r="I11017" t="n">
        <v>0</v>
      </c>
      <c r="J11017" t="n">
        <v>0</v>
      </c>
      <c r="K11017" t="n">
        <v>0</v>
      </c>
      <c r="L11017" t="n">
        <v>0</v>
      </c>
      <c r="M11017" t="n">
        <v>0</v>
      </c>
      <c r="N11017" t="n">
        <v>0</v>
      </c>
      <c r="O11017" t="n">
        <v>0</v>
      </c>
      <c r="P11017" t="n">
        <v>0</v>
      </c>
      <c r="Q11017" t="n">
        <v>0</v>
      </c>
      <c r="R11017" s="2" t="inlineStr"/>
    </row>
    <row r="11018" ht="15" customHeight="1">
      <c r="A11018" t="inlineStr">
        <is>
          <t>A 33611-2023</t>
        </is>
      </c>
      <c r="B11018" s="1" t="n">
        <v>45132.34326388889</v>
      </c>
      <c r="C11018" s="1" t="n">
        <v>45952</v>
      </c>
      <c r="D11018" t="inlineStr">
        <is>
          <t>VÄSTRA GÖTALANDS LÄN</t>
        </is>
      </c>
      <c r="E11018" t="inlineStr">
        <is>
          <t>ULRICEHAMN</t>
        </is>
      </c>
      <c r="G11018" t="n">
        <v>4.3</v>
      </c>
      <c r="H11018" t="n">
        <v>0</v>
      </c>
      <c r="I11018" t="n">
        <v>0</v>
      </c>
      <c r="J11018" t="n">
        <v>0</v>
      </c>
      <c r="K11018" t="n">
        <v>0</v>
      </c>
      <c r="L11018" t="n">
        <v>0</v>
      </c>
      <c r="M11018" t="n">
        <v>0</v>
      </c>
      <c r="N11018" t="n">
        <v>0</v>
      </c>
      <c r="O11018" t="n">
        <v>0</v>
      </c>
      <c r="P11018" t="n">
        <v>0</v>
      </c>
      <c r="Q11018" t="n">
        <v>0</v>
      </c>
      <c r="R11018" s="2" t="inlineStr"/>
    </row>
    <row r="11019" ht="15" customHeight="1">
      <c r="A11019" t="inlineStr">
        <is>
          <t>A 26615-2025</t>
        </is>
      </c>
      <c r="B11019" s="1" t="n">
        <v>45810.30193287037</v>
      </c>
      <c r="C11019" s="1" t="n">
        <v>45952</v>
      </c>
      <c r="D11019" t="inlineStr">
        <is>
          <t>VÄSTRA GÖTALANDS LÄN</t>
        </is>
      </c>
      <c r="E11019" t="inlineStr">
        <is>
          <t>SVENLJUNGA</t>
        </is>
      </c>
      <c r="G11019" t="n">
        <v>5.4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26620-2025</t>
        </is>
      </c>
      <c r="B11020" s="1" t="n">
        <v>45810.31511574074</v>
      </c>
      <c r="C11020" s="1" t="n">
        <v>45952</v>
      </c>
      <c r="D11020" t="inlineStr">
        <is>
          <t>VÄSTRA GÖTALANDS LÄN</t>
        </is>
      </c>
      <c r="E11020" t="inlineStr">
        <is>
          <t>SKÖVDE</t>
        </is>
      </c>
      <c r="G11020" t="n">
        <v>1.3</v>
      </c>
      <c r="H11020" t="n">
        <v>0</v>
      </c>
      <c r="I11020" t="n">
        <v>0</v>
      </c>
      <c r="J11020" t="n">
        <v>0</v>
      </c>
      <c r="K11020" t="n">
        <v>0</v>
      </c>
      <c r="L11020" t="n">
        <v>0</v>
      </c>
      <c r="M11020" t="n">
        <v>0</v>
      </c>
      <c r="N11020" t="n">
        <v>0</v>
      </c>
      <c r="O11020" t="n">
        <v>0</v>
      </c>
      <c r="P11020" t="n">
        <v>0</v>
      </c>
      <c r="Q11020" t="n">
        <v>0</v>
      </c>
      <c r="R11020" s="2" t="inlineStr"/>
    </row>
    <row r="11021" ht="15" customHeight="1">
      <c r="A11021" t="inlineStr">
        <is>
          <t>A 51480-2024</t>
        </is>
      </c>
      <c r="B11021" s="1" t="n">
        <v>45603</v>
      </c>
      <c r="C11021" s="1" t="n">
        <v>45952</v>
      </c>
      <c r="D11021" t="inlineStr">
        <is>
          <t>VÄSTRA GÖTALANDS LÄN</t>
        </is>
      </c>
      <c r="E11021" t="inlineStr">
        <is>
          <t>VÄNERSBORG</t>
        </is>
      </c>
      <c r="G11021" t="n">
        <v>3.9</v>
      </c>
      <c r="H11021" t="n">
        <v>0</v>
      </c>
      <c r="I11021" t="n">
        <v>0</v>
      </c>
      <c r="J11021" t="n">
        <v>0</v>
      </c>
      <c r="K11021" t="n">
        <v>0</v>
      </c>
      <c r="L11021" t="n">
        <v>0</v>
      </c>
      <c r="M11021" t="n">
        <v>0</v>
      </c>
      <c r="N11021" t="n">
        <v>0</v>
      </c>
      <c r="O11021" t="n">
        <v>0</v>
      </c>
      <c r="P11021" t="n">
        <v>0</v>
      </c>
      <c r="Q11021" t="n">
        <v>0</v>
      </c>
      <c r="R11021" s="2" t="inlineStr"/>
    </row>
    <row r="11022" ht="15" customHeight="1">
      <c r="A11022" t="inlineStr">
        <is>
          <t>A 50868-2025</t>
        </is>
      </c>
      <c r="B11022" s="1" t="n">
        <v>45946.59853009259</v>
      </c>
      <c r="C11022" s="1" t="n">
        <v>45952</v>
      </c>
      <c r="D11022" t="inlineStr">
        <is>
          <t>VÄSTRA GÖTALANDS LÄN</t>
        </is>
      </c>
      <c r="E11022" t="inlineStr">
        <is>
          <t>TANUM</t>
        </is>
      </c>
      <c r="G11022" t="n">
        <v>1.9</v>
      </c>
      <c r="H11022" t="n">
        <v>0</v>
      </c>
      <c r="I11022" t="n">
        <v>0</v>
      </c>
      <c r="J11022" t="n">
        <v>0</v>
      </c>
      <c r="K11022" t="n">
        <v>0</v>
      </c>
      <c r="L11022" t="n">
        <v>0</v>
      </c>
      <c r="M11022" t="n">
        <v>0</v>
      </c>
      <c r="N11022" t="n">
        <v>0</v>
      </c>
      <c r="O11022" t="n">
        <v>0</v>
      </c>
      <c r="P11022" t="n">
        <v>0</v>
      </c>
      <c r="Q11022" t="n">
        <v>0</v>
      </c>
      <c r="R11022" s="2" t="inlineStr"/>
    </row>
    <row r="11023" ht="15" customHeight="1">
      <c r="A11023" t="inlineStr">
        <is>
          <t>A 42362-2025</t>
        </is>
      </c>
      <c r="B11023" s="1" t="n">
        <v>45905.31484953704</v>
      </c>
      <c r="C11023" s="1" t="n">
        <v>45952</v>
      </c>
      <c r="D11023" t="inlineStr">
        <is>
          <t>VÄSTRA GÖTALANDS LÄN</t>
        </is>
      </c>
      <c r="E11023" t="inlineStr">
        <is>
          <t>DALS-ED</t>
        </is>
      </c>
      <c r="F11023" t="inlineStr">
        <is>
          <t>Övriga Aktiebolag</t>
        </is>
      </c>
      <c r="G11023" t="n">
        <v>1.8</v>
      </c>
      <c r="H11023" t="n">
        <v>0</v>
      </c>
      <c r="I11023" t="n">
        <v>0</v>
      </c>
      <c r="J11023" t="n">
        <v>0</v>
      </c>
      <c r="K11023" t="n">
        <v>0</v>
      </c>
      <c r="L11023" t="n">
        <v>0</v>
      </c>
      <c r="M11023" t="n">
        <v>0</v>
      </c>
      <c r="N11023" t="n">
        <v>0</v>
      </c>
      <c r="O11023" t="n">
        <v>0</v>
      </c>
      <c r="P11023" t="n">
        <v>0</v>
      </c>
      <c r="Q11023" t="n">
        <v>0</v>
      </c>
      <c r="R11023" s="2" t="inlineStr"/>
    </row>
    <row r="11024" ht="15" customHeight="1">
      <c r="A11024" t="inlineStr">
        <is>
          <t>A 12292-2024</t>
        </is>
      </c>
      <c r="B11024" s="1" t="n">
        <v>45378.58028935185</v>
      </c>
      <c r="C11024" s="1" t="n">
        <v>45952</v>
      </c>
      <c r="D11024" t="inlineStr">
        <is>
          <t>VÄSTRA GÖTALANDS LÄN</t>
        </is>
      </c>
      <c r="E11024" t="inlineStr">
        <is>
          <t>BENGTSFORS</t>
        </is>
      </c>
      <c r="G11024" t="n">
        <v>2.3</v>
      </c>
      <c r="H11024" t="n">
        <v>0</v>
      </c>
      <c r="I11024" t="n">
        <v>0</v>
      </c>
      <c r="J11024" t="n">
        <v>0</v>
      </c>
      <c r="K11024" t="n">
        <v>0</v>
      </c>
      <c r="L11024" t="n">
        <v>0</v>
      </c>
      <c r="M11024" t="n">
        <v>0</v>
      </c>
      <c r="N11024" t="n">
        <v>0</v>
      </c>
      <c r="O11024" t="n">
        <v>0</v>
      </c>
      <c r="P11024" t="n">
        <v>0</v>
      </c>
      <c r="Q11024" t="n">
        <v>0</v>
      </c>
      <c r="R11024" s="2" t="inlineStr"/>
    </row>
    <row r="11025" ht="15" customHeight="1">
      <c r="A11025" t="inlineStr">
        <is>
          <t>A 29248-2023</t>
        </is>
      </c>
      <c r="B11025" s="1" t="n">
        <v>45105.63884259259</v>
      </c>
      <c r="C11025" s="1" t="n">
        <v>45952</v>
      </c>
      <c r="D11025" t="inlineStr">
        <is>
          <t>VÄSTRA GÖTALANDS LÄN</t>
        </is>
      </c>
      <c r="E11025" t="inlineStr">
        <is>
          <t>SKÖVDE</t>
        </is>
      </c>
      <c r="G11025" t="n">
        <v>1.6</v>
      </c>
      <c r="H11025" t="n">
        <v>0</v>
      </c>
      <c r="I11025" t="n">
        <v>0</v>
      </c>
      <c r="J11025" t="n">
        <v>0</v>
      </c>
      <c r="K11025" t="n">
        <v>0</v>
      </c>
      <c r="L11025" t="n">
        <v>0</v>
      </c>
      <c r="M11025" t="n">
        <v>0</v>
      </c>
      <c r="N11025" t="n">
        <v>0</v>
      </c>
      <c r="O11025" t="n">
        <v>0</v>
      </c>
      <c r="P11025" t="n">
        <v>0</v>
      </c>
      <c r="Q11025" t="n">
        <v>0</v>
      </c>
      <c r="R11025" s="2" t="inlineStr"/>
    </row>
    <row r="11026" ht="15" customHeight="1">
      <c r="A11026" t="inlineStr">
        <is>
          <t>A 27016-2025</t>
        </is>
      </c>
      <c r="B11026" s="1" t="n">
        <v>45811.56836805555</v>
      </c>
      <c r="C11026" s="1" t="n">
        <v>45952</v>
      </c>
      <c r="D11026" t="inlineStr">
        <is>
          <t>VÄSTRA GÖTALANDS LÄN</t>
        </is>
      </c>
      <c r="E11026" t="inlineStr">
        <is>
          <t>FALKÖPING</t>
        </is>
      </c>
      <c r="G11026" t="n">
        <v>0.8</v>
      </c>
      <c r="H11026" t="n">
        <v>0</v>
      </c>
      <c r="I11026" t="n">
        <v>0</v>
      </c>
      <c r="J11026" t="n">
        <v>0</v>
      </c>
      <c r="K11026" t="n">
        <v>0</v>
      </c>
      <c r="L11026" t="n">
        <v>0</v>
      </c>
      <c r="M11026" t="n">
        <v>0</v>
      </c>
      <c r="N11026" t="n">
        <v>0</v>
      </c>
      <c r="O11026" t="n">
        <v>0</v>
      </c>
      <c r="P11026" t="n">
        <v>0</v>
      </c>
      <c r="Q11026" t="n">
        <v>0</v>
      </c>
      <c r="R11026" s="2" t="inlineStr"/>
    </row>
    <row r="11027" ht="15" customHeight="1">
      <c r="A11027" t="inlineStr">
        <is>
          <t>A 1379-2024</t>
        </is>
      </c>
      <c r="B11027" s="1" t="n">
        <v>45303.55193287037</v>
      </c>
      <c r="C11027" s="1" t="n">
        <v>45952</v>
      </c>
      <c r="D11027" t="inlineStr">
        <is>
          <t>VÄSTRA GÖTALANDS LÄN</t>
        </is>
      </c>
      <c r="E11027" t="inlineStr">
        <is>
          <t>TJÖRN</t>
        </is>
      </c>
      <c r="F11027" t="inlineStr">
        <is>
          <t>Kommuner</t>
        </is>
      </c>
      <c r="G11027" t="n">
        <v>1.5</v>
      </c>
      <c r="H11027" t="n">
        <v>0</v>
      </c>
      <c r="I11027" t="n">
        <v>0</v>
      </c>
      <c r="J11027" t="n">
        <v>0</v>
      </c>
      <c r="K11027" t="n">
        <v>0</v>
      </c>
      <c r="L11027" t="n">
        <v>0</v>
      </c>
      <c r="M11027" t="n">
        <v>0</v>
      </c>
      <c r="N11027" t="n">
        <v>0</v>
      </c>
      <c r="O11027" t="n">
        <v>0</v>
      </c>
      <c r="P11027" t="n">
        <v>0</v>
      </c>
      <c r="Q11027" t="n">
        <v>0</v>
      </c>
      <c r="R11027" s="2" t="inlineStr"/>
    </row>
    <row r="11028" ht="15" customHeight="1">
      <c r="A11028" t="inlineStr">
        <is>
          <t>A 26727-2025</t>
        </is>
      </c>
      <c r="B11028" s="1" t="n">
        <v>45810.49706018518</v>
      </c>
      <c r="C11028" s="1" t="n">
        <v>45952</v>
      </c>
      <c r="D11028" t="inlineStr">
        <is>
          <t>VÄSTRA GÖTALANDS LÄN</t>
        </is>
      </c>
      <c r="E11028" t="inlineStr">
        <is>
          <t>BENGTSFORS</t>
        </is>
      </c>
      <c r="G11028" t="n">
        <v>4</v>
      </c>
      <c r="H11028" t="n">
        <v>0</v>
      </c>
      <c r="I11028" t="n">
        <v>0</v>
      </c>
      <c r="J11028" t="n">
        <v>0</v>
      </c>
      <c r="K11028" t="n">
        <v>0</v>
      </c>
      <c r="L11028" t="n">
        <v>0</v>
      </c>
      <c r="M11028" t="n">
        <v>0</v>
      </c>
      <c r="N11028" t="n">
        <v>0</v>
      </c>
      <c r="O11028" t="n">
        <v>0</v>
      </c>
      <c r="P11028" t="n">
        <v>0</v>
      </c>
      <c r="Q11028" t="n">
        <v>0</v>
      </c>
      <c r="R11028" s="2" t="inlineStr"/>
    </row>
    <row r="11029" ht="15" customHeight="1">
      <c r="A11029" t="inlineStr">
        <is>
          <t>A 28183-2022</t>
        </is>
      </c>
      <c r="B11029" s="1" t="n">
        <v>44746</v>
      </c>
      <c r="C11029" s="1" t="n">
        <v>45952</v>
      </c>
      <c r="D11029" t="inlineStr">
        <is>
          <t>VÄSTRA GÖTALANDS LÄN</t>
        </is>
      </c>
      <c r="E11029" t="inlineStr">
        <is>
          <t>TÖREBODA</t>
        </is>
      </c>
      <c r="G11029" t="n">
        <v>1.2</v>
      </c>
      <c r="H11029" t="n">
        <v>0</v>
      </c>
      <c r="I11029" t="n">
        <v>0</v>
      </c>
      <c r="J11029" t="n">
        <v>0</v>
      </c>
      <c r="K11029" t="n">
        <v>0</v>
      </c>
      <c r="L11029" t="n">
        <v>0</v>
      </c>
      <c r="M11029" t="n">
        <v>0</v>
      </c>
      <c r="N11029" t="n">
        <v>0</v>
      </c>
      <c r="O11029" t="n">
        <v>0</v>
      </c>
      <c r="P11029" t="n">
        <v>0</v>
      </c>
      <c r="Q11029" t="n">
        <v>0</v>
      </c>
      <c r="R11029" s="2" t="inlineStr"/>
    </row>
    <row r="11030" ht="15" customHeight="1">
      <c r="A11030" t="inlineStr">
        <is>
          <t>A 28190-2022</t>
        </is>
      </c>
      <c r="B11030" s="1" t="n">
        <v>44746.58916666666</v>
      </c>
      <c r="C11030" s="1" t="n">
        <v>45952</v>
      </c>
      <c r="D11030" t="inlineStr">
        <is>
          <t>VÄSTRA GÖTALANDS LÄN</t>
        </is>
      </c>
      <c r="E11030" t="inlineStr">
        <is>
          <t>VÄNERSBORG</t>
        </is>
      </c>
      <c r="G11030" t="n">
        <v>1.7</v>
      </c>
      <c r="H11030" t="n">
        <v>0</v>
      </c>
      <c r="I11030" t="n">
        <v>0</v>
      </c>
      <c r="J11030" t="n">
        <v>0</v>
      </c>
      <c r="K11030" t="n">
        <v>0</v>
      </c>
      <c r="L11030" t="n">
        <v>0</v>
      </c>
      <c r="M11030" t="n">
        <v>0</v>
      </c>
      <c r="N11030" t="n">
        <v>0</v>
      </c>
      <c r="O11030" t="n">
        <v>0</v>
      </c>
      <c r="P11030" t="n">
        <v>0</v>
      </c>
      <c r="Q11030" t="n">
        <v>0</v>
      </c>
      <c r="R11030" s="2" t="inlineStr"/>
    </row>
    <row r="11031" ht="15" customHeight="1">
      <c r="A11031" t="inlineStr">
        <is>
          <t>A 42462-2025</t>
        </is>
      </c>
      <c r="B11031" s="1" t="n">
        <v>45905.45730324074</v>
      </c>
      <c r="C11031" s="1" t="n">
        <v>45952</v>
      </c>
      <c r="D11031" t="inlineStr">
        <is>
          <t>VÄSTRA GÖTALANDS LÄN</t>
        </is>
      </c>
      <c r="E11031" t="inlineStr">
        <is>
          <t>TJÖRN</t>
        </is>
      </c>
      <c r="G11031" t="n">
        <v>2.3</v>
      </c>
      <c r="H11031" t="n">
        <v>0</v>
      </c>
      <c r="I11031" t="n">
        <v>0</v>
      </c>
      <c r="J11031" t="n">
        <v>0</v>
      </c>
      <c r="K11031" t="n">
        <v>0</v>
      </c>
      <c r="L11031" t="n">
        <v>0</v>
      </c>
      <c r="M11031" t="n">
        <v>0</v>
      </c>
      <c r="N11031" t="n">
        <v>0</v>
      </c>
      <c r="O11031" t="n">
        <v>0</v>
      </c>
      <c r="P11031" t="n">
        <v>0</v>
      </c>
      <c r="Q11031" t="n">
        <v>0</v>
      </c>
      <c r="R11031" s="2" t="inlineStr"/>
    </row>
    <row r="11032" ht="15" customHeight="1">
      <c r="A11032" t="inlineStr">
        <is>
          <t>A 49062-2024</t>
        </is>
      </c>
      <c r="B11032" s="1" t="n">
        <v>45594</v>
      </c>
      <c r="C11032" s="1" t="n">
        <v>45952</v>
      </c>
      <c r="D11032" t="inlineStr">
        <is>
          <t>VÄSTRA GÖTALANDS LÄN</t>
        </is>
      </c>
      <c r="E11032" t="inlineStr">
        <is>
          <t>TROLLHÄTTAN</t>
        </is>
      </c>
      <c r="G11032" t="n">
        <v>1.6</v>
      </c>
      <c r="H11032" t="n">
        <v>0</v>
      </c>
      <c r="I11032" t="n">
        <v>0</v>
      </c>
      <c r="J11032" t="n">
        <v>0</v>
      </c>
      <c r="K11032" t="n">
        <v>0</v>
      </c>
      <c r="L11032" t="n">
        <v>0</v>
      </c>
      <c r="M11032" t="n">
        <v>0</v>
      </c>
      <c r="N11032" t="n">
        <v>0</v>
      </c>
      <c r="O11032" t="n">
        <v>0</v>
      </c>
      <c r="P11032" t="n">
        <v>0</v>
      </c>
      <c r="Q11032" t="n">
        <v>0</v>
      </c>
      <c r="R11032" s="2" t="inlineStr"/>
    </row>
    <row r="11033" ht="15" customHeight="1">
      <c r="A11033" t="inlineStr">
        <is>
          <t>A 13801-2025</t>
        </is>
      </c>
      <c r="B11033" s="1" t="n">
        <v>45737.4871412037</v>
      </c>
      <c r="C11033" s="1" t="n">
        <v>45952</v>
      </c>
      <c r="D11033" t="inlineStr">
        <is>
          <t>VÄSTRA GÖTALANDS LÄN</t>
        </is>
      </c>
      <c r="E11033" t="inlineStr">
        <is>
          <t>LILLA EDET</t>
        </is>
      </c>
      <c r="G11033" t="n">
        <v>2.1</v>
      </c>
      <c r="H11033" t="n">
        <v>0</v>
      </c>
      <c r="I11033" t="n">
        <v>0</v>
      </c>
      <c r="J11033" t="n">
        <v>0</v>
      </c>
      <c r="K11033" t="n">
        <v>0</v>
      </c>
      <c r="L11033" t="n">
        <v>0</v>
      </c>
      <c r="M11033" t="n">
        <v>0</v>
      </c>
      <c r="N11033" t="n">
        <v>0</v>
      </c>
      <c r="O11033" t="n">
        <v>0</v>
      </c>
      <c r="P11033" t="n">
        <v>0</v>
      </c>
      <c r="Q11033" t="n">
        <v>0</v>
      </c>
      <c r="R11033" s="2" t="inlineStr"/>
    </row>
    <row r="11034" ht="15" customHeight="1">
      <c r="A11034" t="inlineStr">
        <is>
          <t>A 42466-2025</t>
        </is>
      </c>
      <c r="B11034" s="1" t="n">
        <v>45905</v>
      </c>
      <c r="C11034" s="1" t="n">
        <v>45952</v>
      </c>
      <c r="D11034" t="inlineStr">
        <is>
          <t>VÄSTRA GÖTALANDS LÄN</t>
        </is>
      </c>
      <c r="E11034" t="inlineStr">
        <is>
          <t>MARK</t>
        </is>
      </c>
      <c r="F11034" t="inlineStr">
        <is>
          <t>Sveaskog</t>
        </is>
      </c>
      <c r="G11034" t="n">
        <v>3.9</v>
      </c>
      <c r="H11034" t="n">
        <v>0</v>
      </c>
      <c r="I11034" t="n">
        <v>0</v>
      </c>
      <c r="J11034" t="n">
        <v>0</v>
      </c>
      <c r="K11034" t="n">
        <v>0</v>
      </c>
      <c r="L11034" t="n">
        <v>0</v>
      </c>
      <c r="M11034" t="n">
        <v>0</v>
      </c>
      <c r="N11034" t="n">
        <v>0</v>
      </c>
      <c r="O11034" t="n">
        <v>0</v>
      </c>
      <c r="P11034" t="n">
        <v>0</v>
      </c>
      <c r="Q11034" t="n">
        <v>0</v>
      </c>
      <c r="R11034" s="2" t="inlineStr"/>
    </row>
    <row r="11035" ht="15" customHeight="1">
      <c r="A11035" t="inlineStr">
        <is>
          <t>A 2781-2025</t>
        </is>
      </c>
      <c r="B11035" s="1" t="n">
        <v>45677.54344907407</v>
      </c>
      <c r="C11035" s="1" t="n">
        <v>45952</v>
      </c>
      <c r="D11035" t="inlineStr">
        <is>
          <t>VÄSTRA GÖTALANDS LÄN</t>
        </is>
      </c>
      <c r="E11035" t="inlineStr">
        <is>
          <t>VARA</t>
        </is>
      </c>
      <c r="G11035" t="n">
        <v>1.4</v>
      </c>
      <c r="H11035" t="n">
        <v>0</v>
      </c>
      <c r="I11035" t="n">
        <v>0</v>
      </c>
      <c r="J11035" t="n">
        <v>0</v>
      </c>
      <c r="K11035" t="n">
        <v>0</v>
      </c>
      <c r="L11035" t="n">
        <v>0</v>
      </c>
      <c r="M11035" t="n">
        <v>0</v>
      </c>
      <c r="N11035" t="n">
        <v>0</v>
      </c>
      <c r="O11035" t="n">
        <v>0</v>
      </c>
      <c r="P11035" t="n">
        <v>0</v>
      </c>
      <c r="Q11035" t="n">
        <v>0</v>
      </c>
      <c r="R11035" s="2" t="inlineStr"/>
    </row>
    <row r="11036" ht="15" customHeight="1">
      <c r="A11036" t="inlineStr">
        <is>
          <t>A 12450-2022</t>
        </is>
      </c>
      <c r="B11036" s="1" t="n">
        <v>44638</v>
      </c>
      <c r="C11036" s="1" t="n">
        <v>45952</v>
      </c>
      <c r="D11036" t="inlineStr">
        <is>
          <t>VÄSTRA GÖTALANDS LÄN</t>
        </is>
      </c>
      <c r="E11036" t="inlineStr">
        <is>
          <t>GÖTENE</t>
        </is>
      </c>
      <c r="G11036" t="n">
        <v>1.6</v>
      </c>
      <c r="H11036" t="n">
        <v>0</v>
      </c>
      <c r="I11036" t="n">
        <v>0</v>
      </c>
      <c r="J11036" t="n">
        <v>0</v>
      </c>
      <c r="K11036" t="n">
        <v>0</v>
      </c>
      <c r="L11036" t="n">
        <v>0</v>
      </c>
      <c r="M11036" t="n">
        <v>0</v>
      </c>
      <c r="N11036" t="n">
        <v>0</v>
      </c>
      <c r="O11036" t="n">
        <v>0</v>
      </c>
      <c r="P11036" t="n">
        <v>0</v>
      </c>
      <c r="Q11036" t="n">
        <v>0</v>
      </c>
      <c r="R11036" s="2" t="inlineStr"/>
    </row>
    <row r="11037" ht="15" customHeight="1">
      <c r="A11037" t="inlineStr">
        <is>
          <t>A 50876-2025</t>
        </is>
      </c>
      <c r="B11037" s="1" t="n">
        <v>45946.61502314815</v>
      </c>
      <c r="C11037" s="1" t="n">
        <v>45952</v>
      </c>
      <c r="D11037" t="inlineStr">
        <is>
          <t>VÄSTRA GÖTALANDS LÄN</t>
        </is>
      </c>
      <c r="E11037" t="inlineStr">
        <is>
          <t>FÄRGELANDA</t>
        </is>
      </c>
      <c r="G11037" t="n">
        <v>2.1</v>
      </c>
      <c r="H11037" t="n">
        <v>0</v>
      </c>
      <c r="I11037" t="n">
        <v>0</v>
      </c>
      <c r="J11037" t="n">
        <v>0</v>
      </c>
      <c r="K11037" t="n">
        <v>0</v>
      </c>
      <c r="L11037" t="n">
        <v>0</v>
      </c>
      <c r="M11037" t="n">
        <v>0</v>
      </c>
      <c r="N11037" t="n">
        <v>0</v>
      </c>
      <c r="O11037" t="n">
        <v>0</v>
      </c>
      <c r="P11037" t="n">
        <v>0</v>
      </c>
      <c r="Q11037" t="n">
        <v>0</v>
      </c>
      <c r="R11037" s="2" t="inlineStr"/>
    </row>
    <row r="11038" ht="15" customHeight="1">
      <c r="A11038" t="inlineStr">
        <is>
          <t>A 50883-2025</t>
        </is>
      </c>
      <c r="B11038" s="1" t="n">
        <v>45946.63247685185</v>
      </c>
      <c r="C11038" s="1" t="n">
        <v>45952</v>
      </c>
      <c r="D11038" t="inlineStr">
        <is>
          <t>VÄSTRA GÖTALANDS LÄN</t>
        </is>
      </c>
      <c r="E11038" t="inlineStr">
        <is>
          <t>FÄRGELANDA</t>
        </is>
      </c>
      <c r="G11038" t="n">
        <v>1.6</v>
      </c>
      <c r="H11038" t="n">
        <v>0</v>
      </c>
      <c r="I11038" t="n">
        <v>0</v>
      </c>
      <c r="J11038" t="n">
        <v>0</v>
      </c>
      <c r="K11038" t="n">
        <v>0</v>
      </c>
      <c r="L11038" t="n">
        <v>0</v>
      </c>
      <c r="M11038" t="n">
        <v>0</v>
      </c>
      <c r="N11038" t="n">
        <v>0</v>
      </c>
      <c r="O11038" t="n">
        <v>0</v>
      </c>
      <c r="P11038" t="n">
        <v>0</v>
      </c>
      <c r="Q11038" t="n">
        <v>0</v>
      </c>
      <c r="R11038" s="2" t="inlineStr"/>
    </row>
    <row r="11039" ht="15" customHeight="1">
      <c r="A11039" t="inlineStr">
        <is>
          <t>A 26724-2025</t>
        </is>
      </c>
      <c r="B11039" s="1" t="n">
        <v>45810.49170138889</v>
      </c>
      <c r="C11039" s="1" t="n">
        <v>45952</v>
      </c>
      <c r="D11039" t="inlineStr">
        <is>
          <t>VÄSTRA GÖTALANDS LÄN</t>
        </is>
      </c>
      <c r="E11039" t="inlineStr">
        <is>
          <t>TRANEMO</t>
        </is>
      </c>
      <c r="F11039" t="inlineStr">
        <is>
          <t>Kyrkan</t>
        </is>
      </c>
      <c r="G11039" t="n">
        <v>3.2</v>
      </c>
      <c r="H11039" t="n">
        <v>0</v>
      </c>
      <c r="I11039" t="n">
        <v>0</v>
      </c>
      <c r="J11039" t="n">
        <v>0</v>
      </c>
      <c r="K11039" t="n">
        <v>0</v>
      </c>
      <c r="L11039" t="n">
        <v>0</v>
      </c>
      <c r="M11039" t="n">
        <v>0</v>
      </c>
      <c r="N11039" t="n">
        <v>0</v>
      </c>
      <c r="O11039" t="n">
        <v>0</v>
      </c>
      <c r="P11039" t="n">
        <v>0</v>
      </c>
      <c r="Q11039" t="n">
        <v>0</v>
      </c>
      <c r="R11039" s="2" t="inlineStr"/>
    </row>
    <row r="11040" ht="15" customHeight="1">
      <c r="A11040" t="inlineStr">
        <is>
          <t>A 28107-2023</t>
        </is>
      </c>
      <c r="B11040" s="1" t="n">
        <v>45099.45586805556</v>
      </c>
      <c r="C11040" s="1" t="n">
        <v>45952</v>
      </c>
      <c r="D11040" t="inlineStr">
        <is>
          <t>VÄSTRA GÖTALANDS LÄN</t>
        </is>
      </c>
      <c r="E11040" t="inlineStr">
        <is>
          <t>ULRICEHAMN</t>
        </is>
      </c>
      <c r="G11040" t="n">
        <v>6.7</v>
      </c>
      <c r="H11040" t="n">
        <v>0</v>
      </c>
      <c r="I11040" t="n">
        <v>0</v>
      </c>
      <c r="J11040" t="n">
        <v>0</v>
      </c>
      <c r="K11040" t="n">
        <v>0</v>
      </c>
      <c r="L11040" t="n">
        <v>0</v>
      </c>
      <c r="M11040" t="n">
        <v>0</v>
      </c>
      <c r="N11040" t="n">
        <v>0</v>
      </c>
      <c r="O11040" t="n">
        <v>0</v>
      </c>
      <c r="P11040" t="n">
        <v>0</v>
      </c>
      <c r="Q11040" t="n">
        <v>0</v>
      </c>
      <c r="R11040" s="2" t="inlineStr"/>
    </row>
    <row r="11041" ht="15" customHeight="1">
      <c r="A11041" t="inlineStr">
        <is>
          <t>A 7931-2024</t>
        </is>
      </c>
      <c r="B11041" s="1" t="n">
        <v>45350.48810185185</v>
      </c>
      <c r="C11041" s="1" t="n">
        <v>45952</v>
      </c>
      <c r="D11041" t="inlineStr">
        <is>
          <t>VÄSTRA GÖTALANDS LÄN</t>
        </is>
      </c>
      <c r="E11041" t="inlineStr">
        <is>
          <t>TIDAHOLM</t>
        </is>
      </c>
      <c r="G11041" t="n">
        <v>5</v>
      </c>
      <c r="H11041" t="n">
        <v>0</v>
      </c>
      <c r="I11041" t="n">
        <v>0</v>
      </c>
      <c r="J11041" t="n">
        <v>0</v>
      </c>
      <c r="K11041" t="n">
        <v>0</v>
      </c>
      <c r="L11041" t="n">
        <v>0</v>
      </c>
      <c r="M11041" t="n">
        <v>0</v>
      </c>
      <c r="N11041" t="n">
        <v>0</v>
      </c>
      <c r="O11041" t="n">
        <v>0</v>
      </c>
      <c r="P11041" t="n">
        <v>0</v>
      </c>
      <c r="Q11041" t="n">
        <v>0</v>
      </c>
      <c r="R11041" s="2" t="inlineStr"/>
    </row>
    <row r="11042" ht="15" customHeight="1">
      <c r="A11042" t="inlineStr">
        <is>
          <t>A 32272-2023</t>
        </is>
      </c>
      <c r="B11042" s="1" t="n">
        <v>45120.35368055556</v>
      </c>
      <c r="C11042" s="1" t="n">
        <v>45952</v>
      </c>
      <c r="D11042" t="inlineStr">
        <is>
          <t>VÄSTRA GÖTALANDS LÄN</t>
        </is>
      </c>
      <c r="E11042" t="inlineStr">
        <is>
          <t>KUNGÄLV</t>
        </is>
      </c>
      <c r="G11042" t="n">
        <v>4.9</v>
      </c>
      <c r="H11042" t="n">
        <v>0</v>
      </c>
      <c r="I11042" t="n">
        <v>0</v>
      </c>
      <c r="J11042" t="n">
        <v>0</v>
      </c>
      <c r="K11042" t="n">
        <v>0</v>
      </c>
      <c r="L11042" t="n">
        <v>0</v>
      </c>
      <c r="M11042" t="n">
        <v>0</v>
      </c>
      <c r="N11042" t="n">
        <v>0</v>
      </c>
      <c r="O11042" t="n">
        <v>0</v>
      </c>
      <c r="P11042" t="n">
        <v>0</v>
      </c>
      <c r="Q11042" t="n">
        <v>0</v>
      </c>
      <c r="R11042" s="2" t="inlineStr"/>
    </row>
    <row r="11043" ht="15" customHeight="1">
      <c r="A11043" t="inlineStr">
        <is>
          <t>A 42471-2025</t>
        </is>
      </c>
      <c r="B11043" s="1" t="n">
        <v>45905.46486111111</v>
      </c>
      <c r="C11043" s="1" t="n">
        <v>45952</v>
      </c>
      <c r="D11043" t="inlineStr">
        <is>
          <t>VÄSTRA GÖTALANDS LÄN</t>
        </is>
      </c>
      <c r="E11043" t="inlineStr">
        <is>
          <t>LYSEKIL</t>
        </is>
      </c>
      <c r="G11043" t="n">
        <v>2.7</v>
      </c>
      <c r="H11043" t="n">
        <v>0</v>
      </c>
      <c r="I11043" t="n">
        <v>0</v>
      </c>
      <c r="J11043" t="n">
        <v>0</v>
      </c>
      <c r="K11043" t="n">
        <v>0</v>
      </c>
      <c r="L11043" t="n">
        <v>0</v>
      </c>
      <c r="M11043" t="n">
        <v>0</v>
      </c>
      <c r="N11043" t="n">
        <v>0</v>
      </c>
      <c r="O11043" t="n">
        <v>0</v>
      </c>
      <c r="P11043" t="n">
        <v>0</v>
      </c>
      <c r="Q11043" t="n">
        <v>0</v>
      </c>
      <c r="R11043" s="2" t="inlineStr"/>
    </row>
    <row r="11044" ht="15" customHeight="1">
      <c r="A11044" t="inlineStr">
        <is>
          <t>A 12385-2025</t>
        </is>
      </c>
      <c r="B11044" s="1" t="n">
        <v>45730.38883101852</v>
      </c>
      <c r="C11044" s="1" t="n">
        <v>45952</v>
      </c>
      <c r="D11044" t="inlineStr">
        <is>
          <t>VÄSTRA GÖTALANDS LÄN</t>
        </is>
      </c>
      <c r="E11044" t="inlineStr">
        <is>
          <t>VÄNERSBORG</t>
        </is>
      </c>
      <c r="F11044" t="inlineStr">
        <is>
          <t>Kommuner</t>
        </is>
      </c>
      <c r="G11044" t="n">
        <v>2</v>
      </c>
      <c r="H11044" t="n">
        <v>0</v>
      </c>
      <c r="I11044" t="n">
        <v>0</v>
      </c>
      <c r="J11044" t="n">
        <v>0</v>
      </c>
      <c r="K11044" t="n">
        <v>0</v>
      </c>
      <c r="L11044" t="n">
        <v>0</v>
      </c>
      <c r="M11044" t="n">
        <v>0</v>
      </c>
      <c r="N11044" t="n">
        <v>0</v>
      </c>
      <c r="O11044" t="n">
        <v>0</v>
      </c>
      <c r="P11044" t="n">
        <v>0</v>
      </c>
      <c r="Q11044" t="n">
        <v>0</v>
      </c>
      <c r="R11044" s="2" t="inlineStr"/>
    </row>
    <row r="11045" ht="15" customHeight="1">
      <c r="A11045" t="inlineStr">
        <is>
          <t>A 60832-2024</t>
        </is>
      </c>
      <c r="B11045" s="1" t="n">
        <v>45644.64081018518</v>
      </c>
      <c r="C11045" s="1" t="n">
        <v>45952</v>
      </c>
      <c r="D11045" t="inlineStr">
        <is>
          <t>VÄSTRA GÖTALANDS LÄN</t>
        </is>
      </c>
      <c r="E11045" t="inlineStr">
        <is>
          <t>STENUNGSUND</t>
        </is>
      </c>
      <c r="G11045" t="n">
        <v>2.8</v>
      </c>
      <c r="H11045" t="n">
        <v>0</v>
      </c>
      <c r="I11045" t="n">
        <v>0</v>
      </c>
      <c r="J11045" t="n">
        <v>0</v>
      </c>
      <c r="K11045" t="n">
        <v>0</v>
      </c>
      <c r="L11045" t="n">
        <v>0</v>
      </c>
      <c r="M11045" t="n">
        <v>0</v>
      </c>
      <c r="N11045" t="n">
        <v>0</v>
      </c>
      <c r="O11045" t="n">
        <v>0</v>
      </c>
      <c r="P11045" t="n">
        <v>0</v>
      </c>
      <c r="Q11045" t="n">
        <v>0</v>
      </c>
      <c r="R11045" s="2" t="inlineStr"/>
    </row>
    <row r="11046" ht="15" customHeight="1">
      <c r="A11046" t="inlineStr">
        <is>
          <t>A 42457-2025</t>
        </is>
      </c>
      <c r="B11046" s="1" t="n">
        <v>45905.45289351852</v>
      </c>
      <c r="C11046" s="1" t="n">
        <v>45952</v>
      </c>
      <c r="D11046" t="inlineStr">
        <is>
          <t>VÄSTRA GÖTALANDS LÄN</t>
        </is>
      </c>
      <c r="E11046" t="inlineStr">
        <is>
          <t>ORUST</t>
        </is>
      </c>
      <c r="G11046" t="n">
        <v>0.7</v>
      </c>
      <c r="H11046" t="n">
        <v>0</v>
      </c>
      <c r="I11046" t="n">
        <v>0</v>
      </c>
      <c r="J11046" t="n">
        <v>0</v>
      </c>
      <c r="K11046" t="n">
        <v>0</v>
      </c>
      <c r="L11046" t="n">
        <v>0</v>
      </c>
      <c r="M11046" t="n">
        <v>0</v>
      </c>
      <c r="N11046" t="n">
        <v>0</v>
      </c>
      <c r="O11046" t="n">
        <v>0</v>
      </c>
      <c r="P11046" t="n">
        <v>0</v>
      </c>
      <c r="Q11046" t="n">
        <v>0</v>
      </c>
      <c r="R11046" s="2" t="inlineStr"/>
    </row>
    <row r="11047" ht="15" customHeight="1">
      <c r="A11047" t="inlineStr">
        <is>
          <t>A 42490-2025</t>
        </is>
      </c>
      <c r="B11047" s="1" t="n">
        <v>45905.49694444444</v>
      </c>
      <c r="C11047" s="1" t="n">
        <v>45952</v>
      </c>
      <c r="D11047" t="inlineStr">
        <is>
          <t>VÄSTRA GÖTALANDS LÄN</t>
        </is>
      </c>
      <c r="E11047" t="inlineStr">
        <is>
          <t>ALINGSÅS</t>
        </is>
      </c>
      <c r="G11047" t="n">
        <v>2.8</v>
      </c>
      <c r="H11047" t="n">
        <v>0</v>
      </c>
      <c r="I11047" t="n">
        <v>0</v>
      </c>
      <c r="J11047" t="n">
        <v>0</v>
      </c>
      <c r="K11047" t="n">
        <v>0</v>
      </c>
      <c r="L11047" t="n">
        <v>0</v>
      </c>
      <c r="M11047" t="n">
        <v>0</v>
      </c>
      <c r="N11047" t="n">
        <v>0</v>
      </c>
      <c r="O11047" t="n">
        <v>0</v>
      </c>
      <c r="P11047" t="n">
        <v>0</v>
      </c>
      <c r="Q11047" t="n">
        <v>0</v>
      </c>
      <c r="R11047" s="2" t="inlineStr"/>
    </row>
    <row r="11048" ht="15" customHeight="1">
      <c r="A11048" t="inlineStr">
        <is>
          <t>A 44432-2025</t>
        </is>
      </c>
      <c r="B11048" s="1" t="n">
        <v>45916</v>
      </c>
      <c r="C11048" s="1" t="n">
        <v>45952</v>
      </c>
      <c r="D11048" t="inlineStr">
        <is>
          <t>VÄSTRA GÖTALANDS LÄN</t>
        </is>
      </c>
      <c r="E11048" t="inlineStr">
        <is>
          <t>TANUM</t>
        </is>
      </c>
      <c r="G11048" t="n">
        <v>0.7</v>
      </c>
      <c r="H11048" t="n">
        <v>0</v>
      </c>
      <c r="I11048" t="n">
        <v>0</v>
      </c>
      <c r="J11048" t="n">
        <v>0</v>
      </c>
      <c r="K11048" t="n">
        <v>0</v>
      </c>
      <c r="L11048" t="n">
        <v>0</v>
      </c>
      <c r="M11048" t="n">
        <v>0</v>
      </c>
      <c r="N11048" t="n">
        <v>0</v>
      </c>
      <c r="O11048" t="n">
        <v>0</v>
      </c>
      <c r="P11048" t="n">
        <v>0</v>
      </c>
      <c r="Q11048" t="n">
        <v>0</v>
      </c>
      <c r="R11048" s="2" t="inlineStr"/>
    </row>
    <row r="11049" ht="15" customHeight="1">
      <c r="A11049" t="inlineStr">
        <is>
          <t>A 71985-2021</t>
        </is>
      </c>
      <c r="B11049" s="1" t="n">
        <v>44544.37164351852</v>
      </c>
      <c r="C11049" s="1" t="n">
        <v>45952</v>
      </c>
      <c r="D11049" t="inlineStr">
        <is>
          <t>VÄSTRA GÖTALANDS LÄN</t>
        </is>
      </c>
      <c r="E11049" t="inlineStr">
        <is>
          <t>TRANEMO</t>
        </is>
      </c>
      <c r="G11049" t="n">
        <v>3.8</v>
      </c>
      <c r="H11049" t="n">
        <v>0</v>
      </c>
      <c r="I11049" t="n">
        <v>0</v>
      </c>
      <c r="J11049" t="n">
        <v>0</v>
      </c>
      <c r="K11049" t="n">
        <v>0</v>
      </c>
      <c r="L11049" t="n">
        <v>0</v>
      </c>
      <c r="M11049" t="n">
        <v>0</v>
      </c>
      <c r="N11049" t="n">
        <v>0</v>
      </c>
      <c r="O11049" t="n">
        <v>0</v>
      </c>
      <c r="P11049" t="n">
        <v>0</v>
      </c>
      <c r="Q11049" t="n">
        <v>0</v>
      </c>
      <c r="R11049" s="2" t="inlineStr"/>
    </row>
    <row r="11050" ht="15" customHeight="1">
      <c r="A11050" t="inlineStr">
        <is>
          <t>A 21932-2024</t>
        </is>
      </c>
      <c r="B11050" s="1" t="n">
        <v>45443</v>
      </c>
      <c r="C11050" s="1" t="n">
        <v>45952</v>
      </c>
      <c r="D11050" t="inlineStr">
        <is>
          <t>VÄSTRA GÖTALANDS LÄN</t>
        </is>
      </c>
      <c r="E11050" t="inlineStr">
        <is>
          <t>VÅRGÅRDA</t>
        </is>
      </c>
      <c r="G11050" t="n">
        <v>0.6</v>
      </c>
      <c r="H11050" t="n">
        <v>0</v>
      </c>
      <c r="I11050" t="n">
        <v>0</v>
      </c>
      <c r="J11050" t="n">
        <v>0</v>
      </c>
      <c r="K11050" t="n">
        <v>0</v>
      </c>
      <c r="L11050" t="n">
        <v>0</v>
      </c>
      <c r="M11050" t="n">
        <v>0</v>
      </c>
      <c r="N11050" t="n">
        <v>0</v>
      </c>
      <c r="O11050" t="n">
        <v>0</v>
      </c>
      <c r="P11050" t="n">
        <v>0</v>
      </c>
      <c r="Q11050" t="n">
        <v>0</v>
      </c>
      <c r="R11050" s="2" t="inlineStr"/>
    </row>
    <row r="11051" ht="15" customHeight="1">
      <c r="A11051" t="inlineStr">
        <is>
          <t>A 21965-2024</t>
        </is>
      </c>
      <c r="B11051" s="1" t="n">
        <v>45443.50011574074</v>
      </c>
      <c r="C11051" s="1" t="n">
        <v>45952</v>
      </c>
      <c r="D11051" t="inlineStr">
        <is>
          <t>VÄSTRA GÖTALANDS LÄN</t>
        </is>
      </c>
      <c r="E11051" t="inlineStr">
        <is>
          <t>MARIESTAD</t>
        </is>
      </c>
      <c r="G11051" t="n">
        <v>0.5</v>
      </c>
      <c r="H11051" t="n">
        <v>0</v>
      </c>
      <c r="I11051" t="n">
        <v>0</v>
      </c>
      <c r="J11051" t="n">
        <v>0</v>
      </c>
      <c r="K11051" t="n">
        <v>0</v>
      </c>
      <c r="L11051" t="n">
        <v>0</v>
      </c>
      <c r="M11051" t="n">
        <v>0</v>
      </c>
      <c r="N11051" t="n">
        <v>0</v>
      </c>
      <c r="O11051" t="n">
        <v>0</v>
      </c>
      <c r="P11051" t="n">
        <v>0</v>
      </c>
      <c r="Q11051" t="n">
        <v>0</v>
      </c>
      <c r="R11051" s="2" t="inlineStr"/>
    </row>
    <row r="11052" ht="15" customHeight="1">
      <c r="A11052" t="inlineStr">
        <is>
          <t>A 26914-2024</t>
        </is>
      </c>
      <c r="B11052" s="1" t="n">
        <v>45470.79201388889</v>
      </c>
      <c r="C11052" s="1" t="n">
        <v>45952</v>
      </c>
      <c r="D11052" t="inlineStr">
        <is>
          <t>VÄSTRA GÖTALANDS LÄN</t>
        </is>
      </c>
      <c r="E11052" t="inlineStr">
        <is>
          <t>KARLSBORG</t>
        </is>
      </c>
      <c r="F11052" t="inlineStr">
        <is>
          <t>Övriga Aktiebolag</t>
        </is>
      </c>
      <c r="G11052" t="n">
        <v>7.1</v>
      </c>
      <c r="H11052" t="n">
        <v>0</v>
      </c>
      <c r="I11052" t="n">
        <v>0</v>
      </c>
      <c r="J11052" t="n">
        <v>0</v>
      </c>
      <c r="K11052" t="n">
        <v>0</v>
      </c>
      <c r="L11052" t="n">
        <v>0</v>
      </c>
      <c r="M11052" t="n">
        <v>0</v>
      </c>
      <c r="N11052" t="n">
        <v>0</v>
      </c>
      <c r="O11052" t="n">
        <v>0</v>
      </c>
      <c r="P11052" t="n">
        <v>0</v>
      </c>
      <c r="Q11052" t="n">
        <v>0</v>
      </c>
      <c r="R11052" s="2" t="inlineStr"/>
    </row>
    <row r="11053" ht="15" customHeight="1">
      <c r="A11053" t="inlineStr">
        <is>
          <t>A 42314-2025</t>
        </is>
      </c>
      <c r="B11053" s="1" t="n">
        <v>45904.65920138889</v>
      </c>
      <c r="C11053" s="1" t="n">
        <v>45952</v>
      </c>
      <c r="D11053" t="inlineStr">
        <is>
          <t>VÄSTRA GÖTALANDS LÄN</t>
        </is>
      </c>
      <c r="E11053" t="inlineStr">
        <is>
          <t>DALS-ED</t>
        </is>
      </c>
      <c r="G11053" t="n">
        <v>5.5</v>
      </c>
      <c r="H11053" t="n">
        <v>0</v>
      </c>
      <c r="I11053" t="n">
        <v>0</v>
      </c>
      <c r="J11053" t="n">
        <v>0</v>
      </c>
      <c r="K11053" t="n">
        <v>0</v>
      </c>
      <c r="L11053" t="n">
        <v>0</v>
      </c>
      <c r="M11053" t="n">
        <v>0</v>
      </c>
      <c r="N11053" t="n">
        <v>0</v>
      </c>
      <c r="O11053" t="n">
        <v>0</v>
      </c>
      <c r="P11053" t="n">
        <v>0</v>
      </c>
      <c r="Q11053" t="n">
        <v>0</v>
      </c>
      <c r="R11053" s="2" t="inlineStr"/>
    </row>
    <row r="11054" ht="15" customHeight="1">
      <c r="A11054" t="inlineStr">
        <is>
          <t>A 59314-2024</t>
        </is>
      </c>
      <c r="B11054" s="1" t="n">
        <v>45637.68851851852</v>
      </c>
      <c r="C11054" s="1" t="n">
        <v>45952</v>
      </c>
      <c r="D11054" t="inlineStr">
        <is>
          <t>VÄSTRA GÖTALANDS LÄN</t>
        </is>
      </c>
      <c r="E11054" t="inlineStr">
        <is>
          <t>VARA</t>
        </is>
      </c>
      <c r="G11054" t="n">
        <v>0.5</v>
      </c>
      <c r="H11054" t="n">
        <v>0</v>
      </c>
      <c r="I11054" t="n">
        <v>0</v>
      </c>
      <c r="J11054" t="n">
        <v>0</v>
      </c>
      <c r="K11054" t="n">
        <v>0</v>
      </c>
      <c r="L11054" t="n">
        <v>0</v>
      </c>
      <c r="M11054" t="n">
        <v>0</v>
      </c>
      <c r="N11054" t="n">
        <v>0</v>
      </c>
      <c r="O11054" t="n">
        <v>0</v>
      </c>
      <c r="P11054" t="n">
        <v>0</v>
      </c>
      <c r="Q11054" t="n">
        <v>0</v>
      </c>
      <c r="R11054" s="2" t="inlineStr"/>
    </row>
    <row r="11055" ht="15" customHeight="1">
      <c r="A11055" t="inlineStr">
        <is>
          <t>A 21581-2023</t>
        </is>
      </c>
      <c r="B11055" s="1" t="n">
        <v>45063</v>
      </c>
      <c r="C11055" s="1" t="n">
        <v>45952</v>
      </c>
      <c r="D11055" t="inlineStr">
        <is>
          <t>VÄSTRA GÖTALANDS LÄN</t>
        </is>
      </c>
      <c r="E11055" t="inlineStr">
        <is>
          <t>UDDEVALLA</t>
        </is>
      </c>
      <c r="G11055" t="n">
        <v>0.4</v>
      </c>
      <c r="H11055" t="n">
        <v>0</v>
      </c>
      <c r="I11055" t="n">
        <v>0</v>
      </c>
      <c r="J11055" t="n">
        <v>0</v>
      </c>
      <c r="K11055" t="n">
        <v>0</v>
      </c>
      <c r="L11055" t="n">
        <v>0</v>
      </c>
      <c r="M11055" t="n">
        <v>0</v>
      </c>
      <c r="N11055" t="n">
        <v>0</v>
      </c>
      <c r="O11055" t="n">
        <v>0</v>
      </c>
      <c r="P11055" t="n">
        <v>0</v>
      </c>
      <c r="Q11055" t="n">
        <v>0</v>
      </c>
      <c r="R11055" s="2" t="inlineStr"/>
    </row>
    <row r="11056" ht="15" customHeight="1">
      <c r="A11056" t="inlineStr">
        <is>
          <t>A 42332-2025</t>
        </is>
      </c>
      <c r="B11056" s="1" t="n">
        <v>45904.69476851852</v>
      </c>
      <c r="C11056" s="1" t="n">
        <v>45952</v>
      </c>
      <c r="D11056" t="inlineStr">
        <is>
          <t>VÄSTRA GÖTALANDS LÄN</t>
        </is>
      </c>
      <c r="E11056" t="inlineStr">
        <is>
          <t>TIDAHOLM</t>
        </is>
      </c>
      <c r="F11056" t="inlineStr">
        <is>
          <t>Sveaskog</t>
        </is>
      </c>
      <c r="G11056" t="n">
        <v>1.4</v>
      </c>
      <c r="H11056" t="n">
        <v>0</v>
      </c>
      <c r="I11056" t="n">
        <v>0</v>
      </c>
      <c r="J11056" t="n">
        <v>0</v>
      </c>
      <c r="K11056" t="n">
        <v>0</v>
      </c>
      <c r="L11056" t="n">
        <v>0</v>
      </c>
      <c r="M11056" t="n">
        <v>0</v>
      </c>
      <c r="N11056" t="n">
        <v>0</v>
      </c>
      <c r="O11056" t="n">
        <v>0</v>
      </c>
      <c r="P11056" t="n">
        <v>0</v>
      </c>
      <c r="Q11056" t="n">
        <v>0</v>
      </c>
      <c r="R11056" s="2" t="inlineStr"/>
    </row>
    <row r="11057" ht="15" customHeight="1">
      <c r="A11057" t="inlineStr">
        <is>
          <t>A 59935-2024</t>
        </is>
      </c>
      <c r="B11057" s="1" t="n">
        <v>45642.32403935185</v>
      </c>
      <c r="C11057" s="1" t="n">
        <v>45952</v>
      </c>
      <c r="D11057" t="inlineStr">
        <is>
          <t>VÄSTRA GÖTALANDS LÄN</t>
        </is>
      </c>
      <c r="E11057" t="inlineStr">
        <is>
          <t>FALKÖPING</t>
        </is>
      </c>
      <c r="G11057" t="n">
        <v>3.3</v>
      </c>
      <c r="H11057" t="n">
        <v>0</v>
      </c>
      <c r="I11057" t="n">
        <v>0</v>
      </c>
      <c r="J11057" t="n">
        <v>0</v>
      </c>
      <c r="K11057" t="n">
        <v>0</v>
      </c>
      <c r="L11057" t="n">
        <v>0</v>
      </c>
      <c r="M11057" t="n">
        <v>0</v>
      </c>
      <c r="N11057" t="n">
        <v>0</v>
      </c>
      <c r="O11057" t="n">
        <v>0</v>
      </c>
      <c r="P11057" t="n">
        <v>0</v>
      </c>
      <c r="Q11057" t="n">
        <v>0</v>
      </c>
      <c r="R11057" s="2" t="inlineStr"/>
    </row>
    <row r="11058" ht="15" customHeight="1">
      <c r="A11058" t="inlineStr">
        <is>
          <t>A 59964-2024</t>
        </is>
      </c>
      <c r="B11058" s="1" t="n">
        <v>45642.35320601852</v>
      </c>
      <c r="C11058" s="1" t="n">
        <v>45952</v>
      </c>
      <c r="D11058" t="inlineStr">
        <is>
          <t>VÄSTRA GÖTALANDS LÄN</t>
        </is>
      </c>
      <c r="E11058" t="inlineStr">
        <is>
          <t>FÄRGELANDA</t>
        </is>
      </c>
      <c r="G11058" t="n">
        <v>1.2</v>
      </c>
      <c r="H11058" t="n">
        <v>0</v>
      </c>
      <c r="I11058" t="n">
        <v>0</v>
      </c>
      <c r="J11058" t="n">
        <v>0</v>
      </c>
      <c r="K11058" t="n">
        <v>0</v>
      </c>
      <c r="L11058" t="n">
        <v>0</v>
      </c>
      <c r="M11058" t="n">
        <v>0</v>
      </c>
      <c r="N11058" t="n">
        <v>0</v>
      </c>
      <c r="O11058" t="n">
        <v>0</v>
      </c>
      <c r="P11058" t="n">
        <v>0</v>
      </c>
      <c r="Q11058" t="n">
        <v>0</v>
      </c>
      <c r="R11058" s="2" t="inlineStr"/>
    </row>
    <row r="11059" ht="15" customHeight="1">
      <c r="A11059" t="inlineStr">
        <is>
          <t>A 13620-2024</t>
        </is>
      </c>
      <c r="B11059" s="1" t="n">
        <v>45390.37694444445</v>
      </c>
      <c r="C11059" s="1" t="n">
        <v>45952</v>
      </c>
      <c r="D11059" t="inlineStr">
        <is>
          <t>VÄSTRA GÖTALANDS LÄN</t>
        </is>
      </c>
      <c r="E11059" t="inlineStr">
        <is>
          <t>SVENLJUNGA</t>
        </is>
      </c>
      <c r="G11059" t="n">
        <v>1.7</v>
      </c>
      <c r="H11059" t="n">
        <v>0</v>
      </c>
      <c r="I11059" t="n">
        <v>0</v>
      </c>
      <c r="J11059" t="n">
        <v>0</v>
      </c>
      <c r="K11059" t="n">
        <v>0</v>
      </c>
      <c r="L11059" t="n">
        <v>0</v>
      </c>
      <c r="M11059" t="n">
        <v>0</v>
      </c>
      <c r="N11059" t="n">
        <v>0</v>
      </c>
      <c r="O11059" t="n">
        <v>0</v>
      </c>
      <c r="P11059" t="n">
        <v>0</v>
      </c>
      <c r="Q11059" t="n">
        <v>0</v>
      </c>
      <c r="R11059" s="2" t="inlineStr"/>
    </row>
    <row r="11060" ht="15" customHeight="1">
      <c r="A11060" t="inlineStr">
        <is>
          <t>A 46723-2022</t>
        </is>
      </c>
      <c r="B11060" s="1" t="n">
        <v>44851</v>
      </c>
      <c r="C11060" s="1" t="n">
        <v>45952</v>
      </c>
      <c r="D11060" t="inlineStr">
        <is>
          <t>VÄSTRA GÖTALANDS LÄN</t>
        </is>
      </c>
      <c r="E11060" t="inlineStr">
        <is>
          <t>BENGTSFORS</t>
        </is>
      </c>
      <c r="G11060" t="n">
        <v>6</v>
      </c>
      <c r="H11060" t="n">
        <v>0</v>
      </c>
      <c r="I11060" t="n">
        <v>0</v>
      </c>
      <c r="J11060" t="n">
        <v>0</v>
      </c>
      <c r="K11060" t="n">
        <v>0</v>
      </c>
      <c r="L11060" t="n">
        <v>0</v>
      </c>
      <c r="M11060" t="n">
        <v>0</v>
      </c>
      <c r="N11060" t="n">
        <v>0</v>
      </c>
      <c r="O11060" t="n">
        <v>0</v>
      </c>
      <c r="P11060" t="n">
        <v>0</v>
      </c>
      <c r="Q11060" t="n">
        <v>0</v>
      </c>
      <c r="R11060" s="2" t="inlineStr"/>
    </row>
    <row r="11061" ht="15" customHeight="1">
      <c r="A11061" t="inlineStr">
        <is>
          <t>A 54555-2023</t>
        </is>
      </c>
      <c r="B11061" s="1" t="n">
        <v>45233</v>
      </c>
      <c r="C11061" s="1" t="n">
        <v>45952</v>
      </c>
      <c r="D11061" t="inlineStr">
        <is>
          <t>VÄSTRA GÖTALANDS LÄN</t>
        </is>
      </c>
      <c r="E11061" t="inlineStr">
        <is>
          <t>ESSUNGA</t>
        </is>
      </c>
      <c r="G11061" t="n">
        <v>1.4</v>
      </c>
      <c r="H11061" t="n">
        <v>0</v>
      </c>
      <c r="I11061" t="n">
        <v>0</v>
      </c>
      <c r="J11061" t="n">
        <v>0</v>
      </c>
      <c r="K11061" t="n">
        <v>0</v>
      </c>
      <c r="L11061" t="n">
        <v>0</v>
      </c>
      <c r="M11061" t="n">
        <v>0</v>
      </c>
      <c r="N11061" t="n">
        <v>0</v>
      </c>
      <c r="O11061" t="n">
        <v>0</v>
      </c>
      <c r="P11061" t="n">
        <v>0</v>
      </c>
      <c r="Q11061" t="n">
        <v>0</v>
      </c>
      <c r="R11061" s="2" t="inlineStr"/>
    </row>
    <row r="11062" ht="15" customHeight="1">
      <c r="A11062" t="inlineStr">
        <is>
          <t>A 67916-2021</t>
        </is>
      </c>
      <c r="B11062" s="1" t="n">
        <v>44525.60467592593</v>
      </c>
      <c r="C11062" s="1" t="n">
        <v>45952</v>
      </c>
      <c r="D11062" t="inlineStr">
        <is>
          <t>VÄSTRA GÖTALANDS LÄN</t>
        </is>
      </c>
      <c r="E11062" t="inlineStr">
        <is>
          <t>BENGTSFORS</t>
        </is>
      </c>
      <c r="G11062" t="n">
        <v>1.2</v>
      </c>
      <c r="H11062" t="n">
        <v>0</v>
      </c>
      <c r="I11062" t="n">
        <v>0</v>
      </c>
      <c r="J11062" t="n">
        <v>0</v>
      </c>
      <c r="K11062" t="n">
        <v>0</v>
      </c>
      <c r="L11062" t="n">
        <v>0</v>
      </c>
      <c r="M11062" t="n">
        <v>0</v>
      </c>
      <c r="N11062" t="n">
        <v>0</v>
      </c>
      <c r="O11062" t="n">
        <v>0</v>
      </c>
      <c r="P11062" t="n">
        <v>0</v>
      </c>
      <c r="Q11062" t="n">
        <v>0</v>
      </c>
      <c r="R11062" s="2" t="inlineStr"/>
    </row>
    <row r="11063" ht="15" customHeight="1">
      <c r="A11063" t="inlineStr">
        <is>
          <t>A 59132-2022</t>
        </is>
      </c>
      <c r="B11063" s="1" t="n">
        <v>44904.44300925926</v>
      </c>
      <c r="C11063" s="1" t="n">
        <v>45952</v>
      </c>
      <c r="D11063" t="inlineStr">
        <is>
          <t>VÄSTRA GÖTALANDS LÄN</t>
        </is>
      </c>
      <c r="E11063" t="inlineStr">
        <is>
          <t>MUNKEDAL</t>
        </is>
      </c>
      <c r="G11063" t="n">
        <v>0.9</v>
      </c>
      <c r="H11063" t="n">
        <v>0</v>
      </c>
      <c r="I11063" t="n">
        <v>0</v>
      </c>
      <c r="J11063" t="n">
        <v>0</v>
      </c>
      <c r="K11063" t="n">
        <v>0</v>
      </c>
      <c r="L11063" t="n">
        <v>0</v>
      </c>
      <c r="M11063" t="n">
        <v>0</v>
      </c>
      <c r="N11063" t="n">
        <v>0</v>
      </c>
      <c r="O11063" t="n">
        <v>0</v>
      </c>
      <c r="P11063" t="n">
        <v>0</v>
      </c>
      <c r="Q11063" t="n">
        <v>0</v>
      </c>
      <c r="R11063" s="2" t="inlineStr"/>
    </row>
    <row r="11064" ht="15" customHeight="1">
      <c r="A11064" t="inlineStr">
        <is>
          <t>A 59712-2021</t>
        </is>
      </c>
      <c r="B11064" s="1" t="n">
        <v>44494</v>
      </c>
      <c r="C11064" s="1" t="n">
        <v>45952</v>
      </c>
      <c r="D11064" t="inlineStr">
        <is>
          <t>VÄSTRA GÖTALANDS LÄN</t>
        </is>
      </c>
      <c r="E11064" t="inlineStr">
        <is>
          <t>KARLSBORG</t>
        </is>
      </c>
      <c r="F11064" t="inlineStr">
        <is>
          <t>Sveaskog</t>
        </is>
      </c>
      <c r="G11064" t="n">
        <v>3.8</v>
      </c>
      <c r="H11064" t="n">
        <v>0</v>
      </c>
      <c r="I11064" t="n">
        <v>0</v>
      </c>
      <c r="J11064" t="n">
        <v>0</v>
      </c>
      <c r="K11064" t="n">
        <v>0</v>
      </c>
      <c r="L11064" t="n">
        <v>0</v>
      </c>
      <c r="M11064" t="n">
        <v>0</v>
      </c>
      <c r="N11064" t="n">
        <v>0</v>
      </c>
      <c r="O11064" t="n">
        <v>0</v>
      </c>
      <c r="P11064" t="n">
        <v>0</v>
      </c>
      <c r="Q11064" t="n">
        <v>0</v>
      </c>
      <c r="R11064" s="2" t="inlineStr"/>
    </row>
    <row r="11065" ht="15" customHeight="1">
      <c r="A11065" t="inlineStr">
        <is>
          <t>A 51217-2025</t>
        </is>
      </c>
      <c r="B11065" s="1" t="n">
        <v>45947.64515046297</v>
      </c>
      <c r="C11065" s="1" t="n">
        <v>45952</v>
      </c>
      <c r="D11065" t="inlineStr">
        <is>
          <t>VÄSTRA GÖTALANDS LÄN</t>
        </is>
      </c>
      <c r="E11065" t="inlineStr">
        <is>
          <t>SKÖVDE</t>
        </is>
      </c>
      <c r="G11065" t="n">
        <v>0.7</v>
      </c>
      <c r="H11065" t="n">
        <v>0</v>
      </c>
      <c r="I11065" t="n">
        <v>0</v>
      </c>
      <c r="J11065" t="n">
        <v>0</v>
      </c>
      <c r="K11065" t="n">
        <v>0</v>
      </c>
      <c r="L11065" t="n">
        <v>0</v>
      </c>
      <c r="M11065" t="n">
        <v>0</v>
      </c>
      <c r="N11065" t="n">
        <v>0</v>
      </c>
      <c r="O11065" t="n">
        <v>0</v>
      </c>
      <c r="P11065" t="n">
        <v>0</v>
      </c>
      <c r="Q11065" t="n">
        <v>0</v>
      </c>
      <c r="R11065" s="2" t="inlineStr"/>
    </row>
    <row r="11066" ht="15" customHeight="1">
      <c r="A11066" t="inlineStr">
        <is>
          <t>A 51222-2025</t>
        </is>
      </c>
      <c r="B11066" s="1" t="n">
        <v>45947.65197916667</v>
      </c>
      <c r="C11066" s="1" t="n">
        <v>45952</v>
      </c>
      <c r="D11066" t="inlineStr">
        <is>
          <t>VÄSTRA GÖTALANDS LÄN</t>
        </is>
      </c>
      <c r="E11066" t="inlineStr">
        <is>
          <t>MARIESTAD</t>
        </is>
      </c>
      <c r="G11066" t="n">
        <v>6.9</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50959-2025</t>
        </is>
      </c>
      <c r="B11067" s="1" t="n">
        <v>45946.83520833333</v>
      </c>
      <c r="C11067" s="1" t="n">
        <v>45952</v>
      </c>
      <c r="D11067" t="inlineStr">
        <is>
          <t>VÄSTRA GÖTALANDS LÄN</t>
        </is>
      </c>
      <c r="E11067" t="inlineStr">
        <is>
          <t>FALKÖPING</t>
        </is>
      </c>
      <c r="G11067" t="n">
        <v>0.9</v>
      </c>
      <c r="H11067" t="n">
        <v>0</v>
      </c>
      <c r="I11067" t="n">
        <v>0</v>
      </c>
      <c r="J11067" t="n">
        <v>0</v>
      </c>
      <c r="K11067" t="n">
        <v>0</v>
      </c>
      <c r="L11067" t="n">
        <v>0</v>
      </c>
      <c r="M11067" t="n">
        <v>0</v>
      </c>
      <c r="N11067" t="n">
        <v>0</v>
      </c>
      <c r="O11067" t="n">
        <v>0</v>
      </c>
      <c r="P11067" t="n">
        <v>0</v>
      </c>
      <c r="Q11067" t="n">
        <v>0</v>
      </c>
      <c r="R11067" s="2" t="inlineStr"/>
    </row>
    <row r="11068" ht="15" customHeight="1">
      <c r="A11068" t="inlineStr">
        <is>
          <t>A 54590-2023</t>
        </is>
      </c>
      <c r="B11068" s="1" t="n">
        <v>45233</v>
      </c>
      <c r="C11068" s="1" t="n">
        <v>45952</v>
      </c>
      <c r="D11068" t="inlineStr">
        <is>
          <t>VÄSTRA GÖTALANDS LÄN</t>
        </is>
      </c>
      <c r="E11068" t="inlineStr">
        <is>
          <t>BENGTSFORS</t>
        </is>
      </c>
      <c r="G11068" t="n">
        <v>1.1</v>
      </c>
      <c r="H11068" t="n">
        <v>0</v>
      </c>
      <c r="I11068" t="n">
        <v>0</v>
      </c>
      <c r="J11068" t="n">
        <v>0</v>
      </c>
      <c r="K11068" t="n">
        <v>0</v>
      </c>
      <c r="L11068" t="n">
        <v>0</v>
      </c>
      <c r="M11068" t="n">
        <v>0</v>
      </c>
      <c r="N11068" t="n">
        <v>0</v>
      </c>
      <c r="O11068" t="n">
        <v>0</v>
      </c>
      <c r="P11068" t="n">
        <v>0</v>
      </c>
      <c r="Q11068" t="n">
        <v>0</v>
      </c>
      <c r="R11068" s="2" t="inlineStr"/>
    </row>
    <row r="11069" ht="15" customHeight="1">
      <c r="A11069" t="inlineStr">
        <is>
          <t>A 26597-2025</t>
        </is>
      </c>
      <c r="B11069" s="1" t="n">
        <v>45808</v>
      </c>
      <c r="C11069" s="1" t="n">
        <v>45952</v>
      </c>
      <c r="D11069" t="inlineStr">
        <is>
          <t>VÄSTRA GÖTALANDS LÄN</t>
        </is>
      </c>
      <c r="E11069" t="inlineStr">
        <is>
          <t>FALKÖPING</t>
        </is>
      </c>
      <c r="G11069" t="n">
        <v>1.5</v>
      </c>
      <c r="H11069" t="n">
        <v>0</v>
      </c>
      <c r="I11069" t="n">
        <v>0</v>
      </c>
      <c r="J11069" t="n">
        <v>0</v>
      </c>
      <c r="K11069" t="n">
        <v>0</v>
      </c>
      <c r="L11069" t="n">
        <v>0</v>
      </c>
      <c r="M11069" t="n">
        <v>0</v>
      </c>
      <c r="N11069" t="n">
        <v>0</v>
      </c>
      <c r="O11069" t="n">
        <v>0</v>
      </c>
      <c r="P11069" t="n">
        <v>0</v>
      </c>
      <c r="Q11069" t="n">
        <v>0</v>
      </c>
      <c r="R11069" s="2" t="inlineStr"/>
    </row>
    <row r="11070" ht="15" customHeight="1">
      <c r="A11070" t="inlineStr">
        <is>
          <t>A 26598-2025</t>
        </is>
      </c>
      <c r="B11070" s="1" t="n">
        <v>45808.48747685185</v>
      </c>
      <c r="C11070" s="1" t="n">
        <v>45952</v>
      </c>
      <c r="D11070" t="inlineStr">
        <is>
          <t>VÄSTRA GÖTALANDS LÄN</t>
        </is>
      </c>
      <c r="E11070" t="inlineStr">
        <is>
          <t>FALKÖPING</t>
        </is>
      </c>
      <c r="G11070" t="n">
        <v>1.2</v>
      </c>
      <c r="H11070" t="n">
        <v>0</v>
      </c>
      <c r="I11070" t="n">
        <v>0</v>
      </c>
      <c r="J11070" t="n">
        <v>0</v>
      </c>
      <c r="K11070" t="n">
        <v>0</v>
      </c>
      <c r="L11070" t="n">
        <v>0</v>
      </c>
      <c r="M11070" t="n">
        <v>0</v>
      </c>
      <c r="N11070" t="n">
        <v>0</v>
      </c>
      <c r="O11070" t="n">
        <v>0</v>
      </c>
      <c r="P11070" t="n">
        <v>0</v>
      </c>
      <c r="Q11070" t="n">
        <v>0</v>
      </c>
      <c r="R11070" s="2" t="inlineStr"/>
    </row>
    <row r="11071" ht="15" customHeight="1">
      <c r="A11071" t="inlineStr">
        <is>
          <t>A 38985-2024</t>
        </is>
      </c>
      <c r="B11071" s="1" t="n">
        <v>45548.40048611111</v>
      </c>
      <c r="C11071" s="1" t="n">
        <v>45952</v>
      </c>
      <c r="D11071" t="inlineStr">
        <is>
          <t>VÄSTRA GÖTALANDS LÄN</t>
        </is>
      </c>
      <c r="E11071" t="inlineStr">
        <is>
          <t>HERRLJUNGA</t>
        </is>
      </c>
      <c r="G11071" t="n">
        <v>1</v>
      </c>
      <c r="H11071" t="n">
        <v>0</v>
      </c>
      <c r="I11071" t="n">
        <v>0</v>
      </c>
      <c r="J11071" t="n">
        <v>0</v>
      </c>
      <c r="K11071" t="n">
        <v>0</v>
      </c>
      <c r="L11071" t="n">
        <v>0</v>
      </c>
      <c r="M11071" t="n">
        <v>0</v>
      </c>
      <c r="N11071" t="n">
        <v>0</v>
      </c>
      <c r="O11071" t="n">
        <v>0</v>
      </c>
      <c r="P11071" t="n">
        <v>0</v>
      </c>
      <c r="Q11071" t="n">
        <v>0</v>
      </c>
      <c r="R11071" s="2" t="inlineStr"/>
    </row>
    <row r="11072" ht="15" customHeight="1">
      <c r="A11072" t="inlineStr">
        <is>
          <t>A 59192-2022</t>
        </is>
      </c>
      <c r="B11072" s="1" t="n">
        <v>44896</v>
      </c>
      <c r="C11072" s="1" t="n">
        <v>45952</v>
      </c>
      <c r="D11072" t="inlineStr">
        <is>
          <t>VÄSTRA GÖTALANDS LÄN</t>
        </is>
      </c>
      <c r="E11072" t="inlineStr">
        <is>
          <t>TJÖRN</t>
        </is>
      </c>
      <c r="G11072" t="n">
        <v>1.5</v>
      </c>
      <c r="H11072" t="n">
        <v>0</v>
      </c>
      <c r="I11072" t="n">
        <v>0</v>
      </c>
      <c r="J11072" t="n">
        <v>0</v>
      </c>
      <c r="K11072" t="n">
        <v>0</v>
      </c>
      <c r="L11072" t="n">
        <v>0</v>
      </c>
      <c r="M11072" t="n">
        <v>0</v>
      </c>
      <c r="N11072" t="n">
        <v>0</v>
      </c>
      <c r="O11072" t="n">
        <v>0</v>
      </c>
      <c r="P11072" t="n">
        <v>0</v>
      </c>
      <c r="Q11072" t="n">
        <v>0</v>
      </c>
      <c r="R11072" s="2" t="inlineStr"/>
    </row>
    <row r="11073" ht="15" customHeight="1">
      <c r="A11073" t="inlineStr">
        <is>
          <t>A 50973-2025</t>
        </is>
      </c>
      <c r="B11073" s="1" t="n">
        <v>45947.31263888889</v>
      </c>
      <c r="C11073" s="1" t="n">
        <v>45952</v>
      </c>
      <c r="D11073" t="inlineStr">
        <is>
          <t>VÄSTRA GÖTALANDS LÄN</t>
        </is>
      </c>
      <c r="E11073" t="inlineStr">
        <is>
          <t>ALE</t>
        </is>
      </c>
      <c r="G11073" t="n">
        <v>12</v>
      </c>
      <c r="H11073" t="n">
        <v>0</v>
      </c>
      <c r="I11073" t="n">
        <v>0</v>
      </c>
      <c r="J11073" t="n">
        <v>0</v>
      </c>
      <c r="K11073" t="n">
        <v>0</v>
      </c>
      <c r="L11073" t="n">
        <v>0</v>
      </c>
      <c r="M11073" t="n">
        <v>0</v>
      </c>
      <c r="N11073" t="n">
        <v>0</v>
      </c>
      <c r="O11073" t="n">
        <v>0</v>
      </c>
      <c r="P11073" t="n">
        <v>0</v>
      </c>
      <c r="Q11073" t="n">
        <v>0</v>
      </c>
      <c r="R11073" s="2" t="inlineStr"/>
    </row>
    <row r="11074" ht="15" customHeight="1">
      <c r="A11074" t="inlineStr">
        <is>
          <t>A 44417-2024</t>
        </is>
      </c>
      <c r="B11074" s="1" t="n">
        <v>45573.8249537037</v>
      </c>
      <c r="C11074" s="1" t="n">
        <v>45952</v>
      </c>
      <c r="D11074" t="inlineStr">
        <is>
          <t>VÄSTRA GÖTALANDS LÄN</t>
        </is>
      </c>
      <c r="E11074" t="inlineStr">
        <is>
          <t>ORUST</t>
        </is>
      </c>
      <c r="G11074" t="n">
        <v>3.1</v>
      </c>
      <c r="H11074" t="n">
        <v>0</v>
      </c>
      <c r="I11074" t="n">
        <v>0</v>
      </c>
      <c r="J11074" t="n">
        <v>0</v>
      </c>
      <c r="K11074" t="n">
        <v>0</v>
      </c>
      <c r="L11074" t="n">
        <v>0</v>
      </c>
      <c r="M11074" t="n">
        <v>0</v>
      </c>
      <c r="N11074" t="n">
        <v>0</v>
      </c>
      <c r="O11074" t="n">
        <v>0</v>
      </c>
      <c r="P11074" t="n">
        <v>0</v>
      </c>
      <c r="Q11074" t="n">
        <v>0</v>
      </c>
      <c r="R11074" s="2" t="inlineStr"/>
    </row>
    <row r="11075" ht="15" customHeight="1">
      <c r="A11075" t="inlineStr">
        <is>
          <t>A 12080-2023</t>
        </is>
      </c>
      <c r="B11075" s="1" t="n">
        <v>44997</v>
      </c>
      <c r="C11075" s="1" t="n">
        <v>45952</v>
      </c>
      <c r="D11075" t="inlineStr">
        <is>
          <t>VÄSTRA GÖTALANDS LÄN</t>
        </is>
      </c>
      <c r="E11075" t="inlineStr">
        <is>
          <t>TIDAHOLM</t>
        </is>
      </c>
      <c r="G11075" t="n">
        <v>1.3</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56711-2022</t>
        </is>
      </c>
      <c r="B11076" s="1" t="n">
        <v>44893.84237268518</v>
      </c>
      <c r="C11076" s="1" t="n">
        <v>45952</v>
      </c>
      <c r="D11076" t="inlineStr">
        <is>
          <t>VÄSTRA GÖTALANDS LÄN</t>
        </is>
      </c>
      <c r="E11076" t="inlineStr">
        <is>
          <t>GULLSPÅNG</t>
        </is>
      </c>
      <c r="G11076" t="n">
        <v>1.4</v>
      </c>
      <c r="H11076" t="n">
        <v>0</v>
      </c>
      <c r="I11076" t="n">
        <v>0</v>
      </c>
      <c r="J11076" t="n">
        <v>0</v>
      </c>
      <c r="K11076" t="n">
        <v>0</v>
      </c>
      <c r="L11076" t="n">
        <v>0</v>
      </c>
      <c r="M11076" t="n">
        <v>0</v>
      </c>
      <c r="N11076" t="n">
        <v>0</v>
      </c>
      <c r="O11076" t="n">
        <v>0</v>
      </c>
      <c r="P11076" t="n">
        <v>0</v>
      </c>
      <c r="Q11076" t="n">
        <v>0</v>
      </c>
      <c r="R11076" s="2" t="inlineStr"/>
    </row>
    <row r="11077" ht="15" customHeight="1">
      <c r="A11077" t="inlineStr">
        <is>
          <t>A 3998-2025</t>
        </is>
      </c>
      <c r="B11077" s="1" t="n">
        <v>45684.56761574074</v>
      </c>
      <c r="C11077" s="1" t="n">
        <v>45952</v>
      </c>
      <c r="D11077" t="inlineStr">
        <is>
          <t>VÄSTRA GÖTALANDS LÄN</t>
        </is>
      </c>
      <c r="E11077" t="inlineStr">
        <is>
          <t>MELLERUD</t>
        </is>
      </c>
      <c r="G11077" t="n">
        <v>8.199999999999999</v>
      </c>
      <c r="H11077" t="n">
        <v>0</v>
      </c>
      <c r="I11077" t="n">
        <v>0</v>
      </c>
      <c r="J11077" t="n">
        <v>0</v>
      </c>
      <c r="K11077" t="n">
        <v>0</v>
      </c>
      <c r="L11077" t="n">
        <v>0</v>
      </c>
      <c r="M11077" t="n">
        <v>0</v>
      </c>
      <c r="N11077" t="n">
        <v>0</v>
      </c>
      <c r="O11077" t="n">
        <v>0</v>
      </c>
      <c r="P11077" t="n">
        <v>0</v>
      </c>
      <c r="Q11077" t="n">
        <v>0</v>
      </c>
      <c r="R11077" s="2" t="inlineStr"/>
    </row>
    <row r="11078" ht="15" customHeight="1">
      <c r="A11078" t="inlineStr">
        <is>
          <t>A 3999-2025</t>
        </is>
      </c>
      <c r="B11078" s="1" t="n">
        <v>45684.56788194444</v>
      </c>
      <c r="C11078" s="1" t="n">
        <v>45952</v>
      </c>
      <c r="D11078" t="inlineStr">
        <is>
          <t>VÄSTRA GÖTALANDS LÄN</t>
        </is>
      </c>
      <c r="E11078" t="inlineStr">
        <is>
          <t>MELLERUD</t>
        </is>
      </c>
      <c r="G11078" t="n">
        <v>12.1</v>
      </c>
      <c r="H11078" t="n">
        <v>0</v>
      </c>
      <c r="I11078" t="n">
        <v>0</v>
      </c>
      <c r="J11078" t="n">
        <v>0</v>
      </c>
      <c r="K11078" t="n">
        <v>0</v>
      </c>
      <c r="L11078" t="n">
        <v>0</v>
      </c>
      <c r="M11078" t="n">
        <v>0</v>
      </c>
      <c r="N11078" t="n">
        <v>0</v>
      </c>
      <c r="O11078" t="n">
        <v>0</v>
      </c>
      <c r="P11078" t="n">
        <v>0</v>
      </c>
      <c r="Q11078" t="n">
        <v>0</v>
      </c>
      <c r="R11078" s="2" t="inlineStr"/>
    </row>
    <row r="11079" ht="15" customHeight="1">
      <c r="A11079" t="inlineStr">
        <is>
          <t>A 51029-2025</t>
        </is>
      </c>
      <c r="B11079" s="1" t="n">
        <v>45947.40092592593</v>
      </c>
      <c r="C11079" s="1" t="n">
        <v>45952</v>
      </c>
      <c r="D11079" t="inlineStr">
        <is>
          <t>VÄSTRA GÖTALANDS LÄN</t>
        </is>
      </c>
      <c r="E11079" t="inlineStr">
        <is>
          <t>FALKÖPING</t>
        </is>
      </c>
      <c r="G11079" t="n">
        <v>0.5</v>
      </c>
      <c r="H11079" t="n">
        <v>0</v>
      </c>
      <c r="I11079" t="n">
        <v>0</v>
      </c>
      <c r="J11079" t="n">
        <v>0</v>
      </c>
      <c r="K11079" t="n">
        <v>0</v>
      </c>
      <c r="L11079" t="n">
        <v>0</v>
      </c>
      <c r="M11079" t="n">
        <v>0</v>
      </c>
      <c r="N11079" t="n">
        <v>0</v>
      </c>
      <c r="O11079" t="n">
        <v>0</v>
      </c>
      <c r="P11079" t="n">
        <v>0</v>
      </c>
      <c r="Q11079" t="n">
        <v>0</v>
      </c>
      <c r="R11079" s="2" t="inlineStr"/>
    </row>
    <row r="11080" ht="15" customHeight="1">
      <c r="A11080" t="inlineStr">
        <is>
          <t>A 4016-2025</t>
        </is>
      </c>
      <c r="B11080" s="1" t="n">
        <v>45684.58253472222</v>
      </c>
      <c r="C11080" s="1" t="n">
        <v>45952</v>
      </c>
      <c r="D11080" t="inlineStr">
        <is>
          <t>VÄSTRA GÖTALANDS LÄN</t>
        </is>
      </c>
      <c r="E11080" t="inlineStr">
        <is>
          <t>MELLERUD</t>
        </is>
      </c>
      <c r="G11080" t="n">
        <v>0.7</v>
      </c>
      <c r="H11080" t="n">
        <v>0</v>
      </c>
      <c r="I11080" t="n">
        <v>0</v>
      </c>
      <c r="J11080" t="n">
        <v>0</v>
      </c>
      <c r="K11080" t="n">
        <v>0</v>
      </c>
      <c r="L11080" t="n">
        <v>0</v>
      </c>
      <c r="M11080" t="n">
        <v>0</v>
      </c>
      <c r="N11080" t="n">
        <v>0</v>
      </c>
      <c r="O11080" t="n">
        <v>0</v>
      </c>
      <c r="P11080" t="n">
        <v>0</v>
      </c>
      <c r="Q11080" t="n">
        <v>0</v>
      </c>
      <c r="R11080" s="2" t="inlineStr"/>
    </row>
    <row r="11081" ht="15" customHeight="1">
      <c r="A11081" t="inlineStr">
        <is>
          <t>A 40375-2023</t>
        </is>
      </c>
      <c r="B11081" s="1" t="n">
        <v>45169.74657407407</v>
      </c>
      <c r="C11081" s="1" t="n">
        <v>45952</v>
      </c>
      <c r="D11081" t="inlineStr">
        <is>
          <t>VÄSTRA GÖTALANDS LÄN</t>
        </is>
      </c>
      <c r="E11081" t="inlineStr">
        <is>
          <t>FALKÖPING</t>
        </is>
      </c>
      <c r="G11081" t="n">
        <v>2.7</v>
      </c>
      <c r="H11081" t="n">
        <v>0</v>
      </c>
      <c r="I11081" t="n">
        <v>0</v>
      </c>
      <c r="J11081" t="n">
        <v>0</v>
      </c>
      <c r="K11081" t="n">
        <v>0</v>
      </c>
      <c r="L11081" t="n">
        <v>0</v>
      </c>
      <c r="M11081" t="n">
        <v>0</v>
      </c>
      <c r="N11081" t="n">
        <v>0</v>
      </c>
      <c r="O11081" t="n">
        <v>0</v>
      </c>
      <c r="P11081" t="n">
        <v>0</v>
      </c>
      <c r="Q11081" t="n">
        <v>0</v>
      </c>
      <c r="R11081" s="2" t="inlineStr"/>
    </row>
    <row r="11082" ht="15" customHeight="1">
      <c r="A11082" t="inlineStr">
        <is>
          <t>A 1262-2023</t>
        </is>
      </c>
      <c r="B11082" s="1" t="n">
        <v>44936.39234953704</v>
      </c>
      <c r="C11082" s="1" t="n">
        <v>45952</v>
      </c>
      <c r="D11082" t="inlineStr">
        <is>
          <t>VÄSTRA GÖTALANDS LÄN</t>
        </is>
      </c>
      <c r="E11082" t="inlineStr">
        <is>
          <t>VÅRGÅRDA</t>
        </is>
      </c>
      <c r="G11082" t="n">
        <v>4.1</v>
      </c>
      <c r="H11082" t="n">
        <v>0</v>
      </c>
      <c r="I11082" t="n">
        <v>0</v>
      </c>
      <c r="J11082" t="n">
        <v>0</v>
      </c>
      <c r="K11082" t="n">
        <v>0</v>
      </c>
      <c r="L11082" t="n">
        <v>0</v>
      </c>
      <c r="M11082" t="n">
        <v>0</v>
      </c>
      <c r="N11082" t="n">
        <v>0</v>
      </c>
      <c r="O11082" t="n">
        <v>0</v>
      </c>
      <c r="P11082" t="n">
        <v>0</v>
      </c>
      <c r="Q11082" t="n">
        <v>0</v>
      </c>
      <c r="R11082" s="2" t="inlineStr"/>
    </row>
    <row r="11083" ht="15" customHeight="1">
      <c r="A11083" t="inlineStr">
        <is>
          <t>A 1283-2023</t>
        </is>
      </c>
      <c r="B11083" s="1" t="n">
        <v>44936</v>
      </c>
      <c r="C11083" s="1" t="n">
        <v>45952</v>
      </c>
      <c r="D11083" t="inlineStr">
        <is>
          <t>VÄSTRA GÖTALANDS LÄN</t>
        </is>
      </c>
      <c r="E11083" t="inlineStr">
        <is>
          <t>MARIESTAD</t>
        </is>
      </c>
      <c r="G11083" t="n">
        <v>4.1</v>
      </c>
      <c r="H11083" t="n">
        <v>0</v>
      </c>
      <c r="I11083" t="n">
        <v>0</v>
      </c>
      <c r="J11083" t="n">
        <v>0</v>
      </c>
      <c r="K11083" t="n">
        <v>0</v>
      </c>
      <c r="L11083" t="n">
        <v>0</v>
      </c>
      <c r="M11083" t="n">
        <v>0</v>
      </c>
      <c r="N11083" t="n">
        <v>0</v>
      </c>
      <c r="O11083" t="n">
        <v>0</v>
      </c>
      <c r="P11083" t="n">
        <v>0</v>
      </c>
      <c r="Q11083" t="n">
        <v>0</v>
      </c>
      <c r="R11083" s="2" t="inlineStr"/>
    </row>
    <row r="11084" ht="15" customHeight="1">
      <c r="A11084" t="inlineStr">
        <is>
          <t>A 26963-2025</t>
        </is>
      </c>
      <c r="B11084" s="1" t="n">
        <v>45811.46427083333</v>
      </c>
      <c r="C11084" s="1" t="n">
        <v>45952</v>
      </c>
      <c r="D11084" t="inlineStr">
        <is>
          <t>VÄSTRA GÖTALANDS LÄN</t>
        </is>
      </c>
      <c r="E11084" t="inlineStr">
        <is>
          <t>TÖREBODA</t>
        </is>
      </c>
      <c r="G11084" t="n">
        <v>2.2</v>
      </c>
      <c r="H11084" t="n">
        <v>0</v>
      </c>
      <c r="I11084" t="n">
        <v>0</v>
      </c>
      <c r="J11084" t="n">
        <v>0</v>
      </c>
      <c r="K11084" t="n">
        <v>0</v>
      </c>
      <c r="L11084" t="n">
        <v>0</v>
      </c>
      <c r="M11084" t="n">
        <v>0</v>
      </c>
      <c r="N11084" t="n">
        <v>0</v>
      </c>
      <c r="O11084" t="n">
        <v>0</v>
      </c>
      <c r="P11084" t="n">
        <v>0</v>
      </c>
      <c r="Q11084" t="n">
        <v>0</v>
      </c>
      <c r="R11084" s="2" t="inlineStr"/>
    </row>
    <row r="11085" ht="15" customHeight="1">
      <c r="A11085" t="inlineStr">
        <is>
          <t>A 26964-2025</t>
        </is>
      </c>
      <c r="B11085" s="1" t="n">
        <v>45811.46918981482</v>
      </c>
      <c r="C11085" s="1" t="n">
        <v>45952</v>
      </c>
      <c r="D11085" t="inlineStr">
        <is>
          <t>VÄSTRA GÖTALANDS LÄN</t>
        </is>
      </c>
      <c r="E11085" t="inlineStr">
        <is>
          <t>VÅRGÅRDA</t>
        </is>
      </c>
      <c r="G11085" t="n">
        <v>1.2</v>
      </c>
      <c r="H11085" t="n">
        <v>0</v>
      </c>
      <c r="I11085" t="n">
        <v>0</v>
      </c>
      <c r="J11085" t="n">
        <v>0</v>
      </c>
      <c r="K11085" t="n">
        <v>0</v>
      </c>
      <c r="L11085" t="n">
        <v>0</v>
      </c>
      <c r="M11085" t="n">
        <v>0</v>
      </c>
      <c r="N11085" t="n">
        <v>0</v>
      </c>
      <c r="O11085" t="n">
        <v>0</v>
      </c>
      <c r="P11085" t="n">
        <v>0</v>
      </c>
      <c r="Q11085" t="n">
        <v>0</v>
      </c>
      <c r="R11085" s="2" t="inlineStr"/>
    </row>
    <row r="11086" ht="15" customHeight="1">
      <c r="A11086" t="inlineStr">
        <is>
          <t>A 46426-2023</t>
        </is>
      </c>
      <c r="B11086" s="1" t="n">
        <v>45197.56680555556</v>
      </c>
      <c r="C11086" s="1" t="n">
        <v>45952</v>
      </c>
      <c r="D11086" t="inlineStr">
        <is>
          <t>VÄSTRA GÖTALANDS LÄN</t>
        </is>
      </c>
      <c r="E11086" t="inlineStr">
        <is>
          <t>BORÅS</t>
        </is>
      </c>
      <c r="G11086" t="n">
        <v>0.7</v>
      </c>
      <c r="H11086" t="n">
        <v>0</v>
      </c>
      <c r="I11086" t="n">
        <v>0</v>
      </c>
      <c r="J11086" t="n">
        <v>0</v>
      </c>
      <c r="K11086" t="n">
        <v>0</v>
      </c>
      <c r="L11086" t="n">
        <v>0</v>
      </c>
      <c r="M11086" t="n">
        <v>0</v>
      </c>
      <c r="N11086" t="n">
        <v>0</v>
      </c>
      <c r="O11086" t="n">
        <v>0</v>
      </c>
      <c r="P11086" t="n">
        <v>0</v>
      </c>
      <c r="Q11086" t="n">
        <v>0</v>
      </c>
      <c r="R11086" s="2" t="inlineStr"/>
    </row>
    <row r="11087" ht="15" customHeight="1">
      <c r="A11087" t="inlineStr">
        <is>
          <t>A 46450-2023</t>
        </is>
      </c>
      <c r="B11087" s="1" t="n">
        <v>45197.59765046297</v>
      </c>
      <c r="C11087" s="1" t="n">
        <v>45952</v>
      </c>
      <c r="D11087" t="inlineStr">
        <is>
          <t>VÄSTRA GÖTALANDS LÄN</t>
        </is>
      </c>
      <c r="E11087" t="inlineStr">
        <is>
          <t>MARK</t>
        </is>
      </c>
      <c r="G11087" t="n">
        <v>1.8</v>
      </c>
      <c r="H11087" t="n">
        <v>0</v>
      </c>
      <c r="I11087" t="n">
        <v>0</v>
      </c>
      <c r="J11087" t="n">
        <v>0</v>
      </c>
      <c r="K11087" t="n">
        <v>0</v>
      </c>
      <c r="L11087" t="n">
        <v>0</v>
      </c>
      <c r="M11087" t="n">
        <v>0</v>
      </c>
      <c r="N11087" t="n">
        <v>0</v>
      </c>
      <c r="O11087" t="n">
        <v>0</v>
      </c>
      <c r="P11087" t="n">
        <v>0</v>
      </c>
      <c r="Q11087" t="n">
        <v>0</v>
      </c>
      <c r="R11087" s="2" t="inlineStr"/>
    </row>
    <row r="11088" ht="15" customHeight="1">
      <c r="A11088" t="inlineStr">
        <is>
          <t>A 46467-2023</t>
        </is>
      </c>
      <c r="B11088" s="1" t="n">
        <v>45197.62421296296</v>
      </c>
      <c r="C11088" s="1" t="n">
        <v>45952</v>
      </c>
      <c r="D11088" t="inlineStr">
        <is>
          <t>VÄSTRA GÖTALANDS LÄN</t>
        </is>
      </c>
      <c r="E11088" t="inlineStr">
        <is>
          <t>GRÄSTORP</t>
        </is>
      </c>
      <c r="G11088" t="n">
        <v>2.7</v>
      </c>
      <c r="H11088" t="n">
        <v>0</v>
      </c>
      <c r="I11088" t="n">
        <v>0</v>
      </c>
      <c r="J11088" t="n">
        <v>0</v>
      </c>
      <c r="K11088" t="n">
        <v>0</v>
      </c>
      <c r="L11088" t="n">
        <v>0</v>
      </c>
      <c r="M11088" t="n">
        <v>0</v>
      </c>
      <c r="N11088" t="n">
        <v>0</v>
      </c>
      <c r="O11088" t="n">
        <v>0</v>
      </c>
      <c r="P11088" t="n">
        <v>0</v>
      </c>
      <c r="Q11088" t="n">
        <v>0</v>
      </c>
      <c r="R11088" s="2" t="inlineStr"/>
    </row>
    <row r="11089" ht="15" customHeight="1">
      <c r="A11089" t="inlineStr">
        <is>
          <t>A 36131-2024</t>
        </is>
      </c>
      <c r="B11089" s="1" t="n">
        <v>45534.33863425926</v>
      </c>
      <c r="C11089" s="1" t="n">
        <v>45952</v>
      </c>
      <c r="D11089" t="inlineStr">
        <is>
          <t>VÄSTRA GÖTALANDS LÄN</t>
        </is>
      </c>
      <c r="E11089" t="inlineStr">
        <is>
          <t>BOLLEBYGD</t>
        </is>
      </c>
      <c r="G11089" t="n">
        <v>2.7</v>
      </c>
      <c r="H11089" t="n">
        <v>0</v>
      </c>
      <c r="I11089" t="n">
        <v>0</v>
      </c>
      <c r="J11089" t="n">
        <v>0</v>
      </c>
      <c r="K11089" t="n">
        <v>0</v>
      </c>
      <c r="L11089" t="n">
        <v>0</v>
      </c>
      <c r="M11089" t="n">
        <v>0</v>
      </c>
      <c r="N11089" t="n">
        <v>0</v>
      </c>
      <c r="O11089" t="n">
        <v>0</v>
      </c>
      <c r="P11089" t="n">
        <v>0</v>
      </c>
      <c r="Q11089" t="n">
        <v>0</v>
      </c>
      <c r="R11089" s="2" t="inlineStr"/>
    </row>
    <row r="11090" ht="15" customHeight="1">
      <c r="A11090" t="inlineStr">
        <is>
          <t>A 20646-2022</t>
        </is>
      </c>
      <c r="B11090" s="1" t="n">
        <v>44700.61409722222</v>
      </c>
      <c r="C11090" s="1" t="n">
        <v>45952</v>
      </c>
      <c r="D11090" t="inlineStr">
        <is>
          <t>VÄSTRA GÖTALANDS LÄN</t>
        </is>
      </c>
      <c r="E11090" t="inlineStr">
        <is>
          <t>HERRLJUNGA</t>
        </is>
      </c>
      <c r="G11090" t="n">
        <v>1.4</v>
      </c>
      <c r="H11090" t="n">
        <v>0</v>
      </c>
      <c r="I11090" t="n">
        <v>0</v>
      </c>
      <c r="J11090" t="n">
        <v>0</v>
      </c>
      <c r="K11090" t="n">
        <v>0</v>
      </c>
      <c r="L11090" t="n">
        <v>0</v>
      </c>
      <c r="M11090" t="n">
        <v>0</v>
      </c>
      <c r="N11090" t="n">
        <v>0</v>
      </c>
      <c r="O11090" t="n">
        <v>0</v>
      </c>
      <c r="P11090" t="n">
        <v>0</v>
      </c>
      <c r="Q11090" t="n">
        <v>0</v>
      </c>
      <c r="R11090" s="2" t="inlineStr"/>
    </row>
    <row r="11091" ht="15" customHeight="1">
      <c r="A11091" t="inlineStr">
        <is>
          <t>A 44867-2022</t>
        </is>
      </c>
      <c r="B11091" s="1" t="n">
        <v>44840</v>
      </c>
      <c r="C11091" s="1" t="n">
        <v>45952</v>
      </c>
      <c r="D11091" t="inlineStr">
        <is>
          <t>VÄSTRA GÖTALANDS LÄN</t>
        </is>
      </c>
      <c r="E11091" t="inlineStr">
        <is>
          <t>SKÖVDE</t>
        </is>
      </c>
      <c r="G11091" t="n">
        <v>3.9</v>
      </c>
      <c r="H11091" t="n">
        <v>0</v>
      </c>
      <c r="I11091" t="n">
        <v>0</v>
      </c>
      <c r="J11091" t="n">
        <v>0</v>
      </c>
      <c r="K11091" t="n">
        <v>0</v>
      </c>
      <c r="L11091" t="n">
        <v>0</v>
      </c>
      <c r="M11091" t="n">
        <v>0</v>
      </c>
      <c r="N11091" t="n">
        <v>0</v>
      </c>
      <c r="O11091" t="n">
        <v>0</v>
      </c>
      <c r="P11091" t="n">
        <v>0</v>
      </c>
      <c r="Q11091" t="n">
        <v>0</v>
      </c>
      <c r="R11091" s="2" t="inlineStr"/>
    </row>
    <row r="11092" ht="15" customHeight="1">
      <c r="A11092" t="inlineStr">
        <is>
          <t>A 45519-2023</t>
        </is>
      </c>
      <c r="B11092" s="1" t="n">
        <v>45194.49783564815</v>
      </c>
      <c r="C11092" s="1" t="n">
        <v>45952</v>
      </c>
      <c r="D11092" t="inlineStr">
        <is>
          <t>VÄSTRA GÖTALANDS LÄN</t>
        </is>
      </c>
      <c r="E11092" t="inlineStr">
        <is>
          <t>TROLLHÄTTAN</t>
        </is>
      </c>
      <c r="G11092" t="n">
        <v>4.5</v>
      </c>
      <c r="H11092" t="n">
        <v>0</v>
      </c>
      <c r="I11092" t="n">
        <v>0</v>
      </c>
      <c r="J11092" t="n">
        <v>0</v>
      </c>
      <c r="K11092" t="n">
        <v>0</v>
      </c>
      <c r="L11092" t="n">
        <v>0</v>
      </c>
      <c r="M11092" t="n">
        <v>0</v>
      </c>
      <c r="N11092" t="n">
        <v>0</v>
      </c>
      <c r="O11092" t="n">
        <v>0</v>
      </c>
      <c r="P11092" t="n">
        <v>0</v>
      </c>
      <c r="Q11092" t="n">
        <v>0</v>
      </c>
      <c r="R11092" s="2" t="inlineStr"/>
    </row>
    <row r="11093" ht="15" customHeight="1">
      <c r="A11093" t="inlineStr">
        <is>
          <t>A 60395-2024</t>
        </is>
      </c>
      <c r="B11093" s="1" t="n">
        <v>45643</v>
      </c>
      <c r="C11093" s="1" t="n">
        <v>45952</v>
      </c>
      <c r="D11093" t="inlineStr">
        <is>
          <t>VÄSTRA GÖTALANDS LÄN</t>
        </is>
      </c>
      <c r="E11093" t="inlineStr">
        <is>
          <t>MELLERUD</t>
        </is>
      </c>
      <c r="G11093" t="n">
        <v>2.1</v>
      </c>
      <c r="H11093" t="n">
        <v>0</v>
      </c>
      <c r="I11093" t="n">
        <v>0</v>
      </c>
      <c r="J11093" t="n">
        <v>0</v>
      </c>
      <c r="K11093" t="n">
        <v>0</v>
      </c>
      <c r="L11093" t="n">
        <v>0</v>
      </c>
      <c r="M11093" t="n">
        <v>0</v>
      </c>
      <c r="N11093" t="n">
        <v>0</v>
      </c>
      <c r="O11093" t="n">
        <v>0</v>
      </c>
      <c r="P11093" t="n">
        <v>0</v>
      </c>
      <c r="Q11093" t="n">
        <v>0</v>
      </c>
      <c r="R11093" s="2" t="inlineStr"/>
    </row>
    <row r="11094" ht="15" customHeight="1">
      <c r="A11094" t="inlineStr">
        <is>
          <t>A 8234-2025</t>
        </is>
      </c>
      <c r="B11094" s="1" t="n">
        <v>45708.47453703704</v>
      </c>
      <c r="C11094" s="1" t="n">
        <v>45952</v>
      </c>
      <c r="D11094" t="inlineStr">
        <is>
          <t>VÄSTRA GÖTALANDS LÄN</t>
        </is>
      </c>
      <c r="E11094" t="inlineStr">
        <is>
          <t>ALINGSÅS</t>
        </is>
      </c>
      <c r="G11094" t="n">
        <v>1.6</v>
      </c>
      <c r="H11094" t="n">
        <v>0</v>
      </c>
      <c r="I11094" t="n">
        <v>0</v>
      </c>
      <c r="J11094" t="n">
        <v>0</v>
      </c>
      <c r="K11094" t="n">
        <v>0</v>
      </c>
      <c r="L11094" t="n">
        <v>0</v>
      </c>
      <c r="M11094" t="n">
        <v>0</v>
      </c>
      <c r="N11094" t="n">
        <v>0</v>
      </c>
      <c r="O11094" t="n">
        <v>0</v>
      </c>
      <c r="P11094" t="n">
        <v>0</v>
      </c>
      <c r="Q11094" t="n">
        <v>0</v>
      </c>
      <c r="R11094" s="2" t="inlineStr"/>
    </row>
    <row r="11095" ht="15" customHeight="1">
      <c r="A11095" t="inlineStr">
        <is>
          <t>A 42310-2025</t>
        </is>
      </c>
      <c r="B11095" s="1" t="n">
        <v>45904.65412037037</v>
      </c>
      <c r="C11095" s="1" t="n">
        <v>45952</v>
      </c>
      <c r="D11095" t="inlineStr">
        <is>
          <t>VÄSTRA GÖTALANDS LÄN</t>
        </is>
      </c>
      <c r="E11095" t="inlineStr">
        <is>
          <t>FÄRGELANDA</t>
        </is>
      </c>
      <c r="G11095" t="n">
        <v>1</v>
      </c>
      <c r="H11095" t="n">
        <v>0</v>
      </c>
      <c r="I11095" t="n">
        <v>0</v>
      </c>
      <c r="J11095" t="n">
        <v>0</v>
      </c>
      <c r="K11095" t="n">
        <v>0</v>
      </c>
      <c r="L11095" t="n">
        <v>0</v>
      </c>
      <c r="M11095" t="n">
        <v>0</v>
      </c>
      <c r="N11095" t="n">
        <v>0</v>
      </c>
      <c r="O11095" t="n">
        <v>0</v>
      </c>
      <c r="P11095" t="n">
        <v>0</v>
      </c>
      <c r="Q11095" t="n">
        <v>0</v>
      </c>
      <c r="R11095" s="2" t="inlineStr"/>
    </row>
    <row r="11096" ht="15" customHeight="1">
      <c r="A11096" t="inlineStr">
        <is>
          <t>A 42334-2025</t>
        </is>
      </c>
      <c r="B11096" s="1" t="n">
        <v>45904.6984375</v>
      </c>
      <c r="C11096" s="1" t="n">
        <v>45952</v>
      </c>
      <c r="D11096" t="inlineStr">
        <is>
          <t>VÄSTRA GÖTALANDS LÄN</t>
        </is>
      </c>
      <c r="E11096" t="inlineStr">
        <is>
          <t>TIDAHOLM</t>
        </is>
      </c>
      <c r="F11096" t="inlineStr">
        <is>
          <t>Sveaskog</t>
        </is>
      </c>
      <c r="G11096" t="n">
        <v>1.4</v>
      </c>
      <c r="H11096" t="n">
        <v>0</v>
      </c>
      <c r="I11096" t="n">
        <v>0</v>
      </c>
      <c r="J11096" t="n">
        <v>0</v>
      </c>
      <c r="K11096" t="n">
        <v>0</v>
      </c>
      <c r="L11096" t="n">
        <v>0</v>
      </c>
      <c r="M11096" t="n">
        <v>0</v>
      </c>
      <c r="N11096" t="n">
        <v>0</v>
      </c>
      <c r="O11096" t="n">
        <v>0</v>
      </c>
      <c r="P11096" t="n">
        <v>0</v>
      </c>
      <c r="Q11096" t="n">
        <v>0</v>
      </c>
      <c r="R11096" s="2" t="inlineStr"/>
    </row>
    <row r="11097" ht="15" customHeight="1">
      <c r="A11097" t="inlineStr">
        <is>
          <t>A 42336-2025</t>
        </is>
      </c>
      <c r="B11097" s="1" t="n">
        <v>45904.70483796296</v>
      </c>
      <c r="C11097" s="1" t="n">
        <v>45952</v>
      </c>
      <c r="D11097" t="inlineStr">
        <is>
          <t>VÄSTRA GÖTALANDS LÄN</t>
        </is>
      </c>
      <c r="E11097" t="inlineStr">
        <is>
          <t>TIDAHOLM</t>
        </is>
      </c>
      <c r="F11097" t="inlineStr">
        <is>
          <t>Sveaskog</t>
        </is>
      </c>
      <c r="G11097" t="n">
        <v>8.1</v>
      </c>
      <c r="H11097" t="n">
        <v>0</v>
      </c>
      <c r="I11097" t="n">
        <v>0</v>
      </c>
      <c r="J11097" t="n">
        <v>0</v>
      </c>
      <c r="K11097" t="n">
        <v>0</v>
      </c>
      <c r="L11097" t="n">
        <v>0</v>
      </c>
      <c r="M11097" t="n">
        <v>0</v>
      </c>
      <c r="N11097" t="n">
        <v>0</v>
      </c>
      <c r="O11097" t="n">
        <v>0</v>
      </c>
      <c r="P11097" t="n">
        <v>0</v>
      </c>
      <c r="Q11097" t="n">
        <v>0</v>
      </c>
      <c r="R11097" s="2" t="inlineStr"/>
    </row>
    <row r="11098" ht="15" customHeight="1">
      <c r="A11098" t="inlineStr">
        <is>
          <t>A 50665-2021</t>
        </is>
      </c>
      <c r="B11098" s="1" t="n">
        <v>44460</v>
      </c>
      <c r="C11098" s="1" t="n">
        <v>45952</v>
      </c>
      <c r="D11098" t="inlineStr">
        <is>
          <t>VÄSTRA GÖTALANDS LÄN</t>
        </is>
      </c>
      <c r="E11098" t="inlineStr">
        <is>
          <t>DALS-ED</t>
        </is>
      </c>
      <c r="G11098" t="n">
        <v>0.6</v>
      </c>
      <c r="H11098" t="n">
        <v>0</v>
      </c>
      <c r="I11098" t="n">
        <v>0</v>
      </c>
      <c r="J11098" t="n">
        <v>0</v>
      </c>
      <c r="K11098" t="n">
        <v>0</v>
      </c>
      <c r="L11098" t="n">
        <v>0</v>
      </c>
      <c r="M11098" t="n">
        <v>0</v>
      </c>
      <c r="N11098" t="n">
        <v>0</v>
      </c>
      <c r="O11098" t="n">
        <v>0</v>
      </c>
      <c r="P11098" t="n">
        <v>0</v>
      </c>
      <c r="Q11098" t="n">
        <v>0</v>
      </c>
      <c r="R11098" s="2" t="inlineStr"/>
    </row>
    <row r="11099" ht="15" customHeight="1">
      <c r="A11099" t="inlineStr">
        <is>
          <t>A 51196-2025</t>
        </is>
      </c>
      <c r="B11099" s="1" t="n">
        <v>45947.63052083334</v>
      </c>
      <c r="C11099" s="1" t="n">
        <v>45952</v>
      </c>
      <c r="D11099" t="inlineStr">
        <is>
          <t>VÄSTRA GÖTALANDS LÄN</t>
        </is>
      </c>
      <c r="E11099" t="inlineStr">
        <is>
          <t>BORÅS</t>
        </is>
      </c>
      <c r="G11099" t="n">
        <v>4.4</v>
      </c>
      <c r="H11099" t="n">
        <v>0</v>
      </c>
      <c r="I11099" t="n">
        <v>0</v>
      </c>
      <c r="J11099" t="n">
        <v>0</v>
      </c>
      <c r="K11099" t="n">
        <v>0</v>
      </c>
      <c r="L11099" t="n">
        <v>0</v>
      </c>
      <c r="M11099" t="n">
        <v>0</v>
      </c>
      <c r="N11099" t="n">
        <v>0</v>
      </c>
      <c r="O11099" t="n">
        <v>0</v>
      </c>
      <c r="P11099" t="n">
        <v>0</v>
      </c>
      <c r="Q11099" t="n">
        <v>0</v>
      </c>
      <c r="R11099" s="2" t="inlineStr"/>
    </row>
    <row r="11100" ht="15" customHeight="1">
      <c r="A11100" t="inlineStr">
        <is>
          <t>A 15535-2024</t>
        </is>
      </c>
      <c r="B11100" s="1" t="n">
        <v>45401.610625</v>
      </c>
      <c r="C11100" s="1" t="n">
        <v>45952</v>
      </c>
      <c r="D11100" t="inlineStr">
        <is>
          <t>VÄSTRA GÖTALANDS LÄN</t>
        </is>
      </c>
      <c r="E11100" t="inlineStr">
        <is>
          <t>STENUNGSUND</t>
        </is>
      </c>
      <c r="G11100" t="n">
        <v>1.8</v>
      </c>
      <c r="H11100" t="n">
        <v>0</v>
      </c>
      <c r="I11100" t="n">
        <v>0</v>
      </c>
      <c r="J11100" t="n">
        <v>0</v>
      </c>
      <c r="K11100" t="n">
        <v>0</v>
      </c>
      <c r="L11100" t="n">
        <v>0</v>
      </c>
      <c r="M11100" t="n">
        <v>0</v>
      </c>
      <c r="N11100" t="n">
        <v>0</v>
      </c>
      <c r="O11100" t="n">
        <v>0</v>
      </c>
      <c r="P11100" t="n">
        <v>0</v>
      </c>
      <c r="Q11100" t="n">
        <v>0</v>
      </c>
      <c r="R11100" s="2" t="inlineStr"/>
    </row>
    <row r="11101" ht="15" customHeight="1">
      <c r="A11101" t="inlineStr">
        <is>
          <t>A 20536-2023</t>
        </is>
      </c>
      <c r="B11101" s="1" t="n">
        <v>45057</v>
      </c>
      <c r="C11101" s="1" t="n">
        <v>45952</v>
      </c>
      <c r="D11101" t="inlineStr">
        <is>
          <t>VÄSTRA GÖTALANDS LÄN</t>
        </is>
      </c>
      <c r="E11101" t="inlineStr">
        <is>
          <t>VÄNERSBORG</t>
        </is>
      </c>
      <c r="G11101" t="n">
        <v>0.6</v>
      </c>
      <c r="H11101" t="n">
        <v>0</v>
      </c>
      <c r="I11101" t="n">
        <v>0</v>
      </c>
      <c r="J11101" t="n">
        <v>0</v>
      </c>
      <c r="K11101" t="n">
        <v>0</v>
      </c>
      <c r="L11101" t="n">
        <v>0</v>
      </c>
      <c r="M11101" t="n">
        <v>0</v>
      </c>
      <c r="N11101" t="n">
        <v>0</v>
      </c>
      <c r="O11101" t="n">
        <v>0</v>
      </c>
      <c r="P11101" t="n">
        <v>0</v>
      </c>
      <c r="Q11101" t="n">
        <v>0</v>
      </c>
      <c r="R11101" s="2" t="inlineStr"/>
    </row>
    <row r="11102" ht="15" customHeight="1">
      <c r="A11102" t="inlineStr">
        <is>
          <t>A 51046-2025</t>
        </is>
      </c>
      <c r="B11102" s="1" t="n">
        <v>45947.42858796296</v>
      </c>
      <c r="C11102" s="1" t="n">
        <v>45952</v>
      </c>
      <c r="D11102" t="inlineStr">
        <is>
          <t>VÄSTRA GÖTALANDS LÄN</t>
        </is>
      </c>
      <c r="E11102" t="inlineStr">
        <is>
          <t>ULRICEHAMN</t>
        </is>
      </c>
      <c r="G11102" t="n">
        <v>3.7</v>
      </c>
      <c r="H11102" t="n">
        <v>0</v>
      </c>
      <c r="I11102" t="n">
        <v>0</v>
      </c>
      <c r="J11102" t="n">
        <v>0</v>
      </c>
      <c r="K11102" t="n">
        <v>0</v>
      </c>
      <c r="L11102" t="n">
        <v>0</v>
      </c>
      <c r="M11102" t="n">
        <v>0</v>
      </c>
      <c r="N11102" t="n">
        <v>0</v>
      </c>
      <c r="O11102" t="n">
        <v>0</v>
      </c>
      <c r="P11102" t="n">
        <v>0</v>
      </c>
      <c r="Q11102" t="n">
        <v>0</v>
      </c>
      <c r="R11102" s="2" t="inlineStr"/>
    </row>
    <row r="11103" ht="15" customHeight="1">
      <c r="A11103" t="inlineStr">
        <is>
          <t>A 21140-2024</t>
        </is>
      </c>
      <c r="B11103" s="1" t="n">
        <v>45440.38983796296</v>
      </c>
      <c r="C11103" s="1" t="n">
        <v>45952</v>
      </c>
      <c r="D11103" t="inlineStr">
        <is>
          <t>VÄSTRA GÖTALANDS LÄN</t>
        </is>
      </c>
      <c r="E11103" t="inlineStr">
        <is>
          <t>DALS-ED</t>
        </is>
      </c>
      <c r="G11103" t="n">
        <v>0.7</v>
      </c>
      <c r="H11103" t="n">
        <v>0</v>
      </c>
      <c r="I11103" t="n">
        <v>0</v>
      </c>
      <c r="J11103" t="n">
        <v>0</v>
      </c>
      <c r="K11103" t="n">
        <v>0</v>
      </c>
      <c r="L11103" t="n">
        <v>0</v>
      </c>
      <c r="M11103" t="n">
        <v>0</v>
      </c>
      <c r="N11103" t="n">
        <v>0</v>
      </c>
      <c r="O11103" t="n">
        <v>0</v>
      </c>
      <c r="P11103" t="n">
        <v>0</v>
      </c>
      <c r="Q11103" t="n">
        <v>0</v>
      </c>
      <c r="R11103" s="2" t="inlineStr"/>
    </row>
    <row r="11104" ht="15" customHeight="1">
      <c r="A11104" t="inlineStr">
        <is>
          <t>A 21148-2024</t>
        </is>
      </c>
      <c r="B11104" s="1" t="n">
        <v>45440.40162037037</v>
      </c>
      <c r="C11104" s="1" t="n">
        <v>45952</v>
      </c>
      <c r="D11104" t="inlineStr">
        <is>
          <t>VÄSTRA GÖTALANDS LÄN</t>
        </is>
      </c>
      <c r="E11104" t="inlineStr">
        <is>
          <t>DALS-ED</t>
        </is>
      </c>
      <c r="G11104" t="n">
        <v>1</v>
      </c>
      <c r="H11104" t="n">
        <v>0</v>
      </c>
      <c r="I11104" t="n">
        <v>0</v>
      </c>
      <c r="J11104" t="n">
        <v>0</v>
      </c>
      <c r="K11104" t="n">
        <v>0</v>
      </c>
      <c r="L11104" t="n">
        <v>0</v>
      </c>
      <c r="M11104" t="n">
        <v>0</v>
      </c>
      <c r="N11104" t="n">
        <v>0</v>
      </c>
      <c r="O11104" t="n">
        <v>0</v>
      </c>
      <c r="P11104" t="n">
        <v>0</v>
      </c>
      <c r="Q11104" t="n">
        <v>0</v>
      </c>
      <c r="R11104" s="2" t="inlineStr"/>
    </row>
    <row r="11105" ht="15" customHeight="1">
      <c r="A11105" t="inlineStr">
        <is>
          <t>A 8856-2023</t>
        </is>
      </c>
      <c r="B11105" s="1" t="n">
        <v>44978.89082175926</v>
      </c>
      <c r="C11105" s="1" t="n">
        <v>45952</v>
      </c>
      <c r="D11105" t="inlineStr">
        <is>
          <t>VÄSTRA GÖTALANDS LÄN</t>
        </is>
      </c>
      <c r="E11105" t="inlineStr">
        <is>
          <t>MARK</t>
        </is>
      </c>
      <c r="G11105" t="n">
        <v>6.5</v>
      </c>
      <c r="H11105" t="n">
        <v>0</v>
      </c>
      <c r="I11105" t="n">
        <v>0</v>
      </c>
      <c r="J11105" t="n">
        <v>0</v>
      </c>
      <c r="K11105" t="n">
        <v>0</v>
      </c>
      <c r="L11105" t="n">
        <v>0</v>
      </c>
      <c r="M11105" t="n">
        <v>0</v>
      </c>
      <c r="N11105" t="n">
        <v>0</v>
      </c>
      <c r="O11105" t="n">
        <v>0</v>
      </c>
      <c r="P11105" t="n">
        <v>0</v>
      </c>
      <c r="Q11105" t="n">
        <v>0</v>
      </c>
      <c r="R11105" s="2" t="inlineStr"/>
    </row>
    <row r="11106" ht="15" customHeight="1">
      <c r="A11106" t="inlineStr">
        <is>
          <t>A 51127-2023</t>
        </is>
      </c>
      <c r="B11106" s="1" t="n">
        <v>45219</v>
      </c>
      <c r="C11106" s="1" t="n">
        <v>45952</v>
      </c>
      <c r="D11106" t="inlineStr">
        <is>
          <t>VÄSTRA GÖTALANDS LÄN</t>
        </is>
      </c>
      <c r="E11106" t="inlineStr">
        <is>
          <t>HÄRRYDA</t>
        </is>
      </c>
      <c r="G11106" t="n">
        <v>1.4</v>
      </c>
      <c r="H11106" t="n">
        <v>0</v>
      </c>
      <c r="I11106" t="n">
        <v>0</v>
      </c>
      <c r="J11106" t="n">
        <v>0</v>
      </c>
      <c r="K11106" t="n">
        <v>0</v>
      </c>
      <c r="L11106" t="n">
        <v>0</v>
      </c>
      <c r="M11106" t="n">
        <v>0</v>
      </c>
      <c r="N11106" t="n">
        <v>0</v>
      </c>
      <c r="O11106" t="n">
        <v>0</v>
      </c>
      <c r="P11106" t="n">
        <v>0</v>
      </c>
      <c r="Q11106" t="n">
        <v>0</v>
      </c>
      <c r="R11106" s="2" t="inlineStr"/>
    </row>
    <row r="11107" ht="15" customHeight="1">
      <c r="A11107" t="inlineStr">
        <is>
          <t>A 32846-2023</t>
        </is>
      </c>
      <c r="B11107" s="1" t="n">
        <v>45112</v>
      </c>
      <c r="C11107" s="1" t="n">
        <v>45952</v>
      </c>
      <c r="D11107" t="inlineStr">
        <is>
          <t>VÄSTRA GÖTALANDS LÄN</t>
        </is>
      </c>
      <c r="E11107" t="inlineStr">
        <is>
          <t>UDDEVALLA</t>
        </is>
      </c>
      <c r="G11107" t="n">
        <v>4.9</v>
      </c>
      <c r="H11107" t="n">
        <v>0</v>
      </c>
      <c r="I11107" t="n">
        <v>0</v>
      </c>
      <c r="J11107" t="n">
        <v>0</v>
      </c>
      <c r="K11107" t="n">
        <v>0</v>
      </c>
      <c r="L11107" t="n">
        <v>0</v>
      </c>
      <c r="M11107" t="n">
        <v>0</v>
      </c>
      <c r="N11107" t="n">
        <v>0</v>
      </c>
      <c r="O11107" t="n">
        <v>0</v>
      </c>
      <c r="P11107" t="n">
        <v>0</v>
      </c>
      <c r="Q11107" t="n">
        <v>0</v>
      </c>
      <c r="R11107" s="2" t="inlineStr"/>
    </row>
    <row r="11108" ht="15" customHeight="1">
      <c r="A11108" t="inlineStr">
        <is>
          <t>A 58878-2023</t>
        </is>
      </c>
      <c r="B11108" s="1" t="n">
        <v>45252.47113425926</v>
      </c>
      <c r="C11108" s="1" t="n">
        <v>45952</v>
      </c>
      <c r="D11108" t="inlineStr">
        <is>
          <t>VÄSTRA GÖTALANDS LÄN</t>
        </is>
      </c>
      <c r="E11108" t="inlineStr">
        <is>
          <t>GULLSPÅNG</t>
        </is>
      </c>
      <c r="G11108" t="n">
        <v>1.7</v>
      </c>
      <c r="H11108" t="n">
        <v>0</v>
      </c>
      <c r="I11108" t="n">
        <v>0</v>
      </c>
      <c r="J11108" t="n">
        <v>0</v>
      </c>
      <c r="K11108" t="n">
        <v>0</v>
      </c>
      <c r="L11108" t="n">
        <v>0</v>
      </c>
      <c r="M11108" t="n">
        <v>0</v>
      </c>
      <c r="N11108" t="n">
        <v>0</v>
      </c>
      <c r="O11108" t="n">
        <v>0</v>
      </c>
      <c r="P11108" t="n">
        <v>0</v>
      </c>
      <c r="Q11108" t="n">
        <v>0</v>
      </c>
      <c r="R11108" s="2" t="inlineStr"/>
    </row>
    <row r="11109" ht="15" customHeight="1">
      <c r="A11109" t="inlineStr">
        <is>
          <t>A 51130-2023</t>
        </is>
      </c>
      <c r="B11109" s="1" t="n">
        <v>45219</v>
      </c>
      <c r="C11109" s="1" t="n">
        <v>45952</v>
      </c>
      <c r="D11109" t="inlineStr">
        <is>
          <t>VÄSTRA GÖTALANDS LÄN</t>
        </is>
      </c>
      <c r="E11109" t="inlineStr">
        <is>
          <t>HÄRRYDA</t>
        </is>
      </c>
      <c r="G11109" t="n">
        <v>2.8</v>
      </c>
      <c r="H11109" t="n">
        <v>0</v>
      </c>
      <c r="I11109" t="n">
        <v>0</v>
      </c>
      <c r="J11109" t="n">
        <v>0</v>
      </c>
      <c r="K11109" t="n">
        <v>0</v>
      </c>
      <c r="L11109" t="n">
        <v>0</v>
      </c>
      <c r="M11109" t="n">
        <v>0</v>
      </c>
      <c r="N11109" t="n">
        <v>0</v>
      </c>
      <c r="O11109" t="n">
        <v>0</v>
      </c>
      <c r="P11109" t="n">
        <v>0</v>
      </c>
      <c r="Q11109" t="n">
        <v>0</v>
      </c>
      <c r="R11109" s="2" t="inlineStr"/>
    </row>
    <row r="11110" ht="15" customHeight="1">
      <c r="A11110" t="inlineStr">
        <is>
          <t>A 50943-2025</t>
        </is>
      </c>
      <c r="B11110" s="1" t="n">
        <v>45946.72012731482</v>
      </c>
      <c r="C11110" s="1" t="n">
        <v>45952</v>
      </c>
      <c r="D11110" t="inlineStr">
        <is>
          <t>VÄSTRA GÖTALANDS LÄN</t>
        </is>
      </c>
      <c r="E11110" t="inlineStr">
        <is>
          <t>DALS-ED</t>
        </is>
      </c>
      <c r="G11110" t="n">
        <v>2.1</v>
      </c>
      <c r="H11110" t="n">
        <v>0</v>
      </c>
      <c r="I11110" t="n">
        <v>0</v>
      </c>
      <c r="J11110" t="n">
        <v>0</v>
      </c>
      <c r="K11110" t="n">
        <v>0</v>
      </c>
      <c r="L11110" t="n">
        <v>0</v>
      </c>
      <c r="M11110" t="n">
        <v>0</v>
      </c>
      <c r="N11110" t="n">
        <v>0</v>
      </c>
      <c r="O11110" t="n">
        <v>0</v>
      </c>
      <c r="P11110" t="n">
        <v>0</v>
      </c>
      <c r="Q11110" t="n">
        <v>0</v>
      </c>
      <c r="R11110" s="2" t="inlineStr"/>
    </row>
    <row r="11111" ht="15" customHeight="1">
      <c r="A11111" t="inlineStr">
        <is>
          <t>A 52860-2022</t>
        </is>
      </c>
      <c r="B11111" s="1" t="n">
        <v>44875.48599537037</v>
      </c>
      <c r="C11111" s="1" t="n">
        <v>45952</v>
      </c>
      <c r="D11111" t="inlineStr">
        <is>
          <t>VÄSTRA GÖTALANDS LÄN</t>
        </is>
      </c>
      <c r="E11111" t="inlineStr">
        <is>
          <t>DALS-ED</t>
        </is>
      </c>
      <c r="G11111" t="n">
        <v>2.8</v>
      </c>
      <c r="H11111" t="n">
        <v>0</v>
      </c>
      <c r="I11111" t="n">
        <v>0</v>
      </c>
      <c r="J11111" t="n">
        <v>0</v>
      </c>
      <c r="K11111" t="n">
        <v>0</v>
      </c>
      <c r="L11111" t="n">
        <v>0</v>
      </c>
      <c r="M11111" t="n">
        <v>0</v>
      </c>
      <c r="N11111" t="n">
        <v>0</v>
      </c>
      <c r="O11111" t="n">
        <v>0</v>
      </c>
      <c r="P11111" t="n">
        <v>0</v>
      </c>
      <c r="Q11111" t="n">
        <v>0</v>
      </c>
      <c r="R11111" s="2" t="inlineStr"/>
    </row>
    <row r="11112" ht="15" customHeight="1">
      <c r="A11112" t="inlineStr">
        <is>
          <t>A 7680-2025</t>
        </is>
      </c>
      <c r="B11112" s="1" t="n">
        <v>45706.36583333334</v>
      </c>
      <c r="C11112" s="1" t="n">
        <v>45952</v>
      </c>
      <c r="D11112" t="inlineStr">
        <is>
          <t>VÄSTRA GÖTALANDS LÄN</t>
        </is>
      </c>
      <c r="E11112" t="inlineStr">
        <is>
          <t>VÅRGÅRDA</t>
        </is>
      </c>
      <c r="G11112" t="n">
        <v>0.5</v>
      </c>
      <c r="H11112" t="n">
        <v>0</v>
      </c>
      <c r="I11112" t="n">
        <v>0</v>
      </c>
      <c r="J11112" t="n">
        <v>0</v>
      </c>
      <c r="K11112" t="n">
        <v>0</v>
      </c>
      <c r="L11112" t="n">
        <v>0</v>
      </c>
      <c r="M11112" t="n">
        <v>0</v>
      </c>
      <c r="N11112" t="n">
        <v>0</v>
      </c>
      <c r="O11112" t="n">
        <v>0</v>
      </c>
      <c r="P11112" t="n">
        <v>0</v>
      </c>
      <c r="Q11112" t="n">
        <v>0</v>
      </c>
      <c r="R11112" s="2" t="inlineStr"/>
    </row>
    <row r="11113" ht="15" customHeight="1">
      <c r="A11113" t="inlineStr">
        <is>
          <t>A 51167-2025</t>
        </is>
      </c>
      <c r="B11113" s="1" t="n">
        <v>45947.59884259259</v>
      </c>
      <c r="C11113" s="1" t="n">
        <v>45952</v>
      </c>
      <c r="D11113" t="inlineStr">
        <is>
          <t>VÄSTRA GÖTALANDS LÄN</t>
        </is>
      </c>
      <c r="E11113" t="inlineStr">
        <is>
          <t>VÅRGÅRDA</t>
        </is>
      </c>
      <c r="G11113" t="n">
        <v>2.7</v>
      </c>
      <c r="H11113" t="n">
        <v>0</v>
      </c>
      <c r="I11113" t="n">
        <v>0</v>
      </c>
      <c r="J11113" t="n">
        <v>0</v>
      </c>
      <c r="K11113" t="n">
        <v>0</v>
      </c>
      <c r="L11113" t="n">
        <v>0</v>
      </c>
      <c r="M11113" t="n">
        <v>0</v>
      </c>
      <c r="N11113" t="n">
        <v>0</v>
      </c>
      <c r="O11113" t="n">
        <v>0</v>
      </c>
      <c r="P11113" t="n">
        <v>0</v>
      </c>
      <c r="Q11113" t="n">
        <v>0</v>
      </c>
      <c r="R11113" s="2" t="inlineStr"/>
    </row>
    <row r="11114" ht="15" customHeight="1">
      <c r="A11114" t="inlineStr">
        <is>
          <t>A 3319-2024</t>
        </is>
      </c>
      <c r="B11114" s="1" t="n">
        <v>45317</v>
      </c>
      <c r="C11114" s="1" t="n">
        <v>45952</v>
      </c>
      <c r="D11114" t="inlineStr">
        <is>
          <t>VÄSTRA GÖTALANDS LÄN</t>
        </is>
      </c>
      <c r="E11114" t="inlineStr">
        <is>
          <t>ESSUNGA</t>
        </is>
      </c>
      <c r="F11114" t="inlineStr">
        <is>
          <t>Kyrkan</t>
        </is>
      </c>
      <c r="G11114" t="n">
        <v>1.4</v>
      </c>
      <c r="H11114" t="n">
        <v>0</v>
      </c>
      <c r="I11114" t="n">
        <v>0</v>
      </c>
      <c r="J11114" t="n">
        <v>0</v>
      </c>
      <c r="K11114" t="n">
        <v>0</v>
      </c>
      <c r="L11114" t="n">
        <v>0</v>
      </c>
      <c r="M11114" t="n">
        <v>0</v>
      </c>
      <c r="N11114" t="n">
        <v>0</v>
      </c>
      <c r="O11114" t="n">
        <v>0</v>
      </c>
      <c r="P11114" t="n">
        <v>0</v>
      </c>
      <c r="Q11114" t="n">
        <v>0</v>
      </c>
      <c r="R11114" s="2" t="inlineStr"/>
    </row>
    <row r="11115" ht="15" customHeight="1">
      <c r="A11115" t="inlineStr">
        <is>
          <t>A 7704-2025</t>
        </is>
      </c>
      <c r="B11115" s="1" t="n">
        <v>45706.4105324074</v>
      </c>
      <c r="C11115" s="1" t="n">
        <v>45952</v>
      </c>
      <c r="D11115" t="inlineStr">
        <is>
          <t>VÄSTRA GÖTALANDS LÄN</t>
        </is>
      </c>
      <c r="E11115" t="inlineStr">
        <is>
          <t>ULRICEHAMN</t>
        </is>
      </c>
      <c r="G11115" t="n">
        <v>1.7</v>
      </c>
      <c r="H11115" t="n">
        <v>0</v>
      </c>
      <c r="I11115" t="n">
        <v>0</v>
      </c>
      <c r="J11115" t="n">
        <v>0</v>
      </c>
      <c r="K11115" t="n">
        <v>0</v>
      </c>
      <c r="L11115" t="n">
        <v>0</v>
      </c>
      <c r="M11115" t="n">
        <v>0</v>
      </c>
      <c r="N11115" t="n">
        <v>0</v>
      </c>
      <c r="O11115" t="n">
        <v>0</v>
      </c>
      <c r="P11115" t="n">
        <v>0</v>
      </c>
      <c r="Q11115" t="n">
        <v>0</v>
      </c>
      <c r="R11115" s="2" t="inlineStr"/>
    </row>
    <row r="11116" ht="15" customHeight="1">
      <c r="A11116" t="inlineStr">
        <is>
          <t>A 10690-2025</t>
        </is>
      </c>
      <c r="B11116" s="1" t="n">
        <v>45722.2999537037</v>
      </c>
      <c r="C11116" s="1" t="n">
        <v>45952</v>
      </c>
      <c r="D11116" t="inlineStr">
        <is>
          <t>VÄSTRA GÖTALANDS LÄN</t>
        </is>
      </c>
      <c r="E11116" t="inlineStr">
        <is>
          <t>ESSUNGA</t>
        </is>
      </c>
      <c r="G11116" t="n">
        <v>1.3</v>
      </c>
      <c r="H11116" t="n">
        <v>0</v>
      </c>
      <c r="I11116" t="n">
        <v>0</v>
      </c>
      <c r="J11116" t="n">
        <v>0</v>
      </c>
      <c r="K11116" t="n">
        <v>0</v>
      </c>
      <c r="L11116" t="n">
        <v>0</v>
      </c>
      <c r="M11116" t="n">
        <v>0</v>
      </c>
      <c r="N11116" t="n">
        <v>0</v>
      </c>
      <c r="O11116" t="n">
        <v>0</v>
      </c>
      <c r="P11116" t="n">
        <v>0</v>
      </c>
      <c r="Q11116" t="n">
        <v>0</v>
      </c>
      <c r="R11116" s="2" t="inlineStr"/>
    </row>
    <row r="11117" ht="15" customHeight="1">
      <c r="A11117" t="inlineStr">
        <is>
          <t>A 6384-2025</t>
        </is>
      </c>
      <c r="B11117" s="1" t="n">
        <v>45699.42287037037</v>
      </c>
      <c r="C11117" s="1" t="n">
        <v>45952</v>
      </c>
      <c r="D11117" t="inlineStr">
        <is>
          <t>VÄSTRA GÖTALANDS LÄN</t>
        </is>
      </c>
      <c r="E11117" t="inlineStr">
        <is>
          <t>LILLA EDET</t>
        </is>
      </c>
      <c r="G11117" t="n">
        <v>2</v>
      </c>
      <c r="H11117" t="n">
        <v>0</v>
      </c>
      <c r="I11117" t="n">
        <v>0</v>
      </c>
      <c r="J11117" t="n">
        <v>0</v>
      </c>
      <c r="K11117" t="n">
        <v>0</v>
      </c>
      <c r="L11117" t="n">
        <v>0</v>
      </c>
      <c r="M11117" t="n">
        <v>0</v>
      </c>
      <c r="N11117" t="n">
        <v>0</v>
      </c>
      <c r="O11117" t="n">
        <v>0</v>
      </c>
      <c r="P11117" t="n">
        <v>0</v>
      </c>
      <c r="Q11117" t="n">
        <v>0</v>
      </c>
      <c r="R11117" s="2" t="inlineStr"/>
    </row>
    <row r="11118" ht="15" customHeight="1">
      <c r="A11118" t="inlineStr">
        <is>
          <t>A 26895-2025</t>
        </is>
      </c>
      <c r="B11118" s="1" t="n">
        <v>45811.33570601852</v>
      </c>
      <c r="C11118" s="1" t="n">
        <v>45952</v>
      </c>
      <c r="D11118" t="inlineStr">
        <is>
          <t>VÄSTRA GÖTALANDS LÄN</t>
        </is>
      </c>
      <c r="E11118" t="inlineStr">
        <is>
          <t>HERRLJUNGA</t>
        </is>
      </c>
      <c r="G11118" t="n">
        <v>3.6</v>
      </c>
      <c r="H11118" t="n">
        <v>0</v>
      </c>
      <c r="I11118" t="n">
        <v>0</v>
      </c>
      <c r="J11118" t="n">
        <v>0</v>
      </c>
      <c r="K11118" t="n">
        <v>0</v>
      </c>
      <c r="L11118" t="n">
        <v>0</v>
      </c>
      <c r="M11118" t="n">
        <v>0</v>
      </c>
      <c r="N11118" t="n">
        <v>0</v>
      </c>
      <c r="O11118" t="n">
        <v>0</v>
      </c>
      <c r="P11118" t="n">
        <v>0</v>
      </c>
      <c r="Q11118" t="n">
        <v>0</v>
      </c>
      <c r="R11118" s="2" t="inlineStr"/>
    </row>
    <row r="11119" ht="15" customHeight="1">
      <c r="A11119" t="inlineStr">
        <is>
          <t>A 3320-2024</t>
        </is>
      </c>
      <c r="B11119" s="1" t="n">
        <v>45317</v>
      </c>
      <c r="C11119" s="1" t="n">
        <v>45952</v>
      </c>
      <c r="D11119" t="inlineStr">
        <is>
          <t>VÄSTRA GÖTALANDS LÄN</t>
        </is>
      </c>
      <c r="E11119" t="inlineStr">
        <is>
          <t>ESSUNGA</t>
        </is>
      </c>
      <c r="F11119" t="inlineStr">
        <is>
          <t>Kyrkan</t>
        </is>
      </c>
      <c r="G11119" t="n">
        <v>1.3</v>
      </c>
      <c r="H11119" t="n">
        <v>0</v>
      </c>
      <c r="I11119" t="n">
        <v>0</v>
      </c>
      <c r="J11119" t="n">
        <v>0</v>
      </c>
      <c r="K11119" t="n">
        <v>0</v>
      </c>
      <c r="L11119" t="n">
        <v>0</v>
      </c>
      <c r="M11119" t="n">
        <v>0</v>
      </c>
      <c r="N11119" t="n">
        <v>0</v>
      </c>
      <c r="O11119" t="n">
        <v>0</v>
      </c>
      <c r="P11119" t="n">
        <v>0</v>
      </c>
      <c r="Q11119" t="n">
        <v>0</v>
      </c>
      <c r="R11119" s="2" t="inlineStr"/>
    </row>
    <row r="11120" ht="15" customHeight="1">
      <c r="A11120" t="inlineStr">
        <is>
          <t>A 51095-2025</t>
        </is>
      </c>
      <c r="B11120" s="1" t="n">
        <v>45947</v>
      </c>
      <c r="C11120" s="1" t="n">
        <v>45952</v>
      </c>
      <c r="D11120" t="inlineStr">
        <is>
          <t>VÄSTRA GÖTALANDS LÄN</t>
        </is>
      </c>
      <c r="E11120" t="inlineStr">
        <is>
          <t>ULRICEHAMN</t>
        </is>
      </c>
      <c r="G11120" t="n">
        <v>2</v>
      </c>
      <c r="H11120" t="n">
        <v>0</v>
      </c>
      <c r="I11120" t="n">
        <v>0</v>
      </c>
      <c r="J11120" t="n">
        <v>0</v>
      </c>
      <c r="K11120" t="n">
        <v>0</v>
      </c>
      <c r="L11120" t="n">
        <v>0</v>
      </c>
      <c r="M11120" t="n">
        <v>0</v>
      </c>
      <c r="N11120" t="n">
        <v>0</v>
      </c>
      <c r="O11120" t="n">
        <v>0</v>
      </c>
      <c r="P11120" t="n">
        <v>0</v>
      </c>
      <c r="Q11120" t="n">
        <v>0</v>
      </c>
      <c r="R11120" s="2" t="inlineStr"/>
    </row>
    <row r="11121" ht="15" customHeight="1">
      <c r="A11121" t="inlineStr">
        <is>
          <t>A 50884-2025</t>
        </is>
      </c>
      <c r="B11121" s="1" t="n">
        <v>45946.63519675926</v>
      </c>
      <c r="C11121" s="1" t="n">
        <v>45952</v>
      </c>
      <c r="D11121" t="inlineStr">
        <is>
          <t>VÄSTRA GÖTALANDS LÄN</t>
        </is>
      </c>
      <c r="E11121" t="inlineStr">
        <is>
          <t>VÄNERSBORG</t>
        </is>
      </c>
      <c r="G11121" t="n">
        <v>4.8</v>
      </c>
      <c r="H11121" t="n">
        <v>0</v>
      </c>
      <c r="I11121" t="n">
        <v>0</v>
      </c>
      <c r="J11121" t="n">
        <v>0</v>
      </c>
      <c r="K11121" t="n">
        <v>0</v>
      </c>
      <c r="L11121" t="n">
        <v>0</v>
      </c>
      <c r="M11121" t="n">
        <v>0</v>
      </c>
      <c r="N11121" t="n">
        <v>0</v>
      </c>
      <c r="O11121" t="n">
        <v>0</v>
      </c>
      <c r="P11121" t="n">
        <v>0</v>
      </c>
      <c r="Q11121" t="n">
        <v>0</v>
      </c>
      <c r="R11121" s="2" t="inlineStr"/>
    </row>
    <row r="11122" ht="15" customHeight="1">
      <c r="A11122" t="inlineStr">
        <is>
          <t>A 27350-2024</t>
        </is>
      </c>
      <c r="B11122" s="1" t="n">
        <v>45473.6690625</v>
      </c>
      <c r="C11122" s="1" t="n">
        <v>45952</v>
      </c>
      <c r="D11122" t="inlineStr">
        <is>
          <t>VÄSTRA GÖTALANDS LÄN</t>
        </is>
      </c>
      <c r="E11122" t="inlineStr">
        <is>
          <t>FALKÖPING</t>
        </is>
      </c>
      <c r="G11122" t="n">
        <v>2.8</v>
      </c>
      <c r="H11122" t="n">
        <v>0</v>
      </c>
      <c r="I11122" t="n">
        <v>0</v>
      </c>
      <c r="J11122" t="n">
        <v>0</v>
      </c>
      <c r="K11122" t="n">
        <v>0</v>
      </c>
      <c r="L11122" t="n">
        <v>0</v>
      </c>
      <c r="M11122" t="n">
        <v>0</v>
      </c>
      <c r="N11122" t="n">
        <v>0</v>
      </c>
      <c r="O11122" t="n">
        <v>0</v>
      </c>
      <c r="P11122" t="n">
        <v>0</v>
      </c>
      <c r="Q11122" t="n">
        <v>0</v>
      </c>
      <c r="R11122" s="2" t="inlineStr"/>
    </row>
    <row r="11123" ht="15" customHeight="1">
      <c r="A11123" t="inlineStr">
        <is>
          <t>A 27353-2024</t>
        </is>
      </c>
      <c r="B11123" s="1" t="n">
        <v>45473.68792824074</v>
      </c>
      <c r="C11123" s="1" t="n">
        <v>45952</v>
      </c>
      <c r="D11123" t="inlineStr">
        <is>
          <t>VÄSTRA GÖTALANDS LÄN</t>
        </is>
      </c>
      <c r="E11123" t="inlineStr">
        <is>
          <t>ULRICEHAMN</t>
        </is>
      </c>
      <c r="G11123" t="n">
        <v>5.9</v>
      </c>
      <c r="H11123" t="n">
        <v>0</v>
      </c>
      <c r="I11123" t="n">
        <v>0</v>
      </c>
      <c r="J11123" t="n">
        <v>0</v>
      </c>
      <c r="K11123" t="n">
        <v>0</v>
      </c>
      <c r="L11123" t="n">
        <v>0</v>
      </c>
      <c r="M11123" t="n">
        <v>0</v>
      </c>
      <c r="N11123" t="n">
        <v>0</v>
      </c>
      <c r="O11123" t="n">
        <v>0</v>
      </c>
      <c r="P11123" t="n">
        <v>0</v>
      </c>
      <c r="Q11123" t="n">
        <v>0</v>
      </c>
      <c r="R11123" s="2" t="inlineStr"/>
    </row>
    <row r="11124" ht="15" customHeight="1">
      <c r="A11124" t="inlineStr">
        <is>
          <t>A 223-2025</t>
        </is>
      </c>
      <c r="B11124" s="1" t="n">
        <v>45660.34912037037</v>
      </c>
      <c r="C11124" s="1" t="n">
        <v>45952</v>
      </c>
      <c r="D11124" t="inlineStr">
        <is>
          <t>VÄSTRA GÖTALANDS LÄN</t>
        </is>
      </c>
      <c r="E11124" t="inlineStr">
        <is>
          <t>TROLLHÄTTAN</t>
        </is>
      </c>
      <c r="G11124" t="n">
        <v>1.5</v>
      </c>
      <c r="H11124" t="n">
        <v>0</v>
      </c>
      <c r="I11124" t="n">
        <v>0</v>
      </c>
      <c r="J11124" t="n">
        <v>0</v>
      </c>
      <c r="K11124" t="n">
        <v>0</v>
      </c>
      <c r="L11124" t="n">
        <v>0</v>
      </c>
      <c r="M11124" t="n">
        <v>0</v>
      </c>
      <c r="N11124" t="n">
        <v>0</v>
      </c>
      <c r="O11124" t="n">
        <v>0</v>
      </c>
      <c r="P11124" t="n">
        <v>0</v>
      </c>
      <c r="Q11124" t="n">
        <v>0</v>
      </c>
      <c r="R11124" s="2" t="inlineStr"/>
    </row>
    <row r="11125" ht="15" customHeight="1">
      <c r="A11125" t="inlineStr">
        <is>
          <t>A 63437-2023</t>
        </is>
      </c>
      <c r="B11125" s="1" t="n">
        <v>45274</v>
      </c>
      <c r="C11125" s="1" t="n">
        <v>45952</v>
      </c>
      <c r="D11125" t="inlineStr">
        <is>
          <t>VÄSTRA GÖTALANDS LÄN</t>
        </is>
      </c>
      <c r="E11125" t="inlineStr">
        <is>
          <t>BORÅS</t>
        </is>
      </c>
      <c r="G11125" t="n">
        <v>1.8</v>
      </c>
      <c r="H11125" t="n">
        <v>0</v>
      </c>
      <c r="I11125" t="n">
        <v>0</v>
      </c>
      <c r="J11125" t="n">
        <v>0</v>
      </c>
      <c r="K11125" t="n">
        <v>0</v>
      </c>
      <c r="L11125" t="n">
        <v>0</v>
      </c>
      <c r="M11125" t="n">
        <v>0</v>
      </c>
      <c r="N11125" t="n">
        <v>0</v>
      </c>
      <c r="O11125" t="n">
        <v>0</v>
      </c>
      <c r="P11125" t="n">
        <v>0</v>
      </c>
      <c r="Q11125" t="n">
        <v>0</v>
      </c>
      <c r="R11125" s="2" t="inlineStr"/>
    </row>
    <row r="11126" ht="15" customHeight="1">
      <c r="A11126" t="inlineStr">
        <is>
          <t>A 36984-2024</t>
        </is>
      </c>
      <c r="B11126" s="1" t="n">
        <v>45539.32334490741</v>
      </c>
      <c r="C11126" s="1" t="n">
        <v>45952</v>
      </c>
      <c r="D11126" t="inlineStr">
        <is>
          <t>VÄSTRA GÖTALANDS LÄN</t>
        </is>
      </c>
      <c r="E11126" t="inlineStr">
        <is>
          <t>LILLA EDET</t>
        </is>
      </c>
      <c r="G11126" t="n">
        <v>1.7</v>
      </c>
      <c r="H11126" t="n">
        <v>0</v>
      </c>
      <c r="I11126" t="n">
        <v>0</v>
      </c>
      <c r="J11126" t="n">
        <v>0</v>
      </c>
      <c r="K11126" t="n">
        <v>0</v>
      </c>
      <c r="L11126" t="n">
        <v>0</v>
      </c>
      <c r="M11126" t="n">
        <v>0</v>
      </c>
      <c r="N11126" t="n">
        <v>0</v>
      </c>
      <c r="O11126" t="n">
        <v>0</v>
      </c>
      <c r="P11126" t="n">
        <v>0</v>
      </c>
      <c r="Q11126" t="n">
        <v>0</v>
      </c>
      <c r="R11126" s="2" t="inlineStr"/>
    </row>
    <row r="11127" ht="15" customHeight="1">
      <c r="A11127" t="inlineStr">
        <is>
          <t>A 34865-2023</t>
        </is>
      </c>
      <c r="B11127" s="1" t="n">
        <v>45142.3334837963</v>
      </c>
      <c r="C11127" s="1" t="n">
        <v>45952</v>
      </c>
      <c r="D11127" t="inlineStr">
        <is>
          <t>VÄSTRA GÖTALANDS LÄN</t>
        </is>
      </c>
      <c r="E11127" t="inlineStr">
        <is>
          <t>TÖREBODA</t>
        </is>
      </c>
      <c r="F11127" t="inlineStr">
        <is>
          <t>Sveaskog</t>
        </is>
      </c>
      <c r="G11127" t="n">
        <v>2.8</v>
      </c>
      <c r="H11127" t="n">
        <v>0</v>
      </c>
      <c r="I11127" t="n">
        <v>0</v>
      </c>
      <c r="J11127" t="n">
        <v>0</v>
      </c>
      <c r="K11127" t="n">
        <v>0</v>
      </c>
      <c r="L11127" t="n">
        <v>0</v>
      </c>
      <c r="M11127" t="n">
        <v>0</v>
      </c>
      <c r="N11127" t="n">
        <v>0</v>
      </c>
      <c r="O11127" t="n">
        <v>0</v>
      </c>
      <c r="P11127" t="n">
        <v>0</v>
      </c>
      <c r="Q11127" t="n">
        <v>0</v>
      </c>
      <c r="R11127" s="2" t="inlineStr"/>
    </row>
    <row r="11128" ht="15" customHeight="1">
      <c r="A11128" t="inlineStr">
        <is>
          <t>A 50735-2025</t>
        </is>
      </c>
      <c r="B11128" s="1" t="n">
        <v>45946.36746527778</v>
      </c>
      <c r="C11128" s="1" t="n">
        <v>45952</v>
      </c>
      <c r="D11128" t="inlineStr">
        <is>
          <t>VÄSTRA GÖTALANDS LÄN</t>
        </is>
      </c>
      <c r="E11128" t="inlineStr">
        <is>
          <t>DALS-ED</t>
        </is>
      </c>
      <c r="G11128" t="n">
        <v>0.6</v>
      </c>
      <c r="H11128" t="n">
        <v>0</v>
      </c>
      <c r="I11128" t="n">
        <v>0</v>
      </c>
      <c r="J11128" t="n">
        <v>0</v>
      </c>
      <c r="K11128" t="n">
        <v>0</v>
      </c>
      <c r="L11128" t="n">
        <v>0</v>
      </c>
      <c r="M11128" t="n">
        <v>0</v>
      </c>
      <c r="N11128" t="n">
        <v>0</v>
      </c>
      <c r="O11128" t="n">
        <v>0</v>
      </c>
      <c r="P11128" t="n">
        <v>0</v>
      </c>
      <c r="Q11128" t="n">
        <v>0</v>
      </c>
      <c r="R11128" s="2" t="inlineStr"/>
    </row>
    <row r="11129" ht="15" customHeight="1">
      <c r="A11129" t="inlineStr">
        <is>
          <t>A 26691-2025</t>
        </is>
      </c>
      <c r="B11129" s="1" t="n">
        <v>45810.43835648148</v>
      </c>
      <c r="C11129" s="1" t="n">
        <v>45952</v>
      </c>
      <c r="D11129" t="inlineStr">
        <is>
          <t>VÄSTRA GÖTALANDS LÄN</t>
        </is>
      </c>
      <c r="E11129" t="inlineStr">
        <is>
          <t>ALINGSÅS</t>
        </is>
      </c>
      <c r="G11129" t="n">
        <v>3.5</v>
      </c>
      <c r="H11129" t="n">
        <v>0</v>
      </c>
      <c r="I11129" t="n">
        <v>0</v>
      </c>
      <c r="J11129" t="n">
        <v>0</v>
      </c>
      <c r="K11129" t="n">
        <v>0</v>
      </c>
      <c r="L11129" t="n">
        <v>0</v>
      </c>
      <c r="M11129" t="n">
        <v>0</v>
      </c>
      <c r="N11129" t="n">
        <v>0</v>
      </c>
      <c r="O11129" t="n">
        <v>0</v>
      </c>
      <c r="P11129" t="n">
        <v>0</v>
      </c>
      <c r="Q11129" t="n">
        <v>0</v>
      </c>
      <c r="R11129" s="2" t="inlineStr"/>
    </row>
    <row r="11130" ht="15" customHeight="1">
      <c r="A11130" t="inlineStr">
        <is>
          <t>A 51178-2023</t>
        </is>
      </c>
      <c r="B11130" s="1" t="n">
        <v>45219.39265046296</v>
      </c>
      <c r="C11130" s="1" t="n">
        <v>45952</v>
      </c>
      <c r="D11130" t="inlineStr">
        <is>
          <t>VÄSTRA GÖTALANDS LÄN</t>
        </is>
      </c>
      <c r="E11130" t="inlineStr">
        <is>
          <t>ALINGSÅS</t>
        </is>
      </c>
      <c r="G11130" t="n">
        <v>2.7</v>
      </c>
      <c r="H11130" t="n">
        <v>0</v>
      </c>
      <c r="I11130" t="n">
        <v>0</v>
      </c>
      <c r="J11130" t="n">
        <v>0</v>
      </c>
      <c r="K11130" t="n">
        <v>0</v>
      </c>
      <c r="L11130" t="n">
        <v>0</v>
      </c>
      <c r="M11130" t="n">
        <v>0</v>
      </c>
      <c r="N11130" t="n">
        <v>0</v>
      </c>
      <c r="O11130" t="n">
        <v>0</v>
      </c>
      <c r="P11130" t="n">
        <v>0</v>
      </c>
      <c r="Q11130" t="n">
        <v>0</v>
      </c>
      <c r="R11130" s="2" t="inlineStr"/>
    </row>
    <row r="11131" ht="15" customHeight="1">
      <c r="A11131" t="inlineStr">
        <is>
          <t>A 50932-2025</t>
        </is>
      </c>
      <c r="B11131" s="1" t="n">
        <v>45946.68842592592</v>
      </c>
      <c r="C11131" s="1" t="n">
        <v>45952</v>
      </c>
      <c r="D11131" t="inlineStr">
        <is>
          <t>VÄSTRA GÖTALANDS LÄN</t>
        </is>
      </c>
      <c r="E11131" t="inlineStr">
        <is>
          <t>HJO</t>
        </is>
      </c>
      <c r="G11131" t="n">
        <v>2.1</v>
      </c>
      <c r="H11131" t="n">
        <v>0</v>
      </c>
      <c r="I11131" t="n">
        <v>0</v>
      </c>
      <c r="J11131" t="n">
        <v>0</v>
      </c>
      <c r="K11131" t="n">
        <v>0</v>
      </c>
      <c r="L11131" t="n">
        <v>0</v>
      </c>
      <c r="M11131" t="n">
        <v>0</v>
      </c>
      <c r="N11131" t="n">
        <v>0</v>
      </c>
      <c r="O11131" t="n">
        <v>0</v>
      </c>
      <c r="P11131" t="n">
        <v>0</v>
      </c>
      <c r="Q11131" t="n">
        <v>0</v>
      </c>
      <c r="R11131" s="2" t="inlineStr"/>
    </row>
    <row r="11132" ht="15" customHeight="1">
      <c r="A11132" t="inlineStr">
        <is>
          <t>A 13107-2022</t>
        </is>
      </c>
      <c r="B11132" s="1" t="n">
        <v>44644</v>
      </c>
      <c r="C11132" s="1" t="n">
        <v>45952</v>
      </c>
      <c r="D11132" t="inlineStr">
        <is>
          <t>VÄSTRA GÖTALANDS LÄN</t>
        </is>
      </c>
      <c r="E11132" t="inlineStr">
        <is>
          <t>BORÅS</t>
        </is>
      </c>
      <c r="G11132" t="n">
        <v>1.4</v>
      </c>
      <c r="H11132" t="n">
        <v>0</v>
      </c>
      <c r="I11132" t="n">
        <v>0</v>
      </c>
      <c r="J11132" t="n">
        <v>0</v>
      </c>
      <c r="K11132" t="n">
        <v>0</v>
      </c>
      <c r="L11132" t="n">
        <v>0</v>
      </c>
      <c r="M11132" t="n">
        <v>0</v>
      </c>
      <c r="N11132" t="n">
        <v>0</v>
      </c>
      <c r="O11132" t="n">
        <v>0</v>
      </c>
      <c r="P11132" t="n">
        <v>0</v>
      </c>
      <c r="Q11132" t="n">
        <v>0</v>
      </c>
      <c r="R11132" s="2" t="inlineStr"/>
    </row>
    <row r="11133" ht="15" customHeight="1">
      <c r="A11133" t="inlineStr">
        <is>
          <t>A 20141-2023</t>
        </is>
      </c>
      <c r="B11133" s="1" t="n">
        <v>45055.43131944445</v>
      </c>
      <c r="C11133" s="1" t="n">
        <v>45952</v>
      </c>
      <c r="D11133" t="inlineStr">
        <is>
          <t>VÄSTRA GÖTALANDS LÄN</t>
        </is>
      </c>
      <c r="E11133" t="inlineStr">
        <is>
          <t>ÅMÅL</t>
        </is>
      </c>
      <c r="G11133" t="n">
        <v>4</v>
      </c>
      <c r="H11133" t="n">
        <v>0</v>
      </c>
      <c r="I11133" t="n">
        <v>0</v>
      </c>
      <c r="J11133" t="n">
        <v>0</v>
      </c>
      <c r="K11133" t="n">
        <v>0</v>
      </c>
      <c r="L11133" t="n">
        <v>0</v>
      </c>
      <c r="M11133" t="n">
        <v>0</v>
      </c>
      <c r="N11133" t="n">
        <v>0</v>
      </c>
      <c r="O11133" t="n">
        <v>0</v>
      </c>
      <c r="P11133" t="n">
        <v>0</v>
      </c>
      <c r="Q11133" t="n">
        <v>0</v>
      </c>
      <c r="R11133" s="2" t="inlineStr"/>
    </row>
    <row r="11134" ht="15" customHeight="1">
      <c r="A11134" t="inlineStr">
        <is>
          <t>A 42464-2025</t>
        </is>
      </c>
      <c r="B11134" s="1" t="n">
        <v>45905</v>
      </c>
      <c r="C11134" s="1" t="n">
        <v>45952</v>
      </c>
      <c r="D11134" t="inlineStr">
        <is>
          <t>VÄSTRA GÖTALANDS LÄN</t>
        </is>
      </c>
      <c r="E11134" t="inlineStr">
        <is>
          <t>MARK</t>
        </is>
      </c>
      <c r="F11134" t="inlineStr">
        <is>
          <t>Sveaskog</t>
        </is>
      </c>
      <c r="G11134" t="n">
        <v>10.2</v>
      </c>
      <c r="H11134" t="n">
        <v>0</v>
      </c>
      <c r="I11134" t="n">
        <v>0</v>
      </c>
      <c r="J11134" t="n">
        <v>0</v>
      </c>
      <c r="K11134" t="n">
        <v>0</v>
      </c>
      <c r="L11134" t="n">
        <v>0</v>
      </c>
      <c r="M11134" t="n">
        <v>0</v>
      </c>
      <c r="N11134" t="n">
        <v>0</v>
      </c>
      <c r="O11134" t="n">
        <v>0</v>
      </c>
      <c r="P11134" t="n">
        <v>0</v>
      </c>
      <c r="Q11134" t="n">
        <v>0</v>
      </c>
      <c r="R11134" s="2" t="inlineStr"/>
    </row>
    <row r="11135" ht="15" customHeight="1">
      <c r="A11135" t="inlineStr">
        <is>
          <t>A 42611-2025</t>
        </is>
      </c>
      <c r="B11135" s="1" t="n">
        <v>45905.69912037037</v>
      </c>
      <c r="C11135" s="1" t="n">
        <v>45952</v>
      </c>
      <c r="D11135" t="inlineStr">
        <is>
          <t>VÄSTRA GÖTALANDS LÄN</t>
        </is>
      </c>
      <c r="E11135" t="inlineStr">
        <is>
          <t>SVENLJUNGA</t>
        </is>
      </c>
      <c r="G11135" t="n">
        <v>1.9</v>
      </c>
      <c r="H11135" t="n">
        <v>0</v>
      </c>
      <c r="I11135" t="n">
        <v>0</v>
      </c>
      <c r="J11135" t="n">
        <v>0</v>
      </c>
      <c r="K11135" t="n">
        <v>0</v>
      </c>
      <c r="L11135" t="n">
        <v>0</v>
      </c>
      <c r="M11135" t="n">
        <v>0</v>
      </c>
      <c r="N11135" t="n">
        <v>0</v>
      </c>
      <c r="O11135" t="n">
        <v>0</v>
      </c>
      <c r="P11135" t="n">
        <v>0</v>
      </c>
      <c r="Q11135" t="n">
        <v>0</v>
      </c>
      <c r="R11135" s="2" t="inlineStr"/>
    </row>
    <row r="11136" ht="15" customHeight="1">
      <c r="A11136" t="inlineStr">
        <is>
          <t>A 25744-2024</t>
        </is>
      </c>
      <c r="B11136" s="1" t="n">
        <v>45465.43989583333</v>
      </c>
      <c r="C11136" s="1" t="n">
        <v>45952</v>
      </c>
      <c r="D11136" t="inlineStr">
        <is>
          <t>VÄSTRA GÖTALANDS LÄN</t>
        </is>
      </c>
      <c r="E11136" t="inlineStr">
        <is>
          <t>ALINGSÅS</t>
        </is>
      </c>
      <c r="G11136" t="n">
        <v>6.1</v>
      </c>
      <c r="H11136" t="n">
        <v>0</v>
      </c>
      <c r="I11136" t="n">
        <v>0</v>
      </c>
      <c r="J11136" t="n">
        <v>0</v>
      </c>
      <c r="K11136" t="n">
        <v>0</v>
      </c>
      <c r="L11136" t="n">
        <v>0</v>
      </c>
      <c r="M11136" t="n">
        <v>0</v>
      </c>
      <c r="N11136" t="n">
        <v>0</v>
      </c>
      <c r="O11136" t="n">
        <v>0</v>
      </c>
      <c r="P11136" t="n">
        <v>0</v>
      </c>
      <c r="Q11136" t="n">
        <v>0</v>
      </c>
      <c r="R11136" s="2" t="inlineStr"/>
    </row>
    <row r="11137" ht="15" customHeight="1">
      <c r="A11137" t="inlineStr">
        <is>
          <t>A 25748-2024</t>
        </is>
      </c>
      <c r="B11137" s="1" t="n">
        <v>45465.44412037037</v>
      </c>
      <c r="C11137" s="1" t="n">
        <v>45952</v>
      </c>
      <c r="D11137" t="inlineStr">
        <is>
          <t>VÄSTRA GÖTALANDS LÄN</t>
        </is>
      </c>
      <c r="E11137" t="inlineStr">
        <is>
          <t>ALINGSÅS</t>
        </is>
      </c>
      <c r="G11137" t="n">
        <v>1.8</v>
      </c>
      <c r="H11137" t="n">
        <v>0</v>
      </c>
      <c r="I11137" t="n">
        <v>0</v>
      </c>
      <c r="J11137" t="n">
        <v>0</v>
      </c>
      <c r="K11137" t="n">
        <v>0</v>
      </c>
      <c r="L11137" t="n">
        <v>0</v>
      </c>
      <c r="M11137" t="n">
        <v>0</v>
      </c>
      <c r="N11137" t="n">
        <v>0</v>
      </c>
      <c r="O11137" t="n">
        <v>0</v>
      </c>
      <c r="P11137" t="n">
        <v>0</v>
      </c>
      <c r="Q11137" t="n">
        <v>0</v>
      </c>
      <c r="R11137" s="2" t="inlineStr"/>
    </row>
    <row r="11138" ht="15" customHeight="1">
      <c r="A11138" t="inlineStr">
        <is>
          <t>A 51146-2025</t>
        </is>
      </c>
      <c r="B11138" s="1" t="n">
        <v>45947.57024305555</v>
      </c>
      <c r="C11138" s="1" t="n">
        <v>45952</v>
      </c>
      <c r="D11138" t="inlineStr">
        <is>
          <t>VÄSTRA GÖTALANDS LÄN</t>
        </is>
      </c>
      <c r="E11138" t="inlineStr">
        <is>
          <t>HERRLJUNGA</t>
        </is>
      </c>
      <c r="G11138" t="n">
        <v>1.5</v>
      </c>
      <c r="H11138" t="n">
        <v>0</v>
      </c>
      <c r="I11138" t="n">
        <v>0</v>
      </c>
      <c r="J11138" t="n">
        <v>0</v>
      </c>
      <c r="K11138" t="n">
        <v>0</v>
      </c>
      <c r="L11138" t="n">
        <v>0</v>
      </c>
      <c r="M11138" t="n">
        <v>0</v>
      </c>
      <c r="N11138" t="n">
        <v>0</v>
      </c>
      <c r="O11138" t="n">
        <v>0</v>
      </c>
      <c r="P11138" t="n">
        <v>0</v>
      </c>
      <c r="Q11138" t="n">
        <v>0</v>
      </c>
      <c r="R11138" s="2" t="inlineStr"/>
    </row>
    <row r="11139" ht="15" customHeight="1">
      <c r="A11139" t="inlineStr">
        <is>
          <t>A 59544-2020</t>
        </is>
      </c>
      <c r="B11139" s="1" t="n">
        <v>44148</v>
      </c>
      <c r="C11139" s="1" t="n">
        <v>45952</v>
      </c>
      <c r="D11139" t="inlineStr">
        <is>
          <t>VÄSTRA GÖTALANDS LÄN</t>
        </is>
      </c>
      <c r="E11139" t="inlineStr">
        <is>
          <t>VÅRGÅRDA</t>
        </is>
      </c>
      <c r="G11139" t="n">
        <v>1.4</v>
      </c>
      <c r="H11139" t="n">
        <v>0</v>
      </c>
      <c r="I11139" t="n">
        <v>0</v>
      </c>
      <c r="J11139" t="n">
        <v>0</v>
      </c>
      <c r="K11139" t="n">
        <v>0</v>
      </c>
      <c r="L11139" t="n">
        <v>0</v>
      </c>
      <c r="M11139" t="n">
        <v>0</v>
      </c>
      <c r="N11139" t="n">
        <v>0</v>
      </c>
      <c r="O11139" t="n">
        <v>0</v>
      </c>
      <c r="P11139" t="n">
        <v>0</v>
      </c>
      <c r="Q11139" t="n">
        <v>0</v>
      </c>
      <c r="R11139" s="2" t="inlineStr"/>
    </row>
    <row r="11140" ht="15" customHeight="1">
      <c r="A11140" t="inlineStr">
        <is>
          <t>A 50349-2024</t>
        </is>
      </c>
      <c r="B11140" s="1" t="n">
        <v>45600.81916666667</v>
      </c>
      <c r="C11140" s="1" t="n">
        <v>45952</v>
      </c>
      <c r="D11140" t="inlineStr">
        <is>
          <t>VÄSTRA GÖTALANDS LÄN</t>
        </is>
      </c>
      <c r="E11140" t="inlineStr">
        <is>
          <t>LILLA EDET</t>
        </is>
      </c>
      <c r="G11140" t="n">
        <v>1.7</v>
      </c>
      <c r="H11140" t="n">
        <v>0</v>
      </c>
      <c r="I11140" t="n">
        <v>0</v>
      </c>
      <c r="J11140" t="n">
        <v>0</v>
      </c>
      <c r="K11140" t="n">
        <v>0</v>
      </c>
      <c r="L11140" t="n">
        <v>0</v>
      </c>
      <c r="M11140" t="n">
        <v>0</v>
      </c>
      <c r="N11140" t="n">
        <v>0</v>
      </c>
      <c r="O11140" t="n">
        <v>0</v>
      </c>
      <c r="P11140" t="n">
        <v>0</v>
      </c>
      <c r="Q11140" t="n">
        <v>0</v>
      </c>
      <c r="R11140" s="2" t="inlineStr"/>
    </row>
    <row r="11141" ht="15" customHeight="1">
      <c r="A11141" t="inlineStr">
        <is>
          <t>A 52425-2024</t>
        </is>
      </c>
      <c r="B11141" s="1" t="n">
        <v>45609.47130787037</v>
      </c>
      <c r="C11141" s="1" t="n">
        <v>45952</v>
      </c>
      <c r="D11141" t="inlineStr">
        <is>
          <t>VÄSTRA GÖTALANDS LÄN</t>
        </is>
      </c>
      <c r="E11141" t="inlineStr">
        <is>
          <t>SVENLJUNGA</t>
        </is>
      </c>
      <c r="G11141" t="n">
        <v>3.9</v>
      </c>
      <c r="H11141" t="n">
        <v>0</v>
      </c>
      <c r="I11141" t="n">
        <v>0</v>
      </c>
      <c r="J11141" t="n">
        <v>0</v>
      </c>
      <c r="K11141" t="n">
        <v>0</v>
      </c>
      <c r="L11141" t="n">
        <v>0</v>
      </c>
      <c r="M11141" t="n">
        <v>0</v>
      </c>
      <c r="N11141" t="n">
        <v>0</v>
      </c>
      <c r="O11141" t="n">
        <v>0</v>
      </c>
      <c r="P11141" t="n">
        <v>0</v>
      </c>
      <c r="Q11141" t="n">
        <v>0</v>
      </c>
      <c r="R11141" s="2" t="inlineStr"/>
    </row>
    <row r="11142" ht="15" customHeight="1">
      <c r="A11142" t="inlineStr">
        <is>
          <t>A 34591-2022</t>
        </is>
      </c>
      <c r="B11142" s="1" t="n">
        <v>44795.3778587963</v>
      </c>
      <c r="C11142" s="1" t="n">
        <v>45952</v>
      </c>
      <c r="D11142" t="inlineStr">
        <is>
          <t>VÄSTRA GÖTALANDS LÄN</t>
        </is>
      </c>
      <c r="E11142" t="inlineStr">
        <is>
          <t>TJÖRN</t>
        </is>
      </c>
      <c r="G11142" t="n">
        <v>2.5</v>
      </c>
      <c r="H11142" t="n">
        <v>0</v>
      </c>
      <c r="I11142" t="n">
        <v>0</v>
      </c>
      <c r="J11142" t="n">
        <v>0</v>
      </c>
      <c r="K11142" t="n">
        <v>0</v>
      </c>
      <c r="L11142" t="n">
        <v>0</v>
      </c>
      <c r="M11142" t="n">
        <v>0</v>
      </c>
      <c r="N11142" t="n">
        <v>0</v>
      </c>
      <c r="O11142" t="n">
        <v>0</v>
      </c>
      <c r="P11142" t="n">
        <v>0</v>
      </c>
      <c r="Q11142" t="n">
        <v>0</v>
      </c>
      <c r="R11142" s="2" t="inlineStr"/>
    </row>
    <row r="11143" ht="15" customHeight="1">
      <c r="A11143" t="inlineStr">
        <is>
          <t>A 34670-2022</t>
        </is>
      </c>
      <c r="B11143" s="1" t="n">
        <v>44795.48201388889</v>
      </c>
      <c r="C11143" s="1" t="n">
        <v>45952</v>
      </c>
      <c r="D11143" t="inlineStr">
        <is>
          <t>VÄSTRA GÖTALANDS LÄN</t>
        </is>
      </c>
      <c r="E11143" t="inlineStr">
        <is>
          <t>KARLSBORG</t>
        </is>
      </c>
      <c r="F11143" t="inlineStr">
        <is>
          <t>Sveaskog</t>
        </is>
      </c>
      <c r="G11143" t="n">
        <v>1.4</v>
      </c>
      <c r="H11143" t="n">
        <v>0</v>
      </c>
      <c r="I11143" t="n">
        <v>0</v>
      </c>
      <c r="J11143" t="n">
        <v>0</v>
      </c>
      <c r="K11143" t="n">
        <v>0</v>
      </c>
      <c r="L11143" t="n">
        <v>0</v>
      </c>
      <c r="M11143" t="n">
        <v>0</v>
      </c>
      <c r="N11143" t="n">
        <v>0</v>
      </c>
      <c r="O11143" t="n">
        <v>0</v>
      </c>
      <c r="P11143" t="n">
        <v>0</v>
      </c>
      <c r="Q11143" t="n">
        <v>0</v>
      </c>
      <c r="R11143" s="2" t="inlineStr"/>
    </row>
    <row r="11144" ht="15" customHeight="1">
      <c r="A11144" t="inlineStr">
        <is>
          <t>A 8021-2024</t>
        </is>
      </c>
      <c r="B11144" s="1" t="n">
        <v>45350.92024305555</v>
      </c>
      <c r="C11144" s="1" t="n">
        <v>45952</v>
      </c>
      <c r="D11144" t="inlineStr">
        <is>
          <t>VÄSTRA GÖTALANDS LÄN</t>
        </is>
      </c>
      <c r="E11144" t="inlineStr">
        <is>
          <t>MARIESTAD</t>
        </is>
      </c>
      <c r="G11144" t="n">
        <v>2.6</v>
      </c>
      <c r="H11144" t="n">
        <v>0</v>
      </c>
      <c r="I11144" t="n">
        <v>0</v>
      </c>
      <c r="J11144" t="n">
        <v>0</v>
      </c>
      <c r="K11144" t="n">
        <v>0</v>
      </c>
      <c r="L11144" t="n">
        <v>0</v>
      </c>
      <c r="M11144" t="n">
        <v>0</v>
      </c>
      <c r="N11144" t="n">
        <v>0</v>
      </c>
      <c r="O11144" t="n">
        <v>0</v>
      </c>
      <c r="P11144" t="n">
        <v>0</v>
      </c>
      <c r="Q11144" t="n">
        <v>0</v>
      </c>
      <c r="R11144" s="2" t="inlineStr"/>
    </row>
    <row r="11145" ht="15" customHeight="1">
      <c r="A11145" t="inlineStr">
        <is>
          <t>A 28255-2023</t>
        </is>
      </c>
      <c r="B11145" s="1" t="n">
        <v>45099.60644675926</v>
      </c>
      <c r="C11145" s="1" t="n">
        <v>45952</v>
      </c>
      <c r="D11145" t="inlineStr">
        <is>
          <t>VÄSTRA GÖTALANDS LÄN</t>
        </is>
      </c>
      <c r="E11145" t="inlineStr">
        <is>
          <t>HERRLJUNGA</t>
        </is>
      </c>
      <c r="G11145" t="n">
        <v>3.4</v>
      </c>
      <c r="H11145" t="n">
        <v>0</v>
      </c>
      <c r="I11145" t="n">
        <v>0</v>
      </c>
      <c r="J11145" t="n">
        <v>0</v>
      </c>
      <c r="K11145" t="n">
        <v>0</v>
      </c>
      <c r="L11145" t="n">
        <v>0</v>
      </c>
      <c r="M11145" t="n">
        <v>0</v>
      </c>
      <c r="N11145" t="n">
        <v>0</v>
      </c>
      <c r="O11145" t="n">
        <v>0</v>
      </c>
      <c r="P11145" t="n">
        <v>0</v>
      </c>
      <c r="Q11145" t="n">
        <v>0</v>
      </c>
      <c r="R11145" s="2" t="inlineStr"/>
    </row>
    <row r="11146" ht="15" customHeight="1">
      <c r="A11146" t="inlineStr">
        <is>
          <t>A 6991-2021</t>
        </is>
      </c>
      <c r="B11146" s="1" t="n">
        <v>44237</v>
      </c>
      <c r="C11146" s="1" t="n">
        <v>45952</v>
      </c>
      <c r="D11146" t="inlineStr">
        <is>
          <t>VÄSTRA GÖTALANDS LÄN</t>
        </is>
      </c>
      <c r="E11146" t="inlineStr">
        <is>
          <t>LIDKÖPING</t>
        </is>
      </c>
      <c r="G11146" t="n">
        <v>1.6</v>
      </c>
      <c r="H11146" t="n">
        <v>0</v>
      </c>
      <c r="I11146" t="n">
        <v>0</v>
      </c>
      <c r="J11146" t="n">
        <v>0</v>
      </c>
      <c r="K11146" t="n">
        <v>0</v>
      </c>
      <c r="L11146" t="n">
        <v>0</v>
      </c>
      <c r="M11146" t="n">
        <v>0</v>
      </c>
      <c r="N11146" t="n">
        <v>0</v>
      </c>
      <c r="O11146" t="n">
        <v>0</v>
      </c>
      <c r="P11146" t="n">
        <v>0</v>
      </c>
      <c r="Q11146" t="n">
        <v>0</v>
      </c>
      <c r="R11146" s="2" t="inlineStr"/>
    </row>
    <row r="11147" ht="15" customHeight="1">
      <c r="A11147" t="inlineStr">
        <is>
          <t>A 59022-2023</t>
        </is>
      </c>
      <c r="B11147" s="1" t="n">
        <v>45252</v>
      </c>
      <c r="C11147" s="1" t="n">
        <v>45952</v>
      </c>
      <c r="D11147" t="inlineStr">
        <is>
          <t>VÄSTRA GÖTALANDS LÄN</t>
        </is>
      </c>
      <c r="E11147" t="inlineStr">
        <is>
          <t>FÄRGELANDA</t>
        </is>
      </c>
      <c r="G11147" t="n">
        <v>0.5</v>
      </c>
      <c r="H11147" t="n">
        <v>0</v>
      </c>
      <c r="I11147" t="n">
        <v>0</v>
      </c>
      <c r="J11147" t="n">
        <v>0</v>
      </c>
      <c r="K11147" t="n">
        <v>0</v>
      </c>
      <c r="L11147" t="n">
        <v>0</v>
      </c>
      <c r="M11147" t="n">
        <v>0</v>
      </c>
      <c r="N11147" t="n">
        <v>0</v>
      </c>
      <c r="O11147" t="n">
        <v>0</v>
      </c>
      <c r="P11147" t="n">
        <v>0</v>
      </c>
      <c r="Q11147" t="n">
        <v>0</v>
      </c>
      <c r="R11147" s="2" t="inlineStr"/>
    </row>
    <row r="11148" ht="15" customHeight="1">
      <c r="A11148" t="inlineStr">
        <is>
          <t>A 59025-2023</t>
        </is>
      </c>
      <c r="B11148" s="1" t="n">
        <v>45252</v>
      </c>
      <c r="C11148" s="1" t="n">
        <v>45952</v>
      </c>
      <c r="D11148" t="inlineStr">
        <is>
          <t>VÄSTRA GÖTALANDS LÄN</t>
        </is>
      </c>
      <c r="E11148" t="inlineStr">
        <is>
          <t>FÄRGELANDA</t>
        </is>
      </c>
      <c r="G11148" t="n">
        <v>44.5</v>
      </c>
      <c r="H11148" t="n">
        <v>0</v>
      </c>
      <c r="I11148" t="n">
        <v>0</v>
      </c>
      <c r="J11148" t="n">
        <v>0</v>
      </c>
      <c r="K11148" t="n">
        <v>0</v>
      </c>
      <c r="L11148" t="n">
        <v>0</v>
      </c>
      <c r="M11148" t="n">
        <v>0</v>
      </c>
      <c r="N11148" t="n">
        <v>0</v>
      </c>
      <c r="O11148" t="n">
        <v>0</v>
      </c>
      <c r="P11148" t="n">
        <v>0</v>
      </c>
      <c r="Q11148" t="n">
        <v>0</v>
      </c>
      <c r="R11148" s="2" t="inlineStr"/>
    </row>
    <row r="11149" ht="15" customHeight="1">
      <c r="A11149" t="inlineStr">
        <is>
          <t>A 59036-2023</t>
        </is>
      </c>
      <c r="B11149" s="1" t="n">
        <v>45252</v>
      </c>
      <c r="C11149" s="1" t="n">
        <v>45952</v>
      </c>
      <c r="D11149" t="inlineStr">
        <is>
          <t>VÄSTRA GÖTALANDS LÄN</t>
        </is>
      </c>
      <c r="E11149" t="inlineStr">
        <is>
          <t>ULRICEHAMN</t>
        </is>
      </c>
      <c r="G11149" t="n">
        <v>0.9</v>
      </c>
      <c r="H11149" t="n">
        <v>0</v>
      </c>
      <c r="I11149" t="n">
        <v>0</v>
      </c>
      <c r="J11149" t="n">
        <v>0</v>
      </c>
      <c r="K11149" t="n">
        <v>0</v>
      </c>
      <c r="L11149" t="n">
        <v>0</v>
      </c>
      <c r="M11149" t="n">
        <v>0</v>
      </c>
      <c r="N11149" t="n">
        <v>0</v>
      </c>
      <c r="O11149" t="n">
        <v>0</v>
      </c>
      <c r="P11149" t="n">
        <v>0</v>
      </c>
      <c r="Q11149" t="n">
        <v>0</v>
      </c>
      <c r="R11149" s="2" t="inlineStr"/>
    </row>
    <row r="11150" ht="15" customHeight="1">
      <c r="A11150" t="inlineStr">
        <is>
          <t>A 51106-2025</t>
        </is>
      </c>
      <c r="B11150" s="1" t="n">
        <v>45947.49642361111</v>
      </c>
      <c r="C11150" s="1" t="n">
        <v>45952</v>
      </c>
      <c r="D11150" t="inlineStr">
        <is>
          <t>VÄSTRA GÖTALANDS LÄN</t>
        </is>
      </c>
      <c r="E11150" t="inlineStr">
        <is>
          <t>BENGTSFORS</t>
        </is>
      </c>
      <c r="G11150" t="n">
        <v>3.9</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4765-2025</t>
        </is>
      </c>
      <c r="B11151" s="1" t="n">
        <v>45688.48753472222</v>
      </c>
      <c r="C11151" s="1" t="n">
        <v>45952</v>
      </c>
      <c r="D11151" t="inlineStr">
        <is>
          <t>VÄSTRA GÖTALANDS LÄN</t>
        </is>
      </c>
      <c r="E11151" t="inlineStr">
        <is>
          <t>BORÅS</t>
        </is>
      </c>
      <c r="G11151" t="n">
        <v>3.8</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46384-2025</t>
        </is>
      </c>
      <c r="B11152" s="1" t="n">
        <v>45925</v>
      </c>
      <c r="C11152" s="1" t="n">
        <v>45952</v>
      </c>
      <c r="D11152" t="inlineStr">
        <is>
          <t>VÄSTRA GÖTALANDS LÄN</t>
        </is>
      </c>
      <c r="E11152" t="inlineStr">
        <is>
          <t>MÖLNDAL</t>
        </is>
      </c>
      <c r="G11152" t="n">
        <v>3.1</v>
      </c>
      <c r="H11152" t="n">
        <v>0</v>
      </c>
      <c r="I11152" t="n">
        <v>0</v>
      </c>
      <c r="J11152" t="n">
        <v>0</v>
      </c>
      <c r="K11152" t="n">
        <v>0</v>
      </c>
      <c r="L11152" t="n">
        <v>0</v>
      </c>
      <c r="M11152" t="n">
        <v>0</v>
      </c>
      <c r="N11152" t="n">
        <v>0</v>
      </c>
      <c r="O11152" t="n">
        <v>0</v>
      </c>
      <c r="P11152" t="n">
        <v>0</v>
      </c>
      <c r="Q11152" t="n">
        <v>0</v>
      </c>
      <c r="R11152" s="2" t="inlineStr"/>
    </row>
    <row r="11153" ht="15" customHeight="1">
      <c r="A11153" t="inlineStr">
        <is>
          <t>A 4812-2025</t>
        </is>
      </c>
      <c r="B11153" s="1" t="n">
        <v>45688.61510416667</v>
      </c>
      <c r="C11153" s="1" t="n">
        <v>45952</v>
      </c>
      <c r="D11153" t="inlineStr">
        <is>
          <t>VÄSTRA GÖTALANDS LÄN</t>
        </is>
      </c>
      <c r="E11153" t="inlineStr">
        <is>
          <t>VARA</t>
        </is>
      </c>
      <c r="F11153" t="inlineStr">
        <is>
          <t>Sveaskog</t>
        </is>
      </c>
      <c r="G11153" t="n">
        <v>0.7</v>
      </c>
      <c r="H11153" t="n">
        <v>0</v>
      </c>
      <c r="I11153" t="n">
        <v>0</v>
      </c>
      <c r="J11153" t="n">
        <v>0</v>
      </c>
      <c r="K11153" t="n">
        <v>0</v>
      </c>
      <c r="L11153" t="n">
        <v>0</v>
      </c>
      <c r="M11153" t="n">
        <v>0</v>
      </c>
      <c r="N11153" t="n">
        <v>0</v>
      </c>
      <c r="O11153" t="n">
        <v>0</v>
      </c>
      <c r="P11153" t="n">
        <v>0</v>
      </c>
      <c r="Q11153" t="n">
        <v>0</v>
      </c>
      <c r="R11153" s="2" t="inlineStr"/>
    </row>
    <row r="11154" ht="15" customHeight="1">
      <c r="A11154" t="inlineStr">
        <is>
          <t>A 38114-2022</t>
        </is>
      </c>
      <c r="B11154" s="1" t="n">
        <v>44812.31384259259</v>
      </c>
      <c r="C11154" s="1" t="n">
        <v>45952</v>
      </c>
      <c r="D11154" t="inlineStr">
        <is>
          <t>VÄSTRA GÖTALANDS LÄN</t>
        </is>
      </c>
      <c r="E11154" t="inlineStr">
        <is>
          <t>MARIESTAD</t>
        </is>
      </c>
      <c r="G11154" t="n">
        <v>4.6</v>
      </c>
      <c r="H11154" t="n">
        <v>0</v>
      </c>
      <c r="I11154" t="n">
        <v>0</v>
      </c>
      <c r="J11154" t="n">
        <v>0</v>
      </c>
      <c r="K11154" t="n">
        <v>0</v>
      </c>
      <c r="L11154" t="n">
        <v>0</v>
      </c>
      <c r="M11154" t="n">
        <v>0</v>
      </c>
      <c r="N11154" t="n">
        <v>0</v>
      </c>
      <c r="O11154" t="n">
        <v>0</v>
      </c>
      <c r="P11154" t="n">
        <v>0</v>
      </c>
      <c r="Q11154" t="n">
        <v>0</v>
      </c>
      <c r="R11154" s="2" t="inlineStr"/>
    </row>
    <row r="11155" ht="15" customHeight="1">
      <c r="A11155" t="inlineStr">
        <is>
          <t>A 51212-2025</t>
        </is>
      </c>
      <c r="B11155" s="1" t="n">
        <v>45947.64262731482</v>
      </c>
      <c r="C11155" s="1" t="n">
        <v>45952</v>
      </c>
      <c r="D11155" t="inlineStr">
        <is>
          <t>VÄSTRA GÖTALANDS LÄN</t>
        </is>
      </c>
      <c r="E11155" t="inlineStr">
        <is>
          <t>VARA</t>
        </is>
      </c>
      <c r="G11155" t="n">
        <v>0.6</v>
      </c>
      <c r="H11155" t="n">
        <v>0</v>
      </c>
      <c r="I11155" t="n">
        <v>0</v>
      </c>
      <c r="J11155" t="n">
        <v>0</v>
      </c>
      <c r="K11155" t="n">
        <v>0</v>
      </c>
      <c r="L11155" t="n">
        <v>0</v>
      </c>
      <c r="M11155" t="n">
        <v>0</v>
      </c>
      <c r="N11155" t="n">
        <v>0</v>
      </c>
      <c r="O11155" t="n">
        <v>0</v>
      </c>
      <c r="P11155" t="n">
        <v>0</v>
      </c>
      <c r="Q11155" t="n">
        <v>0</v>
      </c>
      <c r="R11155" s="2" t="inlineStr"/>
    </row>
    <row r="11156" ht="15" customHeight="1">
      <c r="A11156" t="inlineStr">
        <is>
          <t>A 27845-2023</t>
        </is>
      </c>
      <c r="B11156" s="1" t="n">
        <v>45098.55438657408</v>
      </c>
      <c r="C11156" s="1" t="n">
        <v>45952</v>
      </c>
      <c r="D11156" t="inlineStr">
        <is>
          <t>VÄSTRA GÖTALANDS LÄN</t>
        </is>
      </c>
      <c r="E11156" t="inlineStr">
        <is>
          <t>VARA</t>
        </is>
      </c>
      <c r="G11156" t="n">
        <v>3.4</v>
      </c>
      <c r="H11156" t="n">
        <v>0</v>
      </c>
      <c r="I11156" t="n">
        <v>0</v>
      </c>
      <c r="J11156" t="n">
        <v>0</v>
      </c>
      <c r="K11156" t="n">
        <v>0</v>
      </c>
      <c r="L11156" t="n">
        <v>0</v>
      </c>
      <c r="M11156" t="n">
        <v>0</v>
      </c>
      <c r="N11156" t="n">
        <v>0</v>
      </c>
      <c r="O11156" t="n">
        <v>0</v>
      </c>
      <c r="P11156" t="n">
        <v>0</v>
      </c>
      <c r="Q11156" t="n">
        <v>0</v>
      </c>
      <c r="R11156" s="2" t="inlineStr"/>
    </row>
    <row r="11157" ht="15" customHeight="1">
      <c r="A11157" t="inlineStr">
        <is>
          <t>A 143-2023</t>
        </is>
      </c>
      <c r="B11157" s="1" t="n">
        <v>44928.53378472223</v>
      </c>
      <c r="C11157" s="1" t="n">
        <v>45952</v>
      </c>
      <c r="D11157" t="inlineStr">
        <is>
          <t>VÄSTRA GÖTALANDS LÄN</t>
        </is>
      </c>
      <c r="E11157" t="inlineStr">
        <is>
          <t>KUNGÄLV</t>
        </is>
      </c>
      <c r="G11157" t="n">
        <v>0.5</v>
      </c>
      <c r="H11157" t="n">
        <v>0</v>
      </c>
      <c r="I11157" t="n">
        <v>0</v>
      </c>
      <c r="J11157" t="n">
        <v>0</v>
      </c>
      <c r="K11157" t="n">
        <v>0</v>
      </c>
      <c r="L11157" t="n">
        <v>0</v>
      </c>
      <c r="M11157" t="n">
        <v>0</v>
      </c>
      <c r="N11157" t="n">
        <v>0</v>
      </c>
      <c r="O11157" t="n">
        <v>0</v>
      </c>
      <c r="P11157" t="n">
        <v>0</v>
      </c>
      <c r="Q11157" t="n">
        <v>0</v>
      </c>
      <c r="R11157" s="2" t="inlineStr"/>
    </row>
    <row r="11158" ht="15" customHeight="1">
      <c r="A11158" t="inlineStr">
        <is>
          <t>A 39659-2024</t>
        </is>
      </c>
      <c r="B11158" s="1" t="n">
        <v>45552.4934375</v>
      </c>
      <c r="C11158" s="1" t="n">
        <v>45952</v>
      </c>
      <c r="D11158" t="inlineStr">
        <is>
          <t>VÄSTRA GÖTALANDS LÄN</t>
        </is>
      </c>
      <c r="E11158" t="inlineStr">
        <is>
          <t>TÖREBODA</t>
        </is>
      </c>
      <c r="G11158" t="n">
        <v>2.4</v>
      </c>
      <c r="H11158" t="n">
        <v>0</v>
      </c>
      <c r="I11158" t="n">
        <v>0</v>
      </c>
      <c r="J11158" t="n">
        <v>0</v>
      </c>
      <c r="K11158" t="n">
        <v>0</v>
      </c>
      <c r="L11158" t="n">
        <v>0</v>
      </c>
      <c r="M11158" t="n">
        <v>0</v>
      </c>
      <c r="N11158" t="n">
        <v>0</v>
      </c>
      <c r="O11158" t="n">
        <v>0</v>
      </c>
      <c r="P11158" t="n">
        <v>0</v>
      </c>
      <c r="Q11158" t="n">
        <v>0</v>
      </c>
      <c r="R11158" s="2" t="inlineStr"/>
    </row>
    <row r="11159" ht="15" customHeight="1">
      <c r="A11159" t="inlineStr">
        <is>
          <t>A 31212-2022</t>
        </is>
      </c>
      <c r="B11159" s="1" t="n">
        <v>44771.35465277778</v>
      </c>
      <c r="C11159" s="1" t="n">
        <v>45952</v>
      </c>
      <c r="D11159" t="inlineStr">
        <is>
          <t>VÄSTRA GÖTALANDS LÄN</t>
        </is>
      </c>
      <c r="E11159" t="inlineStr">
        <is>
          <t>ULRICEHAMN</t>
        </is>
      </c>
      <c r="G11159" t="n">
        <v>5.1</v>
      </c>
      <c r="H11159" t="n">
        <v>0</v>
      </c>
      <c r="I11159" t="n">
        <v>0</v>
      </c>
      <c r="J11159" t="n">
        <v>0</v>
      </c>
      <c r="K11159" t="n">
        <v>0</v>
      </c>
      <c r="L11159" t="n">
        <v>0</v>
      </c>
      <c r="M11159" t="n">
        <v>0</v>
      </c>
      <c r="N11159" t="n">
        <v>0</v>
      </c>
      <c r="O11159" t="n">
        <v>0</v>
      </c>
      <c r="P11159" t="n">
        <v>0</v>
      </c>
      <c r="Q11159" t="n">
        <v>0</v>
      </c>
      <c r="R11159" s="2" t="inlineStr"/>
    </row>
    <row r="11160" ht="15" customHeight="1">
      <c r="A11160" t="inlineStr">
        <is>
          <t>A 34843-2024</t>
        </is>
      </c>
      <c r="B11160" s="1" t="n">
        <v>45526</v>
      </c>
      <c r="C11160" s="1" t="n">
        <v>45952</v>
      </c>
      <c r="D11160" t="inlineStr">
        <is>
          <t>VÄSTRA GÖTALANDS LÄN</t>
        </is>
      </c>
      <c r="E11160" t="inlineStr">
        <is>
          <t>TIDAHOLM</t>
        </is>
      </c>
      <c r="G11160" t="n">
        <v>0.9</v>
      </c>
      <c r="H11160" t="n">
        <v>0</v>
      </c>
      <c r="I11160" t="n">
        <v>0</v>
      </c>
      <c r="J11160" t="n">
        <v>0</v>
      </c>
      <c r="K11160" t="n">
        <v>0</v>
      </c>
      <c r="L11160" t="n">
        <v>0</v>
      </c>
      <c r="M11160" t="n">
        <v>0</v>
      </c>
      <c r="N11160" t="n">
        <v>0</v>
      </c>
      <c r="O11160" t="n">
        <v>0</v>
      </c>
      <c r="P11160" t="n">
        <v>0</v>
      </c>
      <c r="Q11160" t="n">
        <v>0</v>
      </c>
      <c r="R11160" s="2" t="inlineStr"/>
    </row>
    <row r="11161" ht="15" customHeight="1">
      <c r="A11161" t="inlineStr">
        <is>
          <t>A 564-2021</t>
        </is>
      </c>
      <c r="B11161" s="1" t="n">
        <v>44203</v>
      </c>
      <c r="C11161" s="1" t="n">
        <v>45952</v>
      </c>
      <c r="D11161" t="inlineStr">
        <is>
          <t>VÄSTRA GÖTALANDS LÄN</t>
        </is>
      </c>
      <c r="E11161" t="inlineStr">
        <is>
          <t>ESSUNGA</t>
        </is>
      </c>
      <c r="G11161" t="n">
        <v>0.8</v>
      </c>
      <c r="H11161" t="n">
        <v>0</v>
      </c>
      <c r="I11161" t="n">
        <v>0</v>
      </c>
      <c r="J11161" t="n">
        <v>0</v>
      </c>
      <c r="K11161" t="n">
        <v>0</v>
      </c>
      <c r="L11161" t="n">
        <v>0</v>
      </c>
      <c r="M11161" t="n">
        <v>0</v>
      </c>
      <c r="N11161" t="n">
        <v>0</v>
      </c>
      <c r="O11161" t="n">
        <v>0</v>
      </c>
      <c r="P11161" t="n">
        <v>0</v>
      </c>
      <c r="Q11161" t="n">
        <v>0</v>
      </c>
      <c r="R11161" s="2" t="inlineStr"/>
    </row>
    <row r="11162" ht="15" customHeight="1">
      <c r="A11162" t="inlineStr">
        <is>
          <t>A 572-2021</t>
        </is>
      </c>
      <c r="B11162" s="1" t="n">
        <v>44203</v>
      </c>
      <c r="C11162" s="1" t="n">
        <v>45952</v>
      </c>
      <c r="D11162" t="inlineStr">
        <is>
          <t>VÄSTRA GÖTALANDS LÄN</t>
        </is>
      </c>
      <c r="E11162" t="inlineStr">
        <is>
          <t>ESSUNGA</t>
        </is>
      </c>
      <c r="G11162" t="n">
        <v>0.6</v>
      </c>
      <c r="H11162" t="n">
        <v>0</v>
      </c>
      <c r="I11162" t="n">
        <v>0</v>
      </c>
      <c r="J11162" t="n">
        <v>0</v>
      </c>
      <c r="K11162" t="n">
        <v>0</v>
      </c>
      <c r="L11162" t="n">
        <v>0</v>
      </c>
      <c r="M11162" t="n">
        <v>0</v>
      </c>
      <c r="N11162" t="n">
        <v>0</v>
      </c>
      <c r="O11162" t="n">
        <v>0</v>
      </c>
      <c r="P11162" t="n">
        <v>0</v>
      </c>
      <c r="Q11162" t="n">
        <v>0</v>
      </c>
      <c r="R11162" s="2" t="inlineStr"/>
    </row>
    <row r="11163" ht="15" customHeight="1">
      <c r="A11163" t="inlineStr">
        <is>
          <t>A 51003-2025</t>
        </is>
      </c>
      <c r="B11163" s="1" t="n">
        <v>45947.36222222223</v>
      </c>
      <c r="C11163" s="1" t="n">
        <v>45952</v>
      </c>
      <c r="D11163" t="inlineStr">
        <is>
          <t>VÄSTRA GÖTALANDS LÄN</t>
        </is>
      </c>
      <c r="E11163" t="inlineStr">
        <is>
          <t>BENGTSFORS</t>
        </is>
      </c>
      <c r="G11163" t="n">
        <v>2.9</v>
      </c>
      <c r="H11163" t="n">
        <v>0</v>
      </c>
      <c r="I11163" t="n">
        <v>0</v>
      </c>
      <c r="J11163" t="n">
        <v>0</v>
      </c>
      <c r="K11163" t="n">
        <v>0</v>
      </c>
      <c r="L11163" t="n">
        <v>0</v>
      </c>
      <c r="M11163" t="n">
        <v>0</v>
      </c>
      <c r="N11163" t="n">
        <v>0</v>
      </c>
      <c r="O11163" t="n">
        <v>0</v>
      </c>
      <c r="P11163" t="n">
        <v>0</v>
      </c>
      <c r="Q11163" t="n">
        <v>0</v>
      </c>
      <c r="R11163" s="2" t="inlineStr"/>
    </row>
    <row r="11164" ht="15" customHeight="1">
      <c r="A11164" t="inlineStr">
        <is>
          <t>A 51009-2025</t>
        </is>
      </c>
      <c r="B11164" s="1" t="n">
        <v>45947.37550925926</v>
      </c>
      <c r="C11164" s="1" t="n">
        <v>45952</v>
      </c>
      <c r="D11164" t="inlineStr">
        <is>
          <t>VÄSTRA GÖTALANDS LÄN</t>
        </is>
      </c>
      <c r="E11164" t="inlineStr">
        <is>
          <t>HÄRRYDA</t>
        </is>
      </c>
      <c r="G11164" t="n">
        <v>2.9</v>
      </c>
      <c r="H11164" t="n">
        <v>0</v>
      </c>
      <c r="I11164" t="n">
        <v>0</v>
      </c>
      <c r="J11164" t="n">
        <v>0</v>
      </c>
      <c r="K11164" t="n">
        <v>0</v>
      </c>
      <c r="L11164" t="n">
        <v>0</v>
      </c>
      <c r="M11164" t="n">
        <v>0</v>
      </c>
      <c r="N11164" t="n">
        <v>0</v>
      </c>
      <c r="O11164" t="n">
        <v>0</v>
      </c>
      <c r="P11164" t="n">
        <v>0</v>
      </c>
      <c r="Q11164" t="n">
        <v>0</v>
      </c>
      <c r="R11164" s="2" t="inlineStr"/>
    </row>
    <row r="11165" ht="15" customHeight="1">
      <c r="A11165" t="inlineStr">
        <is>
          <t>A 11655-2023</t>
        </is>
      </c>
      <c r="B11165" s="1" t="n">
        <v>44994.45974537037</v>
      </c>
      <c r="C11165" s="1" t="n">
        <v>45952</v>
      </c>
      <c r="D11165" t="inlineStr">
        <is>
          <t>VÄSTRA GÖTALANDS LÄN</t>
        </is>
      </c>
      <c r="E11165" t="inlineStr">
        <is>
          <t>MARK</t>
        </is>
      </c>
      <c r="G11165" t="n">
        <v>0.4</v>
      </c>
      <c r="H11165" t="n">
        <v>0</v>
      </c>
      <c r="I11165" t="n">
        <v>0</v>
      </c>
      <c r="J11165" t="n">
        <v>0</v>
      </c>
      <c r="K11165" t="n">
        <v>0</v>
      </c>
      <c r="L11165" t="n">
        <v>0</v>
      </c>
      <c r="M11165" t="n">
        <v>0</v>
      </c>
      <c r="N11165" t="n">
        <v>0</v>
      </c>
      <c r="O11165" t="n">
        <v>0</v>
      </c>
      <c r="P11165" t="n">
        <v>0</v>
      </c>
      <c r="Q11165" t="n">
        <v>0</v>
      </c>
      <c r="R11165" s="2" t="inlineStr"/>
    </row>
    <row r="11166" ht="15" customHeight="1">
      <c r="A11166" t="inlineStr">
        <is>
          <t>A 45588-2022</t>
        </is>
      </c>
      <c r="B11166" s="1" t="n">
        <v>44845.54098379629</v>
      </c>
      <c r="C11166" s="1" t="n">
        <v>45952</v>
      </c>
      <c r="D11166" t="inlineStr">
        <is>
          <t>VÄSTRA GÖTALANDS LÄN</t>
        </is>
      </c>
      <c r="E11166" t="inlineStr">
        <is>
          <t>TIBRO</t>
        </is>
      </c>
      <c r="G11166" t="n">
        <v>1.9</v>
      </c>
      <c r="H11166" t="n">
        <v>0</v>
      </c>
      <c r="I11166" t="n">
        <v>0</v>
      </c>
      <c r="J11166" t="n">
        <v>0</v>
      </c>
      <c r="K11166" t="n">
        <v>0</v>
      </c>
      <c r="L11166" t="n">
        <v>0</v>
      </c>
      <c r="M11166" t="n">
        <v>0</v>
      </c>
      <c r="N11166" t="n">
        <v>0</v>
      </c>
      <c r="O11166" t="n">
        <v>0</v>
      </c>
      <c r="P11166" t="n">
        <v>0</v>
      </c>
      <c r="Q11166" t="n">
        <v>0</v>
      </c>
      <c r="R11166" s="2" t="inlineStr"/>
    </row>
    <row r="11167" ht="15" customHeight="1">
      <c r="A11167" t="inlineStr">
        <is>
          <t>A 58257-2023</t>
        </is>
      </c>
      <c r="B11167" s="1" t="n">
        <v>45250.48587962963</v>
      </c>
      <c r="C11167" s="1" t="n">
        <v>45952</v>
      </c>
      <c r="D11167" t="inlineStr">
        <is>
          <t>VÄSTRA GÖTALANDS LÄN</t>
        </is>
      </c>
      <c r="E11167" t="inlineStr">
        <is>
          <t>FALKÖPING</t>
        </is>
      </c>
      <c r="G11167" t="n">
        <v>0.5</v>
      </c>
      <c r="H11167" t="n">
        <v>0</v>
      </c>
      <c r="I11167" t="n">
        <v>0</v>
      </c>
      <c r="J11167" t="n">
        <v>0</v>
      </c>
      <c r="K11167" t="n">
        <v>0</v>
      </c>
      <c r="L11167" t="n">
        <v>0</v>
      </c>
      <c r="M11167" t="n">
        <v>0</v>
      </c>
      <c r="N11167" t="n">
        <v>0</v>
      </c>
      <c r="O11167" t="n">
        <v>0</v>
      </c>
      <c r="P11167" t="n">
        <v>0</v>
      </c>
      <c r="Q11167" t="n">
        <v>0</v>
      </c>
      <c r="R11167" s="2" t="inlineStr"/>
    </row>
    <row r="11168" ht="15" customHeight="1">
      <c r="A11168" t="inlineStr">
        <is>
          <t>A 1885-2025</t>
        </is>
      </c>
      <c r="B11168" s="1" t="n">
        <v>45671.63178240741</v>
      </c>
      <c r="C11168" s="1" t="n">
        <v>45952</v>
      </c>
      <c r="D11168" t="inlineStr">
        <is>
          <t>VÄSTRA GÖTALANDS LÄN</t>
        </is>
      </c>
      <c r="E11168" t="inlineStr">
        <is>
          <t>BORÅS</t>
        </is>
      </c>
      <c r="G11168" t="n">
        <v>2.1</v>
      </c>
      <c r="H11168" t="n">
        <v>0</v>
      </c>
      <c r="I11168" t="n">
        <v>0</v>
      </c>
      <c r="J11168" t="n">
        <v>0</v>
      </c>
      <c r="K11168" t="n">
        <v>0</v>
      </c>
      <c r="L11168" t="n">
        <v>0</v>
      </c>
      <c r="M11168" t="n">
        <v>0</v>
      </c>
      <c r="N11168" t="n">
        <v>0</v>
      </c>
      <c r="O11168" t="n">
        <v>0</v>
      </c>
      <c r="P11168" t="n">
        <v>0</v>
      </c>
      <c r="Q11168" t="n">
        <v>0</v>
      </c>
      <c r="R11168" s="2" t="inlineStr"/>
    </row>
    <row r="11169" ht="15" customHeight="1">
      <c r="A11169" t="inlineStr">
        <is>
          <t>A 42307-2025</t>
        </is>
      </c>
      <c r="B11169" s="1" t="n">
        <v>45904.65253472222</v>
      </c>
      <c r="C11169" s="1" t="n">
        <v>45952</v>
      </c>
      <c r="D11169" t="inlineStr">
        <is>
          <t>VÄSTRA GÖTALANDS LÄN</t>
        </is>
      </c>
      <c r="E11169" t="inlineStr">
        <is>
          <t>HÄRRYDA</t>
        </is>
      </c>
      <c r="G11169" t="n">
        <v>2.4</v>
      </c>
      <c r="H11169" t="n">
        <v>0</v>
      </c>
      <c r="I11169" t="n">
        <v>0</v>
      </c>
      <c r="J11169" t="n">
        <v>0</v>
      </c>
      <c r="K11169" t="n">
        <v>0</v>
      </c>
      <c r="L11169" t="n">
        <v>0</v>
      </c>
      <c r="M11169" t="n">
        <v>0</v>
      </c>
      <c r="N11169" t="n">
        <v>0</v>
      </c>
      <c r="O11169" t="n">
        <v>0</v>
      </c>
      <c r="P11169" t="n">
        <v>0</v>
      </c>
      <c r="Q11169" t="n">
        <v>0</v>
      </c>
      <c r="R11169" s="2" t="inlineStr"/>
    </row>
    <row r="11170" ht="15" customHeight="1">
      <c r="A11170" t="inlineStr">
        <is>
          <t>A 950-2024</t>
        </is>
      </c>
      <c r="B11170" s="1" t="n">
        <v>45301</v>
      </c>
      <c r="C11170" s="1" t="n">
        <v>45952</v>
      </c>
      <c r="D11170" t="inlineStr">
        <is>
          <t>VÄSTRA GÖTALANDS LÄN</t>
        </is>
      </c>
      <c r="E11170" t="inlineStr">
        <is>
          <t>SKÖVDE</t>
        </is>
      </c>
      <c r="G11170" t="n">
        <v>0.7</v>
      </c>
      <c r="H11170" t="n">
        <v>0</v>
      </c>
      <c r="I11170" t="n">
        <v>0</v>
      </c>
      <c r="J11170" t="n">
        <v>0</v>
      </c>
      <c r="K11170" t="n">
        <v>0</v>
      </c>
      <c r="L11170" t="n">
        <v>0</v>
      </c>
      <c r="M11170" t="n">
        <v>0</v>
      </c>
      <c r="N11170" t="n">
        <v>0</v>
      </c>
      <c r="O11170" t="n">
        <v>0</v>
      </c>
      <c r="P11170" t="n">
        <v>0</v>
      </c>
      <c r="Q11170" t="n">
        <v>0</v>
      </c>
      <c r="R11170" s="2" t="inlineStr"/>
    </row>
    <row r="11171" ht="15" customHeight="1">
      <c r="A11171" t="inlineStr">
        <is>
          <t>A 5326-2024</t>
        </is>
      </c>
      <c r="B11171" s="1" t="n">
        <v>45331.41356481481</v>
      </c>
      <c r="C11171" s="1" t="n">
        <v>45952</v>
      </c>
      <c r="D11171" t="inlineStr">
        <is>
          <t>VÄSTRA GÖTALANDS LÄN</t>
        </is>
      </c>
      <c r="E11171" t="inlineStr">
        <is>
          <t>STRÖMSTAD</t>
        </is>
      </c>
      <c r="G11171" t="n">
        <v>1.1</v>
      </c>
      <c r="H11171" t="n">
        <v>0</v>
      </c>
      <c r="I11171" t="n">
        <v>0</v>
      </c>
      <c r="J11171" t="n">
        <v>0</v>
      </c>
      <c r="K11171" t="n">
        <v>0</v>
      </c>
      <c r="L11171" t="n">
        <v>0</v>
      </c>
      <c r="M11171" t="n">
        <v>0</v>
      </c>
      <c r="N11171" t="n">
        <v>0</v>
      </c>
      <c r="O11171" t="n">
        <v>0</v>
      </c>
      <c r="P11171" t="n">
        <v>0</v>
      </c>
      <c r="Q11171" t="n">
        <v>0</v>
      </c>
      <c r="R11171" s="2" t="inlineStr"/>
    </row>
    <row r="11172" ht="15" customHeight="1">
      <c r="A11172" t="inlineStr">
        <is>
          <t>A 54087-2021</t>
        </is>
      </c>
      <c r="B11172" s="1" t="n">
        <v>44470</v>
      </c>
      <c r="C11172" s="1" t="n">
        <v>45952</v>
      </c>
      <c r="D11172" t="inlineStr">
        <is>
          <t>VÄSTRA GÖTALANDS LÄN</t>
        </is>
      </c>
      <c r="E11172" t="inlineStr">
        <is>
          <t>TROLLHÄTTAN</t>
        </is>
      </c>
      <c r="F11172" t="inlineStr">
        <is>
          <t>Kommuner</t>
        </is>
      </c>
      <c r="G11172" t="n">
        <v>2.1</v>
      </c>
      <c r="H11172" t="n">
        <v>0</v>
      </c>
      <c r="I11172" t="n">
        <v>0</v>
      </c>
      <c r="J11172" t="n">
        <v>0</v>
      </c>
      <c r="K11172" t="n">
        <v>0</v>
      </c>
      <c r="L11172" t="n">
        <v>0</v>
      </c>
      <c r="M11172" t="n">
        <v>0</v>
      </c>
      <c r="N11172" t="n">
        <v>0</v>
      </c>
      <c r="O11172" t="n">
        <v>0</v>
      </c>
      <c r="P11172" t="n">
        <v>0</v>
      </c>
      <c r="Q11172" t="n">
        <v>0</v>
      </c>
      <c r="R11172" s="2" t="inlineStr"/>
    </row>
    <row r="11173" ht="15" customHeight="1">
      <c r="A11173" t="inlineStr">
        <is>
          <t>A 24021-2023</t>
        </is>
      </c>
      <c r="B11173" s="1" t="n">
        <v>45078</v>
      </c>
      <c r="C11173" s="1" t="n">
        <v>45952</v>
      </c>
      <c r="D11173" t="inlineStr">
        <is>
          <t>VÄSTRA GÖTALANDS LÄN</t>
        </is>
      </c>
      <c r="E11173" t="inlineStr">
        <is>
          <t>DALS-ED</t>
        </is>
      </c>
      <c r="G11173" t="n">
        <v>6</v>
      </c>
      <c r="H11173" t="n">
        <v>0</v>
      </c>
      <c r="I11173" t="n">
        <v>0</v>
      </c>
      <c r="J11173" t="n">
        <v>0</v>
      </c>
      <c r="K11173" t="n">
        <v>0</v>
      </c>
      <c r="L11173" t="n">
        <v>0</v>
      </c>
      <c r="M11173" t="n">
        <v>0</v>
      </c>
      <c r="N11173" t="n">
        <v>0</v>
      </c>
      <c r="O11173" t="n">
        <v>0</v>
      </c>
      <c r="P11173" t="n">
        <v>0</v>
      </c>
      <c r="Q11173" t="n">
        <v>0</v>
      </c>
      <c r="R11173" s="2" t="inlineStr"/>
    </row>
    <row r="11174" ht="15" customHeight="1">
      <c r="A11174" t="inlineStr">
        <is>
          <t>A 41836-2022</t>
        </is>
      </c>
      <c r="B11174" s="1" t="n">
        <v>44828.34606481482</v>
      </c>
      <c r="C11174" s="1" t="n">
        <v>45952</v>
      </c>
      <c r="D11174" t="inlineStr">
        <is>
          <t>VÄSTRA GÖTALANDS LÄN</t>
        </is>
      </c>
      <c r="E11174" t="inlineStr">
        <is>
          <t>LERUM</t>
        </is>
      </c>
      <c r="G11174" t="n">
        <v>1.1</v>
      </c>
      <c r="H11174" t="n">
        <v>0</v>
      </c>
      <c r="I11174" t="n">
        <v>0</v>
      </c>
      <c r="J11174" t="n">
        <v>0</v>
      </c>
      <c r="K11174" t="n">
        <v>0</v>
      </c>
      <c r="L11174" t="n">
        <v>0</v>
      </c>
      <c r="M11174" t="n">
        <v>0</v>
      </c>
      <c r="N11174" t="n">
        <v>0</v>
      </c>
      <c r="O11174" t="n">
        <v>0</v>
      </c>
      <c r="P11174" t="n">
        <v>0</v>
      </c>
      <c r="Q11174" t="n">
        <v>0</v>
      </c>
      <c r="R11174" s="2" t="inlineStr"/>
    </row>
    <row r="11175" ht="15" customHeight="1">
      <c r="A11175" t="inlineStr">
        <is>
          <t>A 11102-2024</t>
        </is>
      </c>
      <c r="B11175" s="1" t="n">
        <v>45371.32438657407</v>
      </c>
      <c r="C11175" s="1" t="n">
        <v>45952</v>
      </c>
      <c r="D11175" t="inlineStr">
        <is>
          <t>VÄSTRA GÖTALANDS LÄN</t>
        </is>
      </c>
      <c r="E11175" t="inlineStr">
        <is>
          <t>LILLA EDET</t>
        </is>
      </c>
      <c r="G11175" t="n">
        <v>2.8</v>
      </c>
      <c r="H11175" t="n">
        <v>0</v>
      </c>
      <c r="I11175" t="n">
        <v>0</v>
      </c>
      <c r="J11175" t="n">
        <v>0</v>
      </c>
      <c r="K11175" t="n">
        <v>0</v>
      </c>
      <c r="L11175" t="n">
        <v>0</v>
      </c>
      <c r="M11175" t="n">
        <v>0</v>
      </c>
      <c r="N11175" t="n">
        <v>0</v>
      </c>
      <c r="O11175" t="n">
        <v>0</v>
      </c>
      <c r="P11175" t="n">
        <v>0</v>
      </c>
      <c r="Q11175" t="n">
        <v>0</v>
      </c>
      <c r="R11175" s="2" t="inlineStr"/>
    </row>
    <row r="11176" ht="15" customHeight="1">
      <c r="A11176" t="inlineStr">
        <is>
          <t>A 44536-2024</t>
        </is>
      </c>
      <c r="B11176" s="1" t="n">
        <v>45574.45354166667</v>
      </c>
      <c r="C11176" s="1" t="n">
        <v>45952</v>
      </c>
      <c r="D11176" t="inlineStr">
        <is>
          <t>VÄSTRA GÖTALANDS LÄN</t>
        </is>
      </c>
      <c r="E11176" t="inlineStr">
        <is>
          <t>LYSEKIL</t>
        </is>
      </c>
      <c r="G11176" t="n">
        <v>1.7</v>
      </c>
      <c r="H11176" t="n">
        <v>0</v>
      </c>
      <c r="I11176" t="n">
        <v>0</v>
      </c>
      <c r="J11176" t="n">
        <v>0</v>
      </c>
      <c r="K11176" t="n">
        <v>0</v>
      </c>
      <c r="L11176" t="n">
        <v>0</v>
      </c>
      <c r="M11176" t="n">
        <v>0</v>
      </c>
      <c r="N11176" t="n">
        <v>0</v>
      </c>
      <c r="O11176" t="n">
        <v>0</v>
      </c>
      <c r="P11176" t="n">
        <v>0</v>
      </c>
      <c r="Q11176" t="n">
        <v>0</v>
      </c>
      <c r="R11176" s="2" t="inlineStr"/>
    </row>
    <row r="11177" ht="15" customHeight="1">
      <c r="A11177" t="inlineStr">
        <is>
          <t>A 42372-2025</t>
        </is>
      </c>
      <c r="B11177" s="1" t="n">
        <v>45905.3328125</v>
      </c>
      <c r="C11177" s="1" t="n">
        <v>45952</v>
      </c>
      <c r="D11177" t="inlineStr">
        <is>
          <t>VÄSTRA GÖTALANDS LÄN</t>
        </is>
      </c>
      <c r="E11177" t="inlineStr">
        <is>
          <t>SVENLJUNGA</t>
        </is>
      </c>
      <c r="G11177" t="n">
        <v>2.8</v>
      </c>
      <c r="H11177" t="n">
        <v>0</v>
      </c>
      <c r="I11177" t="n">
        <v>0</v>
      </c>
      <c r="J11177" t="n">
        <v>0</v>
      </c>
      <c r="K11177" t="n">
        <v>0</v>
      </c>
      <c r="L11177" t="n">
        <v>0</v>
      </c>
      <c r="M11177" t="n">
        <v>0</v>
      </c>
      <c r="N11177" t="n">
        <v>0</v>
      </c>
      <c r="O11177" t="n">
        <v>0</v>
      </c>
      <c r="P11177" t="n">
        <v>0</v>
      </c>
      <c r="Q11177" t="n">
        <v>0</v>
      </c>
      <c r="R11177" s="2" t="inlineStr"/>
    </row>
    <row r="11178" ht="15" customHeight="1">
      <c r="A11178" t="inlineStr">
        <is>
          <t>A 8169-2023</t>
        </is>
      </c>
      <c r="B11178" s="1" t="n">
        <v>44974</v>
      </c>
      <c r="C11178" s="1" t="n">
        <v>45952</v>
      </c>
      <c r="D11178" t="inlineStr">
        <is>
          <t>VÄSTRA GÖTALANDS LÄN</t>
        </is>
      </c>
      <c r="E11178" t="inlineStr">
        <is>
          <t>MELLERUD</t>
        </is>
      </c>
      <c r="G11178" t="n">
        <v>1.8</v>
      </c>
      <c r="H11178" t="n">
        <v>0</v>
      </c>
      <c r="I11178" t="n">
        <v>0</v>
      </c>
      <c r="J11178" t="n">
        <v>0</v>
      </c>
      <c r="K11178" t="n">
        <v>0</v>
      </c>
      <c r="L11178" t="n">
        <v>0</v>
      </c>
      <c r="M11178" t="n">
        <v>0</v>
      </c>
      <c r="N11178" t="n">
        <v>0</v>
      </c>
      <c r="O11178" t="n">
        <v>0</v>
      </c>
      <c r="P11178" t="n">
        <v>0</v>
      </c>
      <c r="Q11178" t="n">
        <v>0</v>
      </c>
      <c r="R11178" s="2" t="inlineStr"/>
    </row>
    <row r="11179" ht="15" customHeight="1">
      <c r="A11179" t="inlineStr">
        <is>
          <t>A 47461-2023</t>
        </is>
      </c>
      <c r="B11179" s="1" t="n">
        <v>45202.85652777777</v>
      </c>
      <c r="C11179" s="1" t="n">
        <v>45952</v>
      </c>
      <c r="D11179" t="inlineStr">
        <is>
          <t>VÄSTRA GÖTALANDS LÄN</t>
        </is>
      </c>
      <c r="E11179" t="inlineStr">
        <is>
          <t>FÄRGELANDA</t>
        </is>
      </c>
      <c r="G11179" t="n">
        <v>0.9</v>
      </c>
      <c r="H11179" t="n">
        <v>0</v>
      </c>
      <c r="I11179" t="n">
        <v>0</v>
      </c>
      <c r="J11179" t="n">
        <v>0</v>
      </c>
      <c r="K11179" t="n">
        <v>0</v>
      </c>
      <c r="L11179" t="n">
        <v>0</v>
      </c>
      <c r="M11179" t="n">
        <v>0</v>
      </c>
      <c r="N11179" t="n">
        <v>0</v>
      </c>
      <c r="O11179" t="n">
        <v>0</v>
      </c>
      <c r="P11179" t="n">
        <v>0</v>
      </c>
      <c r="Q11179" t="n">
        <v>0</v>
      </c>
      <c r="R11179" s="2" t="inlineStr"/>
    </row>
    <row r="11180" ht="15" customHeight="1">
      <c r="A11180" t="inlineStr">
        <is>
          <t>A 42395-2025</t>
        </is>
      </c>
      <c r="B11180" s="1" t="n">
        <v>45905</v>
      </c>
      <c r="C11180" s="1" t="n">
        <v>45952</v>
      </c>
      <c r="D11180" t="inlineStr">
        <is>
          <t>VÄSTRA GÖTALANDS LÄN</t>
        </is>
      </c>
      <c r="E11180" t="inlineStr">
        <is>
          <t>VARA</t>
        </is>
      </c>
      <c r="G11180" t="n">
        <v>2</v>
      </c>
      <c r="H11180" t="n">
        <v>0</v>
      </c>
      <c r="I11180" t="n">
        <v>0</v>
      </c>
      <c r="J11180" t="n">
        <v>0</v>
      </c>
      <c r="K11180" t="n">
        <v>0</v>
      </c>
      <c r="L11180" t="n">
        <v>0</v>
      </c>
      <c r="M11180" t="n">
        <v>0</v>
      </c>
      <c r="N11180" t="n">
        <v>0</v>
      </c>
      <c r="O11180" t="n">
        <v>0</v>
      </c>
      <c r="P11180" t="n">
        <v>0</v>
      </c>
      <c r="Q11180" t="n">
        <v>0</v>
      </c>
      <c r="R11180" s="2" t="inlineStr"/>
    </row>
    <row r="11181" ht="15" customHeight="1">
      <c r="A11181" t="inlineStr">
        <is>
          <t>A 14761-2022</t>
        </is>
      </c>
      <c r="B11181" s="1" t="n">
        <v>44656.41122685185</v>
      </c>
      <c r="C11181" s="1" t="n">
        <v>45952</v>
      </c>
      <c r="D11181" t="inlineStr">
        <is>
          <t>VÄSTRA GÖTALANDS LÄN</t>
        </is>
      </c>
      <c r="E11181" t="inlineStr">
        <is>
          <t>TRANEMO</t>
        </is>
      </c>
      <c r="G11181" t="n">
        <v>2.6</v>
      </c>
      <c r="H11181" t="n">
        <v>0</v>
      </c>
      <c r="I11181" t="n">
        <v>0</v>
      </c>
      <c r="J11181" t="n">
        <v>0</v>
      </c>
      <c r="K11181" t="n">
        <v>0</v>
      </c>
      <c r="L11181" t="n">
        <v>0</v>
      </c>
      <c r="M11181" t="n">
        <v>0</v>
      </c>
      <c r="N11181" t="n">
        <v>0</v>
      </c>
      <c r="O11181" t="n">
        <v>0</v>
      </c>
      <c r="P11181" t="n">
        <v>0</v>
      </c>
      <c r="Q11181" t="n">
        <v>0</v>
      </c>
      <c r="R11181" s="2" t="inlineStr"/>
    </row>
    <row r="11182" ht="15" customHeight="1">
      <c r="A11182" t="inlineStr">
        <is>
          <t>A 23605-2023</t>
        </is>
      </c>
      <c r="B11182" s="1" t="n">
        <v>45072</v>
      </c>
      <c r="C11182" s="1" t="n">
        <v>45952</v>
      </c>
      <c r="D11182" t="inlineStr">
        <is>
          <t>VÄSTRA GÖTALANDS LÄN</t>
        </is>
      </c>
      <c r="E11182" t="inlineStr">
        <is>
          <t>MUNKEDAL</t>
        </is>
      </c>
      <c r="F11182" t="inlineStr">
        <is>
          <t>Kommuner</t>
        </is>
      </c>
      <c r="G11182" t="n">
        <v>1.8</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42425-2025</t>
        </is>
      </c>
      <c r="B11183" s="1" t="n">
        <v>45905.41342592592</v>
      </c>
      <c r="C11183" s="1" t="n">
        <v>45952</v>
      </c>
      <c r="D11183" t="inlineStr">
        <is>
          <t>VÄSTRA GÖTALANDS LÄN</t>
        </is>
      </c>
      <c r="E11183" t="inlineStr">
        <is>
          <t>BENGTSFORS</t>
        </is>
      </c>
      <c r="G11183" t="n">
        <v>1</v>
      </c>
      <c r="H11183" t="n">
        <v>0</v>
      </c>
      <c r="I11183" t="n">
        <v>0</v>
      </c>
      <c r="J11183" t="n">
        <v>0</v>
      </c>
      <c r="K11183" t="n">
        <v>0</v>
      </c>
      <c r="L11183" t="n">
        <v>0</v>
      </c>
      <c r="M11183" t="n">
        <v>0</v>
      </c>
      <c r="N11183" t="n">
        <v>0</v>
      </c>
      <c r="O11183" t="n">
        <v>0</v>
      </c>
      <c r="P11183" t="n">
        <v>0</v>
      </c>
      <c r="Q11183" t="n">
        <v>0</v>
      </c>
      <c r="R11183" s="2" t="inlineStr"/>
    </row>
    <row r="11184" ht="15" customHeight="1">
      <c r="A11184" t="inlineStr">
        <is>
          <t>A 38578-2023</t>
        </is>
      </c>
      <c r="B11184" s="1" t="n">
        <v>45162.62353009259</v>
      </c>
      <c r="C11184" s="1" t="n">
        <v>45952</v>
      </c>
      <c r="D11184" t="inlineStr">
        <is>
          <t>VÄSTRA GÖTALANDS LÄN</t>
        </is>
      </c>
      <c r="E11184" t="inlineStr">
        <is>
          <t>DALS-ED</t>
        </is>
      </c>
      <c r="G11184" t="n">
        <v>1.5</v>
      </c>
      <c r="H11184" t="n">
        <v>0</v>
      </c>
      <c r="I11184" t="n">
        <v>0</v>
      </c>
      <c r="J11184" t="n">
        <v>0</v>
      </c>
      <c r="K11184" t="n">
        <v>0</v>
      </c>
      <c r="L11184" t="n">
        <v>0</v>
      </c>
      <c r="M11184" t="n">
        <v>0</v>
      </c>
      <c r="N11184" t="n">
        <v>0</v>
      </c>
      <c r="O11184" t="n">
        <v>0</v>
      </c>
      <c r="P11184" t="n">
        <v>0</v>
      </c>
      <c r="Q11184" t="n">
        <v>0</v>
      </c>
      <c r="R11184" s="2" t="inlineStr"/>
    </row>
    <row r="11185" ht="15" customHeight="1">
      <c r="A11185" t="inlineStr">
        <is>
          <t>A 38580-2023</t>
        </is>
      </c>
      <c r="B11185" s="1" t="n">
        <v>45162</v>
      </c>
      <c r="C11185" s="1" t="n">
        <v>45952</v>
      </c>
      <c r="D11185" t="inlineStr">
        <is>
          <t>VÄSTRA GÖTALANDS LÄN</t>
        </is>
      </c>
      <c r="E11185" t="inlineStr">
        <is>
          <t>MARIESTAD</t>
        </is>
      </c>
      <c r="F11185" t="inlineStr">
        <is>
          <t>Kommuner</t>
        </is>
      </c>
      <c r="G11185" t="n">
        <v>4.6</v>
      </c>
      <c r="H11185" t="n">
        <v>0</v>
      </c>
      <c r="I11185" t="n">
        <v>0</v>
      </c>
      <c r="J11185" t="n">
        <v>0</v>
      </c>
      <c r="K11185" t="n">
        <v>0</v>
      </c>
      <c r="L11185" t="n">
        <v>0</v>
      </c>
      <c r="M11185" t="n">
        <v>0</v>
      </c>
      <c r="N11185" t="n">
        <v>0</v>
      </c>
      <c r="O11185" t="n">
        <v>0</v>
      </c>
      <c r="P11185" t="n">
        <v>0</v>
      </c>
      <c r="Q11185" t="n">
        <v>0</v>
      </c>
      <c r="R11185" s="2" t="inlineStr"/>
    </row>
    <row r="11186" ht="15" customHeight="1">
      <c r="A11186" t="inlineStr">
        <is>
          <t>A 42534-2025</t>
        </is>
      </c>
      <c r="B11186" s="1" t="n">
        <v>45905.56790509259</v>
      </c>
      <c r="C11186" s="1" t="n">
        <v>45952</v>
      </c>
      <c r="D11186" t="inlineStr">
        <is>
          <t>VÄSTRA GÖTALANDS LÄN</t>
        </is>
      </c>
      <c r="E11186" t="inlineStr">
        <is>
          <t>UDDEVALLA</t>
        </is>
      </c>
      <c r="G11186" t="n">
        <v>1.9</v>
      </c>
      <c r="H11186" t="n">
        <v>0</v>
      </c>
      <c r="I11186" t="n">
        <v>0</v>
      </c>
      <c r="J11186" t="n">
        <v>0</v>
      </c>
      <c r="K11186" t="n">
        <v>0</v>
      </c>
      <c r="L11186" t="n">
        <v>0</v>
      </c>
      <c r="M11186" t="n">
        <v>0</v>
      </c>
      <c r="N11186" t="n">
        <v>0</v>
      </c>
      <c r="O11186" t="n">
        <v>0</v>
      </c>
      <c r="P11186" t="n">
        <v>0</v>
      </c>
      <c r="Q11186" t="n">
        <v>0</v>
      </c>
      <c r="R11186" s="2" t="inlineStr"/>
    </row>
    <row r="11187" ht="15" customHeight="1">
      <c r="A11187" t="inlineStr">
        <is>
          <t>A 8444-2024</t>
        </is>
      </c>
      <c r="B11187" s="1" t="n">
        <v>45354.59090277777</v>
      </c>
      <c r="C11187" s="1" t="n">
        <v>45952</v>
      </c>
      <c r="D11187" t="inlineStr">
        <is>
          <t>VÄSTRA GÖTALANDS LÄN</t>
        </is>
      </c>
      <c r="E11187" t="inlineStr">
        <is>
          <t>ULRICEHAMN</t>
        </is>
      </c>
      <c r="G11187" t="n">
        <v>0.8</v>
      </c>
      <c r="H11187" t="n">
        <v>0</v>
      </c>
      <c r="I11187" t="n">
        <v>0</v>
      </c>
      <c r="J11187" t="n">
        <v>0</v>
      </c>
      <c r="K11187" t="n">
        <v>0</v>
      </c>
      <c r="L11187" t="n">
        <v>0</v>
      </c>
      <c r="M11187" t="n">
        <v>0</v>
      </c>
      <c r="N11187" t="n">
        <v>0</v>
      </c>
      <c r="O11187" t="n">
        <v>0</v>
      </c>
      <c r="P11187" t="n">
        <v>0</v>
      </c>
      <c r="Q11187" t="n">
        <v>0</v>
      </c>
      <c r="R11187" s="2" t="inlineStr"/>
    </row>
    <row r="11188" ht="15" customHeight="1">
      <c r="A11188" t="inlineStr">
        <is>
          <t>A 42566-2025</t>
        </is>
      </c>
      <c r="B11188" s="1" t="n">
        <v>45905.60494212963</v>
      </c>
      <c r="C11188" s="1" t="n">
        <v>45952</v>
      </c>
      <c r="D11188" t="inlineStr">
        <is>
          <t>VÄSTRA GÖTALANDS LÄN</t>
        </is>
      </c>
      <c r="E11188" t="inlineStr">
        <is>
          <t>VÄNERSBORG</t>
        </is>
      </c>
      <c r="G11188" t="n">
        <v>2.9</v>
      </c>
      <c r="H11188" t="n">
        <v>0</v>
      </c>
      <c r="I11188" t="n">
        <v>0</v>
      </c>
      <c r="J11188" t="n">
        <v>0</v>
      </c>
      <c r="K11188" t="n">
        <v>0</v>
      </c>
      <c r="L11188" t="n">
        <v>0</v>
      </c>
      <c r="M11188" t="n">
        <v>0</v>
      </c>
      <c r="N11188" t="n">
        <v>0</v>
      </c>
      <c r="O11188" t="n">
        <v>0</v>
      </c>
      <c r="P11188" t="n">
        <v>0</v>
      </c>
      <c r="Q11188" t="n">
        <v>0</v>
      </c>
      <c r="R11188" s="2" t="inlineStr"/>
    </row>
    <row r="11189" ht="15" customHeight="1">
      <c r="A11189" t="inlineStr">
        <is>
          <t>A 47562-2023</t>
        </is>
      </c>
      <c r="B11189" s="1" t="n">
        <v>45203.39712962963</v>
      </c>
      <c r="C11189" s="1" t="n">
        <v>45952</v>
      </c>
      <c r="D11189" t="inlineStr">
        <is>
          <t>VÄSTRA GÖTALANDS LÄN</t>
        </is>
      </c>
      <c r="E11189" t="inlineStr">
        <is>
          <t>FALKÖPING</t>
        </is>
      </c>
      <c r="G11189" t="n">
        <v>2.7</v>
      </c>
      <c r="H11189" t="n">
        <v>0</v>
      </c>
      <c r="I11189" t="n">
        <v>0</v>
      </c>
      <c r="J11189" t="n">
        <v>0</v>
      </c>
      <c r="K11189" t="n">
        <v>0</v>
      </c>
      <c r="L11189" t="n">
        <v>0</v>
      </c>
      <c r="M11189" t="n">
        <v>0</v>
      </c>
      <c r="N11189" t="n">
        <v>0</v>
      </c>
      <c r="O11189" t="n">
        <v>0</v>
      </c>
      <c r="P11189" t="n">
        <v>0</v>
      </c>
      <c r="Q11189" t="n">
        <v>0</v>
      </c>
      <c r="R11189" s="2" t="inlineStr"/>
    </row>
    <row r="11190" ht="15" customHeight="1">
      <c r="A11190" t="inlineStr">
        <is>
          <t>A 5242-2022</t>
        </is>
      </c>
      <c r="B11190" s="1" t="n">
        <v>44594.51598379629</v>
      </c>
      <c r="C11190" s="1" t="n">
        <v>45952</v>
      </c>
      <c r="D11190" t="inlineStr">
        <is>
          <t>VÄSTRA GÖTALANDS LÄN</t>
        </is>
      </c>
      <c r="E11190" t="inlineStr">
        <is>
          <t>TROLLHÄTTAN</t>
        </is>
      </c>
      <c r="G11190" t="n">
        <v>8.800000000000001</v>
      </c>
      <c r="H11190" t="n">
        <v>0</v>
      </c>
      <c r="I11190" t="n">
        <v>0</v>
      </c>
      <c r="J11190" t="n">
        <v>0</v>
      </c>
      <c r="K11190" t="n">
        <v>0</v>
      </c>
      <c r="L11190" t="n">
        <v>0</v>
      </c>
      <c r="M11190" t="n">
        <v>0</v>
      </c>
      <c r="N11190" t="n">
        <v>0</v>
      </c>
      <c r="O11190" t="n">
        <v>0</v>
      </c>
      <c r="P11190" t="n">
        <v>0</v>
      </c>
      <c r="Q11190" t="n">
        <v>0</v>
      </c>
      <c r="R11190" s="2" t="inlineStr"/>
    </row>
    <row r="11191" ht="15" customHeight="1">
      <c r="A11191" t="inlineStr">
        <is>
          <t>A 42306-2025</t>
        </is>
      </c>
      <c r="B11191" s="1" t="n">
        <v>45904.65074074074</v>
      </c>
      <c r="C11191" s="1" t="n">
        <v>45952</v>
      </c>
      <c r="D11191" t="inlineStr">
        <is>
          <t>VÄSTRA GÖTALANDS LÄN</t>
        </is>
      </c>
      <c r="E11191" t="inlineStr">
        <is>
          <t>DALS-ED</t>
        </is>
      </c>
      <c r="G11191" t="n">
        <v>0.8</v>
      </c>
      <c r="H11191" t="n">
        <v>0</v>
      </c>
      <c r="I11191" t="n">
        <v>0</v>
      </c>
      <c r="J11191" t="n">
        <v>0</v>
      </c>
      <c r="K11191" t="n">
        <v>0</v>
      </c>
      <c r="L11191" t="n">
        <v>0</v>
      </c>
      <c r="M11191" t="n">
        <v>0</v>
      </c>
      <c r="N11191" t="n">
        <v>0</v>
      </c>
      <c r="O11191" t="n">
        <v>0</v>
      </c>
      <c r="P11191" t="n">
        <v>0</v>
      </c>
      <c r="Q11191" t="n">
        <v>0</v>
      </c>
      <c r="R11191" s="2" t="inlineStr"/>
    </row>
    <row r="11192" ht="15" customHeight="1">
      <c r="A11192" t="inlineStr">
        <is>
          <t>A 8445-2024</t>
        </is>
      </c>
      <c r="B11192" s="1" t="n">
        <v>45354.64111111111</v>
      </c>
      <c r="C11192" s="1" t="n">
        <v>45952</v>
      </c>
      <c r="D11192" t="inlineStr">
        <is>
          <t>VÄSTRA GÖTALANDS LÄN</t>
        </is>
      </c>
      <c r="E11192" t="inlineStr">
        <is>
          <t>SVENLJUNGA</t>
        </is>
      </c>
      <c r="G11192" t="n">
        <v>1.8</v>
      </c>
      <c r="H11192" t="n">
        <v>0</v>
      </c>
      <c r="I11192" t="n">
        <v>0</v>
      </c>
      <c r="J11192" t="n">
        <v>0</v>
      </c>
      <c r="K11192" t="n">
        <v>0</v>
      </c>
      <c r="L11192" t="n">
        <v>0</v>
      </c>
      <c r="M11192" t="n">
        <v>0</v>
      </c>
      <c r="N11192" t="n">
        <v>0</v>
      </c>
      <c r="O11192" t="n">
        <v>0</v>
      </c>
      <c r="P11192" t="n">
        <v>0</v>
      </c>
      <c r="Q11192" t="n">
        <v>0</v>
      </c>
      <c r="R11192" s="2" t="inlineStr"/>
    </row>
    <row r="11193" ht="15" customHeight="1">
      <c r="A11193" t="inlineStr">
        <is>
          <t>A 6217-2024</t>
        </is>
      </c>
      <c r="B11193" s="1" t="n">
        <v>45337</v>
      </c>
      <c r="C11193" s="1" t="n">
        <v>45952</v>
      </c>
      <c r="D11193" t="inlineStr">
        <is>
          <t>VÄSTRA GÖTALANDS LÄN</t>
        </is>
      </c>
      <c r="E11193" t="inlineStr">
        <is>
          <t>MUNKEDAL</t>
        </is>
      </c>
      <c r="G11193" t="n">
        <v>2</v>
      </c>
      <c r="H11193" t="n">
        <v>0</v>
      </c>
      <c r="I11193" t="n">
        <v>0</v>
      </c>
      <c r="J11193" t="n">
        <v>0</v>
      </c>
      <c r="K11193" t="n">
        <v>0</v>
      </c>
      <c r="L11193" t="n">
        <v>0</v>
      </c>
      <c r="M11193" t="n">
        <v>0</v>
      </c>
      <c r="N11193" t="n">
        <v>0</v>
      </c>
      <c r="O11193" t="n">
        <v>0</v>
      </c>
      <c r="P11193" t="n">
        <v>0</v>
      </c>
      <c r="Q11193" t="n">
        <v>0</v>
      </c>
      <c r="R11193" s="2" t="inlineStr"/>
    </row>
    <row r="11194" ht="15" customHeight="1">
      <c r="A11194" t="inlineStr">
        <is>
          <t>A 26786-2025</t>
        </is>
      </c>
      <c r="B11194" s="1" t="n">
        <v>45810.58515046296</v>
      </c>
      <c r="C11194" s="1" t="n">
        <v>45952</v>
      </c>
      <c r="D11194" t="inlineStr">
        <is>
          <t>VÄSTRA GÖTALANDS LÄN</t>
        </is>
      </c>
      <c r="E11194" t="inlineStr">
        <is>
          <t>VARA</t>
        </is>
      </c>
      <c r="G11194" t="n">
        <v>8.199999999999999</v>
      </c>
      <c r="H11194" t="n">
        <v>0</v>
      </c>
      <c r="I11194" t="n">
        <v>0</v>
      </c>
      <c r="J11194" t="n">
        <v>0</v>
      </c>
      <c r="K11194" t="n">
        <v>0</v>
      </c>
      <c r="L11194" t="n">
        <v>0</v>
      </c>
      <c r="M11194" t="n">
        <v>0</v>
      </c>
      <c r="N11194" t="n">
        <v>0</v>
      </c>
      <c r="O11194" t="n">
        <v>0</v>
      </c>
      <c r="P11194" t="n">
        <v>0</v>
      </c>
      <c r="Q11194" t="n">
        <v>0</v>
      </c>
      <c r="R11194" s="2" t="inlineStr"/>
    </row>
    <row r="11195" ht="15" customHeight="1">
      <c r="A11195" t="inlineStr">
        <is>
          <t>A 64516-2021</t>
        </is>
      </c>
      <c r="B11195" s="1" t="n">
        <v>44511.61333333333</v>
      </c>
      <c r="C11195" s="1" t="n">
        <v>45952</v>
      </c>
      <c r="D11195" t="inlineStr">
        <is>
          <t>VÄSTRA GÖTALANDS LÄN</t>
        </is>
      </c>
      <c r="E11195" t="inlineStr">
        <is>
          <t>HERRLJUNGA</t>
        </is>
      </c>
      <c r="G11195" t="n">
        <v>1.9</v>
      </c>
      <c r="H11195" t="n">
        <v>0</v>
      </c>
      <c r="I11195" t="n">
        <v>0</v>
      </c>
      <c r="J11195" t="n">
        <v>0</v>
      </c>
      <c r="K11195" t="n">
        <v>0</v>
      </c>
      <c r="L11195" t="n">
        <v>0</v>
      </c>
      <c r="M11195" t="n">
        <v>0</v>
      </c>
      <c r="N11195" t="n">
        <v>0</v>
      </c>
      <c r="O11195" t="n">
        <v>0</v>
      </c>
      <c r="P11195" t="n">
        <v>0</v>
      </c>
      <c r="Q11195" t="n">
        <v>0</v>
      </c>
      <c r="R11195" s="2" t="inlineStr"/>
    </row>
    <row r="11196" ht="15" customHeight="1">
      <c r="A11196" t="inlineStr">
        <is>
          <t>A 4224-2024</t>
        </is>
      </c>
      <c r="B11196" s="1" t="n">
        <v>45324</v>
      </c>
      <c r="C11196" s="1" t="n">
        <v>45952</v>
      </c>
      <c r="D11196" t="inlineStr">
        <is>
          <t>VÄSTRA GÖTALANDS LÄN</t>
        </is>
      </c>
      <c r="E11196" t="inlineStr">
        <is>
          <t>TANUM</t>
        </is>
      </c>
      <c r="G11196" t="n">
        <v>1.4</v>
      </c>
      <c r="H11196" t="n">
        <v>0</v>
      </c>
      <c r="I11196" t="n">
        <v>0</v>
      </c>
      <c r="J11196" t="n">
        <v>0</v>
      </c>
      <c r="K11196" t="n">
        <v>0</v>
      </c>
      <c r="L11196" t="n">
        <v>0</v>
      </c>
      <c r="M11196" t="n">
        <v>0</v>
      </c>
      <c r="N11196" t="n">
        <v>0</v>
      </c>
      <c r="O11196" t="n">
        <v>0</v>
      </c>
      <c r="P11196" t="n">
        <v>0</v>
      </c>
      <c r="Q11196" t="n">
        <v>0</v>
      </c>
      <c r="R11196" s="2" t="inlineStr"/>
    </row>
    <row r="11197" ht="15" customHeight="1">
      <c r="A11197" t="inlineStr">
        <is>
          <t>A 42329-2025</t>
        </is>
      </c>
      <c r="B11197" s="1" t="n">
        <v>45904.68760416667</v>
      </c>
      <c r="C11197" s="1" t="n">
        <v>45952</v>
      </c>
      <c r="D11197" t="inlineStr">
        <is>
          <t>VÄSTRA GÖTALANDS LÄN</t>
        </is>
      </c>
      <c r="E11197" t="inlineStr">
        <is>
          <t>FÄRGELANDA</t>
        </is>
      </c>
      <c r="G11197" t="n">
        <v>5.7</v>
      </c>
      <c r="H11197" t="n">
        <v>0</v>
      </c>
      <c r="I11197" t="n">
        <v>0</v>
      </c>
      <c r="J11197" t="n">
        <v>0</v>
      </c>
      <c r="K11197" t="n">
        <v>0</v>
      </c>
      <c r="L11197" t="n">
        <v>0</v>
      </c>
      <c r="M11197" t="n">
        <v>0</v>
      </c>
      <c r="N11197" t="n">
        <v>0</v>
      </c>
      <c r="O11197" t="n">
        <v>0</v>
      </c>
      <c r="P11197" t="n">
        <v>0</v>
      </c>
      <c r="Q11197" t="n">
        <v>0</v>
      </c>
      <c r="R11197" s="2" t="inlineStr"/>
    </row>
    <row r="11198" ht="15" customHeight="1">
      <c r="A11198" t="inlineStr">
        <is>
          <t>A 42338-2025</t>
        </is>
      </c>
      <c r="B11198" s="1" t="n">
        <v>45904.70866898148</v>
      </c>
      <c r="C11198" s="1" t="n">
        <v>45952</v>
      </c>
      <c r="D11198" t="inlineStr">
        <is>
          <t>VÄSTRA GÖTALANDS LÄN</t>
        </is>
      </c>
      <c r="E11198" t="inlineStr">
        <is>
          <t>TIDAHOLM</t>
        </is>
      </c>
      <c r="F11198" t="inlineStr">
        <is>
          <t>Sveaskog</t>
        </is>
      </c>
      <c r="G11198" t="n">
        <v>1</v>
      </c>
      <c r="H11198" t="n">
        <v>0</v>
      </c>
      <c r="I11198" t="n">
        <v>0</v>
      </c>
      <c r="J11198" t="n">
        <v>0</v>
      </c>
      <c r="K11198" t="n">
        <v>0</v>
      </c>
      <c r="L11198" t="n">
        <v>0</v>
      </c>
      <c r="M11198" t="n">
        <v>0</v>
      </c>
      <c r="N11198" t="n">
        <v>0</v>
      </c>
      <c r="O11198" t="n">
        <v>0</v>
      </c>
      <c r="P11198" t="n">
        <v>0</v>
      </c>
      <c r="Q11198" t="n">
        <v>0</v>
      </c>
      <c r="R11198" s="2" t="inlineStr"/>
    </row>
    <row r="11199" ht="15" customHeight="1">
      <c r="A11199" t="inlineStr">
        <is>
          <t>A 42339-2025</t>
        </is>
      </c>
      <c r="B11199" s="1" t="n">
        <v>45904.71075231482</v>
      </c>
      <c r="C11199" s="1" t="n">
        <v>45952</v>
      </c>
      <c r="D11199" t="inlineStr">
        <is>
          <t>VÄSTRA GÖTALANDS LÄN</t>
        </is>
      </c>
      <c r="E11199" t="inlineStr">
        <is>
          <t>TIDAHOLM</t>
        </is>
      </c>
      <c r="F11199" t="inlineStr">
        <is>
          <t>Sveaskog</t>
        </is>
      </c>
      <c r="G11199" t="n">
        <v>0.9</v>
      </c>
      <c r="H11199" t="n">
        <v>0</v>
      </c>
      <c r="I11199" t="n">
        <v>0</v>
      </c>
      <c r="J11199" t="n">
        <v>0</v>
      </c>
      <c r="K11199" t="n">
        <v>0</v>
      </c>
      <c r="L11199" t="n">
        <v>0</v>
      </c>
      <c r="M11199" t="n">
        <v>0</v>
      </c>
      <c r="N11199" t="n">
        <v>0</v>
      </c>
      <c r="O11199" t="n">
        <v>0</v>
      </c>
      <c r="P11199" t="n">
        <v>0</v>
      </c>
      <c r="Q11199" t="n">
        <v>0</v>
      </c>
      <c r="R11199" s="2" t="inlineStr"/>
    </row>
    <row r="11200" ht="15" customHeight="1">
      <c r="A11200" t="inlineStr">
        <is>
          <t>A 962-2023</t>
        </is>
      </c>
      <c r="B11200" s="1" t="n">
        <v>44934</v>
      </c>
      <c r="C11200" s="1" t="n">
        <v>45952</v>
      </c>
      <c r="D11200" t="inlineStr">
        <is>
          <t>VÄSTRA GÖTALANDS LÄN</t>
        </is>
      </c>
      <c r="E11200" t="inlineStr">
        <is>
          <t>VARA</t>
        </is>
      </c>
      <c r="G11200" t="n">
        <v>1.6</v>
      </c>
      <c r="H11200" t="n">
        <v>0</v>
      </c>
      <c r="I11200" t="n">
        <v>0</v>
      </c>
      <c r="J11200" t="n">
        <v>0</v>
      </c>
      <c r="K11200" t="n">
        <v>0</v>
      </c>
      <c r="L11200" t="n">
        <v>0</v>
      </c>
      <c r="M11200" t="n">
        <v>0</v>
      </c>
      <c r="N11200" t="n">
        <v>0</v>
      </c>
      <c r="O11200" t="n">
        <v>0</v>
      </c>
      <c r="P11200" t="n">
        <v>0</v>
      </c>
      <c r="Q11200" t="n">
        <v>0</v>
      </c>
      <c r="R11200" s="2" t="inlineStr"/>
    </row>
    <row r="11201" ht="15" customHeight="1">
      <c r="A11201" t="inlineStr">
        <is>
          <t>A 27112-2025</t>
        </is>
      </c>
      <c r="B11201" s="1" t="n">
        <v>45811.73366898148</v>
      </c>
      <c r="C11201" s="1" t="n">
        <v>45952</v>
      </c>
      <c r="D11201" t="inlineStr">
        <is>
          <t>VÄSTRA GÖTALANDS LÄN</t>
        </is>
      </c>
      <c r="E11201" t="inlineStr">
        <is>
          <t>VÅRGÅRDA</t>
        </is>
      </c>
      <c r="G11201" t="n">
        <v>1.6</v>
      </c>
      <c r="H11201" t="n">
        <v>0</v>
      </c>
      <c r="I11201" t="n">
        <v>0</v>
      </c>
      <c r="J11201" t="n">
        <v>0</v>
      </c>
      <c r="K11201" t="n">
        <v>0</v>
      </c>
      <c r="L11201" t="n">
        <v>0</v>
      </c>
      <c r="M11201" t="n">
        <v>0</v>
      </c>
      <c r="N11201" t="n">
        <v>0</v>
      </c>
      <c r="O11201" t="n">
        <v>0</v>
      </c>
      <c r="P11201" t="n">
        <v>0</v>
      </c>
      <c r="Q11201" t="n">
        <v>0</v>
      </c>
      <c r="R11201" s="2" t="inlineStr"/>
    </row>
    <row r="11202" ht="15" customHeight="1">
      <c r="A11202" t="inlineStr">
        <is>
          <t>A 16603-2025</t>
        </is>
      </c>
      <c r="B11202" s="1" t="n">
        <v>45753.56577546296</v>
      </c>
      <c r="C11202" s="1" t="n">
        <v>45952</v>
      </c>
      <c r="D11202" t="inlineStr">
        <is>
          <t>VÄSTRA GÖTALANDS LÄN</t>
        </is>
      </c>
      <c r="E11202" t="inlineStr">
        <is>
          <t>TANUM</t>
        </is>
      </c>
      <c r="G11202" t="n">
        <v>2.8</v>
      </c>
      <c r="H11202" t="n">
        <v>0</v>
      </c>
      <c r="I11202" t="n">
        <v>0</v>
      </c>
      <c r="J11202" t="n">
        <v>0</v>
      </c>
      <c r="K11202" t="n">
        <v>0</v>
      </c>
      <c r="L11202" t="n">
        <v>0</v>
      </c>
      <c r="M11202" t="n">
        <v>0</v>
      </c>
      <c r="N11202" t="n">
        <v>0</v>
      </c>
      <c r="O11202" t="n">
        <v>0</v>
      </c>
      <c r="P11202" t="n">
        <v>0</v>
      </c>
      <c r="Q11202" t="n">
        <v>0</v>
      </c>
      <c r="R11202" s="2" t="inlineStr"/>
    </row>
    <row r="11203" ht="15" customHeight="1">
      <c r="A11203" t="inlineStr">
        <is>
          <t>A 21429-2022</t>
        </is>
      </c>
      <c r="B11203" s="1" t="n">
        <v>44706</v>
      </c>
      <c r="C11203" s="1" t="n">
        <v>45952</v>
      </c>
      <c r="D11203" t="inlineStr">
        <is>
          <t>VÄSTRA GÖTALANDS LÄN</t>
        </is>
      </c>
      <c r="E11203" t="inlineStr">
        <is>
          <t>GÖTENE</t>
        </is>
      </c>
      <c r="G11203" t="n">
        <v>3.1</v>
      </c>
      <c r="H11203" t="n">
        <v>0</v>
      </c>
      <c r="I11203" t="n">
        <v>0</v>
      </c>
      <c r="J11203" t="n">
        <v>0</v>
      </c>
      <c r="K11203" t="n">
        <v>0</v>
      </c>
      <c r="L11203" t="n">
        <v>0</v>
      </c>
      <c r="M11203" t="n">
        <v>0</v>
      </c>
      <c r="N11203" t="n">
        <v>0</v>
      </c>
      <c r="O11203" t="n">
        <v>0</v>
      </c>
      <c r="P11203" t="n">
        <v>0</v>
      </c>
      <c r="Q11203" t="n">
        <v>0</v>
      </c>
      <c r="R11203" s="2" t="inlineStr"/>
    </row>
    <row r="11204" ht="15" customHeight="1">
      <c r="A11204" t="inlineStr">
        <is>
          <t>A 54287-2022</t>
        </is>
      </c>
      <c r="B11204" s="1" t="n">
        <v>44882.37096064815</v>
      </c>
      <c r="C11204" s="1" t="n">
        <v>45952</v>
      </c>
      <c r="D11204" t="inlineStr">
        <is>
          <t>VÄSTRA GÖTALANDS LÄN</t>
        </is>
      </c>
      <c r="E11204" t="inlineStr">
        <is>
          <t>BOLLEBYGD</t>
        </is>
      </c>
      <c r="G11204" t="n">
        <v>1.3</v>
      </c>
      <c r="H11204" t="n">
        <v>0</v>
      </c>
      <c r="I11204" t="n">
        <v>0</v>
      </c>
      <c r="J11204" t="n">
        <v>0</v>
      </c>
      <c r="K11204" t="n">
        <v>0</v>
      </c>
      <c r="L11204" t="n">
        <v>0</v>
      </c>
      <c r="M11204" t="n">
        <v>0</v>
      </c>
      <c r="N11204" t="n">
        <v>0</v>
      </c>
      <c r="O11204" t="n">
        <v>0</v>
      </c>
      <c r="P11204" t="n">
        <v>0</v>
      </c>
      <c r="Q11204" t="n">
        <v>0</v>
      </c>
      <c r="R11204" s="2" t="inlineStr"/>
    </row>
    <row r="11205" ht="15" customHeight="1">
      <c r="A11205" t="inlineStr">
        <is>
          <t>A 26856-2025</t>
        </is>
      </c>
      <c r="B11205" s="1" t="n">
        <v>45810.67539351852</v>
      </c>
      <c r="C11205" s="1" t="n">
        <v>45952</v>
      </c>
      <c r="D11205" t="inlineStr">
        <is>
          <t>VÄSTRA GÖTALANDS LÄN</t>
        </is>
      </c>
      <c r="E11205" t="inlineStr">
        <is>
          <t>BENGTSFORS</t>
        </is>
      </c>
      <c r="G11205" t="n">
        <v>2.1</v>
      </c>
      <c r="H11205" t="n">
        <v>0</v>
      </c>
      <c r="I11205" t="n">
        <v>0</v>
      </c>
      <c r="J11205" t="n">
        <v>0</v>
      </c>
      <c r="K11205" t="n">
        <v>0</v>
      </c>
      <c r="L11205" t="n">
        <v>0</v>
      </c>
      <c r="M11205" t="n">
        <v>0</v>
      </c>
      <c r="N11205" t="n">
        <v>0</v>
      </c>
      <c r="O11205" t="n">
        <v>0</v>
      </c>
      <c r="P11205" t="n">
        <v>0</v>
      </c>
      <c r="Q11205" t="n">
        <v>0</v>
      </c>
      <c r="R11205" s="2" t="inlineStr"/>
    </row>
    <row r="11206" ht="15" customHeight="1">
      <c r="A11206" t="inlineStr">
        <is>
          <t>A 9086-2025</t>
        </is>
      </c>
      <c r="B11206" s="1" t="n">
        <v>45713.67104166667</v>
      </c>
      <c r="C11206" s="1" t="n">
        <v>45952</v>
      </c>
      <c r="D11206" t="inlineStr">
        <is>
          <t>VÄSTRA GÖTALANDS LÄN</t>
        </is>
      </c>
      <c r="E11206" t="inlineStr">
        <is>
          <t>BOLLEBYGD</t>
        </is>
      </c>
      <c r="G11206" t="n">
        <v>4.1</v>
      </c>
      <c r="H11206" t="n">
        <v>0</v>
      </c>
      <c r="I11206" t="n">
        <v>0</v>
      </c>
      <c r="J11206" t="n">
        <v>0</v>
      </c>
      <c r="K11206" t="n">
        <v>0</v>
      </c>
      <c r="L11206" t="n">
        <v>0</v>
      </c>
      <c r="M11206" t="n">
        <v>0</v>
      </c>
      <c r="N11206" t="n">
        <v>0</v>
      </c>
      <c r="O11206" t="n">
        <v>0</v>
      </c>
      <c r="P11206" t="n">
        <v>0</v>
      </c>
      <c r="Q11206" t="n">
        <v>0</v>
      </c>
      <c r="R11206" s="2" t="inlineStr"/>
    </row>
    <row r="11207" ht="15" customHeight="1">
      <c r="A11207" t="inlineStr">
        <is>
          <t>A 12968-2025</t>
        </is>
      </c>
      <c r="B11207" s="1" t="n">
        <v>45734.43648148148</v>
      </c>
      <c r="C11207" s="1" t="n">
        <v>45952</v>
      </c>
      <c r="D11207" t="inlineStr">
        <is>
          <t>VÄSTRA GÖTALANDS LÄN</t>
        </is>
      </c>
      <c r="E11207" t="inlineStr">
        <is>
          <t>ALINGSÅS</t>
        </is>
      </c>
      <c r="G11207" t="n">
        <v>1</v>
      </c>
      <c r="H11207" t="n">
        <v>0</v>
      </c>
      <c r="I11207" t="n">
        <v>0</v>
      </c>
      <c r="J11207" t="n">
        <v>0</v>
      </c>
      <c r="K11207" t="n">
        <v>0</v>
      </c>
      <c r="L11207" t="n">
        <v>0</v>
      </c>
      <c r="M11207" t="n">
        <v>0</v>
      </c>
      <c r="N11207" t="n">
        <v>0</v>
      </c>
      <c r="O11207" t="n">
        <v>0</v>
      </c>
      <c r="P11207" t="n">
        <v>0</v>
      </c>
      <c r="Q11207" t="n">
        <v>0</v>
      </c>
      <c r="R11207" s="2" t="inlineStr"/>
    </row>
    <row r="11208" ht="15" customHeight="1">
      <c r="A11208" t="inlineStr">
        <is>
          <t>A 54586-2023</t>
        </is>
      </c>
      <c r="B11208" s="1" t="n">
        <v>45233.77412037037</v>
      </c>
      <c r="C11208" s="1" t="n">
        <v>45952</v>
      </c>
      <c r="D11208" t="inlineStr">
        <is>
          <t>VÄSTRA GÖTALANDS LÄN</t>
        </is>
      </c>
      <c r="E11208" t="inlineStr">
        <is>
          <t>VÅRGÅRDA</t>
        </is>
      </c>
      <c r="G11208" t="n">
        <v>3.9</v>
      </c>
      <c r="H11208" t="n">
        <v>0</v>
      </c>
      <c r="I11208" t="n">
        <v>0</v>
      </c>
      <c r="J11208" t="n">
        <v>0</v>
      </c>
      <c r="K11208" t="n">
        <v>0</v>
      </c>
      <c r="L11208" t="n">
        <v>0</v>
      </c>
      <c r="M11208" t="n">
        <v>0</v>
      </c>
      <c r="N11208" t="n">
        <v>0</v>
      </c>
      <c r="O11208" t="n">
        <v>0</v>
      </c>
      <c r="P11208" t="n">
        <v>0</v>
      </c>
      <c r="Q11208" t="n">
        <v>0</v>
      </c>
      <c r="R11208" s="2" t="inlineStr"/>
    </row>
    <row r="11209" ht="15" customHeight="1">
      <c r="A11209" t="inlineStr">
        <is>
          <t>A 17817-2024</t>
        </is>
      </c>
      <c r="B11209" s="1" t="n">
        <v>45418</v>
      </c>
      <c r="C11209" s="1" t="n">
        <v>45952</v>
      </c>
      <c r="D11209" t="inlineStr">
        <is>
          <t>VÄSTRA GÖTALANDS LÄN</t>
        </is>
      </c>
      <c r="E11209" t="inlineStr">
        <is>
          <t>HERRLJUNGA</t>
        </is>
      </c>
      <c r="G11209" t="n">
        <v>5.5</v>
      </c>
      <c r="H11209" t="n">
        <v>0</v>
      </c>
      <c r="I11209" t="n">
        <v>0</v>
      </c>
      <c r="J11209" t="n">
        <v>0</v>
      </c>
      <c r="K11209" t="n">
        <v>0</v>
      </c>
      <c r="L11209" t="n">
        <v>0</v>
      </c>
      <c r="M11209" t="n">
        <v>0</v>
      </c>
      <c r="N11209" t="n">
        <v>0</v>
      </c>
      <c r="O11209" t="n">
        <v>0</v>
      </c>
      <c r="P11209" t="n">
        <v>0</v>
      </c>
      <c r="Q11209" t="n">
        <v>0</v>
      </c>
      <c r="R11209" s="2" t="inlineStr"/>
    </row>
    <row r="11210" ht="15" customHeight="1">
      <c r="A11210" t="inlineStr">
        <is>
          <t>A 12006-2024</t>
        </is>
      </c>
      <c r="B11210" s="1" t="n">
        <v>45377.31758101852</v>
      </c>
      <c r="C11210" s="1" t="n">
        <v>45952</v>
      </c>
      <c r="D11210" t="inlineStr">
        <is>
          <t>VÄSTRA GÖTALANDS LÄN</t>
        </is>
      </c>
      <c r="E11210" t="inlineStr">
        <is>
          <t>ESSUNGA</t>
        </is>
      </c>
      <c r="G11210" t="n">
        <v>1</v>
      </c>
      <c r="H11210" t="n">
        <v>0</v>
      </c>
      <c r="I11210" t="n">
        <v>0</v>
      </c>
      <c r="J11210" t="n">
        <v>0</v>
      </c>
      <c r="K11210" t="n">
        <v>0</v>
      </c>
      <c r="L11210" t="n">
        <v>0</v>
      </c>
      <c r="M11210" t="n">
        <v>0</v>
      </c>
      <c r="N11210" t="n">
        <v>0</v>
      </c>
      <c r="O11210" t="n">
        <v>0</v>
      </c>
      <c r="P11210" t="n">
        <v>0</v>
      </c>
      <c r="Q11210" t="n">
        <v>0</v>
      </c>
      <c r="R11210" s="2" t="inlineStr"/>
    </row>
    <row r="11211" ht="15" customHeight="1">
      <c r="A11211" t="inlineStr">
        <is>
          <t>A 12276-2024</t>
        </is>
      </c>
      <c r="B11211" s="1" t="n">
        <v>45378.50021990741</v>
      </c>
      <c r="C11211" s="1" t="n">
        <v>45952</v>
      </c>
      <c r="D11211" t="inlineStr">
        <is>
          <t>VÄSTRA GÖTALANDS LÄN</t>
        </is>
      </c>
      <c r="E11211" t="inlineStr">
        <is>
          <t>ALINGSÅS</t>
        </is>
      </c>
      <c r="G11211" t="n">
        <v>3.1</v>
      </c>
      <c r="H11211" t="n">
        <v>0</v>
      </c>
      <c r="I11211" t="n">
        <v>0</v>
      </c>
      <c r="J11211" t="n">
        <v>0</v>
      </c>
      <c r="K11211" t="n">
        <v>0</v>
      </c>
      <c r="L11211" t="n">
        <v>0</v>
      </c>
      <c r="M11211" t="n">
        <v>0</v>
      </c>
      <c r="N11211" t="n">
        <v>0</v>
      </c>
      <c r="O11211" t="n">
        <v>0</v>
      </c>
      <c r="P11211" t="n">
        <v>0</v>
      </c>
      <c r="Q11211" t="n">
        <v>0</v>
      </c>
      <c r="R11211" s="2" t="inlineStr"/>
    </row>
    <row r="11212" ht="15" customHeight="1">
      <c r="A11212" t="inlineStr">
        <is>
          <t>A 5825-2024</t>
        </is>
      </c>
      <c r="B11212" s="1" t="n">
        <v>45335.56065972222</v>
      </c>
      <c r="C11212" s="1" t="n">
        <v>45952</v>
      </c>
      <c r="D11212" t="inlineStr">
        <is>
          <t>VÄSTRA GÖTALANDS LÄN</t>
        </is>
      </c>
      <c r="E11212" t="inlineStr">
        <is>
          <t>SKARA</t>
        </is>
      </c>
      <c r="G11212" t="n">
        <v>0.2</v>
      </c>
      <c r="H11212" t="n">
        <v>0</v>
      </c>
      <c r="I11212" t="n">
        <v>0</v>
      </c>
      <c r="J11212" t="n">
        <v>0</v>
      </c>
      <c r="K11212" t="n">
        <v>0</v>
      </c>
      <c r="L11212" t="n">
        <v>0</v>
      </c>
      <c r="M11212" t="n">
        <v>0</v>
      </c>
      <c r="N11212" t="n">
        <v>0</v>
      </c>
      <c r="O11212" t="n">
        <v>0</v>
      </c>
      <c r="P11212" t="n">
        <v>0</v>
      </c>
      <c r="Q11212" t="n">
        <v>0</v>
      </c>
      <c r="R11212" s="2" t="inlineStr"/>
    </row>
    <row r="11213" ht="15" customHeight="1">
      <c r="A11213" t="inlineStr">
        <is>
          <t>A 5829-2024</t>
        </is>
      </c>
      <c r="B11213" s="1" t="n">
        <v>45335.57622685185</v>
      </c>
      <c r="C11213" s="1" t="n">
        <v>45952</v>
      </c>
      <c r="D11213" t="inlineStr">
        <is>
          <t>VÄSTRA GÖTALANDS LÄN</t>
        </is>
      </c>
      <c r="E11213" t="inlineStr">
        <is>
          <t>HERRLJUNGA</t>
        </is>
      </c>
      <c r="G11213" t="n">
        <v>1.3</v>
      </c>
      <c r="H11213" t="n">
        <v>0</v>
      </c>
      <c r="I11213" t="n">
        <v>0</v>
      </c>
      <c r="J11213" t="n">
        <v>0</v>
      </c>
      <c r="K11213" t="n">
        <v>0</v>
      </c>
      <c r="L11213" t="n">
        <v>0</v>
      </c>
      <c r="M11213" t="n">
        <v>0</v>
      </c>
      <c r="N11213" t="n">
        <v>0</v>
      </c>
      <c r="O11213" t="n">
        <v>0</v>
      </c>
      <c r="P11213" t="n">
        <v>0</v>
      </c>
      <c r="Q11213" t="n">
        <v>0</v>
      </c>
      <c r="R11213" s="2" t="inlineStr"/>
    </row>
    <row r="11214" ht="15" customHeight="1">
      <c r="A11214" t="inlineStr">
        <is>
          <t>A 20258-2022</t>
        </is>
      </c>
      <c r="B11214" s="1" t="n">
        <v>44698</v>
      </c>
      <c r="C11214" s="1" t="n">
        <v>45952</v>
      </c>
      <c r="D11214" t="inlineStr">
        <is>
          <t>VÄSTRA GÖTALANDS LÄN</t>
        </is>
      </c>
      <c r="E11214" t="inlineStr">
        <is>
          <t>MUNKEDAL</t>
        </is>
      </c>
      <c r="G11214" t="n">
        <v>1.7</v>
      </c>
      <c r="H11214" t="n">
        <v>0</v>
      </c>
      <c r="I11214" t="n">
        <v>0</v>
      </c>
      <c r="J11214" t="n">
        <v>0</v>
      </c>
      <c r="K11214" t="n">
        <v>0</v>
      </c>
      <c r="L11214" t="n">
        <v>0</v>
      </c>
      <c r="M11214" t="n">
        <v>0</v>
      </c>
      <c r="N11214" t="n">
        <v>0</v>
      </c>
      <c r="O11214" t="n">
        <v>0</v>
      </c>
      <c r="P11214" t="n">
        <v>0</v>
      </c>
      <c r="Q11214" t="n">
        <v>0</v>
      </c>
      <c r="R11214" s="2" t="inlineStr"/>
    </row>
    <row r="11215" ht="15" customHeight="1">
      <c r="A11215" t="inlineStr">
        <is>
          <t>A 5847-2024</t>
        </is>
      </c>
      <c r="B11215" s="1" t="n">
        <v>45335.61695601852</v>
      </c>
      <c r="C11215" s="1" t="n">
        <v>45952</v>
      </c>
      <c r="D11215" t="inlineStr">
        <is>
          <t>VÄSTRA GÖTALANDS LÄN</t>
        </is>
      </c>
      <c r="E11215" t="inlineStr">
        <is>
          <t>VARA</t>
        </is>
      </c>
      <c r="G11215" t="n">
        <v>2.1</v>
      </c>
      <c r="H11215" t="n">
        <v>0</v>
      </c>
      <c r="I11215" t="n">
        <v>0</v>
      </c>
      <c r="J11215" t="n">
        <v>0</v>
      </c>
      <c r="K11215" t="n">
        <v>0</v>
      </c>
      <c r="L11215" t="n">
        <v>0</v>
      </c>
      <c r="M11215" t="n">
        <v>0</v>
      </c>
      <c r="N11215" t="n">
        <v>0</v>
      </c>
      <c r="O11215" t="n">
        <v>0</v>
      </c>
      <c r="P11215" t="n">
        <v>0</v>
      </c>
      <c r="Q11215" t="n">
        <v>0</v>
      </c>
      <c r="R11215" s="2" t="inlineStr"/>
    </row>
    <row r="11216" ht="15" customHeight="1">
      <c r="A11216" t="inlineStr">
        <is>
          <t>A 22857-2022</t>
        </is>
      </c>
      <c r="B11216" s="1" t="n">
        <v>44715</v>
      </c>
      <c r="C11216" s="1" t="n">
        <v>45952</v>
      </c>
      <c r="D11216" t="inlineStr">
        <is>
          <t>VÄSTRA GÖTALANDS LÄN</t>
        </is>
      </c>
      <c r="E11216" t="inlineStr">
        <is>
          <t>MUNKEDAL</t>
        </is>
      </c>
      <c r="G11216" t="n">
        <v>2.8</v>
      </c>
      <c r="H11216" t="n">
        <v>0</v>
      </c>
      <c r="I11216" t="n">
        <v>0</v>
      </c>
      <c r="J11216" t="n">
        <v>0</v>
      </c>
      <c r="K11216" t="n">
        <v>0</v>
      </c>
      <c r="L11216" t="n">
        <v>0</v>
      </c>
      <c r="M11216" t="n">
        <v>0</v>
      </c>
      <c r="N11216" t="n">
        <v>0</v>
      </c>
      <c r="O11216" t="n">
        <v>0</v>
      </c>
      <c r="P11216" t="n">
        <v>0</v>
      </c>
      <c r="Q11216" t="n">
        <v>0</v>
      </c>
      <c r="R11216" s="2" t="inlineStr"/>
    </row>
    <row r="11217" ht="15" customHeight="1">
      <c r="A11217" t="inlineStr">
        <is>
          <t>A 26614-2025</t>
        </is>
      </c>
      <c r="B11217" s="1" t="n">
        <v>45810.30189814815</v>
      </c>
      <c r="C11217" s="1" t="n">
        <v>45952</v>
      </c>
      <c r="D11217" t="inlineStr">
        <is>
          <t>VÄSTRA GÖTALANDS LÄN</t>
        </is>
      </c>
      <c r="E11217" t="inlineStr">
        <is>
          <t>SKÖVDE</t>
        </is>
      </c>
      <c r="G11217" t="n">
        <v>12.3</v>
      </c>
      <c r="H11217" t="n">
        <v>0</v>
      </c>
      <c r="I11217" t="n">
        <v>0</v>
      </c>
      <c r="J11217" t="n">
        <v>0</v>
      </c>
      <c r="K11217" t="n">
        <v>0</v>
      </c>
      <c r="L11217" t="n">
        <v>0</v>
      </c>
      <c r="M11217" t="n">
        <v>0</v>
      </c>
      <c r="N11217" t="n">
        <v>0</v>
      </c>
      <c r="O11217" t="n">
        <v>0</v>
      </c>
      <c r="P11217" t="n">
        <v>0</v>
      </c>
      <c r="Q11217" t="n">
        <v>0</v>
      </c>
      <c r="R11217" s="2" t="inlineStr"/>
    </row>
    <row r="11218" ht="15" customHeight="1">
      <c r="A11218" t="inlineStr">
        <is>
          <t>A 26616-2025</t>
        </is>
      </c>
      <c r="B11218" s="1" t="n">
        <v>45810.30738425926</v>
      </c>
      <c r="C11218" s="1" t="n">
        <v>45952</v>
      </c>
      <c r="D11218" t="inlineStr">
        <is>
          <t>VÄSTRA GÖTALANDS LÄN</t>
        </is>
      </c>
      <c r="E11218" t="inlineStr">
        <is>
          <t>SVENLJUNGA</t>
        </is>
      </c>
      <c r="G11218" t="n">
        <v>1.6</v>
      </c>
      <c r="H11218" t="n">
        <v>0</v>
      </c>
      <c r="I11218" t="n">
        <v>0</v>
      </c>
      <c r="J11218" t="n">
        <v>0</v>
      </c>
      <c r="K11218" t="n">
        <v>0</v>
      </c>
      <c r="L11218" t="n">
        <v>0</v>
      </c>
      <c r="M11218" t="n">
        <v>0</v>
      </c>
      <c r="N11218" t="n">
        <v>0</v>
      </c>
      <c r="O11218" t="n">
        <v>0</v>
      </c>
      <c r="P11218" t="n">
        <v>0</v>
      </c>
      <c r="Q11218" t="n">
        <v>0</v>
      </c>
      <c r="R11218" s="2" t="inlineStr"/>
    </row>
    <row r="11219" ht="15" customHeight="1">
      <c r="A11219" t="inlineStr">
        <is>
          <t>A 37726-2024</t>
        </is>
      </c>
      <c r="B11219" s="1" t="n">
        <v>45541.65391203704</v>
      </c>
      <c r="C11219" s="1" t="n">
        <v>45952</v>
      </c>
      <c r="D11219" t="inlineStr">
        <is>
          <t>VÄSTRA GÖTALANDS LÄN</t>
        </is>
      </c>
      <c r="E11219" t="inlineStr">
        <is>
          <t>VARA</t>
        </is>
      </c>
      <c r="G11219" t="n">
        <v>1.2</v>
      </c>
      <c r="H11219" t="n">
        <v>0</v>
      </c>
      <c r="I11219" t="n">
        <v>0</v>
      </c>
      <c r="J11219" t="n">
        <v>0</v>
      </c>
      <c r="K11219" t="n">
        <v>0</v>
      </c>
      <c r="L11219" t="n">
        <v>0</v>
      </c>
      <c r="M11219" t="n">
        <v>0</v>
      </c>
      <c r="N11219" t="n">
        <v>0</v>
      </c>
      <c r="O11219" t="n">
        <v>0</v>
      </c>
      <c r="P11219" t="n">
        <v>0</v>
      </c>
      <c r="Q11219" t="n">
        <v>0</v>
      </c>
      <c r="R11219" s="2" t="inlineStr"/>
    </row>
    <row r="11220" ht="15" customHeight="1">
      <c r="A11220" t="inlineStr">
        <is>
          <t>A 37731-2024</t>
        </is>
      </c>
      <c r="B11220" s="1" t="n">
        <v>45541.66200231481</v>
      </c>
      <c r="C11220" s="1" t="n">
        <v>45952</v>
      </c>
      <c r="D11220" t="inlineStr">
        <is>
          <t>VÄSTRA GÖTALANDS LÄN</t>
        </is>
      </c>
      <c r="E11220" t="inlineStr">
        <is>
          <t>HERRLJUNGA</t>
        </is>
      </c>
      <c r="G11220" t="n">
        <v>0.8</v>
      </c>
      <c r="H11220" t="n">
        <v>0</v>
      </c>
      <c r="I11220" t="n">
        <v>0</v>
      </c>
      <c r="J11220" t="n">
        <v>0</v>
      </c>
      <c r="K11220" t="n">
        <v>0</v>
      </c>
      <c r="L11220" t="n">
        <v>0</v>
      </c>
      <c r="M11220" t="n">
        <v>0</v>
      </c>
      <c r="N11220" t="n">
        <v>0</v>
      </c>
      <c r="O11220" t="n">
        <v>0</v>
      </c>
      <c r="P11220" t="n">
        <v>0</v>
      </c>
      <c r="Q11220" t="n">
        <v>0</v>
      </c>
      <c r="R11220" s="2" t="inlineStr"/>
    </row>
    <row r="11221" ht="15" customHeight="1">
      <c r="A11221" t="inlineStr">
        <is>
          <t>A 5926-2024</t>
        </is>
      </c>
      <c r="B11221" s="1" t="n">
        <v>45336</v>
      </c>
      <c r="C11221" s="1" t="n">
        <v>45952</v>
      </c>
      <c r="D11221" t="inlineStr">
        <is>
          <t>VÄSTRA GÖTALANDS LÄN</t>
        </is>
      </c>
      <c r="E11221" t="inlineStr">
        <is>
          <t>ORUST</t>
        </is>
      </c>
      <c r="G11221" t="n">
        <v>1.4</v>
      </c>
      <c r="H11221" t="n">
        <v>0</v>
      </c>
      <c r="I11221" t="n">
        <v>0</v>
      </c>
      <c r="J11221" t="n">
        <v>0</v>
      </c>
      <c r="K11221" t="n">
        <v>0</v>
      </c>
      <c r="L11221" t="n">
        <v>0</v>
      </c>
      <c r="M11221" t="n">
        <v>0</v>
      </c>
      <c r="N11221" t="n">
        <v>0</v>
      </c>
      <c r="O11221" t="n">
        <v>0</v>
      </c>
      <c r="P11221" t="n">
        <v>0</v>
      </c>
      <c r="Q11221" t="n">
        <v>0</v>
      </c>
      <c r="R11221" s="2" t="inlineStr"/>
    </row>
    <row r="11222" ht="15" customHeight="1">
      <c r="A11222" t="inlineStr">
        <is>
          <t>A 45649-2024</t>
        </is>
      </c>
      <c r="B11222" s="1" t="n">
        <v>45579.48623842592</v>
      </c>
      <c r="C11222" s="1" t="n">
        <v>45952</v>
      </c>
      <c r="D11222" t="inlineStr">
        <is>
          <t>VÄSTRA GÖTALANDS LÄN</t>
        </is>
      </c>
      <c r="E11222" t="inlineStr">
        <is>
          <t>TÖREBODA</t>
        </is>
      </c>
      <c r="G11222" t="n">
        <v>0.8</v>
      </c>
      <c r="H11222" t="n">
        <v>0</v>
      </c>
      <c r="I11222" t="n">
        <v>0</v>
      </c>
      <c r="J11222" t="n">
        <v>0</v>
      </c>
      <c r="K11222" t="n">
        <v>0</v>
      </c>
      <c r="L11222" t="n">
        <v>0</v>
      </c>
      <c r="M11222" t="n">
        <v>0</v>
      </c>
      <c r="N11222" t="n">
        <v>0</v>
      </c>
      <c r="O11222" t="n">
        <v>0</v>
      </c>
      <c r="P11222" t="n">
        <v>0</v>
      </c>
      <c r="Q11222" t="n">
        <v>0</v>
      </c>
      <c r="R11222" s="2" t="inlineStr"/>
    </row>
    <row r="11223" ht="15" customHeight="1">
      <c r="A11223" t="inlineStr">
        <is>
          <t>A 51176-2025</t>
        </is>
      </c>
      <c r="B11223" s="1" t="n">
        <v>45947</v>
      </c>
      <c r="C11223" s="1" t="n">
        <v>45952</v>
      </c>
      <c r="D11223" t="inlineStr">
        <is>
          <t>VÄSTRA GÖTALANDS LÄN</t>
        </is>
      </c>
      <c r="E11223" t="inlineStr">
        <is>
          <t>GULLSPÅNG</t>
        </is>
      </c>
      <c r="G11223" t="n">
        <v>0.5</v>
      </c>
      <c r="H11223" t="n">
        <v>0</v>
      </c>
      <c r="I11223" t="n">
        <v>0</v>
      </c>
      <c r="J11223" t="n">
        <v>0</v>
      </c>
      <c r="K11223" t="n">
        <v>0</v>
      </c>
      <c r="L11223" t="n">
        <v>0</v>
      </c>
      <c r="M11223" t="n">
        <v>0</v>
      </c>
      <c r="N11223" t="n">
        <v>0</v>
      </c>
      <c r="O11223" t="n">
        <v>0</v>
      </c>
      <c r="P11223" t="n">
        <v>0</v>
      </c>
      <c r="Q11223" t="n">
        <v>0</v>
      </c>
      <c r="R11223" s="2" t="inlineStr"/>
    </row>
    <row r="11224" ht="15" customHeight="1">
      <c r="A11224" t="inlineStr">
        <is>
          <t>A 22918-2022</t>
        </is>
      </c>
      <c r="B11224" s="1" t="n">
        <v>44715</v>
      </c>
      <c r="C11224" s="1" t="n">
        <v>45952</v>
      </c>
      <c r="D11224" t="inlineStr">
        <is>
          <t>VÄSTRA GÖTALANDS LÄN</t>
        </is>
      </c>
      <c r="E11224" t="inlineStr">
        <is>
          <t>MARK</t>
        </is>
      </c>
      <c r="G11224" t="n">
        <v>1.6</v>
      </c>
      <c r="H11224" t="n">
        <v>0</v>
      </c>
      <c r="I11224" t="n">
        <v>0</v>
      </c>
      <c r="J11224" t="n">
        <v>0</v>
      </c>
      <c r="K11224" t="n">
        <v>0</v>
      </c>
      <c r="L11224" t="n">
        <v>0</v>
      </c>
      <c r="M11224" t="n">
        <v>0</v>
      </c>
      <c r="N11224" t="n">
        <v>0</v>
      </c>
      <c r="O11224" t="n">
        <v>0</v>
      </c>
      <c r="P11224" t="n">
        <v>0</v>
      </c>
      <c r="Q11224" t="n">
        <v>0</v>
      </c>
      <c r="R11224" s="2" t="inlineStr"/>
    </row>
    <row r="11225" ht="15" customHeight="1">
      <c r="A11225" t="inlineStr">
        <is>
          <t>A 22923-2022</t>
        </is>
      </c>
      <c r="B11225" s="1" t="n">
        <v>44715</v>
      </c>
      <c r="C11225" s="1" t="n">
        <v>45952</v>
      </c>
      <c r="D11225" t="inlineStr">
        <is>
          <t>VÄSTRA GÖTALANDS LÄN</t>
        </is>
      </c>
      <c r="E11225" t="inlineStr">
        <is>
          <t>UDDEVALLA</t>
        </is>
      </c>
      <c r="G11225" t="n">
        <v>3.4</v>
      </c>
      <c r="H11225" t="n">
        <v>0</v>
      </c>
      <c r="I11225" t="n">
        <v>0</v>
      </c>
      <c r="J11225" t="n">
        <v>0</v>
      </c>
      <c r="K11225" t="n">
        <v>0</v>
      </c>
      <c r="L11225" t="n">
        <v>0</v>
      </c>
      <c r="M11225" t="n">
        <v>0</v>
      </c>
      <c r="N11225" t="n">
        <v>0</v>
      </c>
      <c r="O11225" t="n">
        <v>0</v>
      </c>
      <c r="P11225" t="n">
        <v>0</v>
      </c>
      <c r="Q11225" t="n">
        <v>0</v>
      </c>
      <c r="R11225" s="2" t="inlineStr"/>
    </row>
    <row r="11226" ht="15" customHeight="1">
      <c r="A11226" t="inlineStr">
        <is>
          <t>A 46745-2023</t>
        </is>
      </c>
      <c r="B11226" s="1" t="n">
        <v>45198</v>
      </c>
      <c r="C11226" s="1" t="n">
        <v>45952</v>
      </c>
      <c r="D11226" t="inlineStr">
        <is>
          <t>VÄSTRA GÖTALANDS LÄN</t>
        </is>
      </c>
      <c r="E11226" t="inlineStr">
        <is>
          <t>BENGTSFORS</t>
        </is>
      </c>
      <c r="G11226" t="n">
        <v>5.6</v>
      </c>
      <c r="H11226" t="n">
        <v>0</v>
      </c>
      <c r="I11226" t="n">
        <v>0</v>
      </c>
      <c r="J11226" t="n">
        <v>0</v>
      </c>
      <c r="K11226" t="n">
        <v>0</v>
      </c>
      <c r="L11226" t="n">
        <v>0</v>
      </c>
      <c r="M11226" t="n">
        <v>0</v>
      </c>
      <c r="N11226" t="n">
        <v>0</v>
      </c>
      <c r="O11226" t="n">
        <v>0</v>
      </c>
      <c r="P11226" t="n">
        <v>0</v>
      </c>
      <c r="Q11226" t="n">
        <v>0</v>
      </c>
      <c r="R11226" s="2" t="inlineStr"/>
    </row>
    <row r="11227" ht="15" customHeight="1">
      <c r="A11227" t="inlineStr">
        <is>
          <t>A 51199-2025</t>
        </is>
      </c>
      <c r="B11227" s="1" t="n">
        <v>45947.63421296296</v>
      </c>
      <c r="C11227" s="1" t="n">
        <v>45952</v>
      </c>
      <c r="D11227" t="inlineStr">
        <is>
          <t>VÄSTRA GÖTALANDS LÄN</t>
        </is>
      </c>
      <c r="E11227" t="inlineStr">
        <is>
          <t>BORÅS</t>
        </is>
      </c>
      <c r="G11227" t="n">
        <v>1.5</v>
      </c>
      <c r="H11227" t="n">
        <v>0</v>
      </c>
      <c r="I11227" t="n">
        <v>0</v>
      </c>
      <c r="J11227" t="n">
        <v>0</v>
      </c>
      <c r="K11227" t="n">
        <v>0</v>
      </c>
      <c r="L11227" t="n">
        <v>0</v>
      </c>
      <c r="M11227" t="n">
        <v>0</v>
      </c>
      <c r="N11227" t="n">
        <v>0</v>
      </c>
      <c r="O11227" t="n">
        <v>0</v>
      </c>
      <c r="P11227" t="n">
        <v>0</v>
      </c>
      <c r="Q11227" t="n">
        <v>0</v>
      </c>
      <c r="R11227" s="2" t="inlineStr"/>
    </row>
    <row r="11228" ht="15" customHeight="1">
      <c r="A11228" t="inlineStr">
        <is>
          <t>A 9003-2025</t>
        </is>
      </c>
      <c r="B11228" s="1" t="n">
        <v>45713.56717592593</v>
      </c>
      <c r="C11228" s="1" t="n">
        <v>45952</v>
      </c>
      <c r="D11228" t="inlineStr">
        <is>
          <t>VÄSTRA GÖTALANDS LÄN</t>
        </is>
      </c>
      <c r="E11228" t="inlineStr">
        <is>
          <t>SVENLJUNGA</t>
        </is>
      </c>
      <c r="G11228" t="n">
        <v>0.8</v>
      </c>
      <c r="H11228" t="n">
        <v>0</v>
      </c>
      <c r="I11228" t="n">
        <v>0</v>
      </c>
      <c r="J11228" t="n">
        <v>0</v>
      </c>
      <c r="K11228" t="n">
        <v>0</v>
      </c>
      <c r="L11228" t="n">
        <v>0</v>
      </c>
      <c r="M11228" t="n">
        <v>0</v>
      </c>
      <c r="N11228" t="n">
        <v>0</v>
      </c>
      <c r="O11228" t="n">
        <v>0</v>
      </c>
      <c r="P11228" t="n">
        <v>0</v>
      </c>
      <c r="Q11228" t="n">
        <v>0</v>
      </c>
      <c r="R11228" s="2" t="inlineStr"/>
    </row>
    <row r="11229" ht="15" customHeight="1">
      <c r="A11229" t="inlineStr">
        <is>
          <t>A 57918-2022</t>
        </is>
      </c>
      <c r="B11229" s="1" t="n">
        <v>44900.37013888889</v>
      </c>
      <c r="C11229" s="1" t="n">
        <v>45952</v>
      </c>
      <c r="D11229" t="inlineStr">
        <is>
          <t>VÄSTRA GÖTALANDS LÄN</t>
        </is>
      </c>
      <c r="E11229" t="inlineStr">
        <is>
          <t>TROLLHÄTTAN</t>
        </is>
      </c>
      <c r="G11229" t="n">
        <v>3.2</v>
      </c>
      <c r="H11229" t="n">
        <v>0</v>
      </c>
      <c r="I11229" t="n">
        <v>0</v>
      </c>
      <c r="J11229" t="n">
        <v>0</v>
      </c>
      <c r="K11229" t="n">
        <v>0</v>
      </c>
      <c r="L11229" t="n">
        <v>0</v>
      </c>
      <c r="M11229" t="n">
        <v>0</v>
      </c>
      <c r="N11229" t="n">
        <v>0</v>
      </c>
      <c r="O11229" t="n">
        <v>0</v>
      </c>
      <c r="P11229" t="n">
        <v>0</v>
      </c>
      <c r="Q11229" t="n">
        <v>0</v>
      </c>
      <c r="R11229" s="2" t="inlineStr"/>
    </row>
    <row r="11230" ht="15" customHeight="1">
      <c r="A11230" t="inlineStr">
        <is>
          <t>A 57921-2022</t>
        </is>
      </c>
      <c r="B11230" s="1" t="n">
        <v>44900</v>
      </c>
      <c r="C11230" s="1" t="n">
        <v>45952</v>
      </c>
      <c r="D11230" t="inlineStr">
        <is>
          <t>VÄSTRA GÖTALANDS LÄN</t>
        </is>
      </c>
      <c r="E11230" t="inlineStr">
        <is>
          <t>VÅRGÅRDA</t>
        </is>
      </c>
      <c r="G11230" t="n">
        <v>0.6</v>
      </c>
      <c r="H11230" t="n">
        <v>0</v>
      </c>
      <c r="I11230" t="n">
        <v>0</v>
      </c>
      <c r="J11230" t="n">
        <v>0</v>
      </c>
      <c r="K11230" t="n">
        <v>0</v>
      </c>
      <c r="L11230" t="n">
        <v>0</v>
      </c>
      <c r="M11230" t="n">
        <v>0</v>
      </c>
      <c r="N11230" t="n">
        <v>0</v>
      </c>
      <c r="O11230" t="n">
        <v>0</v>
      </c>
      <c r="P11230" t="n">
        <v>0</v>
      </c>
      <c r="Q11230" t="n">
        <v>0</v>
      </c>
      <c r="R11230" s="2" t="inlineStr"/>
    </row>
    <row r="11231" ht="15" customHeight="1">
      <c r="A11231" t="inlineStr">
        <is>
          <t>A 51206-2025</t>
        </is>
      </c>
      <c r="B11231" s="1" t="n">
        <v>45947.6365625</v>
      </c>
      <c r="C11231" s="1" t="n">
        <v>45952</v>
      </c>
      <c r="D11231" t="inlineStr">
        <is>
          <t>VÄSTRA GÖTALANDS LÄN</t>
        </is>
      </c>
      <c r="E11231" t="inlineStr">
        <is>
          <t>VARA</t>
        </is>
      </c>
      <c r="G11231" t="n">
        <v>2.4</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40647-2024</t>
        </is>
      </c>
      <c r="B11232" s="1" t="n">
        <v>45557</v>
      </c>
      <c r="C11232" s="1" t="n">
        <v>45952</v>
      </c>
      <c r="D11232" t="inlineStr">
        <is>
          <t>VÄSTRA GÖTALANDS LÄN</t>
        </is>
      </c>
      <c r="E11232" t="inlineStr">
        <is>
          <t>MUNKEDAL</t>
        </is>
      </c>
      <c r="G11232" t="n">
        <v>1.2</v>
      </c>
      <c r="H11232" t="n">
        <v>0</v>
      </c>
      <c r="I11232" t="n">
        <v>0</v>
      </c>
      <c r="J11232" t="n">
        <v>0</v>
      </c>
      <c r="K11232" t="n">
        <v>0</v>
      </c>
      <c r="L11232" t="n">
        <v>0</v>
      </c>
      <c r="M11232" t="n">
        <v>0</v>
      </c>
      <c r="N11232" t="n">
        <v>0</v>
      </c>
      <c r="O11232" t="n">
        <v>0</v>
      </c>
      <c r="P11232" t="n">
        <v>0</v>
      </c>
      <c r="Q11232" t="n">
        <v>0</v>
      </c>
      <c r="R11232" s="2" t="inlineStr"/>
    </row>
    <row r="11233" ht="15" customHeight="1">
      <c r="A11233" t="inlineStr">
        <is>
          <t>A 27138-2025</t>
        </is>
      </c>
      <c r="B11233" s="1" t="n">
        <v>45811.9821875</v>
      </c>
      <c r="C11233" s="1" t="n">
        <v>45952</v>
      </c>
      <c r="D11233" t="inlineStr">
        <is>
          <t>VÄSTRA GÖTALANDS LÄN</t>
        </is>
      </c>
      <c r="E11233" t="inlineStr">
        <is>
          <t>MARK</t>
        </is>
      </c>
      <c r="G11233" t="n">
        <v>4.6</v>
      </c>
      <c r="H11233" t="n">
        <v>0</v>
      </c>
      <c r="I11233" t="n">
        <v>0</v>
      </c>
      <c r="J11233" t="n">
        <v>0</v>
      </c>
      <c r="K11233" t="n">
        <v>0</v>
      </c>
      <c r="L11233" t="n">
        <v>0</v>
      </c>
      <c r="M11233" t="n">
        <v>0</v>
      </c>
      <c r="N11233" t="n">
        <v>0</v>
      </c>
      <c r="O11233" t="n">
        <v>0</v>
      </c>
      <c r="P11233" t="n">
        <v>0</v>
      </c>
      <c r="Q11233" t="n">
        <v>0</v>
      </c>
      <c r="R11233" s="2" t="inlineStr"/>
    </row>
    <row r="11234" ht="15" customHeight="1">
      <c r="A11234" t="inlineStr">
        <is>
          <t>A 59191-2023</t>
        </is>
      </c>
      <c r="B11234" s="1" t="n">
        <v>45251</v>
      </c>
      <c r="C11234" s="1" t="n">
        <v>45952</v>
      </c>
      <c r="D11234" t="inlineStr">
        <is>
          <t>VÄSTRA GÖTALANDS LÄN</t>
        </is>
      </c>
      <c r="E11234" t="inlineStr">
        <is>
          <t>GULLSPÅNG</t>
        </is>
      </c>
      <c r="G11234" t="n">
        <v>4.6</v>
      </c>
      <c r="H11234" t="n">
        <v>0</v>
      </c>
      <c r="I11234" t="n">
        <v>0</v>
      </c>
      <c r="J11234" t="n">
        <v>0</v>
      </c>
      <c r="K11234" t="n">
        <v>0</v>
      </c>
      <c r="L11234" t="n">
        <v>0</v>
      </c>
      <c r="M11234" t="n">
        <v>0</v>
      </c>
      <c r="N11234" t="n">
        <v>0</v>
      </c>
      <c r="O11234" t="n">
        <v>0</v>
      </c>
      <c r="P11234" t="n">
        <v>0</v>
      </c>
      <c r="Q11234" t="n">
        <v>0</v>
      </c>
      <c r="R11234" s="2" t="inlineStr"/>
    </row>
    <row r="11235" ht="15" customHeight="1">
      <c r="A11235" t="inlineStr">
        <is>
          <t>A 59231-2023</t>
        </is>
      </c>
      <c r="B11235" s="1" t="n">
        <v>45253</v>
      </c>
      <c r="C11235" s="1" t="n">
        <v>45952</v>
      </c>
      <c r="D11235" t="inlineStr">
        <is>
          <t>VÄSTRA GÖTALANDS LÄN</t>
        </is>
      </c>
      <c r="E11235" t="inlineStr">
        <is>
          <t>GULLSPÅNG</t>
        </is>
      </c>
      <c r="G11235" t="n">
        <v>1.3</v>
      </c>
      <c r="H11235" t="n">
        <v>0</v>
      </c>
      <c r="I11235" t="n">
        <v>0</v>
      </c>
      <c r="J11235" t="n">
        <v>0</v>
      </c>
      <c r="K11235" t="n">
        <v>0</v>
      </c>
      <c r="L11235" t="n">
        <v>0</v>
      </c>
      <c r="M11235" t="n">
        <v>0</v>
      </c>
      <c r="N11235" t="n">
        <v>0</v>
      </c>
      <c r="O11235" t="n">
        <v>0</v>
      </c>
      <c r="P11235" t="n">
        <v>0</v>
      </c>
      <c r="Q11235" t="n">
        <v>0</v>
      </c>
      <c r="R11235" s="2" t="inlineStr"/>
    </row>
    <row r="11236" ht="15" customHeight="1">
      <c r="A11236" t="inlineStr">
        <is>
          <t>A 6980-2024</t>
        </is>
      </c>
      <c r="B11236" s="1" t="n">
        <v>45343.48173611111</v>
      </c>
      <c r="C11236" s="1" t="n">
        <v>45952</v>
      </c>
      <c r="D11236" t="inlineStr">
        <is>
          <t>VÄSTRA GÖTALANDS LÄN</t>
        </is>
      </c>
      <c r="E11236" t="inlineStr">
        <is>
          <t>MARK</t>
        </is>
      </c>
      <c r="G11236" t="n">
        <v>1.1</v>
      </c>
      <c r="H11236" t="n">
        <v>0</v>
      </c>
      <c r="I11236" t="n">
        <v>0</v>
      </c>
      <c r="J11236" t="n">
        <v>0</v>
      </c>
      <c r="K11236" t="n">
        <v>0</v>
      </c>
      <c r="L11236" t="n">
        <v>0</v>
      </c>
      <c r="M11236" t="n">
        <v>0</v>
      </c>
      <c r="N11236" t="n">
        <v>0</v>
      </c>
      <c r="O11236" t="n">
        <v>0</v>
      </c>
      <c r="P11236" t="n">
        <v>0</v>
      </c>
      <c r="Q11236" t="n">
        <v>0</v>
      </c>
      <c r="R11236" s="2" t="inlineStr"/>
    </row>
    <row r="11237" ht="15" customHeight="1">
      <c r="A11237" t="inlineStr">
        <is>
          <t>A 6986-2024</t>
        </is>
      </c>
      <c r="B11237" s="1" t="n">
        <v>45343.48984953704</v>
      </c>
      <c r="C11237" s="1" t="n">
        <v>45952</v>
      </c>
      <c r="D11237" t="inlineStr">
        <is>
          <t>VÄSTRA GÖTALANDS LÄN</t>
        </is>
      </c>
      <c r="E11237" t="inlineStr">
        <is>
          <t>ORUST</t>
        </is>
      </c>
      <c r="G11237" t="n">
        <v>1.5</v>
      </c>
      <c r="H11237" t="n">
        <v>0</v>
      </c>
      <c r="I11237" t="n">
        <v>0</v>
      </c>
      <c r="J11237" t="n">
        <v>0</v>
      </c>
      <c r="K11237" t="n">
        <v>0</v>
      </c>
      <c r="L11237" t="n">
        <v>0</v>
      </c>
      <c r="M11237" t="n">
        <v>0</v>
      </c>
      <c r="N11237" t="n">
        <v>0</v>
      </c>
      <c r="O11237" t="n">
        <v>0</v>
      </c>
      <c r="P11237" t="n">
        <v>0</v>
      </c>
      <c r="Q11237" t="n">
        <v>0</v>
      </c>
      <c r="R11237" s="2" t="inlineStr"/>
    </row>
    <row r="11238" ht="15" customHeight="1">
      <c r="A11238" t="inlineStr">
        <is>
          <t>A 27584-2025</t>
        </is>
      </c>
      <c r="B11238" s="1" t="n">
        <v>45813.50327546296</v>
      </c>
      <c r="C11238" s="1" t="n">
        <v>45952</v>
      </c>
      <c r="D11238" t="inlineStr">
        <is>
          <t>VÄSTRA GÖTALANDS LÄN</t>
        </is>
      </c>
      <c r="E11238" t="inlineStr">
        <is>
          <t>TRANEMO</t>
        </is>
      </c>
      <c r="G11238" t="n">
        <v>1.6</v>
      </c>
      <c r="H11238" t="n">
        <v>0</v>
      </c>
      <c r="I11238" t="n">
        <v>0</v>
      </c>
      <c r="J11238" t="n">
        <v>0</v>
      </c>
      <c r="K11238" t="n">
        <v>0</v>
      </c>
      <c r="L11238" t="n">
        <v>0</v>
      </c>
      <c r="M11238" t="n">
        <v>0</v>
      </c>
      <c r="N11238" t="n">
        <v>0</v>
      </c>
      <c r="O11238" t="n">
        <v>0</v>
      </c>
      <c r="P11238" t="n">
        <v>0</v>
      </c>
      <c r="Q11238" t="n">
        <v>0</v>
      </c>
      <c r="R11238" s="2" t="inlineStr"/>
    </row>
    <row r="11239" ht="15" customHeight="1">
      <c r="A11239" t="inlineStr">
        <is>
          <t>A 15409-2024</t>
        </is>
      </c>
      <c r="B11239" s="1" t="n">
        <v>45401.34701388889</v>
      </c>
      <c r="C11239" s="1" t="n">
        <v>45952</v>
      </c>
      <c r="D11239" t="inlineStr">
        <is>
          <t>VÄSTRA GÖTALANDS LÄN</t>
        </is>
      </c>
      <c r="E11239" t="inlineStr">
        <is>
          <t>TIBRO</t>
        </is>
      </c>
      <c r="G11239" t="n">
        <v>3</v>
      </c>
      <c r="H11239" t="n">
        <v>0</v>
      </c>
      <c r="I11239" t="n">
        <v>0</v>
      </c>
      <c r="J11239" t="n">
        <v>0</v>
      </c>
      <c r="K11239" t="n">
        <v>0</v>
      </c>
      <c r="L11239" t="n">
        <v>0</v>
      </c>
      <c r="M11239" t="n">
        <v>0</v>
      </c>
      <c r="N11239" t="n">
        <v>0</v>
      </c>
      <c r="O11239" t="n">
        <v>0</v>
      </c>
      <c r="P11239" t="n">
        <v>0</v>
      </c>
      <c r="Q11239" t="n">
        <v>0</v>
      </c>
      <c r="R11239" s="2" t="inlineStr"/>
    </row>
    <row r="11240" ht="15" customHeight="1">
      <c r="A11240" t="inlineStr">
        <is>
          <t>A 64438-2023</t>
        </is>
      </c>
      <c r="B11240" s="1" t="n">
        <v>45280.68280092593</v>
      </c>
      <c r="C11240" s="1" t="n">
        <v>45952</v>
      </c>
      <c r="D11240" t="inlineStr">
        <is>
          <t>VÄSTRA GÖTALANDS LÄN</t>
        </is>
      </c>
      <c r="E11240" t="inlineStr">
        <is>
          <t>TIBRO</t>
        </is>
      </c>
      <c r="G11240" t="n">
        <v>5.8</v>
      </c>
      <c r="H11240" t="n">
        <v>0</v>
      </c>
      <c r="I11240" t="n">
        <v>0</v>
      </c>
      <c r="J11240" t="n">
        <v>0</v>
      </c>
      <c r="K11240" t="n">
        <v>0</v>
      </c>
      <c r="L11240" t="n">
        <v>0</v>
      </c>
      <c r="M11240" t="n">
        <v>0</v>
      </c>
      <c r="N11240" t="n">
        <v>0</v>
      </c>
      <c r="O11240" t="n">
        <v>0</v>
      </c>
      <c r="P11240" t="n">
        <v>0</v>
      </c>
      <c r="Q11240" t="n">
        <v>0</v>
      </c>
      <c r="R11240" s="2" t="inlineStr"/>
    </row>
    <row r="11241" ht="15" customHeight="1">
      <c r="A11241" t="inlineStr">
        <is>
          <t>A 27513-2025</t>
        </is>
      </c>
      <c r="B11241" s="1" t="n">
        <v>45813.42880787037</v>
      </c>
      <c r="C11241" s="1" t="n">
        <v>45952</v>
      </c>
      <c r="D11241" t="inlineStr">
        <is>
          <t>VÄSTRA GÖTALANDS LÄN</t>
        </is>
      </c>
      <c r="E11241" t="inlineStr">
        <is>
          <t>HÄRRYDA</t>
        </is>
      </c>
      <c r="G11241" t="n">
        <v>1.1</v>
      </c>
      <c r="H11241" t="n">
        <v>0</v>
      </c>
      <c r="I11241" t="n">
        <v>0</v>
      </c>
      <c r="J11241" t="n">
        <v>0</v>
      </c>
      <c r="K11241" t="n">
        <v>0</v>
      </c>
      <c r="L11241" t="n">
        <v>0</v>
      </c>
      <c r="M11241" t="n">
        <v>0</v>
      </c>
      <c r="N11241" t="n">
        <v>0</v>
      </c>
      <c r="O11241" t="n">
        <v>0</v>
      </c>
      <c r="P11241" t="n">
        <v>0</v>
      </c>
      <c r="Q11241" t="n">
        <v>0</v>
      </c>
      <c r="R11241" s="2" t="inlineStr"/>
    </row>
    <row r="11242" ht="15" customHeight="1">
      <c r="A11242" t="inlineStr">
        <is>
          <t>A 62015-2022</t>
        </is>
      </c>
      <c r="B11242" s="1" t="n">
        <v>44918.46096064815</v>
      </c>
      <c r="C11242" s="1" t="n">
        <v>45952</v>
      </c>
      <c r="D11242" t="inlineStr">
        <is>
          <t>VÄSTRA GÖTALANDS LÄN</t>
        </is>
      </c>
      <c r="E11242" t="inlineStr">
        <is>
          <t>HERRLJUNGA</t>
        </is>
      </c>
      <c r="G11242" t="n">
        <v>4.9</v>
      </c>
      <c r="H11242" t="n">
        <v>0</v>
      </c>
      <c r="I11242" t="n">
        <v>0</v>
      </c>
      <c r="J11242" t="n">
        <v>0</v>
      </c>
      <c r="K11242" t="n">
        <v>0</v>
      </c>
      <c r="L11242" t="n">
        <v>0</v>
      </c>
      <c r="M11242" t="n">
        <v>0</v>
      </c>
      <c r="N11242" t="n">
        <v>0</v>
      </c>
      <c r="O11242" t="n">
        <v>0</v>
      </c>
      <c r="P11242" t="n">
        <v>0</v>
      </c>
      <c r="Q11242" t="n">
        <v>0</v>
      </c>
      <c r="R11242" s="2" t="inlineStr"/>
    </row>
    <row r="11243" ht="15" customHeight="1">
      <c r="A11243" t="inlineStr">
        <is>
          <t>A 5359-2023</t>
        </is>
      </c>
      <c r="B11243" s="1" t="n">
        <v>44959</v>
      </c>
      <c r="C11243" s="1" t="n">
        <v>45952</v>
      </c>
      <c r="D11243" t="inlineStr">
        <is>
          <t>VÄSTRA GÖTALANDS LÄN</t>
        </is>
      </c>
      <c r="E11243" t="inlineStr">
        <is>
          <t>LERUM</t>
        </is>
      </c>
      <c r="G11243" t="n">
        <v>1</v>
      </c>
      <c r="H11243" t="n">
        <v>0</v>
      </c>
      <c r="I11243" t="n">
        <v>0</v>
      </c>
      <c r="J11243" t="n">
        <v>0</v>
      </c>
      <c r="K11243" t="n">
        <v>0</v>
      </c>
      <c r="L11243" t="n">
        <v>0</v>
      </c>
      <c r="M11243" t="n">
        <v>0</v>
      </c>
      <c r="N11243" t="n">
        <v>0</v>
      </c>
      <c r="O11243" t="n">
        <v>0</v>
      </c>
      <c r="P11243" t="n">
        <v>0</v>
      </c>
      <c r="Q11243" t="n">
        <v>0</v>
      </c>
      <c r="R11243" s="2" t="inlineStr"/>
    </row>
    <row r="11244" ht="15" customHeight="1">
      <c r="A11244" t="inlineStr">
        <is>
          <t>A 2452-2022</t>
        </is>
      </c>
      <c r="B11244" s="1" t="n">
        <v>44579</v>
      </c>
      <c r="C11244" s="1" t="n">
        <v>45952</v>
      </c>
      <c r="D11244" t="inlineStr">
        <is>
          <t>VÄSTRA GÖTALANDS LÄN</t>
        </is>
      </c>
      <c r="E11244" t="inlineStr">
        <is>
          <t>VARA</t>
        </is>
      </c>
      <c r="G11244" t="n">
        <v>1.1</v>
      </c>
      <c r="H11244" t="n">
        <v>0</v>
      </c>
      <c r="I11244" t="n">
        <v>0</v>
      </c>
      <c r="J11244" t="n">
        <v>0</v>
      </c>
      <c r="K11244" t="n">
        <v>0</v>
      </c>
      <c r="L11244" t="n">
        <v>0</v>
      </c>
      <c r="M11244" t="n">
        <v>0</v>
      </c>
      <c r="N11244" t="n">
        <v>0</v>
      </c>
      <c r="O11244" t="n">
        <v>0</v>
      </c>
      <c r="P11244" t="n">
        <v>0</v>
      </c>
      <c r="Q11244" t="n">
        <v>0</v>
      </c>
      <c r="R11244" s="2" t="inlineStr"/>
    </row>
    <row r="11245" ht="15" customHeight="1">
      <c r="A11245" t="inlineStr">
        <is>
          <t>A 2460-2022</t>
        </is>
      </c>
      <c r="B11245" s="1" t="n">
        <v>44579</v>
      </c>
      <c r="C11245" s="1" t="n">
        <v>45952</v>
      </c>
      <c r="D11245" t="inlineStr">
        <is>
          <t>VÄSTRA GÖTALANDS LÄN</t>
        </is>
      </c>
      <c r="E11245" t="inlineStr">
        <is>
          <t>TROLLHÄTTAN</t>
        </is>
      </c>
      <c r="G11245" t="n">
        <v>6.1</v>
      </c>
      <c r="H11245" t="n">
        <v>0</v>
      </c>
      <c r="I11245" t="n">
        <v>0</v>
      </c>
      <c r="J11245" t="n">
        <v>0</v>
      </c>
      <c r="K11245" t="n">
        <v>0</v>
      </c>
      <c r="L11245" t="n">
        <v>0</v>
      </c>
      <c r="M11245" t="n">
        <v>0</v>
      </c>
      <c r="N11245" t="n">
        <v>0</v>
      </c>
      <c r="O11245" t="n">
        <v>0</v>
      </c>
      <c r="P11245" t="n">
        <v>0</v>
      </c>
      <c r="Q11245" t="n">
        <v>0</v>
      </c>
      <c r="R11245" s="2" t="inlineStr"/>
    </row>
    <row r="11246" ht="15" customHeight="1">
      <c r="A11246" t="inlineStr">
        <is>
          <t>A 27356-2025</t>
        </is>
      </c>
      <c r="B11246" s="1" t="n">
        <v>45812.63560185185</v>
      </c>
      <c r="C11246" s="1" t="n">
        <v>45952</v>
      </c>
      <c r="D11246" t="inlineStr">
        <is>
          <t>VÄSTRA GÖTALANDS LÄN</t>
        </is>
      </c>
      <c r="E11246" t="inlineStr">
        <is>
          <t>BORÅS</t>
        </is>
      </c>
      <c r="G11246" t="n">
        <v>1.9</v>
      </c>
      <c r="H11246" t="n">
        <v>0</v>
      </c>
      <c r="I11246" t="n">
        <v>0</v>
      </c>
      <c r="J11246" t="n">
        <v>0</v>
      </c>
      <c r="K11246" t="n">
        <v>0</v>
      </c>
      <c r="L11246" t="n">
        <v>0</v>
      </c>
      <c r="M11246" t="n">
        <v>0</v>
      </c>
      <c r="N11246" t="n">
        <v>0</v>
      </c>
      <c r="O11246" t="n">
        <v>0</v>
      </c>
      <c r="P11246" t="n">
        <v>0</v>
      </c>
      <c r="Q11246" t="n">
        <v>0</v>
      </c>
      <c r="R11246" s="2" t="inlineStr"/>
    </row>
    <row r="11247" ht="15" customHeight="1">
      <c r="A11247" t="inlineStr">
        <is>
          <t>A 27586-2025</t>
        </is>
      </c>
      <c r="B11247" s="1" t="n">
        <v>45813.50425925926</v>
      </c>
      <c r="C11247" s="1" t="n">
        <v>45952</v>
      </c>
      <c r="D11247" t="inlineStr">
        <is>
          <t>VÄSTRA GÖTALANDS LÄN</t>
        </is>
      </c>
      <c r="E11247" t="inlineStr">
        <is>
          <t>TRANEMO</t>
        </is>
      </c>
      <c r="G11247" t="n">
        <v>0.8</v>
      </c>
      <c r="H11247" t="n">
        <v>0</v>
      </c>
      <c r="I11247" t="n">
        <v>0</v>
      </c>
      <c r="J11247" t="n">
        <v>0</v>
      </c>
      <c r="K11247" t="n">
        <v>0</v>
      </c>
      <c r="L11247" t="n">
        <v>0</v>
      </c>
      <c r="M11247" t="n">
        <v>0</v>
      </c>
      <c r="N11247" t="n">
        <v>0</v>
      </c>
      <c r="O11247" t="n">
        <v>0</v>
      </c>
      <c r="P11247" t="n">
        <v>0</v>
      </c>
      <c r="Q11247" t="n">
        <v>0</v>
      </c>
      <c r="R11247" s="2" t="inlineStr"/>
    </row>
    <row r="11248" ht="15" customHeight="1">
      <c r="A11248" t="inlineStr">
        <is>
          <t>A 50736-2025</t>
        </is>
      </c>
      <c r="B11248" s="1" t="n">
        <v>45946.36873842592</v>
      </c>
      <c r="C11248" s="1" t="n">
        <v>45952</v>
      </c>
      <c r="D11248" t="inlineStr">
        <is>
          <t>VÄSTRA GÖTALANDS LÄN</t>
        </is>
      </c>
      <c r="E11248" t="inlineStr">
        <is>
          <t>GULLSPÅNG</t>
        </is>
      </c>
      <c r="G11248" t="n">
        <v>1.3</v>
      </c>
      <c r="H11248" t="n">
        <v>0</v>
      </c>
      <c r="I11248" t="n">
        <v>0</v>
      </c>
      <c r="J11248" t="n">
        <v>0</v>
      </c>
      <c r="K11248" t="n">
        <v>0</v>
      </c>
      <c r="L11248" t="n">
        <v>0</v>
      </c>
      <c r="M11248" t="n">
        <v>0</v>
      </c>
      <c r="N11248" t="n">
        <v>0</v>
      </c>
      <c r="O11248" t="n">
        <v>0</v>
      </c>
      <c r="P11248" t="n">
        <v>0</v>
      </c>
      <c r="Q11248" t="n">
        <v>0</v>
      </c>
      <c r="R11248" s="2" t="inlineStr"/>
    </row>
    <row r="11249" ht="15" customHeight="1">
      <c r="A11249" t="inlineStr">
        <is>
          <t>A 23186-2024</t>
        </is>
      </c>
      <c r="B11249" s="1" t="n">
        <v>45450</v>
      </c>
      <c r="C11249" s="1" t="n">
        <v>45952</v>
      </c>
      <c r="D11249" t="inlineStr">
        <is>
          <t>VÄSTRA GÖTALANDS LÄN</t>
        </is>
      </c>
      <c r="E11249" t="inlineStr">
        <is>
          <t>ÅMÅL</t>
        </is>
      </c>
      <c r="G11249" t="n">
        <v>4.7</v>
      </c>
      <c r="H11249" t="n">
        <v>0</v>
      </c>
      <c r="I11249" t="n">
        <v>0</v>
      </c>
      <c r="J11249" t="n">
        <v>0</v>
      </c>
      <c r="K11249" t="n">
        <v>0</v>
      </c>
      <c r="L11249" t="n">
        <v>0</v>
      </c>
      <c r="M11249" t="n">
        <v>0</v>
      </c>
      <c r="N11249" t="n">
        <v>0</v>
      </c>
      <c r="O11249" t="n">
        <v>0</v>
      </c>
      <c r="P11249" t="n">
        <v>0</v>
      </c>
      <c r="Q11249" t="n">
        <v>0</v>
      </c>
      <c r="R11249" s="2" t="inlineStr"/>
    </row>
    <row r="11250" ht="15" customHeight="1">
      <c r="A11250" t="inlineStr">
        <is>
          <t>A 37736-2024</t>
        </is>
      </c>
      <c r="B11250" s="1" t="n">
        <v>45541.66744212963</v>
      </c>
      <c r="C11250" s="1" t="n">
        <v>45952</v>
      </c>
      <c r="D11250" t="inlineStr">
        <is>
          <t>VÄSTRA GÖTALANDS LÄN</t>
        </is>
      </c>
      <c r="E11250" t="inlineStr">
        <is>
          <t>BENGTSFORS</t>
        </is>
      </c>
      <c r="G11250" t="n">
        <v>1.2</v>
      </c>
      <c r="H11250" t="n">
        <v>0</v>
      </c>
      <c r="I11250" t="n">
        <v>0</v>
      </c>
      <c r="J11250" t="n">
        <v>0</v>
      </c>
      <c r="K11250" t="n">
        <v>0</v>
      </c>
      <c r="L11250" t="n">
        <v>0</v>
      </c>
      <c r="M11250" t="n">
        <v>0</v>
      </c>
      <c r="N11250" t="n">
        <v>0</v>
      </c>
      <c r="O11250" t="n">
        <v>0</v>
      </c>
      <c r="P11250" t="n">
        <v>0</v>
      </c>
      <c r="Q11250" t="n">
        <v>0</v>
      </c>
      <c r="R11250" s="2" t="inlineStr"/>
    </row>
    <row r="11251" ht="15" customHeight="1">
      <c r="A11251" t="inlineStr">
        <is>
          <t>A 34241-2024</t>
        </is>
      </c>
      <c r="B11251" s="1" t="n">
        <v>45524.57997685186</v>
      </c>
      <c r="C11251" s="1" t="n">
        <v>45952</v>
      </c>
      <c r="D11251" t="inlineStr">
        <is>
          <t>VÄSTRA GÖTALANDS LÄN</t>
        </is>
      </c>
      <c r="E11251" t="inlineStr">
        <is>
          <t>FÄRGELANDA</t>
        </is>
      </c>
      <c r="G11251" t="n">
        <v>1.1</v>
      </c>
      <c r="H11251" t="n">
        <v>0</v>
      </c>
      <c r="I11251" t="n">
        <v>0</v>
      </c>
      <c r="J11251" t="n">
        <v>0</v>
      </c>
      <c r="K11251" t="n">
        <v>0</v>
      </c>
      <c r="L11251" t="n">
        <v>0</v>
      </c>
      <c r="M11251" t="n">
        <v>0</v>
      </c>
      <c r="N11251" t="n">
        <v>0</v>
      </c>
      <c r="O11251" t="n">
        <v>0</v>
      </c>
      <c r="P11251" t="n">
        <v>0</v>
      </c>
      <c r="Q11251" t="n">
        <v>0</v>
      </c>
      <c r="R11251" s="2" t="inlineStr"/>
    </row>
    <row r="11252" ht="15" customHeight="1">
      <c r="A11252" t="inlineStr">
        <is>
          <t>A 10764-2024</t>
        </is>
      </c>
      <c r="B11252" s="1" t="n">
        <v>45369.56681712963</v>
      </c>
      <c r="C11252" s="1" t="n">
        <v>45952</v>
      </c>
      <c r="D11252" t="inlineStr">
        <is>
          <t>VÄSTRA GÖTALANDS LÄN</t>
        </is>
      </c>
      <c r="E11252" t="inlineStr">
        <is>
          <t>STRÖMSTAD</t>
        </is>
      </c>
      <c r="G11252" t="n">
        <v>8.300000000000001</v>
      </c>
      <c r="H11252" t="n">
        <v>0</v>
      </c>
      <c r="I11252" t="n">
        <v>0</v>
      </c>
      <c r="J11252" t="n">
        <v>0</v>
      </c>
      <c r="K11252" t="n">
        <v>0</v>
      </c>
      <c r="L11252" t="n">
        <v>0</v>
      </c>
      <c r="M11252" t="n">
        <v>0</v>
      </c>
      <c r="N11252" t="n">
        <v>0</v>
      </c>
      <c r="O11252" t="n">
        <v>0</v>
      </c>
      <c r="P11252" t="n">
        <v>0</v>
      </c>
      <c r="Q11252" t="n">
        <v>0</v>
      </c>
      <c r="R11252" s="2" t="inlineStr"/>
    </row>
    <row r="11253" ht="15" customHeight="1">
      <c r="A11253" t="inlineStr">
        <is>
          <t>A 59815-2023</t>
        </is>
      </c>
      <c r="B11253" s="1" t="n">
        <v>45257</v>
      </c>
      <c r="C11253" s="1" t="n">
        <v>45952</v>
      </c>
      <c r="D11253" t="inlineStr">
        <is>
          <t>VÄSTRA GÖTALANDS LÄN</t>
        </is>
      </c>
      <c r="E11253" t="inlineStr">
        <is>
          <t>DALS-ED</t>
        </is>
      </c>
      <c r="G11253" t="n">
        <v>1.1</v>
      </c>
      <c r="H11253" t="n">
        <v>0</v>
      </c>
      <c r="I11253" t="n">
        <v>0</v>
      </c>
      <c r="J11253" t="n">
        <v>0</v>
      </c>
      <c r="K11253" t="n">
        <v>0</v>
      </c>
      <c r="L11253" t="n">
        <v>0</v>
      </c>
      <c r="M11253" t="n">
        <v>0</v>
      </c>
      <c r="N11253" t="n">
        <v>0</v>
      </c>
      <c r="O11253" t="n">
        <v>0</v>
      </c>
      <c r="P11253" t="n">
        <v>0</v>
      </c>
      <c r="Q11253" t="n">
        <v>0</v>
      </c>
      <c r="R11253" s="2" t="inlineStr"/>
    </row>
    <row r="11254" ht="15" customHeight="1">
      <c r="A11254" t="inlineStr">
        <is>
          <t>A 63761-2023</t>
        </is>
      </c>
      <c r="B11254" s="1" t="n">
        <v>45278</v>
      </c>
      <c r="C11254" s="1" t="n">
        <v>45952</v>
      </c>
      <c r="D11254" t="inlineStr">
        <is>
          <t>VÄSTRA GÖTALANDS LÄN</t>
        </is>
      </c>
      <c r="E11254" t="inlineStr">
        <is>
          <t>FÄRGELANDA</t>
        </is>
      </c>
      <c r="G11254" t="n">
        <v>6.5</v>
      </c>
      <c r="H11254" t="n">
        <v>0</v>
      </c>
      <c r="I11254" t="n">
        <v>0</v>
      </c>
      <c r="J11254" t="n">
        <v>0</v>
      </c>
      <c r="K11254" t="n">
        <v>0</v>
      </c>
      <c r="L11254" t="n">
        <v>0</v>
      </c>
      <c r="M11254" t="n">
        <v>0</v>
      </c>
      <c r="N11254" t="n">
        <v>0</v>
      </c>
      <c r="O11254" t="n">
        <v>0</v>
      </c>
      <c r="P11254" t="n">
        <v>0</v>
      </c>
      <c r="Q11254" t="n">
        <v>0</v>
      </c>
      <c r="R11254" s="2" t="inlineStr"/>
    </row>
    <row r="11255" ht="15" customHeight="1">
      <c r="A11255" t="inlineStr">
        <is>
          <t>A 63762-2023</t>
        </is>
      </c>
      <c r="B11255" s="1" t="n">
        <v>45278</v>
      </c>
      <c r="C11255" s="1" t="n">
        <v>45952</v>
      </c>
      <c r="D11255" t="inlineStr">
        <is>
          <t>VÄSTRA GÖTALANDS LÄN</t>
        </is>
      </c>
      <c r="E11255" t="inlineStr">
        <is>
          <t>FÄRGELANDA</t>
        </is>
      </c>
      <c r="G11255" t="n">
        <v>2.4</v>
      </c>
      <c r="H11255" t="n">
        <v>0</v>
      </c>
      <c r="I11255" t="n">
        <v>0</v>
      </c>
      <c r="J11255" t="n">
        <v>0</v>
      </c>
      <c r="K11255" t="n">
        <v>0</v>
      </c>
      <c r="L11255" t="n">
        <v>0</v>
      </c>
      <c r="M11255" t="n">
        <v>0</v>
      </c>
      <c r="N11255" t="n">
        <v>0</v>
      </c>
      <c r="O11255" t="n">
        <v>0</v>
      </c>
      <c r="P11255" t="n">
        <v>0</v>
      </c>
      <c r="Q11255" t="n">
        <v>0</v>
      </c>
      <c r="R11255" s="2" t="inlineStr"/>
    </row>
    <row r="11256" ht="15" customHeight="1">
      <c r="A11256" t="inlineStr">
        <is>
          <t>A 32186-2024</t>
        </is>
      </c>
      <c r="B11256" s="1" t="n">
        <v>45511.64774305555</v>
      </c>
      <c r="C11256" s="1" t="n">
        <v>45952</v>
      </c>
      <c r="D11256" t="inlineStr">
        <is>
          <t>VÄSTRA GÖTALANDS LÄN</t>
        </is>
      </c>
      <c r="E11256" t="inlineStr">
        <is>
          <t>FALKÖPING</t>
        </is>
      </c>
      <c r="G11256" t="n">
        <v>2.4</v>
      </c>
      <c r="H11256" t="n">
        <v>0</v>
      </c>
      <c r="I11256" t="n">
        <v>0</v>
      </c>
      <c r="J11256" t="n">
        <v>0</v>
      </c>
      <c r="K11256" t="n">
        <v>0</v>
      </c>
      <c r="L11256" t="n">
        <v>0</v>
      </c>
      <c r="M11256" t="n">
        <v>0</v>
      </c>
      <c r="N11256" t="n">
        <v>0</v>
      </c>
      <c r="O11256" t="n">
        <v>0</v>
      </c>
      <c r="P11256" t="n">
        <v>0</v>
      </c>
      <c r="Q11256" t="n">
        <v>0</v>
      </c>
      <c r="R11256" s="2" t="inlineStr"/>
    </row>
    <row r="11257" ht="15" customHeight="1">
      <c r="A11257" t="inlineStr">
        <is>
          <t>A 27152-2025</t>
        </is>
      </c>
      <c r="B11257" s="1" t="n">
        <v>45812.32118055555</v>
      </c>
      <c r="C11257" s="1" t="n">
        <v>45952</v>
      </c>
      <c r="D11257" t="inlineStr">
        <is>
          <t>VÄSTRA GÖTALANDS LÄN</t>
        </is>
      </c>
      <c r="E11257" t="inlineStr">
        <is>
          <t>DALS-ED</t>
        </is>
      </c>
      <c r="G11257" t="n">
        <v>0.3</v>
      </c>
      <c r="H11257" t="n">
        <v>0</v>
      </c>
      <c r="I11257" t="n">
        <v>0</v>
      </c>
      <c r="J11257" t="n">
        <v>0</v>
      </c>
      <c r="K11257" t="n">
        <v>0</v>
      </c>
      <c r="L11257" t="n">
        <v>0</v>
      </c>
      <c r="M11257" t="n">
        <v>0</v>
      </c>
      <c r="N11257" t="n">
        <v>0</v>
      </c>
      <c r="O11257" t="n">
        <v>0</v>
      </c>
      <c r="P11257" t="n">
        <v>0</v>
      </c>
      <c r="Q11257" t="n">
        <v>0</v>
      </c>
      <c r="R11257" s="2" t="inlineStr"/>
    </row>
    <row r="11258" ht="15" customHeight="1">
      <c r="A11258" t="inlineStr">
        <is>
          <t>A 27222-2025</t>
        </is>
      </c>
      <c r="B11258" s="1" t="n">
        <v>45812.42443287037</v>
      </c>
      <c r="C11258" s="1" t="n">
        <v>45952</v>
      </c>
      <c r="D11258" t="inlineStr">
        <is>
          <t>VÄSTRA GÖTALANDS LÄN</t>
        </is>
      </c>
      <c r="E11258" t="inlineStr">
        <is>
          <t>LILLA EDET</t>
        </is>
      </c>
      <c r="G11258" t="n">
        <v>1.3</v>
      </c>
      <c r="H11258" t="n">
        <v>0</v>
      </c>
      <c r="I11258" t="n">
        <v>0</v>
      </c>
      <c r="J11258" t="n">
        <v>0</v>
      </c>
      <c r="K11258" t="n">
        <v>0</v>
      </c>
      <c r="L11258" t="n">
        <v>0</v>
      </c>
      <c r="M11258" t="n">
        <v>0</v>
      </c>
      <c r="N11258" t="n">
        <v>0</v>
      </c>
      <c r="O11258" t="n">
        <v>0</v>
      </c>
      <c r="P11258" t="n">
        <v>0</v>
      </c>
      <c r="Q11258" t="n">
        <v>0</v>
      </c>
      <c r="R11258" s="2" t="inlineStr"/>
    </row>
    <row r="11259" ht="15" customHeight="1">
      <c r="A11259" t="inlineStr">
        <is>
          <t>A 30628-2023</t>
        </is>
      </c>
      <c r="B11259" s="1" t="n">
        <v>45112.44275462963</v>
      </c>
      <c r="C11259" s="1" t="n">
        <v>45952</v>
      </c>
      <c r="D11259" t="inlineStr">
        <is>
          <t>VÄSTRA GÖTALANDS LÄN</t>
        </is>
      </c>
      <c r="E11259" t="inlineStr">
        <is>
          <t>BOLLEBYGD</t>
        </is>
      </c>
      <c r="G11259" t="n">
        <v>4.3</v>
      </c>
      <c r="H11259" t="n">
        <v>0</v>
      </c>
      <c r="I11259" t="n">
        <v>0</v>
      </c>
      <c r="J11259" t="n">
        <v>0</v>
      </c>
      <c r="K11259" t="n">
        <v>0</v>
      </c>
      <c r="L11259" t="n">
        <v>0</v>
      </c>
      <c r="M11259" t="n">
        <v>0</v>
      </c>
      <c r="N11259" t="n">
        <v>0</v>
      </c>
      <c r="O11259" t="n">
        <v>0</v>
      </c>
      <c r="P11259" t="n">
        <v>0</v>
      </c>
      <c r="Q11259" t="n">
        <v>0</v>
      </c>
      <c r="R11259" s="2" t="inlineStr"/>
    </row>
    <row r="11260" ht="15" customHeight="1">
      <c r="A11260" t="inlineStr">
        <is>
          <t>A 30643-2023</t>
        </is>
      </c>
      <c r="B11260" s="1" t="n">
        <v>45112.47034722222</v>
      </c>
      <c r="C11260" s="1" t="n">
        <v>45952</v>
      </c>
      <c r="D11260" t="inlineStr">
        <is>
          <t>VÄSTRA GÖTALANDS LÄN</t>
        </is>
      </c>
      <c r="E11260" t="inlineStr">
        <is>
          <t>BOLLEBYGD</t>
        </is>
      </c>
      <c r="G11260" t="n">
        <v>1.6</v>
      </c>
      <c r="H11260" t="n">
        <v>0</v>
      </c>
      <c r="I11260" t="n">
        <v>0</v>
      </c>
      <c r="J11260" t="n">
        <v>0</v>
      </c>
      <c r="K11260" t="n">
        <v>0</v>
      </c>
      <c r="L11260" t="n">
        <v>0</v>
      </c>
      <c r="M11260" t="n">
        <v>0</v>
      </c>
      <c r="N11260" t="n">
        <v>0</v>
      </c>
      <c r="O11260" t="n">
        <v>0</v>
      </c>
      <c r="P11260" t="n">
        <v>0</v>
      </c>
      <c r="Q11260" t="n">
        <v>0</v>
      </c>
      <c r="R11260" s="2" t="inlineStr"/>
    </row>
    <row r="11261" ht="15" customHeight="1">
      <c r="A11261" t="inlineStr">
        <is>
          <t>A 27391-2025</t>
        </is>
      </c>
      <c r="B11261" s="1" t="n">
        <v>45812.68253472223</v>
      </c>
      <c r="C11261" s="1" t="n">
        <v>45952</v>
      </c>
      <c r="D11261" t="inlineStr">
        <is>
          <t>VÄSTRA GÖTALANDS LÄN</t>
        </is>
      </c>
      <c r="E11261" t="inlineStr">
        <is>
          <t>ALINGSÅS</t>
        </is>
      </c>
      <c r="G11261" t="n">
        <v>3.8</v>
      </c>
      <c r="H11261" t="n">
        <v>0</v>
      </c>
      <c r="I11261" t="n">
        <v>0</v>
      </c>
      <c r="J11261" t="n">
        <v>0</v>
      </c>
      <c r="K11261" t="n">
        <v>0</v>
      </c>
      <c r="L11261" t="n">
        <v>0</v>
      </c>
      <c r="M11261" t="n">
        <v>0</v>
      </c>
      <c r="N11261" t="n">
        <v>0</v>
      </c>
      <c r="O11261" t="n">
        <v>0</v>
      </c>
      <c r="P11261" t="n">
        <v>0</v>
      </c>
      <c r="Q11261" t="n">
        <v>0</v>
      </c>
      <c r="R11261" s="2" t="inlineStr"/>
    </row>
    <row r="11262" ht="15" customHeight="1">
      <c r="A11262" t="inlineStr">
        <is>
          <t>A 24332-2025</t>
        </is>
      </c>
      <c r="B11262" s="1" t="n">
        <v>45797</v>
      </c>
      <c r="C11262" s="1" t="n">
        <v>45952</v>
      </c>
      <c r="D11262" t="inlineStr">
        <is>
          <t>VÄSTRA GÖTALANDS LÄN</t>
        </is>
      </c>
      <c r="E11262" t="inlineStr">
        <is>
          <t>BENGTSFORS</t>
        </is>
      </c>
      <c r="G11262" t="n">
        <v>1.5</v>
      </c>
      <c r="H11262" t="n">
        <v>0</v>
      </c>
      <c r="I11262" t="n">
        <v>0</v>
      </c>
      <c r="J11262" t="n">
        <v>0</v>
      </c>
      <c r="K11262" t="n">
        <v>0</v>
      </c>
      <c r="L11262" t="n">
        <v>0</v>
      </c>
      <c r="M11262" t="n">
        <v>0</v>
      </c>
      <c r="N11262" t="n">
        <v>0</v>
      </c>
      <c r="O11262" t="n">
        <v>0</v>
      </c>
      <c r="P11262" t="n">
        <v>0</v>
      </c>
      <c r="Q11262" t="n">
        <v>0</v>
      </c>
      <c r="R11262" s="2" t="inlineStr"/>
    </row>
    <row r="11263" ht="15" customHeight="1">
      <c r="A11263" t="inlineStr">
        <is>
          <t>A 12501-2025</t>
        </is>
      </c>
      <c r="B11263" s="1" t="n">
        <v>45730.61782407408</v>
      </c>
      <c r="C11263" s="1" t="n">
        <v>45952</v>
      </c>
      <c r="D11263" t="inlineStr">
        <is>
          <t>VÄSTRA GÖTALANDS LÄN</t>
        </is>
      </c>
      <c r="E11263" t="inlineStr">
        <is>
          <t>MELLERUD</t>
        </is>
      </c>
      <c r="G11263" t="n">
        <v>2.1</v>
      </c>
      <c r="H11263" t="n">
        <v>0</v>
      </c>
      <c r="I11263" t="n">
        <v>0</v>
      </c>
      <c r="J11263" t="n">
        <v>0</v>
      </c>
      <c r="K11263" t="n">
        <v>0</v>
      </c>
      <c r="L11263" t="n">
        <v>0</v>
      </c>
      <c r="M11263" t="n">
        <v>0</v>
      </c>
      <c r="N11263" t="n">
        <v>0</v>
      </c>
      <c r="O11263" t="n">
        <v>0</v>
      </c>
      <c r="P11263" t="n">
        <v>0</v>
      </c>
      <c r="Q11263" t="n">
        <v>0</v>
      </c>
      <c r="R11263" s="2" t="inlineStr"/>
    </row>
    <row r="11264" ht="15" customHeight="1">
      <c r="A11264" t="inlineStr">
        <is>
          <t>A 7732-2023</t>
        </is>
      </c>
      <c r="B11264" s="1" t="n">
        <v>44973</v>
      </c>
      <c r="C11264" s="1" t="n">
        <v>45952</v>
      </c>
      <c r="D11264" t="inlineStr">
        <is>
          <t>VÄSTRA GÖTALANDS LÄN</t>
        </is>
      </c>
      <c r="E11264" t="inlineStr">
        <is>
          <t>VÅRGÅRDA</t>
        </is>
      </c>
      <c r="F11264" t="inlineStr">
        <is>
          <t>Sveaskog</t>
        </is>
      </c>
      <c r="G11264" t="n">
        <v>9.300000000000001</v>
      </c>
      <c r="H11264" t="n">
        <v>0</v>
      </c>
      <c r="I11264" t="n">
        <v>0</v>
      </c>
      <c r="J11264" t="n">
        <v>0</v>
      </c>
      <c r="K11264" t="n">
        <v>0</v>
      </c>
      <c r="L11264" t="n">
        <v>0</v>
      </c>
      <c r="M11264" t="n">
        <v>0</v>
      </c>
      <c r="N11264" t="n">
        <v>0</v>
      </c>
      <c r="O11264" t="n">
        <v>0</v>
      </c>
      <c r="P11264" t="n">
        <v>0</v>
      </c>
      <c r="Q11264" t="n">
        <v>0</v>
      </c>
      <c r="R11264" s="2" t="inlineStr"/>
    </row>
    <row r="11265" ht="15" customHeight="1">
      <c r="A11265" t="inlineStr">
        <is>
          <t>A 46738-2024</t>
        </is>
      </c>
      <c r="B11265" s="1" t="n">
        <v>45583.47204861111</v>
      </c>
      <c r="C11265" s="1" t="n">
        <v>45952</v>
      </c>
      <c r="D11265" t="inlineStr">
        <is>
          <t>VÄSTRA GÖTALANDS LÄN</t>
        </is>
      </c>
      <c r="E11265" t="inlineStr">
        <is>
          <t>HERRLJUNGA</t>
        </is>
      </c>
      <c r="G11265" t="n">
        <v>4.3</v>
      </c>
      <c r="H11265" t="n">
        <v>0</v>
      </c>
      <c r="I11265" t="n">
        <v>0</v>
      </c>
      <c r="J11265" t="n">
        <v>0</v>
      </c>
      <c r="K11265" t="n">
        <v>0</v>
      </c>
      <c r="L11265" t="n">
        <v>0</v>
      </c>
      <c r="M11265" t="n">
        <v>0</v>
      </c>
      <c r="N11265" t="n">
        <v>0</v>
      </c>
      <c r="O11265" t="n">
        <v>0</v>
      </c>
      <c r="P11265" t="n">
        <v>0</v>
      </c>
      <c r="Q11265" t="n">
        <v>0</v>
      </c>
      <c r="R11265" s="2" t="inlineStr"/>
    </row>
    <row r="11266" ht="15" customHeight="1">
      <c r="A11266" t="inlineStr">
        <is>
          <t>A 35465-2022</t>
        </is>
      </c>
      <c r="B11266" s="1" t="n">
        <v>44798</v>
      </c>
      <c r="C11266" s="1" t="n">
        <v>45952</v>
      </c>
      <c r="D11266" t="inlineStr">
        <is>
          <t>VÄSTRA GÖTALANDS LÄN</t>
        </is>
      </c>
      <c r="E11266" t="inlineStr">
        <is>
          <t>TROLLHÄTTAN</t>
        </is>
      </c>
      <c r="G11266" t="n">
        <v>1.1</v>
      </c>
      <c r="H11266" t="n">
        <v>0</v>
      </c>
      <c r="I11266" t="n">
        <v>0</v>
      </c>
      <c r="J11266" t="n">
        <v>0</v>
      </c>
      <c r="K11266" t="n">
        <v>0</v>
      </c>
      <c r="L11266" t="n">
        <v>0</v>
      </c>
      <c r="M11266" t="n">
        <v>0</v>
      </c>
      <c r="N11266" t="n">
        <v>0</v>
      </c>
      <c r="O11266" t="n">
        <v>0</v>
      </c>
      <c r="P11266" t="n">
        <v>0</v>
      </c>
      <c r="Q11266" t="n">
        <v>0</v>
      </c>
      <c r="R11266" s="2" t="inlineStr"/>
    </row>
    <row r="11267" ht="15" customHeight="1">
      <c r="A11267" t="inlineStr">
        <is>
          <t>A 27585-2025</t>
        </is>
      </c>
      <c r="B11267" s="1" t="n">
        <v>45813.50371527778</v>
      </c>
      <c r="C11267" s="1" t="n">
        <v>45952</v>
      </c>
      <c r="D11267" t="inlineStr">
        <is>
          <t>VÄSTRA GÖTALANDS LÄN</t>
        </is>
      </c>
      <c r="E11267" t="inlineStr">
        <is>
          <t>VÅRGÅRDA</t>
        </is>
      </c>
      <c r="G11267" t="n">
        <v>1.9</v>
      </c>
      <c r="H11267" t="n">
        <v>0</v>
      </c>
      <c r="I11267" t="n">
        <v>0</v>
      </c>
      <c r="J11267" t="n">
        <v>0</v>
      </c>
      <c r="K11267" t="n">
        <v>0</v>
      </c>
      <c r="L11267" t="n">
        <v>0</v>
      </c>
      <c r="M11267" t="n">
        <v>0</v>
      </c>
      <c r="N11267" t="n">
        <v>0</v>
      </c>
      <c r="O11267" t="n">
        <v>0</v>
      </c>
      <c r="P11267" t="n">
        <v>0</v>
      </c>
      <c r="Q11267" t="n">
        <v>0</v>
      </c>
      <c r="R11267" s="2" t="inlineStr"/>
    </row>
    <row r="11268" ht="15" customHeight="1">
      <c r="A11268" t="inlineStr">
        <is>
          <t>A 11848-2025</t>
        </is>
      </c>
      <c r="B11268" s="1" t="n">
        <v>45728.38061342593</v>
      </c>
      <c r="C11268" s="1" t="n">
        <v>45952</v>
      </c>
      <c r="D11268" t="inlineStr">
        <is>
          <t>VÄSTRA GÖTALANDS LÄN</t>
        </is>
      </c>
      <c r="E11268" t="inlineStr">
        <is>
          <t>MELLERUD</t>
        </is>
      </c>
      <c r="G11268" t="n">
        <v>2</v>
      </c>
      <c r="H11268" t="n">
        <v>0</v>
      </c>
      <c r="I11268" t="n">
        <v>0</v>
      </c>
      <c r="J11268" t="n">
        <v>0</v>
      </c>
      <c r="K11268" t="n">
        <v>0</v>
      </c>
      <c r="L11268" t="n">
        <v>0</v>
      </c>
      <c r="M11268" t="n">
        <v>0</v>
      </c>
      <c r="N11268" t="n">
        <v>0</v>
      </c>
      <c r="O11268" t="n">
        <v>0</v>
      </c>
      <c r="P11268" t="n">
        <v>0</v>
      </c>
      <c r="Q11268" t="n">
        <v>0</v>
      </c>
      <c r="R11268" s="2" t="inlineStr"/>
    </row>
    <row r="11269" ht="15" customHeight="1">
      <c r="A11269" t="inlineStr">
        <is>
          <t>A 2488-2025</t>
        </is>
      </c>
      <c r="B11269" s="1" t="n">
        <v>45673</v>
      </c>
      <c r="C11269" s="1" t="n">
        <v>45952</v>
      </c>
      <c r="D11269" t="inlineStr">
        <is>
          <t>VÄSTRA GÖTALANDS LÄN</t>
        </is>
      </c>
      <c r="E11269" t="inlineStr">
        <is>
          <t>TANUM</t>
        </is>
      </c>
      <c r="G11269" t="n">
        <v>1.6</v>
      </c>
      <c r="H11269" t="n">
        <v>0</v>
      </c>
      <c r="I11269" t="n">
        <v>0</v>
      </c>
      <c r="J11269" t="n">
        <v>0</v>
      </c>
      <c r="K11269" t="n">
        <v>0</v>
      </c>
      <c r="L11269" t="n">
        <v>0</v>
      </c>
      <c r="M11269" t="n">
        <v>0</v>
      </c>
      <c r="N11269" t="n">
        <v>0</v>
      </c>
      <c r="O11269" t="n">
        <v>0</v>
      </c>
      <c r="P11269" t="n">
        <v>0</v>
      </c>
      <c r="Q11269" t="n">
        <v>0</v>
      </c>
      <c r="R11269" s="2" t="inlineStr"/>
    </row>
    <row r="11270" ht="15" customHeight="1">
      <c r="A11270" t="inlineStr">
        <is>
          <t>A 36945-2024</t>
        </is>
      </c>
      <c r="B11270" s="1" t="n">
        <v>45538.69571759259</v>
      </c>
      <c r="C11270" s="1" t="n">
        <v>45952</v>
      </c>
      <c r="D11270" t="inlineStr">
        <is>
          <t>VÄSTRA GÖTALANDS LÄN</t>
        </is>
      </c>
      <c r="E11270" t="inlineStr">
        <is>
          <t>LIDKÖPING</t>
        </is>
      </c>
      <c r="F11270" t="inlineStr">
        <is>
          <t>Kommuner</t>
        </is>
      </c>
      <c r="G11270" t="n">
        <v>1</v>
      </c>
      <c r="H11270" t="n">
        <v>0</v>
      </c>
      <c r="I11270" t="n">
        <v>0</v>
      </c>
      <c r="J11270" t="n">
        <v>0</v>
      </c>
      <c r="K11270" t="n">
        <v>0</v>
      </c>
      <c r="L11270" t="n">
        <v>0</v>
      </c>
      <c r="M11270" t="n">
        <v>0</v>
      </c>
      <c r="N11270" t="n">
        <v>0</v>
      </c>
      <c r="O11270" t="n">
        <v>0</v>
      </c>
      <c r="P11270" t="n">
        <v>0</v>
      </c>
      <c r="Q11270" t="n">
        <v>0</v>
      </c>
      <c r="R11270" s="2" t="inlineStr"/>
    </row>
    <row r="11271" ht="15" customHeight="1">
      <c r="A11271" t="inlineStr">
        <is>
          <t>A 42587-2025</t>
        </is>
      </c>
      <c r="B11271" s="1" t="n">
        <v>45905</v>
      </c>
      <c r="C11271" s="1" t="n">
        <v>45952</v>
      </c>
      <c r="D11271" t="inlineStr">
        <is>
          <t>VÄSTRA GÖTALANDS LÄN</t>
        </is>
      </c>
      <c r="E11271" t="inlineStr">
        <is>
          <t>TÖREBODA</t>
        </is>
      </c>
      <c r="G11271" t="n">
        <v>1.7</v>
      </c>
      <c r="H11271" t="n">
        <v>0</v>
      </c>
      <c r="I11271" t="n">
        <v>0</v>
      </c>
      <c r="J11271" t="n">
        <v>0</v>
      </c>
      <c r="K11271" t="n">
        <v>0</v>
      </c>
      <c r="L11271" t="n">
        <v>0</v>
      </c>
      <c r="M11271" t="n">
        <v>0</v>
      </c>
      <c r="N11271" t="n">
        <v>0</v>
      </c>
      <c r="O11271" t="n">
        <v>0</v>
      </c>
      <c r="P11271" t="n">
        <v>0</v>
      </c>
      <c r="Q11271" t="n">
        <v>0</v>
      </c>
      <c r="R11271" s="2" t="inlineStr"/>
    </row>
    <row r="11272" ht="15" customHeight="1">
      <c r="A11272" t="inlineStr">
        <is>
          <t>A 15334-2024</t>
        </is>
      </c>
      <c r="B11272" s="1" t="n">
        <v>45400.73114583334</v>
      </c>
      <c r="C11272" s="1" t="n">
        <v>45952</v>
      </c>
      <c r="D11272" t="inlineStr">
        <is>
          <t>VÄSTRA GÖTALANDS LÄN</t>
        </is>
      </c>
      <c r="E11272" t="inlineStr">
        <is>
          <t>UDDEVALLA</t>
        </is>
      </c>
      <c r="F11272" t="inlineStr">
        <is>
          <t>Kyrkan</t>
        </is>
      </c>
      <c r="G11272" t="n">
        <v>3</v>
      </c>
      <c r="H11272" t="n">
        <v>0</v>
      </c>
      <c r="I11272" t="n">
        <v>0</v>
      </c>
      <c r="J11272" t="n">
        <v>0</v>
      </c>
      <c r="K11272" t="n">
        <v>0</v>
      </c>
      <c r="L11272" t="n">
        <v>0</v>
      </c>
      <c r="M11272" t="n">
        <v>0</v>
      </c>
      <c r="N11272" t="n">
        <v>0</v>
      </c>
      <c r="O11272" t="n">
        <v>0</v>
      </c>
      <c r="P11272" t="n">
        <v>0</v>
      </c>
      <c r="Q11272" t="n">
        <v>0</v>
      </c>
      <c r="R11272" s="2" t="inlineStr"/>
    </row>
    <row r="11273" ht="15" customHeight="1">
      <c r="A11273" t="inlineStr">
        <is>
          <t>A 27151-2025</t>
        </is>
      </c>
      <c r="B11273" s="1" t="n">
        <v>45812.32086805555</v>
      </c>
      <c r="C11273" s="1" t="n">
        <v>45952</v>
      </c>
      <c r="D11273" t="inlineStr">
        <is>
          <t>VÄSTRA GÖTALANDS LÄN</t>
        </is>
      </c>
      <c r="E11273" t="inlineStr">
        <is>
          <t>VARA</t>
        </is>
      </c>
      <c r="G11273" t="n">
        <v>2.3</v>
      </c>
      <c r="H11273" t="n">
        <v>0</v>
      </c>
      <c r="I11273" t="n">
        <v>0</v>
      </c>
      <c r="J11273" t="n">
        <v>0</v>
      </c>
      <c r="K11273" t="n">
        <v>0</v>
      </c>
      <c r="L11273" t="n">
        <v>0</v>
      </c>
      <c r="M11273" t="n">
        <v>0</v>
      </c>
      <c r="N11273" t="n">
        <v>0</v>
      </c>
      <c r="O11273" t="n">
        <v>0</v>
      </c>
      <c r="P11273" t="n">
        <v>0</v>
      </c>
      <c r="Q11273" t="n">
        <v>0</v>
      </c>
      <c r="R11273" s="2" t="inlineStr"/>
    </row>
    <row r="11274" ht="15" customHeight="1">
      <c r="A11274" t="inlineStr">
        <is>
          <t>A 45176-2024</t>
        </is>
      </c>
      <c r="B11274" s="1" t="n">
        <v>45575.6594212963</v>
      </c>
      <c r="C11274" s="1" t="n">
        <v>45952</v>
      </c>
      <c r="D11274" t="inlineStr">
        <is>
          <t>VÄSTRA GÖTALANDS LÄN</t>
        </is>
      </c>
      <c r="E11274" t="inlineStr">
        <is>
          <t>TRANEMO</t>
        </is>
      </c>
      <c r="F11274" t="inlineStr">
        <is>
          <t>Sveaskog</t>
        </is>
      </c>
      <c r="G11274" t="n">
        <v>0.5</v>
      </c>
      <c r="H11274" t="n">
        <v>0</v>
      </c>
      <c r="I11274" t="n">
        <v>0</v>
      </c>
      <c r="J11274" t="n">
        <v>0</v>
      </c>
      <c r="K11274" t="n">
        <v>0</v>
      </c>
      <c r="L11274" t="n">
        <v>0</v>
      </c>
      <c r="M11274" t="n">
        <v>0</v>
      </c>
      <c r="N11274" t="n">
        <v>0</v>
      </c>
      <c r="O11274" t="n">
        <v>0</v>
      </c>
      <c r="P11274" t="n">
        <v>0</v>
      </c>
      <c r="Q11274" t="n">
        <v>0</v>
      </c>
      <c r="R11274" s="2" t="inlineStr"/>
    </row>
    <row r="11275" ht="15" customHeight="1">
      <c r="A11275" t="inlineStr">
        <is>
          <t>A 28385-2022</t>
        </is>
      </c>
      <c r="B11275" s="1" t="n">
        <v>44747.55924768518</v>
      </c>
      <c r="C11275" s="1" t="n">
        <v>45952</v>
      </c>
      <c r="D11275" t="inlineStr">
        <is>
          <t>VÄSTRA GÖTALANDS LÄN</t>
        </is>
      </c>
      <c r="E11275" t="inlineStr">
        <is>
          <t>VÄNERSBORG</t>
        </is>
      </c>
      <c r="G11275" t="n">
        <v>0.5</v>
      </c>
      <c r="H11275" t="n">
        <v>0</v>
      </c>
      <c r="I11275" t="n">
        <v>0</v>
      </c>
      <c r="J11275" t="n">
        <v>0</v>
      </c>
      <c r="K11275" t="n">
        <v>0</v>
      </c>
      <c r="L11275" t="n">
        <v>0</v>
      </c>
      <c r="M11275" t="n">
        <v>0</v>
      </c>
      <c r="N11275" t="n">
        <v>0</v>
      </c>
      <c r="O11275" t="n">
        <v>0</v>
      </c>
      <c r="P11275" t="n">
        <v>0</v>
      </c>
      <c r="Q11275" t="n">
        <v>0</v>
      </c>
      <c r="R11275" s="2" t="inlineStr"/>
    </row>
    <row r="11276" ht="15" customHeight="1">
      <c r="A11276" t="inlineStr">
        <is>
          <t>A 27381-2025</t>
        </is>
      </c>
      <c r="B11276" s="1" t="n">
        <v>45812</v>
      </c>
      <c r="C11276" s="1" t="n">
        <v>45952</v>
      </c>
      <c r="D11276" t="inlineStr">
        <is>
          <t>VÄSTRA GÖTALANDS LÄN</t>
        </is>
      </c>
      <c r="E11276" t="inlineStr">
        <is>
          <t>BORÅS</t>
        </is>
      </c>
      <c r="G11276" t="n">
        <v>1.3</v>
      </c>
      <c r="H11276" t="n">
        <v>0</v>
      </c>
      <c r="I11276" t="n">
        <v>0</v>
      </c>
      <c r="J11276" t="n">
        <v>0</v>
      </c>
      <c r="K11276" t="n">
        <v>0</v>
      </c>
      <c r="L11276" t="n">
        <v>0</v>
      </c>
      <c r="M11276" t="n">
        <v>0</v>
      </c>
      <c r="N11276" t="n">
        <v>0</v>
      </c>
      <c r="O11276" t="n">
        <v>0</v>
      </c>
      <c r="P11276" t="n">
        <v>0</v>
      </c>
      <c r="Q11276" t="n">
        <v>0</v>
      </c>
      <c r="R11276" s="2" t="inlineStr"/>
    </row>
    <row r="11277" ht="15" customHeight="1">
      <c r="A11277" t="inlineStr">
        <is>
          <t>A 4888-2023</t>
        </is>
      </c>
      <c r="B11277" s="1" t="n">
        <v>44958</v>
      </c>
      <c r="C11277" s="1" t="n">
        <v>45952</v>
      </c>
      <c r="D11277" t="inlineStr">
        <is>
          <t>VÄSTRA GÖTALANDS LÄN</t>
        </is>
      </c>
      <c r="E11277" t="inlineStr">
        <is>
          <t>TIDAHOLM</t>
        </is>
      </c>
      <c r="G11277" t="n">
        <v>0.9</v>
      </c>
      <c r="H11277" t="n">
        <v>0</v>
      </c>
      <c r="I11277" t="n">
        <v>0</v>
      </c>
      <c r="J11277" t="n">
        <v>0</v>
      </c>
      <c r="K11277" t="n">
        <v>0</v>
      </c>
      <c r="L11277" t="n">
        <v>0</v>
      </c>
      <c r="M11277" t="n">
        <v>0</v>
      </c>
      <c r="N11277" t="n">
        <v>0</v>
      </c>
      <c r="O11277" t="n">
        <v>0</v>
      </c>
      <c r="P11277" t="n">
        <v>0</v>
      </c>
      <c r="Q11277" t="n">
        <v>0</v>
      </c>
      <c r="R11277" s="2" t="inlineStr"/>
    </row>
    <row r="11278" ht="15" customHeight="1">
      <c r="A11278" t="inlineStr">
        <is>
          <t>A 4934-2023</t>
        </is>
      </c>
      <c r="B11278" s="1" t="n">
        <v>44958</v>
      </c>
      <c r="C11278" s="1" t="n">
        <v>45952</v>
      </c>
      <c r="D11278" t="inlineStr">
        <is>
          <t>VÄSTRA GÖTALANDS LÄN</t>
        </is>
      </c>
      <c r="E11278" t="inlineStr">
        <is>
          <t>BORÅS</t>
        </is>
      </c>
      <c r="G11278" t="n">
        <v>0.8</v>
      </c>
      <c r="H11278" t="n">
        <v>0</v>
      </c>
      <c r="I11278" t="n">
        <v>0</v>
      </c>
      <c r="J11278" t="n">
        <v>0</v>
      </c>
      <c r="K11278" t="n">
        <v>0</v>
      </c>
      <c r="L11278" t="n">
        <v>0</v>
      </c>
      <c r="M11278" t="n">
        <v>0</v>
      </c>
      <c r="N11278" t="n">
        <v>0</v>
      </c>
      <c r="O11278" t="n">
        <v>0</v>
      </c>
      <c r="P11278" t="n">
        <v>0</v>
      </c>
      <c r="Q11278" t="n">
        <v>0</v>
      </c>
      <c r="R11278" s="2" t="inlineStr"/>
    </row>
    <row r="11279" ht="15" customHeight="1">
      <c r="A11279" t="inlineStr">
        <is>
          <t>A 27429-2025</t>
        </is>
      </c>
      <c r="B11279" s="1" t="n">
        <v>45813.29658564815</v>
      </c>
      <c r="C11279" s="1" t="n">
        <v>45952</v>
      </c>
      <c r="D11279" t="inlineStr">
        <is>
          <t>VÄSTRA GÖTALANDS LÄN</t>
        </is>
      </c>
      <c r="E11279" t="inlineStr">
        <is>
          <t>TÖREBODA</t>
        </is>
      </c>
      <c r="F11279" t="inlineStr">
        <is>
          <t>Sveaskog</t>
        </is>
      </c>
      <c r="G11279" t="n">
        <v>3.7</v>
      </c>
      <c r="H11279" t="n">
        <v>0</v>
      </c>
      <c r="I11279" t="n">
        <v>0</v>
      </c>
      <c r="J11279" t="n">
        <v>0</v>
      </c>
      <c r="K11279" t="n">
        <v>0</v>
      </c>
      <c r="L11279" t="n">
        <v>0</v>
      </c>
      <c r="M11279" t="n">
        <v>0</v>
      </c>
      <c r="N11279" t="n">
        <v>0</v>
      </c>
      <c r="O11279" t="n">
        <v>0</v>
      </c>
      <c r="P11279" t="n">
        <v>0</v>
      </c>
      <c r="Q11279" t="n">
        <v>0</v>
      </c>
      <c r="R11279" s="2" t="inlineStr"/>
    </row>
    <row r="11280" ht="15" customHeight="1">
      <c r="A11280" t="inlineStr">
        <is>
          <t>A 54038-2021</t>
        </is>
      </c>
      <c r="B11280" s="1" t="n">
        <v>44470</v>
      </c>
      <c r="C11280" s="1" t="n">
        <v>45952</v>
      </c>
      <c r="D11280" t="inlineStr">
        <is>
          <t>VÄSTRA GÖTALANDS LÄN</t>
        </is>
      </c>
      <c r="E11280" t="inlineStr">
        <is>
          <t>FÄRGELANDA</t>
        </is>
      </c>
      <c r="G11280" t="n">
        <v>0.6</v>
      </c>
      <c r="H11280" t="n">
        <v>0</v>
      </c>
      <c r="I11280" t="n">
        <v>0</v>
      </c>
      <c r="J11280" t="n">
        <v>0</v>
      </c>
      <c r="K11280" t="n">
        <v>0</v>
      </c>
      <c r="L11280" t="n">
        <v>0</v>
      </c>
      <c r="M11280" t="n">
        <v>0</v>
      </c>
      <c r="N11280" t="n">
        <v>0</v>
      </c>
      <c r="O11280" t="n">
        <v>0</v>
      </c>
      <c r="P11280" t="n">
        <v>0</v>
      </c>
      <c r="Q11280" t="n">
        <v>0</v>
      </c>
      <c r="R11280" s="2" t="inlineStr"/>
    </row>
    <row r="11281" ht="15" customHeight="1">
      <c r="A11281" t="inlineStr">
        <is>
          <t>A 25999-2023</t>
        </is>
      </c>
      <c r="B11281" s="1" t="n">
        <v>45090.93861111111</v>
      </c>
      <c r="C11281" s="1" t="n">
        <v>45952</v>
      </c>
      <c r="D11281" t="inlineStr">
        <is>
          <t>VÄSTRA GÖTALANDS LÄN</t>
        </is>
      </c>
      <c r="E11281" t="inlineStr">
        <is>
          <t>KARLSBORG</t>
        </is>
      </c>
      <c r="G11281" t="n">
        <v>0.6</v>
      </c>
      <c r="H11281" t="n">
        <v>0</v>
      </c>
      <c r="I11281" t="n">
        <v>0</v>
      </c>
      <c r="J11281" t="n">
        <v>0</v>
      </c>
      <c r="K11281" t="n">
        <v>0</v>
      </c>
      <c r="L11281" t="n">
        <v>0</v>
      </c>
      <c r="M11281" t="n">
        <v>0</v>
      </c>
      <c r="N11281" t="n">
        <v>0</v>
      </c>
      <c r="O11281" t="n">
        <v>0</v>
      </c>
      <c r="P11281" t="n">
        <v>0</v>
      </c>
      <c r="Q11281" t="n">
        <v>0</v>
      </c>
      <c r="R11281" s="2" t="inlineStr"/>
    </row>
    <row r="11282" ht="15" customHeight="1">
      <c r="A11282" t="inlineStr">
        <is>
          <t>A 9732-2023</t>
        </is>
      </c>
      <c r="B11282" s="1" t="n">
        <v>44978</v>
      </c>
      <c r="C11282" s="1" t="n">
        <v>45952</v>
      </c>
      <c r="D11282" t="inlineStr">
        <is>
          <t>VÄSTRA GÖTALANDS LÄN</t>
        </is>
      </c>
      <c r="E11282" t="inlineStr">
        <is>
          <t>VÄNERSBORG</t>
        </is>
      </c>
      <c r="G11282" t="n">
        <v>2.8</v>
      </c>
      <c r="H11282" t="n">
        <v>0</v>
      </c>
      <c r="I11282" t="n">
        <v>0</v>
      </c>
      <c r="J11282" t="n">
        <v>0</v>
      </c>
      <c r="K11282" t="n">
        <v>0</v>
      </c>
      <c r="L11282" t="n">
        <v>0</v>
      </c>
      <c r="M11282" t="n">
        <v>0</v>
      </c>
      <c r="N11282" t="n">
        <v>0</v>
      </c>
      <c r="O11282" t="n">
        <v>0</v>
      </c>
      <c r="P11282" t="n">
        <v>0</v>
      </c>
      <c r="Q11282" t="n">
        <v>0</v>
      </c>
      <c r="R11282" s="2" t="inlineStr"/>
    </row>
    <row r="11283" ht="15" customHeight="1">
      <c r="A11283" t="inlineStr">
        <is>
          <t>A 54298-2023</t>
        </is>
      </c>
      <c r="B11283" s="1" t="n">
        <v>45232.7922337963</v>
      </c>
      <c r="C11283" s="1" t="n">
        <v>45952</v>
      </c>
      <c r="D11283" t="inlineStr">
        <is>
          <t>VÄSTRA GÖTALANDS LÄN</t>
        </is>
      </c>
      <c r="E11283" t="inlineStr">
        <is>
          <t>TIDAHOLM</t>
        </is>
      </c>
      <c r="G11283" t="n">
        <v>1.5</v>
      </c>
      <c r="H11283" t="n">
        <v>0</v>
      </c>
      <c r="I11283" t="n">
        <v>0</v>
      </c>
      <c r="J11283" t="n">
        <v>0</v>
      </c>
      <c r="K11283" t="n">
        <v>0</v>
      </c>
      <c r="L11283" t="n">
        <v>0</v>
      </c>
      <c r="M11283" t="n">
        <v>0</v>
      </c>
      <c r="N11283" t="n">
        <v>0</v>
      </c>
      <c r="O11283" t="n">
        <v>0</v>
      </c>
      <c r="P11283" t="n">
        <v>0</v>
      </c>
      <c r="Q11283" t="n">
        <v>0</v>
      </c>
      <c r="R11283" s="2" t="inlineStr"/>
    </row>
    <row r="11284" ht="15" customHeight="1">
      <c r="A11284" t="inlineStr">
        <is>
          <t>A 42521-2025</t>
        </is>
      </c>
      <c r="B11284" s="1" t="n">
        <v>45905.5500925926</v>
      </c>
      <c r="C11284" s="1" t="n">
        <v>45952</v>
      </c>
      <c r="D11284" t="inlineStr">
        <is>
          <t>VÄSTRA GÖTALANDS LÄN</t>
        </is>
      </c>
      <c r="E11284" t="inlineStr">
        <is>
          <t>MARK</t>
        </is>
      </c>
      <c r="G11284" t="n">
        <v>0</v>
      </c>
      <c r="H11284" t="n">
        <v>0</v>
      </c>
      <c r="I11284" t="n">
        <v>0</v>
      </c>
      <c r="J11284" t="n">
        <v>0</v>
      </c>
      <c r="K11284" t="n">
        <v>0</v>
      </c>
      <c r="L11284" t="n">
        <v>0</v>
      </c>
      <c r="M11284" t="n">
        <v>0</v>
      </c>
      <c r="N11284" t="n">
        <v>0</v>
      </c>
      <c r="O11284" t="n">
        <v>0</v>
      </c>
      <c r="P11284" t="n">
        <v>0</v>
      </c>
      <c r="Q11284" t="n">
        <v>0</v>
      </c>
      <c r="R11284" s="2" t="inlineStr"/>
    </row>
    <row r="11285" ht="15" customHeight="1">
      <c r="A11285" t="inlineStr">
        <is>
          <t>A 14777-2022</t>
        </is>
      </c>
      <c r="B11285" s="1" t="n">
        <v>44656</v>
      </c>
      <c r="C11285" s="1" t="n">
        <v>45952</v>
      </c>
      <c r="D11285" t="inlineStr">
        <is>
          <t>VÄSTRA GÖTALANDS LÄN</t>
        </is>
      </c>
      <c r="E11285" t="inlineStr">
        <is>
          <t>BORÅS</t>
        </is>
      </c>
      <c r="G11285" t="n">
        <v>4.2</v>
      </c>
      <c r="H11285" t="n">
        <v>0</v>
      </c>
      <c r="I11285" t="n">
        <v>0</v>
      </c>
      <c r="J11285" t="n">
        <v>0</v>
      </c>
      <c r="K11285" t="n">
        <v>0</v>
      </c>
      <c r="L11285" t="n">
        <v>0</v>
      </c>
      <c r="M11285" t="n">
        <v>0</v>
      </c>
      <c r="N11285" t="n">
        <v>0</v>
      </c>
      <c r="O11285" t="n">
        <v>0</v>
      </c>
      <c r="P11285" t="n">
        <v>0</v>
      </c>
      <c r="Q11285" t="n">
        <v>0</v>
      </c>
      <c r="R11285" s="2" t="inlineStr"/>
    </row>
    <row r="11286" ht="15" customHeight="1">
      <c r="A11286" t="inlineStr">
        <is>
          <t>A 8165-2023</t>
        </is>
      </c>
      <c r="B11286" s="1" t="n">
        <v>44974</v>
      </c>
      <c r="C11286" s="1" t="n">
        <v>45952</v>
      </c>
      <c r="D11286" t="inlineStr">
        <is>
          <t>VÄSTRA GÖTALANDS LÄN</t>
        </is>
      </c>
      <c r="E11286" t="inlineStr">
        <is>
          <t>MELLERUD</t>
        </is>
      </c>
      <c r="G11286" t="n">
        <v>1.9</v>
      </c>
      <c r="H11286" t="n">
        <v>0</v>
      </c>
      <c r="I11286" t="n">
        <v>0</v>
      </c>
      <c r="J11286" t="n">
        <v>0</v>
      </c>
      <c r="K11286" t="n">
        <v>0</v>
      </c>
      <c r="L11286" t="n">
        <v>0</v>
      </c>
      <c r="M11286" t="n">
        <v>0</v>
      </c>
      <c r="N11286" t="n">
        <v>0</v>
      </c>
      <c r="O11286" t="n">
        <v>0</v>
      </c>
      <c r="P11286" t="n">
        <v>0</v>
      </c>
      <c r="Q11286" t="n">
        <v>0</v>
      </c>
      <c r="R11286" s="2" t="inlineStr"/>
    </row>
    <row r="11287" ht="15" customHeight="1">
      <c r="A11287" t="inlineStr">
        <is>
          <t>A 8326-2023</t>
        </is>
      </c>
      <c r="B11287" s="1" t="n">
        <v>44974</v>
      </c>
      <c r="C11287" s="1" t="n">
        <v>45952</v>
      </c>
      <c r="D11287" t="inlineStr">
        <is>
          <t>VÄSTRA GÖTALANDS LÄN</t>
        </is>
      </c>
      <c r="E11287" t="inlineStr">
        <is>
          <t>FALKÖPING</t>
        </is>
      </c>
      <c r="G11287" t="n">
        <v>19.4</v>
      </c>
      <c r="H11287" t="n">
        <v>0</v>
      </c>
      <c r="I11287" t="n">
        <v>0</v>
      </c>
      <c r="J11287" t="n">
        <v>0</v>
      </c>
      <c r="K11287" t="n">
        <v>0</v>
      </c>
      <c r="L11287" t="n">
        <v>0</v>
      </c>
      <c r="M11287" t="n">
        <v>0</v>
      </c>
      <c r="N11287" t="n">
        <v>0</v>
      </c>
      <c r="O11287" t="n">
        <v>0</v>
      </c>
      <c r="P11287" t="n">
        <v>0</v>
      </c>
      <c r="Q11287" t="n">
        <v>0</v>
      </c>
      <c r="R11287" s="2" t="inlineStr"/>
    </row>
    <row r="11288" ht="15" customHeight="1">
      <c r="A11288" t="inlineStr">
        <is>
          <t>A 54405-2023</t>
        </is>
      </c>
      <c r="B11288" s="1" t="n">
        <v>45233.38435185186</v>
      </c>
      <c r="C11288" s="1" t="n">
        <v>45952</v>
      </c>
      <c r="D11288" t="inlineStr">
        <is>
          <t>VÄSTRA GÖTALANDS LÄN</t>
        </is>
      </c>
      <c r="E11288" t="inlineStr">
        <is>
          <t>ULRICEHAMN</t>
        </is>
      </c>
      <c r="G11288" t="n">
        <v>5.2</v>
      </c>
      <c r="H11288" t="n">
        <v>0</v>
      </c>
      <c r="I11288" t="n">
        <v>0</v>
      </c>
      <c r="J11288" t="n">
        <v>0</v>
      </c>
      <c r="K11288" t="n">
        <v>0</v>
      </c>
      <c r="L11288" t="n">
        <v>0</v>
      </c>
      <c r="M11288" t="n">
        <v>0</v>
      </c>
      <c r="N11288" t="n">
        <v>0</v>
      </c>
      <c r="O11288" t="n">
        <v>0</v>
      </c>
      <c r="P11288" t="n">
        <v>0</v>
      </c>
      <c r="Q11288" t="n">
        <v>0</v>
      </c>
      <c r="R11288" s="2" t="inlineStr"/>
    </row>
    <row r="11289" ht="15" customHeight="1">
      <c r="A11289" t="inlineStr">
        <is>
          <t>A 41292-2022</t>
        </is>
      </c>
      <c r="B11289" s="1" t="n">
        <v>44825</v>
      </c>
      <c r="C11289" s="1" t="n">
        <v>45952</v>
      </c>
      <c r="D11289" t="inlineStr">
        <is>
          <t>VÄSTRA GÖTALANDS LÄN</t>
        </is>
      </c>
      <c r="E11289" t="inlineStr">
        <is>
          <t>UDDEVALLA</t>
        </is>
      </c>
      <c r="F11289" t="inlineStr">
        <is>
          <t>Kyrkan</t>
        </is>
      </c>
      <c r="G11289" t="n">
        <v>9.699999999999999</v>
      </c>
      <c r="H11289" t="n">
        <v>0</v>
      </c>
      <c r="I11289" t="n">
        <v>0</v>
      </c>
      <c r="J11289" t="n">
        <v>0</v>
      </c>
      <c r="K11289" t="n">
        <v>0</v>
      </c>
      <c r="L11289" t="n">
        <v>0</v>
      </c>
      <c r="M11289" t="n">
        <v>0</v>
      </c>
      <c r="N11289" t="n">
        <v>0</v>
      </c>
      <c r="O11289" t="n">
        <v>0</v>
      </c>
      <c r="P11289" t="n">
        <v>0</v>
      </c>
      <c r="Q11289" t="n">
        <v>0</v>
      </c>
      <c r="R11289" s="2" t="inlineStr"/>
    </row>
    <row r="11290" ht="15" customHeight="1">
      <c r="A11290" t="inlineStr">
        <is>
          <t>A 49986-2023</t>
        </is>
      </c>
      <c r="B11290" s="1" t="n">
        <v>45215.43009259259</v>
      </c>
      <c r="C11290" s="1" t="n">
        <v>45952</v>
      </c>
      <c r="D11290" t="inlineStr">
        <is>
          <t>VÄSTRA GÖTALANDS LÄN</t>
        </is>
      </c>
      <c r="E11290" t="inlineStr">
        <is>
          <t>ULRICEHAMN</t>
        </is>
      </c>
      <c r="G11290" t="n">
        <v>5.2</v>
      </c>
      <c r="H11290" t="n">
        <v>0</v>
      </c>
      <c r="I11290" t="n">
        <v>0</v>
      </c>
      <c r="J11290" t="n">
        <v>0</v>
      </c>
      <c r="K11290" t="n">
        <v>0</v>
      </c>
      <c r="L11290" t="n">
        <v>0</v>
      </c>
      <c r="M11290" t="n">
        <v>0</v>
      </c>
      <c r="N11290" t="n">
        <v>0</v>
      </c>
      <c r="O11290" t="n">
        <v>0</v>
      </c>
      <c r="P11290" t="n">
        <v>0</v>
      </c>
      <c r="Q11290" t="n">
        <v>0</v>
      </c>
      <c r="R11290" s="2" t="inlineStr"/>
    </row>
    <row r="11291" ht="15" customHeight="1">
      <c r="A11291" t="inlineStr">
        <is>
          <t>A 50011-2023</t>
        </is>
      </c>
      <c r="B11291" s="1" t="n">
        <v>45215</v>
      </c>
      <c r="C11291" s="1" t="n">
        <v>45952</v>
      </c>
      <c r="D11291" t="inlineStr">
        <is>
          <t>VÄSTRA GÖTALANDS LÄN</t>
        </is>
      </c>
      <c r="E11291" t="inlineStr">
        <is>
          <t>BOLLEBYGD</t>
        </is>
      </c>
      <c r="G11291" t="n">
        <v>7.5</v>
      </c>
      <c r="H11291" t="n">
        <v>0</v>
      </c>
      <c r="I11291" t="n">
        <v>0</v>
      </c>
      <c r="J11291" t="n">
        <v>0</v>
      </c>
      <c r="K11291" t="n">
        <v>0</v>
      </c>
      <c r="L11291" t="n">
        <v>0</v>
      </c>
      <c r="M11291" t="n">
        <v>0</v>
      </c>
      <c r="N11291" t="n">
        <v>0</v>
      </c>
      <c r="O11291" t="n">
        <v>0</v>
      </c>
      <c r="P11291" t="n">
        <v>0</v>
      </c>
      <c r="Q11291" t="n">
        <v>0</v>
      </c>
      <c r="R11291" s="2" t="inlineStr"/>
    </row>
    <row r="11292" ht="15" customHeight="1">
      <c r="A11292" t="inlineStr">
        <is>
          <t>A 28622-2021</t>
        </is>
      </c>
      <c r="B11292" s="1" t="n">
        <v>44356</v>
      </c>
      <c r="C11292" s="1" t="n">
        <v>45952</v>
      </c>
      <c r="D11292" t="inlineStr">
        <is>
          <t>VÄSTRA GÖTALANDS LÄN</t>
        </is>
      </c>
      <c r="E11292" t="inlineStr">
        <is>
          <t>MARIESTAD</t>
        </is>
      </c>
      <c r="G11292" t="n">
        <v>4.2</v>
      </c>
      <c r="H11292" t="n">
        <v>0</v>
      </c>
      <c r="I11292" t="n">
        <v>0</v>
      </c>
      <c r="J11292" t="n">
        <v>0</v>
      </c>
      <c r="K11292" t="n">
        <v>0</v>
      </c>
      <c r="L11292" t="n">
        <v>0</v>
      </c>
      <c r="M11292" t="n">
        <v>0</v>
      </c>
      <c r="N11292" t="n">
        <v>0</v>
      </c>
      <c r="O11292" t="n">
        <v>0</v>
      </c>
      <c r="P11292" t="n">
        <v>0</v>
      </c>
      <c r="Q11292" t="n">
        <v>0</v>
      </c>
      <c r="R11292" s="2" t="inlineStr"/>
    </row>
    <row r="11293" ht="15" customHeight="1">
      <c r="A11293" t="inlineStr">
        <is>
          <t>A 27227-2025</t>
        </is>
      </c>
      <c r="B11293" s="1" t="n">
        <v>45812.43118055556</v>
      </c>
      <c r="C11293" s="1" t="n">
        <v>45952</v>
      </c>
      <c r="D11293" t="inlineStr">
        <is>
          <t>VÄSTRA GÖTALANDS LÄN</t>
        </is>
      </c>
      <c r="E11293" t="inlineStr">
        <is>
          <t>VÅRGÅRDA</t>
        </is>
      </c>
      <c r="G11293" t="n">
        <v>3.1</v>
      </c>
      <c r="H11293" t="n">
        <v>0</v>
      </c>
      <c r="I11293" t="n">
        <v>0</v>
      </c>
      <c r="J11293" t="n">
        <v>0</v>
      </c>
      <c r="K11293" t="n">
        <v>0</v>
      </c>
      <c r="L11293" t="n">
        <v>0</v>
      </c>
      <c r="M11293" t="n">
        <v>0</v>
      </c>
      <c r="N11293" t="n">
        <v>0</v>
      </c>
      <c r="O11293" t="n">
        <v>0</v>
      </c>
      <c r="P11293" t="n">
        <v>0</v>
      </c>
      <c r="Q11293" t="n">
        <v>0</v>
      </c>
      <c r="R11293" s="2" t="inlineStr"/>
    </row>
    <row r="11294" ht="15" customHeight="1">
      <c r="A11294" t="inlineStr">
        <is>
          <t>A 27374-2025</t>
        </is>
      </c>
      <c r="B11294" s="1" t="n">
        <v>45812</v>
      </c>
      <c r="C11294" s="1" t="n">
        <v>45952</v>
      </c>
      <c r="D11294" t="inlineStr">
        <is>
          <t>VÄSTRA GÖTALANDS LÄN</t>
        </is>
      </c>
      <c r="E11294" t="inlineStr">
        <is>
          <t>GULLSPÅNG</t>
        </is>
      </c>
      <c r="G11294" t="n">
        <v>0.7</v>
      </c>
      <c r="H11294" t="n">
        <v>0</v>
      </c>
      <c r="I11294" t="n">
        <v>0</v>
      </c>
      <c r="J11294" t="n">
        <v>0</v>
      </c>
      <c r="K11294" t="n">
        <v>0</v>
      </c>
      <c r="L11294" t="n">
        <v>0</v>
      </c>
      <c r="M11294" t="n">
        <v>0</v>
      </c>
      <c r="N11294" t="n">
        <v>0</v>
      </c>
      <c r="O11294" t="n">
        <v>0</v>
      </c>
      <c r="P11294" t="n">
        <v>0</v>
      </c>
      <c r="Q11294" t="n">
        <v>0</v>
      </c>
      <c r="R11294" s="2" t="inlineStr"/>
    </row>
    <row r="11295" ht="15" customHeight="1">
      <c r="A11295" t="inlineStr">
        <is>
          <t>A 27379-2025</t>
        </is>
      </c>
      <c r="B11295" s="1" t="n">
        <v>45812</v>
      </c>
      <c r="C11295" s="1" t="n">
        <v>45952</v>
      </c>
      <c r="D11295" t="inlineStr">
        <is>
          <t>VÄSTRA GÖTALANDS LÄN</t>
        </is>
      </c>
      <c r="E11295" t="inlineStr">
        <is>
          <t>GULLSPÅNG</t>
        </is>
      </c>
      <c r="G11295" t="n">
        <v>1.1</v>
      </c>
      <c r="H11295" t="n">
        <v>0</v>
      </c>
      <c r="I11295" t="n">
        <v>0</v>
      </c>
      <c r="J11295" t="n">
        <v>0</v>
      </c>
      <c r="K11295" t="n">
        <v>0</v>
      </c>
      <c r="L11295" t="n">
        <v>0</v>
      </c>
      <c r="M11295" t="n">
        <v>0</v>
      </c>
      <c r="N11295" t="n">
        <v>0</v>
      </c>
      <c r="O11295" t="n">
        <v>0</v>
      </c>
      <c r="P11295" t="n">
        <v>0</v>
      </c>
      <c r="Q11295" t="n">
        <v>0</v>
      </c>
      <c r="R11295" s="2" t="inlineStr"/>
    </row>
    <row r="11296" ht="15" customHeight="1">
      <c r="A11296" t="inlineStr">
        <is>
          <t>A 11370-2021</t>
        </is>
      </c>
      <c r="B11296" s="1" t="n">
        <v>44263</v>
      </c>
      <c r="C11296" s="1" t="n">
        <v>45952</v>
      </c>
      <c r="D11296" t="inlineStr">
        <is>
          <t>VÄSTRA GÖTALANDS LÄN</t>
        </is>
      </c>
      <c r="E11296" t="inlineStr">
        <is>
          <t>FÄRGELANDA</t>
        </is>
      </c>
      <c r="F11296" t="inlineStr">
        <is>
          <t>Kommuner</t>
        </is>
      </c>
      <c r="G11296" t="n">
        <v>2.3</v>
      </c>
      <c r="H11296" t="n">
        <v>0</v>
      </c>
      <c r="I11296" t="n">
        <v>0</v>
      </c>
      <c r="J11296" t="n">
        <v>0</v>
      </c>
      <c r="K11296" t="n">
        <v>0</v>
      </c>
      <c r="L11296" t="n">
        <v>0</v>
      </c>
      <c r="M11296" t="n">
        <v>0</v>
      </c>
      <c r="N11296" t="n">
        <v>0</v>
      </c>
      <c r="O11296" t="n">
        <v>0</v>
      </c>
      <c r="P11296" t="n">
        <v>0</v>
      </c>
      <c r="Q11296" t="n">
        <v>0</v>
      </c>
      <c r="R11296" s="2" t="inlineStr"/>
    </row>
    <row r="11297" ht="15" customHeight="1">
      <c r="A11297" t="inlineStr">
        <is>
          <t>A 46137-2023</t>
        </is>
      </c>
      <c r="B11297" s="1" t="n">
        <v>45196.56315972222</v>
      </c>
      <c r="C11297" s="1" t="n">
        <v>45952</v>
      </c>
      <c r="D11297" t="inlineStr">
        <is>
          <t>VÄSTRA GÖTALANDS LÄN</t>
        </is>
      </c>
      <c r="E11297" t="inlineStr">
        <is>
          <t>VARA</t>
        </is>
      </c>
      <c r="G11297" t="n">
        <v>0.6</v>
      </c>
      <c r="H11297" t="n">
        <v>0</v>
      </c>
      <c r="I11297" t="n">
        <v>0</v>
      </c>
      <c r="J11297" t="n">
        <v>0</v>
      </c>
      <c r="K11297" t="n">
        <v>0</v>
      </c>
      <c r="L11297" t="n">
        <v>0</v>
      </c>
      <c r="M11297" t="n">
        <v>0</v>
      </c>
      <c r="N11297" t="n">
        <v>0</v>
      </c>
      <c r="O11297" t="n">
        <v>0</v>
      </c>
      <c r="P11297" t="n">
        <v>0</v>
      </c>
      <c r="Q11297" t="n">
        <v>0</v>
      </c>
      <c r="R11297" s="2" t="inlineStr"/>
    </row>
    <row r="11298" ht="15" customHeight="1">
      <c r="A11298" t="inlineStr">
        <is>
          <t>A 50053-2023</t>
        </is>
      </c>
      <c r="B11298" s="1" t="n">
        <v>45215</v>
      </c>
      <c r="C11298" s="1" t="n">
        <v>45952</v>
      </c>
      <c r="D11298" t="inlineStr">
        <is>
          <t>VÄSTRA GÖTALANDS LÄN</t>
        </is>
      </c>
      <c r="E11298" t="inlineStr">
        <is>
          <t>MARIESTAD</t>
        </is>
      </c>
      <c r="G11298" t="n">
        <v>1.9</v>
      </c>
      <c r="H11298" t="n">
        <v>0</v>
      </c>
      <c r="I11298" t="n">
        <v>0</v>
      </c>
      <c r="J11298" t="n">
        <v>0</v>
      </c>
      <c r="K11298" t="n">
        <v>0</v>
      </c>
      <c r="L11298" t="n">
        <v>0</v>
      </c>
      <c r="M11298" t="n">
        <v>0</v>
      </c>
      <c r="N11298" t="n">
        <v>0</v>
      </c>
      <c r="O11298" t="n">
        <v>0</v>
      </c>
      <c r="P11298" t="n">
        <v>0</v>
      </c>
      <c r="Q11298" t="n">
        <v>0</v>
      </c>
      <c r="R11298" s="2" t="inlineStr"/>
      <c r="U11298">
        <f>HYPERLINK("https://klasma.github.io/Logging_1493/knärot/A 50053-2023 karta knärot.png", "A 50053-2023")</f>
        <v/>
      </c>
      <c r="V11298">
        <f>HYPERLINK("https://klasma.github.io/Logging_1493/klagomål/A 50053-2023 FSC-klagomål.docx", "A 50053-2023")</f>
        <v/>
      </c>
      <c r="W11298">
        <f>HYPERLINK("https://klasma.github.io/Logging_1493/klagomålsmail/A 50053-2023 FSC-klagomål mail.docx", "A 50053-2023")</f>
        <v/>
      </c>
      <c r="X11298">
        <f>HYPERLINK("https://klasma.github.io/Logging_1493/tillsyn/A 50053-2023 tillsynsbegäran.docx", "A 50053-2023")</f>
        <v/>
      </c>
      <c r="Y11298">
        <f>HYPERLINK("https://klasma.github.io/Logging_1493/tillsynsmail/A 50053-2023 tillsynsbegäran mail.docx", "A 50053-2023")</f>
        <v/>
      </c>
    </row>
    <row r="11299" ht="15" customHeight="1">
      <c r="A11299" t="inlineStr">
        <is>
          <t>A 46158-2023</t>
        </is>
      </c>
      <c r="B11299" s="1" t="n">
        <v>45196</v>
      </c>
      <c r="C11299" s="1" t="n">
        <v>45952</v>
      </c>
      <c r="D11299" t="inlineStr">
        <is>
          <t>VÄSTRA GÖTALANDS LÄN</t>
        </is>
      </c>
      <c r="E11299" t="inlineStr">
        <is>
          <t>BORÅS</t>
        </is>
      </c>
      <c r="G11299" t="n">
        <v>3.3</v>
      </c>
      <c r="H11299" t="n">
        <v>0</v>
      </c>
      <c r="I11299" t="n">
        <v>0</v>
      </c>
      <c r="J11299" t="n">
        <v>0</v>
      </c>
      <c r="K11299" t="n">
        <v>0</v>
      </c>
      <c r="L11299" t="n">
        <v>0</v>
      </c>
      <c r="M11299" t="n">
        <v>0</v>
      </c>
      <c r="N11299" t="n">
        <v>0</v>
      </c>
      <c r="O11299" t="n">
        <v>0</v>
      </c>
      <c r="P11299" t="n">
        <v>0</v>
      </c>
      <c r="Q11299" t="n">
        <v>0</v>
      </c>
      <c r="R11299" s="2" t="inlineStr"/>
    </row>
    <row r="11300" ht="15" customHeight="1">
      <c r="A11300" t="inlineStr">
        <is>
          <t>A 27430-2025</t>
        </is>
      </c>
      <c r="B11300" s="1" t="n">
        <v>45813.29825231482</v>
      </c>
      <c r="C11300" s="1" t="n">
        <v>45952</v>
      </c>
      <c r="D11300" t="inlineStr">
        <is>
          <t>VÄSTRA GÖTALANDS LÄN</t>
        </is>
      </c>
      <c r="E11300" t="inlineStr">
        <is>
          <t>TÖREBODA</t>
        </is>
      </c>
      <c r="F11300" t="inlineStr">
        <is>
          <t>Sveaskog</t>
        </is>
      </c>
      <c r="G11300" t="n">
        <v>3.5</v>
      </c>
      <c r="H11300" t="n">
        <v>0</v>
      </c>
      <c r="I11300" t="n">
        <v>0</v>
      </c>
      <c r="J11300" t="n">
        <v>0</v>
      </c>
      <c r="K11300" t="n">
        <v>0</v>
      </c>
      <c r="L11300" t="n">
        <v>0</v>
      </c>
      <c r="M11300" t="n">
        <v>0</v>
      </c>
      <c r="N11300" t="n">
        <v>0</v>
      </c>
      <c r="O11300" t="n">
        <v>0</v>
      </c>
      <c r="P11300" t="n">
        <v>0</v>
      </c>
      <c r="Q11300" t="n">
        <v>0</v>
      </c>
      <c r="R11300" s="2" t="inlineStr"/>
    </row>
    <row r="11301" ht="15" customHeight="1">
      <c r="A11301" t="inlineStr">
        <is>
          <t>A 44251-2024</t>
        </is>
      </c>
      <c r="B11301" s="1" t="n">
        <v>45573.44546296296</v>
      </c>
      <c r="C11301" s="1" t="n">
        <v>45952</v>
      </c>
      <c r="D11301" t="inlineStr">
        <is>
          <t>VÄSTRA GÖTALANDS LÄN</t>
        </is>
      </c>
      <c r="E11301" t="inlineStr">
        <is>
          <t>SVENLJUNGA</t>
        </is>
      </c>
      <c r="G11301" t="n">
        <v>1</v>
      </c>
      <c r="H11301" t="n">
        <v>0</v>
      </c>
      <c r="I11301" t="n">
        <v>0</v>
      </c>
      <c r="J11301" t="n">
        <v>0</v>
      </c>
      <c r="K11301" t="n">
        <v>0</v>
      </c>
      <c r="L11301" t="n">
        <v>0</v>
      </c>
      <c r="M11301" t="n">
        <v>0</v>
      </c>
      <c r="N11301" t="n">
        <v>0</v>
      </c>
      <c r="O11301" t="n">
        <v>0</v>
      </c>
      <c r="P11301" t="n">
        <v>0</v>
      </c>
      <c r="Q11301" t="n">
        <v>0</v>
      </c>
      <c r="R11301" s="2" t="inlineStr"/>
    </row>
    <row r="11302" ht="15" customHeight="1">
      <c r="A11302" t="inlineStr">
        <is>
          <t>A 46185-2023</t>
        </is>
      </c>
      <c r="B11302" s="1" t="n">
        <v>45196</v>
      </c>
      <c r="C11302" s="1" t="n">
        <v>45952</v>
      </c>
      <c r="D11302" t="inlineStr">
        <is>
          <t>VÄSTRA GÖTALANDS LÄN</t>
        </is>
      </c>
      <c r="E11302" t="inlineStr">
        <is>
          <t>SKARA</t>
        </is>
      </c>
      <c r="G11302" t="n">
        <v>0.9</v>
      </c>
      <c r="H11302" t="n">
        <v>0</v>
      </c>
      <c r="I11302" t="n">
        <v>0</v>
      </c>
      <c r="J11302" t="n">
        <v>0</v>
      </c>
      <c r="K11302" t="n">
        <v>0</v>
      </c>
      <c r="L11302" t="n">
        <v>0</v>
      </c>
      <c r="M11302" t="n">
        <v>0</v>
      </c>
      <c r="N11302" t="n">
        <v>0</v>
      </c>
      <c r="O11302" t="n">
        <v>0</v>
      </c>
      <c r="P11302" t="n">
        <v>0</v>
      </c>
      <c r="Q11302" t="n">
        <v>0</v>
      </c>
      <c r="R11302" s="2" t="inlineStr"/>
    </row>
    <row r="11303" ht="15" customHeight="1">
      <c r="A11303" t="inlineStr">
        <is>
          <t>A 6302-2022</t>
        </is>
      </c>
      <c r="B11303" s="1" t="n">
        <v>44600.5171412037</v>
      </c>
      <c r="C11303" s="1" t="n">
        <v>45952</v>
      </c>
      <c r="D11303" t="inlineStr">
        <is>
          <t>VÄSTRA GÖTALANDS LÄN</t>
        </is>
      </c>
      <c r="E11303" t="inlineStr">
        <is>
          <t>TRANEMO</t>
        </is>
      </c>
      <c r="G11303" t="n">
        <v>0.7</v>
      </c>
      <c r="H11303" t="n">
        <v>0</v>
      </c>
      <c r="I11303" t="n">
        <v>0</v>
      </c>
      <c r="J11303" t="n">
        <v>0</v>
      </c>
      <c r="K11303" t="n">
        <v>0</v>
      </c>
      <c r="L11303" t="n">
        <v>0</v>
      </c>
      <c r="M11303" t="n">
        <v>0</v>
      </c>
      <c r="N11303" t="n">
        <v>0</v>
      </c>
      <c r="O11303" t="n">
        <v>0</v>
      </c>
      <c r="P11303" t="n">
        <v>0</v>
      </c>
      <c r="Q11303" t="n">
        <v>0</v>
      </c>
      <c r="R11303" s="2" t="inlineStr"/>
    </row>
    <row r="11304" ht="15" customHeight="1">
      <c r="A11304" t="inlineStr">
        <is>
          <t>A 46893-2023</t>
        </is>
      </c>
      <c r="B11304" s="1" t="n">
        <v>45201.35621527778</v>
      </c>
      <c r="C11304" s="1" t="n">
        <v>45952</v>
      </c>
      <c r="D11304" t="inlineStr">
        <is>
          <t>VÄSTRA GÖTALANDS LÄN</t>
        </is>
      </c>
      <c r="E11304" t="inlineStr">
        <is>
          <t>MARIESTAD</t>
        </is>
      </c>
      <c r="G11304" t="n">
        <v>1.5</v>
      </c>
      <c r="H11304" t="n">
        <v>0</v>
      </c>
      <c r="I11304" t="n">
        <v>0</v>
      </c>
      <c r="J11304" t="n">
        <v>0</v>
      </c>
      <c r="K11304" t="n">
        <v>0</v>
      </c>
      <c r="L11304" t="n">
        <v>0</v>
      </c>
      <c r="M11304" t="n">
        <v>0</v>
      </c>
      <c r="N11304" t="n">
        <v>0</v>
      </c>
      <c r="O11304" t="n">
        <v>0</v>
      </c>
      <c r="P11304" t="n">
        <v>0</v>
      </c>
      <c r="Q11304" t="n">
        <v>0</v>
      </c>
      <c r="R11304" s="2" t="inlineStr"/>
    </row>
    <row r="11305" ht="15" customHeight="1">
      <c r="A11305" t="inlineStr">
        <is>
          <t>A 15112-2022</t>
        </is>
      </c>
      <c r="B11305" s="1" t="n">
        <v>44658</v>
      </c>
      <c r="C11305" s="1" t="n">
        <v>45952</v>
      </c>
      <c r="D11305" t="inlineStr">
        <is>
          <t>VÄSTRA GÖTALANDS LÄN</t>
        </is>
      </c>
      <c r="E11305" t="inlineStr">
        <is>
          <t>BOLLEBYGD</t>
        </is>
      </c>
      <c r="G11305" t="n">
        <v>1.5</v>
      </c>
      <c r="H11305" t="n">
        <v>0</v>
      </c>
      <c r="I11305" t="n">
        <v>0</v>
      </c>
      <c r="J11305" t="n">
        <v>0</v>
      </c>
      <c r="K11305" t="n">
        <v>0</v>
      </c>
      <c r="L11305" t="n">
        <v>0</v>
      </c>
      <c r="M11305" t="n">
        <v>0</v>
      </c>
      <c r="N11305" t="n">
        <v>0</v>
      </c>
      <c r="O11305" t="n">
        <v>0</v>
      </c>
      <c r="P11305" t="n">
        <v>0</v>
      </c>
      <c r="Q11305" t="n">
        <v>0</v>
      </c>
      <c r="R11305" s="2" t="inlineStr"/>
    </row>
    <row r="11306" ht="15" customHeight="1">
      <c r="A11306" t="inlineStr">
        <is>
          <t>A 27201-2025</t>
        </is>
      </c>
      <c r="B11306" s="1" t="n">
        <v>45812</v>
      </c>
      <c r="C11306" s="1" t="n">
        <v>45952</v>
      </c>
      <c r="D11306" t="inlineStr">
        <is>
          <t>VÄSTRA GÖTALANDS LÄN</t>
        </is>
      </c>
      <c r="E11306" t="inlineStr">
        <is>
          <t>TROLLHÄTTAN</t>
        </is>
      </c>
      <c r="G11306" t="n">
        <v>1.1</v>
      </c>
      <c r="H11306" t="n">
        <v>0</v>
      </c>
      <c r="I11306" t="n">
        <v>0</v>
      </c>
      <c r="J11306" t="n">
        <v>0</v>
      </c>
      <c r="K11306" t="n">
        <v>0</v>
      </c>
      <c r="L11306" t="n">
        <v>0</v>
      </c>
      <c r="M11306" t="n">
        <v>0</v>
      </c>
      <c r="N11306" t="n">
        <v>0</v>
      </c>
      <c r="O11306" t="n">
        <v>0</v>
      </c>
      <c r="P11306" t="n">
        <v>0</v>
      </c>
      <c r="Q11306" t="n">
        <v>0</v>
      </c>
      <c r="R11306" s="2" t="inlineStr"/>
    </row>
    <row r="11307" ht="15" customHeight="1">
      <c r="A11307" t="inlineStr">
        <is>
          <t>A 27202-2025</t>
        </is>
      </c>
      <c r="B11307" s="1" t="n">
        <v>45812.39840277778</v>
      </c>
      <c r="C11307" s="1" t="n">
        <v>45952</v>
      </c>
      <c r="D11307" t="inlineStr">
        <is>
          <t>VÄSTRA GÖTALANDS LÄN</t>
        </is>
      </c>
      <c r="E11307" t="inlineStr">
        <is>
          <t>ALINGSÅS</t>
        </is>
      </c>
      <c r="G11307" t="n">
        <v>1.7</v>
      </c>
      <c r="H11307" t="n">
        <v>0</v>
      </c>
      <c r="I11307" t="n">
        <v>0</v>
      </c>
      <c r="J11307" t="n">
        <v>0</v>
      </c>
      <c r="K11307" t="n">
        <v>0</v>
      </c>
      <c r="L11307" t="n">
        <v>0</v>
      </c>
      <c r="M11307" t="n">
        <v>0</v>
      </c>
      <c r="N11307" t="n">
        <v>0</v>
      </c>
      <c r="O11307" t="n">
        <v>0</v>
      </c>
      <c r="P11307" t="n">
        <v>0</v>
      </c>
      <c r="Q11307" t="n">
        <v>0</v>
      </c>
      <c r="R11307" s="2" t="inlineStr"/>
    </row>
    <row r="11308" ht="15" customHeight="1">
      <c r="A11308" t="inlineStr">
        <is>
          <t>A 14783-2022</t>
        </is>
      </c>
      <c r="B11308" s="1" t="n">
        <v>44656.46391203703</v>
      </c>
      <c r="C11308" s="1" t="n">
        <v>45952</v>
      </c>
      <c r="D11308" t="inlineStr">
        <is>
          <t>VÄSTRA GÖTALANDS LÄN</t>
        </is>
      </c>
      <c r="E11308" t="inlineStr">
        <is>
          <t>BORÅS</t>
        </is>
      </c>
      <c r="G11308" t="n">
        <v>3.8</v>
      </c>
      <c r="H11308" t="n">
        <v>0</v>
      </c>
      <c r="I11308" t="n">
        <v>0</v>
      </c>
      <c r="J11308" t="n">
        <v>0</v>
      </c>
      <c r="K11308" t="n">
        <v>0</v>
      </c>
      <c r="L11308" t="n">
        <v>0</v>
      </c>
      <c r="M11308" t="n">
        <v>0</v>
      </c>
      <c r="N11308" t="n">
        <v>0</v>
      </c>
      <c r="O11308" t="n">
        <v>0</v>
      </c>
      <c r="P11308" t="n">
        <v>0</v>
      </c>
      <c r="Q11308" t="n">
        <v>0</v>
      </c>
      <c r="R11308" s="2" t="inlineStr"/>
    </row>
    <row r="11309" ht="15" customHeight="1">
      <c r="A11309" t="inlineStr">
        <is>
          <t>A 27249-2025</t>
        </is>
      </c>
      <c r="B11309" s="1" t="n">
        <v>45812.46844907408</v>
      </c>
      <c r="C11309" s="1" t="n">
        <v>45952</v>
      </c>
      <c r="D11309" t="inlineStr">
        <is>
          <t>VÄSTRA GÖTALANDS LÄN</t>
        </is>
      </c>
      <c r="E11309" t="inlineStr">
        <is>
          <t>VÅRGÅRDA</t>
        </is>
      </c>
      <c r="G11309" t="n">
        <v>3.1</v>
      </c>
      <c r="H11309" t="n">
        <v>0</v>
      </c>
      <c r="I11309" t="n">
        <v>0</v>
      </c>
      <c r="J11309" t="n">
        <v>0</v>
      </c>
      <c r="K11309" t="n">
        <v>0</v>
      </c>
      <c r="L11309" t="n">
        <v>0</v>
      </c>
      <c r="M11309" t="n">
        <v>0</v>
      </c>
      <c r="N11309" t="n">
        <v>0</v>
      </c>
      <c r="O11309" t="n">
        <v>0</v>
      </c>
      <c r="P11309" t="n">
        <v>0</v>
      </c>
      <c r="Q11309" t="n">
        <v>0</v>
      </c>
      <c r="R11309" s="2" t="inlineStr"/>
    </row>
    <row r="11310" ht="15" customHeight="1">
      <c r="A11310" t="inlineStr">
        <is>
          <t>A 24996-2023</t>
        </is>
      </c>
      <c r="B11310" s="1" t="n">
        <v>45085</v>
      </c>
      <c r="C11310" s="1" t="n">
        <v>45952</v>
      </c>
      <c r="D11310" t="inlineStr">
        <is>
          <t>VÄSTRA GÖTALANDS LÄN</t>
        </is>
      </c>
      <c r="E11310" t="inlineStr">
        <is>
          <t>ULRICEHAMN</t>
        </is>
      </c>
      <c r="G11310" t="n">
        <v>1.3</v>
      </c>
      <c r="H11310" t="n">
        <v>0</v>
      </c>
      <c r="I11310" t="n">
        <v>0</v>
      </c>
      <c r="J11310" t="n">
        <v>0</v>
      </c>
      <c r="K11310" t="n">
        <v>0</v>
      </c>
      <c r="L11310" t="n">
        <v>0</v>
      </c>
      <c r="M11310" t="n">
        <v>0</v>
      </c>
      <c r="N11310" t="n">
        <v>0</v>
      </c>
      <c r="O11310" t="n">
        <v>0</v>
      </c>
      <c r="P11310" t="n">
        <v>0</v>
      </c>
      <c r="Q11310" t="n">
        <v>0</v>
      </c>
      <c r="R11310" s="2" t="inlineStr"/>
    </row>
    <row r="11311" ht="15" customHeight="1">
      <c r="A11311" t="inlineStr">
        <is>
          <t>A 25000-2023</t>
        </is>
      </c>
      <c r="B11311" s="1" t="n">
        <v>45085.65362268518</v>
      </c>
      <c r="C11311" s="1" t="n">
        <v>45952</v>
      </c>
      <c r="D11311" t="inlineStr">
        <is>
          <t>VÄSTRA GÖTALANDS LÄN</t>
        </is>
      </c>
      <c r="E11311" t="inlineStr">
        <is>
          <t>ULRICEHAMN</t>
        </is>
      </c>
      <c r="G11311" t="n">
        <v>0.8</v>
      </c>
      <c r="H11311" t="n">
        <v>0</v>
      </c>
      <c r="I11311" t="n">
        <v>0</v>
      </c>
      <c r="J11311" t="n">
        <v>0</v>
      </c>
      <c r="K11311" t="n">
        <v>0</v>
      </c>
      <c r="L11311" t="n">
        <v>0</v>
      </c>
      <c r="M11311" t="n">
        <v>0</v>
      </c>
      <c r="N11311" t="n">
        <v>0</v>
      </c>
      <c r="O11311" t="n">
        <v>0</v>
      </c>
      <c r="P11311" t="n">
        <v>0</v>
      </c>
      <c r="Q11311" t="n">
        <v>0</v>
      </c>
      <c r="R11311" s="2" t="inlineStr"/>
    </row>
    <row r="11312" ht="15" customHeight="1">
      <c r="A11312" t="inlineStr">
        <is>
          <t>A 25015-2023</t>
        </is>
      </c>
      <c r="B11312" s="1" t="n">
        <v>45085.6989699074</v>
      </c>
      <c r="C11312" s="1" t="n">
        <v>45952</v>
      </c>
      <c r="D11312" t="inlineStr">
        <is>
          <t>VÄSTRA GÖTALANDS LÄN</t>
        </is>
      </c>
      <c r="E11312" t="inlineStr">
        <is>
          <t>GÖTEBORG</t>
        </is>
      </c>
      <c r="G11312" t="n">
        <v>1.8</v>
      </c>
      <c r="H11312" t="n">
        <v>0</v>
      </c>
      <c r="I11312" t="n">
        <v>0</v>
      </c>
      <c r="J11312" t="n">
        <v>0</v>
      </c>
      <c r="K11312" t="n">
        <v>0</v>
      </c>
      <c r="L11312" t="n">
        <v>0</v>
      </c>
      <c r="M11312" t="n">
        <v>0</v>
      </c>
      <c r="N11312" t="n">
        <v>0</v>
      </c>
      <c r="O11312" t="n">
        <v>0</v>
      </c>
      <c r="P11312" t="n">
        <v>0</v>
      </c>
      <c r="Q11312" t="n">
        <v>0</v>
      </c>
      <c r="R11312" s="2" t="inlineStr"/>
    </row>
    <row r="11313" ht="15" customHeight="1">
      <c r="A11313" t="inlineStr">
        <is>
          <t>A 27275-2025</t>
        </is>
      </c>
      <c r="B11313" s="1" t="n">
        <v>45812.51912037037</v>
      </c>
      <c r="C11313" s="1" t="n">
        <v>45952</v>
      </c>
      <c r="D11313" t="inlineStr">
        <is>
          <t>VÄSTRA GÖTALANDS LÄN</t>
        </is>
      </c>
      <c r="E11313" t="inlineStr">
        <is>
          <t>BORÅS</t>
        </is>
      </c>
      <c r="G11313" t="n">
        <v>0.4</v>
      </c>
      <c r="H11313" t="n">
        <v>0</v>
      </c>
      <c r="I11313" t="n">
        <v>0</v>
      </c>
      <c r="J11313" t="n">
        <v>0</v>
      </c>
      <c r="K11313" t="n">
        <v>0</v>
      </c>
      <c r="L11313" t="n">
        <v>0</v>
      </c>
      <c r="M11313" t="n">
        <v>0</v>
      </c>
      <c r="N11313" t="n">
        <v>0</v>
      </c>
      <c r="O11313" t="n">
        <v>0</v>
      </c>
      <c r="P11313" t="n">
        <v>0</v>
      </c>
      <c r="Q11313" t="n">
        <v>0</v>
      </c>
      <c r="R11313" s="2" t="inlineStr"/>
    </row>
    <row r="11314" ht="15" customHeight="1">
      <c r="A11314" t="inlineStr">
        <is>
          <t>A 27277-2025</t>
        </is>
      </c>
      <c r="B11314" s="1" t="n">
        <v>45812.52674768519</v>
      </c>
      <c r="C11314" s="1" t="n">
        <v>45952</v>
      </c>
      <c r="D11314" t="inlineStr">
        <is>
          <t>VÄSTRA GÖTALANDS LÄN</t>
        </is>
      </c>
      <c r="E11314" t="inlineStr">
        <is>
          <t>ORUST</t>
        </is>
      </c>
      <c r="G11314" t="n">
        <v>0.9</v>
      </c>
      <c r="H11314" t="n">
        <v>0</v>
      </c>
      <c r="I11314" t="n">
        <v>0</v>
      </c>
      <c r="J11314" t="n">
        <v>0</v>
      </c>
      <c r="K11314" t="n">
        <v>0</v>
      </c>
      <c r="L11314" t="n">
        <v>0</v>
      </c>
      <c r="M11314" t="n">
        <v>0</v>
      </c>
      <c r="N11314" t="n">
        <v>0</v>
      </c>
      <c r="O11314" t="n">
        <v>0</v>
      </c>
      <c r="P11314" t="n">
        <v>0</v>
      </c>
      <c r="Q11314" t="n">
        <v>0</v>
      </c>
      <c r="R11314" s="2" t="inlineStr"/>
    </row>
    <row r="11315" ht="15" customHeight="1">
      <c r="A11315" t="inlineStr">
        <is>
          <t>A 23862-2023</t>
        </is>
      </c>
      <c r="B11315" s="1" t="n">
        <v>45075</v>
      </c>
      <c r="C11315" s="1" t="n">
        <v>45952</v>
      </c>
      <c r="D11315" t="inlineStr">
        <is>
          <t>VÄSTRA GÖTALANDS LÄN</t>
        </is>
      </c>
      <c r="E11315" t="inlineStr">
        <is>
          <t>DALS-ED</t>
        </is>
      </c>
      <c r="G11315" t="n">
        <v>1.2</v>
      </c>
      <c r="H11315" t="n">
        <v>0</v>
      </c>
      <c r="I11315" t="n">
        <v>0</v>
      </c>
      <c r="J11315" t="n">
        <v>0</v>
      </c>
      <c r="K11315" t="n">
        <v>0</v>
      </c>
      <c r="L11315" t="n">
        <v>0</v>
      </c>
      <c r="M11315" t="n">
        <v>0</v>
      </c>
      <c r="N11315" t="n">
        <v>0</v>
      </c>
      <c r="O11315" t="n">
        <v>0</v>
      </c>
      <c r="P11315" t="n">
        <v>0</v>
      </c>
      <c r="Q11315" t="n">
        <v>0</v>
      </c>
      <c r="R11315" s="2" t="inlineStr"/>
    </row>
    <row r="11316" ht="15" customHeight="1">
      <c r="A11316" t="inlineStr">
        <is>
          <t>A 27655-2025</t>
        </is>
      </c>
      <c r="B11316" s="1" t="n">
        <v>45813.60436342593</v>
      </c>
      <c r="C11316" s="1" t="n">
        <v>45952</v>
      </c>
      <c r="D11316" t="inlineStr">
        <is>
          <t>VÄSTRA GÖTALANDS LÄN</t>
        </is>
      </c>
      <c r="E11316" t="inlineStr">
        <is>
          <t>ULRICEHAMN</t>
        </is>
      </c>
      <c r="G11316" t="n">
        <v>2</v>
      </c>
      <c r="H11316" t="n">
        <v>0</v>
      </c>
      <c r="I11316" t="n">
        <v>0</v>
      </c>
      <c r="J11316" t="n">
        <v>0</v>
      </c>
      <c r="K11316" t="n">
        <v>0</v>
      </c>
      <c r="L11316" t="n">
        <v>0</v>
      </c>
      <c r="M11316" t="n">
        <v>0</v>
      </c>
      <c r="N11316" t="n">
        <v>0</v>
      </c>
      <c r="O11316" t="n">
        <v>0</v>
      </c>
      <c r="P11316" t="n">
        <v>0</v>
      </c>
      <c r="Q11316" t="n">
        <v>0</v>
      </c>
      <c r="R11316" s="2" t="inlineStr"/>
    </row>
    <row r="11317" ht="15" customHeight="1">
      <c r="A11317" t="inlineStr">
        <is>
          <t>A 56545-2023</t>
        </is>
      </c>
      <c r="B11317" s="1" t="n">
        <v>45243.58105324074</v>
      </c>
      <c r="C11317" s="1" t="n">
        <v>45952</v>
      </c>
      <c r="D11317" t="inlineStr">
        <is>
          <t>VÄSTRA GÖTALANDS LÄN</t>
        </is>
      </c>
      <c r="E11317" t="inlineStr">
        <is>
          <t>KARLSBORG</t>
        </is>
      </c>
      <c r="F11317" t="inlineStr">
        <is>
          <t>Sveaskog</t>
        </is>
      </c>
      <c r="G11317" t="n">
        <v>1.4</v>
      </c>
      <c r="H11317" t="n">
        <v>0</v>
      </c>
      <c r="I11317" t="n">
        <v>0</v>
      </c>
      <c r="J11317" t="n">
        <v>0</v>
      </c>
      <c r="K11317" t="n">
        <v>0</v>
      </c>
      <c r="L11317" t="n">
        <v>0</v>
      </c>
      <c r="M11317" t="n">
        <v>0</v>
      </c>
      <c r="N11317" t="n">
        <v>0</v>
      </c>
      <c r="O11317" t="n">
        <v>0</v>
      </c>
      <c r="P11317" t="n">
        <v>0</v>
      </c>
      <c r="Q11317" t="n">
        <v>0</v>
      </c>
      <c r="R11317" s="2" t="inlineStr"/>
    </row>
    <row r="11318" ht="15" customHeight="1">
      <c r="A11318" t="inlineStr">
        <is>
          <t>A 56607-2023</t>
        </is>
      </c>
      <c r="B11318" s="1" t="n">
        <v>45238</v>
      </c>
      <c r="C11318" s="1" t="n">
        <v>45952</v>
      </c>
      <c r="D11318" t="inlineStr">
        <is>
          <t>VÄSTRA GÖTALANDS LÄN</t>
        </is>
      </c>
      <c r="E11318" t="inlineStr">
        <is>
          <t>MELLERUD</t>
        </is>
      </c>
      <c r="G11318" t="n">
        <v>0.6</v>
      </c>
      <c r="H11318" t="n">
        <v>0</v>
      </c>
      <c r="I11318" t="n">
        <v>0</v>
      </c>
      <c r="J11318" t="n">
        <v>0</v>
      </c>
      <c r="K11318" t="n">
        <v>0</v>
      </c>
      <c r="L11318" t="n">
        <v>0</v>
      </c>
      <c r="M11318" t="n">
        <v>0</v>
      </c>
      <c r="N11318" t="n">
        <v>0</v>
      </c>
      <c r="O11318" t="n">
        <v>0</v>
      </c>
      <c r="P11318" t="n">
        <v>0</v>
      </c>
      <c r="Q11318" t="n">
        <v>0</v>
      </c>
      <c r="R11318" s="2" t="inlineStr"/>
    </row>
    <row r="11319" ht="15" customHeight="1">
      <c r="A11319" t="inlineStr">
        <is>
          <t>A 42079-2022</t>
        </is>
      </c>
      <c r="B11319" s="1" t="n">
        <v>44830</v>
      </c>
      <c r="C11319" s="1" t="n">
        <v>45952</v>
      </c>
      <c r="D11319" t="inlineStr">
        <is>
          <t>VÄSTRA GÖTALANDS LÄN</t>
        </is>
      </c>
      <c r="E11319" t="inlineStr">
        <is>
          <t>TANUM</t>
        </is>
      </c>
      <c r="G11319" t="n">
        <v>5.5</v>
      </c>
      <c r="H11319" t="n">
        <v>0</v>
      </c>
      <c r="I11319" t="n">
        <v>0</v>
      </c>
      <c r="J11319" t="n">
        <v>0</v>
      </c>
      <c r="K11319" t="n">
        <v>0</v>
      </c>
      <c r="L11319" t="n">
        <v>0</v>
      </c>
      <c r="M11319" t="n">
        <v>0</v>
      </c>
      <c r="N11319" t="n">
        <v>0</v>
      </c>
      <c r="O11319" t="n">
        <v>0</v>
      </c>
      <c r="P11319" t="n">
        <v>0</v>
      </c>
      <c r="Q11319" t="n">
        <v>0</v>
      </c>
      <c r="R11319" s="2" t="inlineStr"/>
    </row>
    <row r="11320" ht="15" customHeight="1">
      <c r="A11320" t="inlineStr">
        <is>
          <t>A 5962-2023</t>
        </is>
      </c>
      <c r="B11320" s="1" t="n">
        <v>44964.28975694445</v>
      </c>
      <c r="C11320" s="1" t="n">
        <v>45952</v>
      </c>
      <c r="D11320" t="inlineStr">
        <is>
          <t>VÄSTRA GÖTALANDS LÄN</t>
        </is>
      </c>
      <c r="E11320" t="inlineStr">
        <is>
          <t>ALINGSÅS</t>
        </is>
      </c>
      <c r="G11320" t="n">
        <v>0.6</v>
      </c>
      <c r="H11320" t="n">
        <v>0</v>
      </c>
      <c r="I11320" t="n">
        <v>0</v>
      </c>
      <c r="J11320" t="n">
        <v>0</v>
      </c>
      <c r="K11320" t="n">
        <v>0</v>
      </c>
      <c r="L11320" t="n">
        <v>0</v>
      </c>
      <c r="M11320" t="n">
        <v>0</v>
      </c>
      <c r="N11320" t="n">
        <v>0</v>
      </c>
      <c r="O11320" t="n">
        <v>0</v>
      </c>
      <c r="P11320" t="n">
        <v>0</v>
      </c>
      <c r="Q11320" t="n">
        <v>0</v>
      </c>
      <c r="R11320" s="2" t="inlineStr"/>
    </row>
    <row r="11321" ht="15" customHeight="1">
      <c r="A11321" t="inlineStr">
        <is>
          <t>A 27267-2025</t>
        </is>
      </c>
      <c r="B11321" s="1" t="n">
        <v>45812.49005787037</v>
      </c>
      <c r="C11321" s="1" t="n">
        <v>45952</v>
      </c>
      <c r="D11321" t="inlineStr">
        <is>
          <t>VÄSTRA GÖTALANDS LÄN</t>
        </is>
      </c>
      <c r="E11321" t="inlineStr">
        <is>
          <t>BENGTSFORS</t>
        </is>
      </c>
      <c r="G11321" t="n">
        <v>2</v>
      </c>
      <c r="H11321" t="n">
        <v>0</v>
      </c>
      <c r="I11321" t="n">
        <v>0</v>
      </c>
      <c r="J11321" t="n">
        <v>0</v>
      </c>
      <c r="K11321" t="n">
        <v>0</v>
      </c>
      <c r="L11321" t="n">
        <v>0</v>
      </c>
      <c r="M11321" t="n">
        <v>0</v>
      </c>
      <c r="N11321" t="n">
        <v>0</v>
      </c>
      <c r="O11321" t="n">
        <v>0</v>
      </c>
      <c r="P11321" t="n">
        <v>0</v>
      </c>
      <c r="Q11321" t="n">
        <v>0</v>
      </c>
      <c r="R11321" s="2" t="inlineStr"/>
    </row>
    <row r="11322" ht="15" customHeight="1">
      <c r="A11322" t="inlineStr">
        <is>
          <t>A 27274-2025</t>
        </is>
      </c>
      <c r="B11322" s="1" t="n">
        <v>45812.51744212963</v>
      </c>
      <c r="C11322" s="1" t="n">
        <v>45952</v>
      </c>
      <c r="D11322" t="inlineStr">
        <is>
          <t>VÄSTRA GÖTALANDS LÄN</t>
        </is>
      </c>
      <c r="E11322" t="inlineStr">
        <is>
          <t>BORÅS</t>
        </is>
      </c>
      <c r="G11322" t="n">
        <v>0.3</v>
      </c>
      <c r="H11322" t="n">
        <v>0</v>
      </c>
      <c r="I11322" t="n">
        <v>0</v>
      </c>
      <c r="J11322" t="n">
        <v>0</v>
      </c>
      <c r="K11322" t="n">
        <v>0</v>
      </c>
      <c r="L11322" t="n">
        <v>0</v>
      </c>
      <c r="M11322" t="n">
        <v>0</v>
      </c>
      <c r="N11322" t="n">
        <v>0</v>
      </c>
      <c r="O11322" t="n">
        <v>0</v>
      </c>
      <c r="P11322" t="n">
        <v>0</v>
      </c>
      <c r="Q11322" t="n">
        <v>0</v>
      </c>
      <c r="R11322" s="2" t="inlineStr"/>
    </row>
    <row r="11323" ht="15" customHeight="1">
      <c r="A11323" t="inlineStr">
        <is>
          <t>A 27283-2025</t>
        </is>
      </c>
      <c r="B11323" s="1" t="n">
        <v>45812.54665509259</v>
      </c>
      <c r="C11323" s="1" t="n">
        <v>45952</v>
      </c>
      <c r="D11323" t="inlineStr">
        <is>
          <t>VÄSTRA GÖTALANDS LÄN</t>
        </is>
      </c>
      <c r="E11323" t="inlineStr">
        <is>
          <t>ALINGSÅS</t>
        </is>
      </c>
      <c r="G11323" t="n">
        <v>3.1</v>
      </c>
      <c r="H11323" t="n">
        <v>0</v>
      </c>
      <c r="I11323" t="n">
        <v>0</v>
      </c>
      <c r="J11323" t="n">
        <v>0</v>
      </c>
      <c r="K11323" t="n">
        <v>0</v>
      </c>
      <c r="L11323" t="n">
        <v>0</v>
      </c>
      <c r="M11323" t="n">
        <v>0</v>
      </c>
      <c r="N11323" t="n">
        <v>0</v>
      </c>
      <c r="O11323" t="n">
        <v>0</v>
      </c>
      <c r="P11323" t="n">
        <v>0</v>
      </c>
      <c r="Q11323" t="n">
        <v>0</v>
      </c>
      <c r="R11323" s="2" t="inlineStr"/>
    </row>
    <row r="11324" ht="15" customHeight="1">
      <c r="A11324" t="inlineStr">
        <is>
          <t>A 17360-2024</t>
        </is>
      </c>
      <c r="B11324" s="1" t="n">
        <v>45414.60575231481</v>
      </c>
      <c r="C11324" s="1" t="n">
        <v>45952</v>
      </c>
      <c r="D11324" t="inlineStr">
        <is>
          <t>VÄSTRA GÖTALANDS LÄN</t>
        </is>
      </c>
      <c r="E11324" t="inlineStr">
        <is>
          <t>TÖREBODA</t>
        </is>
      </c>
      <c r="G11324" t="n">
        <v>1.9</v>
      </c>
      <c r="H11324" t="n">
        <v>0</v>
      </c>
      <c r="I11324" t="n">
        <v>0</v>
      </c>
      <c r="J11324" t="n">
        <v>0</v>
      </c>
      <c r="K11324" t="n">
        <v>0</v>
      </c>
      <c r="L11324" t="n">
        <v>0</v>
      </c>
      <c r="M11324" t="n">
        <v>0</v>
      </c>
      <c r="N11324" t="n">
        <v>0</v>
      </c>
      <c r="O11324" t="n">
        <v>0</v>
      </c>
      <c r="P11324" t="n">
        <v>0</v>
      </c>
      <c r="Q11324" t="n">
        <v>0</v>
      </c>
      <c r="R11324" s="2" t="inlineStr"/>
    </row>
    <row r="11325" ht="15" customHeight="1">
      <c r="A11325" t="inlineStr">
        <is>
          <t>A 47777-2023</t>
        </is>
      </c>
      <c r="B11325" s="1" t="n">
        <v>45203</v>
      </c>
      <c r="C11325" s="1" t="n">
        <v>45952</v>
      </c>
      <c r="D11325" t="inlineStr">
        <is>
          <t>VÄSTRA GÖTALANDS LÄN</t>
        </is>
      </c>
      <c r="E11325" t="inlineStr">
        <is>
          <t>MARIESTAD</t>
        </is>
      </c>
      <c r="G11325" t="n">
        <v>0.9</v>
      </c>
      <c r="H11325" t="n">
        <v>0</v>
      </c>
      <c r="I11325" t="n">
        <v>0</v>
      </c>
      <c r="J11325" t="n">
        <v>0</v>
      </c>
      <c r="K11325" t="n">
        <v>0</v>
      </c>
      <c r="L11325" t="n">
        <v>0</v>
      </c>
      <c r="M11325" t="n">
        <v>0</v>
      </c>
      <c r="N11325" t="n">
        <v>0</v>
      </c>
      <c r="O11325" t="n">
        <v>0</v>
      </c>
      <c r="P11325" t="n">
        <v>0</v>
      </c>
      <c r="Q11325" t="n">
        <v>0</v>
      </c>
      <c r="R11325" s="2" t="inlineStr"/>
    </row>
    <row r="11326" ht="15" customHeight="1">
      <c r="A11326" t="inlineStr">
        <is>
          <t>A 650-2024</t>
        </is>
      </c>
      <c r="B11326" s="1" t="n">
        <v>45299</v>
      </c>
      <c r="C11326" s="1" t="n">
        <v>45952</v>
      </c>
      <c r="D11326" t="inlineStr">
        <is>
          <t>VÄSTRA GÖTALANDS LÄN</t>
        </is>
      </c>
      <c r="E11326" t="inlineStr">
        <is>
          <t>GULLSPÅNG</t>
        </is>
      </c>
      <c r="G11326" t="n">
        <v>0.9</v>
      </c>
      <c r="H11326" t="n">
        <v>0</v>
      </c>
      <c r="I11326" t="n">
        <v>0</v>
      </c>
      <c r="J11326" t="n">
        <v>0</v>
      </c>
      <c r="K11326" t="n">
        <v>0</v>
      </c>
      <c r="L11326" t="n">
        <v>0</v>
      </c>
      <c r="M11326" t="n">
        <v>0</v>
      </c>
      <c r="N11326" t="n">
        <v>0</v>
      </c>
      <c r="O11326" t="n">
        <v>0</v>
      </c>
      <c r="P11326" t="n">
        <v>0</v>
      </c>
      <c r="Q11326" t="n">
        <v>0</v>
      </c>
      <c r="R11326" s="2" t="inlineStr"/>
    </row>
    <row r="11327" ht="15" customHeight="1">
      <c r="A11327" t="inlineStr">
        <is>
          <t>A 24100-2022</t>
        </is>
      </c>
      <c r="B11327" s="1" t="n">
        <v>44725</v>
      </c>
      <c r="C11327" s="1" t="n">
        <v>45952</v>
      </c>
      <c r="D11327" t="inlineStr">
        <is>
          <t>VÄSTRA GÖTALANDS LÄN</t>
        </is>
      </c>
      <c r="E11327" t="inlineStr">
        <is>
          <t>TANUM</t>
        </is>
      </c>
      <c r="G11327" t="n">
        <v>10.7</v>
      </c>
      <c r="H11327" t="n">
        <v>0</v>
      </c>
      <c r="I11327" t="n">
        <v>0</v>
      </c>
      <c r="J11327" t="n">
        <v>0</v>
      </c>
      <c r="K11327" t="n">
        <v>0</v>
      </c>
      <c r="L11327" t="n">
        <v>0</v>
      </c>
      <c r="M11327" t="n">
        <v>0</v>
      </c>
      <c r="N11327" t="n">
        <v>0</v>
      </c>
      <c r="O11327" t="n">
        <v>0</v>
      </c>
      <c r="P11327" t="n">
        <v>0</v>
      </c>
      <c r="Q11327" t="n">
        <v>0</v>
      </c>
      <c r="R11327" s="2" t="inlineStr"/>
    </row>
    <row r="11328" ht="15" customHeight="1">
      <c r="A11328" t="inlineStr">
        <is>
          <t>A 27510-2023</t>
        </is>
      </c>
      <c r="B11328" s="1" t="n">
        <v>45097</v>
      </c>
      <c r="C11328" s="1" t="n">
        <v>45952</v>
      </c>
      <c r="D11328" t="inlineStr">
        <is>
          <t>VÄSTRA GÖTALANDS LÄN</t>
        </is>
      </c>
      <c r="E11328" t="inlineStr">
        <is>
          <t>MELLERUD</t>
        </is>
      </c>
      <c r="G11328" t="n">
        <v>0.5</v>
      </c>
      <c r="H11328" t="n">
        <v>0</v>
      </c>
      <c r="I11328" t="n">
        <v>0</v>
      </c>
      <c r="J11328" t="n">
        <v>0</v>
      </c>
      <c r="K11328" t="n">
        <v>0</v>
      </c>
      <c r="L11328" t="n">
        <v>0</v>
      </c>
      <c r="M11328" t="n">
        <v>0</v>
      </c>
      <c r="N11328" t="n">
        <v>0</v>
      </c>
      <c r="O11328" t="n">
        <v>0</v>
      </c>
      <c r="P11328" t="n">
        <v>0</v>
      </c>
      <c r="Q11328" t="n">
        <v>0</v>
      </c>
      <c r="R11328" s="2" t="inlineStr"/>
    </row>
    <row r="11329" ht="15" customHeight="1">
      <c r="A11329" t="inlineStr">
        <is>
          <t>A 27524-2023</t>
        </is>
      </c>
      <c r="B11329" s="1" t="n">
        <v>45097</v>
      </c>
      <c r="C11329" s="1" t="n">
        <v>45952</v>
      </c>
      <c r="D11329" t="inlineStr">
        <is>
          <t>VÄSTRA GÖTALANDS LÄN</t>
        </is>
      </c>
      <c r="E11329" t="inlineStr">
        <is>
          <t>UDDEVALLA</t>
        </is>
      </c>
      <c r="G11329" t="n">
        <v>0.7</v>
      </c>
      <c r="H11329" t="n">
        <v>0</v>
      </c>
      <c r="I11329" t="n">
        <v>0</v>
      </c>
      <c r="J11329" t="n">
        <v>0</v>
      </c>
      <c r="K11329" t="n">
        <v>0</v>
      </c>
      <c r="L11329" t="n">
        <v>0</v>
      </c>
      <c r="M11329" t="n">
        <v>0</v>
      </c>
      <c r="N11329" t="n">
        <v>0</v>
      </c>
      <c r="O11329" t="n">
        <v>0</v>
      </c>
      <c r="P11329" t="n">
        <v>0</v>
      </c>
      <c r="Q11329" t="n">
        <v>0</v>
      </c>
      <c r="R11329" s="2" t="inlineStr"/>
    </row>
    <row r="11330" ht="15" customHeight="1">
      <c r="A11330" t="inlineStr">
        <is>
          <t>A 47900-2023</t>
        </is>
      </c>
      <c r="B11330" s="1" t="n">
        <v>45204</v>
      </c>
      <c r="C11330" s="1" t="n">
        <v>45952</v>
      </c>
      <c r="D11330" t="inlineStr">
        <is>
          <t>VÄSTRA GÖTALANDS LÄN</t>
        </is>
      </c>
      <c r="E11330" t="inlineStr">
        <is>
          <t>SKÖVDE</t>
        </is>
      </c>
      <c r="G11330" t="n">
        <v>0.8</v>
      </c>
      <c r="H11330" t="n">
        <v>0</v>
      </c>
      <c r="I11330" t="n">
        <v>0</v>
      </c>
      <c r="J11330" t="n">
        <v>0</v>
      </c>
      <c r="K11330" t="n">
        <v>0</v>
      </c>
      <c r="L11330" t="n">
        <v>0</v>
      </c>
      <c r="M11330" t="n">
        <v>0</v>
      </c>
      <c r="N11330" t="n">
        <v>0</v>
      </c>
      <c r="O11330" t="n">
        <v>0</v>
      </c>
      <c r="P11330" t="n">
        <v>0</v>
      </c>
      <c r="Q11330" t="n">
        <v>0</v>
      </c>
      <c r="R11330" s="2" t="inlineStr"/>
    </row>
    <row r="11331" ht="15" customHeight="1">
      <c r="A11331" t="inlineStr">
        <is>
          <t>A 16121-2024</t>
        </is>
      </c>
      <c r="B11331" s="1" t="n">
        <v>45406.49583333333</v>
      </c>
      <c r="C11331" s="1" t="n">
        <v>45952</v>
      </c>
      <c r="D11331" t="inlineStr">
        <is>
          <t>VÄSTRA GÖTALANDS LÄN</t>
        </is>
      </c>
      <c r="E11331" t="inlineStr">
        <is>
          <t>VÅRGÅRDA</t>
        </is>
      </c>
      <c r="G11331" t="n">
        <v>4.5</v>
      </c>
      <c r="H11331" t="n">
        <v>0</v>
      </c>
      <c r="I11331" t="n">
        <v>0</v>
      </c>
      <c r="J11331" t="n">
        <v>0</v>
      </c>
      <c r="K11331" t="n">
        <v>0</v>
      </c>
      <c r="L11331" t="n">
        <v>0</v>
      </c>
      <c r="M11331" t="n">
        <v>0</v>
      </c>
      <c r="N11331" t="n">
        <v>0</v>
      </c>
      <c r="O11331" t="n">
        <v>0</v>
      </c>
      <c r="P11331" t="n">
        <v>0</v>
      </c>
      <c r="Q11331" t="n">
        <v>0</v>
      </c>
      <c r="R11331" s="2" t="inlineStr"/>
    </row>
    <row r="11332" ht="15" customHeight="1">
      <c r="A11332" t="inlineStr">
        <is>
          <t>A 16128-2024</t>
        </is>
      </c>
      <c r="B11332" s="1" t="n">
        <v>45407</v>
      </c>
      <c r="C11332" s="1" t="n">
        <v>45952</v>
      </c>
      <c r="D11332" t="inlineStr">
        <is>
          <t>VÄSTRA GÖTALANDS LÄN</t>
        </is>
      </c>
      <c r="E11332" t="inlineStr">
        <is>
          <t>SVENLJUNGA</t>
        </is>
      </c>
      <c r="F11332" t="inlineStr">
        <is>
          <t>Kommuner</t>
        </is>
      </c>
      <c r="G11332" t="n">
        <v>1.5</v>
      </c>
      <c r="H11332" t="n">
        <v>0</v>
      </c>
      <c r="I11332" t="n">
        <v>0</v>
      </c>
      <c r="J11332" t="n">
        <v>0</v>
      </c>
      <c r="K11332" t="n">
        <v>0</v>
      </c>
      <c r="L11332" t="n">
        <v>0</v>
      </c>
      <c r="M11332" t="n">
        <v>0</v>
      </c>
      <c r="N11332" t="n">
        <v>0</v>
      </c>
      <c r="O11332" t="n">
        <v>0</v>
      </c>
      <c r="P11332" t="n">
        <v>0</v>
      </c>
      <c r="Q11332" t="n">
        <v>0</v>
      </c>
      <c r="R11332" s="2" t="inlineStr"/>
    </row>
    <row r="11333" ht="15" customHeight="1">
      <c r="A11333" t="inlineStr">
        <is>
          <t>A 15086-2024</t>
        </is>
      </c>
      <c r="B11333" s="1" t="n">
        <v>45399.63689814815</v>
      </c>
      <c r="C11333" s="1" t="n">
        <v>45952</v>
      </c>
      <c r="D11333" t="inlineStr">
        <is>
          <t>VÄSTRA GÖTALANDS LÄN</t>
        </is>
      </c>
      <c r="E11333" t="inlineStr">
        <is>
          <t>TÖREBODA</t>
        </is>
      </c>
      <c r="G11333" t="n">
        <v>3.3</v>
      </c>
      <c r="H11333" t="n">
        <v>0</v>
      </c>
      <c r="I11333" t="n">
        <v>0</v>
      </c>
      <c r="J11333" t="n">
        <v>0</v>
      </c>
      <c r="K11333" t="n">
        <v>0</v>
      </c>
      <c r="L11333" t="n">
        <v>0</v>
      </c>
      <c r="M11333" t="n">
        <v>0</v>
      </c>
      <c r="N11333" t="n">
        <v>0</v>
      </c>
      <c r="O11333" t="n">
        <v>0</v>
      </c>
      <c r="P11333" t="n">
        <v>0</v>
      </c>
      <c r="Q11333" t="n">
        <v>0</v>
      </c>
      <c r="R11333" s="2" t="inlineStr"/>
    </row>
    <row r="11334" ht="15" customHeight="1">
      <c r="A11334" t="inlineStr">
        <is>
          <t>A 15098-2024</t>
        </is>
      </c>
      <c r="B11334" s="1" t="n">
        <v>45399.65960648148</v>
      </c>
      <c r="C11334" s="1" t="n">
        <v>45952</v>
      </c>
      <c r="D11334" t="inlineStr">
        <is>
          <t>VÄSTRA GÖTALANDS LÄN</t>
        </is>
      </c>
      <c r="E11334" t="inlineStr">
        <is>
          <t>TRANEMO</t>
        </is>
      </c>
      <c r="G11334" t="n">
        <v>1.9</v>
      </c>
      <c r="H11334" t="n">
        <v>0</v>
      </c>
      <c r="I11334" t="n">
        <v>0</v>
      </c>
      <c r="J11334" t="n">
        <v>0</v>
      </c>
      <c r="K11334" t="n">
        <v>0</v>
      </c>
      <c r="L11334" t="n">
        <v>0</v>
      </c>
      <c r="M11334" t="n">
        <v>0</v>
      </c>
      <c r="N11334" t="n">
        <v>0</v>
      </c>
      <c r="O11334" t="n">
        <v>0</v>
      </c>
      <c r="P11334" t="n">
        <v>0</v>
      </c>
      <c r="Q11334" t="n">
        <v>0</v>
      </c>
      <c r="R11334" s="2" t="inlineStr"/>
    </row>
    <row r="11335" ht="15" customHeight="1">
      <c r="A11335" t="inlineStr">
        <is>
          <t>A 15102-2024</t>
        </is>
      </c>
      <c r="B11335" s="1" t="n">
        <v>45399.66299768518</v>
      </c>
      <c r="C11335" s="1" t="n">
        <v>45952</v>
      </c>
      <c r="D11335" t="inlineStr">
        <is>
          <t>VÄSTRA GÖTALANDS LÄN</t>
        </is>
      </c>
      <c r="E11335" t="inlineStr">
        <is>
          <t>VÄNERSBORG</t>
        </is>
      </c>
      <c r="G11335" t="n">
        <v>1</v>
      </c>
      <c r="H11335" t="n">
        <v>0</v>
      </c>
      <c r="I11335" t="n">
        <v>0</v>
      </c>
      <c r="J11335" t="n">
        <v>0</v>
      </c>
      <c r="K11335" t="n">
        <v>0</v>
      </c>
      <c r="L11335" t="n">
        <v>0</v>
      </c>
      <c r="M11335" t="n">
        <v>0</v>
      </c>
      <c r="N11335" t="n">
        <v>0</v>
      </c>
      <c r="O11335" t="n">
        <v>0</v>
      </c>
      <c r="P11335" t="n">
        <v>0</v>
      </c>
      <c r="Q11335" t="n">
        <v>0</v>
      </c>
      <c r="R11335" s="2" t="inlineStr"/>
    </row>
    <row r="11336" ht="15" customHeight="1">
      <c r="A11336" t="inlineStr">
        <is>
          <t>A 15108-2024</t>
        </is>
      </c>
      <c r="B11336" s="1" t="n">
        <v>45399.66778935185</v>
      </c>
      <c r="C11336" s="1" t="n">
        <v>45952</v>
      </c>
      <c r="D11336" t="inlineStr">
        <is>
          <t>VÄSTRA GÖTALANDS LÄN</t>
        </is>
      </c>
      <c r="E11336" t="inlineStr">
        <is>
          <t>VÄNERSBORG</t>
        </is>
      </c>
      <c r="G11336" t="n">
        <v>0.8</v>
      </c>
      <c r="H11336" t="n">
        <v>0</v>
      </c>
      <c r="I11336" t="n">
        <v>0</v>
      </c>
      <c r="J11336" t="n">
        <v>0</v>
      </c>
      <c r="K11336" t="n">
        <v>0</v>
      </c>
      <c r="L11336" t="n">
        <v>0</v>
      </c>
      <c r="M11336" t="n">
        <v>0</v>
      </c>
      <c r="N11336" t="n">
        <v>0</v>
      </c>
      <c r="O11336" t="n">
        <v>0</v>
      </c>
      <c r="P11336" t="n">
        <v>0</v>
      </c>
      <c r="Q11336" t="n">
        <v>0</v>
      </c>
      <c r="R11336" s="2" t="inlineStr"/>
    </row>
    <row r="11337" ht="15" customHeight="1">
      <c r="A11337" t="inlineStr">
        <is>
          <t>A 27555-2025</t>
        </is>
      </c>
      <c r="B11337" s="1" t="n">
        <v>45813.47424768518</v>
      </c>
      <c r="C11337" s="1" t="n">
        <v>45952</v>
      </c>
      <c r="D11337" t="inlineStr">
        <is>
          <t>VÄSTRA GÖTALANDS LÄN</t>
        </is>
      </c>
      <c r="E11337" t="inlineStr">
        <is>
          <t>ORUST</t>
        </is>
      </c>
      <c r="G11337" t="n">
        <v>1.6</v>
      </c>
      <c r="H11337" t="n">
        <v>0</v>
      </c>
      <c r="I11337" t="n">
        <v>0</v>
      </c>
      <c r="J11337" t="n">
        <v>0</v>
      </c>
      <c r="K11337" t="n">
        <v>0</v>
      </c>
      <c r="L11337" t="n">
        <v>0</v>
      </c>
      <c r="M11337" t="n">
        <v>0</v>
      </c>
      <c r="N11337" t="n">
        <v>0</v>
      </c>
      <c r="O11337" t="n">
        <v>0</v>
      </c>
      <c r="P11337" t="n">
        <v>0</v>
      </c>
      <c r="Q11337" t="n">
        <v>0</v>
      </c>
      <c r="R11337" s="2" t="inlineStr"/>
    </row>
    <row r="11338" ht="15" customHeight="1">
      <c r="A11338" t="inlineStr">
        <is>
          <t>A 51141-2025</t>
        </is>
      </c>
      <c r="B11338" s="1" t="n">
        <v>45947.56348379629</v>
      </c>
      <c r="C11338" s="1" t="n">
        <v>45952</v>
      </c>
      <c r="D11338" t="inlineStr">
        <is>
          <t>VÄSTRA GÖTALANDS LÄN</t>
        </is>
      </c>
      <c r="E11338" t="inlineStr">
        <is>
          <t>GULLSPÅNG</t>
        </is>
      </c>
      <c r="G11338" t="n">
        <v>1.1</v>
      </c>
      <c r="H11338" t="n">
        <v>0</v>
      </c>
      <c r="I11338" t="n">
        <v>0</v>
      </c>
      <c r="J11338" t="n">
        <v>0</v>
      </c>
      <c r="K11338" t="n">
        <v>0</v>
      </c>
      <c r="L11338" t="n">
        <v>0</v>
      </c>
      <c r="M11338" t="n">
        <v>0</v>
      </c>
      <c r="N11338" t="n">
        <v>0</v>
      </c>
      <c r="O11338" t="n">
        <v>0</v>
      </c>
      <c r="P11338" t="n">
        <v>0</v>
      </c>
      <c r="Q11338" t="n">
        <v>0</v>
      </c>
      <c r="R11338" s="2" t="inlineStr"/>
    </row>
    <row r="11339" ht="15" customHeight="1">
      <c r="A11339" t="inlineStr">
        <is>
          <t>A 27620-2025</t>
        </is>
      </c>
      <c r="B11339" s="1" t="n">
        <v>45813.54954861111</v>
      </c>
      <c r="C11339" s="1" t="n">
        <v>45952</v>
      </c>
      <c r="D11339" t="inlineStr">
        <is>
          <t>VÄSTRA GÖTALANDS LÄN</t>
        </is>
      </c>
      <c r="E11339" t="inlineStr">
        <is>
          <t>LILLA EDET</t>
        </is>
      </c>
      <c r="G11339" t="n">
        <v>2.7</v>
      </c>
      <c r="H11339" t="n">
        <v>0</v>
      </c>
      <c r="I11339" t="n">
        <v>0</v>
      </c>
      <c r="J11339" t="n">
        <v>0</v>
      </c>
      <c r="K11339" t="n">
        <v>0</v>
      </c>
      <c r="L11339" t="n">
        <v>0</v>
      </c>
      <c r="M11339" t="n">
        <v>0</v>
      </c>
      <c r="N11339" t="n">
        <v>0</v>
      </c>
      <c r="O11339" t="n">
        <v>0</v>
      </c>
      <c r="P11339" t="n">
        <v>0</v>
      </c>
      <c r="Q11339" t="n">
        <v>0</v>
      </c>
      <c r="R11339" s="2" t="inlineStr"/>
    </row>
    <row r="11340" ht="15" customHeight="1">
      <c r="A11340" t="inlineStr">
        <is>
          <t>A 34840-2024</t>
        </is>
      </c>
      <c r="B11340" s="1" t="n">
        <v>45526.88622685185</v>
      </c>
      <c r="C11340" s="1" t="n">
        <v>45952</v>
      </c>
      <c r="D11340" t="inlineStr">
        <is>
          <t>VÄSTRA GÖTALANDS LÄN</t>
        </is>
      </c>
      <c r="E11340" t="inlineStr">
        <is>
          <t>TRANEMO</t>
        </is>
      </c>
      <c r="G11340" t="n">
        <v>0.7</v>
      </c>
      <c r="H11340" t="n">
        <v>0</v>
      </c>
      <c r="I11340" t="n">
        <v>0</v>
      </c>
      <c r="J11340" t="n">
        <v>0</v>
      </c>
      <c r="K11340" t="n">
        <v>0</v>
      </c>
      <c r="L11340" t="n">
        <v>0</v>
      </c>
      <c r="M11340" t="n">
        <v>0</v>
      </c>
      <c r="N11340" t="n">
        <v>0</v>
      </c>
      <c r="O11340" t="n">
        <v>0</v>
      </c>
      <c r="P11340" t="n">
        <v>0</v>
      </c>
      <c r="Q11340" t="n">
        <v>0</v>
      </c>
      <c r="R11340" s="2" t="inlineStr"/>
    </row>
    <row r="11341" ht="15" customHeight="1">
      <c r="A11341" t="inlineStr">
        <is>
          <t>A 55912-2024</t>
        </is>
      </c>
      <c r="B11341" s="1" t="n">
        <v>45623.59274305555</v>
      </c>
      <c r="C11341" s="1" t="n">
        <v>45952</v>
      </c>
      <c r="D11341" t="inlineStr">
        <is>
          <t>VÄSTRA GÖTALANDS LÄN</t>
        </is>
      </c>
      <c r="E11341" t="inlineStr">
        <is>
          <t>DALS-ED</t>
        </is>
      </c>
      <c r="G11341" t="n">
        <v>7.7</v>
      </c>
      <c r="H11341" t="n">
        <v>0</v>
      </c>
      <c r="I11341" t="n">
        <v>0</v>
      </c>
      <c r="J11341" t="n">
        <v>0</v>
      </c>
      <c r="K11341" t="n">
        <v>0</v>
      </c>
      <c r="L11341" t="n">
        <v>0</v>
      </c>
      <c r="M11341" t="n">
        <v>0</v>
      </c>
      <c r="N11341" t="n">
        <v>0</v>
      </c>
      <c r="O11341" t="n">
        <v>0</v>
      </c>
      <c r="P11341" t="n">
        <v>0</v>
      </c>
      <c r="Q11341" t="n">
        <v>0</v>
      </c>
      <c r="R11341" s="2" t="inlineStr"/>
    </row>
    <row r="11342" ht="15" customHeight="1">
      <c r="A11342" t="inlineStr">
        <is>
          <t>A 42110-2025</t>
        </is>
      </c>
      <c r="B11342" s="1" t="n">
        <v>45904.31189814815</v>
      </c>
      <c r="C11342" s="1" t="n">
        <v>45952</v>
      </c>
      <c r="D11342" t="inlineStr">
        <is>
          <t>VÄSTRA GÖTALANDS LÄN</t>
        </is>
      </c>
      <c r="E11342" t="inlineStr">
        <is>
          <t>SVENLJUNGA</t>
        </is>
      </c>
      <c r="G11342" t="n">
        <v>1.6</v>
      </c>
      <c r="H11342" t="n">
        <v>0</v>
      </c>
      <c r="I11342" t="n">
        <v>0</v>
      </c>
      <c r="J11342" t="n">
        <v>0</v>
      </c>
      <c r="K11342" t="n">
        <v>0</v>
      </c>
      <c r="L11342" t="n">
        <v>0</v>
      </c>
      <c r="M11342" t="n">
        <v>0</v>
      </c>
      <c r="N11342" t="n">
        <v>0</v>
      </c>
      <c r="O11342" t="n">
        <v>0</v>
      </c>
      <c r="P11342" t="n">
        <v>0</v>
      </c>
      <c r="Q11342" t="n">
        <v>0</v>
      </c>
      <c r="R11342" s="2" t="inlineStr"/>
    </row>
    <row r="11343" ht="15" customHeight="1">
      <c r="A11343" t="inlineStr">
        <is>
          <t>A 18635-2025</t>
        </is>
      </c>
      <c r="B11343" s="1" t="n">
        <v>45763.55327546296</v>
      </c>
      <c r="C11343" s="1" t="n">
        <v>45952</v>
      </c>
      <c r="D11343" t="inlineStr">
        <is>
          <t>VÄSTRA GÖTALANDS LÄN</t>
        </is>
      </c>
      <c r="E11343" t="inlineStr">
        <is>
          <t>FÄRGELANDA</t>
        </is>
      </c>
      <c r="G11343" t="n">
        <v>4</v>
      </c>
      <c r="H11343" t="n">
        <v>0</v>
      </c>
      <c r="I11343" t="n">
        <v>0</v>
      </c>
      <c r="J11343" t="n">
        <v>0</v>
      </c>
      <c r="K11343" t="n">
        <v>0</v>
      </c>
      <c r="L11343" t="n">
        <v>0</v>
      </c>
      <c r="M11343" t="n">
        <v>0</v>
      </c>
      <c r="N11343" t="n">
        <v>0</v>
      </c>
      <c r="O11343" t="n">
        <v>0</v>
      </c>
      <c r="P11343" t="n">
        <v>0</v>
      </c>
      <c r="Q11343" t="n">
        <v>0</v>
      </c>
      <c r="R11343" s="2" t="inlineStr"/>
    </row>
    <row r="11344" ht="15" customHeight="1">
      <c r="A11344" t="inlineStr">
        <is>
          <t>A 13645-2024</t>
        </is>
      </c>
      <c r="B11344" s="1" t="n">
        <v>45390.46651620371</v>
      </c>
      <c r="C11344" s="1" t="n">
        <v>45952</v>
      </c>
      <c r="D11344" t="inlineStr">
        <is>
          <t>VÄSTRA GÖTALANDS LÄN</t>
        </is>
      </c>
      <c r="E11344" t="inlineStr">
        <is>
          <t>TANUM</t>
        </is>
      </c>
      <c r="G11344" t="n">
        <v>1.2</v>
      </c>
      <c r="H11344" t="n">
        <v>0</v>
      </c>
      <c r="I11344" t="n">
        <v>0</v>
      </c>
      <c r="J11344" t="n">
        <v>0</v>
      </c>
      <c r="K11344" t="n">
        <v>0</v>
      </c>
      <c r="L11344" t="n">
        <v>0</v>
      </c>
      <c r="M11344" t="n">
        <v>0</v>
      </c>
      <c r="N11344" t="n">
        <v>0</v>
      </c>
      <c r="O11344" t="n">
        <v>0</v>
      </c>
      <c r="P11344" t="n">
        <v>0</v>
      </c>
      <c r="Q11344" t="n">
        <v>0</v>
      </c>
      <c r="R11344" s="2" t="inlineStr"/>
    </row>
    <row r="11345" ht="15" customHeight="1">
      <c r="A11345" t="inlineStr">
        <is>
          <t>A 55918-2024</t>
        </is>
      </c>
      <c r="B11345" s="1" t="n">
        <v>45623.5980787037</v>
      </c>
      <c r="C11345" s="1" t="n">
        <v>45952</v>
      </c>
      <c r="D11345" t="inlineStr">
        <is>
          <t>VÄSTRA GÖTALANDS LÄN</t>
        </is>
      </c>
      <c r="E11345" t="inlineStr">
        <is>
          <t>BENGTSFORS</t>
        </is>
      </c>
      <c r="G11345" t="n">
        <v>1</v>
      </c>
      <c r="H11345" t="n">
        <v>0</v>
      </c>
      <c r="I11345" t="n">
        <v>0</v>
      </c>
      <c r="J11345" t="n">
        <v>0</v>
      </c>
      <c r="K11345" t="n">
        <v>0</v>
      </c>
      <c r="L11345" t="n">
        <v>0</v>
      </c>
      <c r="M11345" t="n">
        <v>0</v>
      </c>
      <c r="N11345" t="n">
        <v>0</v>
      </c>
      <c r="O11345" t="n">
        <v>0</v>
      </c>
      <c r="P11345" t="n">
        <v>0</v>
      </c>
      <c r="Q11345" t="n">
        <v>0</v>
      </c>
      <c r="R11345" s="2" t="inlineStr"/>
    </row>
    <row r="11346" ht="15" customHeight="1">
      <c r="A11346" t="inlineStr">
        <is>
          <t>A 56681-2022</t>
        </is>
      </c>
      <c r="B11346" s="1" t="n">
        <v>44893</v>
      </c>
      <c r="C11346" s="1" t="n">
        <v>45952</v>
      </c>
      <c r="D11346" t="inlineStr">
        <is>
          <t>VÄSTRA GÖTALANDS LÄN</t>
        </is>
      </c>
      <c r="E11346" t="inlineStr">
        <is>
          <t>BENGTSFORS</t>
        </is>
      </c>
      <c r="G11346" t="n">
        <v>1.7</v>
      </c>
      <c r="H11346" t="n">
        <v>0</v>
      </c>
      <c r="I11346" t="n">
        <v>0</v>
      </c>
      <c r="J11346" t="n">
        <v>0</v>
      </c>
      <c r="K11346" t="n">
        <v>0</v>
      </c>
      <c r="L11346" t="n">
        <v>0</v>
      </c>
      <c r="M11346" t="n">
        <v>0</v>
      </c>
      <c r="N11346" t="n">
        <v>0</v>
      </c>
      <c r="O11346" t="n">
        <v>0</v>
      </c>
      <c r="P11346" t="n">
        <v>0</v>
      </c>
      <c r="Q11346" t="n">
        <v>0</v>
      </c>
      <c r="R11346" s="2" t="inlineStr"/>
    </row>
    <row r="11347" ht="15" customHeight="1">
      <c r="A11347" t="inlineStr">
        <is>
          <t>A 13698-2024</t>
        </is>
      </c>
      <c r="B11347" s="1" t="n">
        <v>45390</v>
      </c>
      <c r="C11347" s="1" t="n">
        <v>45952</v>
      </c>
      <c r="D11347" t="inlineStr">
        <is>
          <t>VÄSTRA GÖTALANDS LÄN</t>
        </is>
      </c>
      <c r="E11347" t="inlineStr">
        <is>
          <t>VÄNERSBORG</t>
        </is>
      </c>
      <c r="G11347" t="n">
        <v>1.2</v>
      </c>
      <c r="H11347" t="n">
        <v>0</v>
      </c>
      <c r="I11347" t="n">
        <v>0</v>
      </c>
      <c r="J11347" t="n">
        <v>0</v>
      </c>
      <c r="K11347" t="n">
        <v>0</v>
      </c>
      <c r="L11347" t="n">
        <v>0</v>
      </c>
      <c r="M11347" t="n">
        <v>0</v>
      </c>
      <c r="N11347" t="n">
        <v>0</v>
      </c>
      <c r="O11347" t="n">
        <v>0</v>
      </c>
      <c r="P11347" t="n">
        <v>0</v>
      </c>
      <c r="Q11347" t="n">
        <v>0</v>
      </c>
      <c r="R11347" s="2" t="inlineStr"/>
    </row>
    <row r="11348" ht="15" customHeight="1">
      <c r="A11348" t="inlineStr">
        <is>
          <t>A 50891-2025</t>
        </is>
      </c>
      <c r="B11348" s="1" t="n">
        <v>45946.63685185185</v>
      </c>
      <c r="C11348" s="1" t="n">
        <v>45952</v>
      </c>
      <c r="D11348" t="inlineStr">
        <is>
          <t>VÄSTRA GÖTALANDS LÄN</t>
        </is>
      </c>
      <c r="E11348" t="inlineStr">
        <is>
          <t>VÄNERSBORG</t>
        </is>
      </c>
      <c r="G11348" t="n">
        <v>4.8</v>
      </c>
      <c r="H11348" t="n">
        <v>0</v>
      </c>
      <c r="I11348" t="n">
        <v>0</v>
      </c>
      <c r="J11348" t="n">
        <v>0</v>
      </c>
      <c r="K11348" t="n">
        <v>0</v>
      </c>
      <c r="L11348" t="n">
        <v>0</v>
      </c>
      <c r="M11348" t="n">
        <v>0</v>
      </c>
      <c r="N11348" t="n">
        <v>0</v>
      </c>
      <c r="O11348" t="n">
        <v>0</v>
      </c>
      <c r="P11348" t="n">
        <v>0</v>
      </c>
      <c r="Q11348" t="n">
        <v>0</v>
      </c>
      <c r="R11348" s="2" t="inlineStr"/>
    </row>
    <row r="11349" ht="15" customHeight="1">
      <c r="A11349" t="inlineStr">
        <is>
          <t>A 13703-2024</t>
        </is>
      </c>
      <c r="B11349" s="1" t="n">
        <v>45390</v>
      </c>
      <c r="C11349" s="1" t="n">
        <v>45952</v>
      </c>
      <c r="D11349" t="inlineStr">
        <is>
          <t>VÄSTRA GÖTALANDS LÄN</t>
        </is>
      </c>
      <c r="E11349" t="inlineStr">
        <is>
          <t>HJO</t>
        </is>
      </c>
      <c r="G11349" t="n">
        <v>1.6</v>
      </c>
      <c r="H11349" t="n">
        <v>0</v>
      </c>
      <c r="I11349" t="n">
        <v>0</v>
      </c>
      <c r="J11349" t="n">
        <v>0</v>
      </c>
      <c r="K11349" t="n">
        <v>0</v>
      </c>
      <c r="L11349" t="n">
        <v>0</v>
      </c>
      <c r="M11349" t="n">
        <v>0</v>
      </c>
      <c r="N11349" t="n">
        <v>0</v>
      </c>
      <c r="O11349" t="n">
        <v>0</v>
      </c>
      <c r="P11349" t="n">
        <v>0</v>
      </c>
      <c r="Q11349" t="n">
        <v>0</v>
      </c>
      <c r="R11349" s="2" t="inlineStr"/>
    </row>
    <row r="11350" ht="15" customHeight="1">
      <c r="A11350" t="inlineStr">
        <is>
          <t>A 27125-2025</t>
        </is>
      </c>
      <c r="B11350" s="1" t="n">
        <v>45811.84207175926</v>
      </c>
      <c r="C11350" s="1" t="n">
        <v>45952</v>
      </c>
      <c r="D11350" t="inlineStr">
        <is>
          <t>VÄSTRA GÖTALANDS LÄN</t>
        </is>
      </c>
      <c r="E11350" t="inlineStr">
        <is>
          <t>ESSUNGA</t>
        </is>
      </c>
      <c r="G11350" t="n">
        <v>2.9</v>
      </c>
      <c r="H11350" t="n">
        <v>0</v>
      </c>
      <c r="I11350" t="n">
        <v>0</v>
      </c>
      <c r="J11350" t="n">
        <v>0</v>
      </c>
      <c r="K11350" t="n">
        <v>0</v>
      </c>
      <c r="L11350" t="n">
        <v>0</v>
      </c>
      <c r="M11350" t="n">
        <v>0</v>
      </c>
      <c r="N11350" t="n">
        <v>0</v>
      </c>
      <c r="O11350" t="n">
        <v>0</v>
      </c>
      <c r="P11350" t="n">
        <v>0</v>
      </c>
      <c r="Q11350" t="n">
        <v>0</v>
      </c>
      <c r="R11350" s="2" t="inlineStr"/>
    </row>
    <row r="11351" ht="15" customHeight="1">
      <c r="A11351" t="inlineStr">
        <is>
          <t>A 42580-2025</t>
        </is>
      </c>
      <c r="B11351" s="1" t="n">
        <v>45905.62414351852</v>
      </c>
      <c r="C11351" s="1" t="n">
        <v>45952</v>
      </c>
      <c r="D11351" t="inlineStr">
        <is>
          <t>VÄSTRA GÖTALANDS LÄN</t>
        </is>
      </c>
      <c r="E11351" t="inlineStr">
        <is>
          <t>ULRICEHAMN</t>
        </is>
      </c>
      <c r="G11351" t="n">
        <v>3.2</v>
      </c>
      <c r="H11351" t="n">
        <v>0</v>
      </c>
      <c r="I11351" t="n">
        <v>0</v>
      </c>
      <c r="J11351" t="n">
        <v>0</v>
      </c>
      <c r="K11351" t="n">
        <v>0</v>
      </c>
      <c r="L11351" t="n">
        <v>0</v>
      </c>
      <c r="M11351" t="n">
        <v>0</v>
      </c>
      <c r="N11351" t="n">
        <v>0</v>
      </c>
      <c r="O11351" t="n">
        <v>0</v>
      </c>
      <c r="P11351" t="n">
        <v>0</v>
      </c>
      <c r="Q11351" t="n">
        <v>0</v>
      </c>
      <c r="R11351" s="2" t="inlineStr"/>
    </row>
    <row r="11352" ht="15" customHeight="1">
      <c r="A11352" t="inlineStr">
        <is>
          <t>A 8808-2024</t>
        </is>
      </c>
      <c r="B11352" s="1" t="n">
        <v>45356.6531712963</v>
      </c>
      <c r="C11352" s="1" t="n">
        <v>45952</v>
      </c>
      <c r="D11352" t="inlineStr">
        <is>
          <t>VÄSTRA GÖTALANDS LÄN</t>
        </is>
      </c>
      <c r="E11352" t="inlineStr">
        <is>
          <t>MARK</t>
        </is>
      </c>
      <c r="G11352" t="n">
        <v>2.6</v>
      </c>
      <c r="H11352" t="n">
        <v>0</v>
      </c>
      <c r="I11352" t="n">
        <v>0</v>
      </c>
      <c r="J11352" t="n">
        <v>0</v>
      </c>
      <c r="K11352" t="n">
        <v>0</v>
      </c>
      <c r="L11352" t="n">
        <v>0</v>
      </c>
      <c r="M11352" t="n">
        <v>0</v>
      </c>
      <c r="N11352" t="n">
        <v>0</v>
      </c>
      <c r="O11352" t="n">
        <v>0</v>
      </c>
      <c r="P11352" t="n">
        <v>0</v>
      </c>
      <c r="Q11352" t="n">
        <v>0</v>
      </c>
      <c r="R11352" s="2" t="inlineStr"/>
    </row>
    <row r="11353" ht="15" customHeight="1">
      <c r="A11353" t="inlineStr">
        <is>
          <t>A 8814-2024</t>
        </is>
      </c>
      <c r="B11353" s="1" t="n">
        <v>45356.65916666666</v>
      </c>
      <c r="C11353" s="1" t="n">
        <v>45952</v>
      </c>
      <c r="D11353" t="inlineStr">
        <is>
          <t>VÄSTRA GÖTALANDS LÄN</t>
        </is>
      </c>
      <c r="E11353" t="inlineStr">
        <is>
          <t>MARK</t>
        </is>
      </c>
      <c r="G11353" t="n">
        <v>1.1</v>
      </c>
      <c r="H11353" t="n">
        <v>0</v>
      </c>
      <c r="I11353" t="n">
        <v>0</v>
      </c>
      <c r="J11353" t="n">
        <v>0</v>
      </c>
      <c r="K11353" t="n">
        <v>0</v>
      </c>
      <c r="L11353" t="n">
        <v>0</v>
      </c>
      <c r="M11353" t="n">
        <v>0</v>
      </c>
      <c r="N11353" t="n">
        <v>0</v>
      </c>
      <c r="O11353" t="n">
        <v>0</v>
      </c>
      <c r="P11353" t="n">
        <v>0</v>
      </c>
      <c r="Q11353" t="n">
        <v>0</v>
      </c>
      <c r="R11353" s="2" t="inlineStr"/>
    </row>
    <row r="11354" ht="15" customHeight="1">
      <c r="A11354" t="inlineStr">
        <is>
          <t>A 42188-2025</t>
        </is>
      </c>
      <c r="B11354" s="1" t="n">
        <v>45904.46631944444</v>
      </c>
      <c r="C11354" s="1" t="n">
        <v>45952</v>
      </c>
      <c r="D11354" t="inlineStr">
        <is>
          <t>VÄSTRA GÖTALANDS LÄN</t>
        </is>
      </c>
      <c r="E11354" t="inlineStr">
        <is>
          <t>LIDKÖPING</t>
        </is>
      </c>
      <c r="G11354" t="n">
        <v>1.6</v>
      </c>
      <c r="H11354" t="n">
        <v>0</v>
      </c>
      <c r="I11354" t="n">
        <v>0</v>
      </c>
      <c r="J11354" t="n">
        <v>0</v>
      </c>
      <c r="K11354" t="n">
        <v>0</v>
      </c>
      <c r="L11354" t="n">
        <v>0</v>
      </c>
      <c r="M11354" t="n">
        <v>0</v>
      </c>
      <c r="N11354" t="n">
        <v>0</v>
      </c>
      <c r="O11354" t="n">
        <v>0</v>
      </c>
      <c r="P11354" t="n">
        <v>0</v>
      </c>
      <c r="Q11354" t="n">
        <v>0</v>
      </c>
      <c r="R11354" s="2" t="inlineStr"/>
    </row>
    <row r="11355" ht="15" customHeight="1">
      <c r="A11355" t="inlineStr">
        <is>
          <t>A 42190-2025</t>
        </is>
      </c>
      <c r="B11355" s="1" t="n">
        <v>45904.47331018518</v>
      </c>
      <c r="C11355" s="1" t="n">
        <v>45952</v>
      </c>
      <c r="D11355" t="inlineStr">
        <is>
          <t>VÄSTRA GÖTALANDS LÄN</t>
        </is>
      </c>
      <c r="E11355" t="inlineStr">
        <is>
          <t>DALS-ED</t>
        </is>
      </c>
      <c r="G11355" t="n">
        <v>6.3</v>
      </c>
      <c r="H11355" t="n">
        <v>0</v>
      </c>
      <c r="I11355" t="n">
        <v>0</v>
      </c>
      <c r="J11355" t="n">
        <v>0</v>
      </c>
      <c r="K11355" t="n">
        <v>0</v>
      </c>
      <c r="L11355" t="n">
        <v>0</v>
      </c>
      <c r="M11355" t="n">
        <v>0</v>
      </c>
      <c r="N11355" t="n">
        <v>0</v>
      </c>
      <c r="O11355" t="n">
        <v>0</v>
      </c>
      <c r="P11355" t="n">
        <v>0</v>
      </c>
      <c r="Q11355" t="n">
        <v>0</v>
      </c>
      <c r="R11355" s="2" t="inlineStr"/>
    </row>
    <row r="11356" ht="15" customHeight="1">
      <c r="A11356" t="inlineStr">
        <is>
          <t>A 29595-2024</t>
        </is>
      </c>
      <c r="B11356" s="1" t="n">
        <v>45484.58876157407</v>
      </c>
      <c r="C11356" s="1" t="n">
        <v>45952</v>
      </c>
      <c r="D11356" t="inlineStr">
        <is>
          <t>VÄSTRA GÖTALANDS LÄN</t>
        </is>
      </c>
      <c r="E11356" t="inlineStr">
        <is>
          <t>ULRICEHAMN</t>
        </is>
      </c>
      <c r="G11356" t="n">
        <v>0.5</v>
      </c>
      <c r="H11356" t="n">
        <v>0</v>
      </c>
      <c r="I11356" t="n">
        <v>0</v>
      </c>
      <c r="J11356" t="n">
        <v>0</v>
      </c>
      <c r="K11356" t="n">
        <v>0</v>
      </c>
      <c r="L11356" t="n">
        <v>0</v>
      </c>
      <c r="M11356" t="n">
        <v>0</v>
      </c>
      <c r="N11356" t="n">
        <v>0</v>
      </c>
      <c r="O11356" t="n">
        <v>0</v>
      </c>
      <c r="P11356" t="n">
        <v>0</v>
      </c>
      <c r="Q11356" t="n">
        <v>0</v>
      </c>
      <c r="R11356" s="2" t="inlineStr"/>
    </row>
    <row r="11357" ht="15" customHeight="1">
      <c r="A11357" t="inlineStr">
        <is>
          <t>A 35800-2023</t>
        </is>
      </c>
      <c r="B11357" s="1" t="n">
        <v>45148</v>
      </c>
      <c r="C11357" s="1" t="n">
        <v>45952</v>
      </c>
      <c r="D11357" t="inlineStr">
        <is>
          <t>VÄSTRA GÖTALANDS LÄN</t>
        </is>
      </c>
      <c r="E11357" t="inlineStr">
        <is>
          <t>BORÅS</t>
        </is>
      </c>
      <c r="G11357" t="n">
        <v>1.6</v>
      </c>
      <c r="H11357" t="n">
        <v>0</v>
      </c>
      <c r="I11357" t="n">
        <v>0</v>
      </c>
      <c r="J11357" t="n">
        <v>0</v>
      </c>
      <c r="K11357" t="n">
        <v>0</v>
      </c>
      <c r="L11357" t="n">
        <v>0</v>
      </c>
      <c r="M11357" t="n">
        <v>0</v>
      </c>
      <c r="N11357" t="n">
        <v>0</v>
      </c>
      <c r="O11357" t="n">
        <v>0</v>
      </c>
      <c r="P11357" t="n">
        <v>0</v>
      </c>
      <c r="Q11357" t="n">
        <v>0</v>
      </c>
      <c r="R11357" s="2" t="inlineStr"/>
    </row>
    <row r="11358" ht="15" customHeight="1">
      <c r="A11358" t="inlineStr">
        <is>
          <t>A 35819-2023</t>
        </is>
      </c>
      <c r="B11358" s="1" t="n">
        <v>45148.45607638889</v>
      </c>
      <c r="C11358" s="1" t="n">
        <v>45952</v>
      </c>
      <c r="D11358" t="inlineStr">
        <is>
          <t>VÄSTRA GÖTALANDS LÄN</t>
        </is>
      </c>
      <c r="E11358" t="inlineStr">
        <is>
          <t>FALKÖPING</t>
        </is>
      </c>
      <c r="G11358" t="n">
        <v>2</v>
      </c>
      <c r="H11358" t="n">
        <v>0</v>
      </c>
      <c r="I11358" t="n">
        <v>0</v>
      </c>
      <c r="J11358" t="n">
        <v>0</v>
      </c>
      <c r="K11358" t="n">
        <v>0</v>
      </c>
      <c r="L11358" t="n">
        <v>0</v>
      </c>
      <c r="M11358" t="n">
        <v>0</v>
      </c>
      <c r="N11358" t="n">
        <v>0</v>
      </c>
      <c r="O11358" t="n">
        <v>0</v>
      </c>
      <c r="P11358" t="n">
        <v>0</v>
      </c>
      <c r="Q11358" t="n">
        <v>0</v>
      </c>
      <c r="R11358" s="2" t="inlineStr"/>
    </row>
    <row r="11359" ht="15" customHeight="1">
      <c r="A11359" t="inlineStr">
        <is>
          <t>A 17892-2025</t>
        </is>
      </c>
      <c r="B11359" s="1" t="n">
        <v>45758.68318287037</v>
      </c>
      <c r="C11359" s="1" t="n">
        <v>45952</v>
      </c>
      <c r="D11359" t="inlineStr">
        <is>
          <t>VÄSTRA GÖTALANDS LÄN</t>
        </is>
      </c>
      <c r="E11359" t="inlineStr">
        <is>
          <t>LIDKÖPING</t>
        </is>
      </c>
      <c r="G11359" t="n">
        <v>1.3</v>
      </c>
      <c r="H11359" t="n">
        <v>0</v>
      </c>
      <c r="I11359" t="n">
        <v>0</v>
      </c>
      <c r="J11359" t="n">
        <v>0</v>
      </c>
      <c r="K11359" t="n">
        <v>0</v>
      </c>
      <c r="L11359" t="n">
        <v>0</v>
      </c>
      <c r="M11359" t="n">
        <v>0</v>
      </c>
      <c r="N11359" t="n">
        <v>0</v>
      </c>
      <c r="O11359" t="n">
        <v>0</v>
      </c>
      <c r="P11359" t="n">
        <v>0</v>
      </c>
      <c r="Q11359" t="n">
        <v>0</v>
      </c>
      <c r="R11359" s="2" t="inlineStr"/>
    </row>
    <row r="11360" ht="15" customHeight="1">
      <c r="A11360" t="inlineStr">
        <is>
          <t>A 32847-2023</t>
        </is>
      </c>
      <c r="B11360" s="1" t="n">
        <v>45124.61965277778</v>
      </c>
      <c r="C11360" s="1" t="n">
        <v>45952</v>
      </c>
      <c r="D11360" t="inlineStr">
        <is>
          <t>VÄSTRA GÖTALANDS LÄN</t>
        </is>
      </c>
      <c r="E11360" t="inlineStr">
        <is>
          <t>KUNGÄLV</t>
        </is>
      </c>
      <c r="G11360" t="n">
        <v>4.7</v>
      </c>
      <c r="H11360" t="n">
        <v>0</v>
      </c>
      <c r="I11360" t="n">
        <v>0</v>
      </c>
      <c r="J11360" t="n">
        <v>0</v>
      </c>
      <c r="K11360" t="n">
        <v>0</v>
      </c>
      <c r="L11360" t="n">
        <v>0</v>
      </c>
      <c r="M11360" t="n">
        <v>0</v>
      </c>
      <c r="N11360" t="n">
        <v>0</v>
      </c>
      <c r="O11360" t="n">
        <v>0</v>
      </c>
      <c r="P11360" t="n">
        <v>0</v>
      </c>
      <c r="Q11360" t="n">
        <v>0</v>
      </c>
      <c r="R11360" s="2" t="inlineStr"/>
    </row>
    <row r="11361" ht="15" customHeight="1">
      <c r="A11361" t="inlineStr">
        <is>
          <t>A 27367-2025</t>
        </is>
      </c>
      <c r="B11361" s="1" t="n">
        <v>45812.64487268519</v>
      </c>
      <c r="C11361" s="1" t="n">
        <v>45952</v>
      </c>
      <c r="D11361" t="inlineStr">
        <is>
          <t>VÄSTRA GÖTALANDS LÄN</t>
        </is>
      </c>
      <c r="E11361" t="inlineStr">
        <is>
          <t>LERUM</t>
        </is>
      </c>
      <c r="G11361" t="n">
        <v>0.7</v>
      </c>
      <c r="H11361" t="n">
        <v>0</v>
      </c>
      <c r="I11361" t="n">
        <v>0</v>
      </c>
      <c r="J11361" t="n">
        <v>0</v>
      </c>
      <c r="K11361" t="n">
        <v>0</v>
      </c>
      <c r="L11361" t="n">
        <v>0</v>
      </c>
      <c r="M11361" t="n">
        <v>0</v>
      </c>
      <c r="N11361" t="n">
        <v>0</v>
      </c>
      <c r="O11361" t="n">
        <v>0</v>
      </c>
      <c r="P11361" t="n">
        <v>0</v>
      </c>
      <c r="Q11361" t="n">
        <v>0</v>
      </c>
      <c r="R11361" s="2" t="inlineStr"/>
    </row>
    <row r="11362" ht="15" customHeight="1">
      <c r="A11362" t="inlineStr">
        <is>
          <t>A 27370-2025</t>
        </is>
      </c>
      <c r="B11362" s="1" t="n">
        <v>45812</v>
      </c>
      <c r="C11362" s="1" t="n">
        <v>45952</v>
      </c>
      <c r="D11362" t="inlineStr">
        <is>
          <t>VÄSTRA GÖTALANDS LÄN</t>
        </is>
      </c>
      <c r="E11362" t="inlineStr">
        <is>
          <t>BORÅS</t>
        </is>
      </c>
      <c r="G11362" t="n">
        <v>0.1</v>
      </c>
      <c r="H11362" t="n">
        <v>0</v>
      </c>
      <c r="I11362" t="n">
        <v>0</v>
      </c>
      <c r="J11362" t="n">
        <v>0</v>
      </c>
      <c r="K11362" t="n">
        <v>0</v>
      </c>
      <c r="L11362" t="n">
        <v>0</v>
      </c>
      <c r="M11362" t="n">
        <v>0</v>
      </c>
      <c r="N11362" t="n">
        <v>0</v>
      </c>
      <c r="O11362" t="n">
        <v>0</v>
      </c>
      <c r="P11362" t="n">
        <v>0</v>
      </c>
      <c r="Q11362" t="n">
        <v>0</v>
      </c>
      <c r="R11362" s="2" t="inlineStr"/>
    </row>
    <row r="11363" ht="15" customHeight="1">
      <c r="A11363" t="inlineStr">
        <is>
          <t>A 51065-2025</t>
        </is>
      </c>
      <c r="B11363" s="1" t="n">
        <v>45947.45203703704</v>
      </c>
      <c r="C11363" s="1" t="n">
        <v>45952</v>
      </c>
      <c r="D11363" t="inlineStr">
        <is>
          <t>VÄSTRA GÖTALANDS LÄN</t>
        </is>
      </c>
      <c r="E11363" t="inlineStr">
        <is>
          <t>GULLSPÅNG</t>
        </is>
      </c>
      <c r="G11363" t="n">
        <v>0.8</v>
      </c>
      <c r="H11363" t="n">
        <v>0</v>
      </c>
      <c r="I11363" t="n">
        <v>0</v>
      </c>
      <c r="J11363" t="n">
        <v>0</v>
      </c>
      <c r="K11363" t="n">
        <v>0</v>
      </c>
      <c r="L11363" t="n">
        <v>0</v>
      </c>
      <c r="M11363" t="n">
        <v>0</v>
      </c>
      <c r="N11363" t="n">
        <v>0</v>
      </c>
      <c r="O11363" t="n">
        <v>0</v>
      </c>
      <c r="P11363" t="n">
        <v>0</v>
      </c>
      <c r="Q11363" t="n">
        <v>0</v>
      </c>
      <c r="R11363" s="2" t="inlineStr"/>
    </row>
    <row r="11364" ht="15" customHeight="1">
      <c r="A11364" t="inlineStr">
        <is>
          <t>A 12589-2023</t>
        </is>
      </c>
      <c r="B11364" s="1" t="n">
        <v>45000</v>
      </c>
      <c r="C11364" s="1" t="n">
        <v>45952</v>
      </c>
      <c r="D11364" t="inlineStr">
        <is>
          <t>VÄSTRA GÖTALANDS LÄN</t>
        </is>
      </c>
      <c r="E11364" t="inlineStr">
        <is>
          <t>SVENLJUNGA</t>
        </is>
      </c>
      <c r="G11364" t="n">
        <v>1.5</v>
      </c>
      <c r="H11364" t="n">
        <v>0</v>
      </c>
      <c r="I11364" t="n">
        <v>0</v>
      </c>
      <c r="J11364" t="n">
        <v>0</v>
      </c>
      <c r="K11364" t="n">
        <v>0</v>
      </c>
      <c r="L11364" t="n">
        <v>0</v>
      </c>
      <c r="M11364" t="n">
        <v>0</v>
      </c>
      <c r="N11364" t="n">
        <v>0</v>
      </c>
      <c r="O11364" t="n">
        <v>0</v>
      </c>
      <c r="P11364" t="n">
        <v>0</v>
      </c>
      <c r="Q11364" t="n">
        <v>0</v>
      </c>
      <c r="R11364" s="2" t="inlineStr"/>
    </row>
    <row r="11365" ht="15" customHeight="1">
      <c r="A11365" t="inlineStr">
        <is>
          <t>A 7781-2023</t>
        </is>
      </c>
      <c r="B11365" s="1" t="n">
        <v>44973.41172453704</v>
      </c>
      <c r="C11365" s="1" t="n">
        <v>45952</v>
      </c>
      <c r="D11365" t="inlineStr">
        <is>
          <t>VÄSTRA GÖTALANDS LÄN</t>
        </is>
      </c>
      <c r="E11365" t="inlineStr">
        <is>
          <t>TROLLHÄTTAN</t>
        </is>
      </c>
      <c r="G11365" t="n">
        <v>0.5</v>
      </c>
      <c r="H11365" t="n">
        <v>0</v>
      </c>
      <c r="I11365" t="n">
        <v>0</v>
      </c>
      <c r="J11365" t="n">
        <v>0</v>
      </c>
      <c r="K11365" t="n">
        <v>0</v>
      </c>
      <c r="L11365" t="n">
        <v>0</v>
      </c>
      <c r="M11365" t="n">
        <v>0</v>
      </c>
      <c r="N11365" t="n">
        <v>0</v>
      </c>
      <c r="O11365" t="n">
        <v>0</v>
      </c>
      <c r="P11365" t="n">
        <v>0</v>
      </c>
      <c r="Q11365" t="n">
        <v>0</v>
      </c>
      <c r="R11365" s="2" t="inlineStr"/>
    </row>
    <row r="11366" ht="15" customHeight="1">
      <c r="A11366" t="inlineStr">
        <is>
          <t>A 7791-2023</t>
        </is>
      </c>
      <c r="B11366" s="1" t="n">
        <v>44973</v>
      </c>
      <c r="C11366" s="1" t="n">
        <v>45952</v>
      </c>
      <c r="D11366" t="inlineStr">
        <is>
          <t>VÄSTRA GÖTALANDS LÄN</t>
        </is>
      </c>
      <c r="E11366" t="inlineStr">
        <is>
          <t>TJÖRN</t>
        </is>
      </c>
      <c r="G11366" t="n">
        <v>3.1</v>
      </c>
      <c r="H11366" t="n">
        <v>0</v>
      </c>
      <c r="I11366" t="n">
        <v>0</v>
      </c>
      <c r="J11366" t="n">
        <v>0</v>
      </c>
      <c r="K11366" t="n">
        <v>0</v>
      </c>
      <c r="L11366" t="n">
        <v>0</v>
      </c>
      <c r="M11366" t="n">
        <v>0</v>
      </c>
      <c r="N11366" t="n">
        <v>0</v>
      </c>
      <c r="O11366" t="n">
        <v>0</v>
      </c>
      <c r="P11366" t="n">
        <v>0</v>
      </c>
      <c r="Q11366" t="n">
        <v>0</v>
      </c>
      <c r="R11366" s="2" t="inlineStr"/>
    </row>
    <row r="11367" ht="15" customHeight="1">
      <c r="A11367" t="inlineStr">
        <is>
          <t>A 7807-2023</t>
        </is>
      </c>
      <c r="B11367" s="1" t="n">
        <v>44973</v>
      </c>
      <c r="C11367" s="1" t="n">
        <v>45952</v>
      </c>
      <c r="D11367" t="inlineStr">
        <is>
          <t>VÄSTRA GÖTALANDS LÄN</t>
        </is>
      </c>
      <c r="E11367" t="inlineStr">
        <is>
          <t>ALE</t>
        </is>
      </c>
      <c r="G11367" t="n">
        <v>10.5</v>
      </c>
      <c r="H11367" t="n">
        <v>0</v>
      </c>
      <c r="I11367" t="n">
        <v>0</v>
      </c>
      <c r="J11367" t="n">
        <v>0</v>
      </c>
      <c r="K11367" t="n">
        <v>0</v>
      </c>
      <c r="L11367" t="n">
        <v>0</v>
      </c>
      <c r="M11367" t="n">
        <v>0</v>
      </c>
      <c r="N11367" t="n">
        <v>0</v>
      </c>
      <c r="O11367" t="n">
        <v>0</v>
      </c>
      <c r="P11367" t="n">
        <v>0</v>
      </c>
      <c r="Q11367" t="n">
        <v>0</v>
      </c>
      <c r="R11367" s="2" t="inlineStr"/>
    </row>
    <row r="11368" ht="15" customHeight="1">
      <c r="A11368" t="inlineStr">
        <is>
          <t>A 51074-2025</t>
        </is>
      </c>
      <c r="B11368" s="1" t="n">
        <v>45947.46091435185</v>
      </c>
      <c r="C11368" s="1" t="n">
        <v>45952</v>
      </c>
      <c r="D11368" t="inlineStr">
        <is>
          <t>VÄSTRA GÖTALANDS LÄN</t>
        </is>
      </c>
      <c r="E11368" t="inlineStr">
        <is>
          <t>BORÅS</t>
        </is>
      </c>
      <c r="G11368" t="n">
        <v>2.3</v>
      </c>
      <c r="H11368" t="n">
        <v>0</v>
      </c>
      <c r="I11368" t="n">
        <v>0</v>
      </c>
      <c r="J11368" t="n">
        <v>0</v>
      </c>
      <c r="K11368" t="n">
        <v>0</v>
      </c>
      <c r="L11368" t="n">
        <v>0</v>
      </c>
      <c r="M11368" t="n">
        <v>0</v>
      </c>
      <c r="N11368" t="n">
        <v>0</v>
      </c>
      <c r="O11368" t="n">
        <v>0</v>
      </c>
      <c r="P11368" t="n">
        <v>0</v>
      </c>
      <c r="Q11368" t="n">
        <v>0</v>
      </c>
      <c r="R11368" s="2" t="inlineStr"/>
    </row>
    <row r="11369" ht="15" customHeight="1">
      <c r="A11369" t="inlineStr">
        <is>
          <t>A 4207-2024</t>
        </is>
      </c>
      <c r="B11369" s="1" t="n">
        <v>45324.37259259259</v>
      </c>
      <c r="C11369" s="1" t="n">
        <v>45952</v>
      </c>
      <c r="D11369" t="inlineStr">
        <is>
          <t>VÄSTRA GÖTALANDS LÄN</t>
        </is>
      </c>
      <c r="E11369" t="inlineStr">
        <is>
          <t>FÄRGELANDA</t>
        </is>
      </c>
      <c r="G11369" t="n">
        <v>1.4</v>
      </c>
      <c r="H11369" t="n">
        <v>0</v>
      </c>
      <c r="I11369" t="n">
        <v>0</v>
      </c>
      <c r="J11369" t="n">
        <v>0</v>
      </c>
      <c r="K11369" t="n">
        <v>0</v>
      </c>
      <c r="L11369" t="n">
        <v>0</v>
      </c>
      <c r="M11369" t="n">
        <v>0</v>
      </c>
      <c r="N11369" t="n">
        <v>0</v>
      </c>
      <c r="O11369" t="n">
        <v>0</v>
      </c>
      <c r="P11369" t="n">
        <v>0</v>
      </c>
      <c r="Q11369" t="n">
        <v>0</v>
      </c>
      <c r="R11369" s="2" t="inlineStr"/>
    </row>
    <row r="11370" ht="15" customHeight="1">
      <c r="A11370" t="inlineStr">
        <is>
          <t>A 27683-2025</t>
        </is>
      </c>
      <c r="B11370" s="1" t="n">
        <v>45813.64798611111</v>
      </c>
      <c r="C11370" s="1" t="n">
        <v>45952</v>
      </c>
      <c r="D11370" t="inlineStr">
        <is>
          <t>VÄSTRA GÖTALANDS LÄN</t>
        </is>
      </c>
      <c r="E11370" t="inlineStr">
        <is>
          <t>MARK</t>
        </is>
      </c>
      <c r="G11370" t="n">
        <v>0.8</v>
      </c>
      <c r="H11370" t="n">
        <v>0</v>
      </c>
      <c r="I11370" t="n">
        <v>0</v>
      </c>
      <c r="J11370" t="n">
        <v>0</v>
      </c>
      <c r="K11370" t="n">
        <v>0</v>
      </c>
      <c r="L11370" t="n">
        <v>0</v>
      </c>
      <c r="M11370" t="n">
        <v>0</v>
      </c>
      <c r="N11370" t="n">
        <v>0</v>
      </c>
      <c r="O11370" t="n">
        <v>0</v>
      </c>
      <c r="P11370" t="n">
        <v>0</v>
      </c>
      <c r="Q11370" t="n">
        <v>0</v>
      </c>
      <c r="R11370" s="2" t="inlineStr"/>
    </row>
    <row r="11371" ht="15" customHeight="1">
      <c r="A11371" t="inlineStr">
        <is>
          <t>A 51084-2025</t>
        </is>
      </c>
      <c r="B11371" s="1" t="n">
        <v>45947</v>
      </c>
      <c r="C11371" s="1" t="n">
        <v>45952</v>
      </c>
      <c r="D11371" t="inlineStr">
        <is>
          <t>VÄSTRA GÖTALANDS LÄN</t>
        </is>
      </c>
      <c r="E11371" t="inlineStr">
        <is>
          <t>ULRICEHAMN</t>
        </is>
      </c>
      <c r="G11371" t="n">
        <v>0.6</v>
      </c>
      <c r="H11371" t="n">
        <v>0</v>
      </c>
      <c r="I11371" t="n">
        <v>0</v>
      </c>
      <c r="J11371" t="n">
        <v>0</v>
      </c>
      <c r="K11371" t="n">
        <v>0</v>
      </c>
      <c r="L11371" t="n">
        <v>0</v>
      </c>
      <c r="M11371" t="n">
        <v>0</v>
      </c>
      <c r="N11371" t="n">
        <v>0</v>
      </c>
      <c r="O11371" t="n">
        <v>0</v>
      </c>
      <c r="P11371" t="n">
        <v>0</v>
      </c>
      <c r="Q11371" t="n">
        <v>0</v>
      </c>
      <c r="R11371" s="2" t="inlineStr"/>
    </row>
    <row r="11372" ht="15" customHeight="1">
      <c r="A11372" t="inlineStr">
        <is>
          <t>A 51092-2025</t>
        </is>
      </c>
      <c r="B11372" s="1" t="n">
        <v>45947.47458333334</v>
      </c>
      <c r="C11372" s="1" t="n">
        <v>45952</v>
      </c>
      <c r="D11372" t="inlineStr">
        <is>
          <t>VÄSTRA GÖTALANDS LÄN</t>
        </is>
      </c>
      <c r="E11372" t="inlineStr">
        <is>
          <t>BORÅS</t>
        </is>
      </c>
      <c r="G11372" t="n">
        <v>1.3</v>
      </c>
      <c r="H11372" t="n">
        <v>0</v>
      </c>
      <c r="I11372" t="n">
        <v>0</v>
      </c>
      <c r="J11372" t="n">
        <v>0</v>
      </c>
      <c r="K11372" t="n">
        <v>0</v>
      </c>
      <c r="L11372" t="n">
        <v>0</v>
      </c>
      <c r="M11372" t="n">
        <v>0</v>
      </c>
      <c r="N11372" t="n">
        <v>0</v>
      </c>
      <c r="O11372" t="n">
        <v>0</v>
      </c>
      <c r="P11372" t="n">
        <v>0</v>
      </c>
      <c r="Q11372" t="n">
        <v>0</v>
      </c>
      <c r="R11372" s="2" t="inlineStr"/>
    </row>
    <row r="11373" ht="15" customHeight="1">
      <c r="A11373" t="inlineStr">
        <is>
          <t>A 10335-2024</t>
        </is>
      </c>
      <c r="B11373" s="1" t="n">
        <v>45365</v>
      </c>
      <c r="C11373" s="1" t="n">
        <v>45952</v>
      </c>
      <c r="D11373" t="inlineStr">
        <is>
          <t>VÄSTRA GÖTALANDS LÄN</t>
        </is>
      </c>
      <c r="E11373" t="inlineStr">
        <is>
          <t>BENGTSFORS</t>
        </is>
      </c>
      <c r="G11373" t="n">
        <v>0.3</v>
      </c>
      <c r="H11373" t="n">
        <v>0</v>
      </c>
      <c r="I11373" t="n">
        <v>0</v>
      </c>
      <c r="J11373" t="n">
        <v>0</v>
      </c>
      <c r="K11373" t="n">
        <v>0</v>
      </c>
      <c r="L11373" t="n">
        <v>0</v>
      </c>
      <c r="M11373" t="n">
        <v>0</v>
      </c>
      <c r="N11373" t="n">
        <v>0</v>
      </c>
      <c r="O11373" t="n">
        <v>0</v>
      </c>
      <c r="P11373" t="n">
        <v>0</v>
      </c>
      <c r="Q11373" t="n">
        <v>0</v>
      </c>
      <c r="R11373" s="2" t="inlineStr"/>
    </row>
    <row r="11374" ht="15" customHeight="1">
      <c r="A11374" t="inlineStr">
        <is>
          <t>A 42252-2025</t>
        </is>
      </c>
      <c r="B11374" s="1" t="n">
        <v>45904.58616898148</v>
      </c>
      <c r="C11374" s="1" t="n">
        <v>45952</v>
      </c>
      <c r="D11374" t="inlineStr">
        <is>
          <t>VÄSTRA GÖTALANDS LÄN</t>
        </is>
      </c>
      <c r="E11374" t="inlineStr">
        <is>
          <t>MUNKEDAL</t>
        </is>
      </c>
      <c r="G11374" t="n">
        <v>1.7</v>
      </c>
      <c r="H11374" t="n">
        <v>0</v>
      </c>
      <c r="I11374" t="n">
        <v>0</v>
      </c>
      <c r="J11374" t="n">
        <v>0</v>
      </c>
      <c r="K11374" t="n">
        <v>0</v>
      </c>
      <c r="L11374" t="n">
        <v>0</v>
      </c>
      <c r="M11374" t="n">
        <v>0</v>
      </c>
      <c r="N11374" t="n">
        <v>0</v>
      </c>
      <c r="O11374" t="n">
        <v>0</v>
      </c>
      <c r="P11374" t="n">
        <v>0</v>
      </c>
      <c r="Q11374" t="n">
        <v>0</v>
      </c>
      <c r="R11374" s="2" t="inlineStr"/>
    </row>
    <row r="11375" ht="15" customHeight="1">
      <c r="A11375" t="inlineStr">
        <is>
          <t>A 42257-2025</t>
        </is>
      </c>
      <c r="B11375" s="1" t="n">
        <v>45904.59019675926</v>
      </c>
      <c r="C11375" s="1" t="n">
        <v>45952</v>
      </c>
      <c r="D11375" t="inlineStr">
        <is>
          <t>VÄSTRA GÖTALANDS LÄN</t>
        </is>
      </c>
      <c r="E11375" t="inlineStr">
        <is>
          <t>FÄRGELANDA</t>
        </is>
      </c>
      <c r="G11375" t="n">
        <v>2.2</v>
      </c>
      <c r="H11375" t="n">
        <v>0</v>
      </c>
      <c r="I11375" t="n">
        <v>0</v>
      </c>
      <c r="J11375" t="n">
        <v>0</v>
      </c>
      <c r="K11375" t="n">
        <v>0</v>
      </c>
      <c r="L11375" t="n">
        <v>0</v>
      </c>
      <c r="M11375" t="n">
        <v>0</v>
      </c>
      <c r="N11375" t="n">
        <v>0</v>
      </c>
      <c r="O11375" t="n">
        <v>0</v>
      </c>
      <c r="P11375" t="n">
        <v>0</v>
      </c>
      <c r="Q11375" t="n">
        <v>0</v>
      </c>
      <c r="R11375" s="2" t="inlineStr"/>
    </row>
    <row r="11376" ht="15" customHeight="1">
      <c r="A11376" t="inlineStr">
        <is>
          <t>A 42260-2025</t>
        </is>
      </c>
      <c r="B11376" s="1" t="n">
        <v>45904.59520833333</v>
      </c>
      <c r="C11376" s="1" t="n">
        <v>45952</v>
      </c>
      <c r="D11376" t="inlineStr">
        <is>
          <t>VÄSTRA GÖTALANDS LÄN</t>
        </is>
      </c>
      <c r="E11376" t="inlineStr">
        <is>
          <t>DALS-ED</t>
        </is>
      </c>
      <c r="G11376" t="n">
        <v>12.9</v>
      </c>
      <c r="H11376" t="n">
        <v>0</v>
      </c>
      <c r="I11376" t="n">
        <v>0</v>
      </c>
      <c r="J11376" t="n">
        <v>0</v>
      </c>
      <c r="K11376" t="n">
        <v>0</v>
      </c>
      <c r="L11376" t="n">
        <v>0</v>
      </c>
      <c r="M11376" t="n">
        <v>0</v>
      </c>
      <c r="N11376" t="n">
        <v>0</v>
      </c>
      <c r="O11376" t="n">
        <v>0</v>
      </c>
      <c r="P11376" t="n">
        <v>0</v>
      </c>
      <c r="Q11376" t="n">
        <v>0</v>
      </c>
      <c r="R11376" s="2" t="inlineStr"/>
    </row>
    <row r="11377" ht="15" customHeight="1">
      <c r="A11377" t="inlineStr">
        <is>
          <t>A 48365-2024</t>
        </is>
      </c>
      <c r="B11377" s="1" t="n">
        <v>45590.57652777778</v>
      </c>
      <c r="C11377" s="1" t="n">
        <v>45952</v>
      </c>
      <c r="D11377" t="inlineStr">
        <is>
          <t>VÄSTRA GÖTALANDS LÄN</t>
        </is>
      </c>
      <c r="E11377" t="inlineStr">
        <is>
          <t>STENUNGSUND</t>
        </is>
      </c>
      <c r="G11377" t="n">
        <v>2.3</v>
      </c>
      <c r="H11377" t="n">
        <v>0</v>
      </c>
      <c r="I11377" t="n">
        <v>0</v>
      </c>
      <c r="J11377" t="n">
        <v>0</v>
      </c>
      <c r="K11377" t="n">
        <v>0</v>
      </c>
      <c r="L11377" t="n">
        <v>0</v>
      </c>
      <c r="M11377" t="n">
        <v>0</v>
      </c>
      <c r="N11377" t="n">
        <v>0</v>
      </c>
      <c r="O11377" t="n">
        <v>0</v>
      </c>
      <c r="P11377" t="n">
        <v>0</v>
      </c>
      <c r="Q11377" t="n">
        <v>0</v>
      </c>
      <c r="R11377" s="2" t="inlineStr"/>
    </row>
    <row r="11378" ht="15" customHeight="1">
      <c r="A11378" t="inlineStr">
        <is>
          <t>A 11817-2025</t>
        </is>
      </c>
      <c r="B11378" s="1" t="n">
        <v>45728.30768518519</v>
      </c>
      <c r="C11378" s="1" t="n">
        <v>45952</v>
      </c>
      <c r="D11378" t="inlineStr">
        <is>
          <t>VÄSTRA GÖTALANDS LÄN</t>
        </is>
      </c>
      <c r="E11378" t="inlineStr">
        <is>
          <t>VÄNERSBORG</t>
        </is>
      </c>
      <c r="G11378" t="n">
        <v>3.1</v>
      </c>
      <c r="H11378" t="n">
        <v>0</v>
      </c>
      <c r="I11378" t="n">
        <v>0</v>
      </c>
      <c r="J11378" t="n">
        <v>0</v>
      </c>
      <c r="K11378" t="n">
        <v>0</v>
      </c>
      <c r="L11378" t="n">
        <v>0</v>
      </c>
      <c r="M11378" t="n">
        <v>0</v>
      </c>
      <c r="N11378" t="n">
        <v>0</v>
      </c>
      <c r="O11378" t="n">
        <v>0</v>
      </c>
      <c r="P11378" t="n">
        <v>0</v>
      </c>
      <c r="Q11378" t="n">
        <v>0</v>
      </c>
      <c r="R11378" s="2" t="inlineStr"/>
    </row>
    <row r="11379" ht="15" customHeight="1">
      <c r="A11379" t="inlineStr">
        <is>
          <t>A 39343-2022</t>
        </is>
      </c>
      <c r="B11379" s="1" t="n">
        <v>44817</v>
      </c>
      <c r="C11379" s="1" t="n">
        <v>45952</v>
      </c>
      <c r="D11379" t="inlineStr">
        <is>
          <t>VÄSTRA GÖTALANDS LÄN</t>
        </is>
      </c>
      <c r="E11379" t="inlineStr">
        <is>
          <t>ULRICEHAMN</t>
        </is>
      </c>
      <c r="G11379" t="n">
        <v>4.9</v>
      </c>
      <c r="H11379" t="n">
        <v>0</v>
      </c>
      <c r="I11379" t="n">
        <v>0</v>
      </c>
      <c r="J11379" t="n">
        <v>0</v>
      </c>
      <c r="K11379" t="n">
        <v>0</v>
      </c>
      <c r="L11379" t="n">
        <v>0</v>
      </c>
      <c r="M11379" t="n">
        <v>0</v>
      </c>
      <c r="N11379" t="n">
        <v>0</v>
      </c>
      <c r="O11379" t="n">
        <v>0</v>
      </c>
      <c r="P11379" t="n">
        <v>0</v>
      </c>
      <c r="Q11379" t="n">
        <v>0</v>
      </c>
      <c r="R11379" s="2" t="inlineStr"/>
    </row>
    <row r="11380" ht="15" customHeight="1">
      <c r="A11380" t="inlineStr">
        <is>
          <t>A 59440-2022</t>
        </is>
      </c>
      <c r="B11380" s="1" t="n">
        <v>44907.39542824074</v>
      </c>
      <c r="C11380" s="1" t="n">
        <v>45952</v>
      </c>
      <c r="D11380" t="inlineStr">
        <is>
          <t>VÄSTRA GÖTALANDS LÄN</t>
        </is>
      </c>
      <c r="E11380" t="inlineStr">
        <is>
          <t>TÖREBODA</t>
        </is>
      </c>
      <c r="G11380" t="n">
        <v>1.4</v>
      </c>
      <c r="H11380" t="n">
        <v>0</v>
      </c>
      <c r="I11380" t="n">
        <v>0</v>
      </c>
      <c r="J11380" t="n">
        <v>0</v>
      </c>
      <c r="K11380" t="n">
        <v>0</v>
      </c>
      <c r="L11380" t="n">
        <v>0</v>
      </c>
      <c r="M11380" t="n">
        <v>0</v>
      </c>
      <c r="N11380" t="n">
        <v>0</v>
      </c>
      <c r="O11380" t="n">
        <v>0</v>
      </c>
      <c r="P11380" t="n">
        <v>0</v>
      </c>
      <c r="Q11380" t="n">
        <v>0</v>
      </c>
      <c r="R11380" s="2" t="inlineStr"/>
    </row>
    <row r="11381" ht="15" customHeight="1">
      <c r="A11381" t="inlineStr">
        <is>
          <t>A 48265-2025</t>
        </is>
      </c>
      <c r="B11381" s="1" t="n">
        <v>45933</v>
      </c>
      <c r="C11381" s="1" t="n">
        <v>45952</v>
      </c>
      <c r="D11381" t="inlineStr">
        <is>
          <t>VÄSTRA GÖTALANDS LÄN</t>
        </is>
      </c>
      <c r="E11381" t="inlineStr">
        <is>
          <t>MÖLNDAL</t>
        </is>
      </c>
      <c r="G11381" t="n">
        <v>2.1</v>
      </c>
      <c r="H11381" t="n">
        <v>0</v>
      </c>
      <c r="I11381" t="n">
        <v>0</v>
      </c>
      <c r="J11381" t="n">
        <v>0</v>
      </c>
      <c r="K11381" t="n">
        <v>0</v>
      </c>
      <c r="L11381" t="n">
        <v>0</v>
      </c>
      <c r="M11381" t="n">
        <v>0</v>
      </c>
      <c r="N11381" t="n">
        <v>0</v>
      </c>
      <c r="O11381" t="n">
        <v>0</v>
      </c>
      <c r="P11381" t="n">
        <v>0</v>
      </c>
      <c r="Q11381" t="n">
        <v>0</v>
      </c>
      <c r="R11381" s="2" t="inlineStr"/>
    </row>
    <row r="11382" ht="15" customHeight="1">
      <c r="A11382" t="inlineStr">
        <is>
          <t>A 334-2023</t>
        </is>
      </c>
      <c r="B11382" s="1" t="n">
        <v>44929.46462962963</v>
      </c>
      <c r="C11382" s="1" t="n">
        <v>45952</v>
      </c>
      <c r="D11382" t="inlineStr">
        <is>
          <t>VÄSTRA GÖTALANDS LÄN</t>
        </is>
      </c>
      <c r="E11382" t="inlineStr">
        <is>
          <t>MELLERUD</t>
        </is>
      </c>
      <c r="G11382" t="n">
        <v>1.8</v>
      </c>
      <c r="H11382" t="n">
        <v>0</v>
      </c>
      <c r="I11382" t="n">
        <v>0</v>
      </c>
      <c r="J11382" t="n">
        <v>0</v>
      </c>
      <c r="K11382" t="n">
        <v>0</v>
      </c>
      <c r="L11382" t="n">
        <v>0</v>
      </c>
      <c r="M11382" t="n">
        <v>0</v>
      </c>
      <c r="N11382" t="n">
        <v>0</v>
      </c>
      <c r="O11382" t="n">
        <v>0</v>
      </c>
      <c r="P11382" t="n">
        <v>0</v>
      </c>
      <c r="Q11382" t="n">
        <v>0</v>
      </c>
      <c r="R11382" s="2" t="inlineStr"/>
    </row>
    <row r="11383" ht="15" customHeight="1">
      <c r="A11383" t="inlineStr">
        <is>
          <t>A 42288-2025</t>
        </is>
      </c>
      <c r="B11383" s="1" t="n">
        <v>45904.6228587963</v>
      </c>
      <c r="C11383" s="1" t="n">
        <v>45952</v>
      </c>
      <c r="D11383" t="inlineStr">
        <is>
          <t>VÄSTRA GÖTALANDS LÄN</t>
        </is>
      </c>
      <c r="E11383" t="inlineStr">
        <is>
          <t>MUNKEDAL</t>
        </is>
      </c>
      <c r="G11383" t="n">
        <v>9.1</v>
      </c>
      <c r="H11383" t="n">
        <v>0</v>
      </c>
      <c r="I11383" t="n">
        <v>0</v>
      </c>
      <c r="J11383" t="n">
        <v>0</v>
      </c>
      <c r="K11383" t="n">
        <v>0</v>
      </c>
      <c r="L11383" t="n">
        <v>0</v>
      </c>
      <c r="M11383" t="n">
        <v>0</v>
      </c>
      <c r="N11383" t="n">
        <v>0</v>
      </c>
      <c r="O11383" t="n">
        <v>0</v>
      </c>
      <c r="P11383" t="n">
        <v>0</v>
      </c>
      <c r="Q11383" t="n">
        <v>0</v>
      </c>
      <c r="R11383" s="2" t="inlineStr"/>
    </row>
    <row r="11384" ht="15" customHeight="1">
      <c r="A11384" t="inlineStr">
        <is>
          <t>A 42292-2025</t>
        </is>
      </c>
      <c r="B11384" s="1" t="n">
        <v>45904.62887731481</v>
      </c>
      <c r="C11384" s="1" t="n">
        <v>45952</v>
      </c>
      <c r="D11384" t="inlineStr">
        <is>
          <t>VÄSTRA GÖTALANDS LÄN</t>
        </is>
      </c>
      <c r="E11384" t="inlineStr">
        <is>
          <t>HJO</t>
        </is>
      </c>
      <c r="G11384" t="n">
        <v>1.6</v>
      </c>
      <c r="H11384" t="n">
        <v>0</v>
      </c>
      <c r="I11384" t="n">
        <v>0</v>
      </c>
      <c r="J11384" t="n">
        <v>0</v>
      </c>
      <c r="K11384" t="n">
        <v>0</v>
      </c>
      <c r="L11384" t="n">
        <v>0</v>
      </c>
      <c r="M11384" t="n">
        <v>0</v>
      </c>
      <c r="N11384" t="n">
        <v>0</v>
      </c>
      <c r="O11384" t="n">
        <v>0</v>
      </c>
      <c r="P11384" t="n">
        <v>0</v>
      </c>
      <c r="Q11384" t="n">
        <v>0</v>
      </c>
      <c r="R11384" s="2" t="inlineStr"/>
    </row>
    <row r="11385" ht="15" customHeight="1">
      <c r="A11385" t="inlineStr">
        <is>
          <t>A 12207-2025</t>
        </is>
      </c>
      <c r="B11385" s="1" t="n">
        <v>45729</v>
      </c>
      <c r="C11385" s="1" t="n">
        <v>45952</v>
      </c>
      <c r="D11385" t="inlineStr">
        <is>
          <t>VÄSTRA GÖTALANDS LÄN</t>
        </is>
      </c>
      <c r="E11385" t="inlineStr">
        <is>
          <t>TÖREBODA</t>
        </is>
      </c>
      <c r="F11385" t="inlineStr">
        <is>
          <t>Övriga statliga verk och myndigheter</t>
        </is>
      </c>
      <c r="G11385" t="n">
        <v>1.4</v>
      </c>
      <c r="H11385" t="n">
        <v>0</v>
      </c>
      <c r="I11385" t="n">
        <v>0</v>
      </c>
      <c r="J11385" t="n">
        <v>0</v>
      </c>
      <c r="K11385" t="n">
        <v>0</v>
      </c>
      <c r="L11385" t="n">
        <v>0</v>
      </c>
      <c r="M11385" t="n">
        <v>0</v>
      </c>
      <c r="N11385" t="n">
        <v>0</v>
      </c>
      <c r="O11385" t="n">
        <v>0</v>
      </c>
      <c r="P11385" t="n">
        <v>0</v>
      </c>
      <c r="Q11385" t="n">
        <v>0</v>
      </c>
      <c r="R11385" s="2" t="inlineStr"/>
    </row>
    <row r="11386" ht="15" customHeight="1">
      <c r="A11386" t="inlineStr">
        <is>
          <t>A 51117-2025</t>
        </is>
      </c>
      <c r="B11386" s="1" t="n">
        <v>45947.52902777777</v>
      </c>
      <c r="C11386" s="1" t="n">
        <v>45952</v>
      </c>
      <c r="D11386" t="inlineStr">
        <is>
          <t>VÄSTRA GÖTALANDS LÄN</t>
        </is>
      </c>
      <c r="E11386" t="inlineStr">
        <is>
          <t>TIBRO</t>
        </is>
      </c>
      <c r="G11386" t="n">
        <v>3.7</v>
      </c>
      <c r="H11386" t="n">
        <v>0</v>
      </c>
      <c r="I11386" t="n">
        <v>0</v>
      </c>
      <c r="J11386" t="n">
        <v>0</v>
      </c>
      <c r="K11386" t="n">
        <v>0</v>
      </c>
      <c r="L11386" t="n">
        <v>0</v>
      </c>
      <c r="M11386" t="n">
        <v>0</v>
      </c>
      <c r="N11386" t="n">
        <v>0</v>
      </c>
      <c r="O11386" t="n">
        <v>0</v>
      </c>
      <c r="P11386" t="n">
        <v>0</v>
      </c>
      <c r="Q11386" t="n">
        <v>0</v>
      </c>
      <c r="R11386" s="2" t="inlineStr"/>
    </row>
    <row r="11387" ht="15" customHeight="1">
      <c r="A11387" t="inlineStr">
        <is>
          <t>A 51179-2025</t>
        </is>
      </c>
      <c r="B11387" s="1" t="n">
        <v>45947</v>
      </c>
      <c r="C11387" s="1" t="n">
        <v>45952</v>
      </c>
      <c r="D11387" t="inlineStr">
        <is>
          <t>VÄSTRA GÖTALANDS LÄN</t>
        </is>
      </c>
      <c r="E11387" t="inlineStr">
        <is>
          <t>GULLSPÅNG</t>
        </is>
      </c>
      <c r="G11387" t="n">
        <v>1.1</v>
      </c>
      <c r="H11387" t="n">
        <v>0</v>
      </c>
      <c r="I11387" t="n">
        <v>0</v>
      </c>
      <c r="J11387" t="n">
        <v>0</v>
      </c>
      <c r="K11387" t="n">
        <v>0</v>
      </c>
      <c r="L11387" t="n">
        <v>0</v>
      </c>
      <c r="M11387" t="n">
        <v>0</v>
      </c>
      <c r="N11387" t="n">
        <v>0</v>
      </c>
      <c r="O11387" t="n">
        <v>0</v>
      </c>
      <c r="P11387" t="n">
        <v>0</v>
      </c>
      <c r="Q11387" t="n">
        <v>0</v>
      </c>
      <c r="R11387" s="2" t="inlineStr"/>
    </row>
    <row r="11388" ht="15" customHeight="1">
      <c r="A11388" t="inlineStr">
        <is>
          <t>A 51218-2025</t>
        </is>
      </c>
      <c r="B11388" s="1" t="n">
        <v>45947.64576388889</v>
      </c>
      <c r="C11388" s="1" t="n">
        <v>45952</v>
      </c>
      <c r="D11388" t="inlineStr">
        <is>
          <t>VÄSTRA GÖTALANDS LÄN</t>
        </is>
      </c>
      <c r="E11388" t="inlineStr">
        <is>
          <t>VARA</t>
        </is>
      </c>
      <c r="G11388" t="n">
        <v>0.2</v>
      </c>
      <c r="H11388" t="n">
        <v>0</v>
      </c>
      <c r="I11388" t="n">
        <v>0</v>
      </c>
      <c r="J11388" t="n">
        <v>0</v>
      </c>
      <c r="K11388" t="n">
        <v>0</v>
      </c>
      <c r="L11388" t="n">
        <v>0</v>
      </c>
      <c r="M11388" t="n">
        <v>0</v>
      </c>
      <c r="N11388" t="n">
        <v>0</v>
      </c>
      <c r="O11388" t="n">
        <v>0</v>
      </c>
      <c r="P11388" t="n">
        <v>0</v>
      </c>
      <c r="Q11388" t="n">
        <v>0</v>
      </c>
      <c r="R11388" s="2" t="inlineStr"/>
    </row>
    <row r="11389" ht="15" customHeight="1">
      <c r="A11389" t="inlineStr">
        <is>
          <t>A 56429-2022</t>
        </is>
      </c>
      <c r="B11389" s="1" t="n">
        <v>44891.458125</v>
      </c>
      <c r="C11389" s="1" t="n">
        <v>45952</v>
      </c>
      <c r="D11389" t="inlineStr">
        <is>
          <t>VÄSTRA GÖTALANDS LÄN</t>
        </is>
      </c>
      <c r="E11389" t="inlineStr">
        <is>
          <t>ESSUNGA</t>
        </is>
      </c>
      <c r="G11389" t="n">
        <v>4.6</v>
      </c>
      <c r="H11389" t="n">
        <v>0</v>
      </c>
      <c r="I11389" t="n">
        <v>0</v>
      </c>
      <c r="J11389" t="n">
        <v>0</v>
      </c>
      <c r="K11389" t="n">
        <v>0</v>
      </c>
      <c r="L11389" t="n">
        <v>0</v>
      </c>
      <c r="M11389" t="n">
        <v>0</v>
      </c>
      <c r="N11389" t="n">
        <v>0</v>
      </c>
      <c r="O11389" t="n">
        <v>0</v>
      </c>
      <c r="P11389" t="n">
        <v>0</v>
      </c>
      <c r="Q11389" t="n">
        <v>0</v>
      </c>
      <c r="R11389" s="2" t="inlineStr"/>
    </row>
    <row r="11390" ht="15" customHeight="1">
      <c r="A11390" t="inlineStr">
        <is>
          <t>A 14990-2023</t>
        </is>
      </c>
      <c r="B11390" s="1" t="n">
        <v>45015</v>
      </c>
      <c r="C11390" s="1" t="n">
        <v>45952</v>
      </c>
      <c r="D11390" t="inlineStr">
        <is>
          <t>VÄSTRA GÖTALANDS LÄN</t>
        </is>
      </c>
      <c r="E11390" t="inlineStr">
        <is>
          <t>BORÅS</t>
        </is>
      </c>
      <c r="G11390" t="n">
        <v>3.3</v>
      </c>
      <c r="H11390" t="n">
        <v>0</v>
      </c>
      <c r="I11390" t="n">
        <v>0</v>
      </c>
      <c r="J11390" t="n">
        <v>0</v>
      </c>
      <c r="K11390" t="n">
        <v>0</v>
      </c>
      <c r="L11390" t="n">
        <v>0</v>
      </c>
      <c r="M11390" t="n">
        <v>0</v>
      </c>
      <c r="N11390" t="n">
        <v>0</v>
      </c>
      <c r="O11390" t="n">
        <v>0</v>
      </c>
      <c r="P11390" t="n">
        <v>0</v>
      </c>
      <c r="Q11390" t="n">
        <v>0</v>
      </c>
      <c r="R11390" s="2" t="inlineStr"/>
    </row>
    <row r="11391" ht="15" customHeight="1">
      <c r="A11391" t="inlineStr">
        <is>
          <t>A 17528-2024</t>
        </is>
      </c>
      <c r="B11391" s="1" t="n">
        <v>45415.60586805556</v>
      </c>
      <c r="C11391" s="1" t="n">
        <v>45952</v>
      </c>
      <c r="D11391" t="inlineStr">
        <is>
          <t>VÄSTRA GÖTALANDS LÄN</t>
        </is>
      </c>
      <c r="E11391" t="inlineStr">
        <is>
          <t>MELLERUD</t>
        </is>
      </c>
      <c r="G11391" t="n">
        <v>3.6</v>
      </c>
      <c r="H11391" t="n">
        <v>0</v>
      </c>
      <c r="I11391" t="n">
        <v>0</v>
      </c>
      <c r="J11391" t="n">
        <v>0</v>
      </c>
      <c r="K11391" t="n">
        <v>0</v>
      </c>
      <c r="L11391" t="n">
        <v>0</v>
      </c>
      <c r="M11391" t="n">
        <v>0</v>
      </c>
      <c r="N11391" t="n">
        <v>0</v>
      </c>
      <c r="O11391" t="n">
        <v>0</v>
      </c>
      <c r="P11391" t="n">
        <v>0</v>
      </c>
      <c r="Q11391" t="n">
        <v>0</v>
      </c>
      <c r="R11391" s="2" t="inlineStr"/>
    </row>
    <row r="11392" ht="15" customHeight="1">
      <c r="A11392" t="inlineStr">
        <is>
          <t>A 52922-2024</t>
        </is>
      </c>
      <c r="B11392" s="1" t="n">
        <v>45610.71511574074</v>
      </c>
      <c r="C11392" s="1" t="n">
        <v>45952</v>
      </c>
      <c r="D11392" t="inlineStr">
        <is>
          <t>VÄSTRA GÖTALANDS LÄN</t>
        </is>
      </c>
      <c r="E11392" t="inlineStr">
        <is>
          <t>MELLERUD</t>
        </is>
      </c>
      <c r="G11392" t="n">
        <v>1.2</v>
      </c>
      <c r="H11392" t="n">
        <v>0</v>
      </c>
      <c r="I11392" t="n">
        <v>0</v>
      </c>
      <c r="J11392" t="n">
        <v>0</v>
      </c>
      <c r="K11392" t="n">
        <v>0</v>
      </c>
      <c r="L11392" t="n">
        <v>0</v>
      </c>
      <c r="M11392" t="n">
        <v>0</v>
      </c>
      <c r="N11392" t="n">
        <v>0</v>
      </c>
      <c r="O11392" t="n">
        <v>0</v>
      </c>
      <c r="P11392" t="n">
        <v>0</v>
      </c>
      <c r="Q11392" t="n">
        <v>0</v>
      </c>
      <c r="R11392" s="2" t="inlineStr"/>
    </row>
    <row r="11393" ht="15" customHeight="1">
      <c r="A11393" t="inlineStr">
        <is>
          <t>A 72566-2021</t>
        </is>
      </c>
      <c r="B11393" s="1" t="n">
        <v>44546.44887731481</v>
      </c>
      <c r="C11393" s="1" t="n">
        <v>45952</v>
      </c>
      <c r="D11393" t="inlineStr">
        <is>
          <t>VÄSTRA GÖTALANDS LÄN</t>
        </is>
      </c>
      <c r="E11393" t="inlineStr">
        <is>
          <t>BORÅS</t>
        </is>
      </c>
      <c r="G11393" t="n">
        <v>1.3</v>
      </c>
      <c r="H11393" t="n">
        <v>0</v>
      </c>
      <c r="I11393" t="n">
        <v>0</v>
      </c>
      <c r="J11393" t="n">
        <v>0</v>
      </c>
      <c r="K11393" t="n">
        <v>0</v>
      </c>
      <c r="L11393" t="n">
        <v>0</v>
      </c>
      <c r="M11393" t="n">
        <v>0</v>
      </c>
      <c r="N11393" t="n">
        <v>0</v>
      </c>
      <c r="O11393" t="n">
        <v>0</v>
      </c>
      <c r="P11393" t="n">
        <v>0</v>
      </c>
      <c r="Q11393" t="n">
        <v>0</v>
      </c>
      <c r="R11393" s="2" t="inlineStr"/>
    </row>
    <row r="11394" ht="15" customHeight="1">
      <c r="A11394" t="inlineStr">
        <is>
          <t>A 7921-2024</t>
        </is>
      </c>
      <c r="B11394" s="1" t="n">
        <v>45350</v>
      </c>
      <c r="C11394" s="1" t="n">
        <v>45952</v>
      </c>
      <c r="D11394" t="inlineStr">
        <is>
          <t>VÄSTRA GÖTALANDS LÄN</t>
        </is>
      </c>
      <c r="E11394" t="inlineStr">
        <is>
          <t>TROLLHÄTTAN</t>
        </is>
      </c>
      <c r="G11394" t="n">
        <v>0.6</v>
      </c>
      <c r="H11394" t="n">
        <v>0</v>
      </c>
      <c r="I11394" t="n">
        <v>0</v>
      </c>
      <c r="J11394" t="n">
        <v>0</v>
      </c>
      <c r="K11394" t="n">
        <v>0</v>
      </c>
      <c r="L11394" t="n">
        <v>0</v>
      </c>
      <c r="M11394" t="n">
        <v>0</v>
      </c>
      <c r="N11394" t="n">
        <v>0</v>
      </c>
      <c r="O11394" t="n">
        <v>0</v>
      </c>
      <c r="P11394" t="n">
        <v>0</v>
      </c>
      <c r="Q11394" t="n">
        <v>0</v>
      </c>
      <c r="R11394" s="2" t="inlineStr"/>
    </row>
    <row r="11395" ht="15" customHeight="1">
      <c r="A11395" t="inlineStr">
        <is>
          <t>A 7947-2024</t>
        </is>
      </c>
      <c r="B11395" s="1" t="n">
        <v>45350</v>
      </c>
      <c r="C11395" s="1" t="n">
        <v>45952</v>
      </c>
      <c r="D11395" t="inlineStr">
        <is>
          <t>VÄSTRA GÖTALANDS LÄN</t>
        </is>
      </c>
      <c r="E11395" t="inlineStr">
        <is>
          <t>LILLA EDET</t>
        </is>
      </c>
      <c r="G11395" t="n">
        <v>1.8</v>
      </c>
      <c r="H11395" t="n">
        <v>0</v>
      </c>
      <c r="I11395" t="n">
        <v>0</v>
      </c>
      <c r="J11395" t="n">
        <v>0</v>
      </c>
      <c r="K11395" t="n">
        <v>0</v>
      </c>
      <c r="L11395" t="n">
        <v>0</v>
      </c>
      <c r="M11395" t="n">
        <v>0</v>
      </c>
      <c r="N11395" t="n">
        <v>0</v>
      </c>
      <c r="O11395" t="n">
        <v>0</v>
      </c>
      <c r="P11395" t="n">
        <v>0</v>
      </c>
      <c r="Q11395" t="n">
        <v>0</v>
      </c>
      <c r="R11395" s="2" t="inlineStr"/>
    </row>
    <row r="11396" ht="15" customHeight="1">
      <c r="A11396" t="inlineStr">
        <is>
          <t>A 57923-2023</t>
        </is>
      </c>
      <c r="B11396" s="1" t="n">
        <v>45244</v>
      </c>
      <c r="C11396" s="1" t="n">
        <v>45952</v>
      </c>
      <c r="D11396" t="inlineStr">
        <is>
          <t>VÄSTRA GÖTALANDS LÄN</t>
        </is>
      </c>
      <c r="E11396" t="inlineStr">
        <is>
          <t>FALKÖPING</t>
        </is>
      </c>
      <c r="G11396" t="n">
        <v>1.7</v>
      </c>
      <c r="H11396" t="n">
        <v>0</v>
      </c>
      <c r="I11396" t="n">
        <v>0</v>
      </c>
      <c r="J11396" t="n">
        <v>0</v>
      </c>
      <c r="K11396" t="n">
        <v>0</v>
      </c>
      <c r="L11396" t="n">
        <v>0</v>
      </c>
      <c r="M11396" t="n">
        <v>0</v>
      </c>
      <c r="N11396" t="n">
        <v>0</v>
      </c>
      <c r="O11396" t="n">
        <v>0</v>
      </c>
      <c r="P11396" t="n">
        <v>0</v>
      </c>
      <c r="Q11396" t="n">
        <v>0</v>
      </c>
      <c r="R11396" s="2" t="inlineStr"/>
    </row>
    <row r="11397" ht="15" customHeight="1">
      <c r="A11397" t="inlineStr">
        <is>
          <t>A 43207-2025</t>
        </is>
      </c>
      <c r="B11397" s="1" t="n">
        <v>45910.45111111111</v>
      </c>
      <c r="C11397" s="1" t="n">
        <v>45952</v>
      </c>
      <c r="D11397" t="inlineStr">
        <is>
          <t>VÄSTRA GÖTALANDS LÄN</t>
        </is>
      </c>
      <c r="E11397" t="inlineStr">
        <is>
          <t>KUNGÄLV</t>
        </is>
      </c>
      <c r="G11397" t="n">
        <v>3.8</v>
      </c>
      <c r="H11397" t="n">
        <v>0</v>
      </c>
      <c r="I11397" t="n">
        <v>0</v>
      </c>
      <c r="J11397" t="n">
        <v>0</v>
      </c>
      <c r="K11397" t="n">
        <v>0</v>
      </c>
      <c r="L11397" t="n">
        <v>0</v>
      </c>
      <c r="M11397" t="n">
        <v>0</v>
      </c>
      <c r="N11397" t="n">
        <v>0</v>
      </c>
      <c r="O11397" t="n">
        <v>0</v>
      </c>
      <c r="P11397" t="n">
        <v>0</v>
      </c>
      <c r="Q11397" t="n">
        <v>0</v>
      </c>
      <c r="R11397" s="2" t="inlineStr"/>
    </row>
    <row r="11398" ht="15" customHeight="1">
      <c r="A11398" t="inlineStr">
        <is>
          <t>A 42237-2025</t>
        </is>
      </c>
      <c r="B11398" s="1" t="n">
        <v>45904.56365740741</v>
      </c>
      <c r="C11398" s="1" t="n">
        <v>45952</v>
      </c>
      <c r="D11398" t="inlineStr">
        <is>
          <t>VÄSTRA GÖTALANDS LÄN</t>
        </is>
      </c>
      <c r="E11398" t="inlineStr">
        <is>
          <t>VARA</t>
        </is>
      </c>
      <c r="G11398" t="n">
        <v>1.8</v>
      </c>
      <c r="H11398" t="n">
        <v>0</v>
      </c>
      <c r="I11398" t="n">
        <v>0</v>
      </c>
      <c r="J11398" t="n">
        <v>0</v>
      </c>
      <c r="K11398" t="n">
        <v>0</v>
      </c>
      <c r="L11398" t="n">
        <v>0</v>
      </c>
      <c r="M11398" t="n">
        <v>0</v>
      </c>
      <c r="N11398" t="n">
        <v>0</v>
      </c>
      <c r="O11398" t="n">
        <v>0</v>
      </c>
      <c r="P11398" t="n">
        <v>0</v>
      </c>
      <c r="Q11398" t="n">
        <v>0</v>
      </c>
      <c r="R11398" s="2" t="inlineStr"/>
    </row>
    <row r="11399" ht="15" customHeight="1">
      <c r="A11399" t="inlineStr">
        <is>
          <t>A 48150-2023</t>
        </is>
      </c>
      <c r="B11399" s="1" t="n">
        <v>45205</v>
      </c>
      <c r="C11399" s="1" t="n">
        <v>45952</v>
      </c>
      <c r="D11399" t="inlineStr">
        <is>
          <t>VÄSTRA GÖTALANDS LÄN</t>
        </is>
      </c>
      <c r="E11399" t="inlineStr">
        <is>
          <t>BORÅS</t>
        </is>
      </c>
      <c r="G11399" t="n">
        <v>3.1</v>
      </c>
      <c r="H11399" t="n">
        <v>0</v>
      </c>
      <c r="I11399" t="n">
        <v>0</v>
      </c>
      <c r="J11399" t="n">
        <v>0</v>
      </c>
      <c r="K11399" t="n">
        <v>0</v>
      </c>
      <c r="L11399" t="n">
        <v>0</v>
      </c>
      <c r="M11399" t="n">
        <v>0</v>
      </c>
      <c r="N11399" t="n">
        <v>0</v>
      </c>
      <c r="O11399" t="n">
        <v>0</v>
      </c>
      <c r="P11399" t="n">
        <v>0</v>
      </c>
      <c r="Q11399" t="n">
        <v>0</v>
      </c>
      <c r="R11399" s="2" t="inlineStr"/>
    </row>
    <row r="11400" ht="15" customHeight="1">
      <c r="A11400" t="inlineStr">
        <is>
          <t>A 42238-2025</t>
        </is>
      </c>
      <c r="B11400" s="1" t="n">
        <v>45904.56431712963</v>
      </c>
      <c r="C11400" s="1" t="n">
        <v>45952</v>
      </c>
      <c r="D11400" t="inlineStr">
        <is>
          <t>VÄSTRA GÖTALANDS LÄN</t>
        </is>
      </c>
      <c r="E11400" t="inlineStr">
        <is>
          <t>ULRICEHAMN</t>
        </is>
      </c>
      <c r="G11400" t="n">
        <v>2.9</v>
      </c>
      <c r="H11400" t="n">
        <v>0</v>
      </c>
      <c r="I11400" t="n">
        <v>0</v>
      </c>
      <c r="J11400" t="n">
        <v>0</v>
      </c>
      <c r="K11400" t="n">
        <v>0</v>
      </c>
      <c r="L11400" t="n">
        <v>0</v>
      </c>
      <c r="M11400" t="n">
        <v>0</v>
      </c>
      <c r="N11400" t="n">
        <v>0</v>
      </c>
      <c r="O11400" t="n">
        <v>0</v>
      </c>
      <c r="P11400" t="n">
        <v>0</v>
      </c>
      <c r="Q11400" t="n">
        <v>0</v>
      </c>
      <c r="R11400" s="2" t="inlineStr"/>
    </row>
    <row r="11401" ht="15" customHeight="1">
      <c r="A11401" t="inlineStr">
        <is>
          <t>A 50432-2025</t>
        </is>
      </c>
      <c r="B11401" s="1" t="n">
        <v>45944.69248842593</v>
      </c>
      <c r="C11401" s="1" t="n">
        <v>45952</v>
      </c>
      <c r="D11401" t="inlineStr">
        <is>
          <t>VÄSTRA GÖTALANDS LÄN</t>
        </is>
      </c>
      <c r="E11401" t="inlineStr">
        <is>
          <t>STRÖMSTAD</t>
        </is>
      </c>
      <c r="G11401" t="n">
        <v>4.9</v>
      </c>
      <c r="H11401" t="n">
        <v>0</v>
      </c>
      <c r="I11401" t="n">
        <v>0</v>
      </c>
      <c r="J11401" t="n">
        <v>0</v>
      </c>
      <c r="K11401" t="n">
        <v>0</v>
      </c>
      <c r="L11401" t="n">
        <v>0</v>
      </c>
      <c r="M11401" t="n">
        <v>0</v>
      </c>
      <c r="N11401" t="n">
        <v>0</v>
      </c>
      <c r="O11401" t="n">
        <v>0</v>
      </c>
      <c r="P11401" t="n">
        <v>0</v>
      </c>
      <c r="Q11401" t="n">
        <v>0</v>
      </c>
      <c r="R11401" s="2" t="inlineStr"/>
    </row>
    <row r="11402" ht="15" customHeight="1">
      <c r="A11402" t="inlineStr">
        <is>
          <t>A 50437-2025</t>
        </is>
      </c>
      <c r="B11402" s="1" t="n">
        <v>45944.71523148148</v>
      </c>
      <c r="C11402" s="1" t="n">
        <v>45952</v>
      </c>
      <c r="D11402" t="inlineStr">
        <is>
          <t>VÄSTRA GÖTALANDS LÄN</t>
        </is>
      </c>
      <c r="E11402" t="inlineStr">
        <is>
          <t>STRÖMSTAD</t>
        </is>
      </c>
      <c r="G11402" t="n">
        <v>3.6</v>
      </c>
      <c r="H11402" t="n">
        <v>0</v>
      </c>
      <c r="I11402" t="n">
        <v>0</v>
      </c>
      <c r="J11402" t="n">
        <v>0</v>
      </c>
      <c r="K11402" t="n">
        <v>0</v>
      </c>
      <c r="L11402" t="n">
        <v>0</v>
      </c>
      <c r="M11402" t="n">
        <v>0</v>
      </c>
      <c r="N11402" t="n">
        <v>0</v>
      </c>
      <c r="O11402" t="n">
        <v>0</v>
      </c>
      <c r="P11402" t="n">
        <v>0</v>
      </c>
      <c r="Q11402" t="n">
        <v>0</v>
      </c>
      <c r="R11402" s="2" t="inlineStr"/>
    </row>
    <row r="11403" ht="15" customHeight="1">
      <c r="A11403" t="inlineStr">
        <is>
          <t>A 42230-2025</t>
        </is>
      </c>
      <c r="B11403" s="1" t="n">
        <v>45904.55456018518</v>
      </c>
      <c r="C11403" s="1" t="n">
        <v>45952</v>
      </c>
      <c r="D11403" t="inlineStr">
        <is>
          <t>VÄSTRA GÖTALANDS LÄN</t>
        </is>
      </c>
      <c r="E11403" t="inlineStr">
        <is>
          <t>TÖREBODA</t>
        </is>
      </c>
      <c r="G11403" t="n">
        <v>4.3</v>
      </c>
      <c r="H11403" t="n">
        <v>0</v>
      </c>
      <c r="I11403" t="n">
        <v>0</v>
      </c>
      <c r="J11403" t="n">
        <v>0</v>
      </c>
      <c r="K11403" t="n">
        <v>0</v>
      </c>
      <c r="L11403" t="n">
        <v>0</v>
      </c>
      <c r="M11403" t="n">
        <v>0</v>
      </c>
      <c r="N11403" t="n">
        <v>0</v>
      </c>
      <c r="O11403" t="n">
        <v>0</v>
      </c>
      <c r="P11403" t="n">
        <v>0</v>
      </c>
      <c r="Q11403" t="n">
        <v>0</v>
      </c>
      <c r="R11403" s="2" t="inlineStr"/>
    </row>
    <row r="11404" ht="15" customHeight="1">
      <c r="A11404" t="inlineStr">
        <is>
          <t>A 13858-2024</t>
        </is>
      </c>
      <c r="B11404" s="1" t="n">
        <v>45391.5203587963</v>
      </c>
      <c r="C11404" s="1" t="n">
        <v>45952</v>
      </c>
      <c r="D11404" t="inlineStr">
        <is>
          <t>VÄSTRA GÖTALANDS LÄN</t>
        </is>
      </c>
      <c r="E11404" t="inlineStr">
        <is>
          <t>ALINGSÅS</t>
        </is>
      </c>
      <c r="G11404" t="n">
        <v>3.2</v>
      </c>
      <c r="H11404" t="n">
        <v>0</v>
      </c>
      <c r="I11404" t="n">
        <v>0</v>
      </c>
      <c r="J11404" t="n">
        <v>0</v>
      </c>
      <c r="K11404" t="n">
        <v>0</v>
      </c>
      <c r="L11404" t="n">
        <v>0</v>
      </c>
      <c r="M11404" t="n">
        <v>0</v>
      </c>
      <c r="N11404" t="n">
        <v>0</v>
      </c>
      <c r="O11404" t="n">
        <v>0</v>
      </c>
      <c r="P11404" t="n">
        <v>0</v>
      </c>
      <c r="Q11404" t="n">
        <v>0</v>
      </c>
      <c r="R11404" s="2" t="inlineStr"/>
    </row>
    <row r="11405" ht="15" customHeight="1">
      <c r="A11405" t="inlineStr">
        <is>
          <t>A 32195-2022</t>
        </is>
      </c>
      <c r="B11405" s="1" t="n">
        <v>44781.39569444444</v>
      </c>
      <c r="C11405" s="1" t="n">
        <v>45952</v>
      </c>
      <c r="D11405" t="inlineStr">
        <is>
          <t>VÄSTRA GÖTALANDS LÄN</t>
        </is>
      </c>
      <c r="E11405" t="inlineStr">
        <is>
          <t>DALS-ED</t>
        </is>
      </c>
      <c r="G11405" t="n">
        <v>2.7</v>
      </c>
      <c r="H11405" t="n">
        <v>0</v>
      </c>
      <c r="I11405" t="n">
        <v>0</v>
      </c>
      <c r="J11405" t="n">
        <v>0</v>
      </c>
      <c r="K11405" t="n">
        <v>0</v>
      </c>
      <c r="L11405" t="n">
        <v>0</v>
      </c>
      <c r="M11405" t="n">
        <v>0</v>
      </c>
      <c r="N11405" t="n">
        <v>0</v>
      </c>
      <c r="O11405" t="n">
        <v>0</v>
      </c>
      <c r="P11405" t="n">
        <v>0</v>
      </c>
      <c r="Q11405" t="n">
        <v>0</v>
      </c>
      <c r="R11405" s="2" t="inlineStr"/>
    </row>
    <row r="11406" ht="15" customHeight="1">
      <c r="A11406" t="inlineStr">
        <is>
          <t>A 35725-2023</t>
        </is>
      </c>
      <c r="B11406" s="1" t="n">
        <v>45147.74729166667</v>
      </c>
      <c r="C11406" s="1" t="n">
        <v>45952</v>
      </c>
      <c r="D11406" t="inlineStr">
        <is>
          <t>VÄSTRA GÖTALANDS LÄN</t>
        </is>
      </c>
      <c r="E11406" t="inlineStr">
        <is>
          <t>TIDAHOLM</t>
        </is>
      </c>
      <c r="G11406" t="n">
        <v>2</v>
      </c>
      <c r="H11406" t="n">
        <v>0</v>
      </c>
      <c r="I11406" t="n">
        <v>0</v>
      </c>
      <c r="J11406" t="n">
        <v>0</v>
      </c>
      <c r="K11406" t="n">
        <v>0</v>
      </c>
      <c r="L11406" t="n">
        <v>0</v>
      </c>
      <c r="M11406" t="n">
        <v>0</v>
      </c>
      <c r="N11406" t="n">
        <v>0</v>
      </c>
      <c r="O11406" t="n">
        <v>0</v>
      </c>
      <c r="P11406" t="n">
        <v>0</v>
      </c>
      <c r="Q11406" t="n">
        <v>0</v>
      </c>
      <c r="R11406" s="2" t="inlineStr"/>
    </row>
    <row r="11407" ht="15" customHeight="1">
      <c r="A11407" t="inlineStr">
        <is>
          <t>A 3024-2024</t>
        </is>
      </c>
      <c r="B11407" s="1" t="n">
        <v>45316</v>
      </c>
      <c r="C11407" s="1" t="n">
        <v>45952</v>
      </c>
      <c r="D11407" t="inlineStr">
        <is>
          <t>VÄSTRA GÖTALANDS LÄN</t>
        </is>
      </c>
      <c r="E11407" t="inlineStr">
        <is>
          <t>TRANEMO</t>
        </is>
      </c>
      <c r="G11407" t="n">
        <v>3.6</v>
      </c>
      <c r="H11407" t="n">
        <v>0</v>
      </c>
      <c r="I11407" t="n">
        <v>0</v>
      </c>
      <c r="J11407" t="n">
        <v>0</v>
      </c>
      <c r="K11407" t="n">
        <v>0</v>
      </c>
      <c r="L11407" t="n">
        <v>0</v>
      </c>
      <c r="M11407" t="n">
        <v>0</v>
      </c>
      <c r="N11407" t="n">
        <v>0</v>
      </c>
      <c r="O11407" t="n">
        <v>0</v>
      </c>
      <c r="P11407" t="n">
        <v>0</v>
      </c>
      <c r="Q11407" t="n">
        <v>0</v>
      </c>
      <c r="R11407" s="2" t="inlineStr"/>
    </row>
    <row r="11408" ht="15" customHeight="1">
      <c r="A11408" t="inlineStr">
        <is>
          <t>A 59396-2024</t>
        </is>
      </c>
      <c r="B11408" s="1" t="n">
        <v>45638.37623842592</v>
      </c>
      <c r="C11408" s="1" t="n">
        <v>45952</v>
      </c>
      <c r="D11408" t="inlineStr">
        <is>
          <t>VÄSTRA GÖTALANDS LÄN</t>
        </is>
      </c>
      <c r="E11408" t="inlineStr">
        <is>
          <t>STRÖMSTAD</t>
        </is>
      </c>
      <c r="F11408" t="inlineStr">
        <is>
          <t>Kommuner</t>
        </is>
      </c>
      <c r="G11408" t="n">
        <v>5.9</v>
      </c>
      <c r="H11408" t="n">
        <v>0</v>
      </c>
      <c r="I11408" t="n">
        <v>0</v>
      </c>
      <c r="J11408" t="n">
        <v>0</v>
      </c>
      <c r="K11408" t="n">
        <v>0</v>
      </c>
      <c r="L11408" t="n">
        <v>0</v>
      </c>
      <c r="M11408" t="n">
        <v>0</v>
      </c>
      <c r="N11408" t="n">
        <v>0</v>
      </c>
      <c r="O11408" t="n">
        <v>0</v>
      </c>
      <c r="P11408" t="n">
        <v>0</v>
      </c>
      <c r="Q11408" t="n">
        <v>0</v>
      </c>
      <c r="R11408" s="2" t="inlineStr"/>
    </row>
    <row r="11409" ht="15" customHeight="1">
      <c r="A11409" t="inlineStr">
        <is>
          <t>A 50789-2025</t>
        </is>
      </c>
      <c r="B11409" s="1" t="n">
        <v>45946.47084490741</v>
      </c>
      <c r="C11409" s="1" t="n">
        <v>45952</v>
      </c>
      <c r="D11409" t="inlineStr">
        <is>
          <t>VÄSTRA GÖTALANDS LÄN</t>
        </is>
      </c>
      <c r="E11409" t="inlineStr">
        <is>
          <t>SVENLJUNGA</t>
        </is>
      </c>
      <c r="G11409" t="n">
        <v>1</v>
      </c>
      <c r="H11409" t="n">
        <v>0</v>
      </c>
      <c r="I11409" t="n">
        <v>0</v>
      </c>
      <c r="J11409" t="n">
        <v>0</v>
      </c>
      <c r="K11409" t="n">
        <v>0</v>
      </c>
      <c r="L11409" t="n">
        <v>0</v>
      </c>
      <c r="M11409" t="n">
        <v>0</v>
      </c>
      <c r="N11409" t="n">
        <v>0</v>
      </c>
      <c r="O11409" t="n">
        <v>0</v>
      </c>
      <c r="P11409" t="n">
        <v>0</v>
      </c>
      <c r="Q11409" t="n">
        <v>0</v>
      </c>
      <c r="R11409" s="2" t="inlineStr"/>
    </row>
    <row r="11410" ht="15" customHeight="1">
      <c r="A11410" t="inlineStr">
        <is>
          <t>A 22427-2023</t>
        </is>
      </c>
      <c r="B11410" s="1" t="n">
        <v>45070.6696875</v>
      </c>
      <c r="C11410" s="1" t="n">
        <v>45952</v>
      </c>
      <c r="D11410" t="inlineStr">
        <is>
          <t>VÄSTRA GÖTALANDS LÄN</t>
        </is>
      </c>
      <c r="E11410" t="inlineStr">
        <is>
          <t>ULRICEHAMN</t>
        </is>
      </c>
      <c r="G11410" t="n">
        <v>0.6</v>
      </c>
      <c r="H11410" t="n">
        <v>0</v>
      </c>
      <c r="I11410" t="n">
        <v>0</v>
      </c>
      <c r="J11410" t="n">
        <v>0</v>
      </c>
      <c r="K11410" t="n">
        <v>0</v>
      </c>
      <c r="L11410" t="n">
        <v>0</v>
      </c>
      <c r="M11410" t="n">
        <v>0</v>
      </c>
      <c r="N11410" t="n">
        <v>0</v>
      </c>
      <c r="O11410" t="n">
        <v>0</v>
      </c>
      <c r="P11410" t="n">
        <v>0</v>
      </c>
      <c r="Q11410" t="n">
        <v>0</v>
      </c>
      <c r="R11410" s="2" t="inlineStr"/>
    </row>
    <row r="11411" ht="15" customHeight="1">
      <c r="A11411" t="inlineStr">
        <is>
          <t>A 42454-2025</t>
        </is>
      </c>
      <c r="B11411" s="1" t="n">
        <v>45905.44967592593</v>
      </c>
      <c r="C11411" s="1" t="n">
        <v>45952</v>
      </c>
      <c r="D11411" t="inlineStr">
        <is>
          <t>VÄSTRA GÖTALANDS LÄN</t>
        </is>
      </c>
      <c r="E11411" t="inlineStr">
        <is>
          <t>TANUM</t>
        </is>
      </c>
      <c r="G11411" t="n">
        <v>0.8</v>
      </c>
      <c r="H11411" t="n">
        <v>0</v>
      </c>
      <c r="I11411" t="n">
        <v>0</v>
      </c>
      <c r="J11411" t="n">
        <v>0</v>
      </c>
      <c r="K11411" t="n">
        <v>0</v>
      </c>
      <c r="L11411" t="n">
        <v>0</v>
      </c>
      <c r="M11411" t="n">
        <v>0</v>
      </c>
      <c r="N11411" t="n">
        <v>0</v>
      </c>
      <c r="O11411" t="n">
        <v>0</v>
      </c>
      <c r="P11411" t="n">
        <v>0</v>
      </c>
      <c r="Q11411" t="n">
        <v>0</v>
      </c>
      <c r="R11411" s="2" t="inlineStr"/>
    </row>
    <row r="11412" ht="15" customHeight="1">
      <c r="A11412" t="inlineStr">
        <is>
          <t>A 51148-2025</t>
        </is>
      </c>
      <c r="B11412" s="1" t="n">
        <v>45947.57166666666</v>
      </c>
      <c r="C11412" s="1" t="n">
        <v>45952</v>
      </c>
      <c r="D11412" t="inlineStr">
        <is>
          <t>VÄSTRA GÖTALANDS LÄN</t>
        </is>
      </c>
      <c r="E11412" t="inlineStr">
        <is>
          <t>HERRLJUNGA</t>
        </is>
      </c>
      <c r="G11412" t="n">
        <v>0.5</v>
      </c>
      <c r="H11412" t="n">
        <v>0</v>
      </c>
      <c r="I11412" t="n">
        <v>0</v>
      </c>
      <c r="J11412" t="n">
        <v>0</v>
      </c>
      <c r="K11412" t="n">
        <v>0</v>
      </c>
      <c r="L11412" t="n">
        <v>0</v>
      </c>
      <c r="M11412" t="n">
        <v>0</v>
      </c>
      <c r="N11412" t="n">
        <v>0</v>
      </c>
      <c r="O11412" t="n">
        <v>0</v>
      </c>
      <c r="P11412" t="n">
        <v>0</v>
      </c>
      <c r="Q11412" t="n">
        <v>0</v>
      </c>
      <c r="R11412" s="2" t="inlineStr"/>
    </row>
    <row r="11413" ht="15" customHeight="1">
      <c r="A11413" t="inlineStr">
        <is>
          <t>A 51161-2025</t>
        </is>
      </c>
      <c r="B11413" s="1" t="n">
        <v>45947.58571759259</v>
      </c>
      <c r="C11413" s="1" t="n">
        <v>45952</v>
      </c>
      <c r="D11413" t="inlineStr">
        <is>
          <t>VÄSTRA GÖTALANDS LÄN</t>
        </is>
      </c>
      <c r="E11413" t="inlineStr">
        <is>
          <t>TANUM</t>
        </is>
      </c>
      <c r="G11413" t="n">
        <v>1.5</v>
      </c>
      <c r="H11413" t="n">
        <v>0</v>
      </c>
      <c r="I11413" t="n">
        <v>0</v>
      </c>
      <c r="J11413" t="n">
        <v>0</v>
      </c>
      <c r="K11413" t="n">
        <v>0</v>
      </c>
      <c r="L11413" t="n">
        <v>0</v>
      </c>
      <c r="M11413" t="n">
        <v>0</v>
      </c>
      <c r="N11413" t="n">
        <v>0</v>
      </c>
      <c r="O11413" t="n">
        <v>0</v>
      </c>
      <c r="P11413" t="n">
        <v>0</v>
      </c>
      <c r="Q11413" t="n">
        <v>0</v>
      </c>
      <c r="R11413" s="2" t="inlineStr"/>
    </row>
    <row r="11414" ht="15" customHeight="1">
      <c r="A11414" t="inlineStr">
        <is>
          <t>A 42371-2025</t>
        </is>
      </c>
      <c r="B11414" s="1" t="n">
        <v>45905.33233796297</v>
      </c>
      <c r="C11414" s="1" t="n">
        <v>45952</v>
      </c>
      <c r="D11414" t="inlineStr">
        <is>
          <t>VÄSTRA GÖTALANDS LÄN</t>
        </is>
      </c>
      <c r="E11414" t="inlineStr">
        <is>
          <t>DALS-ED</t>
        </is>
      </c>
      <c r="F11414" t="inlineStr">
        <is>
          <t>Övriga Aktiebolag</t>
        </is>
      </c>
      <c r="G11414" t="n">
        <v>10.6</v>
      </c>
      <c r="H11414" t="n">
        <v>0</v>
      </c>
      <c r="I11414" t="n">
        <v>0</v>
      </c>
      <c r="J11414" t="n">
        <v>0</v>
      </c>
      <c r="K11414" t="n">
        <v>0</v>
      </c>
      <c r="L11414" t="n">
        <v>0</v>
      </c>
      <c r="M11414" t="n">
        <v>0</v>
      </c>
      <c r="N11414" t="n">
        <v>0</v>
      </c>
      <c r="O11414" t="n">
        <v>0</v>
      </c>
      <c r="P11414" t="n">
        <v>0</v>
      </c>
      <c r="Q11414" t="n">
        <v>0</v>
      </c>
      <c r="R11414" s="2" t="inlineStr"/>
    </row>
    <row r="11415" ht="15" customHeight="1">
      <c r="A11415" t="inlineStr">
        <is>
          <t>A 18337-2022</t>
        </is>
      </c>
      <c r="B11415" s="1" t="n">
        <v>44685.63946759259</v>
      </c>
      <c r="C11415" s="1" t="n">
        <v>45952</v>
      </c>
      <c r="D11415" t="inlineStr">
        <is>
          <t>VÄSTRA GÖTALANDS LÄN</t>
        </is>
      </c>
      <c r="E11415" t="inlineStr">
        <is>
          <t>MARK</t>
        </is>
      </c>
      <c r="G11415" t="n">
        <v>1.9</v>
      </c>
      <c r="H11415" t="n">
        <v>0</v>
      </c>
      <c r="I11415" t="n">
        <v>0</v>
      </c>
      <c r="J11415" t="n">
        <v>0</v>
      </c>
      <c r="K11415" t="n">
        <v>0</v>
      </c>
      <c r="L11415" t="n">
        <v>0</v>
      </c>
      <c r="M11415" t="n">
        <v>0</v>
      </c>
      <c r="N11415" t="n">
        <v>0</v>
      </c>
      <c r="O11415" t="n">
        <v>0</v>
      </c>
      <c r="P11415" t="n">
        <v>0</v>
      </c>
      <c r="Q11415" t="n">
        <v>0</v>
      </c>
      <c r="R11415" s="2" t="inlineStr"/>
    </row>
    <row r="11416" ht="15" customHeight="1">
      <c r="A11416" t="inlineStr">
        <is>
          <t>A 10515-2025</t>
        </is>
      </c>
      <c r="B11416" s="1" t="n">
        <v>45721.423125</v>
      </c>
      <c r="C11416" s="1" t="n">
        <v>45952</v>
      </c>
      <c r="D11416" t="inlineStr">
        <is>
          <t>VÄSTRA GÖTALANDS LÄN</t>
        </is>
      </c>
      <c r="E11416" t="inlineStr">
        <is>
          <t>VÄNERSBORG</t>
        </is>
      </c>
      <c r="G11416" t="n">
        <v>2.5</v>
      </c>
      <c r="H11416" t="n">
        <v>0</v>
      </c>
      <c r="I11416" t="n">
        <v>0</v>
      </c>
      <c r="J11416" t="n">
        <v>0</v>
      </c>
      <c r="K11416" t="n">
        <v>0</v>
      </c>
      <c r="L11416" t="n">
        <v>0</v>
      </c>
      <c r="M11416" t="n">
        <v>0</v>
      </c>
      <c r="N11416" t="n">
        <v>0</v>
      </c>
      <c r="O11416" t="n">
        <v>0</v>
      </c>
      <c r="P11416" t="n">
        <v>0</v>
      </c>
      <c r="Q11416" t="n">
        <v>0</v>
      </c>
      <c r="R11416" s="2" t="inlineStr"/>
    </row>
    <row r="11417" ht="15" customHeight="1">
      <c r="A11417" t="inlineStr">
        <is>
          <t>A 11076-2025</t>
        </is>
      </c>
      <c r="B11417" s="1" t="n">
        <v>45723.5541087963</v>
      </c>
      <c r="C11417" s="1" t="n">
        <v>45952</v>
      </c>
      <c r="D11417" t="inlineStr">
        <is>
          <t>VÄSTRA GÖTALANDS LÄN</t>
        </is>
      </c>
      <c r="E11417" t="inlineStr">
        <is>
          <t>UDDEVALLA</t>
        </is>
      </c>
      <c r="G11417" t="n">
        <v>3.3</v>
      </c>
      <c r="H11417" t="n">
        <v>0</v>
      </c>
      <c r="I11417" t="n">
        <v>0</v>
      </c>
      <c r="J11417" t="n">
        <v>0</v>
      </c>
      <c r="K11417" t="n">
        <v>0</v>
      </c>
      <c r="L11417" t="n">
        <v>0</v>
      </c>
      <c r="M11417" t="n">
        <v>0</v>
      </c>
      <c r="N11417" t="n">
        <v>0</v>
      </c>
      <c r="O11417" t="n">
        <v>0</v>
      </c>
      <c r="P11417" t="n">
        <v>0</v>
      </c>
      <c r="Q11417" t="n">
        <v>0</v>
      </c>
      <c r="R11417" s="2" t="inlineStr"/>
    </row>
    <row r="11418" ht="15" customHeight="1">
      <c r="A11418" t="inlineStr">
        <is>
          <t>A 46420-2024</t>
        </is>
      </c>
      <c r="B11418" s="1" t="n">
        <v>45582.46026620371</v>
      </c>
      <c r="C11418" s="1" t="n">
        <v>45952</v>
      </c>
      <c r="D11418" t="inlineStr">
        <is>
          <t>VÄSTRA GÖTALANDS LÄN</t>
        </is>
      </c>
      <c r="E11418" t="inlineStr">
        <is>
          <t>BORÅS</t>
        </is>
      </c>
      <c r="G11418" t="n">
        <v>1.2</v>
      </c>
      <c r="H11418" t="n">
        <v>0</v>
      </c>
      <c r="I11418" t="n">
        <v>0</v>
      </c>
      <c r="J11418" t="n">
        <v>0</v>
      </c>
      <c r="K11418" t="n">
        <v>0</v>
      </c>
      <c r="L11418" t="n">
        <v>0</v>
      </c>
      <c r="M11418" t="n">
        <v>0</v>
      </c>
      <c r="N11418" t="n">
        <v>0</v>
      </c>
      <c r="O11418" t="n">
        <v>0</v>
      </c>
      <c r="P11418" t="n">
        <v>0</v>
      </c>
      <c r="Q11418" t="n">
        <v>0</v>
      </c>
      <c r="R11418" s="2" t="inlineStr"/>
    </row>
    <row r="11419" ht="15" customHeight="1">
      <c r="A11419" t="inlineStr">
        <is>
          <t>A 3144-2023</t>
        </is>
      </c>
      <c r="B11419" s="1" t="n">
        <v>44946</v>
      </c>
      <c r="C11419" s="1" t="n">
        <v>45952</v>
      </c>
      <c r="D11419" t="inlineStr">
        <is>
          <t>VÄSTRA GÖTALANDS LÄN</t>
        </is>
      </c>
      <c r="E11419" t="inlineStr">
        <is>
          <t>SKARA</t>
        </is>
      </c>
      <c r="G11419" t="n">
        <v>7.3</v>
      </c>
      <c r="H11419" t="n">
        <v>0</v>
      </c>
      <c r="I11419" t="n">
        <v>0</v>
      </c>
      <c r="J11419" t="n">
        <v>0</v>
      </c>
      <c r="K11419" t="n">
        <v>0</v>
      </c>
      <c r="L11419" t="n">
        <v>0</v>
      </c>
      <c r="M11419" t="n">
        <v>0</v>
      </c>
      <c r="N11419" t="n">
        <v>0</v>
      </c>
      <c r="O11419" t="n">
        <v>0</v>
      </c>
      <c r="P11419" t="n">
        <v>0</v>
      </c>
      <c r="Q11419" t="n">
        <v>0</v>
      </c>
      <c r="R11419" s="2" t="inlineStr"/>
    </row>
    <row r="11420" ht="15" customHeight="1">
      <c r="A11420" t="inlineStr">
        <is>
          <t>A 18637-2023</t>
        </is>
      </c>
      <c r="B11420" s="1" t="n">
        <v>45043</v>
      </c>
      <c r="C11420" s="1" t="n">
        <v>45952</v>
      </c>
      <c r="D11420" t="inlineStr">
        <is>
          <t>VÄSTRA GÖTALANDS LÄN</t>
        </is>
      </c>
      <c r="E11420" t="inlineStr">
        <is>
          <t>ALE</t>
        </is>
      </c>
      <c r="G11420" t="n">
        <v>3.6</v>
      </c>
      <c r="H11420" t="n">
        <v>0</v>
      </c>
      <c r="I11420" t="n">
        <v>0</v>
      </c>
      <c r="J11420" t="n">
        <v>0</v>
      </c>
      <c r="K11420" t="n">
        <v>0</v>
      </c>
      <c r="L11420" t="n">
        <v>0</v>
      </c>
      <c r="M11420" t="n">
        <v>0</v>
      </c>
      <c r="N11420" t="n">
        <v>0</v>
      </c>
      <c r="O11420" t="n">
        <v>0</v>
      </c>
      <c r="P11420" t="n">
        <v>0</v>
      </c>
      <c r="Q11420" t="n">
        <v>0</v>
      </c>
      <c r="R11420" s="2" t="inlineStr"/>
    </row>
    <row r="11421" ht="15" customHeight="1">
      <c r="A11421" t="inlineStr">
        <is>
          <t>A 24086-2025</t>
        </is>
      </c>
      <c r="B11421" s="1" t="n">
        <v>45795</v>
      </c>
      <c r="C11421" s="1" t="n">
        <v>45952</v>
      </c>
      <c r="D11421" t="inlineStr">
        <is>
          <t>VÄSTRA GÖTALANDS LÄN</t>
        </is>
      </c>
      <c r="E11421" t="inlineStr">
        <is>
          <t>SOTENÄS</t>
        </is>
      </c>
      <c r="G11421" t="n">
        <v>0.7</v>
      </c>
      <c r="H11421" t="n">
        <v>0</v>
      </c>
      <c r="I11421" t="n">
        <v>0</v>
      </c>
      <c r="J11421" t="n">
        <v>0</v>
      </c>
      <c r="K11421" t="n">
        <v>0</v>
      </c>
      <c r="L11421" t="n">
        <v>0</v>
      </c>
      <c r="M11421" t="n">
        <v>0</v>
      </c>
      <c r="N11421" t="n">
        <v>0</v>
      </c>
      <c r="O11421" t="n">
        <v>0</v>
      </c>
      <c r="P11421" t="n">
        <v>0</v>
      </c>
      <c r="Q11421" t="n">
        <v>0</v>
      </c>
      <c r="R11421" s="2" t="inlineStr"/>
    </row>
    <row r="11422" ht="15" customHeight="1">
      <c r="A11422" t="inlineStr">
        <is>
          <t>A 27760-2025</t>
        </is>
      </c>
      <c r="B11422" s="1" t="n">
        <v>45816.57043981482</v>
      </c>
      <c r="C11422" s="1" t="n">
        <v>45952</v>
      </c>
      <c r="D11422" t="inlineStr">
        <is>
          <t>VÄSTRA GÖTALANDS LÄN</t>
        </is>
      </c>
      <c r="E11422" t="inlineStr">
        <is>
          <t>TRANEMO</t>
        </is>
      </c>
      <c r="G11422" t="n">
        <v>6.4</v>
      </c>
      <c r="H11422" t="n">
        <v>0</v>
      </c>
      <c r="I11422" t="n">
        <v>0</v>
      </c>
      <c r="J11422" t="n">
        <v>0</v>
      </c>
      <c r="K11422" t="n">
        <v>0</v>
      </c>
      <c r="L11422" t="n">
        <v>0</v>
      </c>
      <c r="M11422" t="n">
        <v>0</v>
      </c>
      <c r="N11422" t="n">
        <v>0</v>
      </c>
      <c r="O11422" t="n">
        <v>0</v>
      </c>
      <c r="P11422" t="n">
        <v>0</v>
      </c>
      <c r="Q11422" t="n">
        <v>0</v>
      </c>
      <c r="R11422" s="2" t="inlineStr"/>
    </row>
    <row r="11423" ht="15" customHeight="1">
      <c r="A11423" t="inlineStr">
        <is>
          <t>A 27785-2025</t>
        </is>
      </c>
      <c r="B11423" s="1" t="n">
        <v>45816.69167824074</v>
      </c>
      <c r="C11423" s="1" t="n">
        <v>45952</v>
      </c>
      <c r="D11423" t="inlineStr">
        <is>
          <t>VÄSTRA GÖTALANDS LÄN</t>
        </is>
      </c>
      <c r="E11423" t="inlineStr">
        <is>
          <t>SVENLJUNGA</t>
        </is>
      </c>
      <c r="G11423" t="n">
        <v>2.2</v>
      </c>
      <c r="H11423" t="n">
        <v>0</v>
      </c>
      <c r="I11423" t="n">
        <v>0</v>
      </c>
      <c r="J11423" t="n">
        <v>0</v>
      </c>
      <c r="K11423" t="n">
        <v>0</v>
      </c>
      <c r="L11423" t="n">
        <v>0</v>
      </c>
      <c r="M11423" t="n">
        <v>0</v>
      </c>
      <c r="N11423" t="n">
        <v>0</v>
      </c>
      <c r="O11423" t="n">
        <v>0</v>
      </c>
      <c r="P11423" t="n">
        <v>0</v>
      </c>
      <c r="Q11423" t="n">
        <v>0</v>
      </c>
      <c r="R11423" s="2" t="inlineStr"/>
    </row>
    <row r="11424" ht="15" customHeight="1">
      <c r="A11424" t="inlineStr">
        <is>
          <t>A 50901-2025</t>
        </is>
      </c>
      <c r="B11424" s="1" t="n">
        <v>45946.64501157407</v>
      </c>
      <c r="C11424" s="1" t="n">
        <v>45952</v>
      </c>
      <c r="D11424" t="inlineStr">
        <is>
          <t>VÄSTRA GÖTALANDS LÄN</t>
        </is>
      </c>
      <c r="E11424" t="inlineStr">
        <is>
          <t>VÄNERSBORG</t>
        </is>
      </c>
      <c r="G11424" t="n">
        <v>2.5</v>
      </c>
      <c r="H11424" t="n">
        <v>0</v>
      </c>
      <c r="I11424" t="n">
        <v>0</v>
      </c>
      <c r="J11424" t="n">
        <v>0</v>
      </c>
      <c r="K11424" t="n">
        <v>0</v>
      </c>
      <c r="L11424" t="n">
        <v>0</v>
      </c>
      <c r="M11424" t="n">
        <v>0</v>
      </c>
      <c r="N11424" t="n">
        <v>0</v>
      </c>
      <c r="O11424" t="n">
        <v>0</v>
      </c>
      <c r="P11424" t="n">
        <v>0</v>
      </c>
      <c r="Q11424" t="n">
        <v>0</v>
      </c>
      <c r="R11424" s="2" t="inlineStr"/>
    </row>
    <row r="11425" ht="15" customHeight="1">
      <c r="A11425" t="inlineStr">
        <is>
          <t>A 27792-2025</t>
        </is>
      </c>
      <c r="B11425" s="1" t="n">
        <v>45816.72797453704</v>
      </c>
      <c r="C11425" s="1" t="n">
        <v>45952</v>
      </c>
      <c r="D11425" t="inlineStr">
        <is>
          <t>VÄSTRA GÖTALANDS LÄN</t>
        </is>
      </c>
      <c r="E11425" t="inlineStr">
        <is>
          <t>FALKÖPING</t>
        </is>
      </c>
      <c r="G11425" t="n">
        <v>2.5</v>
      </c>
      <c r="H11425" t="n">
        <v>0</v>
      </c>
      <c r="I11425" t="n">
        <v>0</v>
      </c>
      <c r="J11425" t="n">
        <v>0</v>
      </c>
      <c r="K11425" t="n">
        <v>0</v>
      </c>
      <c r="L11425" t="n">
        <v>0</v>
      </c>
      <c r="M11425" t="n">
        <v>0</v>
      </c>
      <c r="N11425" t="n">
        <v>0</v>
      </c>
      <c r="O11425" t="n">
        <v>0</v>
      </c>
      <c r="P11425" t="n">
        <v>0</v>
      </c>
      <c r="Q11425" t="n">
        <v>0</v>
      </c>
      <c r="R11425" s="2" t="inlineStr"/>
    </row>
    <row r="11426" ht="15" customHeight="1">
      <c r="A11426" t="inlineStr">
        <is>
          <t>A 42351-2025</t>
        </is>
      </c>
      <c r="B11426" s="1" t="n">
        <v>45904.81601851852</v>
      </c>
      <c r="C11426" s="1" t="n">
        <v>45952</v>
      </c>
      <c r="D11426" t="inlineStr">
        <is>
          <t>VÄSTRA GÖTALANDS LÄN</t>
        </is>
      </c>
      <c r="E11426" t="inlineStr">
        <is>
          <t>DALS-ED</t>
        </is>
      </c>
      <c r="F11426" t="inlineStr">
        <is>
          <t>Övriga Aktiebolag</t>
        </is>
      </c>
      <c r="G11426" t="n">
        <v>5.2</v>
      </c>
      <c r="H11426" t="n">
        <v>0</v>
      </c>
      <c r="I11426" t="n">
        <v>0</v>
      </c>
      <c r="J11426" t="n">
        <v>0</v>
      </c>
      <c r="K11426" t="n">
        <v>0</v>
      </c>
      <c r="L11426" t="n">
        <v>0</v>
      </c>
      <c r="M11426" t="n">
        <v>0</v>
      </c>
      <c r="N11426" t="n">
        <v>0</v>
      </c>
      <c r="O11426" t="n">
        <v>0</v>
      </c>
      <c r="P11426" t="n">
        <v>0</v>
      </c>
      <c r="Q11426" t="n">
        <v>0</v>
      </c>
      <c r="R11426" s="2" t="inlineStr"/>
    </row>
    <row r="11427" ht="15" customHeight="1">
      <c r="A11427" t="inlineStr">
        <is>
          <t>A 27838-2025</t>
        </is>
      </c>
      <c r="B11427" s="1" t="n">
        <v>45817.37365740741</v>
      </c>
      <c r="C11427" s="1" t="n">
        <v>45952</v>
      </c>
      <c r="D11427" t="inlineStr">
        <is>
          <t>VÄSTRA GÖTALANDS LÄN</t>
        </is>
      </c>
      <c r="E11427" t="inlineStr">
        <is>
          <t>BENGTSFORS</t>
        </is>
      </c>
      <c r="F11427" t="inlineStr">
        <is>
          <t>Övriga Aktiebolag</t>
        </is>
      </c>
      <c r="G11427" t="n">
        <v>2.2</v>
      </c>
      <c r="H11427" t="n">
        <v>0</v>
      </c>
      <c r="I11427" t="n">
        <v>0</v>
      </c>
      <c r="J11427" t="n">
        <v>0</v>
      </c>
      <c r="K11427" t="n">
        <v>0</v>
      </c>
      <c r="L11427" t="n">
        <v>0</v>
      </c>
      <c r="M11427" t="n">
        <v>0</v>
      </c>
      <c r="N11427" t="n">
        <v>0</v>
      </c>
      <c r="O11427" t="n">
        <v>0</v>
      </c>
      <c r="P11427" t="n">
        <v>0</v>
      </c>
      <c r="Q11427" t="n">
        <v>0</v>
      </c>
      <c r="R11427" s="2" t="inlineStr"/>
    </row>
    <row r="11428" ht="15" customHeight="1">
      <c r="A11428" t="inlineStr">
        <is>
          <t>A 23441-2021</t>
        </is>
      </c>
      <c r="B11428" s="1" t="n">
        <v>44333</v>
      </c>
      <c r="C11428" s="1" t="n">
        <v>45952</v>
      </c>
      <c r="D11428" t="inlineStr">
        <is>
          <t>VÄSTRA GÖTALANDS LÄN</t>
        </is>
      </c>
      <c r="E11428" t="inlineStr">
        <is>
          <t>VÄNERSBORG</t>
        </is>
      </c>
      <c r="G11428" t="n">
        <v>2.9</v>
      </c>
      <c r="H11428" t="n">
        <v>0</v>
      </c>
      <c r="I11428" t="n">
        <v>0</v>
      </c>
      <c r="J11428" t="n">
        <v>0</v>
      </c>
      <c r="K11428" t="n">
        <v>0</v>
      </c>
      <c r="L11428" t="n">
        <v>0</v>
      </c>
      <c r="M11428" t="n">
        <v>0</v>
      </c>
      <c r="N11428" t="n">
        <v>0</v>
      </c>
      <c r="O11428" t="n">
        <v>0</v>
      </c>
      <c r="P11428" t="n">
        <v>0</v>
      </c>
      <c r="Q11428" t="n">
        <v>0</v>
      </c>
      <c r="R11428" s="2" t="inlineStr"/>
    </row>
    <row r="11429" ht="15" customHeight="1">
      <c r="A11429" t="inlineStr">
        <is>
          <t>A 2605-2024</t>
        </is>
      </c>
      <c r="B11429" s="1" t="n">
        <v>45313.7355787037</v>
      </c>
      <c r="C11429" s="1" t="n">
        <v>45952</v>
      </c>
      <c r="D11429" t="inlineStr">
        <is>
          <t>VÄSTRA GÖTALANDS LÄN</t>
        </is>
      </c>
      <c r="E11429" t="inlineStr">
        <is>
          <t>HÄRRYDA</t>
        </is>
      </c>
      <c r="G11429" t="n">
        <v>1.5</v>
      </c>
      <c r="H11429" t="n">
        <v>0</v>
      </c>
      <c r="I11429" t="n">
        <v>0</v>
      </c>
      <c r="J11429" t="n">
        <v>0</v>
      </c>
      <c r="K11429" t="n">
        <v>0</v>
      </c>
      <c r="L11429" t="n">
        <v>0</v>
      </c>
      <c r="M11429" t="n">
        <v>0</v>
      </c>
      <c r="N11429" t="n">
        <v>0</v>
      </c>
      <c r="O11429" t="n">
        <v>0</v>
      </c>
      <c r="P11429" t="n">
        <v>0</v>
      </c>
      <c r="Q11429" t="n">
        <v>0</v>
      </c>
      <c r="R11429" s="2" t="inlineStr"/>
    </row>
    <row r="11430" ht="15" customHeight="1">
      <c r="A11430" t="inlineStr">
        <is>
          <t>A 56169-2024</t>
        </is>
      </c>
      <c r="B11430" s="1" t="n">
        <v>45624.55305555555</v>
      </c>
      <c r="C11430" s="1" t="n">
        <v>45952</v>
      </c>
      <c r="D11430" t="inlineStr">
        <is>
          <t>VÄSTRA GÖTALANDS LÄN</t>
        </is>
      </c>
      <c r="E11430" t="inlineStr">
        <is>
          <t>GÖTENE</t>
        </is>
      </c>
      <c r="G11430" t="n">
        <v>19.7</v>
      </c>
      <c r="H11430" t="n">
        <v>0</v>
      </c>
      <c r="I11430" t="n">
        <v>0</v>
      </c>
      <c r="J11430" t="n">
        <v>0</v>
      </c>
      <c r="K11430" t="n">
        <v>0</v>
      </c>
      <c r="L11430" t="n">
        <v>0</v>
      </c>
      <c r="M11430" t="n">
        <v>0</v>
      </c>
      <c r="N11430" t="n">
        <v>0</v>
      </c>
      <c r="O11430" t="n">
        <v>0</v>
      </c>
      <c r="P11430" t="n">
        <v>0</v>
      </c>
      <c r="Q11430" t="n">
        <v>0</v>
      </c>
      <c r="R11430" s="2" t="inlineStr"/>
    </row>
    <row r="11431" ht="15" customHeight="1">
      <c r="A11431" t="inlineStr">
        <is>
          <t>A 44573-2024</t>
        </is>
      </c>
      <c r="B11431" s="1" t="n">
        <v>45574</v>
      </c>
      <c r="C11431" s="1" t="n">
        <v>45952</v>
      </c>
      <c r="D11431" t="inlineStr">
        <is>
          <t>VÄSTRA GÖTALANDS LÄN</t>
        </is>
      </c>
      <c r="E11431" t="inlineStr">
        <is>
          <t>MARK</t>
        </is>
      </c>
      <c r="G11431" t="n">
        <v>1.4</v>
      </c>
      <c r="H11431" t="n">
        <v>0</v>
      </c>
      <c r="I11431" t="n">
        <v>0</v>
      </c>
      <c r="J11431" t="n">
        <v>0</v>
      </c>
      <c r="K11431" t="n">
        <v>0</v>
      </c>
      <c r="L11431" t="n">
        <v>0</v>
      </c>
      <c r="M11431" t="n">
        <v>0</v>
      </c>
      <c r="N11431" t="n">
        <v>0</v>
      </c>
      <c r="O11431" t="n">
        <v>0</v>
      </c>
      <c r="P11431" t="n">
        <v>0</v>
      </c>
      <c r="Q11431" t="n">
        <v>0</v>
      </c>
      <c r="R11431" s="2" t="inlineStr"/>
    </row>
    <row r="11432" ht="15" customHeight="1">
      <c r="A11432" t="inlineStr">
        <is>
          <t>A 59933-2023</t>
        </is>
      </c>
      <c r="B11432" s="1" t="n">
        <v>45257</v>
      </c>
      <c r="C11432" s="1" t="n">
        <v>45952</v>
      </c>
      <c r="D11432" t="inlineStr">
        <is>
          <t>VÄSTRA GÖTALANDS LÄN</t>
        </is>
      </c>
      <c r="E11432" t="inlineStr">
        <is>
          <t>ALE</t>
        </is>
      </c>
      <c r="G11432" t="n">
        <v>2.7</v>
      </c>
      <c r="H11432" t="n">
        <v>0</v>
      </c>
      <c r="I11432" t="n">
        <v>0</v>
      </c>
      <c r="J11432" t="n">
        <v>0</v>
      </c>
      <c r="K11432" t="n">
        <v>0</v>
      </c>
      <c r="L11432" t="n">
        <v>0</v>
      </c>
      <c r="M11432" t="n">
        <v>0</v>
      </c>
      <c r="N11432" t="n">
        <v>0</v>
      </c>
      <c r="O11432" t="n">
        <v>0</v>
      </c>
      <c r="P11432" t="n">
        <v>0</v>
      </c>
      <c r="Q11432" t="n">
        <v>0</v>
      </c>
      <c r="R11432" s="2" t="inlineStr"/>
    </row>
    <row r="11433" ht="15" customHeight="1">
      <c r="A11433" t="inlineStr">
        <is>
          <t>A 345-2024</t>
        </is>
      </c>
      <c r="B11433" s="1" t="n">
        <v>45295</v>
      </c>
      <c r="C11433" s="1" t="n">
        <v>45952</v>
      </c>
      <c r="D11433" t="inlineStr">
        <is>
          <t>VÄSTRA GÖTALANDS LÄN</t>
        </is>
      </c>
      <c r="E11433" t="inlineStr">
        <is>
          <t>ULRICEHAMN</t>
        </is>
      </c>
      <c r="G11433" t="n">
        <v>6</v>
      </c>
      <c r="H11433" t="n">
        <v>0</v>
      </c>
      <c r="I11433" t="n">
        <v>0</v>
      </c>
      <c r="J11433" t="n">
        <v>0</v>
      </c>
      <c r="K11433" t="n">
        <v>0</v>
      </c>
      <c r="L11433" t="n">
        <v>0</v>
      </c>
      <c r="M11433" t="n">
        <v>0</v>
      </c>
      <c r="N11433" t="n">
        <v>0</v>
      </c>
      <c r="O11433" t="n">
        <v>0</v>
      </c>
      <c r="P11433" t="n">
        <v>0</v>
      </c>
      <c r="Q11433" t="n">
        <v>0</v>
      </c>
      <c r="R11433" s="2" t="inlineStr"/>
    </row>
    <row r="11434" ht="15" customHeight="1">
      <c r="A11434" t="inlineStr">
        <is>
          <t>A 2412-2024</t>
        </is>
      </c>
      <c r="B11434" s="1" t="n">
        <v>45310</v>
      </c>
      <c r="C11434" s="1" t="n">
        <v>45952</v>
      </c>
      <c r="D11434" t="inlineStr">
        <is>
          <t>VÄSTRA GÖTALANDS LÄN</t>
        </is>
      </c>
      <c r="E11434" t="inlineStr">
        <is>
          <t>STENUNGSUND</t>
        </is>
      </c>
      <c r="G11434" t="n">
        <v>1.1</v>
      </c>
      <c r="H11434" t="n">
        <v>0</v>
      </c>
      <c r="I11434" t="n">
        <v>0</v>
      </c>
      <c r="J11434" t="n">
        <v>0</v>
      </c>
      <c r="K11434" t="n">
        <v>0</v>
      </c>
      <c r="L11434" t="n">
        <v>0</v>
      </c>
      <c r="M11434" t="n">
        <v>0</v>
      </c>
      <c r="N11434" t="n">
        <v>0</v>
      </c>
      <c r="O11434" t="n">
        <v>0</v>
      </c>
      <c r="P11434" t="n">
        <v>0</v>
      </c>
      <c r="Q11434" t="n">
        <v>0</v>
      </c>
      <c r="R11434" s="2" t="inlineStr"/>
    </row>
    <row r="11435" ht="15" customHeight="1">
      <c r="A11435" t="inlineStr">
        <is>
          <t>A 2708-2024</t>
        </is>
      </c>
      <c r="B11435" s="1" t="n">
        <v>45314</v>
      </c>
      <c r="C11435" s="1" t="n">
        <v>45952</v>
      </c>
      <c r="D11435" t="inlineStr">
        <is>
          <t>VÄSTRA GÖTALANDS LÄN</t>
        </is>
      </c>
      <c r="E11435" t="inlineStr">
        <is>
          <t>SKÖVDE</t>
        </is>
      </c>
      <c r="G11435" t="n">
        <v>2.9</v>
      </c>
      <c r="H11435" t="n">
        <v>0</v>
      </c>
      <c r="I11435" t="n">
        <v>0</v>
      </c>
      <c r="J11435" t="n">
        <v>0</v>
      </c>
      <c r="K11435" t="n">
        <v>0</v>
      </c>
      <c r="L11435" t="n">
        <v>0</v>
      </c>
      <c r="M11435" t="n">
        <v>0</v>
      </c>
      <c r="N11435" t="n">
        <v>0</v>
      </c>
      <c r="O11435" t="n">
        <v>0</v>
      </c>
      <c r="P11435" t="n">
        <v>0</v>
      </c>
      <c r="Q11435" t="n">
        <v>0</v>
      </c>
      <c r="R11435" s="2" t="inlineStr"/>
    </row>
    <row r="11436" ht="15" customHeight="1">
      <c r="A11436" t="inlineStr">
        <is>
          <t>A 7332-2024</t>
        </is>
      </c>
      <c r="B11436" s="1" t="n">
        <v>45345.40760416666</v>
      </c>
      <c r="C11436" s="1" t="n">
        <v>45952</v>
      </c>
      <c r="D11436" t="inlineStr">
        <is>
          <t>VÄSTRA GÖTALANDS LÄN</t>
        </is>
      </c>
      <c r="E11436" t="inlineStr">
        <is>
          <t>HERRLJUNGA</t>
        </is>
      </c>
      <c r="G11436" t="n">
        <v>2.3</v>
      </c>
      <c r="H11436" t="n">
        <v>0</v>
      </c>
      <c r="I11436" t="n">
        <v>0</v>
      </c>
      <c r="J11436" t="n">
        <v>0</v>
      </c>
      <c r="K11436" t="n">
        <v>0</v>
      </c>
      <c r="L11436" t="n">
        <v>0</v>
      </c>
      <c r="M11436" t="n">
        <v>0</v>
      </c>
      <c r="N11436" t="n">
        <v>0</v>
      </c>
      <c r="O11436" t="n">
        <v>0</v>
      </c>
      <c r="P11436" t="n">
        <v>0</v>
      </c>
      <c r="Q11436" t="n">
        <v>0</v>
      </c>
      <c r="R11436" s="2" t="inlineStr"/>
    </row>
    <row r="11437" ht="15" customHeight="1">
      <c r="A11437" t="inlineStr">
        <is>
          <t>A 36803-2024</t>
        </is>
      </c>
      <c r="B11437" s="1" t="n">
        <v>45538.46005787037</v>
      </c>
      <c r="C11437" s="1" t="n">
        <v>45952</v>
      </c>
      <c r="D11437" t="inlineStr">
        <is>
          <t>VÄSTRA GÖTALANDS LÄN</t>
        </is>
      </c>
      <c r="E11437" t="inlineStr">
        <is>
          <t>DALS-ED</t>
        </is>
      </c>
      <c r="G11437" t="n">
        <v>2.3</v>
      </c>
      <c r="H11437" t="n">
        <v>0</v>
      </c>
      <c r="I11437" t="n">
        <v>0</v>
      </c>
      <c r="J11437" t="n">
        <v>0</v>
      </c>
      <c r="K11437" t="n">
        <v>0</v>
      </c>
      <c r="L11437" t="n">
        <v>0</v>
      </c>
      <c r="M11437" t="n">
        <v>0</v>
      </c>
      <c r="N11437" t="n">
        <v>0</v>
      </c>
      <c r="O11437" t="n">
        <v>0</v>
      </c>
      <c r="P11437" t="n">
        <v>0</v>
      </c>
      <c r="Q11437" t="n">
        <v>0</v>
      </c>
      <c r="R11437" s="2" t="inlineStr"/>
    </row>
    <row r="11438" ht="15" customHeight="1">
      <c r="A11438" t="inlineStr">
        <is>
          <t>A 1726-2025</t>
        </is>
      </c>
      <c r="B11438" s="1" t="n">
        <v>45671.35555555556</v>
      </c>
      <c r="C11438" s="1" t="n">
        <v>45952</v>
      </c>
      <c r="D11438" t="inlineStr">
        <is>
          <t>VÄSTRA GÖTALANDS LÄN</t>
        </is>
      </c>
      <c r="E11438" t="inlineStr">
        <is>
          <t>ULRICEHAMN</t>
        </is>
      </c>
      <c r="G11438" t="n">
        <v>2.5</v>
      </c>
      <c r="H11438" t="n">
        <v>0</v>
      </c>
      <c r="I11438" t="n">
        <v>0</v>
      </c>
      <c r="J11438" t="n">
        <v>0</v>
      </c>
      <c r="K11438" t="n">
        <v>0</v>
      </c>
      <c r="L11438" t="n">
        <v>0</v>
      </c>
      <c r="M11438" t="n">
        <v>0</v>
      </c>
      <c r="N11438" t="n">
        <v>0</v>
      </c>
      <c r="O11438" t="n">
        <v>0</v>
      </c>
      <c r="P11438" t="n">
        <v>0</v>
      </c>
      <c r="Q11438" t="n">
        <v>0</v>
      </c>
      <c r="R11438" s="2" t="inlineStr"/>
    </row>
    <row r="11439" ht="15" customHeight="1">
      <c r="A11439" t="inlineStr">
        <is>
          <t>A 20685-2024</t>
        </is>
      </c>
      <c r="B11439" s="1" t="n">
        <v>45436.58555555555</v>
      </c>
      <c r="C11439" s="1" t="n">
        <v>45952</v>
      </c>
      <c r="D11439" t="inlineStr">
        <is>
          <t>VÄSTRA GÖTALANDS LÄN</t>
        </is>
      </c>
      <c r="E11439" t="inlineStr">
        <is>
          <t>LYSEKIL</t>
        </is>
      </c>
      <c r="G11439" t="n">
        <v>1.5</v>
      </c>
      <c r="H11439" t="n">
        <v>0</v>
      </c>
      <c r="I11439" t="n">
        <v>0</v>
      </c>
      <c r="J11439" t="n">
        <v>0</v>
      </c>
      <c r="K11439" t="n">
        <v>0</v>
      </c>
      <c r="L11439" t="n">
        <v>0</v>
      </c>
      <c r="M11439" t="n">
        <v>0</v>
      </c>
      <c r="N11439" t="n">
        <v>0</v>
      </c>
      <c r="O11439" t="n">
        <v>0</v>
      </c>
      <c r="P11439" t="n">
        <v>0</v>
      </c>
      <c r="Q11439" t="n">
        <v>0</v>
      </c>
      <c r="R11439" s="2" t="inlineStr"/>
    </row>
    <row r="11440" ht="15" customHeight="1">
      <c r="A11440" t="inlineStr">
        <is>
          <t>A 45464-2024</t>
        </is>
      </c>
      <c r="B11440" s="1" t="n">
        <v>45576.70123842593</v>
      </c>
      <c r="C11440" s="1" t="n">
        <v>45952</v>
      </c>
      <c r="D11440" t="inlineStr">
        <is>
          <t>VÄSTRA GÖTALANDS LÄN</t>
        </is>
      </c>
      <c r="E11440" t="inlineStr">
        <is>
          <t>TIDAHOLM</t>
        </is>
      </c>
      <c r="G11440" t="n">
        <v>4.1</v>
      </c>
      <c r="H11440" t="n">
        <v>0</v>
      </c>
      <c r="I11440" t="n">
        <v>0</v>
      </c>
      <c r="J11440" t="n">
        <v>0</v>
      </c>
      <c r="K11440" t="n">
        <v>0</v>
      </c>
      <c r="L11440" t="n">
        <v>0</v>
      </c>
      <c r="M11440" t="n">
        <v>0</v>
      </c>
      <c r="N11440" t="n">
        <v>0</v>
      </c>
      <c r="O11440" t="n">
        <v>0</v>
      </c>
      <c r="P11440" t="n">
        <v>0</v>
      </c>
      <c r="Q11440" t="n">
        <v>0</v>
      </c>
      <c r="R11440" s="2" t="inlineStr"/>
    </row>
    <row r="11441" ht="15" customHeight="1">
      <c r="A11441" t="inlineStr">
        <is>
          <t>A 4783-2023</t>
        </is>
      </c>
      <c r="B11441" s="1" t="n">
        <v>44957.59467592592</v>
      </c>
      <c r="C11441" s="1" t="n">
        <v>45952</v>
      </c>
      <c r="D11441" t="inlineStr">
        <is>
          <t>VÄSTRA GÖTALANDS LÄN</t>
        </is>
      </c>
      <c r="E11441" t="inlineStr">
        <is>
          <t>HJO</t>
        </is>
      </c>
      <c r="G11441" t="n">
        <v>0.5</v>
      </c>
      <c r="H11441" t="n">
        <v>0</v>
      </c>
      <c r="I11441" t="n">
        <v>0</v>
      </c>
      <c r="J11441" t="n">
        <v>0</v>
      </c>
      <c r="K11441" t="n">
        <v>0</v>
      </c>
      <c r="L11441" t="n">
        <v>0</v>
      </c>
      <c r="M11441" t="n">
        <v>0</v>
      </c>
      <c r="N11441" t="n">
        <v>0</v>
      </c>
      <c r="O11441" t="n">
        <v>0</v>
      </c>
      <c r="P11441" t="n">
        <v>0</v>
      </c>
      <c r="Q11441" t="n">
        <v>0</v>
      </c>
      <c r="R11441" s="2" t="inlineStr"/>
    </row>
    <row r="11442" ht="15" customHeight="1">
      <c r="A11442" t="inlineStr">
        <is>
          <t>A 55991-2022</t>
        </is>
      </c>
      <c r="B11442" s="1" t="n">
        <v>44889</v>
      </c>
      <c r="C11442" s="1" t="n">
        <v>45952</v>
      </c>
      <c r="D11442" t="inlineStr">
        <is>
          <t>VÄSTRA GÖTALANDS LÄN</t>
        </is>
      </c>
      <c r="E11442" t="inlineStr">
        <is>
          <t>LILLA EDET</t>
        </is>
      </c>
      <c r="G11442" t="n">
        <v>0.9</v>
      </c>
      <c r="H11442" t="n">
        <v>0</v>
      </c>
      <c r="I11442" t="n">
        <v>0</v>
      </c>
      <c r="J11442" t="n">
        <v>0</v>
      </c>
      <c r="K11442" t="n">
        <v>0</v>
      </c>
      <c r="L11442" t="n">
        <v>0</v>
      </c>
      <c r="M11442" t="n">
        <v>0</v>
      </c>
      <c r="N11442" t="n">
        <v>0</v>
      </c>
      <c r="O11442" t="n">
        <v>0</v>
      </c>
      <c r="P11442" t="n">
        <v>0</v>
      </c>
      <c r="Q11442" t="n">
        <v>0</v>
      </c>
      <c r="R11442" s="2" t="inlineStr"/>
    </row>
    <row r="11443" ht="15" customHeight="1">
      <c r="A11443" t="inlineStr">
        <is>
          <t>A 42473-2025</t>
        </is>
      </c>
      <c r="B11443" s="1" t="n">
        <v>45905.46538194444</v>
      </c>
      <c r="C11443" s="1" t="n">
        <v>45952</v>
      </c>
      <c r="D11443" t="inlineStr">
        <is>
          <t>VÄSTRA GÖTALANDS LÄN</t>
        </is>
      </c>
      <c r="E11443" t="inlineStr">
        <is>
          <t>TANUM</t>
        </is>
      </c>
      <c r="G11443" t="n">
        <v>0.8</v>
      </c>
      <c r="H11443" t="n">
        <v>0</v>
      </c>
      <c r="I11443" t="n">
        <v>0</v>
      </c>
      <c r="J11443" t="n">
        <v>0</v>
      </c>
      <c r="K11443" t="n">
        <v>0</v>
      </c>
      <c r="L11443" t="n">
        <v>0</v>
      </c>
      <c r="M11443" t="n">
        <v>0</v>
      </c>
      <c r="N11443" t="n">
        <v>0</v>
      </c>
      <c r="O11443" t="n">
        <v>0</v>
      </c>
      <c r="P11443" t="n">
        <v>0</v>
      </c>
      <c r="Q11443" t="n">
        <v>0</v>
      </c>
      <c r="R11443" s="2" t="inlineStr"/>
    </row>
    <row r="11444" ht="15" customHeight="1">
      <c r="A11444" t="inlineStr">
        <is>
          <t>A 50960-2025</t>
        </is>
      </c>
      <c r="B11444" s="1" t="n">
        <v>45946.84063657407</v>
      </c>
      <c r="C11444" s="1" t="n">
        <v>45952</v>
      </c>
      <c r="D11444" t="inlineStr">
        <is>
          <t>VÄSTRA GÖTALANDS LÄN</t>
        </is>
      </c>
      <c r="E11444" t="inlineStr">
        <is>
          <t>FALKÖPING</t>
        </is>
      </c>
      <c r="G11444" t="n">
        <v>0.7</v>
      </c>
      <c r="H11444" t="n">
        <v>0</v>
      </c>
      <c r="I11444" t="n">
        <v>0</v>
      </c>
      <c r="J11444" t="n">
        <v>0</v>
      </c>
      <c r="K11444" t="n">
        <v>0</v>
      </c>
      <c r="L11444" t="n">
        <v>0</v>
      </c>
      <c r="M11444" t="n">
        <v>0</v>
      </c>
      <c r="N11444" t="n">
        <v>0</v>
      </c>
      <c r="O11444" t="n">
        <v>0</v>
      </c>
      <c r="P11444" t="n">
        <v>0</v>
      </c>
      <c r="Q11444" t="n">
        <v>0</v>
      </c>
      <c r="R11444" s="2" t="inlineStr"/>
    </row>
    <row r="11445" ht="15" customHeight="1">
      <c r="A11445" t="inlineStr">
        <is>
          <t>A 50963-2025</t>
        </is>
      </c>
      <c r="B11445" s="1" t="n">
        <v>45946.8708449074</v>
      </c>
      <c r="C11445" s="1" t="n">
        <v>45952</v>
      </c>
      <c r="D11445" t="inlineStr">
        <is>
          <t>VÄSTRA GÖTALANDS LÄN</t>
        </is>
      </c>
      <c r="E11445" t="inlineStr">
        <is>
          <t>TANUM</t>
        </is>
      </c>
      <c r="F11445" t="inlineStr">
        <is>
          <t>Kyrkan</t>
        </is>
      </c>
      <c r="G11445" t="n">
        <v>9.1</v>
      </c>
      <c r="H11445" t="n">
        <v>0</v>
      </c>
      <c r="I11445" t="n">
        <v>0</v>
      </c>
      <c r="J11445" t="n">
        <v>0</v>
      </c>
      <c r="K11445" t="n">
        <v>0</v>
      </c>
      <c r="L11445" t="n">
        <v>0</v>
      </c>
      <c r="M11445" t="n">
        <v>0</v>
      </c>
      <c r="N11445" t="n">
        <v>0</v>
      </c>
      <c r="O11445" t="n">
        <v>0</v>
      </c>
      <c r="P11445" t="n">
        <v>0</v>
      </c>
      <c r="Q11445" t="n">
        <v>0</v>
      </c>
      <c r="R11445" s="2" t="inlineStr"/>
    </row>
    <row r="11446" ht="15" customHeight="1">
      <c r="A11446" t="inlineStr">
        <is>
          <t>A 13181-2024</t>
        </is>
      </c>
      <c r="B11446" s="1" t="n">
        <v>45386.43416666667</v>
      </c>
      <c r="C11446" s="1" t="n">
        <v>45952</v>
      </c>
      <c r="D11446" t="inlineStr">
        <is>
          <t>VÄSTRA GÖTALANDS LÄN</t>
        </is>
      </c>
      <c r="E11446" t="inlineStr">
        <is>
          <t>MARK</t>
        </is>
      </c>
      <c r="G11446" t="n">
        <v>1.3</v>
      </c>
      <c r="H11446" t="n">
        <v>0</v>
      </c>
      <c r="I11446" t="n">
        <v>0</v>
      </c>
      <c r="J11446" t="n">
        <v>0</v>
      </c>
      <c r="K11446" t="n">
        <v>0</v>
      </c>
      <c r="L11446" t="n">
        <v>0</v>
      </c>
      <c r="M11446" t="n">
        <v>0</v>
      </c>
      <c r="N11446" t="n">
        <v>0</v>
      </c>
      <c r="O11446" t="n">
        <v>0</v>
      </c>
      <c r="P11446" t="n">
        <v>0</v>
      </c>
      <c r="Q11446" t="n">
        <v>0</v>
      </c>
      <c r="R11446" s="2" t="inlineStr"/>
    </row>
    <row r="11447" ht="15" customHeight="1">
      <c r="A11447" t="inlineStr">
        <is>
          <t>A 50895-2025</t>
        </is>
      </c>
      <c r="B11447" s="1" t="n">
        <v>45946.64105324074</v>
      </c>
      <c r="C11447" s="1" t="n">
        <v>45952</v>
      </c>
      <c r="D11447" t="inlineStr">
        <is>
          <t>VÄSTRA GÖTALANDS LÄN</t>
        </is>
      </c>
      <c r="E11447" t="inlineStr">
        <is>
          <t>BORÅS</t>
        </is>
      </c>
      <c r="G11447" t="n">
        <v>2.5</v>
      </c>
      <c r="H11447" t="n">
        <v>0</v>
      </c>
      <c r="I11447" t="n">
        <v>0</v>
      </c>
      <c r="J11447" t="n">
        <v>0</v>
      </c>
      <c r="K11447" t="n">
        <v>0</v>
      </c>
      <c r="L11447" t="n">
        <v>0</v>
      </c>
      <c r="M11447" t="n">
        <v>0</v>
      </c>
      <c r="N11447" t="n">
        <v>0</v>
      </c>
      <c r="O11447" t="n">
        <v>0</v>
      </c>
      <c r="P11447" t="n">
        <v>0</v>
      </c>
      <c r="Q11447" t="n">
        <v>0</v>
      </c>
      <c r="R11447" s="2" t="inlineStr"/>
    </row>
    <row r="11448" ht="15" customHeight="1">
      <c r="A11448" t="inlineStr">
        <is>
          <t>A 13279-2024</t>
        </is>
      </c>
      <c r="B11448" s="1" t="n">
        <v>45386</v>
      </c>
      <c r="C11448" s="1" t="n">
        <v>45952</v>
      </c>
      <c r="D11448" t="inlineStr">
        <is>
          <t>VÄSTRA GÖTALANDS LÄN</t>
        </is>
      </c>
      <c r="E11448" t="inlineStr">
        <is>
          <t>GÖTENE</t>
        </is>
      </c>
      <c r="G11448" t="n">
        <v>1.3</v>
      </c>
      <c r="H11448" t="n">
        <v>0</v>
      </c>
      <c r="I11448" t="n">
        <v>0</v>
      </c>
      <c r="J11448" t="n">
        <v>0</v>
      </c>
      <c r="K11448" t="n">
        <v>0</v>
      </c>
      <c r="L11448" t="n">
        <v>0</v>
      </c>
      <c r="M11448" t="n">
        <v>0</v>
      </c>
      <c r="N11448" t="n">
        <v>0</v>
      </c>
      <c r="O11448" t="n">
        <v>0</v>
      </c>
      <c r="P11448" t="n">
        <v>0</v>
      </c>
      <c r="Q11448" t="n">
        <v>0</v>
      </c>
      <c r="R11448" s="2" t="inlineStr"/>
    </row>
    <row r="11449" ht="15" customHeight="1">
      <c r="A11449" t="inlineStr">
        <is>
          <t>A 42109-2024</t>
        </is>
      </c>
      <c r="B11449" s="1" t="n">
        <v>45562.3779050926</v>
      </c>
      <c r="C11449" s="1" t="n">
        <v>45952</v>
      </c>
      <c r="D11449" t="inlineStr">
        <is>
          <t>VÄSTRA GÖTALANDS LÄN</t>
        </is>
      </c>
      <c r="E11449" t="inlineStr">
        <is>
          <t>TÖREBODA</t>
        </is>
      </c>
      <c r="G11449" t="n">
        <v>6.2</v>
      </c>
      <c r="H11449" t="n">
        <v>0</v>
      </c>
      <c r="I11449" t="n">
        <v>0</v>
      </c>
      <c r="J11449" t="n">
        <v>0</v>
      </c>
      <c r="K11449" t="n">
        <v>0</v>
      </c>
      <c r="L11449" t="n">
        <v>0</v>
      </c>
      <c r="M11449" t="n">
        <v>0</v>
      </c>
      <c r="N11449" t="n">
        <v>0</v>
      </c>
      <c r="O11449" t="n">
        <v>0</v>
      </c>
      <c r="P11449" t="n">
        <v>0</v>
      </c>
      <c r="Q11449" t="n">
        <v>0</v>
      </c>
      <c r="R11449" s="2" t="inlineStr"/>
    </row>
    <row r="11450" ht="15" customHeight="1">
      <c r="A11450" t="inlineStr">
        <is>
          <t>A 44087-2024</t>
        </is>
      </c>
      <c r="B11450" s="1" t="n">
        <v>45572.61899305556</v>
      </c>
      <c r="C11450" s="1" t="n">
        <v>45952</v>
      </c>
      <c r="D11450" t="inlineStr">
        <is>
          <t>VÄSTRA GÖTALANDS LÄN</t>
        </is>
      </c>
      <c r="E11450" t="inlineStr">
        <is>
          <t>BENGTSFORS</t>
        </is>
      </c>
      <c r="G11450" t="n">
        <v>2</v>
      </c>
      <c r="H11450" t="n">
        <v>0</v>
      </c>
      <c r="I11450" t="n">
        <v>0</v>
      </c>
      <c r="J11450" t="n">
        <v>0</v>
      </c>
      <c r="K11450" t="n">
        <v>0</v>
      </c>
      <c r="L11450" t="n">
        <v>0</v>
      </c>
      <c r="M11450" t="n">
        <v>0</v>
      </c>
      <c r="N11450" t="n">
        <v>0</v>
      </c>
      <c r="O11450" t="n">
        <v>0</v>
      </c>
      <c r="P11450" t="n">
        <v>0</v>
      </c>
      <c r="Q11450" t="n">
        <v>0</v>
      </c>
      <c r="R11450" s="2" t="inlineStr"/>
    </row>
    <row r="11451" ht="15" customHeight="1">
      <c r="A11451" t="inlineStr">
        <is>
          <t>A 21232-2023</t>
        </is>
      </c>
      <c r="B11451" s="1" t="n">
        <v>45062.54716435185</v>
      </c>
      <c r="C11451" s="1" t="n">
        <v>45952</v>
      </c>
      <c r="D11451" t="inlineStr">
        <is>
          <t>VÄSTRA GÖTALANDS LÄN</t>
        </is>
      </c>
      <c r="E11451" t="inlineStr">
        <is>
          <t>VÅRGÅRDA</t>
        </is>
      </c>
      <c r="G11451" t="n">
        <v>0.6</v>
      </c>
      <c r="H11451" t="n">
        <v>0</v>
      </c>
      <c r="I11451" t="n">
        <v>0</v>
      </c>
      <c r="J11451" t="n">
        <v>0</v>
      </c>
      <c r="K11451" t="n">
        <v>0</v>
      </c>
      <c r="L11451" t="n">
        <v>0</v>
      </c>
      <c r="M11451" t="n">
        <v>0</v>
      </c>
      <c r="N11451" t="n">
        <v>0</v>
      </c>
      <c r="O11451" t="n">
        <v>0</v>
      </c>
      <c r="P11451" t="n">
        <v>0</v>
      </c>
      <c r="Q11451" t="n">
        <v>0</v>
      </c>
      <c r="R11451" s="2" t="inlineStr"/>
    </row>
    <row r="11452" ht="15" customHeight="1">
      <c r="A11452" t="inlineStr">
        <is>
          <t>A 21259-2023</t>
        </is>
      </c>
      <c r="B11452" s="1" t="n">
        <v>45062</v>
      </c>
      <c r="C11452" s="1" t="n">
        <v>45952</v>
      </c>
      <c r="D11452" t="inlineStr">
        <is>
          <t>VÄSTRA GÖTALANDS LÄN</t>
        </is>
      </c>
      <c r="E11452" t="inlineStr">
        <is>
          <t>SVENLJUNGA</t>
        </is>
      </c>
      <c r="G11452" t="n">
        <v>1.1</v>
      </c>
      <c r="H11452" t="n">
        <v>0</v>
      </c>
      <c r="I11452" t="n">
        <v>0</v>
      </c>
      <c r="J11452" t="n">
        <v>0</v>
      </c>
      <c r="K11452" t="n">
        <v>0</v>
      </c>
      <c r="L11452" t="n">
        <v>0</v>
      </c>
      <c r="M11452" t="n">
        <v>0</v>
      </c>
      <c r="N11452" t="n">
        <v>0</v>
      </c>
      <c r="O11452" t="n">
        <v>0</v>
      </c>
      <c r="P11452" t="n">
        <v>0</v>
      </c>
      <c r="Q11452" t="n">
        <v>0</v>
      </c>
      <c r="R11452" s="2" t="inlineStr"/>
    </row>
    <row r="11453" ht="15" customHeight="1">
      <c r="A11453" t="inlineStr">
        <is>
          <t>A 21311-2023</t>
        </is>
      </c>
      <c r="B11453" s="1" t="n">
        <v>45062</v>
      </c>
      <c r="C11453" s="1" t="n">
        <v>45952</v>
      </c>
      <c r="D11453" t="inlineStr">
        <is>
          <t>VÄSTRA GÖTALANDS LÄN</t>
        </is>
      </c>
      <c r="E11453" t="inlineStr">
        <is>
          <t>FÄRGELANDA</t>
        </is>
      </c>
      <c r="G11453" t="n">
        <v>1.4</v>
      </c>
      <c r="H11453" t="n">
        <v>0</v>
      </c>
      <c r="I11453" t="n">
        <v>0</v>
      </c>
      <c r="J11453" t="n">
        <v>0</v>
      </c>
      <c r="K11453" t="n">
        <v>0</v>
      </c>
      <c r="L11453" t="n">
        <v>0</v>
      </c>
      <c r="M11453" t="n">
        <v>0</v>
      </c>
      <c r="N11453" t="n">
        <v>0</v>
      </c>
      <c r="O11453" t="n">
        <v>0</v>
      </c>
      <c r="P11453" t="n">
        <v>0</v>
      </c>
      <c r="Q11453" t="n">
        <v>0</v>
      </c>
      <c r="R11453" s="2" t="inlineStr"/>
    </row>
    <row r="11454" ht="15" customHeight="1">
      <c r="A11454" t="inlineStr">
        <is>
          <t>A 24116-2022</t>
        </is>
      </c>
      <c r="B11454" s="1" t="n">
        <v>44725.42993055555</v>
      </c>
      <c r="C11454" s="1" t="n">
        <v>45952</v>
      </c>
      <c r="D11454" t="inlineStr">
        <is>
          <t>VÄSTRA GÖTALANDS LÄN</t>
        </is>
      </c>
      <c r="E11454" t="inlineStr">
        <is>
          <t>TANUM</t>
        </is>
      </c>
      <c r="G11454" t="n">
        <v>1.2</v>
      </c>
      <c r="H11454" t="n">
        <v>0</v>
      </c>
      <c r="I11454" t="n">
        <v>0</v>
      </c>
      <c r="J11454" t="n">
        <v>0</v>
      </c>
      <c r="K11454" t="n">
        <v>0</v>
      </c>
      <c r="L11454" t="n">
        <v>0</v>
      </c>
      <c r="M11454" t="n">
        <v>0</v>
      </c>
      <c r="N11454" t="n">
        <v>0</v>
      </c>
      <c r="O11454" t="n">
        <v>0</v>
      </c>
      <c r="P11454" t="n">
        <v>0</v>
      </c>
      <c r="Q11454" t="n">
        <v>0</v>
      </c>
      <c r="R11454" s="2" t="inlineStr"/>
    </row>
    <row r="11455" ht="15" customHeight="1">
      <c r="A11455" t="inlineStr">
        <is>
          <t>A 7228-2025</t>
        </is>
      </c>
      <c r="B11455" s="1" t="n">
        <v>45702.50678240741</v>
      </c>
      <c r="C11455" s="1" t="n">
        <v>45952</v>
      </c>
      <c r="D11455" t="inlineStr">
        <is>
          <t>VÄSTRA GÖTALANDS LÄN</t>
        </is>
      </c>
      <c r="E11455" t="inlineStr">
        <is>
          <t>MELLERUD</t>
        </is>
      </c>
      <c r="G11455" t="n">
        <v>1.4</v>
      </c>
      <c r="H11455" t="n">
        <v>0</v>
      </c>
      <c r="I11455" t="n">
        <v>0</v>
      </c>
      <c r="J11455" t="n">
        <v>0</v>
      </c>
      <c r="K11455" t="n">
        <v>0</v>
      </c>
      <c r="L11455" t="n">
        <v>0</v>
      </c>
      <c r="M11455" t="n">
        <v>0</v>
      </c>
      <c r="N11455" t="n">
        <v>0</v>
      </c>
      <c r="O11455" t="n">
        <v>0</v>
      </c>
      <c r="P11455" t="n">
        <v>0</v>
      </c>
      <c r="Q11455" t="n">
        <v>0</v>
      </c>
      <c r="R11455" s="2" t="inlineStr"/>
    </row>
    <row r="11456" ht="15" customHeight="1">
      <c r="A11456" t="inlineStr">
        <is>
          <t>A 45521-2022</t>
        </is>
      </c>
      <c r="B11456" s="1" t="n">
        <v>44845.45263888889</v>
      </c>
      <c r="C11456" s="1" t="n">
        <v>45952</v>
      </c>
      <c r="D11456" t="inlineStr">
        <is>
          <t>VÄSTRA GÖTALANDS LÄN</t>
        </is>
      </c>
      <c r="E11456" t="inlineStr">
        <is>
          <t>TROLLHÄTTAN</t>
        </is>
      </c>
      <c r="G11456" t="n">
        <v>4</v>
      </c>
      <c r="H11456" t="n">
        <v>0</v>
      </c>
      <c r="I11456" t="n">
        <v>0</v>
      </c>
      <c r="J11456" t="n">
        <v>0</v>
      </c>
      <c r="K11456" t="n">
        <v>0</v>
      </c>
      <c r="L11456" t="n">
        <v>0</v>
      </c>
      <c r="M11456" t="n">
        <v>0</v>
      </c>
      <c r="N11456" t="n">
        <v>0</v>
      </c>
      <c r="O11456" t="n">
        <v>0</v>
      </c>
      <c r="P11456" t="n">
        <v>0</v>
      </c>
      <c r="Q11456" t="n">
        <v>0</v>
      </c>
      <c r="R11456" s="2" t="inlineStr"/>
    </row>
    <row r="11457" ht="15" customHeight="1">
      <c r="A11457" t="inlineStr">
        <is>
          <t>A 18851-2024</t>
        </is>
      </c>
      <c r="B11457" s="1" t="n">
        <v>45426.69</v>
      </c>
      <c r="C11457" s="1" t="n">
        <v>45952</v>
      </c>
      <c r="D11457" t="inlineStr">
        <is>
          <t>VÄSTRA GÖTALANDS LÄN</t>
        </is>
      </c>
      <c r="E11457" t="inlineStr">
        <is>
          <t>KUNGÄLV</t>
        </is>
      </c>
      <c r="G11457" t="n">
        <v>2.7</v>
      </c>
      <c r="H11457" t="n">
        <v>0</v>
      </c>
      <c r="I11457" t="n">
        <v>0</v>
      </c>
      <c r="J11457" t="n">
        <v>0</v>
      </c>
      <c r="K11457" t="n">
        <v>0</v>
      </c>
      <c r="L11457" t="n">
        <v>0</v>
      </c>
      <c r="M11457" t="n">
        <v>0</v>
      </c>
      <c r="N11457" t="n">
        <v>0</v>
      </c>
      <c r="O11457" t="n">
        <v>0</v>
      </c>
      <c r="P11457" t="n">
        <v>0</v>
      </c>
      <c r="Q11457" t="n">
        <v>0</v>
      </c>
      <c r="R11457" s="2" t="inlineStr"/>
    </row>
    <row r="11458" ht="15" customHeight="1">
      <c r="A11458" t="inlineStr">
        <is>
          <t>A 13106-2023</t>
        </is>
      </c>
      <c r="B11458" s="1" t="n">
        <v>45002.45552083333</v>
      </c>
      <c r="C11458" s="1" t="n">
        <v>45952</v>
      </c>
      <c r="D11458" t="inlineStr">
        <is>
          <t>VÄSTRA GÖTALANDS LÄN</t>
        </is>
      </c>
      <c r="E11458" t="inlineStr">
        <is>
          <t>ULRICEHAMN</t>
        </is>
      </c>
      <c r="G11458" t="n">
        <v>0.5</v>
      </c>
      <c r="H11458" t="n">
        <v>0</v>
      </c>
      <c r="I11458" t="n">
        <v>0</v>
      </c>
      <c r="J11458" t="n">
        <v>0</v>
      </c>
      <c r="K11458" t="n">
        <v>0</v>
      </c>
      <c r="L11458" t="n">
        <v>0</v>
      </c>
      <c r="M11458" t="n">
        <v>0</v>
      </c>
      <c r="N11458" t="n">
        <v>0</v>
      </c>
      <c r="O11458" t="n">
        <v>0</v>
      </c>
      <c r="P11458" t="n">
        <v>0</v>
      </c>
      <c r="Q11458" t="n">
        <v>0</v>
      </c>
      <c r="R11458" s="2" t="inlineStr"/>
    </row>
    <row r="11459" ht="15" customHeight="1">
      <c r="A11459" t="inlineStr">
        <is>
          <t>A 52108-2021</t>
        </is>
      </c>
      <c r="B11459" s="1" t="n">
        <v>44463.45494212963</v>
      </c>
      <c r="C11459" s="1" t="n">
        <v>45952</v>
      </c>
      <c r="D11459" t="inlineStr">
        <is>
          <t>VÄSTRA GÖTALANDS LÄN</t>
        </is>
      </c>
      <c r="E11459" t="inlineStr">
        <is>
          <t>SVENLJUNGA</t>
        </is>
      </c>
      <c r="G11459" t="n">
        <v>4.7</v>
      </c>
      <c r="H11459" t="n">
        <v>0</v>
      </c>
      <c r="I11459" t="n">
        <v>0</v>
      </c>
      <c r="J11459" t="n">
        <v>0</v>
      </c>
      <c r="K11459" t="n">
        <v>0</v>
      </c>
      <c r="L11459" t="n">
        <v>0</v>
      </c>
      <c r="M11459" t="n">
        <v>0</v>
      </c>
      <c r="N11459" t="n">
        <v>0</v>
      </c>
      <c r="O11459" t="n">
        <v>0</v>
      </c>
      <c r="P11459" t="n">
        <v>0</v>
      </c>
      <c r="Q11459" t="n">
        <v>0</v>
      </c>
      <c r="R11459" s="2" t="inlineStr"/>
    </row>
    <row r="11460" ht="15" customHeight="1">
      <c r="A11460" t="inlineStr">
        <is>
          <t>A 49200-2023</t>
        </is>
      </c>
      <c r="B11460" s="1" t="n">
        <v>45210.59091435185</v>
      </c>
      <c r="C11460" s="1" t="n">
        <v>45952</v>
      </c>
      <c r="D11460" t="inlineStr">
        <is>
          <t>VÄSTRA GÖTALANDS LÄN</t>
        </is>
      </c>
      <c r="E11460" t="inlineStr">
        <is>
          <t>MARIESTAD</t>
        </is>
      </c>
      <c r="G11460" t="n">
        <v>5.5</v>
      </c>
      <c r="H11460" t="n">
        <v>0</v>
      </c>
      <c r="I11460" t="n">
        <v>0</v>
      </c>
      <c r="J11460" t="n">
        <v>0</v>
      </c>
      <c r="K11460" t="n">
        <v>0</v>
      </c>
      <c r="L11460" t="n">
        <v>0</v>
      </c>
      <c r="M11460" t="n">
        <v>0</v>
      </c>
      <c r="N11460" t="n">
        <v>0</v>
      </c>
      <c r="O11460" t="n">
        <v>0</v>
      </c>
      <c r="P11460" t="n">
        <v>0</v>
      </c>
      <c r="Q11460" t="n">
        <v>0</v>
      </c>
      <c r="R11460" s="2" t="inlineStr"/>
    </row>
    <row r="11461" ht="15" customHeight="1">
      <c r="A11461" t="inlineStr">
        <is>
          <t>A 7640-2024</t>
        </is>
      </c>
      <c r="B11461" s="1" t="n">
        <v>45348.64657407408</v>
      </c>
      <c r="C11461" s="1" t="n">
        <v>45952</v>
      </c>
      <c r="D11461" t="inlineStr">
        <is>
          <t>VÄSTRA GÖTALANDS LÄN</t>
        </is>
      </c>
      <c r="E11461" t="inlineStr">
        <is>
          <t>VÄNERSBORG</t>
        </is>
      </c>
      <c r="G11461" t="n">
        <v>5</v>
      </c>
      <c r="H11461" t="n">
        <v>0</v>
      </c>
      <c r="I11461" t="n">
        <v>0</v>
      </c>
      <c r="J11461" t="n">
        <v>0</v>
      </c>
      <c r="K11461" t="n">
        <v>0</v>
      </c>
      <c r="L11461" t="n">
        <v>0</v>
      </c>
      <c r="M11461" t="n">
        <v>0</v>
      </c>
      <c r="N11461" t="n">
        <v>0</v>
      </c>
      <c r="O11461" t="n">
        <v>0</v>
      </c>
      <c r="P11461" t="n">
        <v>0</v>
      </c>
      <c r="Q11461" t="n">
        <v>0</v>
      </c>
      <c r="R11461" s="2" t="inlineStr"/>
    </row>
    <row r="11462" ht="15" customHeight="1">
      <c r="A11462" t="inlineStr">
        <is>
          <t>A 693-2023</t>
        </is>
      </c>
      <c r="B11462" s="1" t="n">
        <v>44930.78516203703</v>
      </c>
      <c r="C11462" s="1" t="n">
        <v>45952</v>
      </c>
      <c r="D11462" t="inlineStr">
        <is>
          <t>VÄSTRA GÖTALANDS LÄN</t>
        </is>
      </c>
      <c r="E11462" t="inlineStr">
        <is>
          <t>TIDAHOLM</t>
        </is>
      </c>
      <c r="G11462" t="n">
        <v>0.6</v>
      </c>
      <c r="H11462" t="n">
        <v>0</v>
      </c>
      <c r="I11462" t="n">
        <v>0</v>
      </c>
      <c r="J11462" t="n">
        <v>0</v>
      </c>
      <c r="K11462" t="n">
        <v>0</v>
      </c>
      <c r="L11462" t="n">
        <v>0</v>
      </c>
      <c r="M11462" t="n">
        <v>0</v>
      </c>
      <c r="N11462" t="n">
        <v>0</v>
      </c>
      <c r="O11462" t="n">
        <v>0</v>
      </c>
      <c r="P11462" t="n">
        <v>0</v>
      </c>
      <c r="Q11462" t="n">
        <v>0</v>
      </c>
      <c r="R11462" s="2" t="inlineStr"/>
    </row>
    <row r="11463" ht="15" customHeight="1">
      <c r="A11463" t="inlineStr">
        <is>
          <t>A 7722-2024</t>
        </is>
      </c>
      <c r="B11463" s="1" t="n">
        <v>45349</v>
      </c>
      <c r="C11463" s="1" t="n">
        <v>45952</v>
      </c>
      <c r="D11463" t="inlineStr">
        <is>
          <t>VÄSTRA GÖTALANDS LÄN</t>
        </is>
      </c>
      <c r="E11463" t="inlineStr">
        <is>
          <t>HJO</t>
        </is>
      </c>
      <c r="G11463" t="n">
        <v>1.6</v>
      </c>
      <c r="H11463" t="n">
        <v>0</v>
      </c>
      <c r="I11463" t="n">
        <v>0</v>
      </c>
      <c r="J11463" t="n">
        <v>0</v>
      </c>
      <c r="K11463" t="n">
        <v>0</v>
      </c>
      <c r="L11463" t="n">
        <v>0</v>
      </c>
      <c r="M11463" t="n">
        <v>0</v>
      </c>
      <c r="N11463" t="n">
        <v>0</v>
      </c>
      <c r="O11463" t="n">
        <v>0</v>
      </c>
      <c r="P11463" t="n">
        <v>0</v>
      </c>
      <c r="Q11463" t="n">
        <v>0</v>
      </c>
      <c r="R11463" s="2" t="inlineStr"/>
    </row>
    <row r="11464" ht="15" customHeight="1">
      <c r="A11464" t="inlineStr">
        <is>
          <t>A 7726-2024</t>
        </is>
      </c>
      <c r="B11464" s="1" t="n">
        <v>45349</v>
      </c>
      <c r="C11464" s="1" t="n">
        <v>45952</v>
      </c>
      <c r="D11464" t="inlineStr">
        <is>
          <t>VÄSTRA GÖTALANDS LÄN</t>
        </is>
      </c>
      <c r="E11464" t="inlineStr">
        <is>
          <t>UDDEVALLA</t>
        </is>
      </c>
      <c r="G11464" t="n">
        <v>2.3</v>
      </c>
      <c r="H11464" t="n">
        <v>0</v>
      </c>
      <c r="I11464" t="n">
        <v>0</v>
      </c>
      <c r="J11464" t="n">
        <v>0</v>
      </c>
      <c r="K11464" t="n">
        <v>0</v>
      </c>
      <c r="L11464" t="n">
        <v>0</v>
      </c>
      <c r="M11464" t="n">
        <v>0</v>
      </c>
      <c r="N11464" t="n">
        <v>0</v>
      </c>
      <c r="O11464" t="n">
        <v>0</v>
      </c>
      <c r="P11464" t="n">
        <v>0</v>
      </c>
      <c r="Q11464" t="n">
        <v>0</v>
      </c>
      <c r="R11464" s="2" t="inlineStr"/>
    </row>
    <row r="11465" ht="15" customHeight="1">
      <c r="A11465" t="inlineStr">
        <is>
          <t>A 769-2023</t>
        </is>
      </c>
      <c r="B11465" s="1" t="n">
        <v>44931</v>
      </c>
      <c r="C11465" s="1" t="n">
        <v>45952</v>
      </c>
      <c r="D11465" t="inlineStr">
        <is>
          <t>VÄSTRA GÖTALANDS LÄN</t>
        </is>
      </c>
      <c r="E11465" t="inlineStr">
        <is>
          <t>TJÖRN</t>
        </is>
      </c>
      <c r="G11465" t="n">
        <v>1.7</v>
      </c>
      <c r="H11465" t="n">
        <v>0</v>
      </c>
      <c r="I11465" t="n">
        <v>0</v>
      </c>
      <c r="J11465" t="n">
        <v>0</v>
      </c>
      <c r="K11465" t="n">
        <v>0</v>
      </c>
      <c r="L11465" t="n">
        <v>0</v>
      </c>
      <c r="M11465" t="n">
        <v>0</v>
      </c>
      <c r="N11465" t="n">
        <v>0</v>
      </c>
      <c r="O11465" t="n">
        <v>0</v>
      </c>
      <c r="P11465" t="n">
        <v>0</v>
      </c>
      <c r="Q11465" t="n">
        <v>0</v>
      </c>
      <c r="R11465" s="2" t="inlineStr"/>
    </row>
    <row r="11466" ht="15" customHeight="1">
      <c r="A11466" t="inlineStr">
        <is>
          <t>A 42098-2025</t>
        </is>
      </c>
      <c r="B11466" s="1" t="n">
        <v>45903.75858796296</v>
      </c>
      <c r="C11466" s="1" t="n">
        <v>45952</v>
      </c>
      <c r="D11466" t="inlineStr">
        <is>
          <t>VÄSTRA GÖTALANDS LÄN</t>
        </is>
      </c>
      <c r="E11466" t="inlineStr">
        <is>
          <t>ÅMÅL</t>
        </is>
      </c>
      <c r="F11466" t="inlineStr">
        <is>
          <t>Kommuner</t>
        </is>
      </c>
      <c r="G11466" t="n">
        <v>0.3</v>
      </c>
      <c r="H11466" t="n">
        <v>0</v>
      </c>
      <c r="I11466" t="n">
        <v>0</v>
      </c>
      <c r="J11466" t="n">
        <v>0</v>
      </c>
      <c r="K11466" t="n">
        <v>0</v>
      </c>
      <c r="L11466" t="n">
        <v>0</v>
      </c>
      <c r="M11466" t="n">
        <v>0</v>
      </c>
      <c r="N11466" t="n">
        <v>0</v>
      </c>
      <c r="O11466" t="n">
        <v>0</v>
      </c>
      <c r="P11466" t="n">
        <v>0</v>
      </c>
      <c r="Q11466" t="n">
        <v>0</v>
      </c>
      <c r="R11466" s="2" t="inlineStr"/>
    </row>
    <row r="11467" ht="15" customHeight="1">
      <c r="A11467" t="inlineStr">
        <is>
          <t>A 42109-2025</t>
        </is>
      </c>
      <c r="B11467" s="1" t="n">
        <v>45904.30618055556</v>
      </c>
      <c r="C11467" s="1" t="n">
        <v>45952</v>
      </c>
      <c r="D11467" t="inlineStr">
        <is>
          <t>VÄSTRA GÖTALANDS LÄN</t>
        </is>
      </c>
      <c r="E11467" t="inlineStr">
        <is>
          <t>SVENLJUNGA</t>
        </is>
      </c>
      <c r="G11467" t="n">
        <v>3.8</v>
      </c>
      <c r="H11467" t="n">
        <v>0</v>
      </c>
      <c r="I11467" t="n">
        <v>0</v>
      </c>
      <c r="J11467" t="n">
        <v>0</v>
      </c>
      <c r="K11467" t="n">
        <v>0</v>
      </c>
      <c r="L11467" t="n">
        <v>0</v>
      </c>
      <c r="M11467" t="n">
        <v>0</v>
      </c>
      <c r="N11467" t="n">
        <v>0</v>
      </c>
      <c r="O11467" t="n">
        <v>0</v>
      </c>
      <c r="P11467" t="n">
        <v>0</v>
      </c>
      <c r="Q11467" t="n">
        <v>0</v>
      </c>
      <c r="R11467" s="2" t="inlineStr"/>
    </row>
    <row r="11468" ht="15" customHeight="1">
      <c r="A11468" t="inlineStr">
        <is>
          <t>A 49256-2023</t>
        </is>
      </c>
      <c r="B11468" s="1" t="n">
        <v>45210.66854166667</v>
      </c>
      <c r="C11468" s="1" t="n">
        <v>45952</v>
      </c>
      <c r="D11468" t="inlineStr">
        <is>
          <t>VÄSTRA GÖTALANDS LÄN</t>
        </is>
      </c>
      <c r="E11468" t="inlineStr">
        <is>
          <t>GÖTENE</t>
        </is>
      </c>
      <c r="G11468" t="n">
        <v>4.1</v>
      </c>
      <c r="H11468" t="n">
        <v>0</v>
      </c>
      <c r="I11468" t="n">
        <v>0</v>
      </c>
      <c r="J11468" t="n">
        <v>0</v>
      </c>
      <c r="K11468" t="n">
        <v>0</v>
      </c>
      <c r="L11468" t="n">
        <v>0</v>
      </c>
      <c r="M11468" t="n">
        <v>0</v>
      </c>
      <c r="N11468" t="n">
        <v>0</v>
      </c>
      <c r="O11468" t="n">
        <v>0</v>
      </c>
      <c r="P11468" t="n">
        <v>0</v>
      </c>
      <c r="Q11468" t="n">
        <v>0</v>
      </c>
      <c r="R11468" s="2" t="inlineStr"/>
    </row>
    <row r="11469" ht="15" customHeight="1">
      <c r="A11469" t="inlineStr">
        <is>
          <t>A 17077-2023</t>
        </is>
      </c>
      <c r="B11469" s="1" t="n">
        <v>45034</v>
      </c>
      <c r="C11469" s="1" t="n">
        <v>45952</v>
      </c>
      <c r="D11469" t="inlineStr">
        <is>
          <t>VÄSTRA GÖTALANDS LÄN</t>
        </is>
      </c>
      <c r="E11469" t="inlineStr">
        <is>
          <t>VÄNERSBORG</t>
        </is>
      </c>
      <c r="G11469" t="n">
        <v>5.2</v>
      </c>
      <c r="H11469" t="n">
        <v>0</v>
      </c>
      <c r="I11469" t="n">
        <v>0</v>
      </c>
      <c r="J11469" t="n">
        <v>0</v>
      </c>
      <c r="K11469" t="n">
        <v>0</v>
      </c>
      <c r="L11469" t="n">
        <v>0</v>
      </c>
      <c r="M11469" t="n">
        <v>0</v>
      </c>
      <c r="N11469" t="n">
        <v>0</v>
      </c>
      <c r="O11469" t="n">
        <v>0</v>
      </c>
      <c r="P11469" t="n">
        <v>0</v>
      </c>
      <c r="Q11469" t="n">
        <v>0</v>
      </c>
      <c r="R11469" s="2" t="inlineStr"/>
    </row>
    <row r="11470" ht="15" customHeight="1">
      <c r="A11470" t="inlineStr">
        <is>
          <t>A 51905-2022</t>
        </is>
      </c>
      <c r="B11470" s="1" t="n">
        <v>44872</v>
      </c>
      <c r="C11470" s="1" t="n">
        <v>45952</v>
      </c>
      <c r="D11470" t="inlineStr">
        <is>
          <t>VÄSTRA GÖTALANDS LÄN</t>
        </is>
      </c>
      <c r="E11470" t="inlineStr">
        <is>
          <t>SVENLJUNGA</t>
        </is>
      </c>
      <c r="G11470" t="n">
        <v>1.9</v>
      </c>
      <c r="H11470" t="n">
        <v>0</v>
      </c>
      <c r="I11470" t="n">
        <v>0</v>
      </c>
      <c r="J11470" t="n">
        <v>0</v>
      </c>
      <c r="K11470" t="n">
        <v>0</v>
      </c>
      <c r="L11470" t="n">
        <v>0</v>
      </c>
      <c r="M11470" t="n">
        <v>0</v>
      </c>
      <c r="N11470" t="n">
        <v>0</v>
      </c>
      <c r="O11470" t="n">
        <v>0</v>
      </c>
      <c r="P11470" t="n">
        <v>0</v>
      </c>
      <c r="Q11470" t="n">
        <v>0</v>
      </c>
      <c r="R11470" s="2" t="inlineStr"/>
    </row>
    <row r="11471" ht="15" customHeight="1">
      <c r="A11471" t="inlineStr">
        <is>
          <t>A 29529-2024</t>
        </is>
      </c>
      <c r="B11471" s="1" t="n">
        <v>45484.4721875</v>
      </c>
      <c r="C11471" s="1" t="n">
        <v>45952</v>
      </c>
      <c r="D11471" t="inlineStr">
        <is>
          <t>VÄSTRA GÖTALANDS LÄN</t>
        </is>
      </c>
      <c r="E11471" t="inlineStr">
        <is>
          <t>ULRICEHAMN</t>
        </is>
      </c>
      <c r="G11471" t="n">
        <v>1.7</v>
      </c>
      <c r="H11471" t="n">
        <v>0</v>
      </c>
      <c r="I11471" t="n">
        <v>0</v>
      </c>
      <c r="J11471" t="n">
        <v>0</v>
      </c>
      <c r="K11471" t="n">
        <v>0</v>
      </c>
      <c r="L11471" t="n">
        <v>0</v>
      </c>
      <c r="M11471" t="n">
        <v>0</v>
      </c>
      <c r="N11471" t="n">
        <v>0</v>
      </c>
      <c r="O11471" t="n">
        <v>0</v>
      </c>
      <c r="P11471" t="n">
        <v>0</v>
      </c>
      <c r="Q11471" t="n">
        <v>0</v>
      </c>
      <c r="R11471" s="2" t="inlineStr"/>
    </row>
    <row r="11472" ht="15" customHeight="1">
      <c r="A11472" t="inlineStr">
        <is>
          <t>A 42644-2025</t>
        </is>
      </c>
      <c r="B11472" s="1" t="n">
        <v>45906.38402777778</v>
      </c>
      <c r="C11472" s="1" t="n">
        <v>45952</v>
      </c>
      <c r="D11472" t="inlineStr">
        <is>
          <t>VÄSTRA GÖTALANDS LÄN</t>
        </is>
      </c>
      <c r="E11472" t="inlineStr">
        <is>
          <t>LIDKÖPING</t>
        </is>
      </c>
      <c r="G11472" t="n">
        <v>1.1</v>
      </c>
      <c r="H11472" t="n">
        <v>0</v>
      </c>
      <c r="I11472" t="n">
        <v>0</v>
      </c>
      <c r="J11472" t="n">
        <v>0</v>
      </c>
      <c r="K11472" t="n">
        <v>0</v>
      </c>
      <c r="L11472" t="n">
        <v>0</v>
      </c>
      <c r="M11472" t="n">
        <v>0</v>
      </c>
      <c r="N11472" t="n">
        <v>0</v>
      </c>
      <c r="O11472" t="n">
        <v>0</v>
      </c>
      <c r="P11472" t="n">
        <v>0</v>
      </c>
      <c r="Q11472" t="n">
        <v>0</v>
      </c>
      <c r="R11472" s="2" t="inlineStr"/>
    </row>
    <row r="11473" ht="15" customHeight="1">
      <c r="A11473" t="inlineStr">
        <is>
          <t>A 42646-2025</t>
        </is>
      </c>
      <c r="B11473" s="1" t="n">
        <v>45906.48516203704</v>
      </c>
      <c r="C11473" s="1" t="n">
        <v>45952</v>
      </c>
      <c r="D11473" t="inlineStr">
        <is>
          <t>VÄSTRA GÖTALANDS LÄN</t>
        </is>
      </c>
      <c r="E11473" t="inlineStr">
        <is>
          <t>VÅRGÅRDA</t>
        </is>
      </c>
      <c r="G11473" t="n">
        <v>2.8</v>
      </c>
      <c r="H11473" t="n">
        <v>0</v>
      </c>
      <c r="I11473" t="n">
        <v>0</v>
      </c>
      <c r="J11473" t="n">
        <v>0</v>
      </c>
      <c r="K11473" t="n">
        <v>0</v>
      </c>
      <c r="L11473" t="n">
        <v>0</v>
      </c>
      <c r="M11473" t="n">
        <v>0</v>
      </c>
      <c r="N11473" t="n">
        <v>0</v>
      </c>
      <c r="O11473" t="n">
        <v>0</v>
      </c>
      <c r="P11473" t="n">
        <v>0</v>
      </c>
      <c r="Q11473" t="n">
        <v>0</v>
      </c>
      <c r="R11473" s="2" t="inlineStr"/>
    </row>
    <row r="11474" ht="15" customHeight="1">
      <c r="A11474" t="inlineStr">
        <is>
          <t>A 17116-2023</t>
        </is>
      </c>
      <c r="B11474" s="1" t="n">
        <v>45034.58351851852</v>
      </c>
      <c r="C11474" s="1" t="n">
        <v>45952</v>
      </c>
      <c r="D11474" t="inlineStr">
        <is>
          <t>VÄSTRA GÖTALANDS LÄN</t>
        </is>
      </c>
      <c r="E11474" t="inlineStr">
        <is>
          <t>LILLA EDET</t>
        </is>
      </c>
      <c r="G11474" t="n">
        <v>1</v>
      </c>
      <c r="H11474" t="n">
        <v>0</v>
      </c>
      <c r="I11474" t="n">
        <v>0</v>
      </c>
      <c r="J11474" t="n">
        <v>0</v>
      </c>
      <c r="K11474" t="n">
        <v>0</v>
      </c>
      <c r="L11474" t="n">
        <v>0</v>
      </c>
      <c r="M11474" t="n">
        <v>0</v>
      </c>
      <c r="N11474" t="n">
        <v>0</v>
      </c>
      <c r="O11474" t="n">
        <v>0</v>
      </c>
      <c r="P11474" t="n">
        <v>0</v>
      </c>
      <c r="Q11474" t="n">
        <v>0</v>
      </c>
      <c r="R11474" s="2" t="inlineStr"/>
    </row>
    <row r="11475" ht="15" customHeight="1">
      <c r="A11475" t="inlineStr">
        <is>
          <t>A 59615-2022</t>
        </is>
      </c>
      <c r="B11475" s="1" t="n">
        <v>44907</v>
      </c>
      <c r="C11475" s="1" t="n">
        <v>45952</v>
      </c>
      <c r="D11475" t="inlineStr">
        <is>
          <t>VÄSTRA GÖTALANDS LÄN</t>
        </is>
      </c>
      <c r="E11475" t="inlineStr">
        <is>
          <t>BENGTSFORS</t>
        </is>
      </c>
      <c r="G11475" t="n">
        <v>1.3</v>
      </c>
      <c r="H11475" t="n">
        <v>0</v>
      </c>
      <c r="I11475" t="n">
        <v>0</v>
      </c>
      <c r="J11475" t="n">
        <v>0</v>
      </c>
      <c r="K11475" t="n">
        <v>0</v>
      </c>
      <c r="L11475" t="n">
        <v>0</v>
      </c>
      <c r="M11475" t="n">
        <v>0</v>
      </c>
      <c r="N11475" t="n">
        <v>0</v>
      </c>
      <c r="O11475" t="n">
        <v>0</v>
      </c>
      <c r="P11475" t="n">
        <v>0</v>
      </c>
      <c r="Q11475" t="n">
        <v>0</v>
      </c>
      <c r="R11475" s="2" t="inlineStr"/>
    </row>
    <row r="11476" ht="15" customHeight="1">
      <c r="A11476" t="inlineStr">
        <is>
          <t>A 36332-2023</t>
        </is>
      </c>
      <c r="B11476" s="1" t="n">
        <v>45152</v>
      </c>
      <c r="C11476" s="1" t="n">
        <v>45952</v>
      </c>
      <c r="D11476" t="inlineStr">
        <is>
          <t>VÄSTRA GÖTALANDS LÄN</t>
        </is>
      </c>
      <c r="E11476" t="inlineStr">
        <is>
          <t>ALINGSÅS</t>
        </is>
      </c>
      <c r="G11476" t="n">
        <v>3.6</v>
      </c>
      <c r="H11476" t="n">
        <v>0</v>
      </c>
      <c r="I11476" t="n">
        <v>0</v>
      </c>
      <c r="J11476" t="n">
        <v>0</v>
      </c>
      <c r="K11476" t="n">
        <v>0</v>
      </c>
      <c r="L11476" t="n">
        <v>0</v>
      </c>
      <c r="M11476" t="n">
        <v>0</v>
      </c>
      <c r="N11476" t="n">
        <v>0</v>
      </c>
      <c r="O11476" t="n">
        <v>0</v>
      </c>
      <c r="P11476" t="n">
        <v>0</v>
      </c>
      <c r="Q11476" t="n">
        <v>0</v>
      </c>
      <c r="R11476" s="2" t="inlineStr"/>
    </row>
    <row r="11477" ht="15" customHeight="1">
      <c r="A11477" t="inlineStr">
        <is>
          <t>A 51546-2025</t>
        </is>
      </c>
      <c r="B11477" s="1" t="n">
        <v>45950.7683912037</v>
      </c>
      <c r="C11477" s="1" t="n">
        <v>45952</v>
      </c>
      <c r="D11477" t="inlineStr">
        <is>
          <t>VÄSTRA GÖTALANDS LÄN</t>
        </is>
      </c>
      <c r="E11477" t="inlineStr">
        <is>
          <t>STENUNGSUND</t>
        </is>
      </c>
      <c r="G11477" t="n">
        <v>1.2</v>
      </c>
      <c r="H11477" t="n">
        <v>0</v>
      </c>
      <c r="I11477" t="n">
        <v>0</v>
      </c>
      <c r="J11477" t="n">
        <v>0</v>
      </c>
      <c r="K11477" t="n">
        <v>0</v>
      </c>
      <c r="L11477" t="n">
        <v>0</v>
      </c>
      <c r="M11477" t="n">
        <v>0</v>
      </c>
      <c r="N11477" t="n">
        <v>0</v>
      </c>
      <c r="O11477" t="n">
        <v>0</v>
      </c>
      <c r="P11477" t="n">
        <v>0</v>
      </c>
      <c r="Q11477" t="n">
        <v>0</v>
      </c>
      <c r="R11477" s="2" t="inlineStr"/>
    </row>
    <row r="11478" ht="15" customHeight="1">
      <c r="A11478" t="inlineStr">
        <is>
          <t>A 36342-2023</t>
        </is>
      </c>
      <c r="B11478" s="1" t="n">
        <v>45152.45721064815</v>
      </c>
      <c r="C11478" s="1" t="n">
        <v>45952</v>
      </c>
      <c r="D11478" t="inlineStr">
        <is>
          <t>VÄSTRA GÖTALANDS LÄN</t>
        </is>
      </c>
      <c r="E11478" t="inlineStr">
        <is>
          <t>DALS-ED</t>
        </is>
      </c>
      <c r="G11478" t="n">
        <v>5.2</v>
      </c>
      <c r="H11478" t="n">
        <v>0</v>
      </c>
      <c r="I11478" t="n">
        <v>0</v>
      </c>
      <c r="J11478" t="n">
        <v>0</v>
      </c>
      <c r="K11478" t="n">
        <v>0</v>
      </c>
      <c r="L11478" t="n">
        <v>0</v>
      </c>
      <c r="M11478" t="n">
        <v>0</v>
      </c>
      <c r="N11478" t="n">
        <v>0</v>
      </c>
      <c r="O11478" t="n">
        <v>0</v>
      </c>
      <c r="P11478" t="n">
        <v>0</v>
      </c>
      <c r="Q11478" t="n">
        <v>0</v>
      </c>
      <c r="R11478" s="2" t="inlineStr"/>
    </row>
    <row r="11479" ht="15" customHeight="1">
      <c r="A11479" t="inlineStr">
        <is>
          <t>A 36415-2023</t>
        </is>
      </c>
      <c r="B11479" s="1" t="n">
        <v>45152.57416666667</v>
      </c>
      <c r="C11479" s="1" t="n">
        <v>45952</v>
      </c>
      <c r="D11479" t="inlineStr">
        <is>
          <t>VÄSTRA GÖTALANDS LÄN</t>
        </is>
      </c>
      <c r="E11479" t="inlineStr">
        <is>
          <t>LERUM</t>
        </is>
      </c>
      <c r="G11479" t="n">
        <v>8.199999999999999</v>
      </c>
      <c r="H11479" t="n">
        <v>0</v>
      </c>
      <c r="I11479" t="n">
        <v>0</v>
      </c>
      <c r="J11479" t="n">
        <v>0</v>
      </c>
      <c r="K11479" t="n">
        <v>0</v>
      </c>
      <c r="L11479" t="n">
        <v>0</v>
      </c>
      <c r="M11479" t="n">
        <v>0</v>
      </c>
      <c r="N11479" t="n">
        <v>0</v>
      </c>
      <c r="O11479" t="n">
        <v>0</v>
      </c>
      <c r="P11479" t="n">
        <v>0</v>
      </c>
      <c r="Q11479" t="n">
        <v>0</v>
      </c>
      <c r="R11479" s="2" t="inlineStr"/>
    </row>
    <row r="11480" ht="15" customHeight="1">
      <c r="A11480" t="inlineStr">
        <is>
          <t>A 27717-2025</t>
        </is>
      </c>
      <c r="B11480" s="1" t="n">
        <v>45814.28092592592</v>
      </c>
      <c r="C11480" s="1" t="n">
        <v>45952</v>
      </c>
      <c r="D11480" t="inlineStr">
        <is>
          <t>VÄSTRA GÖTALANDS LÄN</t>
        </is>
      </c>
      <c r="E11480" t="inlineStr">
        <is>
          <t>TIDAHOLM</t>
        </is>
      </c>
      <c r="G11480" t="n">
        <v>1.4</v>
      </c>
      <c r="H11480" t="n">
        <v>0</v>
      </c>
      <c r="I11480" t="n">
        <v>0</v>
      </c>
      <c r="J11480" t="n">
        <v>0</v>
      </c>
      <c r="K11480" t="n">
        <v>0</v>
      </c>
      <c r="L11480" t="n">
        <v>0</v>
      </c>
      <c r="M11480" t="n">
        <v>0</v>
      </c>
      <c r="N11480" t="n">
        <v>0</v>
      </c>
      <c r="O11480" t="n">
        <v>0</v>
      </c>
      <c r="P11480" t="n">
        <v>0</v>
      </c>
      <c r="Q11480" t="n">
        <v>0</v>
      </c>
      <c r="R11480" s="2" t="inlineStr"/>
    </row>
    <row r="11481" ht="15" customHeight="1">
      <c r="A11481" t="inlineStr">
        <is>
          <t>A 27733-2025</t>
        </is>
      </c>
      <c r="B11481" s="1" t="n">
        <v>45814.74278935185</v>
      </c>
      <c r="C11481" s="1" t="n">
        <v>45952</v>
      </c>
      <c r="D11481" t="inlineStr">
        <is>
          <t>VÄSTRA GÖTALANDS LÄN</t>
        </is>
      </c>
      <c r="E11481" t="inlineStr">
        <is>
          <t>ULRICEHAMN</t>
        </is>
      </c>
      <c r="G11481" t="n">
        <v>3.1</v>
      </c>
      <c r="H11481" t="n">
        <v>0</v>
      </c>
      <c r="I11481" t="n">
        <v>0</v>
      </c>
      <c r="J11481" t="n">
        <v>0</v>
      </c>
      <c r="K11481" t="n">
        <v>0</v>
      </c>
      <c r="L11481" t="n">
        <v>0</v>
      </c>
      <c r="M11481" t="n">
        <v>0</v>
      </c>
      <c r="N11481" t="n">
        <v>0</v>
      </c>
      <c r="O11481" t="n">
        <v>0</v>
      </c>
      <c r="P11481" t="n">
        <v>0</v>
      </c>
      <c r="Q11481" t="n">
        <v>0</v>
      </c>
      <c r="R11481" s="2" t="inlineStr"/>
    </row>
    <row r="11482" ht="15" customHeight="1">
      <c r="A11482" t="inlineStr">
        <is>
          <t>A 27755-2025</t>
        </is>
      </c>
      <c r="B11482" s="1" t="n">
        <v>45815.76396990741</v>
      </c>
      <c r="C11482" s="1" t="n">
        <v>45952</v>
      </c>
      <c r="D11482" t="inlineStr">
        <is>
          <t>VÄSTRA GÖTALANDS LÄN</t>
        </is>
      </c>
      <c r="E11482" t="inlineStr">
        <is>
          <t>FÄRGELANDA</t>
        </is>
      </c>
      <c r="G11482" t="n">
        <v>4.5</v>
      </c>
      <c r="H11482" t="n">
        <v>0</v>
      </c>
      <c r="I11482" t="n">
        <v>0</v>
      </c>
      <c r="J11482" t="n">
        <v>0</v>
      </c>
      <c r="K11482" t="n">
        <v>0</v>
      </c>
      <c r="L11482" t="n">
        <v>0</v>
      </c>
      <c r="M11482" t="n">
        <v>0</v>
      </c>
      <c r="N11482" t="n">
        <v>0</v>
      </c>
      <c r="O11482" t="n">
        <v>0</v>
      </c>
      <c r="P11482" t="n">
        <v>0</v>
      </c>
      <c r="Q11482" t="n">
        <v>0</v>
      </c>
      <c r="R11482" s="2" t="inlineStr"/>
    </row>
    <row r="11483" ht="15" customHeight="1">
      <c r="A11483" t="inlineStr">
        <is>
          <t>A 51682-2025</t>
        </is>
      </c>
      <c r="B11483" s="1" t="n">
        <v>45951.51880787037</v>
      </c>
      <c r="C11483" s="1" t="n">
        <v>45952</v>
      </c>
      <c r="D11483" t="inlineStr">
        <is>
          <t>VÄSTRA GÖTALANDS LÄN</t>
        </is>
      </c>
      <c r="E11483" t="inlineStr">
        <is>
          <t>ULRICEHAMN</t>
        </is>
      </c>
      <c r="G11483" t="n">
        <v>0.7</v>
      </c>
      <c r="H11483" t="n">
        <v>0</v>
      </c>
      <c r="I11483" t="n">
        <v>0</v>
      </c>
      <c r="J11483" t="n">
        <v>0</v>
      </c>
      <c r="K11483" t="n">
        <v>0</v>
      </c>
      <c r="L11483" t="n">
        <v>0</v>
      </c>
      <c r="M11483" t="n">
        <v>0</v>
      </c>
      <c r="N11483" t="n">
        <v>0</v>
      </c>
      <c r="O11483" t="n">
        <v>0</v>
      </c>
      <c r="P11483" t="n">
        <v>0</v>
      </c>
      <c r="Q11483" t="n">
        <v>0</v>
      </c>
      <c r="R11483" s="2" t="inlineStr"/>
    </row>
    <row r="11484" ht="15" customHeight="1">
      <c r="A11484" t="inlineStr">
        <is>
          <t>A 51687-2025</t>
        </is>
      </c>
      <c r="B11484" s="1" t="n">
        <v>45951.52353009259</v>
      </c>
      <c r="C11484" s="1" t="n">
        <v>45952</v>
      </c>
      <c r="D11484" t="inlineStr">
        <is>
          <t>VÄSTRA GÖTALANDS LÄN</t>
        </is>
      </c>
      <c r="E11484" t="inlineStr">
        <is>
          <t>TANUM</t>
        </is>
      </c>
      <c r="G11484" t="n">
        <v>1.5</v>
      </c>
      <c r="H11484" t="n">
        <v>0</v>
      </c>
      <c r="I11484" t="n">
        <v>0</v>
      </c>
      <c r="J11484" t="n">
        <v>0</v>
      </c>
      <c r="K11484" t="n">
        <v>0</v>
      </c>
      <c r="L11484" t="n">
        <v>0</v>
      </c>
      <c r="M11484" t="n">
        <v>0</v>
      </c>
      <c r="N11484" t="n">
        <v>0</v>
      </c>
      <c r="O11484" t="n">
        <v>0</v>
      </c>
      <c r="P11484" t="n">
        <v>0</v>
      </c>
      <c r="Q11484" t="n">
        <v>0</v>
      </c>
      <c r="R11484" s="2" t="inlineStr"/>
    </row>
    <row r="11485" ht="15" customHeight="1">
      <c r="A11485" t="inlineStr">
        <is>
          <t>A 51692-2025</t>
        </is>
      </c>
      <c r="B11485" s="1" t="n">
        <v>45951.53870370371</v>
      </c>
      <c r="C11485" s="1" t="n">
        <v>45952</v>
      </c>
      <c r="D11485" t="inlineStr">
        <is>
          <t>VÄSTRA GÖTALANDS LÄN</t>
        </is>
      </c>
      <c r="E11485" t="inlineStr">
        <is>
          <t>TANUM</t>
        </is>
      </c>
      <c r="G11485" t="n">
        <v>1.6</v>
      </c>
      <c r="H11485" t="n">
        <v>0</v>
      </c>
      <c r="I11485" t="n">
        <v>0</v>
      </c>
      <c r="J11485" t="n">
        <v>0</v>
      </c>
      <c r="K11485" t="n">
        <v>0</v>
      </c>
      <c r="L11485" t="n">
        <v>0</v>
      </c>
      <c r="M11485" t="n">
        <v>0</v>
      </c>
      <c r="N11485" t="n">
        <v>0</v>
      </c>
      <c r="O11485" t="n">
        <v>0</v>
      </c>
      <c r="P11485" t="n">
        <v>0</v>
      </c>
      <c r="Q11485" t="n">
        <v>0</v>
      </c>
      <c r="R11485" s="2" t="inlineStr"/>
    </row>
    <row r="11486" ht="15" customHeight="1">
      <c r="A11486" t="inlineStr">
        <is>
          <t>A 3936-2025</t>
        </is>
      </c>
      <c r="B11486" s="1" t="n">
        <v>45684.46290509259</v>
      </c>
      <c r="C11486" s="1" t="n">
        <v>45952</v>
      </c>
      <c r="D11486" t="inlineStr">
        <is>
          <t>VÄSTRA GÖTALANDS LÄN</t>
        </is>
      </c>
      <c r="E11486" t="inlineStr">
        <is>
          <t>TRANEMO</t>
        </is>
      </c>
      <c r="G11486" t="n">
        <v>0.7</v>
      </c>
      <c r="H11486" t="n">
        <v>0</v>
      </c>
      <c r="I11486" t="n">
        <v>0</v>
      </c>
      <c r="J11486" t="n">
        <v>0</v>
      </c>
      <c r="K11486" t="n">
        <v>0</v>
      </c>
      <c r="L11486" t="n">
        <v>0</v>
      </c>
      <c r="M11486" t="n">
        <v>0</v>
      </c>
      <c r="N11486" t="n">
        <v>0</v>
      </c>
      <c r="O11486" t="n">
        <v>0</v>
      </c>
      <c r="P11486" t="n">
        <v>0</v>
      </c>
      <c r="Q11486" t="n">
        <v>0</v>
      </c>
      <c r="R11486" s="2" t="inlineStr"/>
    </row>
    <row r="11487" ht="15" customHeight="1">
      <c r="A11487" t="inlineStr">
        <is>
          <t>A 21398-2023</t>
        </is>
      </c>
      <c r="B11487" s="1" t="n">
        <v>45063</v>
      </c>
      <c r="C11487" s="1" t="n">
        <v>45952</v>
      </c>
      <c r="D11487" t="inlineStr">
        <is>
          <t>VÄSTRA GÖTALANDS LÄN</t>
        </is>
      </c>
      <c r="E11487" t="inlineStr">
        <is>
          <t>HÄRRYDA</t>
        </is>
      </c>
      <c r="G11487" t="n">
        <v>6.6</v>
      </c>
      <c r="H11487" t="n">
        <v>0</v>
      </c>
      <c r="I11487" t="n">
        <v>0</v>
      </c>
      <c r="J11487" t="n">
        <v>0</v>
      </c>
      <c r="K11487" t="n">
        <v>0</v>
      </c>
      <c r="L11487" t="n">
        <v>0</v>
      </c>
      <c r="M11487" t="n">
        <v>0</v>
      </c>
      <c r="N11487" t="n">
        <v>0</v>
      </c>
      <c r="O11487" t="n">
        <v>0</v>
      </c>
      <c r="P11487" t="n">
        <v>0</v>
      </c>
      <c r="Q11487" t="n">
        <v>0</v>
      </c>
      <c r="R11487" s="2" t="inlineStr"/>
    </row>
    <row r="11488" ht="15" customHeight="1">
      <c r="A11488" t="inlineStr">
        <is>
          <t>A 5871-2023</t>
        </is>
      </c>
      <c r="B11488" s="1" t="n">
        <v>44963</v>
      </c>
      <c r="C11488" s="1" t="n">
        <v>45952</v>
      </c>
      <c r="D11488" t="inlineStr">
        <is>
          <t>VÄSTRA GÖTALANDS LÄN</t>
        </is>
      </c>
      <c r="E11488" t="inlineStr">
        <is>
          <t>MARK</t>
        </is>
      </c>
      <c r="G11488" t="n">
        <v>0.7</v>
      </c>
      <c r="H11488" t="n">
        <v>0</v>
      </c>
      <c r="I11488" t="n">
        <v>0</v>
      </c>
      <c r="J11488" t="n">
        <v>0</v>
      </c>
      <c r="K11488" t="n">
        <v>0</v>
      </c>
      <c r="L11488" t="n">
        <v>0</v>
      </c>
      <c r="M11488" t="n">
        <v>0</v>
      </c>
      <c r="N11488" t="n">
        <v>0</v>
      </c>
      <c r="O11488" t="n">
        <v>0</v>
      </c>
      <c r="P11488" t="n">
        <v>0</v>
      </c>
      <c r="Q11488" t="n">
        <v>0</v>
      </c>
      <c r="R11488" s="2" t="inlineStr"/>
    </row>
    <row r="11489" ht="15" customHeight="1">
      <c r="A11489" t="inlineStr">
        <is>
          <t>A 4009-2025</t>
        </is>
      </c>
      <c r="B11489" s="1" t="n">
        <v>45684.57601851852</v>
      </c>
      <c r="C11489" s="1" t="n">
        <v>45952</v>
      </c>
      <c r="D11489" t="inlineStr">
        <is>
          <t>VÄSTRA GÖTALANDS LÄN</t>
        </is>
      </c>
      <c r="E11489" t="inlineStr">
        <is>
          <t>MELLERUD</t>
        </is>
      </c>
      <c r="G11489" t="n">
        <v>1.6</v>
      </c>
      <c r="H11489" t="n">
        <v>0</v>
      </c>
      <c r="I11489" t="n">
        <v>0</v>
      </c>
      <c r="J11489" t="n">
        <v>0</v>
      </c>
      <c r="K11489" t="n">
        <v>0</v>
      </c>
      <c r="L11489" t="n">
        <v>0</v>
      </c>
      <c r="M11489" t="n">
        <v>0</v>
      </c>
      <c r="N11489" t="n">
        <v>0</v>
      </c>
      <c r="O11489" t="n">
        <v>0</v>
      </c>
      <c r="P11489" t="n">
        <v>0</v>
      </c>
      <c r="Q11489" t="n">
        <v>0</v>
      </c>
      <c r="R11489" s="2" t="inlineStr"/>
    </row>
    <row r="11490" ht="15" customHeight="1">
      <c r="A11490" t="inlineStr">
        <is>
          <t>A 27793-2025</t>
        </is>
      </c>
      <c r="B11490" s="1" t="n">
        <v>45816.7725</v>
      </c>
      <c r="C11490" s="1" t="n">
        <v>45952</v>
      </c>
      <c r="D11490" t="inlineStr">
        <is>
          <t>VÄSTRA GÖTALANDS LÄN</t>
        </is>
      </c>
      <c r="E11490" t="inlineStr">
        <is>
          <t>BORÅS</t>
        </is>
      </c>
      <c r="G11490" t="n">
        <v>0.8</v>
      </c>
      <c r="H11490" t="n">
        <v>0</v>
      </c>
      <c r="I11490" t="n">
        <v>0</v>
      </c>
      <c r="J11490" t="n">
        <v>0</v>
      </c>
      <c r="K11490" t="n">
        <v>0</v>
      </c>
      <c r="L11490" t="n">
        <v>0</v>
      </c>
      <c r="M11490" t="n">
        <v>0</v>
      </c>
      <c r="N11490" t="n">
        <v>0</v>
      </c>
      <c r="O11490" t="n">
        <v>0</v>
      </c>
      <c r="P11490" t="n">
        <v>0</v>
      </c>
      <c r="Q11490" t="n">
        <v>0</v>
      </c>
      <c r="R11490" s="2" t="inlineStr"/>
    </row>
    <row r="11491" ht="15" customHeight="1">
      <c r="A11491" t="inlineStr">
        <is>
          <t>A 28012-2025</t>
        </is>
      </c>
      <c r="B11491" s="1" t="n">
        <v>45817.60978009259</v>
      </c>
      <c r="C11491" s="1" t="n">
        <v>45952</v>
      </c>
      <c r="D11491" t="inlineStr">
        <is>
          <t>VÄSTRA GÖTALANDS LÄN</t>
        </is>
      </c>
      <c r="E11491" t="inlineStr">
        <is>
          <t>MARIESTAD</t>
        </is>
      </c>
      <c r="G11491" t="n">
        <v>3</v>
      </c>
      <c r="H11491" t="n">
        <v>0</v>
      </c>
      <c r="I11491" t="n">
        <v>0</v>
      </c>
      <c r="J11491" t="n">
        <v>0</v>
      </c>
      <c r="K11491" t="n">
        <v>0</v>
      </c>
      <c r="L11491" t="n">
        <v>0</v>
      </c>
      <c r="M11491" t="n">
        <v>0</v>
      </c>
      <c r="N11491" t="n">
        <v>0</v>
      </c>
      <c r="O11491" t="n">
        <v>0</v>
      </c>
      <c r="P11491" t="n">
        <v>0</v>
      </c>
      <c r="Q11491" t="n">
        <v>0</v>
      </c>
      <c r="R11491" s="2" t="inlineStr"/>
    </row>
    <row r="11492" ht="15" customHeight="1">
      <c r="A11492" t="inlineStr">
        <is>
          <t>A 13936-2025</t>
        </is>
      </c>
      <c r="B11492" s="1" t="n">
        <v>45737.68090277778</v>
      </c>
      <c r="C11492" s="1" t="n">
        <v>45952</v>
      </c>
      <c r="D11492" t="inlineStr">
        <is>
          <t>VÄSTRA GÖTALANDS LÄN</t>
        </is>
      </c>
      <c r="E11492" t="inlineStr">
        <is>
          <t>SVENLJUNGA</t>
        </is>
      </c>
      <c r="G11492" t="n">
        <v>1.5</v>
      </c>
      <c r="H11492" t="n">
        <v>0</v>
      </c>
      <c r="I11492" t="n">
        <v>0</v>
      </c>
      <c r="J11492" t="n">
        <v>0</v>
      </c>
      <c r="K11492" t="n">
        <v>0</v>
      </c>
      <c r="L11492" t="n">
        <v>0</v>
      </c>
      <c r="M11492" t="n">
        <v>0</v>
      </c>
      <c r="N11492" t="n">
        <v>0</v>
      </c>
      <c r="O11492" t="n">
        <v>0</v>
      </c>
      <c r="P11492" t="n">
        <v>0</v>
      </c>
      <c r="Q11492" t="n">
        <v>0</v>
      </c>
      <c r="R11492" s="2" t="inlineStr"/>
    </row>
    <row r="11493" ht="15" customHeight="1">
      <c r="A11493" t="inlineStr">
        <is>
          <t>A 42579-2025</t>
        </is>
      </c>
      <c r="B11493" s="1" t="n">
        <v>45905</v>
      </c>
      <c r="C11493" s="1" t="n">
        <v>45952</v>
      </c>
      <c r="D11493" t="inlineStr">
        <is>
          <t>VÄSTRA GÖTALANDS LÄN</t>
        </is>
      </c>
      <c r="E11493" t="inlineStr">
        <is>
          <t>SKÖVDE</t>
        </is>
      </c>
      <c r="G11493" t="n">
        <v>3</v>
      </c>
      <c r="H11493" t="n">
        <v>0</v>
      </c>
      <c r="I11493" t="n">
        <v>0</v>
      </c>
      <c r="J11493" t="n">
        <v>0</v>
      </c>
      <c r="K11493" t="n">
        <v>0</v>
      </c>
      <c r="L11493" t="n">
        <v>0</v>
      </c>
      <c r="M11493" t="n">
        <v>0</v>
      </c>
      <c r="N11493" t="n">
        <v>0</v>
      </c>
      <c r="O11493" t="n">
        <v>0</v>
      </c>
      <c r="P11493" t="n">
        <v>0</v>
      </c>
      <c r="Q11493" t="n">
        <v>0</v>
      </c>
      <c r="R11493" s="2" t="inlineStr"/>
    </row>
    <row r="11494" ht="15" customHeight="1">
      <c r="A11494" t="inlineStr">
        <is>
          <t>A 50673-2024</t>
        </is>
      </c>
      <c r="B11494" s="1" t="n">
        <v>45601.84043981481</v>
      </c>
      <c r="C11494" s="1" t="n">
        <v>45952</v>
      </c>
      <c r="D11494" t="inlineStr">
        <is>
          <t>VÄSTRA GÖTALANDS LÄN</t>
        </is>
      </c>
      <c r="E11494" t="inlineStr">
        <is>
          <t>VARA</t>
        </is>
      </c>
      <c r="G11494" t="n">
        <v>5.1</v>
      </c>
      <c r="H11494" t="n">
        <v>0</v>
      </c>
      <c r="I11494" t="n">
        <v>0</v>
      </c>
      <c r="J11494" t="n">
        <v>0</v>
      </c>
      <c r="K11494" t="n">
        <v>0</v>
      </c>
      <c r="L11494" t="n">
        <v>0</v>
      </c>
      <c r="M11494" t="n">
        <v>0</v>
      </c>
      <c r="N11494" t="n">
        <v>0</v>
      </c>
      <c r="O11494" t="n">
        <v>0</v>
      </c>
      <c r="P11494" t="n">
        <v>0</v>
      </c>
      <c r="Q11494" t="n">
        <v>0</v>
      </c>
      <c r="R11494" s="2" t="inlineStr"/>
    </row>
    <row r="11495" ht="15" customHeight="1">
      <c r="A11495" t="inlineStr">
        <is>
          <t>A 51725-2025</t>
        </is>
      </c>
      <c r="B11495" s="1" t="n">
        <v>45951.58354166667</v>
      </c>
      <c r="C11495" s="1" t="n">
        <v>45952</v>
      </c>
      <c r="D11495" t="inlineStr">
        <is>
          <t>VÄSTRA GÖTALANDS LÄN</t>
        </is>
      </c>
      <c r="E11495" t="inlineStr">
        <is>
          <t>BENGTSFORS</t>
        </is>
      </c>
      <c r="G11495" t="n">
        <v>0.8</v>
      </c>
      <c r="H11495" t="n">
        <v>0</v>
      </c>
      <c r="I11495" t="n">
        <v>0</v>
      </c>
      <c r="J11495" t="n">
        <v>0</v>
      </c>
      <c r="K11495" t="n">
        <v>0</v>
      </c>
      <c r="L11495" t="n">
        <v>0</v>
      </c>
      <c r="M11495" t="n">
        <v>0</v>
      </c>
      <c r="N11495" t="n">
        <v>0</v>
      </c>
      <c r="O11495" t="n">
        <v>0</v>
      </c>
      <c r="P11495" t="n">
        <v>0</v>
      </c>
      <c r="Q11495" t="n">
        <v>0</v>
      </c>
      <c r="R11495" s="2" t="inlineStr"/>
    </row>
    <row r="11496" ht="15" customHeight="1">
      <c r="A11496" t="inlineStr">
        <is>
          <t>A 51727-2025</t>
        </is>
      </c>
      <c r="B11496" s="1" t="n">
        <v>45951.59208333334</v>
      </c>
      <c r="C11496" s="1" t="n">
        <v>45952</v>
      </c>
      <c r="D11496" t="inlineStr">
        <is>
          <t>VÄSTRA GÖTALANDS LÄN</t>
        </is>
      </c>
      <c r="E11496" t="inlineStr">
        <is>
          <t>BENGTSFORS</t>
        </is>
      </c>
      <c r="G11496" t="n">
        <v>4.8</v>
      </c>
      <c r="H11496" t="n">
        <v>0</v>
      </c>
      <c r="I11496" t="n">
        <v>0</v>
      </c>
      <c r="J11496" t="n">
        <v>0</v>
      </c>
      <c r="K11496" t="n">
        <v>0</v>
      </c>
      <c r="L11496" t="n">
        <v>0</v>
      </c>
      <c r="M11496" t="n">
        <v>0</v>
      </c>
      <c r="N11496" t="n">
        <v>0</v>
      </c>
      <c r="O11496" t="n">
        <v>0</v>
      </c>
      <c r="P11496" t="n">
        <v>0</v>
      </c>
      <c r="Q11496" t="n">
        <v>0</v>
      </c>
      <c r="R11496" s="2" t="inlineStr"/>
    </row>
    <row r="11497" ht="15" customHeight="1">
      <c r="A11497" t="inlineStr">
        <is>
          <t>A 51741-2025</t>
        </is>
      </c>
      <c r="B11497" s="1" t="n">
        <v>45951.60694444444</v>
      </c>
      <c r="C11497" s="1" t="n">
        <v>45952</v>
      </c>
      <c r="D11497" t="inlineStr">
        <is>
          <t>VÄSTRA GÖTALANDS LÄN</t>
        </is>
      </c>
      <c r="E11497" t="inlineStr">
        <is>
          <t>BENGTSFORS</t>
        </is>
      </c>
      <c r="G11497" t="n">
        <v>1.8</v>
      </c>
      <c r="H11497" t="n">
        <v>0</v>
      </c>
      <c r="I11497" t="n">
        <v>0</v>
      </c>
      <c r="J11497" t="n">
        <v>0</v>
      </c>
      <c r="K11497" t="n">
        <v>0</v>
      </c>
      <c r="L11497" t="n">
        <v>0</v>
      </c>
      <c r="M11497" t="n">
        <v>0</v>
      </c>
      <c r="N11497" t="n">
        <v>0</v>
      </c>
      <c r="O11497" t="n">
        <v>0</v>
      </c>
      <c r="P11497" t="n">
        <v>0</v>
      </c>
      <c r="Q11497" t="n">
        <v>0</v>
      </c>
      <c r="R11497" s="2" t="inlineStr"/>
    </row>
    <row r="11498" ht="15" customHeight="1">
      <c r="A11498" t="inlineStr">
        <is>
          <t>A 50732-2024</t>
        </is>
      </c>
      <c r="B11498" s="1" t="n">
        <v>45602.38895833334</v>
      </c>
      <c r="C11498" s="1" t="n">
        <v>45952</v>
      </c>
      <c r="D11498" t="inlineStr">
        <is>
          <t>VÄSTRA GÖTALANDS LÄN</t>
        </is>
      </c>
      <c r="E11498" t="inlineStr">
        <is>
          <t>DALS-ED</t>
        </is>
      </c>
      <c r="G11498" t="n">
        <v>3.8</v>
      </c>
      <c r="H11498" t="n">
        <v>0</v>
      </c>
      <c r="I11498" t="n">
        <v>0</v>
      </c>
      <c r="J11498" t="n">
        <v>0</v>
      </c>
      <c r="K11498" t="n">
        <v>0</v>
      </c>
      <c r="L11498" t="n">
        <v>0</v>
      </c>
      <c r="M11498" t="n">
        <v>0</v>
      </c>
      <c r="N11498" t="n">
        <v>0</v>
      </c>
      <c r="O11498" t="n">
        <v>0</v>
      </c>
      <c r="P11498" t="n">
        <v>0</v>
      </c>
      <c r="Q11498" t="n">
        <v>0</v>
      </c>
      <c r="R11498" s="2" t="inlineStr"/>
    </row>
    <row r="11499" ht="15" customHeight="1">
      <c r="A11499" t="inlineStr">
        <is>
          <t>A 552-2025</t>
        </is>
      </c>
      <c r="B11499" s="1" t="n">
        <v>45664.53193287037</v>
      </c>
      <c r="C11499" s="1" t="n">
        <v>45952</v>
      </c>
      <c r="D11499" t="inlineStr">
        <is>
          <t>VÄSTRA GÖTALANDS LÄN</t>
        </is>
      </c>
      <c r="E11499" t="inlineStr">
        <is>
          <t>TRANEMO</t>
        </is>
      </c>
      <c r="G11499" t="n">
        <v>0.6</v>
      </c>
      <c r="H11499" t="n">
        <v>0</v>
      </c>
      <c r="I11499" t="n">
        <v>0</v>
      </c>
      <c r="J11499" t="n">
        <v>0</v>
      </c>
      <c r="K11499" t="n">
        <v>0</v>
      </c>
      <c r="L11499" t="n">
        <v>0</v>
      </c>
      <c r="M11499" t="n">
        <v>0</v>
      </c>
      <c r="N11499" t="n">
        <v>0</v>
      </c>
      <c r="O11499" t="n">
        <v>0</v>
      </c>
      <c r="P11499" t="n">
        <v>0</v>
      </c>
      <c r="Q11499" t="n">
        <v>0</v>
      </c>
      <c r="R11499" s="2" t="inlineStr"/>
    </row>
    <row r="11500" ht="15" customHeight="1">
      <c r="A11500" t="inlineStr">
        <is>
          <t>A 13966-2025</t>
        </is>
      </c>
      <c r="B11500" s="1" t="n">
        <v>45738.35538194444</v>
      </c>
      <c r="C11500" s="1" t="n">
        <v>45952</v>
      </c>
      <c r="D11500" t="inlineStr">
        <is>
          <t>VÄSTRA GÖTALANDS LÄN</t>
        </is>
      </c>
      <c r="E11500" t="inlineStr">
        <is>
          <t>SVENLJUNGA</t>
        </is>
      </c>
      <c r="G11500" t="n">
        <v>1.2</v>
      </c>
      <c r="H11500" t="n">
        <v>0</v>
      </c>
      <c r="I11500" t="n">
        <v>0</v>
      </c>
      <c r="J11500" t="n">
        <v>0</v>
      </c>
      <c r="K11500" t="n">
        <v>0</v>
      </c>
      <c r="L11500" t="n">
        <v>0</v>
      </c>
      <c r="M11500" t="n">
        <v>0</v>
      </c>
      <c r="N11500" t="n">
        <v>0</v>
      </c>
      <c r="O11500" t="n">
        <v>0</v>
      </c>
      <c r="P11500" t="n">
        <v>0</v>
      </c>
      <c r="Q11500" t="n">
        <v>0</v>
      </c>
      <c r="R11500" s="2" t="inlineStr"/>
    </row>
    <row r="11501" ht="15" customHeight="1">
      <c r="A11501" t="inlineStr">
        <is>
          <t>A 51308-2025</t>
        </is>
      </c>
      <c r="B11501" s="1" t="n">
        <v>45950.36725694445</v>
      </c>
      <c r="C11501" s="1" t="n">
        <v>45952</v>
      </c>
      <c r="D11501" t="inlineStr">
        <is>
          <t>VÄSTRA GÖTALANDS LÄN</t>
        </is>
      </c>
      <c r="E11501" t="inlineStr">
        <is>
          <t>HERRLJUNGA</t>
        </is>
      </c>
      <c r="G11501" t="n">
        <v>3.8</v>
      </c>
      <c r="H11501" t="n">
        <v>0</v>
      </c>
      <c r="I11501" t="n">
        <v>0</v>
      </c>
      <c r="J11501" t="n">
        <v>0</v>
      </c>
      <c r="K11501" t="n">
        <v>0</v>
      </c>
      <c r="L11501" t="n">
        <v>0</v>
      </c>
      <c r="M11501" t="n">
        <v>0</v>
      </c>
      <c r="N11501" t="n">
        <v>0</v>
      </c>
      <c r="O11501" t="n">
        <v>0</v>
      </c>
      <c r="P11501" t="n">
        <v>0</v>
      </c>
      <c r="Q11501" t="n">
        <v>0</v>
      </c>
      <c r="R11501" s="2" t="inlineStr"/>
    </row>
    <row r="11502" ht="15" customHeight="1">
      <c r="A11502" t="inlineStr">
        <is>
          <t>A 51083-2024</t>
        </is>
      </c>
      <c r="B11502" s="1" t="n">
        <v>45603.46233796296</v>
      </c>
      <c r="C11502" s="1" t="n">
        <v>45952</v>
      </c>
      <c r="D11502" t="inlineStr">
        <is>
          <t>VÄSTRA GÖTALANDS LÄN</t>
        </is>
      </c>
      <c r="E11502" t="inlineStr">
        <is>
          <t>TANUM</t>
        </is>
      </c>
      <c r="G11502" t="n">
        <v>0.8</v>
      </c>
      <c r="H11502" t="n">
        <v>0</v>
      </c>
      <c r="I11502" t="n">
        <v>0</v>
      </c>
      <c r="J11502" t="n">
        <v>0</v>
      </c>
      <c r="K11502" t="n">
        <v>0</v>
      </c>
      <c r="L11502" t="n">
        <v>0</v>
      </c>
      <c r="M11502" t="n">
        <v>0</v>
      </c>
      <c r="N11502" t="n">
        <v>0</v>
      </c>
      <c r="O11502" t="n">
        <v>0</v>
      </c>
      <c r="P11502" t="n">
        <v>0</v>
      </c>
      <c r="Q11502" t="n">
        <v>0</v>
      </c>
      <c r="R11502" s="2" t="inlineStr"/>
    </row>
    <row r="11503" ht="15" customHeight="1">
      <c r="A11503" t="inlineStr">
        <is>
          <t>A 555-2025</t>
        </is>
      </c>
      <c r="B11503" s="1" t="n">
        <v>45664.53425925926</v>
      </c>
      <c r="C11503" s="1" t="n">
        <v>45952</v>
      </c>
      <c r="D11503" t="inlineStr">
        <is>
          <t>VÄSTRA GÖTALANDS LÄN</t>
        </is>
      </c>
      <c r="E11503" t="inlineStr">
        <is>
          <t>BENGTSFORS</t>
        </is>
      </c>
      <c r="G11503" t="n">
        <v>1.8</v>
      </c>
      <c r="H11503" t="n">
        <v>0</v>
      </c>
      <c r="I11503" t="n">
        <v>0</v>
      </c>
      <c r="J11503" t="n">
        <v>0</v>
      </c>
      <c r="K11503" t="n">
        <v>0</v>
      </c>
      <c r="L11503" t="n">
        <v>0</v>
      </c>
      <c r="M11503" t="n">
        <v>0</v>
      </c>
      <c r="N11503" t="n">
        <v>0</v>
      </c>
      <c r="O11503" t="n">
        <v>0</v>
      </c>
      <c r="P11503" t="n">
        <v>0</v>
      </c>
      <c r="Q11503" t="n">
        <v>0</v>
      </c>
      <c r="R11503" s="2" t="inlineStr"/>
    </row>
    <row r="11504" ht="15" customHeight="1">
      <c r="A11504" t="inlineStr">
        <is>
          <t>A 51344-2025</t>
        </is>
      </c>
      <c r="B11504" s="1" t="n">
        <v>45950.43148148148</v>
      </c>
      <c r="C11504" s="1" t="n">
        <v>45952</v>
      </c>
      <c r="D11504" t="inlineStr">
        <is>
          <t>VÄSTRA GÖTALANDS LÄN</t>
        </is>
      </c>
      <c r="E11504" t="inlineStr">
        <is>
          <t>SVENLJUNGA</t>
        </is>
      </c>
      <c r="G11504" t="n">
        <v>2.5</v>
      </c>
      <c r="H11504" t="n">
        <v>0</v>
      </c>
      <c r="I11504" t="n">
        <v>0</v>
      </c>
      <c r="J11504" t="n">
        <v>0</v>
      </c>
      <c r="K11504" t="n">
        <v>0</v>
      </c>
      <c r="L11504" t="n">
        <v>0</v>
      </c>
      <c r="M11504" t="n">
        <v>0</v>
      </c>
      <c r="N11504" t="n">
        <v>0</v>
      </c>
      <c r="O11504" t="n">
        <v>0</v>
      </c>
      <c r="P11504" t="n">
        <v>0</v>
      </c>
      <c r="Q11504" t="n">
        <v>0</v>
      </c>
      <c r="R11504" s="2" t="inlineStr"/>
    </row>
    <row r="11505" ht="15" customHeight="1">
      <c r="A11505" t="inlineStr">
        <is>
          <t>A 51380-2025</t>
        </is>
      </c>
      <c r="B11505" s="1" t="n">
        <v>45950.4577662037</v>
      </c>
      <c r="C11505" s="1" t="n">
        <v>45952</v>
      </c>
      <c r="D11505" t="inlineStr">
        <is>
          <t>VÄSTRA GÖTALANDS LÄN</t>
        </is>
      </c>
      <c r="E11505" t="inlineStr">
        <is>
          <t>ESSUNGA</t>
        </is>
      </c>
      <c r="G11505" t="n">
        <v>4.8</v>
      </c>
      <c r="H11505" t="n">
        <v>0</v>
      </c>
      <c r="I11505" t="n">
        <v>0</v>
      </c>
      <c r="J11505" t="n">
        <v>0</v>
      </c>
      <c r="K11505" t="n">
        <v>0</v>
      </c>
      <c r="L11505" t="n">
        <v>0</v>
      </c>
      <c r="M11505" t="n">
        <v>0</v>
      </c>
      <c r="N11505" t="n">
        <v>0</v>
      </c>
      <c r="O11505" t="n">
        <v>0</v>
      </c>
      <c r="P11505" t="n">
        <v>0</v>
      </c>
      <c r="Q11505" t="n">
        <v>0</v>
      </c>
      <c r="R11505" s="2" t="inlineStr"/>
    </row>
    <row r="11506" ht="15" customHeight="1">
      <c r="A11506" t="inlineStr">
        <is>
          <t>A 51411-2025</t>
        </is>
      </c>
      <c r="B11506" s="1" t="n">
        <v>45949</v>
      </c>
      <c r="C11506" s="1" t="n">
        <v>45952</v>
      </c>
      <c r="D11506" t="inlineStr">
        <is>
          <t>VÄSTRA GÖTALANDS LÄN</t>
        </is>
      </c>
      <c r="E11506" t="inlineStr">
        <is>
          <t>TANUM</t>
        </is>
      </c>
      <c r="G11506" t="n">
        <v>2.4</v>
      </c>
      <c r="H11506" t="n">
        <v>0</v>
      </c>
      <c r="I11506" t="n">
        <v>0</v>
      </c>
      <c r="J11506" t="n">
        <v>0</v>
      </c>
      <c r="K11506" t="n">
        <v>0</v>
      </c>
      <c r="L11506" t="n">
        <v>0</v>
      </c>
      <c r="M11506" t="n">
        <v>0</v>
      </c>
      <c r="N11506" t="n">
        <v>0</v>
      </c>
      <c r="O11506" t="n">
        <v>0</v>
      </c>
      <c r="P11506" t="n">
        <v>0</v>
      </c>
      <c r="Q11506" t="n">
        <v>0</v>
      </c>
      <c r="R11506" s="2" t="inlineStr"/>
    </row>
    <row r="11507" ht="15" customHeight="1">
      <c r="A11507" t="inlineStr">
        <is>
          <t>A 51418-2025</t>
        </is>
      </c>
      <c r="B11507" s="1" t="n">
        <v>45950.51443287037</v>
      </c>
      <c r="C11507" s="1" t="n">
        <v>45952</v>
      </c>
      <c r="D11507" t="inlineStr">
        <is>
          <t>VÄSTRA GÖTALANDS LÄN</t>
        </is>
      </c>
      <c r="E11507" t="inlineStr">
        <is>
          <t>TRANEMO</t>
        </is>
      </c>
      <c r="G11507" t="n">
        <v>2.2</v>
      </c>
      <c r="H11507" t="n">
        <v>0</v>
      </c>
      <c r="I11507" t="n">
        <v>0</v>
      </c>
      <c r="J11507" t="n">
        <v>0</v>
      </c>
      <c r="K11507" t="n">
        <v>0</v>
      </c>
      <c r="L11507" t="n">
        <v>0</v>
      </c>
      <c r="M11507" t="n">
        <v>0</v>
      </c>
      <c r="N11507" t="n">
        <v>0</v>
      </c>
      <c r="O11507" t="n">
        <v>0</v>
      </c>
      <c r="P11507" t="n">
        <v>0</v>
      </c>
      <c r="Q11507" t="n">
        <v>0</v>
      </c>
      <c r="R11507" s="2" t="inlineStr"/>
    </row>
    <row r="11508" ht="15" customHeight="1">
      <c r="A11508" t="inlineStr">
        <is>
          <t>A 51422-2025</t>
        </is>
      </c>
      <c r="B11508" s="1" t="n">
        <v>45950.52065972222</v>
      </c>
      <c r="C11508" s="1" t="n">
        <v>45952</v>
      </c>
      <c r="D11508" t="inlineStr">
        <is>
          <t>VÄSTRA GÖTALANDS LÄN</t>
        </is>
      </c>
      <c r="E11508" t="inlineStr">
        <is>
          <t>TRANEMO</t>
        </is>
      </c>
      <c r="G11508" t="n">
        <v>1.2</v>
      </c>
      <c r="H11508" t="n">
        <v>0</v>
      </c>
      <c r="I11508" t="n">
        <v>0</v>
      </c>
      <c r="J11508" t="n">
        <v>0</v>
      </c>
      <c r="K11508" t="n">
        <v>0</v>
      </c>
      <c r="L11508" t="n">
        <v>0</v>
      </c>
      <c r="M11508" t="n">
        <v>0</v>
      </c>
      <c r="N11508" t="n">
        <v>0</v>
      </c>
      <c r="O11508" t="n">
        <v>0</v>
      </c>
      <c r="P11508" t="n">
        <v>0</v>
      </c>
      <c r="Q11508" t="n">
        <v>0</v>
      </c>
      <c r="R11508" s="2" t="inlineStr"/>
    </row>
    <row r="11509" ht="15" customHeight="1">
      <c r="A11509" t="inlineStr">
        <is>
          <t>A 27734-2025</t>
        </is>
      </c>
      <c r="B11509" s="1" t="n">
        <v>45814.76371527778</v>
      </c>
      <c r="C11509" s="1" t="n">
        <v>45952</v>
      </c>
      <c r="D11509" t="inlineStr">
        <is>
          <t>VÄSTRA GÖTALANDS LÄN</t>
        </is>
      </c>
      <c r="E11509" t="inlineStr">
        <is>
          <t>TRANEMO</t>
        </is>
      </c>
      <c r="G11509" t="n">
        <v>10</v>
      </c>
      <c r="H11509" t="n">
        <v>0</v>
      </c>
      <c r="I11509" t="n">
        <v>0</v>
      </c>
      <c r="J11509" t="n">
        <v>0</v>
      </c>
      <c r="K11509" t="n">
        <v>0</v>
      </c>
      <c r="L11509" t="n">
        <v>0</v>
      </c>
      <c r="M11509" t="n">
        <v>0</v>
      </c>
      <c r="N11509" t="n">
        <v>0</v>
      </c>
      <c r="O11509" t="n">
        <v>0</v>
      </c>
      <c r="P11509" t="n">
        <v>0</v>
      </c>
      <c r="Q11509" t="n">
        <v>0</v>
      </c>
      <c r="R11509" s="2" t="inlineStr"/>
    </row>
    <row r="11510" ht="15" customHeight="1">
      <c r="A11510" t="inlineStr">
        <is>
          <t>A 51434-2025</t>
        </is>
      </c>
      <c r="B11510" s="1" t="n">
        <v>45949</v>
      </c>
      <c r="C11510" s="1" t="n">
        <v>45952</v>
      </c>
      <c r="D11510" t="inlineStr">
        <is>
          <t>VÄSTRA GÖTALANDS LÄN</t>
        </is>
      </c>
      <c r="E11510" t="inlineStr">
        <is>
          <t>SOTENÄS</t>
        </is>
      </c>
      <c r="G11510" t="n">
        <v>2.8</v>
      </c>
      <c r="H11510" t="n">
        <v>0</v>
      </c>
      <c r="I11510" t="n">
        <v>0</v>
      </c>
      <c r="J11510" t="n">
        <v>0</v>
      </c>
      <c r="K11510" t="n">
        <v>0</v>
      </c>
      <c r="L11510" t="n">
        <v>0</v>
      </c>
      <c r="M11510" t="n">
        <v>0</v>
      </c>
      <c r="N11510" t="n">
        <v>0</v>
      </c>
      <c r="O11510" t="n">
        <v>0</v>
      </c>
      <c r="P11510" t="n">
        <v>0</v>
      </c>
      <c r="Q11510" t="n">
        <v>0</v>
      </c>
      <c r="R11510" s="2" t="inlineStr"/>
    </row>
    <row r="11511" ht="15" customHeight="1">
      <c r="A11511" t="inlineStr">
        <is>
          <t>A 28037-2025</t>
        </is>
      </c>
      <c r="B11511" s="1" t="n">
        <v>45817.635625</v>
      </c>
      <c r="C11511" s="1" t="n">
        <v>45952</v>
      </c>
      <c r="D11511" t="inlineStr">
        <is>
          <t>VÄSTRA GÖTALANDS LÄN</t>
        </is>
      </c>
      <c r="E11511" t="inlineStr">
        <is>
          <t>BORÅS</t>
        </is>
      </c>
      <c r="G11511" t="n">
        <v>1</v>
      </c>
      <c r="H11511" t="n">
        <v>0</v>
      </c>
      <c r="I11511" t="n">
        <v>0</v>
      </c>
      <c r="J11511" t="n">
        <v>0</v>
      </c>
      <c r="K11511" t="n">
        <v>0</v>
      </c>
      <c r="L11511" t="n">
        <v>0</v>
      </c>
      <c r="M11511" t="n">
        <v>0</v>
      </c>
      <c r="N11511" t="n">
        <v>0</v>
      </c>
      <c r="O11511" t="n">
        <v>0</v>
      </c>
      <c r="P11511" t="n">
        <v>0</v>
      </c>
      <c r="Q11511" t="n">
        <v>0</v>
      </c>
      <c r="R11511" s="2" t="inlineStr"/>
    </row>
    <row r="11512" ht="15" customHeight="1">
      <c r="A11512" t="inlineStr">
        <is>
          <t>A 28052-2025</t>
        </is>
      </c>
      <c r="B11512" s="1" t="n">
        <v>45817.65847222223</v>
      </c>
      <c r="C11512" s="1" t="n">
        <v>45952</v>
      </c>
      <c r="D11512" t="inlineStr">
        <is>
          <t>VÄSTRA GÖTALANDS LÄN</t>
        </is>
      </c>
      <c r="E11512" t="inlineStr">
        <is>
          <t>VÅRGÅRDA</t>
        </is>
      </c>
      <c r="G11512" t="n">
        <v>0.8</v>
      </c>
      <c r="H11512" t="n">
        <v>0</v>
      </c>
      <c r="I11512" t="n">
        <v>0</v>
      </c>
      <c r="J11512" t="n">
        <v>0</v>
      </c>
      <c r="K11512" t="n">
        <v>0</v>
      </c>
      <c r="L11512" t="n">
        <v>0</v>
      </c>
      <c r="M11512" t="n">
        <v>0</v>
      </c>
      <c r="N11512" t="n">
        <v>0</v>
      </c>
      <c r="O11512" t="n">
        <v>0</v>
      </c>
      <c r="P11512" t="n">
        <v>0</v>
      </c>
      <c r="Q11512" t="n">
        <v>0</v>
      </c>
      <c r="R11512" s="2" t="inlineStr"/>
    </row>
    <row r="11513" ht="15" customHeight="1">
      <c r="A11513" t="inlineStr">
        <is>
          <t>A 28020-2025</t>
        </is>
      </c>
      <c r="B11513" s="1" t="n">
        <v>45817.61564814814</v>
      </c>
      <c r="C11513" s="1" t="n">
        <v>45952</v>
      </c>
      <c r="D11513" t="inlineStr">
        <is>
          <t>VÄSTRA GÖTALANDS LÄN</t>
        </is>
      </c>
      <c r="E11513" t="inlineStr">
        <is>
          <t>MARK</t>
        </is>
      </c>
      <c r="G11513" t="n">
        <v>1.6</v>
      </c>
      <c r="H11513" t="n">
        <v>0</v>
      </c>
      <c r="I11513" t="n">
        <v>0</v>
      </c>
      <c r="J11513" t="n">
        <v>0</v>
      </c>
      <c r="K11513" t="n">
        <v>0</v>
      </c>
      <c r="L11513" t="n">
        <v>0</v>
      </c>
      <c r="M11513" t="n">
        <v>0</v>
      </c>
      <c r="N11513" t="n">
        <v>0</v>
      </c>
      <c r="O11513" t="n">
        <v>0</v>
      </c>
      <c r="P11513" t="n">
        <v>0</v>
      </c>
      <c r="Q11513" t="n">
        <v>0</v>
      </c>
      <c r="R11513" s="2" t="inlineStr"/>
    </row>
    <row r="11514" ht="15" customHeight="1">
      <c r="A11514" t="inlineStr">
        <is>
          <t>A 28049-2025</t>
        </is>
      </c>
      <c r="B11514" s="1" t="n">
        <v>45817.65653935185</v>
      </c>
      <c r="C11514" s="1" t="n">
        <v>45952</v>
      </c>
      <c r="D11514" t="inlineStr">
        <is>
          <t>VÄSTRA GÖTALANDS LÄN</t>
        </is>
      </c>
      <c r="E11514" t="inlineStr">
        <is>
          <t>VÅRGÅRDA</t>
        </is>
      </c>
      <c r="G11514" t="n">
        <v>2.4</v>
      </c>
      <c r="H11514" t="n">
        <v>0</v>
      </c>
      <c r="I11514" t="n">
        <v>0</v>
      </c>
      <c r="J11514" t="n">
        <v>0</v>
      </c>
      <c r="K11514" t="n">
        <v>0</v>
      </c>
      <c r="L11514" t="n">
        <v>0</v>
      </c>
      <c r="M11514" t="n">
        <v>0</v>
      </c>
      <c r="N11514" t="n">
        <v>0</v>
      </c>
      <c r="O11514" t="n">
        <v>0</v>
      </c>
      <c r="P11514" t="n">
        <v>0</v>
      </c>
      <c r="Q11514" t="n">
        <v>0</v>
      </c>
      <c r="R11514" s="2" t="inlineStr"/>
    </row>
    <row r="11515" ht="15" customHeight="1">
      <c r="A11515" t="inlineStr">
        <is>
          <t>A 28053-2025</t>
        </is>
      </c>
      <c r="B11515" s="1" t="n">
        <v>45817.65983796296</v>
      </c>
      <c r="C11515" s="1" t="n">
        <v>45952</v>
      </c>
      <c r="D11515" t="inlineStr">
        <is>
          <t>VÄSTRA GÖTALANDS LÄN</t>
        </is>
      </c>
      <c r="E11515" t="inlineStr">
        <is>
          <t>LERUM</t>
        </is>
      </c>
      <c r="G11515" t="n">
        <v>1.8</v>
      </c>
      <c r="H11515" t="n">
        <v>0</v>
      </c>
      <c r="I11515" t="n">
        <v>0</v>
      </c>
      <c r="J11515" t="n">
        <v>0</v>
      </c>
      <c r="K11515" t="n">
        <v>0</v>
      </c>
      <c r="L11515" t="n">
        <v>0</v>
      </c>
      <c r="M11515" t="n">
        <v>0</v>
      </c>
      <c r="N11515" t="n">
        <v>0</v>
      </c>
      <c r="O11515" t="n">
        <v>0</v>
      </c>
      <c r="P11515" t="n">
        <v>0</v>
      </c>
      <c r="Q11515" t="n">
        <v>0</v>
      </c>
      <c r="R11515" s="2" t="inlineStr"/>
    </row>
    <row r="11516" ht="15" customHeight="1">
      <c r="A11516" t="inlineStr">
        <is>
          <t>A 27971-2025</t>
        </is>
      </c>
      <c r="B11516" s="1" t="n">
        <v>45817.56479166666</v>
      </c>
      <c r="C11516" s="1" t="n">
        <v>45952</v>
      </c>
      <c r="D11516" t="inlineStr">
        <is>
          <t>VÄSTRA GÖTALANDS LÄN</t>
        </is>
      </c>
      <c r="E11516" t="inlineStr">
        <is>
          <t>SVENLJUNGA</t>
        </is>
      </c>
      <c r="G11516" t="n">
        <v>0.7</v>
      </c>
      <c r="H11516" t="n">
        <v>0</v>
      </c>
      <c r="I11516" t="n">
        <v>0</v>
      </c>
      <c r="J11516" t="n">
        <v>0</v>
      </c>
      <c r="K11516" t="n">
        <v>0</v>
      </c>
      <c r="L11516" t="n">
        <v>0</v>
      </c>
      <c r="M11516" t="n">
        <v>0</v>
      </c>
      <c r="N11516" t="n">
        <v>0</v>
      </c>
      <c r="O11516" t="n">
        <v>0</v>
      </c>
      <c r="P11516" t="n">
        <v>0</v>
      </c>
      <c r="Q11516" t="n">
        <v>0</v>
      </c>
      <c r="R11516" s="2" t="inlineStr"/>
    </row>
    <row r="11517" ht="15" customHeight="1">
      <c r="A11517" t="inlineStr">
        <is>
          <t>A 43154-2025</t>
        </is>
      </c>
      <c r="B11517" s="1" t="n">
        <v>45909</v>
      </c>
      <c r="C11517" s="1" t="n">
        <v>45952</v>
      </c>
      <c r="D11517" t="inlineStr">
        <is>
          <t>VÄSTRA GÖTALANDS LÄN</t>
        </is>
      </c>
      <c r="E11517" t="inlineStr">
        <is>
          <t>MUNKEDAL</t>
        </is>
      </c>
      <c r="F11517" t="inlineStr">
        <is>
          <t>Övriga Aktiebolag</t>
        </is>
      </c>
      <c r="G11517" t="n">
        <v>6.9</v>
      </c>
      <c r="H11517" t="n">
        <v>0</v>
      </c>
      <c r="I11517" t="n">
        <v>0</v>
      </c>
      <c r="J11517" t="n">
        <v>0</v>
      </c>
      <c r="K11517" t="n">
        <v>0</v>
      </c>
      <c r="L11517" t="n">
        <v>0</v>
      </c>
      <c r="M11517" t="n">
        <v>0</v>
      </c>
      <c r="N11517" t="n">
        <v>0</v>
      </c>
      <c r="O11517" t="n">
        <v>0</v>
      </c>
      <c r="P11517" t="n">
        <v>0</v>
      </c>
      <c r="Q11517" t="n">
        <v>0</v>
      </c>
      <c r="R11517" s="2" t="inlineStr"/>
    </row>
    <row r="11518" ht="15" customHeight="1">
      <c r="A11518" t="inlineStr">
        <is>
          <t>A 28076-2025</t>
        </is>
      </c>
      <c r="B11518" s="1" t="n">
        <v>45817.68100694445</v>
      </c>
      <c r="C11518" s="1" t="n">
        <v>45952</v>
      </c>
      <c r="D11518" t="inlineStr">
        <is>
          <t>VÄSTRA GÖTALANDS LÄN</t>
        </is>
      </c>
      <c r="E11518" t="inlineStr">
        <is>
          <t>SVENLJUNGA</t>
        </is>
      </c>
      <c r="G11518" t="n">
        <v>1.3</v>
      </c>
      <c r="H11518" t="n">
        <v>0</v>
      </c>
      <c r="I11518" t="n">
        <v>0</v>
      </c>
      <c r="J11518" t="n">
        <v>0</v>
      </c>
      <c r="K11518" t="n">
        <v>0</v>
      </c>
      <c r="L11518" t="n">
        <v>0</v>
      </c>
      <c r="M11518" t="n">
        <v>0</v>
      </c>
      <c r="N11518" t="n">
        <v>0</v>
      </c>
      <c r="O11518" t="n">
        <v>0</v>
      </c>
      <c r="P11518" t="n">
        <v>0</v>
      </c>
      <c r="Q11518" t="n">
        <v>0</v>
      </c>
      <c r="R11518" s="2" t="inlineStr"/>
    </row>
    <row r="11519" ht="15" customHeight="1">
      <c r="A11519" t="inlineStr">
        <is>
          <t>A 62189-2023</t>
        </is>
      </c>
      <c r="B11519" s="1" t="n">
        <v>45267.45653935185</v>
      </c>
      <c r="C11519" s="1" t="n">
        <v>45952</v>
      </c>
      <c r="D11519" t="inlineStr">
        <is>
          <t>VÄSTRA GÖTALANDS LÄN</t>
        </is>
      </c>
      <c r="E11519" t="inlineStr">
        <is>
          <t>HERRLJUNGA</t>
        </is>
      </c>
      <c r="G11519" t="n">
        <v>1</v>
      </c>
      <c r="H11519" t="n">
        <v>0</v>
      </c>
      <c r="I11519" t="n">
        <v>0</v>
      </c>
      <c r="J11519" t="n">
        <v>0</v>
      </c>
      <c r="K11519" t="n">
        <v>0</v>
      </c>
      <c r="L11519" t="n">
        <v>0</v>
      </c>
      <c r="M11519" t="n">
        <v>0</v>
      </c>
      <c r="N11519" t="n">
        <v>0</v>
      </c>
      <c r="O11519" t="n">
        <v>0</v>
      </c>
      <c r="P11519" t="n">
        <v>0</v>
      </c>
      <c r="Q11519" t="n">
        <v>0</v>
      </c>
      <c r="R11519" s="2" t="inlineStr"/>
    </row>
    <row r="11520" ht="15" customHeight="1">
      <c r="A11520" t="inlineStr">
        <is>
          <t>A 27867-2025</t>
        </is>
      </c>
      <c r="B11520" s="1" t="n">
        <v>45817.42643518518</v>
      </c>
      <c r="C11520" s="1" t="n">
        <v>45952</v>
      </c>
      <c r="D11520" t="inlineStr">
        <is>
          <t>VÄSTRA GÖTALANDS LÄN</t>
        </is>
      </c>
      <c r="E11520" t="inlineStr">
        <is>
          <t>VÄNERSBORG</t>
        </is>
      </c>
      <c r="G11520" t="n">
        <v>2.2</v>
      </c>
      <c r="H11520" t="n">
        <v>0</v>
      </c>
      <c r="I11520" t="n">
        <v>0</v>
      </c>
      <c r="J11520" t="n">
        <v>0</v>
      </c>
      <c r="K11520" t="n">
        <v>0</v>
      </c>
      <c r="L11520" t="n">
        <v>0</v>
      </c>
      <c r="M11520" t="n">
        <v>0</v>
      </c>
      <c r="N11520" t="n">
        <v>0</v>
      </c>
      <c r="O11520" t="n">
        <v>0</v>
      </c>
      <c r="P11520" t="n">
        <v>0</v>
      </c>
      <c r="Q11520" t="n">
        <v>0</v>
      </c>
      <c r="R11520" s="2" t="inlineStr"/>
    </row>
    <row r="11521" ht="15" customHeight="1">
      <c r="A11521" t="inlineStr">
        <is>
          <t>A 14468-2023</t>
        </is>
      </c>
      <c r="B11521" s="1" t="n">
        <v>45012.65208333333</v>
      </c>
      <c r="C11521" s="1" t="n">
        <v>45952</v>
      </c>
      <c r="D11521" t="inlineStr">
        <is>
          <t>VÄSTRA GÖTALANDS LÄN</t>
        </is>
      </c>
      <c r="E11521" t="inlineStr">
        <is>
          <t>HÄRRYDA</t>
        </is>
      </c>
      <c r="G11521" t="n">
        <v>1.5</v>
      </c>
      <c r="H11521" t="n">
        <v>0</v>
      </c>
      <c r="I11521" t="n">
        <v>0</v>
      </c>
      <c r="J11521" t="n">
        <v>0</v>
      </c>
      <c r="K11521" t="n">
        <v>0</v>
      </c>
      <c r="L11521" t="n">
        <v>0</v>
      </c>
      <c r="M11521" t="n">
        <v>0</v>
      </c>
      <c r="N11521" t="n">
        <v>0</v>
      </c>
      <c r="O11521" t="n">
        <v>0</v>
      </c>
      <c r="P11521" t="n">
        <v>0</v>
      </c>
      <c r="Q11521" t="n">
        <v>0</v>
      </c>
      <c r="R11521" s="2" t="inlineStr"/>
    </row>
    <row r="11522" ht="15" customHeight="1">
      <c r="A11522" t="inlineStr">
        <is>
          <t>A 35422-2025</t>
        </is>
      </c>
      <c r="B11522" s="1" t="n">
        <v>45855.41179398148</v>
      </c>
      <c r="C11522" s="1" t="n">
        <v>45952</v>
      </c>
      <c r="D11522" t="inlineStr">
        <is>
          <t>VÄSTRA GÖTALANDS LÄN</t>
        </is>
      </c>
      <c r="E11522" t="inlineStr">
        <is>
          <t>LILLA EDET</t>
        </is>
      </c>
      <c r="G11522" t="n">
        <v>1.5</v>
      </c>
      <c r="H11522" t="n">
        <v>0</v>
      </c>
      <c r="I11522" t="n">
        <v>0</v>
      </c>
      <c r="J11522" t="n">
        <v>0</v>
      </c>
      <c r="K11522" t="n">
        <v>0</v>
      </c>
      <c r="L11522" t="n">
        <v>0</v>
      </c>
      <c r="M11522" t="n">
        <v>0</v>
      </c>
      <c r="N11522" t="n">
        <v>0</v>
      </c>
      <c r="O11522" t="n">
        <v>0</v>
      </c>
      <c r="P11522" t="n">
        <v>0</v>
      </c>
      <c r="Q11522" t="n">
        <v>0</v>
      </c>
      <c r="R11522" s="2" t="inlineStr"/>
    </row>
    <row r="11523" ht="15" customHeight="1">
      <c r="A11523" t="inlineStr">
        <is>
          <t>A 20275-2025</t>
        </is>
      </c>
      <c r="B11523" s="1" t="n">
        <v>45774.32253472223</v>
      </c>
      <c r="C11523" s="1" t="n">
        <v>45952</v>
      </c>
      <c r="D11523" t="inlineStr">
        <is>
          <t>VÄSTRA GÖTALANDS LÄN</t>
        </is>
      </c>
      <c r="E11523" t="inlineStr">
        <is>
          <t>VÅRGÅRDA</t>
        </is>
      </c>
      <c r="G11523" t="n">
        <v>3.8</v>
      </c>
      <c r="H11523" t="n">
        <v>0</v>
      </c>
      <c r="I11523" t="n">
        <v>0</v>
      </c>
      <c r="J11523" t="n">
        <v>0</v>
      </c>
      <c r="K11523" t="n">
        <v>0</v>
      </c>
      <c r="L11523" t="n">
        <v>0</v>
      </c>
      <c r="M11523" t="n">
        <v>0</v>
      </c>
      <c r="N11523" t="n">
        <v>0</v>
      </c>
      <c r="O11523" t="n">
        <v>0</v>
      </c>
      <c r="P11523" t="n">
        <v>0</v>
      </c>
      <c r="Q11523" t="n">
        <v>0</v>
      </c>
      <c r="R11523" s="2" t="inlineStr"/>
    </row>
    <row r="11524" ht="15" customHeight="1">
      <c r="A11524" t="inlineStr">
        <is>
          <t>A 27724-2025</t>
        </is>
      </c>
      <c r="B11524" s="1" t="n">
        <v>45814.42583333333</v>
      </c>
      <c r="C11524" s="1" t="n">
        <v>45952</v>
      </c>
      <c r="D11524" t="inlineStr">
        <is>
          <t>VÄSTRA GÖTALANDS LÄN</t>
        </is>
      </c>
      <c r="E11524" t="inlineStr">
        <is>
          <t>SVENLJUNGA</t>
        </is>
      </c>
      <c r="G11524" t="n">
        <v>4.2</v>
      </c>
      <c r="H11524" t="n">
        <v>0</v>
      </c>
      <c r="I11524" t="n">
        <v>0</v>
      </c>
      <c r="J11524" t="n">
        <v>0</v>
      </c>
      <c r="K11524" t="n">
        <v>0</v>
      </c>
      <c r="L11524" t="n">
        <v>0</v>
      </c>
      <c r="M11524" t="n">
        <v>0</v>
      </c>
      <c r="N11524" t="n">
        <v>0</v>
      </c>
      <c r="O11524" t="n">
        <v>0</v>
      </c>
      <c r="P11524" t="n">
        <v>0</v>
      </c>
      <c r="Q11524" t="n">
        <v>0</v>
      </c>
      <c r="R11524" s="2" t="inlineStr"/>
    </row>
    <row r="11525" ht="15" customHeight="1">
      <c r="A11525" t="inlineStr">
        <is>
          <t>A 27766-2025</t>
        </is>
      </c>
      <c r="B11525" s="1" t="n">
        <v>45816.58734953704</v>
      </c>
      <c r="C11525" s="1" t="n">
        <v>45952</v>
      </c>
      <c r="D11525" t="inlineStr">
        <is>
          <t>VÄSTRA GÖTALANDS LÄN</t>
        </is>
      </c>
      <c r="E11525" t="inlineStr">
        <is>
          <t>TRANEMO</t>
        </is>
      </c>
      <c r="G11525" t="n">
        <v>11.8</v>
      </c>
      <c r="H11525" t="n">
        <v>0</v>
      </c>
      <c r="I11525" t="n">
        <v>0</v>
      </c>
      <c r="J11525" t="n">
        <v>0</v>
      </c>
      <c r="K11525" t="n">
        <v>0</v>
      </c>
      <c r="L11525" t="n">
        <v>0</v>
      </c>
      <c r="M11525" t="n">
        <v>0</v>
      </c>
      <c r="N11525" t="n">
        <v>0</v>
      </c>
      <c r="O11525" t="n">
        <v>0</v>
      </c>
      <c r="P11525" t="n">
        <v>0</v>
      </c>
      <c r="Q11525" t="n">
        <v>0</v>
      </c>
      <c r="R11525" s="2" t="inlineStr"/>
    </row>
    <row r="11526" ht="15" customHeight="1">
      <c r="A11526" t="inlineStr">
        <is>
          <t>A 27788-2025</t>
        </is>
      </c>
      <c r="B11526" s="1" t="n">
        <v>45816.69795138889</v>
      </c>
      <c r="C11526" s="1" t="n">
        <v>45952</v>
      </c>
      <c r="D11526" t="inlineStr">
        <is>
          <t>VÄSTRA GÖTALANDS LÄN</t>
        </is>
      </c>
      <c r="E11526" t="inlineStr">
        <is>
          <t>SVENLJUNGA</t>
        </is>
      </c>
      <c r="G11526" t="n">
        <v>0.6</v>
      </c>
      <c r="H11526" t="n">
        <v>0</v>
      </c>
      <c r="I11526" t="n">
        <v>0</v>
      </c>
      <c r="J11526" t="n">
        <v>0</v>
      </c>
      <c r="K11526" t="n">
        <v>0</v>
      </c>
      <c r="L11526" t="n">
        <v>0</v>
      </c>
      <c r="M11526" t="n">
        <v>0</v>
      </c>
      <c r="N11526" t="n">
        <v>0</v>
      </c>
      <c r="O11526" t="n">
        <v>0</v>
      </c>
      <c r="P11526" t="n">
        <v>0</v>
      </c>
      <c r="Q11526" t="n">
        <v>0</v>
      </c>
      <c r="R11526" s="2" t="inlineStr"/>
    </row>
    <row r="11527" ht="15" customHeight="1">
      <c r="A11527" t="inlineStr">
        <is>
          <t>A 27789-2025</t>
        </is>
      </c>
      <c r="B11527" s="1" t="n">
        <v>45816.70137731481</v>
      </c>
      <c r="C11527" s="1" t="n">
        <v>45952</v>
      </c>
      <c r="D11527" t="inlineStr">
        <is>
          <t>VÄSTRA GÖTALANDS LÄN</t>
        </is>
      </c>
      <c r="E11527" t="inlineStr">
        <is>
          <t>SVENLJUNGA</t>
        </is>
      </c>
      <c r="G11527" t="n">
        <v>0.8</v>
      </c>
      <c r="H11527" t="n">
        <v>0</v>
      </c>
      <c r="I11527" t="n">
        <v>0</v>
      </c>
      <c r="J11527" t="n">
        <v>0</v>
      </c>
      <c r="K11527" t="n">
        <v>0</v>
      </c>
      <c r="L11527" t="n">
        <v>0</v>
      </c>
      <c r="M11527" t="n">
        <v>0</v>
      </c>
      <c r="N11527" t="n">
        <v>0</v>
      </c>
      <c r="O11527" t="n">
        <v>0</v>
      </c>
      <c r="P11527" t="n">
        <v>0</v>
      </c>
      <c r="Q11527" t="n">
        <v>0</v>
      </c>
      <c r="R11527" s="2" t="inlineStr"/>
    </row>
    <row r="11528" ht="15" customHeight="1">
      <c r="A11528" t="inlineStr">
        <is>
          <t>A 51483-2025</t>
        </is>
      </c>
      <c r="B11528" s="1" t="n">
        <v>45950.6207175926</v>
      </c>
      <c r="C11528" s="1" t="n">
        <v>45952</v>
      </c>
      <c r="D11528" t="inlineStr">
        <is>
          <t>VÄSTRA GÖTALANDS LÄN</t>
        </is>
      </c>
      <c r="E11528" t="inlineStr">
        <is>
          <t>FÄRGELANDA</t>
        </is>
      </c>
      <c r="G11528" t="n">
        <v>2.3</v>
      </c>
      <c r="H11528" t="n">
        <v>0</v>
      </c>
      <c r="I11528" t="n">
        <v>0</v>
      </c>
      <c r="J11528" t="n">
        <v>0</v>
      </c>
      <c r="K11528" t="n">
        <v>0</v>
      </c>
      <c r="L11528" t="n">
        <v>0</v>
      </c>
      <c r="M11528" t="n">
        <v>0</v>
      </c>
      <c r="N11528" t="n">
        <v>0</v>
      </c>
      <c r="O11528" t="n">
        <v>0</v>
      </c>
      <c r="P11528" t="n">
        <v>0</v>
      </c>
      <c r="Q11528" t="n">
        <v>0</v>
      </c>
      <c r="R11528" s="2" t="inlineStr"/>
    </row>
    <row r="11529" ht="15" customHeight="1">
      <c r="A11529" t="inlineStr">
        <is>
          <t>A 27794-2025</t>
        </is>
      </c>
      <c r="B11529" s="1" t="n">
        <v>45816.77730324074</v>
      </c>
      <c r="C11529" s="1" t="n">
        <v>45952</v>
      </c>
      <c r="D11529" t="inlineStr">
        <is>
          <t>VÄSTRA GÖTALANDS LÄN</t>
        </is>
      </c>
      <c r="E11529" t="inlineStr">
        <is>
          <t>BORÅS</t>
        </is>
      </c>
      <c r="G11529" t="n">
        <v>1.3</v>
      </c>
      <c r="H11529" t="n">
        <v>0</v>
      </c>
      <c r="I11529" t="n">
        <v>0</v>
      </c>
      <c r="J11529" t="n">
        <v>0</v>
      </c>
      <c r="K11529" t="n">
        <v>0</v>
      </c>
      <c r="L11529" t="n">
        <v>0</v>
      </c>
      <c r="M11529" t="n">
        <v>0</v>
      </c>
      <c r="N11529" t="n">
        <v>0</v>
      </c>
      <c r="O11529" t="n">
        <v>0</v>
      </c>
      <c r="P11529" t="n">
        <v>0</v>
      </c>
      <c r="Q11529" t="n">
        <v>0</v>
      </c>
      <c r="R11529" s="2" t="inlineStr"/>
    </row>
    <row r="11530" ht="15" customHeight="1">
      <c r="A11530" t="inlineStr">
        <is>
          <t>A 11697-2024</t>
        </is>
      </c>
      <c r="B11530" s="1" t="n">
        <v>45373.60171296296</v>
      </c>
      <c r="C11530" s="1" t="n">
        <v>45952</v>
      </c>
      <c r="D11530" t="inlineStr">
        <is>
          <t>VÄSTRA GÖTALANDS LÄN</t>
        </is>
      </c>
      <c r="E11530" t="inlineStr">
        <is>
          <t>HÄRRYDA</t>
        </is>
      </c>
      <c r="G11530" t="n">
        <v>2</v>
      </c>
      <c r="H11530" t="n">
        <v>0</v>
      </c>
      <c r="I11530" t="n">
        <v>0</v>
      </c>
      <c r="J11530" t="n">
        <v>0</v>
      </c>
      <c r="K11530" t="n">
        <v>0</v>
      </c>
      <c r="L11530" t="n">
        <v>0</v>
      </c>
      <c r="M11530" t="n">
        <v>0</v>
      </c>
      <c r="N11530" t="n">
        <v>0</v>
      </c>
      <c r="O11530" t="n">
        <v>0</v>
      </c>
      <c r="P11530" t="n">
        <v>0</v>
      </c>
      <c r="Q11530" t="n">
        <v>0</v>
      </c>
      <c r="R11530" s="2" t="inlineStr"/>
    </row>
    <row r="11531" ht="15" customHeight="1">
      <c r="A11531" t="inlineStr">
        <is>
          <t>A 20684-2024</t>
        </is>
      </c>
      <c r="B11531" s="1" t="n">
        <v>45436.58445601852</v>
      </c>
      <c r="C11531" s="1" t="n">
        <v>45952</v>
      </c>
      <c r="D11531" t="inlineStr">
        <is>
          <t>VÄSTRA GÖTALANDS LÄN</t>
        </is>
      </c>
      <c r="E11531" t="inlineStr">
        <is>
          <t>LYSEKIL</t>
        </is>
      </c>
      <c r="G11531" t="n">
        <v>1.2</v>
      </c>
      <c r="H11531" t="n">
        <v>0</v>
      </c>
      <c r="I11531" t="n">
        <v>0</v>
      </c>
      <c r="J11531" t="n">
        <v>0</v>
      </c>
      <c r="K11531" t="n">
        <v>0</v>
      </c>
      <c r="L11531" t="n">
        <v>0</v>
      </c>
      <c r="M11531" t="n">
        <v>0</v>
      </c>
      <c r="N11531" t="n">
        <v>0</v>
      </c>
      <c r="O11531" t="n">
        <v>0</v>
      </c>
      <c r="P11531" t="n">
        <v>0</v>
      </c>
      <c r="Q11531" t="n">
        <v>0</v>
      </c>
      <c r="R11531" s="2" t="inlineStr"/>
    </row>
    <row r="11532" ht="15" customHeight="1">
      <c r="A11532" t="inlineStr">
        <is>
          <t>A 55448-2023</t>
        </is>
      </c>
      <c r="B11532" s="1" t="n">
        <v>45231</v>
      </c>
      <c r="C11532" s="1" t="n">
        <v>45952</v>
      </c>
      <c r="D11532" t="inlineStr">
        <is>
          <t>VÄSTRA GÖTALANDS LÄN</t>
        </is>
      </c>
      <c r="E11532" t="inlineStr">
        <is>
          <t>ULRICEHAMN</t>
        </is>
      </c>
      <c r="G11532" t="n">
        <v>14.7</v>
      </c>
      <c r="H11532" t="n">
        <v>0</v>
      </c>
      <c r="I11532" t="n">
        <v>0</v>
      </c>
      <c r="J11532" t="n">
        <v>0</v>
      </c>
      <c r="K11532" t="n">
        <v>0</v>
      </c>
      <c r="L11532" t="n">
        <v>0</v>
      </c>
      <c r="M11532" t="n">
        <v>0</v>
      </c>
      <c r="N11532" t="n">
        <v>0</v>
      </c>
      <c r="O11532" t="n">
        <v>0</v>
      </c>
      <c r="P11532" t="n">
        <v>0</v>
      </c>
      <c r="Q11532" t="n">
        <v>0</v>
      </c>
      <c r="R11532" s="2" t="inlineStr"/>
    </row>
    <row r="11533" ht="15" customHeight="1">
      <c r="A11533" t="inlineStr">
        <is>
          <t>A 72223-2021</t>
        </is>
      </c>
      <c r="B11533" s="1" t="n">
        <v>44544.79592592592</v>
      </c>
      <c r="C11533" s="1" t="n">
        <v>45952</v>
      </c>
      <c r="D11533" t="inlineStr">
        <is>
          <t>VÄSTRA GÖTALANDS LÄN</t>
        </is>
      </c>
      <c r="E11533" t="inlineStr">
        <is>
          <t>TANUM</t>
        </is>
      </c>
      <c r="G11533" t="n">
        <v>0.9</v>
      </c>
      <c r="H11533" t="n">
        <v>0</v>
      </c>
      <c r="I11533" t="n">
        <v>0</v>
      </c>
      <c r="J11533" t="n">
        <v>0</v>
      </c>
      <c r="K11533" t="n">
        <v>0</v>
      </c>
      <c r="L11533" t="n">
        <v>0</v>
      </c>
      <c r="M11533" t="n">
        <v>0</v>
      </c>
      <c r="N11533" t="n">
        <v>0</v>
      </c>
      <c r="O11533" t="n">
        <v>0</v>
      </c>
      <c r="P11533" t="n">
        <v>0</v>
      </c>
      <c r="Q11533" t="n">
        <v>0</v>
      </c>
      <c r="R11533" s="2" t="inlineStr"/>
    </row>
    <row r="11534" ht="15" customHeight="1">
      <c r="A11534" t="inlineStr">
        <is>
          <t>A 27907-2025</t>
        </is>
      </c>
      <c r="B11534" s="1" t="n">
        <v>45817.47203703703</v>
      </c>
      <c r="C11534" s="1" t="n">
        <v>45952</v>
      </c>
      <c r="D11534" t="inlineStr">
        <is>
          <t>VÄSTRA GÖTALANDS LÄN</t>
        </is>
      </c>
      <c r="E11534" t="inlineStr">
        <is>
          <t>DALS-ED</t>
        </is>
      </c>
      <c r="G11534" t="n">
        <v>5.2</v>
      </c>
      <c r="H11534" t="n">
        <v>0</v>
      </c>
      <c r="I11534" t="n">
        <v>0</v>
      </c>
      <c r="J11534" t="n">
        <v>0</v>
      </c>
      <c r="K11534" t="n">
        <v>0</v>
      </c>
      <c r="L11534" t="n">
        <v>0</v>
      </c>
      <c r="M11534" t="n">
        <v>0</v>
      </c>
      <c r="N11534" t="n">
        <v>0</v>
      </c>
      <c r="O11534" t="n">
        <v>0</v>
      </c>
      <c r="P11534" t="n">
        <v>0</v>
      </c>
      <c r="Q11534" t="n">
        <v>0</v>
      </c>
      <c r="R11534" s="2" t="inlineStr"/>
    </row>
    <row r="11535" ht="15" customHeight="1">
      <c r="A11535" t="inlineStr">
        <is>
          <t>A 27983-2025</t>
        </is>
      </c>
      <c r="B11535" s="1" t="n">
        <v>45817.57670138889</v>
      </c>
      <c r="C11535" s="1" t="n">
        <v>45952</v>
      </c>
      <c r="D11535" t="inlineStr">
        <is>
          <t>VÄSTRA GÖTALANDS LÄN</t>
        </is>
      </c>
      <c r="E11535" t="inlineStr">
        <is>
          <t>BENGTSFORS</t>
        </is>
      </c>
      <c r="G11535" t="n">
        <v>1.9</v>
      </c>
      <c r="H11535" t="n">
        <v>0</v>
      </c>
      <c r="I11535" t="n">
        <v>0</v>
      </c>
      <c r="J11535" t="n">
        <v>0</v>
      </c>
      <c r="K11535" t="n">
        <v>0</v>
      </c>
      <c r="L11535" t="n">
        <v>0</v>
      </c>
      <c r="M11535" t="n">
        <v>0</v>
      </c>
      <c r="N11535" t="n">
        <v>0</v>
      </c>
      <c r="O11535" t="n">
        <v>0</v>
      </c>
      <c r="P11535" t="n">
        <v>0</v>
      </c>
      <c r="Q11535" t="n">
        <v>0</v>
      </c>
      <c r="R11535" s="2" t="inlineStr"/>
    </row>
    <row r="11536" ht="15" customHeight="1">
      <c r="A11536" t="inlineStr">
        <is>
          <t>A 46904-2024</t>
        </is>
      </c>
      <c r="B11536" s="1" t="n">
        <v>45583.70912037037</v>
      </c>
      <c r="C11536" s="1" t="n">
        <v>45952</v>
      </c>
      <c r="D11536" t="inlineStr">
        <is>
          <t>VÄSTRA GÖTALANDS LÄN</t>
        </is>
      </c>
      <c r="E11536" t="inlineStr">
        <is>
          <t>KARLSBORG</t>
        </is>
      </c>
      <c r="G11536" t="n">
        <v>5.4</v>
      </c>
      <c r="H11536" t="n">
        <v>0</v>
      </c>
      <c r="I11536" t="n">
        <v>0</v>
      </c>
      <c r="J11536" t="n">
        <v>0</v>
      </c>
      <c r="K11536" t="n">
        <v>0</v>
      </c>
      <c r="L11536" t="n">
        <v>0</v>
      </c>
      <c r="M11536" t="n">
        <v>0</v>
      </c>
      <c r="N11536" t="n">
        <v>0</v>
      </c>
      <c r="O11536" t="n">
        <v>0</v>
      </c>
      <c r="P11536" t="n">
        <v>0</v>
      </c>
      <c r="Q11536" t="n">
        <v>0</v>
      </c>
      <c r="R11536" s="2" t="inlineStr"/>
    </row>
    <row r="11537" ht="15" customHeight="1">
      <c r="A11537" t="inlineStr">
        <is>
          <t>A 3413-2023</t>
        </is>
      </c>
      <c r="B11537" s="1" t="n">
        <v>44949</v>
      </c>
      <c r="C11537" s="1" t="n">
        <v>45952</v>
      </c>
      <c r="D11537" t="inlineStr">
        <is>
          <t>VÄSTRA GÖTALANDS LÄN</t>
        </is>
      </c>
      <c r="E11537" t="inlineStr">
        <is>
          <t>ALE</t>
        </is>
      </c>
      <c r="G11537" t="n">
        <v>2.3</v>
      </c>
      <c r="H11537" t="n">
        <v>0</v>
      </c>
      <c r="I11537" t="n">
        <v>0</v>
      </c>
      <c r="J11537" t="n">
        <v>0</v>
      </c>
      <c r="K11537" t="n">
        <v>0</v>
      </c>
      <c r="L11537" t="n">
        <v>0</v>
      </c>
      <c r="M11537" t="n">
        <v>0</v>
      </c>
      <c r="N11537" t="n">
        <v>0</v>
      </c>
      <c r="O11537" t="n">
        <v>0</v>
      </c>
      <c r="P11537" t="n">
        <v>0</v>
      </c>
      <c r="Q11537" t="n">
        <v>0</v>
      </c>
      <c r="R11537" s="2" t="inlineStr"/>
    </row>
    <row r="11538" ht="15" customHeight="1">
      <c r="A11538" t="inlineStr">
        <is>
          <t>A 61171-2022</t>
        </is>
      </c>
      <c r="B11538" s="1" t="n">
        <v>44915</v>
      </c>
      <c r="C11538" s="1" t="n">
        <v>45952</v>
      </c>
      <c r="D11538" t="inlineStr">
        <is>
          <t>VÄSTRA GÖTALANDS LÄN</t>
        </is>
      </c>
      <c r="E11538" t="inlineStr">
        <is>
          <t>SVENLJUNGA</t>
        </is>
      </c>
      <c r="G11538" t="n">
        <v>5.4</v>
      </c>
      <c r="H11538" t="n">
        <v>0</v>
      </c>
      <c r="I11538" t="n">
        <v>0</v>
      </c>
      <c r="J11538" t="n">
        <v>0</v>
      </c>
      <c r="K11538" t="n">
        <v>0</v>
      </c>
      <c r="L11538" t="n">
        <v>0</v>
      </c>
      <c r="M11538" t="n">
        <v>0</v>
      </c>
      <c r="N11538" t="n">
        <v>0</v>
      </c>
      <c r="O11538" t="n">
        <v>0</v>
      </c>
      <c r="P11538" t="n">
        <v>0</v>
      </c>
      <c r="Q11538" t="n">
        <v>0</v>
      </c>
      <c r="R11538" s="2" t="inlineStr"/>
    </row>
    <row r="11539" ht="15" customHeight="1">
      <c r="A11539" t="inlineStr">
        <is>
          <t>A 11124-2025</t>
        </is>
      </c>
      <c r="B11539" s="1" t="n">
        <v>45723.64142361111</v>
      </c>
      <c r="C11539" s="1" t="n">
        <v>45952</v>
      </c>
      <c r="D11539" t="inlineStr">
        <is>
          <t>VÄSTRA GÖTALANDS LÄN</t>
        </is>
      </c>
      <c r="E11539" t="inlineStr">
        <is>
          <t>LERUM</t>
        </is>
      </c>
      <c r="G11539" t="n">
        <v>5</v>
      </c>
      <c r="H11539" t="n">
        <v>0</v>
      </c>
      <c r="I11539" t="n">
        <v>0</v>
      </c>
      <c r="J11539" t="n">
        <v>0</v>
      </c>
      <c r="K11539" t="n">
        <v>0</v>
      </c>
      <c r="L11539" t="n">
        <v>0</v>
      </c>
      <c r="M11539" t="n">
        <v>0</v>
      </c>
      <c r="N11539" t="n">
        <v>0</v>
      </c>
      <c r="O11539" t="n">
        <v>0</v>
      </c>
      <c r="P11539" t="n">
        <v>0</v>
      </c>
      <c r="Q11539" t="n">
        <v>0</v>
      </c>
      <c r="R11539" s="2" t="inlineStr"/>
    </row>
    <row r="11540" ht="15" customHeight="1">
      <c r="A11540" t="inlineStr">
        <is>
          <t>A 27979-2025</t>
        </is>
      </c>
      <c r="B11540" s="1" t="n">
        <v>45817.57240740741</v>
      </c>
      <c r="C11540" s="1" t="n">
        <v>45952</v>
      </c>
      <c r="D11540" t="inlineStr">
        <is>
          <t>VÄSTRA GÖTALANDS LÄN</t>
        </is>
      </c>
      <c r="E11540" t="inlineStr">
        <is>
          <t>ALINGSÅS</t>
        </is>
      </c>
      <c r="G11540" t="n">
        <v>2.6</v>
      </c>
      <c r="H11540" t="n">
        <v>0</v>
      </c>
      <c r="I11540" t="n">
        <v>0</v>
      </c>
      <c r="J11540" t="n">
        <v>0</v>
      </c>
      <c r="K11540" t="n">
        <v>0</v>
      </c>
      <c r="L11540" t="n">
        <v>0</v>
      </c>
      <c r="M11540" t="n">
        <v>0</v>
      </c>
      <c r="N11540" t="n">
        <v>0</v>
      </c>
      <c r="O11540" t="n">
        <v>0</v>
      </c>
      <c r="P11540" t="n">
        <v>0</v>
      </c>
      <c r="Q11540" t="n">
        <v>0</v>
      </c>
      <c r="R11540" s="2" t="inlineStr"/>
    </row>
    <row r="11541" ht="15" customHeight="1">
      <c r="A11541" t="inlineStr">
        <is>
          <t>A 5843-2025</t>
        </is>
      </c>
      <c r="B11541" s="1" t="n">
        <v>45695.27399305555</v>
      </c>
      <c r="C11541" s="1" t="n">
        <v>45952</v>
      </c>
      <c r="D11541" t="inlineStr">
        <is>
          <t>VÄSTRA GÖTALANDS LÄN</t>
        </is>
      </c>
      <c r="E11541" t="inlineStr">
        <is>
          <t>TRANEMO</t>
        </is>
      </c>
      <c r="G11541" t="n">
        <v>2.3</v>
      </c>
      <c r="H11541" t="n">
        <v>0</v>
      </c>
      <c r="I11541" t="n">
        <v>0</v>
      </c>
      <c r="J11541" t="n">
        <v>0</v>
      </c>
      <c r="K11541" t="n">
        <v>0</v>
      </c>
      <c r="L11541" t="n">
        <v>0</v>
      </c>
      <c r="M11541" t="n">
        <v>0</v>
      </c>
      <c r="N11541" t="n">
        <v>0</v>
      </c>
      <c r="O11541" t="n">
        <v>0</v>
      </c>
      <c r="P11541" t="n">
        <v>0</v>
      </c>
      <c r="Q11541" t="n">
        <v>0</v>
      </c>
      <c r="R11541" s="2" t="inlineStr"/>
    </row>
    <row r="11542" ht="15" customHeight="1">
      <c r="A11542" t="inlineStr">
        <is>
          <t>A 14407-2025</t>
        </is>
      </c>
      <c r="B11542" s="1" t="n">
        <v>45741.47072916666</v>
      </c>
      <c r="C11542" s="1" t="n">
        <v>45952</v>
      </c>
      <c r="D11542" t="inlineStr">
        <is>
          <t>VÄSTRA GÖTALANDS LÄN</t>
        </is>
      </c>
      <c r="E11542" t="inlineStr">
        <is>
          <t>FALKÖPING</t>
        </is>
      </c>
      <c r="G11542" t="n">
        <v>1.2</v>
      </c>
      <c r="H11542" t="n">
        <v>0</v>
      </c>
      <c r="I11542" t="n">
        <v>0</v>
      </c>
      <c r="J11542" t="n">
        <v>0</v>
      </c>
      <c r="K11542" t="n">
        <v>0</v>
      </c>
      <c r="L11542" t="n">
        <v>0</v>
      </c>
      <c r="M11542" t="n">
        <v>0</v>
      </c>
      <c r="N11542" t="n">
        <v>0</v>
      </c>
      <c r="O11542" t="n">
        <v>0</v>
      </c>
      <c r="P11542" t="n">
        <v>0</v>
      </c>
      <c r="Q11542" t="n">
        <v>0</v>
      </c>
      <c r="R11542" s="2" t="inlineStr"/>
    </row>
    <row r="11543" ht="15" customHeight="1">
      <c r="A11543" t="inlineStr">
        <is>
          <t>A 61211-2022</t>
        </is>
      </c>
      <c r="B11543" s="1" t="n">
        <v>44908</v>
      </c>
      <c r="C11543" s="1" t="n">
        <v>45952</v>
      </c>
      <c r="D11543" t="inlineStr">
        <is>
          <t>VÄSTRA GÖTALANDS LÄN</t>
        </is>
      </c>
      <c r="E11543" t="inlineStr">
        <is>
          <t>KARLSBORG</t>
        </is>
      </c>
      <c r="G11543" t="n">
        <v>8.1</v>
      </c>
      <c r="H11543" t="n">
        <v>0</v>
      </c>
      <c r="I11543" t="n">
        <v>0</v>
      </c>
      <c r="J11543" t="n">
        <v>0</v>
      </c>
      <c r="K11543" t="n">
        <v>0</v>
      </c>
      <c r="L11543" t="n">
        <v>0</v>
      </c>
      <c r="M11543" t="n">
        <v>0</v>
      </c>
      <c r="N11543" t="n">
        <v>0</v>
      </c>
      <c r="O11543" t="n">
        <v>0</v>
      </c>
      <c r="P11543" t="n">
        <v>0</v>
      </c>
      <c r="Q11543" t="n">
        <v>0</v>
      </c>
      <c r="R11543" s="2" t="inlineStr"/>
    </row>
    <row r="11544" ht="15" customHeight="1">
      <c r="A11544" t="inlineStr">
        <is>
          <t>A 61770-2022</t>
        </is>
      </c>
      <c r="B11544" s="1" t="n">
        <v>44917.51208333333</v>
      </c>
      <c r="C11544" s="1" t="n">
        <v>45952</v>
      </c>
      <c r="D11544" t="inlineStr">
        <is>
          <t>VÄSTRA GÖTALANDS LÄN</t>
        </is>
      </c>
      <c r="E11544" t="inlineStr">
        <is>
          <t>HERRLJUNGA</t>
        </is>
      </c>
      <c r="G11544" t="n">
        <v>3.3</v>
      </c>
      <c r="H11544" t="n">
        <v>0</v>
      </c>
      <c r="I11544" t="n">
        <v>0</v>
      </c>
      <c r="J11544" t="n">
        <v>0</v>
      </c>
      <c r="K11544" t="n">
        <v>0</v>
      </c>
      <c r="L11544" t="n">
        <v>0</v>
      </c>
      <c r="M11544" t="n">
        <v>0</v>
      </c>
      <c r="N11544" t="n">
        <v>0</v>
      </c>
      <c r="O11544" t="n">
        <v>0</v>
      </c>
      <c r="P11544" t="n">
        <v>0</v>
      </c>
      <c r="Q11544" t="n">
        <v>0</v>
      </c>
      <c r="R11544" s="2" t="inlineStr"/>
    </row>
    <row r="11545" ht="15" customHeight="1">
      <c r="A11545" t="inlineStr">
        <is>
          <t>A 59527-2024</t>
        </is>
      </c>
      <c r="B11545" s="1" t="n">
        <v>45638.59061342593</v>
      </c>
      <c r="C11545" s="1" t="n">
        <v>45952</v>
      </c>
      <c r="D11545" t="inlineStr">
        <is>
          <t>VÄSTRA GÖTALANDS LÄN</t>
        </is>
      </c>
      <c r="E11545" t="inlineStr">
        <is>
          <t>VARA</t>
        </is>
      </c>
      <c r="G11545" t="n">
        <v>2.8</v>
      </c>
      <c r="H11545" t="n">
        <v>0</v>
      </c>
      <c r="I11545" t="n">
        <v>0</v>
      </c>
      <c r="J11545" t="n">
        <v>0</v>
      </c>
      <c r="K11545" t="n">
        <v>0</v>
      </c>
      <c r="L11545" t="n">
        <v>0</v>
      </c>
      <c r="M11545" t="n">
        <v>0</v>
      </c>
      <c r="N11545" t="n">
        <v>0</v>
      </c>
      <c r="O11545" t="n">
        <v>0</v>
      </c>
      <c r="P11545" t="n">
        <v>0</v>
      </c>
      <c r="Q11545" t="n">
        <v>0</v>
      </c>
      <c r="R11545" s="2" t="inlineStr"/>
    </row>
    <row r="11546" ht="15" customHeight="1">
      <c r="A11546" t="inlineStr">
        <is>
          <t>A 57619-2024</t>
        </is>
      </c>
      <c r="B11546" s="1" t="n">
        <v>45630.55037037037</v>
      </c>
      <c r="C11546" s="1" t="n">
        <v>45952</v>
      </c>
      <c r="D11546" t="inlineStr">
        <is>
          <t>VÄSTRA GÖTALANDS LÄN</t>
        </is>
      </c>
      <c r="E11546" t="inlineStr">
        <is>
          <t>MUNKEDAL</t>
        </is>
      </c>
      <c r="G11546" t="n">
        <v>1.3</v>
      </c>
      <c r="H11546" t="n">
        <v>0</v>
      </c>
      <c r="I11546" t="n">
        <v>0</v>
      </c>
      <c r="J11546" t="n">
        <v>0</v>
      </c>
      <c r="K11546" t="n">
        <v>0</v>
      </c>
      <c r="L11546" t="n">
        <v>0</v>
      </c>
      <c r="M11546" t="n">
        <v>0</v>
      </c>
      <c r="N11546" t="n">
        <v>0</v>
      </c>
      <c r="O11546" t="n">
        <v>0</v>
      </c>
      <c r="P11546" t="n">
        <v>0</v>
      </c>
      <c r="Q11546" t="n">
        <v>0</v>
      </c>
      <c r="R11546" s="2" t="inlineStr"/>
    </row>
    <row r="11547" ht="15" customHeight="1">
      <c r="A11547" t="inlineStr">
        <is>
          <t>A 7212-2025</t>
        </is>
      </c>
      <c r="B11547" s="1" t="n">
        <v>45702</v>
      </c>
      <c r="C11547" s="1" t="n">
        <v>45952</v>
      </c>
      <c r="D11547" t="inlineStr">
        <is>
          <t>VÄSTRA GÖTALANDS LÄN</t>
        </is>
      </c>
      <c r="E11547" t="inlineStr">
        <is>
          <t>LIDKÖPING</t>
        </is>
      </c>
      <c r="G11547" t="n">
        <v>1.5</v>
      </c>
      <c r="H11547" t="n">
        <v>0</v>
      </c>
      <c r="I11547" t="n">
        <v>0</v>
      </c>
      <c r="J11547" t="n">
        <v>0</v>
      </c>
      <c r="K11547" t="n">
        <v>0</v>
      </c>
      <c r="L11547" t="n">
        <v>0</v>
      </c>
      <c r="M11547" t="n">
        <v>0</v>
      </c>
      <c r="N11547" t="n">
        <v>0</v>
      </c>
      <c r="O11547" t="n">
        <v>0</v>
      </c>
      <c r="P11547" t="n">
        <v>0</v>
      </c>
      <c r="Q11547" t="n">
        <v>0</v>
      </c>
      <c r="R11547" s="2" t="inlineStr"/>
    </row>
    <row r="11548" ht="15" customHeight="1">
      <c r="A11548" t="inlineStr">
        <is>
          <t>A 6231-2024</t>
        </is>
      </c>
      <c r="B11548" s="1" t="n">
        <v>45337.66972222222</v>
      </c>
      <c r="C11548" s="1" t="n">
        <v>45952</v>
      </c>
      <c r="D11548" t="inlineStr">
        <is>
          <t>VÄSTRA GÖTALANDS LÄN</t>
        </is>
      </c>
      <c r="E11548" t="inlineStr">
        <is>
          <t>HERRLJUNGA</t>
        </is>
      </c>
      <c r="G11548" t="n">
        <v>2.3</v>
      </c>
      <c r="H11548" t="n">
        <v>0</v>
      </c>
      <c r="I11548" t="n">
        <v>0</v>
      </c>
      <c r="J11548" t="n">
        <v>0</v>
      </c>
      <c r="K11548" t="n">
        <v>0</v>
      </c>
      <c r="L11548" t="n">
        <v>0</v>
      </c>
      <c r="M11548" t="n">
        <v>0</v>
      </c>
      <c r="N11548" t="n">
        <v>0</v>
      </c>
      <c r="O11548" t="n">
        <v>0</v>
      </c>
      <c r="P11548" t="n">
        <v>0</v>
      </c>
      <c r="Q11548" t="n">
        <v>0</v>
      </c>
      <c r="R11548" s="2" t="inlineStr"/>
    </row>
    <row r="11549" ht="15" customHeight="1">
      <c r="A11549" t="inlineStr">
        <is>
          <t>A 49768-2023</t>
        </is>
      </c>
      <c r="B11549" s="1" t="n">
        <v>45212.56842592593</v>
      </c>
      <c r="C11549" s="1" t="n">
        <v>45952</v>
      </c>
      <c r="D11549" t="inlineStr">
        <is>
          <t>VÄSTRA GÖTALANDS LÄN</t>
        </is>
      </c>
      <c r="E11549" t="inlineStr">
        <is>
          <t>ULRICEHAMN</t>
        </is>
      </c>
      <c r="G11549" t="n">
        <v>4</v>
      </c>
      <c r="H11549" t="n">
        <v>0</v>
      </c>
      <c r="I11549" t="n">
        <v>0</v>
      </c>
      <c r="J11549" t="n">
        <v>0</v>
      </c>
      <c r="K11549" t="n">
        <v>0</v>
      </c>
      <c r="L11549" t="n">
        <v>0</v>
      </c>
      <c r="M11549" t="n">
        <v>0</v>
      </c>
      <c r="N11549" t="n">
        <v>0</v>
      </c>
      <c r="O11549" t="n">
        <v>0</v>
      </c>
      <c r="P11549" t="n">
        <v>0</v>
      </c>
      <c r="Q11549" t="n">
        <v>0</v>
      </c>
      <c r="R11549" s="2" t="inlineStr"/>
    </row>
    <row r="11550" ht="15" customHeight="1">
      <c r="A11550" t="inlineStr">
        <is>
          <t>A 51739-2025</t>
        </is>
      </c>
      <c r="B11550" s="1" t="n">
        <v>45951.60511574074</v>
      </c>
      <c r="C11550" s="1" t="n">
        <v>45952</v>
      </c>
      <c r="D11550" t="inlineStr">
        <is>
          <t>VÄSTRA GÖTALANDS LÄN</t>
        </is>
      </c>
      <c r="E11550" t="inlineStr">
        <is>
          <t>BENGTSFORS</t>
        </is>
      </c>
      <c r="G11550" t="n">
        <v>2.3</v>
      </c>
      <c r="H11550" t="n">
        <v>0</v>
      </c>
      <c r="I11550" t="n">
        <v>0</v>
      </c>
      <c r="J11550" t="n">
        <v>0</v>
      </c>
      <c r="K11550" t="n">
        <v>0</v>
      </c>
      <c r="L11550" t="n">
        <v>0</v>
      </c>
      <c r="M11550" t="n">
        <v>0</v>
      </c>
      <c r="N11550" t="n">
        <v>0</v>
      </c>
      <c r="O11550" t="n">
        <v>0</v>
      </c>
      <c r="P11550" t="n">
        <v>0</v>
      </c>
      <c r="Q11550" t="n">
        <v>0</v>
      </c>
      <c r="R11550" s="2" t="inlineStr"/>
    </row>
    <row r="11551" ht="15" customHeight="1">
      <c r="A11551" t="inlineStr">
        <is>
          <t>A 56235-2020</t>
        </is>
      </c>
      <c r="B11551" s="1" t="n">
        <v>44134</v>
      </c>
      <c r="C11551" s="1" t="n">
        <v>45952</v>
      </c>
      <c r="D11551" t="inlineStr">
        <is>
          <t>VÄSTRA GÖTALANDS LÄN</t>
        </is>
      </c>
      <c r="E11551" t="inlineStr">
        <is>
          <t>ESSUNGA</t>
        </is>
      </c>
      <c r="G11551" t="n">
        <v>1.6</v>
      </c>
      <c r="H11551" t="n">
        <v>0</v>
      </c>
      <c r="I11551" t="n">
        <v>0</v>
      </c>
      <c r="J11551" t="n">
        <v>0</v>
      </c>
      <c r="K11551" t="n">
        <v>0</v>
      </c>
      <c r="L11551" t="n">
        <v>0</v>
      </c>
      <c r="M11551" t="n">
        <v>0</v>
      </c>
      <c r="N11551" t="n">
        <v>0</v>
      </c>
      <c r="O11551" t="n">
        <v>0</v>
      </c>
      <c r="P11551" t="n">
        <v>0</v>
      </c>
      <c r="Q11551" t="n">
        <v>0</v>
      </c>
      <c r="R11551" s="2" t="inlineStr"/>
    </row>
    <row r="11552" ht="15" customHeight="1">
      <c r="A11552" t="inlineStr">
        <is>
          <t>A 27986-2025</t>
        </is>
      </c>
      <c r="B11552" s="1" t="n">
        <v>45817.57896990741</v>
      </c>
      <c r="C11552" s="1" t="n">
        <v>45952</v>
      </c>
      <c r="D11552" t="inlineStr">
        <is>
          <t>VÄSTRA GÖTALANDS LÄN</t>
        </is>
      </c>
      <c r="E11552" t="inlineStr">
        <is>
          <t>BENGTSFORS</t>
        </is>
      </c>
      <c r="G11552" t="n">
        <v>1.2</v>
      </c>
      <c r="H11552" t="n">
        <v>0</v>
      </c>
      <c r="I11552" t="n">
        <v>0</v>
      </c>
      <c r="J11552" t="n">
        <v>0</v>
      </c>
      <c r="K11552" t="n">
        <v>0</v>
      </c>
      <c r="L11552" t="n">
        <v>0</v>
      </c>
      <c r="M11552" t="n">
        <v>0</v>
      </c>
      <c r="N11552" t="n">
        <v>0</v>
      </c>
      <c r="O11552" t="n">
        <v>0</v>
      </c>
      <c r="P11552" t="n">
        <v>0</v>
      </c>
      <c r="Q11552" t="n">
        <v>0</v>
      </c>
      <c r="R11552" s="2" t="inlineStr"/>
    </row>
    <row r="11553" ht="15" customHeight="1">
      <c r="A11553" t="inlineStr">
        <is>
          <t>A 28028-2025</t>
        </is>
      </c>
      <c r="B11553" s="1" t="n">
        <v>45817.62829861111</v>
      </c>
      <c r="C11553" s="1" t="n">
        <v>45952</v>
      </c>
      <c r="D11553" t="inlineStr">
        <is>
          <t>VÄSTRA GÖTALANDS LÄN</t>
        </is>
      </c>
      <c r="E11553" t="inlineStr">
        <is>
          <t>BORÅS</t>
        </is>
      </c>
      <c r="G11553" t="n">
        <v>1.7</v>
      </c>
      <c r="H11553" t="n">
        <v>0</v>
      </c>
      <c r="I11553" t="n">
        <v>0</v>
      </c>
      <c r="J11553" t="n">
        <v>0</v>
      </c>
      <c r="K11553" t="n">
        <v>0</v>
      </c>
      <c r="L11553" t="n">
        <v>0</v>
      </c>
      <c r="M11553" t="n">
        <v>0</v>
      </c>
      <c r="N11553" t="n">
        <v>0</v>
      </c>
      <c r="O11553" t="n">
        <v>0</v>
      </c>
      <c r="P11553" t="n">
        <v>0</v>
      </c>
      <c r="Q11553" t="n">
        <v>0</v>
      </c>
      <c r="R11553" s="2" t="inlineStr"/>
    </row>
    <row r="11554" ht="15" customHeight="1">
      <c r="A11554" t="inlineStr">
        <is>
          <t>A 28029-2025</t>
        </is>
      </c>
      <c r="B11554" s="1" t="n">
        <v>45817.6285300926</v>
      </c>
      <c r="C11554" s="1" t="n">
        <v>45952</v>
      </c>
      <c r="D11554" t="inlineStr">
        <is>
          <t>VÄSTRA GÖTALANDS LÄN</t>
        </is>
      </c>
      <c r="E11554" t="inlineStr">
        <is>
          <t>LERUM</t>
        </is>
      </c>
      <c r="G11554" t="n">
        <v>1.8</v>
      </c>
      <c r="H11554" t="n">
        <v>0</v>
      </c>
      <c r="I11554" t="n">
        <v>0</v>
      </c>
      <c r="J11554" t="n">
        <v>0</v>
      </c>
      <c r="K11554" t="n">
        <v>0</v>
      </c>
      <c r="L11554" t="n">
        <v>0</v>
      </c>
      <c r="M11554" t="n">
        <v>0</v>
      </c>
      <c r="N11554" t="n">
        <v>0</v>
      </c>
      <c r="O11554" t="n">
        <v>0</v>
      </c>
      <c r="P11554" t="n">
        <v>0</v>
      </c>
      <c r="Q11554" t="n">
        <v>0</v>
      </c>
      <c r="R11554" s="2" t="inlineStr"/>
    </row>
    <row r="11555" ht="15" customHeight="1">
      <c r="A11555" t="inlineStr">
        <is>
          <t>A 28041-2025</t>
        </is>
      </c>
      <c r="B11555" s="1" t="n">
        <v>45817.64803240741</v>
      </c>
      <c r="C11555" s="1" t="n">
        <v>45952</v>
      </c>
      <c r="D11555" t="inlineStr">
        <is>
          <t>VÄSTRA GÖTALANDS LÄN</t>
        </is>
      </c>
      <c r="E11555" t="inlineStr">
        <is>
          <t>SKARA</t>
        </is>
      </c>
      <c r="G11555" t="n">
        <v>0.9</v>
      </c>
      <c r="H11555" t="n">
        <v>0</v>
      </c>
      <c r="I11555" t="n">
        <v>0</v>
      </c>
      <c r="J11555" t="n">
        <v>0</v>
      </c>
      <c r="K11555" t="n">
        <v>0</v>
      </c>
      <c r="L11555" t="n">
        <v>0</v>
      </c>
      <c r="M11555" t="n">
        <v>0</v>
      </c>
      <c r="N11555" t="n">
        <v>0</v>
      </c>
      <c r="O11555" t="n">
        <v>0</v>
      </c>
      <c r="P11555" t="n">
        <v>0</v>
      </c>
      <c r="Q11555" t="n">
        <v>0</v>
      </c>
      <c r="R11555" s="2" t="inlineStr"/>
    </row>
    <row r="11556" ht="15" customHeight="1">
      <c r="A11556" t="inlineStr">
        <is>
          <t>A 28074-2025</t>
        </is>
      </c>
      <c r="B11556" s="1" t="n">
        <v>45817.67849537037</v>
      </c>
      <c r="C11556" s="1" t="n">
        <v>45952</v>
      </c>
      <c r="D11556" t="inlineStr">
        <is>
          <t>VÄSTRA GÖTALANDS LÄN</t>
        </is>
      </c>
      <c r="E11556" t="inlineStr">
        <is>
          <t>TIDAHOLM</t>
        </is>
      </c>
      <c r="G11556" t="n">
        <v>4.9</v>
      </c>
      <c r="H11556" t="n">
        <v>0</v>
      </c>
      <c r="I11556" t="n">
        <v>0</v>
      </c>
      <c r="J11556" t="n">
        <v>0</v>
      </c>
      <c r="K11556" t="n">
        <v>0</v>
      </c>
      <c r="L11556" t="n">
        <v>0</v>
      </c>
      <c r="M11556" t="n">
        <v>0</v>
      </c>
      <c r="N11556" t="n">
        <v>0</v>
      </c>
      <c r="O11556" t="n">
        <v>0</v>
      </c>
      <c r="P11556" t="n">
        <v>0</v>
      </c>
      <c r="Q11556" t="n">
        <v>0</v>
      </c>
      <c r="R11556" s="2" t="inlineStr"/>
    </row>
    <row r="11557" ht="15" customHeight="1">
      <c r="A11557" t="inlineStr">
        <is>
          <t>A 32299-2024</t>
        </is>
      </c>
      <c r="B11557" s="1" t="n">
        <v>45512.44171296297</v>
      </c>
      <c r="C11557" s="1" t="n">
        <v>45952</v>
      </c>
      <c r="D11557" t="inlineStr">
        <is>
          <t>VÄSTRA GÖTALANDS LÄN</t>
        </is>
      </c>
      <c r="E11557" t="inlineStr">
        <is>
          <t>MELLERUD</t>
        </is>
      </c>
      <c r="G11557" t="n">
        <v>3.1</v>
      </c>
      <c r="H11557" t="n">
        <v>0</v>
      </c>
      <c r="I11557" t="n">
        <v>0</v>
      </c>
      <c r="J11557" t="n">
        <v>0</v>
      </c>
      <c r="K11557" t="n">
        <v>0</v>
      </c>
      <c r="L11557" t="n">
        <v>0</v>
      </c>
      <c r="M11557" t="n">
        <v>0</v>
      </c>
      <c r="N11557" t="n">
        <v>0</v>
      </c>
      <c r="O11557" t="n">
        <v>0</v>
      </c>
      <c r="P11557" t="n">
        <v>0</v>
      </c>
      <c r="Q11557" t="n">
        <v>0</v>
      </c>
      <c r="R11557" s="2" t="inlineStr"/>
    </row>
    <row r="11558" ht="15" customHeight="1">
      <c r="A11558" t="inlineStr">
        <is>
          <t>A 27756-2025</t>
        </is>
      </c>
      <c r="B11558" s="1" t="n">
        <v>45815.79688657408</v>
      </c>
      <c r="C11558" s="1" t="n">
        <v>45952</v>
      </c>
      <c r="D11558" t="inlineStr">
        <is>
          <t>VÄSTRA GÖTALANDS LÄN</t>
        </is>
      </c>
      <c r="E11558" t="inlineStr">
        <is>
          <t>TRANEMO</t>
        </is>
      </c>
      <c r="G11558" t="n">
        <v>3</v>
      </c>
      <c r="H11558" t="n">
        <v>0</v>
      </c>
      <c r="I11558" t="n">
        <v>0</v>
      </c>
      <c r="J11558" t="n">
        <v>0</v>
      </c>
      <c r="K11558" t="n">
        <v>0</v>
      </c>
      <c r="L11558" t="n">
        <v>0</v>
      </c>
      <c r="M11558" t="n">
        <v>0</v>
      </c>
      <c r="N11558" t="n">
        <v>0</v>
      </c>
      <c r="O11558" t="n">
        <v>0</v>
      </c>
      <c r="P11558" t="n">
        <v>0</v>
      </c>
      <c r="Q11558" t="n">
        <v>0</v>
      </c>
      <c r="R11558" s="2" t="inlineStr"/>
    </row>
    <row r="11559" ht="15" customHeight="1">
      <c r="A11559" t="inlineStr">
        <is>
          <t>A 14692-2024</t>
        </is>
      </c>
      <c r="B11559" s="1" t="n">
        <v>45397</v>
      </c>
      <c r="C11559" s="1" t="n">
        <v>45952</v>
      </c>
      <c r="D11559" t="inlineStr">
        <is>
          <t>VÄSTRA GÖTALANDS LÄN</t>
        </is>
      </c>
      <c r="E11559" t="inlineStr">
        <is>
          <t>MARK</t>
        </is>
      </c>
      <c r="G11559" t="n">
        <v>1.7</v>
      </c>
      <c r="H11559" t="n">
        <v>0</v>
      </c>
      <c r="I11559" t="n">
        <v>0</v>
      </c>
      <c r="J11559" t="n">
        <v>0</v>
      </c>
      <c r="K11559" t="n">
        <v>0</v>
      </c>
      <c r="L11559" t="n">
        <v>0</v>
      </c>
      <c r="M11559" t="n">
        <v>0</v>
      </c>
      <c r="N11559" t="n">
        <v>0</v>
      </c>
      <c r="O11559" t="n">
        <v>0</v>
      </c>
      <c r="P11559" t="n">
        <v>0</v>
      </c>
      <c r="Q11559" t="n">
        <v>0</v>
      </c>
      <c r="R11559" s="2" t="inlineStr"/>
    </row>
    <row r="11560" ht="15" customHeight="1">
      <c r="A11560" t="inlineStr">
        <is>
          <t>A 51292-2025</t>
        </is>
      </c>
      <c r="B11560" s="1" t="n">
        <v>45950.34901620371</v>
      </c>
      <c r="C11560" s="1" t="n">
        <v>45952</v>
      </c>
      <c r="D11560" t="inlineStr">
        <is>
          <t>VÄSTRA GÖTALANDS LÄN</t>
        </is>
      </c>
      <c r="E11560" t="inlineStr">
        <is>
          <t>FALKÖPING</t>
        </is>
      </c>
      <c r="G11560" t="n">
        <v>1.3</v>
      </c>
      <c r="H11560" t="n">
        <v>0</v>
      </c>
      <c r="I11560" t="n">
        <v>0</v>
      </c>
      <c r="J11560" t="n">
        <v>0</v>
      </c>
      <c r="K11560" t="n">
        <v>0</v>
      </c>
      <c r="L11560" t="n">
        <v>0</v>
      </c>
      <c r="M11560" t="n">
        <v>0</v>
      </c>
      <c r="N11560" t="n">
        <v>0</v>
      </c>
      <c r="O11560" t="n">
        <v>0</v>
      </c>
      <c r="P11560" t="n">
        <v>0</v>
      </c>
      <c r="Q11560" t="n">
        <v>0</v>
      </c>
      <c r="R11560" s="2" t="inlineStr"/>
    </row>
    <row r="11561" ht="15" customHeight="1">
      <c r="A11561" t="inlineStr">
        <is>
          <t>A 51294-2025</t>
        </is>
      </c>
      <c r="B11561" s="1" t="n">
        <v>45950.35351851852</v>
      </c>
      <c r="C11561" s="1" t="n">
        <v>45952</v>
      </c>
      <c r="D11561" t="inlineStr">
        <is>
          <t>VÄSTRA GÖTALANDS LÄN</t>
        </is>
      </c>
      <c r="E11561" t="inlineStr">
        <is>
          <t>SVENLJUNGA</t>
        </is>
      </c>
      <c r="G11561" t="n">
        <v>2.9</v>
      </c>
      <c r="H11561" t="n">
        <v>0</v>
      </c>
      <c r="I11561" t="n">
        <v>0</v>
      </c>
      <c r="J11561" t="n">
        <v>0</v>
      </c>
      <c r="K11561" t="n">
        <v>0</v>
      </c>
      <c r="L11561" t="n">
        <v>0</v>
      </c>
      <c r="M11561" t="n">
        <v>0</v>
      </c>
      <c r="N11561" t="n">
        <v>0</v>
      </c>
      <c r="O11561" t="n">
        <v>0</v>
      </c>
      <c r="P11561" t="n">
        <v>0</v>
      </c>
      <c r="Q11561" t="n">
        <v>0</v>
      </c>
      <c r="R11561" s="2" t="inlineStr"/>
    </row>
    <row r="11562" ht="15" customHeight="1">
      <c r="A11562" t="inlineStr">
        <is>
          <t>A 42809-2025</t>
        </is>
      </c>
      <c r="B11562" s="1" t="n">
        <v>45908.55498842592</v>
      </c>
      <c r="C11562" s="1" t="n">
        <v>45952</v>
      </c>
      <c r="D11562" t="inlineStr">
        <is>
          <t>VÄSTRA GÖTALANDS LÄN</t>
        </is>
      </c>
      <c r="E11562" t="inlineStr">
        <is>
          <t>MUNKEDAL</t>
        </is>
      </c>
      <c r="G11562" t="n">
        <v>0.9</v>
      </c>
      <c r="H11562" t="n">
        <v>0</v>
      </c>
      <c r="I11562" t="n">
        <v>0</v>
      </c>
      <c r="J11562" t="n">
        <v>0</v>
      </c>
      <c r="K11562" t="n">
        <v>0</v>
      </c>
      <c r="L11562" t="n">
        <v>0</v>
      </c>
      <c r="M11562" t="n">
        <v>0</v>
      </c>
      <c r="N11562" t="n">
        <v>0</v>
      </c>
      <c r="O11562" t="n">
        <v>0</v>
      </c>
      <c r="P11562" t="n">
        <v>0</v>
      </c>
      <c r="Q11562" t="n">
        <v>0</v>
      </c>
      <c r="R11562" s="2" t="inlineStr"/>
    </row>
    <row r="11563" ht="15" customHeight="1">
      <c r="A11563" t="inlineStr">
        <is>
          <t>A 42811-2025</t>
        </is>
      </c>
      <c r="B11563" s="1" t="n">
        <v>45908.55878472222</v>
      </c>
      <c r="C11563" s="1" t="n">
        <v>45952</v>
      </c>
      <c r="D11563" t="inlineStr">
        <is>
          <t>VÄSTRA GÖTALANDS LÄN</t>
        </is>
      </c>
      <c r="E11563" t="inlineStr">
        <is>
          <t>MUNKEDAL</t>
        </is>
      </c>
      <c r="G11563" t="n">
        <v>5.4</v>
      </c>
      <c r="H11563" t="n">
        <v>0</v>
      </c>
      <c r="I11563" t="n">
        <v>0</v>
      </c>
      <c r="J11563" t="n">
        <v>0</v>
      </c>
      <c r="K11563" t="n">
        <v>0</v>
      </c>
      <c r="L11563" t="n">
        <v>0</v>
      </c>
      <c r="M11563" t="n">
        <v>0</v>
      </c>
      <c r="N11563" t="n">
        <v>0</v>
      </c>
      <c r="O11563" t="n">
        <v>0</v>
      </c>
      <c r="P11563" t="n">
        <v>0</v>
      </c>
      <c r="Q11563" t="n">
        <v>0</v>
      </c>
      <c r="R11563" s="2" t="inlineStr"/>
    </row>
    <row r="11564" ht="15" customHeight="1">
      <c r="A11564" t="inlineStr">
        <is>
          <t>A 5966-2024</t>
        </is>
      </c>
      <c r="B11564" s="1" t="n">
        <v>45336.48494212963</v>
      </c>
      <c r="C11564" s="1" t="n">
        <v>45952</v>
      </c>
      <c r="D11564" t="inlineStr">
        <is>
          <t>VÄSTRA GÖTALANDS LÄN</t>
        </is>
      </c>
      <c r="E11564" t="inlineStr">
        <is>
          <t>ÅMÅL</t>
        </is>
      </c>
      <c r="G11564" t="n">
        <v>1.7</v>
      </c>
      <c r="H11564" t="n">
        <v>0</v>
      </c>
      <c r="I11564" t="n">
        <v>0</v>
      </c>
      <c r="J11564" t="n">
        <v>0</v>
      </c>
      <c r="K11564" t="n">
        <v>0</v>
      </c>
      <c r="L11564" t="n">
        <v>0</v>
      </c>
      <c r="M11564" t="n">
        <v>0</v>
      </c>
      <c r="N11564" t="n">
        <v>0</v>
      </c>
      <c r="O11564" t="n">
        <v>0</v>
      </c>
      <c r="P11564" t="n">
        <v>0</v>
      </c>
      <c r="Q11564" t="n">
        <v>0</v>
      </c>
      <c r="R11564" s="2" t="inlineStr"/>
    </row>
    <row r="11565" ht="15" customHeight="1">
      <c r="A11565" t="inlineStr">
        <is>
          <t>A 20819-2023</t>
        </is>
      </c>
      <c r="B11565" s="1" t="n">
        <v>45058</v>
      </c>
      <c r="C11565" s="1" t="n">
        <v>45952</v>
      </c>
      <c r="D11565" t="inlineStr">
        <is>
          <t>VÄSTRA GÖTALANDS LÄN</t>
        </is>
      </c>
      <c r="E11565" t="inlineStr">
        <is>
          <t>ORUST</t>
        </is>
      </c>
      <c r="G11565" t="n">
        <v>0.7</v>
      </c>
      <c r="H11565" t="n">
        <v>0</v>
      </c>
      <c r="I11565" t="n">
        <v>0</v>
      </c>
      <c r="J11565" t="n">
        <v>0</v>
      </c>
      <c r="K11565" t="n">
        <v>0</v>
      </c>
      <c r="L11565" t="n">
        <v>0</v>
      </c>
      <c r="M11565" t="n">
        <v>0</v>
      </c>
      <c r="N11565" t="n">
        <v>0</v>
      </c>
      <c r="O11565" t="n">
        <v>0</v>
      </c>
      <c r="P11565" t="n">
        <v>0</v>
      </c>
      <c r="Q11565" t="n">
        <v>0</v>
      </c>
      <c r="R11565" s="2" t="inlineStr"/>
    </row>
    <row r="11566" ht="15" customHeight="1">
      <c r="A11566" t="inlineStr">
        <is>
          <t>A 13436-2025</t>
        </is>
      </c>
      <c r="B11566" s="1" t="n">
        <v>45735</v>
      </c>
      <c r="C11566" s="1" t="n">
        <v>45952</v>
      </c>
      <c r="D11566" t="inlineStr">
        <is>
          <t>VÄSTRA GÖTALANDS LÄN</t>
        </is>
      </c>
      <c r="E11566" t="inlineStr">
        <is>
          <t>BORÅS</t>
        </is>
      </c>
      <c r="G11566" t="n">
        <v>0.8</v>
      </c>
      <c r="H11566" t="n">
        <v>0</v>
      </c>
      <c r="I11566" t="n">
        <v>0</v>
      </c>
      <c r="J11566" t="n">
        <v>0</v>
      </c>
      <c r="K11566" t="n">
        <v>0</v>
      </c>
      <c r="L11566" t="n">
        <v>0</v>
      </c>
      <c r="M11566" t="n">
        <v>0</v>
      </c>
      <c r="N11566" t="n">
        <v>0</v>
      </c>
      <c r="O11566" t="n">
        <v>0</v>
      </c>
      <c r="P11566" t="n">
        <v>0</v>
      </c>
      <c r="Q11566" t="n">
        <v>0</v>
      </c>
      <c r="R11566" s="2" t="inlineStr"/>
    </row>
    <row r="11567" ht="15" customHeight="1">
      <c r="A11567" t="inlineStr">
        <is>
          <t>A 54185-2024</t>
        </is>
      </c>
      <c r="B11567" s="1" t="n">
        <v>45616.64060185185</v>
      </c>
      <c r="C11567" s="1" t="n">
        <v>45952</v>
      </c>
      <c r="D11567" t="inlineStr">
        <is>
          <t>VÄSTRA GÖTALANDS LÄN</t>
        </is>
      </c>
      <c r="E11567" t="inlineStr">
        <is>
          <t>VÅRGÅRDA</t>
        </is>
      </c>
      <c r="G11567" t="n">
        <v>5.1</v>
      </c>
      <c r="H11567" t="n">
        <v>0</v>
      </c>
      <c r="I11567" t="n">
        <v>0</v>
      </c>
      <c r="J11567" t="n">
        <v>0</v>
      </c>
      <c r="K11567" t="n">
        <v>0</v>
      </c>
      <c r="L11567" t="n">
        <v>0</v>
      </c>
      <c r="M11567" t="n">
        <v>0</v>
      </c>
      <c r="N11567" t="n">
        <v>0</v>
      </c>
      <c r="O11567" t="n">
        <v>0</v>
      </c>
      <c r="P11567" t="n">
        <v>0</v>
      </c>
      <c r="Q11567" t="n">
        <v>0</v>
      </c>
      <c r="R11567" s="2" t="inlineStr"/>
    </row>
    <row r="11568" ht="15" customHeight="1">
      <c r="A11568" t="inlineStr">
        <is>
          <t>A 54279-2024</t>
        </is>
      </c>
      <c r="B11568" s="1" t="n">
        <v>45616.855</v>
      </c>
      <c r="C11568" s="1" t="n">
        <v>45952</v>
      </c>
      <c r="D11568" t="inlineStr">
        <is>
          <t>VÄSTRA GÖTALANDS LÄN</t>
        </is>
      </c>
      <c r="E11568" t="inlineStr">
        <is>
          <t>ORUST</t>
        </is>
      </c>
      <c r="G11568" t="n">
        <v>6.9</v>
      </c>
      <c r="H11568" t="n">
        <v>0</v>
      </c>
      <c r="I11568" t="n">
        <v>0</v>
      </c>
      <c r="J11568" t="n">
        <v>0</v>
      </c>
      <c r="K11568" t="n">
        <v>0</v>
      </c>
      <c r="L11568" t="n">
        <v>0</v>
      </c>
      <c r="M11568" t="n">
        <v>0</v>
      </c>
      <c r="N11568" t="n">
        <v>0</v>
      </c>
      <c r="O11568" t="n">
        <v>0</v>
      </c>
      <c r="P11568" t="n">
        <v>0</v>
      </c>
      <c r="Q11568" t="n">
        <v>0</v>
      </c>
      <c r="R11568" s="2" t="inlineStr"/>
    </row>
    <row r="11569" ht="15" customHeight="1">
      <c r="A11569" t="inlineStr">
        <is>
          <t>A 11362-2025</t>
        </is>
      </c>
      <c r="B11569" s="1" t="n">
        <v>45726.53643518518</v>
      </c>
      <c r="C11569" s="1" t="n">
        <v>45952</v>
      </c>
      <c r="D11569" t="inlineStr">
        <is>
          <t>VÄSTRA GÖTALANDS LÄN</t>
        </is>
      </c>
      <c r="E11569" t="inlineStr">
        <is>
          <t>STENUNGSUND</t>
        </is>
      </c>
      <c r="G11569" t="n">
        <v>6.4</v>
      </c>
      <c r="H11569" t="n">
        <v>0</v>
      </c>
      <c r="I11569" t="n">
        <v>0</v>
      </c>
      <c r="J11569" t="n">
        <v>0</v>
      </c>
      <c r="K11569" t="n">
        <v>0</v>
      </c>
      <c r="L11569" t="n">
        <v>0</v>
      </c>
      <c r="M11569" t="n">
        <v>0</v>
      </c>
      <c r="N11569" t="n">
        <v>0</v>
      </c>
      <c r="O11569" t="n">
        <v>0</v>
      </c>
      <c r="P11569" t="n">
        <v>0</v>
      </c>
      <c r="Q11569" t="n">
        <v>0</v>
      </c>
      <c r="R11569" s="2" t="inlineStr"/>
    </row>
    <row r="11570" ht="15" customHeight="1">
      <c r="A11570" t="inlineStr">
        <is>
          <t>A 13145-2025</t>
        </is>
      </c>
      <c r="B11570" s="1" t="n">
        <v>45735</v>
      </c>
      <c r="C11570" s="1" t="n">
        <v>45952</v>
      </c>
      <c r="D11570" t="inlineStr">
        <is>
          <t>VÄSTRA GÖTALANDS LÄN</t>
        </is>
      </c>
      <c r="E11570" t="inlineStr">
        <is>
          <t>BENGTSFORS</t>
        </is>
      </c>
      <c r="G11570" t="n">
        <v>12.1</v>
      </c>
      <c r="H11570" t="n">
        <v>0</v>
      </c>
      <c r="I11570" t="n">
        <v>0</v>
      </c>
      <c r="J11570" t="n">
        <v>0</v>
      </c>
      <c r="K11570" t="n">
        <v>0</v>
      </c>
      <c r="L11570" t="n">
        <v>0</v>
      </c>
      <c r="M11570" t="n">
        <v>0</v>
      </c>
      <c r="N11570" t="n">
        <v>0</v>
      </c>
      <c r="O11570" t="n">
        <v>0</v>
      </c>
      <c r="P11570" t="n">
        <v>0</v>
      </c>
      <c r="Q11570" t="n">
        <v>0</v>
      </c>
      <c r="R11570" s="2" t="inlineStr"/>
    </row>
    <row r="11571" ht="15" customHeight="1">
      <c r="A11571" t="inlineStr">
        <is>
          <t>A 6113-2021</t>
        </is>
      </c>
      <c r="B11571" s="1" t="n">
        <v>44232</v>
      </c>
      <c r="C11571" s="1" t="n">
        <v>45952</v>
      </c>
      <c r="D11571" t="inlineStr">
        <is>
          <t>VÄSTRA GÖTALANDS LÄN</t>
        </is>
      </c>
      <c r="E11571" t="inlineStr">
        <is>
          <t>DALS-ED</t>
        </is>
      </c>
      <c r="G11571" t="n">
        <v>1</v>
      </c>
      <c r="H11571" t="n">
        <v>0</v>
      </c>
      <c r="I11571" t="n">
        <v>0</v>
      </c>
      <c r="J11571" t="n">
        <v>0</v>
      </c>
      <c r="K11571" t="n">
        <v>0</v>
      </c>
      <c r="L11571" t="n">
        <v>0</v>
      </c>
      <c r="M11571" t="n">
        <v>0</v>
      </c>
      <c r="N11571" t="n">
        <v>0</v>
      </c>
      <c r="O11571" t="n">
        <v>0</v>
      </c>
      <c r="P11571" t="n">
        <v>0</v>
      </c>
      <c r="Q11571" t="n">
        <v>0</v>
      </c>
      <c r="R11571" s="2" t="inlineStr"/>
    </row>
    <row r="11572" ht="15" customHeight="1">
      <c r="A11572" t="inlineStr">
        <is>
          <t>A 6811-2025</t>
        </is>
      </c>
      <c r="B11572" s="1" t="n">
        <v>45700.69462962963</v>
      </c>
      <c r="C11572" s="1" t="n">
        <v>45952</v>
      </c>
      <c r="D11572" t="inlineStr">
        <is>
          <t>VÄSTRA GÖTALANDS LÄN</t>
        </is>
      </c>
      <c r="E11572" t="inlineStr">
        <is>
          <t>TÖREBODA</t>
        </is>
      </c>
      <c r="G11572" t="n">
        <v>7.1</v>
      </c>
      <c r="H11572" t="n">
        <v>0</v>
      </c>
      <c r="I11572" t="n">
        <v>0</v>
      </c>
      <c r="J11572" t="n">
        <v>0</v>
      </c>
      <c r="K11572" t="n">
        <v>0</v>
      </c>
      <c r="L11572" t="n">
        <v>0</v>
      </c>
      <c r="M11572" t="n">
        <v>0</v>
      </c>
      <c r="N11572" t="n">
        <v>0</v>
      </c>
      <c r="O11572" t="n">
        <v>0</v>
      </c>
      <c r="P11572" t="n">
        <v>0</v>
      </c>
      <c r="Q11572" t="n">
        <v>0</v>
      </c>
      <c r="R11572" s="2" t="inlineStr"/>
    </row>
    <row r="11573" ht="15" customHeight="1">
      <c r="A11573" t="inlineStr">
        <is>
          <t>A 6834-2025</t>
        </is>
      </c>
      <c r="B11573" s="1" t="n">
        <v>45700.77680555556</v>
      </c>
      <c r="C11573" s="1" t="n">
        <v>45952</v>
      </c>
      <c r="D11573" t="inlineStr">
        <is>
          <t>VÄSTRA GÖTALANDS LÄN</t>
        </is>
      </c>
      <c r="E11573" t="inlineStr">
        <is>
          <t>HERRLJUNGA</t>
        </is>
      </c>
      <c r="G11573" t="n">
        <v>2.8</v>
      </c>
      <c r="H11573" t="n">
        <v>0</v>
      </c>
      <c r="I11573" t="n">
        <v>0</v>
      </c>
      <c r="J11573" t="n">
        <v>0</v>
      </c>
      <c r="K11573" t="n">
        <v>0</v>
      </c>
      <c r="L11573" t="n">
        <v>0</v>
      </c>
      <c r="M11573" t="n">
        <v>0</v>
      </c>
      <c r="N11573" t="n">
        <v>0</v>
      </c>
      <c r="O11573" t="n">
        <v>0</v>
      </c>
      <c r="P11573" t="n">
        <v>0</v>
      </c>
      <c r="Q11573" t="n">
        <v>0</v>
      </c>
      <c r="R11573" s="2" t="inlineStr"/>
    </row>
    <row r="11574" ht="15" customHeight="1">
      <c r="A11574" t="inlineStr">
        <is>
          <t>A 18937-2023</t>
        </is>
      </c>
      <c r="B11574" s="1" t="n">
        <v>45044.62524305555</v>
      </c>
      <c r="C11574" s="1" t="n">
        <v>45952</v>
      </c>
      <c r="D11574" t="inlineStr">
        <is>
          <t>VÄSTRA GÖTALANDS LÄN</t>
        </is>
      </c>
      <c r="E11574" t="inlineStr">
        <is>
          <t>BORÅS</t>
        </is>
      </c>
      <c r="G11574" t="n">
        <v>0.6</v>
      </c>
      <c r="H11574" t="n">
        <v>0</v>
      </c>
      <c r="I11574" t="n">
        <v>0</v>
      </c>
      <c r="J11574" t="n">
        <v>0</v>
      </c>
      <c r="K11574" t="n">
        <v>0</v>
      </c>
      <c r="L11574" t="n">
        <v>0</v>
      </c>
      <c r="M11574" t="n">
        <v>0</v>
      </c>
      <c r="N11574" t="n">
        <v>0</v>
      </c>
      <c r="O11574" t="n">
        <v>0</v>
      </c>
      <c r="P11574" t="n">
        <v>0</v>
      </c>
      <c r="Q11574" t="n">
        <v>0</v>
      </c>
      <c r="R11574" s="2" t="inlineStr"/>
    </row>
    <row r="11575" ht="15" customHeight="1">
      <c r="A11575" t="inlineStr">
        <is>
          <t>A 56526-2024</t>
        </is>
      </c>
      <c r="B11575" s="1" t="n">
        <v>45625</v>
      </c>
      <c r="C11575" s="1" t="n">
        <v>45952</v>
      </c>
      <c r="D11575" t="inlineStr">
        <is>
          <t>VÄSTRA GÖTALANDS LÄN</t>
        </is>
      </c>
      <c r="E11575" t="inlineStr">
        <is>
          <t>GULLSPÅNG</t>
        </is>
      </c>
      <c r="G11575" t="n">
        <v>1</v>
      </c>
      <c r="H11575" t="n">
        <v>0</v>
      </c>
      <c r="I11575" t="n">
        <v>0</v>
      </c>
      <c r="J11575" t="n">
        <v>0</v>
      </c>
      <c r="K11575" t="n">
        <v>0</v>
      </c>
      <c r="L11575" t="n">
        <v>0</v>
      </c>
      <c r="M11575" t="n">
        <v>0</v>
      </c>
      <c r="N11575" t="n">
        <v>0</v>
      </c>
      <c r="O11575" t="n">
        <v>0</v>
      </c>
      <c r="P11575" t="n">
        <v>0</v>
      </c>
      <c r="Q11575" t="n">
        <v>0</v>
      </c>
      <c r="R11575" s="2" t="inlineStr"/>
    </row>
    <row r="11576" ht="15" customHeight="1">
      <c r="A11576" t="inlineStr">
        <is>
          <t>A 9639-2024</t>
        </is>
      </c>
      <c r="B11576" s="1" t="n">
        <v>45362.36138888889</v>
      </c>
      <c r="C11576" s="1" t="n">
        <v>45952</v>
      </c>
      <c r="D11576" t="inlineStr">
        <is>
          <t>VÄSTRA GÖTALANDS LÄN</t>
        </is>
      </c>
      <c r="E11576" t="inlineStr">
        <is>
          <t>SVENLJUNGA</t>
        </is>
      </c>
      <c r="G11576" t="n">
        <v>3.1</v>
      </c>
      <c r="H11576" t="n">
        <v>0</v>
      </c>
      <c r="I11576" t="n">
        <v>0</v>
      </c>
      <c r="J11576" t="n">
        <v>0</v>
      </c>
      <c r="K11576" t="n">
        <v>0</v>
      </c>
      <c r="L11576" t="n">
        <v>0</v>
      </c>
      <c r="M11576" t="n">
        <v>0</v>
      </c>
      <c r="N11576" t="n">
        <v>0</v>
      </c>
      <c r="O11576" t="n">
        <v>0</v>
      </c>
      <c r="P11576" t="n">
        <v>0</v>
      </c>
      <c r="Q11576" t="n">
        <v>0</v>
      </c>
      <c r="R11576" s="2" t="inlineStr"/>
    </row>
    <row r="11577" ht="15" customHeight="1">
      <c r="A11577" t="inlineStr">
        <is>
          <t>A 46379-2025</t>
        </is>
      </c>
      <c r="B11577" s="1" t="n">
        <v>45925</v>
      </c>
      <c r="C11577" s="1" t="n">
        <v>45952</v>
      </c>
      <c r="D11577" t="inlineStr">
        <is>
          <t>VÄSTRA GÖTALANDS LÄN</t>
        </is>
      </c>
      <c r="E11577" t="inlineStr">
        <is>
          <t>MÖLNDAL</t>
        </is>
      </c>
      <c r="G11577" t="n">
        <v>7.1</v>
      </c>
      <c r="H11577" t="n">
        <v>0</v>
      </c>
      <c r="I11577" t="n">
        <v>0</v>
      </c>
      <c r="J11577" t="n">
        <v>0</v>
      </c>
      <c r="K11577" t="n">
        <v>0</v>
      </c>
      <c r="L11577" t="n">
        <v>0</v>
      </c>
      <c r="M11577" t="n">
        <v>0</v>
      </c>
      <c r="N11577" t="n">
        <v>0</v>
      </c>
      <c r="O11577" t="n">
        <v>0</v>
      </c>
      <c r="P11577" t="n">
        <v>0</v>
      </c>
      <c r="Q11577" t="n">
        <v>0</v>
      </c>
      <c r="R11577" s="2" t="inlineStr"/>
    </row>
    <row r="11578" ht="15" customHeight="1">
      <c r="A11578" t="inlineStr">
        <is>
          <t>A 10429-2022</t>
        </is>
      </c>
      <c r="B11578" s="1" t="n">
        <v>44623</v>
      </c>
      <c r="C11578" s="1" t="n">
        <v>45952</v>
      </c>
      <c r="D11578" t="inlineStr">
        <is>
          <t>VÄSTRA GÖTALANDS LÄN</t>
        </is>
      </c>
      <c r="E11578" t="inlineStr">
        <is>
          <t>FALKÖPING</t>
        </is>
      </c>
      <c r="G11578" t="n">
        <v>2.9</v>
      </c>
      <c r="H11578" t="n">
        <v>0</v>
      </c>
      <c r="I11578" t="n">
        <v>0</v>
      </c>
      <c r="J11578" t="n">
        <v>0</v>
      </c>
      <c r="K11578" t="n">
        <v>0</v>
      </c>
      <c r="L11578" t="n">
        <v>0</v>
      </c>
      <c r="M11578" t="n">
        <v>0</v>
      </c>
      <c r="N11578" t="n">
        <v>0</v>
      </c>
      <c r="O11578" t="n">
        <v>0</v>
      </c>
      <c r="P11578" t="n">
        <v>0</v>
      </c>
      <c r="Q11578" t="n">
        <v>0</v>
      </c>
      <c r="R11578" s="2" t="inlineStr"/>
    </row>
    <row r="11579" ht="15" customHeight="1">
      <c r="A11579" t="inlineStr">
        <is>
          <t>A 9893-2025</t>
        </is>
      </c>
      <c r="B11579" s="1" t="n">
        <v>45716.70841435185</v>
      </c>
      <c r="C11579" s="1" t="n">
        <v>45952</v>
      </c>
      <c r="D11579" t="inlineStr">
        <is>
          <t>VÄSTRA GÖTALANDS LÄN</t>
        </is>
      </c>
      <c r="E11579" t="inlineStr">
        <is>
          <t>STENUNGSUND</t>
        </is>
      </c>
      <c r="G11579" t="n">
        <v>3.2</v>
      </c>
      <c r="H11579" t="n">
        <v>0</v>
      </c>
      <c r="I11579" t="n">
        <v>0</v>
      </c>
      <c r="J11579" t="n">
        <v>0</v>
      </c>
      <c r="K11579" t="n">
        <v>0</v>
      </c>
      <c r="L11579" t="n">
        <v>0</v>
      </c>
      <c r="M11579" t="n">
        <v>0</v>
      </c>
      <c r="N11579" t="n">
        <v>0</v>
      </c>
      <c r="O11579" t="n">
        <v>0</v>
      </c>
      <c r="P11579" t="n">
        <v>0</v>
      </c>
      <c r="Q11579" t="n">
        <v>0</v>
      </c>
      <c r="R11579" s="2" t="inlineStr"/>
    </row>
    <row r="11580" ht="15" customHeight="1">
      <c r="A11580" t="inlineStr">
        <is>
          <t>A 12009-2025</t>
        </is>
      </c>
      <c r="B11580" s="1" t="n">
        <v>45728</v>
      </c>
      <c r="C11580" s="1" t="n">
        <v>45952</v>
      </c>
      <c r="D11580" t="inlineStr">
        <is>
          <t>VÄSTRA GÖTALANDS LÄN</t>
        </is>
      </c>
      <c r="E11580" t="inlineStr">
        <is>
          <t>VARA</t>
        </is>
      </c>
      <c r="G11580" t="n">
        <v>3</v>
      </c>
      <c r="H11580" t="n">
        <v>0</v>
      </c>
      <c r="I11580" t="n">
        <v>0</v>
      </c>
      <c r="J11580" t="n">
        <v>0</v>
      </c>
      <c r="K11580" t="n">
        <v>0</v>
      </c>
      <c r="L11580" t="n">
        <v>0</v>
      </c>
      <c r="M11580" t="n">
        <v>0</v>
      </c>
      <c r="N11580" t="n">
        <v>0</v>
      </c>
      <c r="O11580" t="n">
        <v>0</v>
      </c>
      <c r="P11580" t="n">
        <v>0</v>
      </c>
      <c r="Q11580" t="n">
        <v>0</v>
      </c>
      <c r="R11580" s="2" t="inlineStr"/>
    </row>
    <row r="11581" ht="15" customHeight="1">
      <c r="A11581" t="inlineStr">
        <is>
          <t>A 28190-2025</t>
        </is>
      </c>
      <c r="B11581" s="1" t="n">
        <v>45818.41606481482</v>
      </c>
      <c r="C11581" s="1" t="n">
        <v>45952</v>
      </c>
      <c r="D11581" t="inlineStr">
        <is>
          <t>VÄSTRA GÖTALANDS LÄN</t>
        </is>
      </c>
      <c r="E11581" t="inlineStr">
        <is>
          <t>TIDAHOLM</t>
        </is>
      </c>
      <c r="G11581" t="n">
        <v>4.2</v>
      </c>
      <c r="H11581" t="n">
        <v>0</v>
      </c>
      <c r="I11581" t="n">
        <v>0</v>
      </c>
      <c r="J11581" t="n">
        <v>0</v>
      </c>
      <c r="K11581" t="n">
        <v>0</v>
      </c>
      <c r="L11581" t="n">
        <v>0</v>
      </c>
      <c r="M11581" t="n">
        <v>0</v>
      </c>
      <c r="N11581" t="n">
        <v>0</v>
      </c>
      <c r="O11581" t="n">
        <v>0</v>
      </c>
      <c r="P11581" t="n">
        <v>0</v>
      </c>
      <c r="Q11581" t="n">
        <v>0</v>
      </c>
      <c r="R11581" s="2" t="inlineStr"/>
    </row>
    <row r="11582" ht="15" customHeight="1">
      <c r="A11582" t="inlineStr">
        <is>
          <t>A 28264-2025</t>
        </is>
      </c>
      <c r="B11582" s="1" t="n">
        <v>45818.55997685185</v>
      </c>
      <c r="C11582" s="1" t="n">
        <v>45952</v>
      </c>
      <c r="D11582" t="inlineStr">
        <is>
          <t>VÄSTRA GÖTALANDS LÄN</t>
        </is>
      </c>
      <c r="E11582" t="inlineStr">
        <is>
          <t>VÄNERSBORG</t>
        </is>
      </c>
      <c r="G11582" t="n">
        <v>1.1</v>
      </c>
      <c r="H11582" t="n">
        <v>0</v>
      </c>
      <c r="I11582" t="n">
        <v>0</v>
      </c>
      <c r="J11582" t="n">
        <v>0</v>
      </c>
      <c r="K11582" t="n">
        <v>0</v>
      </c>
      <c r="L11582" t="n">
        <v>0</v>
      </c>
      <c r="M11582" t="n">
        <v>0</v>
      </c>
      <c r="N11582" t="n">
        <v>0</v>
      </c>
      <c r="O11582" t="n">
        <v>0</v>
      </c>
      <c r="P11582" t="n">
        <v>0</v>
      </c>
      <c r="Q11582" t="n">
        <v>0</v>
      </c>
      <c r="R11582" s="2" t="inlineStr"/>
    </row>
    <row r="11583" ht="15" customHeight="1">
      <c r="A11583" t="inlineStr">
        <is>
          <t>A 28265-2025</t>
        </is>
      </c>
      <c r="B11583" s="1" t="n">
        <v>45818.56096064814</v>
      </c>
      <c r="C11583" s="1" t="n">
        <v>45952</v>
      </c>
      <c r="D11583" t="inlineStr">
        <is>
          <t>VÄSTRA GÖTALANDS LÄN</t>
        </is>
      </c>
      <c r="E11583" t="inlineStr">
        <is>
          <t>VÄNERSBORG</t>
        </is>
      </c>
      <c r="G11583" t="n">
        <v>0.6</v>
      </c>
      <c r="H11583" t="n">
        <v>0</v>
      </c>
      <c r="I11583" t="n">
        <v>0</v>
      </c>
      <c r="J11583" t="n">
        <v>0</v>
      </c>
      <c r="K11583" t="n">
        <v>0</v>
      </c>
      <c r="L11583" t="n">
        <v>0</v>
      </c>
      <c r="M11583" t="n">
        <v>0</v>
      </c>
      <c r="N11583" t="n">
        <v>0</v>
      </c>
      <c r="O11583" t="n">
        <v>0</v>
      </c>
      <c r="P11583" t="n">
        <v>0</v>
      </c>
      <c r="Q11583" t="n">
        <v>0</v>
      </c>
      <c r="R11583" s="2" t="inlineStr"/>
    </row>
    <row r="11584" ht="15" customHeight="1">
      <c r="A11584" t="inlineStr">
        <is>
          <t>A 28151-2025</t>
        </is>
      </c>
      <c r="B11584" s="1" t="n">
        <v>45818.35608796297</v>
      </c>
      <c r="C11584" s="1" t="n">
        <v>45952</v>
      </c>
      <c r="D11584" t="inlineStr">
        <is>
          <t>VÄSTRA GÖTALANDS LÄN</t>
        </is>
      </c>
      <c r="E11584" t="inlineStr">
        <is>
          <t>BORÅS</t>
        </is>
      </c>
      <c r="G11584" t="n">
        <v>1.7</v>
      </c>
      <c r="H11584" t="n">
        <v>0</v>
      </c>
      <c r="I11584" t="n">
        <v>0</v>
      </c>
      <c r="J11584" t="n">
        <v>0</v>
      </c>
      <c r="K11584" t="n">
        <v>0</v>
      </c>
      <c r="L11584" t="n">
        <v>0</v>
      </c>
      <c r="M11584" t="n">
        <v>0</v>
      </c>
      <c r="N11584" t="n">
        <v>0</v>
      </c>
      <c r="O11584" t="n">
        <v>0</v>
      </c>
      <c r="P11584" t="n">
        <v>0</v>
      </c>
      <c r="Q11584" t="n">
        <v>0</v>
      </c>
      <c r="R11584" s="2" t="inlineStr"/>
    </row>
    <row r="11585" ht="15" customHeight="1">
      <c r="A11585" t="inlineStr">
        <is>
          <t>A 28152-2025</t>
        </is>
      </c>
      <c r="B11585" s="1" t="n">
        <v>45818.35734953704</v>
      </c>
      <c r="C11585" s="1" t="n">
        <v>45952</v>
      </c>
      <c r="D11585" t="inlineStr">
        <is>
          <t>VÄSTRA GÖTALANDS LÄN</t>
        </is>
      </c>
      <c r="E11585" t="inlineStr">
        <is>
          <t>VÅRGÅRDA</t>
        </is>
      </c>
      <c r="G11585" t="n">
        <v>2.3</v>
      </c>
      <c r="H11585" t="n">
        <v>0</v>
      </c>
      <c r="I11585" t="n">
        <v>0</v>
      </c>
      <c r="J11585" t="n">
        <v>0</v>
      </c>
      <c r="K11585" t="n">
        <v>0</v>
      </c>
      <c r="L11585" t="n">
        <v>0</v>
      </c>
      <c r="M11585" t="n">
        <v>0</v>
      </c>
      <c r="N11585" t="n">
        <v>0</v>
      </c>
      <c r="O11585" t="n">
        <v>0</v>
      </c>
      <c r="P11585" t="n">
        <v>0</v>
      </c>
      <c r="Q11585" t="n">
        <v>0</v>
      </c>
      <c r="R11585" s="2" t="inlineStr"/>
    </row>
    <row r="11586" ht="15" customHeight="1">
      <c r="A11586" t="inlineStr">
        <is>
          <t>A 51554-2025</t>
        </is>
      </c>
      <c r="B11586" s="1" t="n">
        <v>45950.88504629629</v>
      </c>
      <c r="C11586" s="1" t="n">
        <v>45952</v>
      </c>
      <c r="D11586" t="inlineStr">
        <is>
          <t>VÄSTRA GÖTALANDS LÄN</t>
        </is>
      </c>
      <c r="E11586" t="inlineStr">
        <is>
          <t>DALS-ED</t>
        </is>
      </c>
      <c r="F11586" t="inlineStr">
        <is>
          <t>Kyrkan</t>
        </is>
      </c>
      <c r="G11586" t="n">
        <v>5.3</v>
      </c>
      <c r="H11586" t="n">
        <v>0</v>
      </c>
      <c r="I11586" t="n">
        <v>0</v>
      </c>
      <c r="J11586" t="n">
        <v>0</v>
      </c>
      <c r="K11586" t="n">
        <v>0</v>
      </c>
      <c r="L11586" t="n">
        <v>0</v>
      </c>
      <c r="M11586" t="n">
        <v>0</v>
      </c>
      <c r="N11586" t="n">
        <v>0</v>
      </c>
      <c r="O11586" t="n">
        <v>0</v>
      </c>
      <c r="P11586" t="n">
        <v>0</v>
      </c>
      <c r="Q11586" t="n">
        <v>0</v>
      </c>
      <c r="R11586" s="2" t="inlineStr"/>
    </row>
    <row r="11587" ht="15" customHeight="1">
      <c r="A11587" t="inlineStr">
        <is>
          <t>A 28536-2025</t>
        </is>
      </c>
      <c r="B11587" s="1" t="n">
        <v>45819.51068287037</v>
      </c>
      <c r="C11587" s="1" t="n">
        <v>45952</v>
      </c>
      <c r="D11587" t="inlineStr">
        <is>
          <t>VÄSTRA GÖTALANDS LÄN</t>
        </is>
      </c>
      <c r="E11587" t="inlineStr">
        <is>
          <t>BORÅS</t>
        </is>
      </c>
      <c r="G11587" t="n">
        <v>0.1</v>
      </c>
      <c r="H11587" t="n">
        <v>0</v>
      </c>
      <c r="I11587" t="n">
        <v>0</v>
      </c>
      <c r="J11587" t="n">
        <v>0</v>
      </c>
      <c r="K11587" t="n">
        <v>0</v>
      </c>
      <c r="L11587" t="n">
        <v>0</v>
      </c>
      <c r="M11587" t="n">
        <v>0</v>
      </c>
      <c r="N11587" t="n">
        <v>0</v>
      </c>
      <c r="O11587" t="n">
        <v>0</v>
      </c>
      <c r="P11587" t="n">
        <v>0</v>
      </c>
      <c r="Q11587" t="n">
        <v>0</v>
      </c>
      <c r="R11587" s="2" t="inlineStr"/>
    </row>
    <row r="11588" ht="15" customHeight="1">
      <c r="A11588" t="inlineStr">
        <is>
          <t>A 50376-2025</t>
        </is>
      </c>
      <c r="B11588" s="1" t="n">
        <v>45944</v>
      </c>
      <c r="C11588" s="1" t="n">
        <v>45952</v>
      </c>
      <c r="D11588" t="inlineStr">
        <is>
          <t>VÄSTRA GÖTALANDS LÄN</t>
        </is>
      </c>
      <c r="E11588" t="inlineStr">
        <is>
          <t>BORÅS</t>
        </is>
      </c>
      <c r="G11588" t="n">
        <v>10.6</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42781-2025</t>
        </is>
      </c>
      <c r="B11589" s="1" t="n">
        <v>45908.50071759259</v>
      </c>
      <c r="C11589" s="1" t="n">
        <v>45952</v>
      </c>
      <c r="D11589" t="inlineStr">
        <is>
          <t>VÄSTRA GÖTALANDS LÄN</t>
        </is>
      </c>
      <c r="E11589" t="inlineStr">
        <is>
          <t>DALS-ED</t>
        </is>
      </c>
      <c r="F11589" t="inlineStr">
        <is>
          <t>Kyrkan</t>
        </is>
      </c>
      <c r="G11589" t="n">
        <v>2.9</v>
      </c>
      <c r="H11589" t="n">
        <v>0</v>
      </c>
      <c r="I11589" t="n">
        <v>0</v>
      </c>
      <c r="J11589" t="n">
        <v>0</v>
      </c>
      <c r="K11589" t="n">
        <v>0</v>
      </c>
      <c r="L11589" t="n">
        <v>0</v>
      </c>
      <c r="M11589" t="n">
        <v>0</v>
      </c>
      <c r="N11589" t="n">
        <v>0</v>
      </c>
      <c r="O11589" t="n">
        <v>0</v>
      </c>
      <c r="P11589" t="n">
        <v>0</v>
      </c>
      <c r="Q11589" t="n">
        <v>0</v>
      </c>
      <c r="R11589" s="2" t="inlineStr"/>
    </row>
    <row r="11590" ht="15" customHeight="1">
      <c r="A11590" t="inlineStr">
        <is>
          <t>A 28073-2024</t>
        </is>
      </c>
      <c r="B11590" s="1" t="n">
        <v>45476.58127314815</v>
      </c>
      <c r="C11590" s="1" t="n">
        <v>45952</v>
      </c>
      <c r="D11590" t="inlineStr">
        <is>
          <t>VÄSTRA GÖTALANDS LÄN</t>
        </is>
      </c>
      <c r="E11590" t="inlineStr">
        <is>
          <t>BOLLEBYGD</t>
        </is>
      </c>
      <c r="G11590" t="n">
        <v>7.4</v>
      </c>
      <c r="H11590" t="n">
        <v>0</v>
      </c>
      <c r="I11590" t="n">
        <v>0</v>
      </c>
      <c r="J11590" t="n">
        <v>0</v>
      </c>
      <c r="K11590" t="n">
        <v>0</v>
      </c>
      <c r="L11590" t="n">
        <v>0</v>
      </c>
      <c r="M11590" t="n">
        <v>0</v>
      </c>
      <c r="N11590" t="n">
        <v>0</v>
      </c>
      <c r="O11590" t="n">
        <v>0</v>
      </c>
      <c r="P11590" t="n">
        <v>0</v>
      </c>
      <c r="Q11590" t="n">
        <v>0</v>
      </c>
      <c r="R11590" s="2" t="inlineStr"/>
    </row>
    <row r="11591" ht="15" customHeight="1">
      <c r="A11591" t="inlineStr">
        <is>
          <t>A 28302-2025</t>
        </is>
      </c>
      <c r="B11591" s="1" t="n">
        <v>45818.60586805556</v>
      </c>
      <c r="C11591" s="1" t="n">
        <v>45952</v>
      </c>
      <c r="D11591" t="inlineStr">
        <is>
          <t>VÄSTRA GÖTALANDS LÄN</t>
        </is>
      </c>
      <c r="E11591" t="inlineStr">
        <is>
          <t>BENGTSFORS</t>
        </is>
      </c>
      <c r="G11591" t="n">
        <v>2.3</v>
      </c>
      <c r="H11591" t="n">
        <v>0</v>
      </c>
      <c r="I11591" t="n">
        <v>0</v>
      </c>
      <c r="J11591" t="n">
        <v>0</v>
      </c>
      <c r="K11591" t="n">
        <v>0</v>
      </c>
      <c r="L11591" t="n">
        <v>0</v>
      </c>
      <c r="M11591" t="n">
        <v>0</v>
      </c>
      <c r="N11591" t="n">
        <v>0</v>
      </c>
      <c r="O11591" t="n">
        <v>0</v>
      </c>
      <c r="P11591" t="n">
        <v>0</v>
      </c>
      <c r="Q11591" t="n">
        <v>0</v>
      </c>
      <c r="R11591" s="2" t="inlineStr"/>
    </row>
    <row r="11592" ht="15" customHeight="1">
      <c r="A11592" t="inlineStr">
        <is>
          <t>A 42839-2025</t>
        </is>
      </c>
      <c r="B11592" s="1" t="n">
        <v>45908.5827662037</v>
      </c>
      <c r="C11592" s="1" t="n">
        <v>45952</v>
      </c>
      <c r="D11592" t="inlineStr">
        <is>
          <t>VÄSTRA GÖTALANDS LÄN</t>
        </is>
      </c>
      <c r="E11592" t="inlineStr">
        <is>
          <t>MARIESTAD</t>
        </is>
      </c>
      <c r="G11592" t="n">
        <v>1.1</v>
      </c>
      <c r="H11592" t="n">
        <v>0</v>
      </c>
      <c r="I11592" t="n">
        <v>0</v>
      </c>
      <c r="J11592" t="n">
        <v>0</v>
      </c>
      <c r="K11592" t="n">
        <v>0</v>
      </c>
      <c r="L11592" t="n">
        <v>0</v>
      </c>
      <c r="M11592" t="n">
        <v>0</v>
      </c>
      <c r="N11592" t="n">
        <v>0</v>
      </c>
      <c r="O11592" t="n">
        <v>0</v>
      </c>
      <c r="P11592" t="n">
        <v>0</v>
      </c>
      <c r="Q11592" t="n">
        <v>0</v>
      </c>
      <c r="R11592" s="2" t="inlineStr"/>
    </row>
    <row r="11593" ht="15" customHeight="1">
      <c r="A11593" t="inlineStr">
        <is>
          <t>A 42848-2025</t>
        </is>
      </c>
      <c r="B11593" s="1" t="n">
        <v>45908.59571759259</v>
      </c>
      <c r="C11593" s="1" t="n">
        <v>45952</v>
      </c>
      <c r="D11593" t="inlineStr">
        <is>
          <t>VÄSTRA GÖTALANDS LÄN</t>
        </is>
      </c>
      <c r="E11593" t="inlineStr">
        <is>
          <t>MARK</t>
        </is>
      </c>
      <c r="G11593" t="n">
        <v>0.8</v>
      </c>
      <c r="H11593" t="n">
        <v>0</v>
      </c>
      <c r="I11593" t="n">
        <v>0</v>
      </c>
      <c r="J11593" t="n">
        <v>0</v>
      </c>
      <c r="K11593" t="n">
        <v>0</v>
      </c>
      <c r="L11593" t="n">
        <v>0</v>
      </c>
      <c r="M11593" t="n">
        <v>0</v>
      </c>
      <c r="N11593" t="n">
        <v>0</v>
      </c>
      <c r="O11593" t="n">
        <v>0</v>
      </c>
      <c r="P11593" t="n">
        <v>0</v>
      </c>
      <c r="Q11593" t="n">
        <v>0</v>
      </c>
      <c r="R11593" s="2" t="inlineStr"/>
    </row>
    <row r="11594" ht="15" customHeight="1">
      <c r="A11594" t="inlineStr">
        <is>
          <t>A 28313-2025</t>
        </is>
      </c>
      <c r="B11594" s="1" t="n">
        <v>45818.62532407408</v>
      </c>
      <c r="C11594" s="1" t="n">
        <v>45952</v>
      </c>
      <c r="D11594" t="inlineStr">
        <is>
          <t>VÄSTRA GÖTALANDS LÄN</t>
        </is>
      </c>
      <c r="E11594" t="inlineStr">
        <is>
          <t>MARIESTAD</t>
        </is>
      </c>
      <c r="G11594" t="n">
        <v>4.4</v>
      </c>
      <c r="H11594" t="n">
        <v>0</v>
      </c>
      <c r="I11594" t="n">
        <v>0</v>
      </c>
      <c r="J11594" t="n">
        <v>0</v>
      </c>
      <c r="K11594" t="n">
        <v>0</v>
      </c>
      <c r="L11594" t="n">
        <v>0</v>
      </c>
      <c r="M11594" t="n">
        <v>0</v>
      </c>
      <c r="N11594" t="n">
        <v>0</v>
      </c>
      <c r="O11594" t="n">
        <v>0</v>
      </c>
      <c r="P11594" t="n">
        <v>0</v>
      </c>
      <c r="Q11594" t="n">
        <v>0</v>
      </c>
      <c r="R11594" s="2" t="inlineStr"/>
    </row>
    <row r="11595" ht="15" customHeight="1">
      <c r="A11595" t="inlineStr">
        <is>
          <t>A 28315-2025</t>
        </is>
      </c>
      <c r="B11595" s="1" t="n">
        <v>45818.62765046296</v>
      </c>
      <c r="C11595" s="1" t="n">
        <v>45952</v>
      </c>
      <c r="D11595" t="inlineStr">
        <is>
          <t>VÄSTRA GÖTALANDS LÄN</t>
        </is>
      </c>
      <c r="E11595" t="inlineStr">
        <is>
          <t>KARLSBORG</t>
        </is>
      </c>
      <c r="G11595" t="n">
        <v>2.3</v>
      </c>
      <c r="H11595" t="n">
        <v>0</v>
      </c>
      <c r="I11595" t="n">
        <v>0</v>
      </c>
      <c r="J11595" t="n">
        <v>0</v>
      </c>
      <c r="K11595" t="n">
        <v>0</v>
      </c>
      <c r="L11595" t="n">
        <v>0</v>
      </c>
      <c r="M11595" t="n">
        <v>0</v>
      </c>
      <c r="N11595" t="n">
        <v>0</v>
      </c>
      <c r="O11595" t="n">
        <v>0</v>
      </c>
      <c r="P11595" t="n">
        <v>0</v>
      </c>
      <c r="Q11595" t="n">
        <v>0</v>
      </c>
      <c r="R11595" s="2" t="inlineStr"/>
    </row>
    <row r="11596" ht="15" customHeight="1">
      <c r="A11596" t="inlineStr">
        <is>
          <t>A 28320-2025</t>
        </is>
      </c>
      <c r="B11596" s="1" t="n">
        <v>45818.6374537037</v>
      </c>
      <c r="C11596" s="1" t="n">
        <v>45952</v>
      </c>
      <c r="D11596" t="inlineStr">
        <is>
          <t>VÄSTRA GÖTALANDS LÄN</t>
        </is>
      </c>
      <c r="E11596" t="inlineStr">
        <is>
          <t>BENGTSFORS</t>
        </is>
      </c>
      <c r="G11596" t="n">
        <v>2.1</v>
      </c>
      <c r="H11596" t="n">
        <v>0</v>
      </c>
      <c r="I11596" t="n">
        <v>0</v>
      </c>
      <c r="J11596" t="n">
        <v>0</v>
      </c>
      <c r="K11596" t="n">
        <v>0</v>
      </c>
      <c r="L11596" t="n">
        <v>0</v>
      </c>
      <c r="M11596" t="n">
        <v>0</v>
      </c>
      <c r="N11596" t="n">
        <v>0</v>
      </c>
      <c r="O11596" t="n">
        <v>0</v>
      </c>
      <c r="P11596" t="n">
        <v>0</v>
      </c>
      <c r="Q11596" t="n">
        <v>0</v>
      </c>
      <c r="R11596" s="2" t="inlineStr"/>
    </row>
    <row r="11597" ht="15" customHeight="1">
      <c r="A11597" t="inlineStr">
        <is>
          <t>A 42877-2025</t>
        </is>
      </c>
      <c r="B11597" s="1" t="n">
        <v>45908.63545138889</v>
      </c>
      <c r="C11597" s="1" t="n">
        <v>45952</v>
      </c>
      <c r="D11597" t="inlineStr">
        <is>
          <t>VÄSTRA GÖTALANDS LÄN</t>
        </is>
      </c>
      <c r="E11597" t="inlineStr">
        <is>
          <t>FALKÖPING</t>
        </is>
      </c>
      <c r="G11597" t="n">
        <v>1.4</v>
      </c>
      <c r="H11597" t="n">
        <v>0</v>
      </c>
      <c r="I11597" t="n">
        <v>0</v>
      </c>
      <c r="J11597" t="n">
        <v>0</v>
      </c>
      <c r="K11597" t="n">
        <v>0</v>
      </c>
      <c r="L11597" t="n">
        <v>0</v>
      </c>
      <c r="M11597" t="n">
        <v>0</v>
      </c>
      <c r="N11597" t="n">
        <v>0</v>
      </c>
      <c r="O11597" t="n">
        <v>0</v>
      </c>
      <c r="P11597" t="n">
        <v>0</v>
      </c>
      <c r="Q11597" t="n">
        <v>0</v>
      </c>
      <c r="R11597" s="2" t="inlineStr"/>
    </row>
    <row r="11598" ht="15" customHeight="1">
      <c r="A11598" t="inlineStr">
        <is>
          <t>A 51683-2025</t>
        </is>
      </c>
      <c r="B11598" s="1" t="n">
        <v>45951.52045138889</v>
      </c>
      <c r="C11598" s="1" t="n">
        <v>45952</v>
      </c>
      <c r="D11598" t="inlineStr">
        <is>
          <t>VÄSTRA GÖTALANDS LÄN</t>
        </is>
      </c>
      <c r="E11598" t="inlineStr">
        <is>
          <t>ULRICEHAMN</t>
        </is>
      </c>
      <c r="G11598" t="n">
        <v>1.6</v>
      </c>
      <c r="H11598" t="n">
        <v>0</v>
      </c>
      <c r="I11598" t="n">
        <v>0</v>
      </c>
      <c r="J11598" t="n">
        <v>0</v>
      </c>
      <c r="K11598" t="n">
        <v>0</v>
      </c>
      <c r="L11598" t="n">
        <v>0</v>
      </c>
      <c r="M11598" t="n">
        <v>0</v>
      </c>
      <c r="N11598" t="n">
        <v>0</v>
      </c>
      <c r="O11598" t="n">
        <v>0</v>
      </c>
      <c r="P11598" t="n">
        <v>0</v>
      </c>
      <c r="Q11598" t="n">
        <v>0</v>
      </c>
      <c r="R11598" s="2" t="inlineStr"/>
    </row>
    <row r="11599" ht="15" customHeight="1">
      <c r="A11599" t="inlineStr">
        <is>
          <t>A 51688-2025</t>
        </is>
      </c>
      <c r="B11599" s="1" t="n">
        <v>45951.53068287037</v>
      </c>
      <c r="C11599" s="1" t="n">
        <v>45952</v>
      </c>
      <c r="D11599" t="inlineStr">
        <is>
          <t>VÄSTRA GÖTALANDS LÄN</t>
        </is>
      </c>
      <c r="E11599" t="inlineStr">
        <is>
          <t>TANUM</t>
        </is>
      </c>
      <c r="G11599" t="n">
        <v>3.2</v>
      </c>
      <c r="H11599" t="n">
        <v>0</v>
      </c>
      <c r="I11599" t="n">
        <v>0</v>
      </c>
      <c r="J11599" t="n">
        <v>0</v>
      </c>
      <c r="K11599" t="n">
        <v>0</v>
      </c>
      <c r="L11599" t="n">
        <v>0</v>
      </c>
      <c r="M11599" t="n">
        <v>0</v>
      </c>
      <c r="N11599" t="n">
        <v>0</v>
      </c>
      <c r="O11599" t="n">
        <v>0</v>
      </c>
      <c r="P11599" t="n">
        <v>0</v>
      </c>
      <c r="Q11599" t="n">
        <v>0</v>
      </c>
      <c r="R11599" s="2" t="inlineStr"/>
    </row>
    <row r="11600" ht="15" customHeight="1">
      <c r="A11600" t="inlineStr">
        <is>
          <t>A 51698-2025</t>
        </is>
      </c>
      <c r="B11600" s="1" t="n">
        <v>45951.55238425926</v>
      </c>
      <c r="C11600" s="1" t="n">
        <v>45952</v>
      </c>
      <c r="D11600" t="inlineStr">
        <is>
          <t>VÄSTRA GÖTALANDS LÄN</t>
        </is>
      </c>
      <c r="E11600" t="inlineStr">
        <is>
          <t>TANUM</t>
        </is>
      </c>
      <c r="G11600" t="n">
        <v>1.4</v>
      </c>
      <c r="H11600" t="n">
        <v>0</v>
      </c>
      <c r="I11600" t="n">
        <v>0</v>
      </c>
      <c r="J11600" t="n">
        <v>0</v>
      </c>
      <c r="K11600" t="n">
        <v>0</v>
      </c>
      <c r="L11600" t="n">
        <v>0</v>
      </c>
      <c r="M11600" t="n">
        <v>0</v>
      </c>
      <c r="N11600" t="n">
        <v>0</v>
      </c>
      <c r="O11600" t="n">
        <v>0</v>
      </c>
      <c r="P11600" t="n">
        <v>0</v>
      </c>
      <c r="Q11600" t="n">
        <v>0</v>
      </c>
      <c r="R11600" s="2" t="inlineStr"/>
    </row>
    <row r="11601" ht="15" customHeight="1">
      <c r="A11601" t="inlineStr">
        <is>
          <t>A 28559-2025</t>
        </is>
      </c>
      <c r="B11601" s="1" t="n">
        <v>45819.54780092592</v>
      </c>
      <c r="C11601" s="1" t="n">
        <v>45952</v>
      </c>
      <c r="D11601" t="inlineStr">
        <is>
          <t>VÄSTRA GÖTALANDS LÄN</t>
        </is>
      </c>
      <c r="E11601" t="inlineStr">
        <is>
          <t>MUNKEDAL</t>
        </is>
      </c>
      <c r="G11601" t="n">
        <v>0.7</v>
      </c>
      <c r="H11601" t="n">
        <v>0</v>
      </c>
      <c r="I11601" t="n">
        <v>0</v>
      </c>
      <c r="J11601" t="n">
        <v>0</v>
      </c>
      <c r="K11601" t="n">
        <v>0</v>
      </c>
      <c r="L11601" t="n">
        <v>0</v>
      </c>
      <c r="M11601" t="n">
        <v>0</v>
      </c>
      <c r="N11601" t="n">
        <v>0</v>
      </c>
      <c r="O11601" t="n">
        <v>0</v>
      </c>
      <c r="P11601" t="n">
        <v>0</v>
      </c>
      <c r="Q11601" t="n">
        <v>0</v>
      </c>
      <c r="R11601" s="2" t="inlineStr"/>
    </row>
    <row r="11602" ht="15" customHeight="1">
      <c r="A11602" t="inlineStr">
        <is>
          <t>A 28447-2025</t>
        </is>
      </c>
      <c r="B11602" s="1" t="n">
        <v>45819.4</v>
      </c>
      <c r="C11602" s="1" t="n">
        <v>45952</v>
      </c>
      <c r="D11602" t="inlineStr">
        <is>
          <t>VÄSTRA GÖTALANDS LÄN</t>
        </is>
      </c>
      <c r="E11602" t="inlineStr">
        <is>
          <t>MARIESTAD</t>
        </is>
      </c>
      <c r="G11602" t="n">
        <v>6.3</v>
      </c>
      <c r="H11602" t="n">
        <v>0</v>
      </c>
      <c r="I11602" t="n">
        <v>0</v>
      </c>
      <c r="J11602" t="n">
        <v>0</v>
      </c>
      <c r="K11602" t="n">
        <v>0</v>
      </c>
      <c r="L11602" t="n">
        <v>0</v>
      </c>
      <c r="M11602" t="n">
        <v>0</v>
      </c>
      <c r="N11602" t="n">
        <v>0</v>
      </c>
      <c r="O11602" t="n">
        <v>0</v>
      </c>
      <c r="P11602" t="n">
        <v>0</v>
      </c>
      <c r="Q11602" t="n">
        <v>0</v>
      </c>
      <c r="R11602" s="2" t="inlineStr"/>
    </row>
    <row r="11603" ht="15" customHeight="1">
      <c r="A11603" t="inlineStr">
        <is>
          <t>A 11239-2025</t>
        </is>
      </c>
      <c r="B11603" s="1" t="n">
        <v>45726.3712037037</v>
      </c>
      <c r="C11603" s="1" t="n">
        <v>45952</v>
      </c>
      <c r="D11603" t="inlineStr">
        <is>
          <t>VÄSTRA GÖTALANDS LÄN</t>
        </is>
      </c>
      <c r="E11603" t="inlineStr">
        <is>
          <t>SVENLJUNGA</t>
        </is>
      </c>
      <c r="G11603" t="n">
        <v>3.5</v>
      </c>
      <c r="H11603" t="n">
        <v>0</v>
      </c>
      <c r="I11603" t="n">
        <v>0</v>
      </c>
      <c r="J11603" t="n">
        <v>0</v>
      </c>
      <c r="K11603" t="n">
        <v>0</v>
      </c>
      <c r="L11603" t="n">
        <v>0</v>
      </c>
      <c r="M11603" t="n">
        <v>0</v>
      </c>
      <c r="N11603" t="n">
        <v>0</v>
      </c>
      <c r="O11603" t="n">
        <v>0</v>
      </c>
      <c r="P11603" t="n">
        <v>0</v>
      </c>
      <c r="Q11603" t="n">
        <v>0</v>
      </c>
      <c r="R11603" s="2" t="inlineStr"/>
    </row>
    <row r="11604" ht="15" customHeight="1">
      <c r="A11604" t="inlineStr">
        <is>
          <t>A 28515-2025</t>
        </is>
      </c>
      <c r="B11604" s="1" t="n">
        <v>45819.48321759259</v>
      </c>
      <c r="C11604" s="1" t="n">
        <v>45952</v>
      </c>
      <c r="D11604" t="inlineStr">
        <is>
          <t>VÄSTRA GÖTALANDS LÄN</t>
        </is>
      </c>
      <c r="E11604" t="inlineStr">
        <is>
          <t>LILLA EDET</t>
        </is>
      </c>
      <c r="G11604" t="n">
        <v>1.7</v>
      </c>
      <c r="H11604" t="n">
        <v>0</v>
      </c>
      <c r="I11604" t="n">
        <v>0</v>
      </c>
      <c r="J11604" t="n">
        <v>0</v>
      </c>
      <c r="K11604" t="n">
        <v>0</v>
      </c>
      <c r="L11604" t="n">
        <v>0</v>
      </c>
      <c r="M11604" t="n">
        <v>0</v>
      </c>
      <c r="N11604" t="n">
        <v>0</v>
      </c>
      <c r="O11604" t="n">
        <v>0</v>
      </c>
      <c r="P11604" t="n">
        <v>0</v>
      </c>
      <c r="Q11604" t="n">
        <v>0</v>
      </c>
      <c r="R11604" s="2" t="inlineStr"/>
    </row>
    <row r="11605" ht="15" customHeight="1">
      <c r="A11605" t="inlineStr">
        <is>
          <t>A 46453-2024</t>
        </is>
      </c>
      <c r="B11605" s="1" t="n">
        <v>45582.51785879629</v>
      </c>
      <c r="C11605" s="1" t="n">
        <v>45952</v>
      </c>
      <c r="D11605" t="inlineStr">
        <is>
          <t>VÄSTRA GÖTALANDS LÄN</t>
        </is>
      </c>
      <c r="E11605" t="inlineStr">
        <is>
          <t>BORÅS</t>
        </is>
      </c>
      <c r="G11605" t="n">
        <v>2.3</v>
      </c>
      <c r="H11605" t="n">
        <v>0</v>
      </c>
      <c r="I11605" t="n">
        <v>0</v>
      </c>
      <c r="J11605" t="n">
        <v>0</v>
      </c>
      <c r="K11605" t="n">
        <v>0</v>
      </c>
      <c r="L11605" t="n">
        <v>0</v>
      </c>
      <c r="M11605" t="n">
        <v>0</v>
      </c>
      <c r="N11605" t="n">
        <v>0</v>
      </c>
      <c r="O11605" t="n">
        <v>0</v>
      </c>
      <c r="P11605" t="n">
        <v>0</v>
      </c>
      <c r="Q11605" t="n">
        <v>0</v>
      </c>
      <c r="R11605" s="2" t="inlineStr"/>
    </row>
    <row r="11606" ht="15" customHeight="1">
      <c r="A11606" t="inlineStr">
        <is>
          <t>A 28261-2025</t>
        </is>
      </c>
      <c r="B11606" s="1" t="n">
        <v>45818.55596064815</v>
      </c>
      <c r="C11606" s="1" t="n">
        <v>45952</v>
      </c>
      <c r="D11606" t="inlineStr">
        <is>
          <t>VÄSTRA GÖTALANDS LÄN</t>
        </is>
      </c>
      <c r="E11606" t="inlineStr">
        <is>
          <t>VÄNERSBORG</t>
        </is>
      </c>
      <c r="G11606" t="n">
        <v>0.7</v>
      </c>
      <c r="H11606" t="n">
        <v>0</v>
      </c>
      <c r="I11606" t="n">
        <v>0</v>
      </c>
      <c r="J11606" t="n">
        <v>0</v>
      </c>
      <c r="K11606" t="n">
        <v>0</v>
      </c>
      <c r="L11606" t="n">
        <v>0</v>
      </c>
      <c r="M11606" t="n">
        <v>0</v>
      </c>
      <c r="N11606" t="n">
        <v>0</v>
      </c>
      <c r="O11606" t="n">
        <v>0</v>
      </c>
      <c r="P11606" t="n">
        <v>0</v>
      </c>
      <c r="Q11606" t="n">
        <v>0</v>
      </c>
      <c r="R11606" s="2" t="inlineStr"/>
    </row>
    <row r="11607" ht="15" customHeight="1">
      <c r="A11607" t="inlineStr">
        <is>
          <t>A 28263-2025</t>
        </is>
      </c>
      <c r="B11607" s="1" t="n">
        <v>45818.55798611111</v>
      </c>
      <c r="C11607" s="1" t="n">
        <v>45952</v>
      </c>
      <c r="D11607" t="inlineStr">
        <is>
          <t>VÄSTRA GÖTALANDS LÄN</t>
        </is>
      </c>
      <c r="E11607" t="inlineStr">
        <is>
          <t>VÄNERSBORG</t>
        </is>
      </c>
      <c r="G11607" t="n">
        <v>0.7</v>
      </c>
      <c r="H11607" t="n">
        <v>0</v>
      </c>
      <c r="I11607" t="n">
        <v>0</v>
      </c>
      <c r="J11607" t="n">
        <v>0</v>
      </c>
      <c r="K11607" t="n">
        <v>0</v>
      </c>
      <c r="L11607" t="n">
        <v>0</v>
      </c>
      <c r="M11607" t="n">
        <v>0</v>
      </c>
      <c r="N11607" t="n">
        <v>0</v>
      </c>
      <c r="O11607" t="n">
        <v>0</v>
      </c>
      <c r="P11607" t="n">
        <v>0</v>
      </c>
      <c r="Q11607" t="n">
        <v>0</v>
      </c>
      <c r="R11607" s="2" t="inlineStr"/>
    </row>
    <row r="11608" ht="15" customHeight="1">
      <c r="A11608" t="inlineStr">
        <is>
          <t>A 28390-2025</t>
        </is>
      </c>
      <c r="B11608" s="1" t="n">
        <v>45819.32724537037</v>
      </c>
      <c r="C11608" s="1" t="n">
        <v>45952</v>
      </c>
      <c r="D11608" t="inlineStr">
        <is>
          <t>VÄSTRA GÖTALANDS LÄN</t>
        </is>
      </c>
      <c r="E11608" t="inlineStr">
        <is>
          <t>GÖTENE</t>
        </is>
      </c>
      <c r="F11608" t="inlineStr">
        <is>
          <t>Övriga Aktiebolag</t>
        </is>
      </c>
      <c r="G11608" t="n">
        <v>1.1</v>
      </c>
      <c r="H11608" t="n">
        <v>0</v>
      </c>
      <c r="I11608" t="n">
        <v>0</v>
      </c>
      <c r="J11608" t="n">
        <v>0</v>
      </c>
      <c r="K11608" t="n">
        <v>0</v>
      </c>
      <c r="L11608" t="n">
        <v>0</v>
      </c>
      <c r="M11608" t="n">
        <v>0</v>
      </c>
      <c r="N11608" t="n">
        <v>0</v>
      </c>
      <c r="O11608" t="n">
        <v>0</v>
      </c>
      <c r="P11608" t="n">
        <v>0</v>
      </c>
      <c r="Q11608" t="n">
        <v>0</v>
      </c>
      <c r="R11608" s="2" t="inlineStr"/>
    </row>
    <row r="11609" ht="15" customHeight="1">
      <c r="A11609" t="inlineStr">
        <is>
          <t>A 28414-2025</t>
        </is>
      </c>
      <c r="B11609" s="1" t="n">
        <v>45819.35086805555</v>
      </c>
      <c r="C11609" s="1" t="n">
        <v>45952</v>
      </c>
      <c r="D11609" t="inlineStr">
        <is>
          <t>VÄSTRA GÖTALANDS LÄN</t>
        </is>
      </c>
      <c r="E11609" t="inlineStr">
        <is>
          <t>DALS-ED</t>
        </is>
      </c>
      <c r="G11609" t="n">
        <v>1.3</v>
      </c>
      <c r="H11609" t="n">
        <v>0</v>
      </c>
      <c r="I11609" t="n">
        <v>0</v>
      </c>
      <c r="J11609" t="n">
        <v>0</v>
      </c>
      <c r="K11609" t="n">
        <v>0</v>
      </c>
      <c r="L11609" t="n">
        <v>0</v>
      </c>
      <c r="M11609" t="n">
        <v>0</v>
      </c>
      <c r="N11609" t="n">
        <v>0</v>
      </c>
      <c r="O11609" t="n">
        <v>0</v>
      </c>
      <c r="P11609" t="n">
        <v>0</v>
      </c>
      <c r="Q11609" t="n">
        <v>0</v>
      </c>
      <c r="R11609" s="2" t="inlineStr"/>
    </row>
    <row r="11610" ht="15" customHeight="1">
      <c r="A11610" t="inlineStr">
        <is>
          <t>A 28432-2025</t>
        </is>
      </c>
      <c r="B11610" s="1" t="n">
        <v>45819.38085648148</v>
      </c>
      <c r="C11610" s="1" t="n">
        <v>45952</v>
      </c>
      <c r="D11610" t="inlineStr">
        <is>
          <t>VÄSTRA GÖTALANDS LÄN</t>
        </is>
      </c>
      <c r="E11610" t="inlineStr">
        <is>
          <t>MARK</t>
        </is>
      </c>
      <c r="G11610" t="n">
        <v>11.2</v>
      </c>
      <c r="H11610" t="n">
        <v>0</v>
      </c>
      <c r="I11610" t="n">
        <v>0</v>
      </c>
      <c r="J11610" t="n">
        <v>0</v>
      </c>
      <c r="K11610" t="n">
        <v>0</v>
      </c>
      <c r="L11610" t="n">
        <v>0</v>
      </c>
      <c r="M11610" t="n">
        <v>0</v>
      </c>
      <c r="N11610" t="n">
        <v>0</v>
      </c>
      <c r="O11610" t="n">
        <v>0</v>
      </c>
      <c r="P11610" t="n">
        <v>0</v>
      </c>
      <c r="Q11610" t="n">
        <v>0</v>
      </c>
      <c r="R11610" s="2" t="inlineStr"/>
    </row>
    <row r="11611" ht="15" customHeight="1">
      <c r="A11611" t="inlineStr">
        <is>
          <t>A 42920-2025</t>
        </is>
      </c>
      <c r="B11611" s="1" t="n">
        <v>45908.87545138889</v>
      </c>
      <c r="C11611" s="1" t="n">
        <v>45952</v>
      </c>
      <c r="D11611" t="inlineStr">
        <is>
          <t>VÄSTRA GÖTALANDS LÄN</t>
        </is>
      </c>
      <c r="E11611" t="inlineStr">
        <is>
          <t>VARA</t>
        </is>
      </c>
      <c r="G11611" t="n">
        <v>0.2</v>
      </c>
      <c r="H11611" t="n">
        <v>0</v>
      </c>
      <c r="I11611" t="n">
        <v>0</v>
      </c>
      <c r="J11611" t="n">
        <v>0</v>
      </c>
      <c r="K11611" t="n">
        <v>0</v>
      </c>
      <c r="L11611" t="n">
        <v>0</v>
      </c>
      <c r="M11611" t="n">
        <v>0</v>
      </c>
      <c r="N11611" t="n">
        <v>0</v>
      </c>
      <c r="O11611" t="n">
        <v>0</v>
      </c>
      <c r="P11611" t="n">
        <v>0</v>
      </c>
      <c r="Q11611" t="n">
        <v>0</v>
      </c>
      <c r="R11611" s="2" t="inlineStr"/>
    </row>
    <row r="11612" ht="15" customHeight="1">
      <c r="A11612" t="inlineStr">
        <is>
          <t>A 42928-2025</t>
        </is>
      </c>
      <c r="B11612" s="1" t="n">
        <v>45909.19603009259</v>
      </c>
      <c r="C11612" s="1" t="n">
        <v>45952</v>
      </c>
      <c r="D11612" t="inlineStr">
        <is>
          <t>VÄSTRA GÖTALANDS LÄN</t>
        </is>
      </c>
      <c r="E11612" t="inlineStr">
        <is>
          <t>BORÅS</t>
        </is>
      </c>
      <c r="G11612" t="n">
        <v>2.7</v>
      </c>
      <c r="H11612" t="n">
        <v>0</v>
      </c>
      <c r="I11612" t="n">
        <v>0</v>
      </c>
      <c r="J11612" t="n">
        <v>0</v>
      </c>
      <c r="K11612" t="n">
        <v>0</v>
      </c>
      <c r="L11612" t="n">
        <v>0</v>
      </c>
      <c r="M11612" t="n">
        <v>0</v>
      </c>
      <c r="N11612" t="n">
        <v>0</v>
      </c>
      <c r="O11612" t="n">
        <v>0</v>
      </c>
      <c r="P11612" t="n">
        <v>0</v>
      </c>
      <c r="Q11612" t="n">
        <v>0</v>
      </c>
      <c r="R11612" s="2" t="inlineStr"/>
    </row>
    <row r="11613" ht="15" customHeight="1">
      <c r="A11613" t="inlineStr">
        <is>
          <t>A 46520-2024</t>
        </is>
      </c>
      <c r="B11613" s="1" t="n">
        <v>45582</v>
      </c>
      <c r="C11613" s="1" t="n">
        <v>45952</v>
      </c>
      <c r="D11613" t="inlineStr">
        <is>
          <t>VÄSTRA GÖTALANDS LÄN</t>
        </is>
      </c>
      <c r="E11613" t="inlineStr">
        <is>
          <t>VÄNERSBORG</t>
        </is>
      </c>
      <c r="G11613" t="n">
        <v>1.3</v>
      </c>
      <c r="H11613" t="n">
        <v>0</v>
      </c>
      <c r="I11613" t="n">
        <v>0</v>
      </c>
      <c r="J11613" t="n">
        <v>0</v>
      </c>
      <c r="K11613" t="n">
        <v>0</v>
      </c>
      <c r="L11613" t="n">
        <v>0</v>
      </c>
      <c r="M11613" t="n">
        <v>0</v>
      </c>
      <c r="N11613" t="n">
        <v>0</v>
      </c>
      <c r="O11613" t="n">
        <v>0</v>
      </c>
      <c r="P11613" t="n">
        <v>0</v>
      </c>
      <c r="Q11613" t="n">
        <v>0</v>
      </c>
      <c r="R11613" s="2" t="inlineStr"/>
    </row>
    <row r="11614" ht="15" customHeight="1">
      <c r="A11614" t="inlineStr">
        <is>
          <t>A 51821-2025</t>
        </is>
      </c>
      <c r="B11614" s="1" t="n">
        <v>45951.90053240741</v>
      </c>
      <c r="C11614" s="1" t="n">
        <v>45952</v>
      </c>
      <c r="D11614" t="inlineStr">
        <is>
          <t>VÄSTRA GÖTALANDS LÄN</t>
        </is>
      </c>
      <c r="E11614" t="inlineStr">
        <is>
          <t>DALS-ED</t>
        </is>
      </c>
      <c r="F11614" t="inlineStr">
        <is>
          <t>Kyrkan</t>
        </is>
      </c>
      <c r="G11614" t="n">
        <v>1</v>
      </c>
      <c r="H11614" t="n">
        <v>0</v>
      </c>
      <c r="I11614" t="n">
        <v>0</v>
      </c>
      <c r="J11614" t="n">
        <v>0</v>
      </c>
      <c r="K11614" t="n">
        <v>0</v>
      </c>
      <c r="L11614" t="n">
        <v>0</v>
      </c>
      <c r="M11614" t="n">
        <v>0</v>
      </c>
      <c r="N11614" t="n">
        <v>0</v>
      </c>
      <c r="O11614" t="n">
        <v>0</v>
      </c>
      <c r="P11614" t="n">
        <v>0</v>
      </c>
      <c r="Q11614" t="n">
        <v>0</v>
      </c>
      <c r="R11614" s="2" t="inlineStr"/>
    </row>
    <row r="11615" ht="15" customHeight="1">
      <c r="A11615" t="inlineStr">
        <is>
          <t>A 57252-2023</t>
        </is>
      </c>
      <c r="B11615" s="1" t="n">
        <v>45245.56895833334</v>
      </c>
      <c r="C11615" s="1" t="n">
        <v>45952</v>
      </c>
      <c r="D11615" t="inlineStr">
        <is>
          <t>VÄSTRA GÖTALANDS LÄN</t>
        </is>
      </c>
      <c r="E11615" t="inlineStr">
        <is>
          <t>ÅMÅL</t>
        </is>
      </c>
      <c r="G11615" t="n">
        <v>2.4</v>
      </c>
      <c r="H11615" t="n">
        <v>0</v>
      </c>
      <c r="I11615" t="n">
        <v>0</v>
      </c>
      <c r="J11615" t="n">
        <v>0</v>
      </c>
      <c r="K11615" t="n">
        <v>0</v>
      </c>
      <c r="L11615" t="n">
        <v>0</v>
      </c>
      <c r="M11615" t="n">
        <v>0</v>
      </c>
      <c r="N11615" t="n">
        <v>0</v>
      </c>
      <c r="O11615" t="n">
        <v>0</v>
      </c>
      <c r="P11615" t="n">
        <v>0</v>
      </c>
      <c r="Q11615" t="n">
        <v>0</v>
      </c>
      <c r="R11615" s="2" t="inlineStr"/>
    </row>
    <row r="11616" ht="15" customHeight="1">
      <c r="A11616" t="inlineStr">
        <is>
          <t>A 3336-2025</t>
        </is>
      </c>
      <c r="B11616" s="1" t="n">
        <v>45679.71759259259</v>
      </c>
      <c r="C11616" s="1" t="n">
        <v>45952</v>
      </c>
      <c r="D11616" t="inlineStr">
        <is>
          <t>VÄSTRA GÖTALANDS LÄN</t>
        </is>
      </c>
      <c r="E11616" t="inlineStr">
        <is>
          <t>GULLSPÅNG</t>
        </is>
      </c>
      <c r="G11616" t="n">
        <v>0.4</v>
      </c>
      <c r="H11616" t="n">
        <v>0</v>
      </c>
      <c r="I11616" t="n">
        <v>0</v>
      </c>
      <c r="J11616" t="n">
        <v>0</v>
      </c>
      <c r="K11616" t="n">
        <v>0</v>
      </c>
      <c r="L11616" t="n">
        <v>0</v>
      </c>
      <c r="M11616" t="n">
        <v>0</v>
      </c>
      <c r="N11616" t="n">
        <v>0</v>
      </c>
      <c r="O11616" t="n">
        <v>0</v>
      </c>
      <c r="P11616" t="n">
        <v>0</v>
      </c>
      <c r="Q11616" t="n">
        <v>0</v>
      </c>
      <c r="R11616" s="2" t="inlineStr"/>
    </row>
    <row r="11617" ht="15" customHeight="1">
      <c r="A11617" t="inlineStr">
        <is>
          <t>A 28222-2025</t>
        </is>
      </c>
      <c r="B11617" s="1" t="n">
        <v>45818.47643518518</v>
      </c>
      <c r="C11617" s="1" t="n">
        <v>45952</v>
      </c>
      <c r="D11617" t="inlineStr">
        <is>
          <t>VÄSTRA GÖTALANDS LÄN</t>
        </is>
      </c>
      <c r="E11617" t="inlineStr">
        <is>
          <t>UDDEVALLA</t>
        </is>
      </c>
      <c r="G11617" t="n">
        <v>5.8</v>
      </c>
      <c r="H11617" t="n">
        <v>0</v>
      </c>
      <c r="I11617" t="n">
        <v>0</v>
      </c>
      <c r="J11617" t="n">
        <v>0</v>
      </c>
      <c r="K11617" t="n">
        <v>0</v>
      </c>
      <c r="L11617" t="n">
        <v>0</v>
      </c>
      <c r="M11617" t="n">
        <v>0</v>
      </c>
      <c r="N11617" t="n">
        <v>0</v>
      </c>
      <c r="O11617" t="n">
        <v>0</v>
      </c>
      <c r="P11617" t="n">
        <v>0</v>
      </c>
      <c r="Q11617" t="n">
        <v>0</v>
      </c>
      <c r="R11617" s="2" t="inlineStr"/>
    </row>
    <row r="11618" ht="15" customHeight="1">
      <c r="A11618" t="inlineStr">
        <is>
          <t>A 28266-2025</t>
        </is>
      </c>
      <c r="B11618" s="1" t="n">
        <v>45818.56381944445</v>
      </c>
      <c r="C11618" s="1" t="n">
        <v>45952</v>
      </c>
      <c r="D11618" t="inlineStr">
        <is>
          <t>VÄSTRA GÖTALANDS LÄN</t>
        </is>
      </c>
      <c r="E11618" t="inlineStr">
        <is>
          <t>GÖTEBORG</t>
        </is>
      </c>
      <c r="G11618" t="n">
        <v>1.9</v>
      </c>
      <c r="H11618" t="n">
        <v>0</v>
      </c>
      <c r="I11618" t="n">
        <v>0</v>
      </c>
      <c r="J11618" t="n">
        <v>0</v>
      </c>
      <c r="K11618" t="n">
        <v>0</v>
      </c>
      <c r="L11618" t="n">
        <v>0</v>
      </c>
      <c r="M11618" t="n">
        <v>0</v>
      </c>
      <c r="N11618" t="n">
        <v>0</v>
      </c>
      <c r="O11618" t="n">
        <v>0</v>
      </c>
      <c r="P11618" t="n">
        <v>0</v>
      </c>
      <c r="Q11618" t="n">
        <v>0</v>
      </c>
      <c r="R11618" s="2" t="inlineStr"/>
    </row>
    <row r="11619" ht="15" customHeight="1">
      <c r="A11619" t="inlineStr">
        <is>
          <t>A 17492-2024</t>
        </is>
      </c>
      <c r="B11619" s="1" t="n">
        <v>45415.50709490741</v>
      </c>
      <c r="C11619" s="1" t="n">
        <v>45952</v>
      </c>
      <c r="D11619" t="inlineStr">
        <is>
          <t>VÄSTRA GÖTALANDS LÄN</t>
        </is>
      </c>
      <c r="E11619" t="inlineStr">
        <is>
          <t>SOTENÄS</t>
        </is>
      </c>
      <c r="G11619" t="n">
        <v>7.7</v>
      </c>
      <c r="H11619" t="n">
        <v>0</v>
      </c>
      <c r="I11619" t="n">
        <v>0</v>
      </c>
      <c r="J11619" t="n">
        <v>0</v>
      </c>
      <c r="K11619" t="n">
        <v>0</v>
      </c>
      <c r="L11619" t="n">
        <v>0</v>
      </c>
      <c r="M11619" t="n">
        <v>0</v>
      </c>
      <c r="N11619" t="n">
        <v>0</v>
      </c>
      <c r="O11619" t="n">
        <v>0</v>
      </c>
      <c r="P11619" t="n">
        <v>0</v>
      </c>
      <c r="Q11619" t="n">
        <v>0</v>
      </c>
      <c r="R11619" s="2" t="inlineStr"/>
    </row>
    <row r="11620" ht="15" customHeight="1">
      <c r="A11620" t="inlineStr">
        <is>
          <t>A 56619-2022</t>
        </is>
      </c>
      <c r="B11620" s="1" t="n">
        <v>44893.59541666666</v>
      </c>
      <c r="C11620" s="1" t="n">
        <v>45952</v>
      </c>
      <c r="D11620" t="inlineStr">
        <is>
          <t>VÄSTRA GÖTALANDS LÄN</t>
        </is>
      </c>
      <c r="E11620" t="inlineStr">
        <is>
          <t>FÄRGELANDA</t>
        </is>
      </c>
      <c r="G11620" t="n">
        <v>2.4</v>
      </c>
      <c r="H11620" t="n">
        <v>0</v>
      </c>
      <c r="I11620" t="n">
        <v>0</v>
      </c>
      <c r="J11620" t="n">
        <v>0</v>
      </c>
      <c r="K11620" t="n">
        <v>0</v>
      </c>
      <c r="L11620" t="n">
        <v>0</v>
      </c>
      <c r="M11620" t="n">
        <v>0</v>
      </c>
      <c r="N11620" t="n">
        <v>0</v>
      </c>
      <c r="O11620" t="n">
        <v>0</v>
      </c>
      <c r="P11620" t="n">
        <v>0</v>
      </c>
      <c r="Q11620" t="n">
        <v>0</v>
      </c>
      <c r="R11620" s="2" t="inlineStr"/>
    </row>
    <row r="11621" ht="15" customHeight="1">
      <c r="A11621" t="inlineStr">
        <is>
          <t>A 28621-2025</t>
        </is>
      </c>
      <c r="B11621" s="1" t="n">
        <v>45819.61297453703</v>
      </c>
      <c r="C11621" s="1" t="n">
        <v>45952</v>
      </c>
      <c r="D11621" t="inlineStr">
        <is>
          <t>VÄSTRA GÖTALANDS LÄN</t>
        </is>
      </c>
      <c r="E11621" t="inlineStr">
        <is>
          <t>HERRLJUNGA</t>
        </is>
      </c>
      <c r="G11621" t="n">
        <v>5.5</v>
      </c>
      <c r="H11621" t="n">
        <v>0</v>
      </c>
      <c r="I11621" t="n">
        <v>0</v>
      </c>
      <c r="J11621" t="n">
        <v>0</v>
      </c>
      <c r="K11621" t="n">
        <v>0</v>
      </c>
      <c r="L11621" t="n">
        <v>0</v>
      </c>
      <c r="M11621" t="n">
        <v>0</v>
      </c>
      <c r="N11621" t="n">
        <v>0</v>
      </c>
      <c r="O11621" t="n">
        <v>0</v>
      </c>
      <c r="P11621" t="n">
        <v>0</v>
      </c>
      <c r="Q11621" t="n">
        <v>0</v>
      </c>
      <c r="R11621" s="2" t="inlineStr"/>
    </row>
    <row r="11622" ht="15" customHeight="1">
      <c r="A11622" t="inlineStr">
        <is>
          <t>A 28449-2025</t>
        </is>
      </c>
      <c r="B11622" s="1" t="n">
        <v>45819.40282407407</v>
      </c>
      <c r="C11622" s="1" t="n">
        <v>45952</v>
      </c>
      <c r="D11622" t="inlineStr">
        <is>
          <t>VÄSTRA GÖTALANDS LÄN</t>
        </is>
      </c>
      <c r="E11622" t="inlineStr">
        <is>
          <t>MARIESTAD</t>
        </is>
      </c>
      <c r="G11622" t="n">
        <v>3.8</v>
      </c>
      <c r="H11622" t="n">
        <v>0</v>
      </c>
      <c r="I11622" t="n">
        <v>0</v>
      </c>
      <c r="J11622" t="n">
        <v>0</v>
      </c>
      <c r="K11622" t="n">
        <v>0</v>
      </c>
      <c r="L11622" t="n">
        <v>0</v>
      </c>
      <c r="M11622" t="n">
        <v>0</v>
      </c>
      <c r="N11622" t="n">
        <v>0</v>
      </c>
      <c r="O11622" t="n">
        <v>0</v>
      </c>
      <c r="P11622" t="n">
        <v>0</v>
      </c>
      <c r="Q11622" t="n">
        <v>0</v>
      </c>
      <c r="R11622" s="2" t="inlineStr"/>
    </row>
    <row r="11623" ht="15" customHeight="1">
      <c r="A11623" t="inlineStr">
        <is>
          <t>A 42823-2025</t>
        </is>
      </c>
      <c r="B11623" s="1" t="n">
        <v>45908.57429398148</v>
      </c>
      <c r="C11623" s="1" t="n">
        <v>45952</v>
      </c>
      <c r="D11623" t="inlineStr">
        <is>
          <t>VÄSTRA GÖTALANDS LÄN</t>
        </is>
      </c>
      <c r="E11623" t="inlineStr">
        <is>
          <t>STRÖMSTAD</t>
        </is>
      </c>
      <c r="G11623" t="n">
        <v>1.7</v>
      </c>
      <c r="H11623" t="n">
        <v>0</v>
      </c>
      <c r="I11623" t="n">
        <v>0</v>
      </c>
      <c r="J11623" t="n">
        <v>0</v>
      </c>
      <c r="K11623" t="n">
        <v>0</v>
      </c>
      <c r="L11623" t="n">
        <v>0</v>
      </c>
      <c r="M11623" t="n">
        <v>0</v>
      </c>
      <c r="N11623" t="n">
        <v>0</v>
      </c>
      <c r="O11623" t="n">
        <v>0</v>
      </c>
      <c r="P11623" t="n">
        <v>0</v>
      </c>
      <c r="Q11623" t="n">
        <v>0</v>
      </c>
      <c r="R11623" s="2" t="inlineStr"/>
    </row>
    <row r="11624" ht="15" customHeight="1">
      <c r="A11624" t="inlineStr">
        <is>
          <t>A 42836-2025</t>
        </is>
      </c>
      <c r="B11624" s="1" t="n">
        <v>45908.58085648148</v>
      </c>
      <c r="C11624" s="1" t="n">
        <v>45952</v>
      </c>
      <c r="D11624" t="inlineStr">
        <is>
          <t>VÄSTRA GÖTALANDS LÄN</t>
        </is>
      </c>
      <c r="E11624" t="inlineStr">
        <is>
          <t>MUNKEDAL</t>
        </is>
      </c>
      <c r="G11624" t="n">
        <v>1</v>
      </c>
      <c r="H11624" t="n">
        <v>0</v>
      </c>
      <c r="I11624" t="n">
        <v>0</v>
      </c>
      <c r="J11624" t="n">
        <v>0</v>
      </c>
      <c r="K11624" t="n">
        <v>0</v>
      </c>
      <c r="L11624" t="n">
        <v>0</v>
      </c>
      <c r="M11624" t="n">
        <v>0</v>
      </c>
      <c r="N11624" t="n">
        <v>0</v>
      </c>
      <c r="O11624" t="n">
        <v>0</v>
      </c>
      <c r="P11624" t="n">
        <v>0</v>
      </c>
      <c r="Q11624" t="n">
        <v>0</v>
      </c>
      <c r="R11624" s="2" t="inlineStr"/>
    </row>
    <row r="11625" ht="15" customHeight="1">
      <c r="A11625" t="inlineStr">
        <is>
          <t>A 17150-2023</t>
        </is>
      </c>
      <c r="B11625" s="1" t="n">
        <v>45034</v>
      </c>
      <c r="C11625" s="1" t="n">
        <v>45952</v>
      </c>
      <c r="D11625" t="inlineStr">
        <is>
          <t>VÄSTRA GÖTALANDS LÄN</t>
        </is>
      </c>
      <c r="E11625" t="inlineStr">
        <is>
          <t>TIBRO</t>
        </is>
      </c>
      <c r="G11625" t="n">
        <v>1.3</v>
      </c>
      <c r="H11625" t="n">
        <v>0</v>
      </c>
      <c r="I11625" t="n">
        <v>0</v>
      </c>
      <c r="J11625" t="n">
        <v>0</v>
      </c>
      <c r="K11625" t="n">
        <v>0</v>
      </c>
      <c r="L11625" t="n">
        <v>0</v>
      </c>
      <c r="M11625" t="n">
        <v>0</v>
      </c>
      <c r="N11625" t="n">
        <v>0</v>
      </c>
      <c r="O11625" t="n">
        <v>0</v>
      </c>
      <c r="P11625" t="n">
        <v>0</v>
      </c>
      <c r="Q11625" t="n">
        <v>0</v>
      </c>
      <c r="R11625" s="2" t="inlineStr"/>
    </row>
    <row r="11626" ht="15" customHeight="1">
      <c r="A11626" t="inlineStr">
        <is>
          <t>A 42857-2025</t>
        </is>
      </c>
      <c r="B11626" s="1" t="n">
        <v>45908.6132175926</v>
      </c>
      <c r="C11626" s="1" t="n">
        <v>45952</v>
      </c>
      <c r="D11626" t="inlineStr">
        <is>
          <t>VÄSTRA GÖTALANDS LÄN</t>
        </is>
      </c>
      <c r="E11626" t="inlineStr">
        <is>
          <t>LILLA EDET</t>
        </is>
      </c>
      <c r="G11626" t="n">
        <v>1.6</v>
      </c>
      <c r="H11626" t="n">
        <v>0</v>
      </c>
      <c r="I11626" t="n">
        <v>0</v>
      </c>
      <c r="J11626" t="n">
        <v>0</v>
      </c>
      <c r="K11626" t="n">
        <v>0</v>
      </c>
      <c r="L11626" t="n">
        <v>0</v>
      </c>
      <c r="M11626" t="n">
        <v>0</v>
      </c>
      <c r="N11626" t="n">
        <v>0</v>
      </c>
      <c r="O11626" t="n">
        <v>0</v>
      </c>
      <c r="P11626" t="n">
        <v>0</v>
      </c>
      <c r="Q11626" t="n">
        <v>0</v>
      </c>
      <c r="R11626" s="2" t="inlineStr"/>
    </row>
    <row r="11627" ht="15" customHeight="1">
      <c r="A11627" t="inlineStr">
        <is>
          <t>A 42921-2025</t>
        </is>
      </c>
      <c r="B11627" s="1" t="n">
        <v>45908.8787037037</v>
      </c>
      <c r="C11627" s="1" t="n">
        <v>45952</v>
      </c>
      <c r="D11627" t="inlineStr">
        <is>
          <t>VÄSTRA GÖTALANDS LÄN</t>
        </is>
      </c>
      <c r="E11627" t="inlineStr">
        <is>
          <t>MARK</t>
        </is>
      </c>
      <c r="G11627" t="n">
        <v>2</v>
      </c>
      <c r="H11627" t="n">
        <v>0</v>
      </c>
      <c r="I11627" t="n">
        <v>0</v>
      </c>
      <c r="J11627" t="n">
        <v>0</v>
      </c>
      <c r="K11627" t="n">
        <v>0</v>
      </c>
      <c r="L11627" t="n">
        <v>0</v>
      </c>
      <c r="M11627" t="n">
        <v>0</v>
      </c>
      <c r="N11627" t="n">
        <v>0</v>
      </c>
      <c r="O11627" t="n">
        <v>0</v>
      </c>
      <c r="P11627" t="n">
        <v>0</v>
      </c>
      <c r="Q11627" t="n">
        <v>0</v>
      </c>
      <c r="R11627" s="2" t="inlineStr"/>
    </row>
    <row r="11628" ht="15" customHeight="1">
      <c r="A11628" t="inlineStr">
        <is>
          <t>A 42927-2025</t>
        </is>
      </c>
      <c r="B11628" s="1" t="n">
        <v>45909.17881944445</v>
      </c>
      <c r="C11628" s="1" t="n">
        <v>45952</v>
      </c>
      <c r="D11628" t="inlineStr">
        <is>
          <t>VÄSTRA GÖTALANDS LÄN</t>
        </is>
      </c>
      <c r="E11628" t="inlineStr">
        <is>
          <t>TRANEMO</t>
        </is>
      </c>
      <c r="G11628" t="n">
        <v>1.9</v>
      </c>
      <c r="H11628" t="n">
        <v>0</v>
      </c>
      <c r="I11628" t="n">
        <v>0</v>
      </c>
      <c r="J11628" t="n">
        <v>0</v>
      </c>
      <c r="K11628" t="n">
        <v>0</v>
      </c>
      <c r="L11628" t="n">
        <v>0</v>
      </c>
      <c r="M11628" t="n">
        <v>0</v>
      </c>
      <c r="N11628" t="n">
        <v>0</v>
      </c>
      <c r="O11628" t="n">
        <v>0</v>
      </c>
      <c r="P11628" t="n">
        <v>0</v>
      </c>
      <c r="Q11628" t="n">
        <v>0</v>
      </c>
      <c r="R11628" s="2" t="inlineStr"/>
    </row>
    <row r="11629" ht="15" customHeight="1">
      <c r="A11629" t="inlineStr">
        <is>
          <t>A 51817-2025</t>
        </is>
      </c>
      <c r="B11629" s="1" t="n">
        <v>45951.85413194444</v>
      </c>
      <c r="C11629" s="1" t="n">
        <v>45952</v>
      </c>
      <c r="D11629" t="inlineStr">
        <is>
          <t>VÄSTRA GÖTALANDS LÄN</t>
        </is>
      </c>
      <c r="E11629" t="inlineStr">
        <is>
          <t>DALS-ED</t>
        </is>
      </c>
      <c r="G11629" t="n">
        <v>7.6</v>
      </c>
      <c r="H11629" t="n">
        <v>0</v>
      </c>
      <c r="I11629" t="n">
        <v>0</v>
      </c>
      <c r="J11629" t="n">
        <v>0</v>
      </c>
      <c r="K11629" t="n">
        <v>0</v>
      </c>
      <c r="L11629" t="n">
        <v>0</v>
      </c>
      <c r="M11629" t="n">
        <v>0</v>
      </c>
      <c r="N11629" t="n">
        <v>0</v>
      </c>
      <c r="O11629" t="n">
        <v>0</v>
      </c>
      <c r="P11629" t="n">
        <v>0</v>
      </c>
      <c r="Q11629" t="n">
        <v>0</v>
      </c>
      <c r="R11629" s="2" t="inlineStr"/>
    </row>
    <row r="11630" ht="15" customHeight="1">
      <c r="A11630" t="inlineStr">
        <is>
          <t>A 42917-2025</t>
        </is>
      </c>
      <c r="B11630" s="1" t="n">
        <v>45908.83663194445</v>
      </c>
      <c r="C11630" s="1" t="n">
        <v>45952</v>
      </c>
      <c r="D11630" t="inlineStr">
        <is>
          <t>VÄSTRA GÖTALANDS LÄN</t>
        </is>
      </c>
      <c r="E11630" t="inlineStr">
        <is>
          <t>ULRICEHAMN</t>
        </is>
      </c>
      <c r="G11630" t="n">
        <v>3.9</v>
      </c>
      <c r="H11630" t="n">
        <v>0</v>
      </c>
      <c r="I11630" t="n">
        <v>0</v>
      </c>
      <c r="J11630" t="n">
        <v>0</v>
      </c>
      <c r="K11630" t="n">
        <v>0</v>
      </c>
      <c r="L11630" t="n">
        <v>0</v>
      </c>
      <c r="M11630" t="n">
        <v>0</v>
      </c>
      <c r="N11630" t="n">
        <v>0</v>
      </c>
      <c r="O11630" t="n">
        <v>0</v>
      </c>
      <c r="P11630" t="n">
        <v>0</v>
      </c>
      <c r="Q11630" t="n">
        <v>0</v>
      </c>
      <c r="R11630" s="2" t="inlineStr"/>
    </row>
    <row r="11631" ht="15" customHeight="1">
      <c r="A11631" t="inlineStr">
        <is>
          <t>A 2635-2022</t>
        </is>
      </c>
      <c r="B11631" s="1" t="n">
        <v>44580.49585648148</v>
      </c>
      <c r="C11631" s="1" t="n">
        <v>45952</v>
      </c>
      <c r="D11631" t="inlineStr">
        <is>
          <t>VÄSTRA GÖTALANDS LÄN</t>
        </is>
      </c>
      <c r="E11631" t="inlineStr">
        <is>
          <t>MUNKEDAL</t>
        </is>
      </c>
      <c r="G11631" t="n">
        <v>2.2</v>
      </c>
      <c r="H11631" t="n">
        <v>0</v>
      </c>
      <c r="I11631" t="n">
        <v>0</v>
      </c>
      <c r="J11631" t="n">
        <v>0</v>
      </c>
      <c r="K11631" t="n">
        <v>0</v>
      </c>
      <c r="L11631" t="n">
        <v>0</v>
      </c>
      <c r="M11631" t="n">
        <v>0</v>
      </c>
      <c r="N11631" t="n">
        <v>0</v>
      </c>
      <c r="O11631" t="n">
        <v>0</v>
      </c>
      <c r="P11631" t="n">
        <v>0</v>
      </c>
      <c r="Q11631" t="n">
        <v>0</v>
      </c>
      <c r="R11631" s="2" t="inlineStr"/>
    </row>
    <row r="11632" ht="15" customHeight="1">
      <c r="A11632" t="inlineStr">
        <is>
          <t>A 52681-2023</t>
        </is>
      </c>
      <c r="B11632" s="1" t="n">
        <v>45225.7147800926</v>
      </c>
      <c r="C11632" s="1" t="n">
        <v>45952</v>
      </c>
      <c r="D11632" t="inlineStr">
        <is>
          <t>VÄSTRA GÖTALANDS LÄN</t>
        </is>
      </c>
      <c r="E11632" t="inlineStr">
        <is>
          <t>ULRICEHAMN</t>
        </is>
      </c>
      <c r="G11632" t="n">
        <v>3.6</v>
      </c>
      <c r="H11632" t="n">
        <v>0</v>
      </c>
      <c r="I11632" t="n">
        <v>0</v>
      </c>
      <c r="J11632" t="n">
        <v>0</v>
      </c>
      <c r="K11632" t="n">
        <v>0</v>
      </c>
      <c r="L11632" t="n">
        <v>0</v>
      </c>
      <c r="M11632" t="n">
        <v>0</v>
      </c>
      <c r="N11632" t="n">
        <v>0</v>
      </c>
      <c r="O11632" t="n">
        <v>0</v>
      </c>
      <c r="P11632" t="n">
        <v>0</v>
      </c>
      <c r="Q11632" t="n">
        <v>0</v>
      </c>
      <c r="R11632" s="2" t="inlineStr"/>
    </row>
    <row r="11633" ht="15" customHeight="1">
      <c r="A11633" t="inlineStr">
        <is>
          <t>A 51476-2025</t>
        </is>
      </c>
      <c r="B11633" s="1" t="n">
        <v>45950.61899305556</v>
      </c>
      <c r="C11633" s="1" t="n">
        <v>45952</v>
      </c>
      <c r="D11633" t="inlineStr">
        <is>
          <t>VÄSTRA GÖTALANDS LÄN</t>
        </is>
      </c>
      <c r="E11633" t="inlineStr">
        <is>
          <t>FÄRGELANDA</t>
        </is>
      </c>
      <c r="G11633" t="n">
        <v>1.7</v>
      </c>
      <c r="H11633" t="n">
        <v>0</v>
      </c>
      <c r="I11633" t="n">
        <v>0</v>
      </c>
      <c r="J11633" t="n">
        <v>0</v>
      </c>
      <c r="K11633" t="n">
        <v>0</v>
      </c>
      <c r="L11633" t="n">
        <v>0</v>
      </c>
      <c r="M11633" t="n">
        <v>0</v>
      </c>
      <c r="N11633" t="n">
        <v>0</v>
      </c>
      <c r="O11633" t="n">
        <v>0</v>
      </c>
      <c r="P11633" t="n">
        <v>0</v>
      </c>
      <c r="Q11633" t="n">
        <v>0</v>
      </c>
      <c r="R11633" s="2" t="inlineStr"/>
    </row>
    <row r="11634" ht="15" customHeight="1">
      <c r="A11634" t="inlineStr">
        <is>
          <t>A 28640-2025</t>
        </is>
      </c>
      <c r="B11634" s="1" t="n">
        <v>45819.63666666667</v>
      </c>
      <c r="C11634" s="1" t="n">
        <v>45952</v>
      </c>
      <c r="D11634" t="inlineStr">
        <is>
          <t>VÄSTRA GÖTALANDS LÄN</t>
        </is>
      </c>
      <c r="E11634" t="inlineStr">
        <is>
          <t>MARK</t>
        </is>
      </c>
      <c r="G11634" t="n">
        <v>1.4</v>
      </c>
      <c r="H11634" t="n">
        <v>0</v>
      </c>
      <c r="I11634" t="n">
        <v>0</v>
      </c>
      <c r="J11634" t="n">
        <v>0</v>
      </c>
      <c r="K11634" t="n">
        <v>0</v>
      </c>
      <c r="L11634" t="n">
        <v>0</v>
      </c>
      <c r="M11634" t="n">
        <v>0</v>
      </c>
      <c r="N11634" t="n">
        <v>0</v>
      </c>
      <c r="O11634" t="n">
        <v>0</v>
      </c>
      <c r="P11634" t="n">
        <v>0</v>
      </c>
      <c r="Q11634" t="n">
        <v>0</v>
      </c>
      <c r="R11634" s="2" t="inlineStr"/>
    </row>
    <row r="11635" ht="15" customHeight="1">
      <c r="A11635" t="inlineStr">
        <is>
          <t>A 28319-2025</t>
        </is>
      </c>
      <c r="B11635" s="1" t="n">
        <v>45818.63456018519</v>
      </c>
      <c r="C11635" s="1" t="n">
        <v>45952</v>
      </c>
      <c r="D11635" t="inlineStr">
        <is>
          <t>VÄSTRA GÖTALANDS LÄN</t>
        </is>
      </c>
      <c r="E11635" t="inlineStr">
        <is>
          <t>MELLERUD</t>
        </is>
      </c>
      <c r="G11635" t="n">
        <v>1.9</v>
      </c>
      <c r="H11635" t="n">
        <v>0</v>
      </c>
      <c r="I11635" t="n">
        <v>0</v>
      </c>
      <c r="J11635" t="n">
        <v>0</v>
      </c>
      <c r="K11635" t="n">
        <v>0</v>
      </c>
      <c r="L11635" t="n">
        <v>0</v>
      </c>
      <c r="M11635" t="n">
        <v>0</v>
      </c>
      <c r="N11635" t="n">
        <v>0</v>
      </c>
      <c r="O11635" t="n">
        <v>0</v>
      </c>
      <c r="P11635" t="n">
        <v>0</v>
      </c>
      <c r="Q11635" t="n">
        <v>0</v>
      </c>
      <c r="R11635" s="2" t="inlineStr"/>
    </row>
    <row r="11636" ht="15" customHeight="1">
      <c r="A11636" t="inlineStr">
        <is>
          <t>A 71835-2021</t>
        </is>
      </c>
      <c r="B11636" s="1" t="n">
        <v>44543.62230324074</v>
      </c>
      <c r="C11636" s="1" t="n">
        <v>45952</v>
      </c>
      <c r="D11636" t="inlineStr">
        <is>
          <t>VÄSTRA GÖTALANDS LÄN</t>
        </is>
      </c>
      <c r="E11636" t="inlineStr">
        <is>
          <t>KUNGÄLV</t>
        </is>
      </c>
      <c r="G11636" t="n">
        <v>7.5</v>
      </c>
      <c r="H11636" t="n">
        <v>0</v>
      </c>
      <c r="I11636" t="n">
        <v>0</v>
      </c>
      <c r="J11636" t="n">
        <v>0</v>
      </c>
      <c r="K11636" t="n">
        <v>0</v>
      </c>
      <c r="L11636" t="n">
        <v>0</v>
      </c>
      <c r="M11636" t="n">
        <v>0</v>
      </c>
      <c r="N11636" t="n">
        <v>0</v>
      </c>
      <c r="O11636" t="n">
        <v>0</v>
      </c>
      <c r="P11636" t="n">
        <v>0</v>
      </c>
      <c r="Q11636" t="n">
        <v>0</v>
      </c>
      <c r="R11636" s="2" t="inlineStr"/>
    </row>
    <row r="11637" ht="15" customHeight="1">
      <c r="A11637" t="inlineStr">
        <is>
          <t>A 60587-2023</t>
        </is>
      </c>
      <c r="B11637" s="1" t="n">
        <v>45259</v>
      </c>
      <c r="C11637" s="1" t="n">
        <v>45952</v>
      </c>
      <c r="D11637" t="inlineStr">
        <is>
          <t>VÄSTRA GÖTALANDS LÄN</t>
        </is>
      </c>
      <c r="E11637" t="inlineStr">
        <is>
          <t>SKÖVDE</t>
        </is>
      </c>
      <c r="G11637" t="n">
        <v>3.9</v>
      </c>
      <c r="H11637" t="n">
        <v>0</v>
      </c>
      <c r="I11637" t="n">
        <v>0</v>
      </c>
      <c r="J11637" t="n">
        <v>0</v>
      </c>
      <c r="K11637" t="n">
        <v>0</v>
      </c>
      <c r="L11637" t="n">
        <v>0</v>
      </c>
      <c r="M11637" t="n">
        <v>0</v>
      </c>
      <c r="N11637" t="n">
        <v>0</v>
      </c>
      <c r="O11637" t="n">
        <v>0</v>
      </c>
      <c r="P11637" t="n">
        <v>0</v>
      </c>
      <c r="Q11637" t="n">
        <v>0</v>
      </c>
      <c r="R11637" s="2" t="inlineStr"/>
    </row>
    <row r="11638" ht="15" customHeight="1">
      <c r="A11638" t="inlineStr">
        <is>
          <t>A 52302-2022</t>
        </is>
      </c>
      <c r="B11638" s="1" t="n">
        <v>44873</v>
      </c>
      <c r="C11638" s="1" t="n">
        <v>45952</v>
      </c>
      <c r="D11638" t="inlineStr">
        <is>
          <t>VÄSTRA GÖTALANDS LÄN</t>
        </is>
      </c>
      <c r="E11638" t="inlineStr">
        <is>
          <t>MUNKEDAL</t>
        </is>
      </c>
      <c r="G11638" t="n">
        <v>9.300000000000001</v>
      </c>
      <c r="H11638" t="n">
        <v>0</v>
      </c>
      <c r="I11638" t="n">
        <v>0</v>
      </c>
      <c r="J11638" t="n">
        <v>0</v>
      </c>
      <c r="K11638" t="n">
        <v>0</v>
      </c>
      <c r="L11638" t="n">
        <v>0</v>
      </c>
      <c r="M11638" t="n">
        <v>0</v>
      </c>
      <c r="N11638" t="n">
        <v>0</v>
      </c>
      <c r="O11638" t="n">
        <v>0</v>
      </c>
      <c r="P11638" t="n">
        <v>0</v>
      </c>
      <c r="Q11638" t="n">
        <v>0</v>
      </c>
      <c r="R11638" s="2" t="inlineStr"/>
    </row>
    <row r="11639" ht="15" customHeight="1">
      <c r="A11639" t="inlineStr">
        <is>
          <t>A 51696-2025</t>
        </is>
      </c>
      <c r="B11639" s="1" t="n">
        <v>45951.55111111111</v>
      </c>
      <c r="C11639" s="1" t="n">
        <v>45952</v>
      </c>
      <c r="D11639" t="inlineStr">
        <is>
          <t>VÄSTRA GÖTALANDS LÄN</t>
        </is>
      </c>
      <c r="E11639" t="inlineStr">
        <is>
          <t>TANUM</t>
        </is>
      </c>
      <c r="G11639" t="n">
        <v>1.5</v>
      </c>
      <c r="H11639" t="n">
        <v>0</v>
      </c>
      <c r="I11639" t="n">
        <v>0</v>
      </c>
      <c r="J11639" t="n">
        <v>0</v>
      </c>
      <c r="K11639" t="n">
        <v>0</v>
      </c>
      <c r="L11639" t="n">
        <v>0</v>
      </c>
      <c r="M11639" t="n">
        <v>0</v>
      </c>
      <c r="N11639" t="n">
        <v>0</v>
      </c>
      <c r="O11639" t="n">
        <v>0</v>
      </c>
      <c r="P11639" t="n">
        <v>0</v>
      </c>
      <c r="Q11639" t="n">
        <v>0</v>
      </c>
      <c r="R11639" s="2" t="inlineStr"/>
    </row>
    <row r="11640" ht="15" customHeight="1">
      <c r="A11640" t="inlineStr">
        <is>
          <t>A 51709-2025</t>
        </is>
      </c>
      <c r="B11640" s="1" t="n">
        <v>45951.56857638889</v>
      </c>
      <c r="C11640" s="1" t="n">
        <v>45952</v>
      </c>
      <c r="D11640" t="inlineStr">
        <is>
          <t>VÄSTRA GÖTALANDS LÄN</t>
        </is>
      </c>
      <c r="E11640" t="inlineStr">
        <is>
          <t>TANUM</t>
        </is>
      </c>
      <c r="G11640" t="n">
        <v>6.5</v>
      </c>
      <c r="H11640" t="n">
        <v>0</v>
      </c>
      <c r="I11640" t="n">
        <v>0</v>
      </c>
      <c r="J11640" t="n">
        <v>0</v>
      </c>
      <c r="K11640" t="n">
        <v>0</v>
      </c>
      <c r="L11640" t="n">
        <v>0</v>
      </c>
      <c r="M11640" t="n">
        <v>0</v>
      </c>
      <c r="N11640" t="n">
        <v>0</v>
      </c>
      <c r="O11640" t="n">
        <v>0</v>
      </c>
      <c r="P11640" t="n">
        <v>0</v>
      </c>
      <c r="Q11640" t="n">
        <v>0</v>
      </c>
      <c r="R11640" s="2" t="inlineStr"/>
    </row>
    <row r="11641" ht="15" customHeight="1">
      <c r="A11641" t="inlineStr">
        <is>
          <t>A 28168-2025</t>
        </is>
      </c>
      <c r="B11641" s="1" t="n">
        <v>45818.37311342593</v>
      </c>
      <c r="C11641" s="1" t="n">
        <v>45952</v>
      </c>
      <c r="D11641" t="inlineStr">
        <is>
          <t>VÄSTRA GÖTALANDS LÄN</t>
        </is>
      </c>
      <c r="E11641" t="inlineStr">
        <is>
          <t>ALINGSÅS</t>
        </is>
      </c>
      <c r="G11641" t="n">
        <v>3.1</v>
      </c>
      <c r="H11641" t="n">
        <v>0</v>
      </c>
      <c r="I11641" t="n">
        <v>0</v>
      </c>
      <c r="J11641" t="n">
        <v>0</v>
      </c>
      <c r="K11641" t="n">
        <v>0</v>
      </c>
      <c r="L11641" t="n">
        <v>0</v>
      </c>
      <c r="M11641" t="n">
        <v>0</v>
      </c>
      <c r="N11641" t="n">
        <v>0</v>
      </c>
      <c r="O11641" t="n">
        <v>0</v>
      </c>
      <c r="P11641" t="n">
        <v>0</v>
      </c>
      <c r="Q11641" t="n">
        <v>0</v>
      </c>
      <c r="R11641" s="2" t="inlineStr"/>
    </row>
    <row r="11642" ht="15" customHeight="1">
      <c r="A11642" t="inlineStr">
        <is>
          <t>A 28228-2025</t>
        </is>
      </c>
      <c r="B11642" s="1" t="n">
        <v>45818.48547453704</v>
      </c>
      <c r="C11642" s="1" t="n">
        <v>45952</v>
      </c>
      <c r="D11642" t="inlineStr">
        <is>
          <t>VÄSTRA GÖTALANDS LÄN</t>
        </is>
      </c>
      <c r="E11642" t="inlineStr">
        <is>
          <t>UDDEVALLA</t>
        </is>
      </c>
      <c r="G11642" t="n">
        <v>1.4</v>
      </c>
      <c r="H11642" t="n">
        <v>0</v>
      </c>
      <c r="I11642" t="n">
        <v>0</v>
      </c>
      <c r="J11642" t="n">
        <v>0</v>
      </c>
      <c r="K11642" t="n">
        <v>0</v>
      </c>
      <c r="L11642" t="n">
        <v>0</v>
      </c>
      <c r="M11642" t="n">
        <v>0</v>
      </c>
      <c r="N11642" t="n">
        <v>0</v>
      </c>
      <c r="O11642" t="n">
        <v>0</v>
      </c>
      <c r="P11642" t="n">
        <v>0</v>
      </c>
      <c r="Q11642" t="n">
        <v>0</v>
      </c>
      <c r="R11642" s="2" t="inlineStr"/>
    </row>
    <row r="11643" ht="15" customHeight="1">
      <c r="A11643" t="inlineStr">
        <is>
          <t>A 11773-2025</t>
        </is>
      </c>
      <c r="B11643" s="1" t="n">
        <v>45727</v>
      </c>
      <c r="C11643" s="1" t="n">
        <v>45952</v>
      </c>
      <c r="D11643" t="inlineStr">
        <is>
          <t>VÄSTRA GÖTALANDS LÄN</t>
        </is>
      </c>
      <c r="E11643" t="inlineStr">
        <is>
          <t>FALKÖPING</t>
        </is>
      </c>
      <c r="G11643" t="n">
        <v>1.4</v>
      </c>
      <c r="H11643" t="n">
        <v>0</v>
      </c>
      <c r="I11643" t="n">
        <v>0</v>
      </c>
      <c r="J11643" t="n">
        <v>0</v>
      </c>
      <c r="K11643" t="n">
        <v>0</v>
      </c>
      <c r="L11643" t="n">
        <v>0</v>
      </c>
      <c r="M11643" t="n">
        <v>0</v>
      </c>
      <c r="N11643" t="n">
        <v>0</v>
      </c>
      <c r="O11643" t="n">
        <v>0</v>
      </c>
      <c r="P11643" t="n">
        <v>0</v>
      </c>
      <c r="Q11643" t="n">
        <v>0</v>
      </c>
      <c r="R11643" s="2" t="inlineStr"/>
    </row>
    <row r="11644" ht="15" customHeight="1">
      <c r="A11644" t="inlineStr">
        <is>
          <t>A 16354-2025</t>
        </is>
      </c>
      <c r="B11644" s="1" t="n">
        <v>45751</v>
      </c>
      <c r="C11644" s="1" t="n">
        <v>45952</v>
      </c>
      <c r="D11644" t="inlineStr">
        <is>
          <t>VÄSTRA GÖTALANDS LÄN</t>
        </is>
      </c>
      <c r="E11644" t="inlineStr">
        <is>
          <t>MARK</t>
        </is>
      </c>
      <c r="G11644" t="n">
        <v>1.2</v>
      </c>
      <c r="H11644" t="n">
        <v>0</v>
      </c>
      <c r="I11644" t="n">
        <v>0</v>
      </c>
      <c r="J11644" t="n">
        <v>0</v>
      </c>
      <c r="K11644" t="n">
        <v>0</v>
      </c>
      <c r="L11644" t="n">
        <v>0</v>
      </c>
      <c r="M11644" t="n">
        <v>0</v>
      </c>
      <c r="N11644" t="n">
        <v>0</v>
      </c>
      <c r="O11644" t="n">
        <v>0</v>
      </c>
      <c r="P11644" t="n">
        <v>0</v>
      </c>
      <c r="Q11644" t="n">
        <v>0</v>
      </c>
      <c r="R11644" s="2" t="inlineStr"/>
    </row>
    <row r="11645" ht="15" customHeight="1">
      <c r="A11645" t="inlineStr">
        <is>
          <t>A 51079-2024</t>
        </is>
      </c>
      <c r="B11645" s="1" t="n">
        <v>45603.45733796297</v>
      </c>
      <c r="C11645" s="1" t="n">
        <v>45952</v>
      </c>
      <c r="D11645" t="inlineStr">
        <is>
          <t>VÄSTRA GÖTALANDS LÄN</t>
        </is>
      </c>
      <c r="E11645" t="inlineStr">
        <is>
          <t>FÄRGELANDA</t>
        </is>
      </c>
      <c r="G11645" t="n">
        <v>2.4</v>
      </c>
      <c r="H11645" t="n">
        <v>0</v>
      </c>
      <c r="I11645" t="n">
        <v>0</v>
      </c>
      <c r="J11645" t="n">
        <v>0</v>
      </c>
      <c r="K11645" t="n">
        <v>0</v>
      </c>
      <c r="L11645" t="n">
        <v>0</v>
      </c>
      <c r="M11645" t="n">
        <v>0</v>
      </c>
      <c r="N11645" t="n">
        <v>0</v>
      </c>
      <c r="O11645" t="n">
        <v>0</v>
      </c>
      <c r="P11645" t="n">
        <v>0</v>
      </c>
      <c r="Q11645" t="n">
        <v>0</v>
      </c>
      <c r="R11645" s="2" t="inlineStr"/>
    </row>
    <row r="11646" ht="15" customHeight="1">
      <c r="A11646" t="inlineStr">
        <is>
          <t>A 32107-2023</t>
        </is>
      </c>
      <c r="B11646" s="1" t="n">
        <v>45119.61793981482</v>
      </c>
      <c r="C11646" s="1" t="n">
        <v>45952</v>
      </c>
      <c r="D11646" t="inlineStr">
        <is>
          <t>VÄSTRA GÖTALANDS LÄN</t>
        </is>
      </c>
      <c r="E11646" t="inlineStr">
        <is>
          <t>LILLA EDET</t>
        </is>
      </c>
      <c r="G11646" t="n">
        <v>2.1</v>
      </c>
      <c r="H11646" t="n">
        <v>0</v>
      </c>
      <c r="I11646" t="n">
        <v>0</v>
      </c>
      <c r="J11646" t="n">
        <v>0</v>
      </c>
      <c r="K11646" t="n">
        <v>0</v>
      </c>
      <c r="L11646" t="n">
        <v>0</v>
      </c>
      <c r="M11646" t="n">
        <v>0</v>
      </c>
      <c r="N11646" t="n">
        <v>0</v>
      </c>
      <c r="O11646" t="n">
        <v>0</v>
      </c>
      <c r="P11646" t="n">
        <v>0</v>
      </c>
      <c r="Q11646" t="n">
        <v>0</v>
      </c>
      <c r="R11646" s="2" t="inlineStr"/>
    </row>
    <row r="11647" ht="15" customHeight="1">
      <c r="A11647" t="inlineStr">
        <is>
          <t>A 18469-2025</t>
        </is>
      </c>
      <c r="B11647" s="1" t="n">
        <v>45762.74259259259</v>
      </c>
      <c r="C11647" s="1" t="n">
        <v>45952</v>
      </c>
      <c r="D11647" t="inlineStr">
        <is>
          <t>VÄSTRA GÖTALANDS LÄN</t>
        </is>
      </c>
      <c r="E11647" t="inlineStr">
        <is>
          <t>MUNKEDAL</t>
        </is>
      </c>
      <c r="G11647" t="n">
        <v>10.3</v>
      </c>
      <c r="H11647" t="n">
        <v>0</v>
      </c>
      <c r="I11647" t="n">
        <v>0</v>
      </c>
      <c r="J11647" t="n">
        <v>0</v>
      </c>
      <c r="K11647" t="n">
        <v>0</v>
      </c>
      <c r="L11647" t="n">
        <v>0</v>
      </c>
      <c r="M11647" t="n">
        <v>0</v>
      </c>
      <c r="N11647" t="n">
        <v>0</v>
      </c>
      <c r="O11647" t="n">
        <v>0</v>
      </c>
      <c r="P11647" t="n">
        <v>0</v>
      </c>
      <c r="Q11647" t="n">
        <v>0</v>
      </c>
      <c r="R11647" s="2" t="inlineStr"/>
    </row>
    <row r="11648" ht="15" customHeight="1">
      <c r="A11648" t="inlineStr">
        <is>
          <t>A 13426-2025</t>
        </is>
      </c>
      <c r="B11648" s="1" t="n">
        <v>45736.32780092592</v>
      </c>
      <c r="C11648" s="1" t="n">
        <v>45952</v>
      </c>
      <c r="D11648" t="inlineStr">
        <is>
          <t>VÄSTRA GÖTALANDS LÄN</t>
        </is>
      </c>
      <c r="E11648" t="inlineStr">
        <is>
          <t>ALE</t>
        </is>
      </c>
      <c r="G11648" t="n">
        <v>1.5</v>
      </c>
      <c r="H11648" t="n">
        <v>0</v>
      </c>
      <c r="I11648" t="n">
        <v>0</v>
      </c>
      <c r="J11648" t="n">
        <v>0</v>
      </c>
      <c r="K11648" t="n">
        <v>0</v>
      </c>
      <c r="L11648" t="n">
        <v>0</v>
      </c>
      <c r="M11648" t="n">
        <v>0</v>
      </c>
      <c r="N11648" t="n">
        <v>0</v>
      </c>
      <c r="O11648" t="n">
        <v>0</v>
      </c>
      <c r="P11648" t="n">
        <v>0</v>
      </c>
      <c r="Q11648" t="n">
        <v>0</v>
      </c>
      <c r="R11648" s="2" t="inlineStr"/>
    </row>
    <row r="11649" ht="15" customHeight="1">
      <c r="A11649" t="inlineStr">
        <is>
          <t>A 42757-2025</t>
        </is>
      </c>
      <c r="B11649" s="1" t="n">
        <v>45908.45122685185</v>
      </c>
      <c r="C11649" s="1" t="n">
        <v>45952</v>
      </c>
      <c r="D11649" t="inlineStr">
        <is>
          <t>VÄSTRA GÖTALANDS LÄN</t>
        </is>
      </c>
      <c r="E11649" t="inlineStr">
        <is>
          <t>KARLSBORG</t>
        </is>
      </c>
      <c r="F11649" t="inlineStr">
        <is>
          <t>Kyrkan</t>
        </is>
      </c>
      <c r="G11649" t="n">
        <v>8.5</v>
      </c>
      <c r="H11649" t="n">
        <v>0</v>
      </c>
      <c r="I11649" t="n">
        <v>0</v>
      </c>
      <c r="J11649" t="n">
        <v>0</v>
      </c>
      <c r="K11649" t="n">
        <v>0</v>
      </c>
      <c r="L11649" t="n">
        <v>0</v>
      </c>
      <c r="M11649" t="n">
        <v>0</v>
      </c>
      <c r="N11649" t="n">
        <v>0</v>
      </c>
      <c r="O11649" t="n">
        <v>0</v>
      </c>
      <c r="P11649" t="n">
        <v>0</v>
      </c>
      <c r="Q11649" t="n">
        <v>0</v>
      </c>
      <c r="R11649" s="2" t="inlineStr"/>
    </row>
    <row r="11650" ht="15" customHeight="1">
      <c r="A11650" t="inlineStr">
        <is>
          <t>A 31750-2025</t>
        </is>
      </c>
      <c r="B11650" s="1" t="n">
        <v>45834.48267361111</v>
      </c>
      <c r="C11650" s="1" t="n">
        <v>45952</v>
      </c>
      <c r="D11650" t="inlineStr">
        <is>
          <t>VÄSTRA GÖTALANDS LÄN</t>
        </is>
      </c>
      <c r="E11650" t="inlineStr">
        <is>
          <t>DALS-ED</t>
        </is>
      </c>
      <c r="G11650" t="n">
        <v>1.1</v>
      </c>
      <c r="H11650" t="n">
        <v>0</v>
      </c>
      <c r="I11650" t="n">
        <v>0</v>
      </c>
      <c r="J11650" t="n">
        <v>0</v>
      </c>
      <c r="K11650" t="n">
        <v>0</v>
      </c>
      <c r="L11650" t="n">
        <v>0</v>
      </c>
      <c r="M11650" t="n">
        <v>0</v>
      </c>
      <c r="N11650" t="n">
        <v>0</v>
      </c>
      <c r="O11650" t="n">
        <v>0</v>
      </c>
      <c r="P11650" t="n">
        <v>0</v>
      </c>
      <c r="Q11650" t="n">
        <v>0</v>
      </c>
      <c r="R11650" s="2" t="inlineStr"/>
    </row>
    <row r="11651" ht="15" customHeight="1">
      <c r="A11651" t="inlineStr">
        <is>
          <t>A 2250-2025</t>
        </is>
      </c>
      <c r="B11651" s="1" t="n">
        <v>45673.49438657407</v>
      </c>
      <c r="C11651" s="1" t="n">
        <v>45952</v>
      </c>
      <c r="D11651" t="inlineStr">
        <is>
          <t>VÄSTRA GÖTALANDS LÄN</t>
        </is>
      </c>
      <c r="E11651" t="inlineStr">
        <is>
          <t>TRANEMO</t>
        </is>
      </c>
      <c r="G11651" t="n">
        <v>2.1</v>
      </c>
      <c r="H11651" t="n">
        <v>0</v>
      </c>
      <c r="I11651" t="n">
        <v>0</v>
      </c>
      <c r="J11651" t="n">
        <v>0</v>
      </c>
      <c r="K11651" t="n">
        <v>0</v>
      </c>
      <c r="L11651" t="n">
        <v>0</v>
      </c>
      <c r="M11651" t="n">
        <v>0</v>
      </c>
      <c r="N11651" t="n">
        <v>0</v>
      </c>
      <c r="O11651" t="n">
        <v>0</v>
      </c>
      <c r="P11651" t="n">
        <v>0</v>
      </c>
      <c r="Q11651" t="n">
        <v>0</v>
      </c>
      <c r="R11651" s="2" t="inlineStr"/>
    </row>
    <row r="11652" ht="15" customHeight="1">
      <c r="A11652" t="inlineStr">
        <is>
          <t>A 8659-2025</t>
        </is>
      </c>
      <c r="B11652" s="1" t="n">
        <v>45712</v>
      </c>
      <c r="C11652" s="1" t="n">
        <v>45952</v>
      </c>
      <c r="D11652" t="inlineStr">
        <is>
          <t>VÄSTRA GÖTALANDS LÄN</t>
        </is>
      </c>
      <c r="E11652" t="inlineStr">
        <is>
          <t>ALE</t>
        </is>
      </c>
      <c r="G11652" t="n">
        <v>5.7</v>
      </c>
      <c r="H11652" t="n">
        <v>0</v>
      </c>
      <c r="I11652" t="n">
        <v>0</v>
      </c>
      <c r="J11652" t="n">
        <v>0</v>
      </c>
      <c r="K11652" t="n">
        <v>0</v>
      </c>
      <c r="L11652" t="n">
        <v>0</v>
      </c>
      <c r="M11652" t="n">
        <v>0</v>
      </c>
      <c r="N11652" t="n">
        <v>0</v>
      </c>
      <c r="O11652" t="n">
        <v>0</v>
      </c>
      <c r="P11652" t="n">
        <v>0</v>
      </c>
      <c r="Q11652" t="n">
        <v>0</v>
      </c>
      <c r="R11652" s="2" t="inlineStr"/>
    </row>
    <row r="11653" ht="15" customHeight="1">
      <c r="A11653" t="inlineStr">
        <is>
          <t>A 5344-2024</t>
        </is>
      </c>
      <c r="B11653" s="1" t="n">
        <v>45331</v>
      </c>
      <c r="C11653" s="1" t="n">
        <v>45952</v>
      </c>
      <c r="D11653" t="inlineStr">
        <is>
          <t>VÄSTRA GÖTALANDS LÄN</t>
        </is>
      </c>
      <c r="E11653" t="inlineStr">
        <is>
          <t>ALE</t>
        </is>
      </c>
      <c r="G11653" t="n">
        <v>2.5</v>
      </c>
      <c r="H11653" t="n">
        <v>0</v>
      </c>
      <c r="I11653" t="n">
        <v>0</v>
      </c>
      <c r="J11653" t="n">
        <v>0</v>
      </c>
      <c r="K11653" t="n">
        <v>0</v>
      </c>
      <c r="L11653" t="n">
        <v>0</v>
      </c>
      <c r="M11653" t="n">
        <v>0</v>
      </c>
      <c r="N11653" t="n">
        <v>0</v>
      </c>
      <c r="O11653" t="n">
        <v>0</v>
      </c>
      <c r="P11653" t="n">
        <v>0</v>
      </c>
      <c r="Q11653" t="n">
        <v>0</v>
      </c>
      <c r="R11653" s="2" t="inlineStr"/>
    </row>
    <row r="11654" ht="15" customHeight="1">
      <c r="A11654" t="inlineStr">
        <is>
          <t>A 42655-2025</t>
        </is>
      </c>
      <c r="B11654" s="1" t="n">
        <v>45906.77978009259</v>
      </c>
      <c r="C11654" s="1" t="n">
        <v>45952</v>
      </c>
      <c r="D11654" t="inlineStr">
        <is>
          <t>VÄSTRA GÖTALANDS LÄN</t>
        </is>
      </c>
      <c r="E11654" t="inlineStr">
        <is>
          <t>TRANEMO</t>
        </is>
      </c>
      <c r="F11654" t="inlineStr">
        <is>
          <t>Kyrkan</t>
        </is>
      </c>
      <c r="G11654" t="n">
        <v>5.5</v>
      </c>
      <c r="H11654" t="n">
        <v>0</v>
      </c>
      <c r="I11654" t="n">
        <v>0</v>
      </c>
      <c r="J11654" t="n">
        <v>0</v>
      </c>
      <c r="K11654" t="n">
        <v>0</v>
      </c>
      <c r="L11654" t="n">
        <v>0</v>
      </c>
      <c r="M11654" t="n">
        <v>0</v>
      </c>
      <c r="N11654" t="n">
        <v>0</v>
      </c>
      <c r="O11654" t="n">
        <v>0</v>
      </c>
      <c r="P11654" t="n">
        <v>0</v>
      </c>
      <c r="Q11654" t="n">
        <v>0</v>
      </c>
      <c r="R11654" s="2" t="inlineStr"/>
    </row>
    <row r="11655" ht="15" customHeight="1">
      <c r="A11655" t="inlineStr">
        <is>
          <t>A 43093-2025</t>
        </is>
      </c>
      <c r="B11655" s="1" t="n">
        <v>45909.62569444445</v>
      </c>
      <c r="C11655" s="1" t="n">
        <v>45952</v>
      </c>
      <c r="D11655" t="inlineStr">
        <is>
          <t>VÄSTRA GÖTALANDS LÄN</t>
        </is>
      </c>
      <c r="E11655" t="inlineStr">
        <is>
          <t>MARIESTAD</t>
        </is>
      </c>
      <c r="G11655" t="n">
        <v>2.4</v>
      </c>
      <c r="H11655" t="n">
        <v>0</v>
      </c>
      <c r="I11655" t="n">
        <v>0</v>
      </c>
      <c r="J11655" t="n">
        <v>0</v>
      </c>
      <c r="K11655" t="n">
        <v>0</v>
      </c>
      <c r="L11655" t="n">
        <v>0</v>
      </c>
      <c r="M11655" t="n">
        <v>0</v>
      </c>
      <c r="N11655" t="n">
        <v>0</v>
      </c>
      <c r="O11655" t="n">
        <v>0</v>
      </c>
      <c r="P11655" t="n">
        <v>0</v>
      </c>
      <c r="Q11655" t="n">
        <v>0</v>
      </c>
      <c r="R11655" s="2" t="inlineStr"/>
    </row>
    <row r="11656" ht="15" customHeight="1">
      <c r="A11656" t="inlineStr">
        <is>
          <t>A 42893-2025</t>
        </is>
      </c>
      <c r="B11656" s="1" t="n">
        <v>45908.6643287037</v>
      </c>
      <c r="C11656" s="1" t="n">
        <v>45952</v>
      </c>
      <c r="D11656" t="inlineStr">
        <is>
          <t>VÄSTRA GÖTALANDS LÄN</t>
        </is>
      </c>
      <c r="E11656" t="inlineStr">
        <is>
          <t>FÄRGELANDA</t>
        </is>
      </c>
      <c r="G11656" t="n">
        <v>1.1</v>
      </c>
      <c r="H11656" t="n">
        <v>0</v>
      </c>
      <c r="I11656" t="n">
        <v>0</v>
      </c>
      <c r="J11656" t="n">
        <v>0</v>
      </c>
      <c r="K11656" t="n">
        <v>0</v>
      </c>
      <c r="L11656" t="n">
        <v>0</v>
      </c>
      <c r="M11656" t="n">
        <v>0</v>
      </c>
      <c r="N11656" t="n">
        <v>0</v>
      </c>
      <c r="O11656" t="n">
        <v>0</v>
      </c>
      <c r="P11656" t="n">
        <v>0</v>
      </c>
      <c r="Q11656" t="n">
        <v>0</v>
      </c>
      <c r="R11656" s="2" t="inlineStr"/>
    </row>
    <row r="11657" ht="15" customHeight="1">
      <c r="A11657" t="inlineStr">
        <is>
          <t>A 28379-2025</t>
        </is>
      </c>
      <c r="B11657" s="1" t="n">
        <v>45819.30428240741</v>
      </c>
      <c r="C11657" s="1" t="n">
        <v>45952</v>
      </c>
      <c r="D11657" t="inlineStr">
        <is>
          <t>VÄSTRA GÖTALANDS LÄN</t>
        </is>
      </c>
      <c r="E11657" t="inlineStr">
        <is>
          <t>MUNKEDAL</t>
        </is>
      </c>
      <c r="G11657" t="n">
        <v>1.8</v>
      </c>
      <c r="H11657" t="n">
        <v>0</v>
      </c>
      <c r="I11657" t="n">
        <v>0</v>
      </c>
      <c r="J11657" t="n">
        <v>0</v>
      </c>
      <c r="K11657" t="n">
        <v>0</v>
      </c>
      <c r="L11657" t="n">
        <v>0</v>
      </c>
      <c r="M11657" t="n">
        <v>0</v>
      </c>
      <c r="N11657" t="n">
        <v>0</v>
      </c>
      <c r="O11657" t="n">
        <v>0</v>
      </c>
      <c r="P11657" t="n">
        <v>0</v>
      </c>
      <c r="Q11657" t="n">
        <v>0</v>
      </c>
      <c r="R11657" s="2" t="inlineStr"/>
    </row>
    <row r="11658" ht="15" customHeight="1">
      <c r="A11658" t="inlineStr">
        <is>
          <t>A 28384-2025</t>
        </is>
      </c>
      <c r="B11658" s="1" t="n">
        <v>45819.31267361111</v>
      </c>
      <c r="C11658" s="1" t="n">
        <v>45952</v>
      </c>
      <c r="D11658" t="inlineStr">
        <is>
          <t>VÄSTRA GÖTALANDS LÄN</t>
        </is>
      </c>
      <c r="E11658" t="inlineStr">
        <is>
          <t>MUNKEDAL</t>
        </is>
      </c>
      <c r="G11658" t="n">
        <v>2.2</v>
      </c>
      <c r="H11658" t="n">
        <v>0</v>
      </c>
      <c r="I11658" t="n">
        <v>0</v>
      </c>
      <c r="J11658" t="n">
        <v>0</v>
      </c>
      <c r="K11658" t="n">
        <v>0</v>
      </c>
      <c r="L11658" t="n">
        <v>0</v>
      </c>
      <c r="M11658" t="n">
        <v>0</v>
      </c>
      <c r="N11658" t="n">
        <v>0</v>
      </c>
      <c r="O11658" t="n">
        <v>0</v>
      </c>
      <c r="P11658" t="n">
        <v>0</v>
      </c>
      <c r="Q11658" t="n">
        <v>0</v>
      </c>
      <c r="R11658" s="2" t="inlineStr"/>
    </row>
    <row r="11659" ht="15" customHeight="1">
      <c r="A11659" t="inlineStr">
        <is>
          <t>A 28386-2025</t>
        </is>
      </c>
      <c r="B11659" s="1" t="n">
        <v>45819.32221064815</v>
      </c>
      <c r="C11659" s="1" t="n">
        <v>45952</v>
      </c>
      <c r="D11659" t="inlineStr">
        <is>
          <t>VÄSTRA GÖTALANDS LÄN</t>
        </is>
      </c>
      <c r="E11659" t="inlineStr">
        <is>
          <t>MUNKEDAL</t>
        </is>
      </c>
      <c r="G11659" t="n">
        <v>1.2</v>
      </c>
      <c r="H11659" t="n">
        <v>0</v>
      </c>
      <c r="I11659" t="n">
        <v>0</v>
      </c>
      <c r="J11659" t="n">
        <v>0</v>
      </c>
      <c r="K11659" t="n">
        <v>0</v>
      </c>
      <c r="L11659" t="n">
        <v>0</v>
      </c>
      <c r="M11659" t="n">
        <v>0</v>
      </c>
      <c r="N11659" t="n">
        <v>0</v>
      </c>
      <c r="O11659" t="n">
        <v>0</v>
      </c>
      <c r="P11659" t="n">
        <v>0</v>
      </c>
      <c r="Q11659" t="n">
        <v>0</v>
      </c>
      <c r="R11659" s="2" t="inlineStr"/>
    </row>
    <row r="11660" ht="15" customHeight="1">
      <c r="A11660" t="inlineStr">
        <is>
          <t>A 43124-2025</t>
        </is>
      </c>
      <c r="B11660" s="1" t="n">
        <v>45909.70793981481</v>
      </c>
      <c r="C11660" s="1" t="n">
        <v>45952</v>
      </c>
      <c r="D11660" t="inlineStr">
        <is>
          <t>VÄSTRA GÖTALANDS LÄN</t>
        </is>
      </c>
      <c r="E11660" t="inlineStr">
        <is>
          <t>TIBRO</t>
        </is>
      </c>
      <c r="G11660" t="n">
        <v>2.3</v>
      </c>
      <c r="H11660" t="n">
        <v>0</v>
      </c>
      <c r="I11660" t="n">
        <v>0</v>
      </c>
      <c r="J11660" t="n">
        <v>0</v>
      </c>
      <c r="K11660" t="n">
        <v>0</v>
      </c>
      <c r="L11660" t="n">
        <v>0</v>
      </c>
      <c r="M11660" t="n">
        <v>0</v>
      </c>
      <c r="N11660" t="n">
        <v>0</v>
      </c>
      <c r="O11660" t="n">
        <v>0</v>
      </c>
      <c r="P11660" t="n">
        <v>0</v>
      </c>
      <c r="Q11660" t="n">
        <v>0</v>
      </c>
      <c r="R11660" s="2" t="inlineStr"/>
    </row>
    <row r="11661" ht="15" customHeight="1">
      <c r="A11661" t="inlineStr">
        <is>
          <t>A 28647-2025</t>
        </is>
      </c>
      <c r="B11661" s="1" t="n">
        <v>45819</v>
      </c>
      <c r="C11661" s="1" t="n">
        <v>45952</v>
      </c>
      <c r="D11661" t="inlineStr">
        <is>
          <t>VÄSTRA GÖTALANDS LÄN</t>
        </is>
      </c>
      <c r="E11661" t="inlineStr">
        <is>
          <t>ÅMÅL</t>
        </is>
      </c>
      <c r="G11661" t="n">
        <v>0.5</v>
      </c>
      <c r="H11661" t="n">
        <v>0</v>
      </c>
      <c r="I11661" t="n">
        <v>0</v>
      </c>
      <c r="J11661" t="n">
        <v>0</v>
      </c>
      <c r="K11661" t="n">
        <v>0</v>
      </c>
      <c r="L11661" t="n">
        <v>0</v>
      </c>
      <c r="M11661" t="n">
        <v>0</v>
      </c>
      <c r="N11661" t="n">
        <v>0</v>
      </c>
      <c r="O11661" t="n">
        <v>0</v>
      </c>
      <c r="P11661" t="n">
        <v>0</v>
      </c>
      <c r="Q11661" t="n">
        <v>0</v>
      </c>
      <c r="R11661" s="2" t="inlineStr"/>
    </row>
    <row r="11662" ht="15" customHeight="1">
      <c r="A11662" t="inlineStr">
        <is>
          <t>A 28539-2025</t>
        </is>
      </c>
      <c r="B11662" s="1" t="n">
        <v>45819.51217592593</v>
      </c>
      <c r="C11662" s="1" t="n">
        <v>45952</v>
      </c>
      <c r="D11662" t="inlineStr">
        <is>
          <t>VÄSTRA GÖTALANDS LÄN</t>
        </is>
      </c>
      <c r="E11662" t="inlineStr">
        <is>
          <t>BORÅS</t>
        </is>
      </c>
      <c r="G11662" t="n">
        <v>1.3</v>
      </c>
      <c r="H11662" t="n">
        <v>0</v>
      </c>
      <c r="I11662" t="n">
        <v>0</v>
      </c>
      <c r="J11662" t="n">
        <v>0</v>
      </c>
      <c r="K11662" t="n">
        <v>0</v>
      </c>
      <c r="L11662" t="n">
        <v>0</v>
      </c>
      <c r="M11662" t="n">
        <v>0</v>
      </c>
      <c r="N11662" t="n">
        <v>0</v>
      </c>
      <c r="O11662" t="n">
        <v>0</v>
      </c>
      <c r="P11662" t="n">
        <v>0</v>
      </c>
      <c r="Q11662" t="n">
        <v>0</v>
      </c>
      <c r="R11662" s="2" t="inlineStr"/>
    </row>
    <row r="11663" ht="15" customHeight="1">
      <c r="A11663" t="inlineStr">
        <is>
          <t>A 28546-2025</t>
        </is>
      </c>
      <c r="B11663" s="1" t="n">
        <v>45819.52787037037</v>
      </c>
      <c r="C11663" s="1" t="n">
        <v>45952</v>
      </c>
      <c r="D11663" t="inlineStr">
        <is>
          <t>VÄSTRA GÖTALANDS LÄN</t>
        </is>
      </c>
      <c r="E11663" t="inlineStr">
        <is>
          <t>TANUM</t>
        </is>
      </c>
      <c r="G11663" t="n">
        <v>4.6</v>
      </c>
      <c r="H11663" t="n">
        <v>0</v>
      </c>
      <c r="I11663" t="n">
        <v>0</v>
      </c>
      <c r="J11663" t="n">
        <v>0</v>
      </c>
      <c r="K11663" t="n">
        <v>0</v>
      </c>
      <c r="L11663" t="n">
        <v>0</v>
      </c>
      <c r="M11663" t="n">
        <v>0</v>
      </c>
      <c r="N11663" t="n">
        <v>0</v>
      </c>
      <c r="O11663" t="n">
        <v>0</v>
      </c>
      <c r="P11663" t="n">
        <v>0</v>
      </c>
      <c r="Q11663" t="n">
        <v>0</v>
      </c>
      <c r="R11663" s="2" t="inlineStr"/>
    </row>
    <row r="11664" ht="15" customHeight="1">
      <c r="A11664" t="inlineStr">
        <is>
          <t>A 51691-2025</t>
        </is>
      </c>
      <c r="B11664" s="1" t="n">
        <v>45951.53512731481</v>
      </c>
      <c r="C11664" s="1" t="n">
        <v>45952</v>
      </c>
      <c r="D11664" t="inlineStr">
        <is>
          <t>VÄSTRA GÖTALANDS LÄN</t>
        </is>
      </c>
      <c r="E11664" t="inlineStr">
        <is>
          <t>TANUM</t>
        </is>
      </c>
      <c r="G11664" t="n">
        <v>4.7</v>
      </c>
      <c r="H11664" t="n">
        <v>0</v>
      </c>
      <c r="I11664" t="n">
        <v>0</v>
      </c>
      <c r="J11664" t="n">
        <v>0</v>
      </c>
      <c r="K11664" t="n">
        <v>0</v>
      </c>
      <c r="L11664" t="n">
        <v>0</v>
      </c>
      <c r="M11664" t="n">
        <v>0</v>
      </c>
      <c r="N11664" t="n">
        <v>0</v>
      </c>
      <c r="O11664" t="n">
        <v>0</v>
      </c>
      <c r="P11664" t="n">
        <v>0</v>
      </c>
      <c r="Q11664" t="n">
        <v>0</v>
      </c>
      <c r="R11664" s="2" t="inlineStr"/>
    </row>
    <row r="11665" ht="15" customHeight="1">
      <c r="A11665" t="inlineStr">
        <is>
          <t>A 27141-2024</t>
        </is>
      </c>
      <c r="B11665" s="1" t="n">
        <v>45471.55196759259</v>
      </c>
      <c r="C11665" s="1" t="n">
        <v>45952</v>
      </c>
      <c r="D11665" t="inlineStr">
        <is>
          <t>VÄSTRA GÖTALANDS LÄN</t>
        </is>
      </c>
      <c r="E11665" t="inlineStr">
        <is>
          <t>VÅRGÅRDA</t>
        </is>
      </c>
      <c r="G11665" t="n">
        <v>2.5</v>
      </c>
      <c r="H11665" t="n">
        <v>0</v>
      </c>
      <c r="I11665" t="n">
        <v>0</v>
      </c>
      <c r="J11665" t="n">
        <v>0</v>
      </c>
      <c r="K11665" t="n">
        <v>0</v>
      </c>
      <c r="L11665" t="n">
        <v>0</v>
      </c>
      <c r="M11665" t="n">
        <v>0</v>
      </c>
      <c r="N11665" t="n">
        <v>0</v>
      </c>
      <c r="O11665" t="n">
        <v>0</v>
      </c>
      <c r="P11665" t="n">
        <v>0</v>
      </c>
      <c r="Q11665" t="n">
        <v>0</v>
      </c>
      <c r="R11665" s="2" t="inlineStr"/>
    </row>
    <row r="11666" ht="15" customHeight="1">
      <c r="A11666" t="inlineStr">
        <is>
          <t>A 2264-2025</t>
        </is>
      </c>
      <c r="B11666" s="1" t="n">
        <v>45673.52872685185</v>
      </c>
      <c r="C11666" s="1" t="n">
        <v>45952</v>
      </c>
      <c r="D11666" t="inlineStr">
        <is>
          <t>VÄSTRA GÖTALANDS LÄN</t>
        </is>
      </c>
      <c r="E11666" t="inlineStr">
        <is>
          <t>GRÄSTORP</t>
        </is>
      </c>
      <c r="G11666" t="n">
        <v>0.4</v>
      </c>
      <c r="H11666" t="n">
        <v>0</v>
      </c>
      <c r="I11666" t="n">
        <v>0</v>
      </c>
      <c r="J11666" t="n">
        <v>0</v>
      </c>
      <c r="K11666" t="n">
        <v>0</v>
      </c>
      <c r="L11666" t="n">
        <v>0</v>
      </c>
      <c r="M11666" t="n">
        <v>0</v>
      </c>
      <c r="N11666" t="n">
        <v>0</v>
      </c>
      <c r="O11666" t="n">
        <v>0</v>
      </c>
      <c r="P11666" t="n">
        <v>0</v>
      </c>
      <c r="Q11666" t="n">
        <v>0</v>
      </c>
      <c r="R11666" s="2" t="inlineStr"/>
    </row>
    <row r="11667" ht="15" customHeight="1">
      <c r="A11667" t="inlineStr">
        <is>
          <t>A 61497-2024</t>
        </is>
      </c>
      <c r="B11667" s="1" t="n">
        <v>45646.55346064815</v>
      </c>
      <c r="C11667" s="1" t="n">
        <v>45952</v>
      </c>
      <c r="D11667" t="inlineStr">
        <is>
          <t>VÄSTRA GÖTALANDS LÄN</t>
        </is>
      </c>
      <c r="E11667" t="inlineStr">
        <is>
          <t>DALS-ED</t>
        </is>
      </c>
      <c r="G11667" t="n">
        <v>1.6</v>
      </c>
      <c r="H11667" t="n">
        <v>0</v>
      </c>
      <c r="I11667" t="n">
        <v>0</v>
      </c>
      <c r="J11667" t="n">
        <v>0</v>
      </c>
      <c r="K11667" t="n">
        <v>0</v>
      </c>
      <c r="L11667" t="n">
        <v>0</v>
      </c>
      <c r="M11667" t="n">
        <v>0</v>
      </c>
      <c r="N11667" t="n">
        <v>0</v>
      </c>
      <c r="O11667" t="n">
        <v>0</v>
      </c>
      <c r="P11667" t="n">
        <v>0</v>
      </c>
      <c r="Q11667" t="n">
        <v>0</v>
      </c>
      <c r="R11667" s="2" t="inlineStr"/>
    </row>
    <row r="11668" ht="15" customHeight="1">
      <c r="A11668" t="inlineStr">
        <is>
          <t>A 28569-2025</t>
        </is>
      </c>
      <c r="B11668" s="1" t="n">
        <v>45819.55914351852</v>
      </c>
      <c r="C11668" s="1" t="n">
        <v>45952</v>
      </c>
      <c r="D11668" t="inlineStr">
        <is>
          <t>VÄSTRA GÖTALANDS LÄN</t>
        </is>
      </c>
      <c r="E11668" t="inlineStr">
        <is>
          <t>MUNKEDAL</t>
        </is>
      </c>
      <c r="G11668" t="n">
        <v>0.6</v>
      </c>
      <c r="H11668" t="n">
        <v>0</v>
      </c>
      <c r="I11668" t="n">
        <v>0</v>
      </c>
      <c r="J11668" t="n">
        <v>0</v>
      </c>
      <c r="K11668" t="n">
        <v>0</v>
      </c>
      <c r="L11668" t="n">
        <v>0</v>
      </c>
      <c r="M11668" t="n">
        <v>0</v>
      </c>
      <c r="N11668" t="n">
        <v>0</v>
      </c>
      <c r="O11668" t="n">
        <v>0</v>
      </c>
      <c r="P11668" t="n">
        <v>0</v>
      </c>
      <c r="Q11668" t="n">
        <v>0</v>
      </c>
      <c r="R11668" s="2" t="inlineStr"/>
    </row>
    <row r="11669" ht="15" customHeight="1">
      <c r="A11669" t="inlineStr">
        <is>
          <t>A 28586-2025</t>
        </is>
      </c>
      <c r="B11669" s="1" t="n">
        <v>45819.5812037037</v>
      </c>
      <c r="C11669" s="1" t="n">
        <v>45952</v>
      </c>
      <c r="D11669" t="inlineStr">
        <is>
          <t>VÄSTRA GÖTALANDS LÄN</t>
        </is>
      </c>
      <c r="E11669" t="inlineStr">
        <is>
          <t>STRÖMSTAD</t>
        </is>
      </c>
      <c r="G11669" t="n">
        <v>7.1</v>
      </c>
      <c r="H11669" t="n">
        <v>0</v>
      </c>
      <c r="I11669" t="n">
        <v>0</v>
      </c>
      <c r="J11669" t="n">
        <v>0</v>
      </c>
      <c r="K11669" t="n">
        <v>0</v>
      </c>
      <c r="L11669" t="n">
        <v>0</v>
      </c>
      <c r="M11669" t="n">
        <v>0</v>
      </c>
      <c r="N11669" t="n">
        <v>0</v>
      </c>
      <c r="O11669" t="n">
        <v>0</v>
      </c>
      <c r="P11669" t="n">
        <v>0</v>
      </c>
      <c r="Q11669" t="n">
        <v>0</v>
      </c>
      <c r="R11669" s="2" t="inlineStr"/>
    </row>
    <row r="11670" ht="15" customHeight="1">
      <c r="A11670" t="inlineStr">
        <is>
          <t>A 7917-2023</t>
        </is>
      </c>
      <c r="B11670" s="1" t="n">
        <v>44973</v>
      </c>
      <c r="C11670" s="1" t="n">
        <v>45952</v>
      </c>
      <c r="D11670" t="inlineStr">
        <is>
          <t>VÄSTRA GÖTALANDS LÄN</t>
        </is>
      </c>
      <c r="E11670" t="inlineStr">
        <is>
          <t>TIDAHOLM</t>
        </is>
      </c>
      <c r="F11670" t="inlineStr">
        <is>
          <t>Sveaskog</t>
        </is>
      </c>
      <c r="G11670" t="n">
        <v>1</v>
      </c>
      <c r="H11670" t="n">
        <v>0</v>
      </c>
      <c r="I11670" t="n">
        <v>0</v>
      </c>
      <c r="J11670" t="n">
        <v>0</v>
      </c>
      <c r="K11670" t="n">
        <v>0</v>
      </c>
      <c r="L11670" t="n">
        <v>0</v>
      </c>
      <c r="M11670" t="n">
        <v>0</v>
      </c>
      <c r="N11670" t="n">
        <v>0</v>
      </c>
      <c r="O11670" t="n">
        <v>0</v>
      </c>
      <c r="P11670" t="n">
        <v>0</v>
      </c>
      <c r="Q11670" t="n">
        <v>0</v>
      </c>
      <c r="R11670" s="2" t="inlineStr"/>
    </row>
    <row r="11671" ht="15" customHeight="1">
      <c r="A11671" t="inlineStr">
        <is>
          <t>A 28616-2025</t>
        </is>
      </c>
      <c r="B11671" s="1" t="n">
        <v>45819</v>
      </c>
      <c r="C11671" s="1" t="n">
        <v>45952</v>
      </c>
      <c r="D11671" t="inlineStr">
        <is>
          <t>VÄSTRA GÖTALANDS LÄN</t>
        </is>
      </c>
      <c r="E11671" t="inlineStr">
        <is>
          <t>HERRLJUNGA</t>
        </is>
      </c>
      <c r="G11671" t="n">
        <v>0.6</v>
      </c>
      <c r="H11671" t="n">
        <v>0</v>
      </c>
      <c r="I11671" t="n">
        <v>0</v>
      </c>
      <c r="J11671" t="n">
        <v>0</v>
      </c>
      <c r="K11671" t="n">
        <v>0</v>
      </c>
      <c r="L11671" t="n">
        <v>0</v>
      </c>
      <c r="M11671" t="n">
        <v>0</v>
      </c>
      <c r="N11671" t="n">
        <v>0</v>
      </c>
      <c r="O11671" t="n">
        <v>0</v>
      </c>
      <c r="P11671" t="n">
        <v>0</v>
      </c>
      <c r="Q11671" t="n">
        <v>0</v>
      </c>
      <c r="R11671" s="2" t="inlineStr"/>
    </row>
    <row r="11672" ht="15" customHeight="1">
      <c r="A11672" t="inlineStr">
        <is>
          <t>A 16001-2025</t>
        </is>
      </c>
      <c r="B11672" s="1" t="n">
        <v>45749.58880787037</v>
      </c>
      <c r="C11672" s="1" t="n">
        <v>45952</v>
      </c>
      <c r="D11672" t="inlineStr">
        <is>
          <t>VÄSTRA GÖTALANDS LÄN</t>
        </is>
      </c>
      <c r="E11672" t="inlineStr">
        <is>
          <t>MARK</t>
        </is>
      </c>
      <c r="G11672" t="n">
        <v>0.7</v>
      </c>
      <c r="H11672" t="n">
        <v>0</v>
      </c>
      <c r="I11672" t="n">
        <v>0</v>
      </c>
      <c r="J11672" t="n">
        <v>0</v>
      </c>
      <c r="K11672" t="n">
        <v>0</v>
      </c>
      <c r="L11672" t="n">
        <v>0</v>
      </c>
      <c r="M11672" t="n">
        <v>0</v>
      </c>
      <c r="N11672" t="n">
        <v>0</v>
      </c>
      <c r="O11672" t="n">
        <v>0</v>
      </c>
      <c r="P11672" t="n">
        <v>0</v>
      </c>
      <c r="Q11672" t="n">
        <v>0</v>
      </c>
      <c r="R11672" s="2" t="inlineStr"/>
    </row>
    <row r="11673" ht="15" customHeight="1">
      <c r="A11673" t="inlineStr">
        <is>
          <t>A 6588-2024</t>
        </is>
      </c>
      <c r="B11673" s="1" t="n">
        <v>45341.50043981482</v>
      </c>
      <c r="C11673" s="1" t="n">
        <v>45952</v>
      </c>
      <c r="D11673" t="inlineStr">
        <is>
          <t>VÄSTRA GÖTALANDS LÄN</t>
        </is>
      </c>
      <c r="E11673" t="inlineStr">
        <is>
          <t>FALKÖPING</t>
        </is>
      </c>
      <c r="G11673" t="n">
        <v>7.2</v>
      </c>
      <c r="H11673" t="n">
        <v>0</v>
      </c>
      <c r="I11673" t="n">
        <v>0</v>
      </c>
      <c r="J11673" t="n">
        <v>0</v>
      </c>
      <c r="K11673" t="n">
        <v>0</v>
      </c>
      <c r="L11673" t="n">
        <v>0</v>
      </c>
      <c r="M11673" t="n">
        <v>0</v>
      </c>
      <c r="N11673" t="n">
        <v>0</v>
      </c>
      <c r="O11673" t="n">
        <v>0</v>
      </c>
      <c r="P11673" t="n">
        <v>0</v>
      </c>
      <c r="Q11673" t="n">
        <v>0</v>
      </c>
      <c r="R11673" s="2" t="inlineStr"/>
    </row>
    <row r="11674" ht="15" customHeight="1">
      <c r="A11674" t="inlineStr">
        <is>
          <t>A 42672-2025</t>
        </is>
      </c>
      <c r="B11674" s="1" t="n">
        <v>45908.30107638889</v>
      </c>
      <c r="C11674" s="1" t="n">
        <v>45952</v>
      </c>
      <c r="D11674" t="inlineStr">
        <is>
          <t>VÄSTRA GÖTALANDS LÄN</t>
        </is>
      </c>
      <c r="E11674" t="inlineStr">
        <is>
          <t>ALINGSÅS</t>
        </is>
      </c>
      <c r="G11674" t="n">
        <v>0.6</v>
      </c>
      <c r="H11674" t="n">
        <v>0</v>
      </c>
      <c r="I11674" t="n">
        <v>0</v>
      </c>
      <c r="J11674" t="n">
        <v>0</v>
      </c>
      <c r="K11674" t="n">
        <v>0</v>
      </c>
      <c r="L11674" t="n">
        <v>0</v>
      </c>
      <c r="M11674" t="n">
        <v>0</v>
      </c>
      <c r="N11674" t="n">
        <v>0</v>
      </c>
      <c r="O11674" t="n">
        <v>0</v>
      </c>
      <c r="P11674" t="n">
        <v>0</v>
      </c>
      <c r="Q11674" t="n">
        <v>0</v>
      </c>
      <c r="R11674" s="2" t="inlineStr"/>
    </row>
    <row r="11675" ht="15" customHeight="1">
      <c r="A11675" t="inlineStr">
        <is>
          <t>A 42673-2025</t>
        </is>
      </c>
      <c r="B11675" s="1" t="n">
        <v>45908.3166087963</v>
      </c>
      <c r="C11675" s="1" t="n">
        <v>45952</v>
      </c>
      <c r="D11675" t="inlineStr">
        <is>
          <t>VÄSTRA GÖTALANDS LÄN</t>
        </is>
      </c>
      <c r="E11675" t="inlineStr">
        <is>
          <t>HERRLJUNGA</t>
        </is>
      </c>
      <c r="G11675" t="n">
        <v>1.6</v>
      </c>
      <c r="H11675" t="n">
        <v>0</v>
      </c>
      <c r="I11675" t="n">
        <v>0</v>
      </c>
      <c r="J11675" t="n">
        <v>0</v>
      </c>
      <c r="K11675" t="n">
        <v>0</v>
      </c>
      <c r="L11675" t="n">
        <v>0</v>
      </c>
      <c r="M11675" t="n">
        <v>0</v>
      </c>
      <c r="N11675" t="n">
        <v>0</v>
      </c>
      <c r="O11675" t="n">
        <v>0</v>
      </c>
      <c r="P11675" t="n">
        <v>0</v>
      </c>
      <c r="Q11675" t="n">
        <v>0</v>
      </c>
      <c r="R11675" s="2" t="inlineStr"/>
    </row>
    <row r="11676" ht="15" customHeight="1">
      <c r="A11676" t="inlineStr">
        <is>
          <t>A 42953-2025</t>
        </is>
      </c>
      <c r="B11676" s="1" t="n">
        <v>45909.35702546296</v>
      </c>
      <c r="C11676" s="1" t="n">
        <v>45952</v>
      </c>
      <c r="D11676" t="inlineStr">
        <is>
          <t>VÄSTRA GÖTALANDS LÄN</t>
        </is>
      </c>
      <c r="E11676" t="inlineStr">
        <is>
          <t>DALS-ED</t>
        </is>
      </c>
      <c r="F11676" t="inlineStr">
        <is>
          <t>Kyrkan</t>
        </is>
      </c>
      <c r="G11676" t="n">
        <v>3.5</v>
      </c>
      <c r="H11676" t="n">
        <v>0</v>
      </c>
      <c r="I11676" t="n">
        <v>0</v>
      </c>
      <c r="J11676" t="n">
        <v>0</v>
      </c>
      <c r="K11676" t="n">
        <v>0</v>
      </c>
      <c r="L11676" t="n">
        <v>0</v>
      </c>
      <c r="M11676" t="n">
        <v>0</v>
      </c>
      <c r="N11676" t="n">
        <v>0</v>
      </c>
      <c r="O11676" t="n">
        <v>0</v>
      </c>
      <c r="P11676" t="n">
        <v>0</v>
      </c>
      <c r="Q11676" t="n">
        <v>0</v>
      </c>
      <c r="R11676" s="2" t="inlineStr"/>
    </row>
    <row r="11677" ht="15" customHeight="1">
      <c r="A11677" t="inlineStr">
        <is>
          <t>A 43014-2025</t>
        </is>
      </c>
      <c r="B11677" s="1" t="n">
        <v>45909.49131944445</v>
      </c>
      <c r="C11677" s="1" t="n">
        <v>45952</v>
      </c>
      <c r="D11677" t="inlineStr">
        <is>
          <t>VÄSTRA GÖTALANDS LÄN</t>
        </is>
      </c>
      <c r="E11677" t="inlineStr">
        <is>
          <t>ULRICEHAMN</t>
        </is>
      </c>
      <c r="G11677" t="n">
        <v>0.6</v>
      </c>
      <c r="H11677" t="n">
        <v>0</v>
      </c>
      <c r="I11677" t="n">
        <v>0</v>
      </c>
      <c r="J11677" t="n">
        <v>0</v>
      </c>
      <c r="K11677" t="n">
        <v>0</v>
      </c>
      <c r="L11677" t="n">
        <v>0</v>
      </c>
      <c r="M11677" t="n">
        <v>0</v>
      </c>
      <c r="N11677" t="n">
        <v>0</v>
      </c>
      <c r="O11677" t="n">
        <v>0</v>
      </c>
      <c r="P11677" t="n">
        <v>0</v>
      </c>
      <c r="Q11677" t="n">
        <v>0</v>
      </c>
      <c r="R11677" s="2" t="inlineStr"/>
    </row>
    <row r="11678" ht="15" customHeight="1">
      <c r="A11678" t="inlineStr">
        <is>
          <t>A 43027-2025</t>
        </is>
      </c>
      <c r="B11678" s="1" t="n">
        <v>45909.5346875</v>
      </c>
      <c r="C11678" s="1" t="n">
        <v>45952</v>
      </c>
      <c r="D11678" t="inlineStr">
        <is>
          <t>VÄSTRA GÖTALANDS LÄN</t>
        </is>
      </c>
      <c r="E11678" t="inlineStr">
        <is>
          <t>MARK</t>
        </is>
      </c>
      <c r="G11678" t="n">
        <v>0.3</v>
      </c>
      <c r="H11678" t="n">
        <v>0</v>
      </c>
      <c r="I11678" t="n">
        <v>0</v>
      </c>
      <c r="J11678" t="n">
        <v>0</v>
      </c>
      <c r="K11678" t="n">
        <v>0</v>
      </c>
      <c r="L11678" t="n">
        <v>0</v>
      </c>
      <c r="M11678" t="n">
        <v>0</v>
      </c>
      <c r="N11678" t="n">
        <v>0</v>
      </c>
      <c r="O11678" t="n">
        <v>0</v>
      </c>
      <c r="P11678" t="n">
        <v>0</v>
      </c>
      <c r="Q11678" t="n">
        <v>0</v>
      </c>
      <c r="R11678" s="2" t="inlineStr"/>
    </row>
    <row r="11679" ht="15" customHeight="1">
      <c r="A11679" t="inlineStr">
        <is>
          <t>A 43125-2025</t>
        </is>
      </c>
      <c r="B11679" s="1" t="n">
        <v>45909.72638888889</v>
      </c>
      <c r="C11679" s="1" t="n">
        <v>45952</v>
      </c>
      <c r="D11679" t="inlineStr">
        <is>
          <t>VÄSTRA GÖTALANDS LÄN</t>
        </is>
      </c>
      <c r="E11679" t="inlineStr">
        <is>
          <t>TIBRO</t>
        </is>
      </c>
      <c r="G11679" t="n">
        <v>0.7</v>
      </c>
      <c r="H11679" t="n">
        <v>0</v>
      </c>
      <c r="I11679" t="n">
        <v>0</v>
      </c>
      <c r="J11679" t="n">
        <v>0</v>
      </c>
      <c r="K11679" t="n">
        <v>0</v>
      </c>
      <c r="L11679" t="n">
        <v>0</v>
      </c>
      <c r="M11679" t="n">
        <v>0</v>
      </c>
      <c r="N11679" t="n">
        <v>0</v>
      </c>
      <c r="O11679" t="n">
        <v>0</v>
      </c>
      <c r="P11679" t="n">
        <v>0</v>
      </c>
      <c r="Q11679" t="n">
        <v>0</v>
      </c>
      <c r="R11679" s="2" t="inlineStr"/>
    </row>
    <row r="11680" ht="15" customHeight="1">
      <c r="A11680" t="inlineStr">
        <is>
          <t>A 50614-2025</t>
        </is>
      </c>
      <c r="B11680" s="1" t="n">
        <v>45944</v>
      </c>
      <c r="C11680" s="1" t="n">
        <v>45952</v>
      </c>
      <c r="D11680" t="inlineStr">
        <is>
          <t>VÄSTRA GÖTALANDS LÄN</t>
        </is>
      </c>
      <c r="E11680" t="inlineStr">
        <is>
          <t>TIDAHOLM</t>
        </is>
      </c>
      <c r="G11680" t="n">
        <v>0.9</v>
      </c>
      <c r="H11680" t="n">
        <v>0</v>
      </c>
      <c r="I11680" t="n">
        <v>0</v>
      </c>
      <c r="J11680" t="n">
        <v>0</v>
      </c>
      <c r="K11680" t="n">
        <v>0</v>
      </c>
      <c r="L11680" t="n">
        <v>0</v>
      </c>
      <c r="M11680" t="n">
        <v>0</v>
      </c>
      <c r="N11680" t="n">
        <v>0</v>
      </c>
      <c r="O11680" t="n">
        <v>0</v>
      </c>
      <c r="P11680" t="n">
        <v>0</v>
      </c>
      <c r="Q11680" t="n">
        <v>0</v>
      </c>
      <c r="R11680" s="2" t="inlineStr"/>
    </row>
    <row r="11681" ht="15" customHeight="1">
      <c r="A11681" t="inlineStr">
        <is>
          <t>A 50623-2025</t>
        </is>
      </c>
      <c r="B11681" s="1" t="n">
        <v>45944</v>
      </c>
      <c r="C11681" s="1" t="n">
        <v>45952</v>
      </c>
      <c r="D11681" t="inlineStr">
        <is>
          <t>VÄSTRA GÖTALANDS LÄN</t>
        </is>
      </c>
      <c r="E11681" t="inlineStr">
        <is>
          <t>TIDAHOLM</t>
        </is>
      </c>
      <c r="G11681" t="n">
        <v>3.3</v>
      </c>
      <c r="H11681" t="n">
        <v>0</v>
      </c>
      <c r="I11681" t="n">
        <v>0</v>
      </c>
      <c r="J11681" t="n">
        <v>0</v>
      </c>
      <c r="K11681" t="n">
        <v>0</v>
      </c>
      <c r="L11681" t="n">
        <v>0</v>
      </c>
      <c r="M11681" t="n">
        <v>0</v>
      </c>
      <c r="N11681" t="n">
        <v>0</v>
      </c>
      <c r="O11681" t="n">
        <v>0</v>
      </c>
      <c r="P11681" t="n">
        <v>0</v>
      </c>
      <c r="Q11681" t="n">
        <v>0</v>
      </c>
      <c r="R11681" s="2" t="inlineStr"/>
    </row>
    <row r="11682" ht="15" customHeight="1">
      <c r="A11682" t="inlineStr">
        <is>
          <t>A 20246-2025</t>
        </is>
      </c>
      <c r="B11682" s="1" t="n">
        <v>45772.71413194444</v>
      </c>
      <c r="C11682" s="1" t="n">
        <v>45952</v>
      </c>
      <c r="D11682" t="inlineStr">
        <is>
          <t>VÄSTRA GÖTALANDS LÄN</t>
        </is>
      </c>
      <c r="E11682" t="inlineStr">
        <is>
          <t>BENGTSFORS</t>
        </is>
      </c>
      <c r="G11682" t="n">
        <v>2.8</v>
      </c>
      <c r="H11682" t="n">
        <v>0</v>
      </c>
      <c r="I11682" t="n">
        <v>0</v>
      </c>
      <c r="J11682" t="n">
        <v>0</v>
      </c>
      <c r="K11682" t="n">
        <v>0</v>
      </c>
      <c r="L11682" t="n">
        <v>0</v>
      </c>
      <c r="M11682" t="n">
        <v>0</v>
      </c>
      <c r="N11682" t="n">
        <v>0</v>
      </c>
      <c r="O11682" t="n">
        <v>0</v>
      </c>
      <c r="P11682" t="n">
        <v>0</v>
      </c>
      <c r="Q11682" t="n">
        <v>0</v>
      </c>
      <c r="R11682" s="2" t="inlineStr"/>
    </row>
    <row r="11683" ht="15" customHeight="1">
      <c r="A11683" t="inlineStr">
        <is>
          <t>A 43013-2025</t>
        </is>
      </c>
      <c r="B11683" s="1" t="n">
        <v>45909.49075231481</v>
      </c>
      <c r="C11683" s="1" t="n">
        <v>45952</v>
      </c>
      <c r="D11683" t="inlineStr">
        <is>
          <t>VÄSTRA GÖTALANDS LÄN</t>
        </is>
      </c>
      <c r="E11683" t="inlineStr">
        <is>
          <t>TIBRO</t>
        </is>
      </c>
      <c r="G11683" t="n">
        <v>1</v>
      </c>
      <c r="H11683" t="n">
        <v>0</v>
      </c>
      <c r="I11683" t="n">
        <v>0</v>
      </c>
      <c r="J11683" t="n">
        <v>0</v>
      </c>
      <c r="K11683" t="n">
        <v>0</v>
      </c>
      <c r="L11683" t="n">
        <v>0</v>
      </c>
      <c r="M11683" t="n">
        <v>0</v>
      </c>
      <c r="N11683" t="n">
        <v>0</v>
      </c>
      <c r="O11683" t="n">
        <v>0</v>
      </c>
      <c r="P11683" t="n">
        <v>0</v>
      </c>
      <c r="Q11683" t="n">
        <v>0</v>
      </c>
      <c r="R11683" s="2" t="inlineStr"/>
    </row>
    <row r="11684" ht="15" customHeight="1">
      <c r="A11684" t="inlineStr">
        <is>
          <t>A 43099-2025</t>
        </is>
      </c>
      <c r="B11684" s="1" t="n">
        <v>45909</v>
      </c>
      <c r="C11684" s="1" t="n">
        <v>45952</v>
      </c>
      <c r="D11684" t="inlineStr">
        <is>
          <t>VÄSTRA GÖTALANDS LÄN</t>
        </is>
      </c>
      <c r="E11684" t="inlineStr">
        <is>
          <t>MARIESTAD</t>
        </is>
      </c>
      <c r="G11684" t="n">
        <v>1.6</v>
      </c>
      <c r="H11684" t="n">
        <v>0</v>
      </c>
      <c r="I11684" t="n">
        <v>0</v>
      </c>
      <c r="J11684" t="n">
        <v>0</v>
      </c>
      <c r="K11684" t="n">
        <v>0</v>
      </c>
      <c r="L11684" t="n">
        <v>0</v>
      </c>
      <c r="M11684" t="n">
        <v>0</v>
      </c>
      <c r="N11684" t="n">
        <v>0</v>
      </c>
      <c r="O11684" t="n">
        <v>0</v>
      </c>
      <c r="P11684" t="n">
        <v>0</v>
      </c>
      <c r="Q11684" t="n">
        <v>0</v>
      </c>
      <c r="R11684" s="2" t="inlineStr"/>
    </row>
    <row r="11685" ht="15" customHeight="1">
      <c r="A11685" t="inlineStr">
        <is>
          <t>A 28178-2025</t>
        </is>
      </c>
      <c r="B11685" s="1" t="n">
        <v>45818.39394675926</v>
      </c>
      <c r="C11685" s="1" t="n">
        <v>45952</v>
      </c>
      <c r="D11685" t="inlineStr">
        <is>
          <t>VÄSTRA GÖTALANDS LÄN</t>
        </is>
      </c>
      <c r="E11685" t="inlineStr">
        <is>
          <t>MARK</t>
        </is>
      </c>
      <c r="G11685" t="n">
        <v>5.2</v>
      </c>
      <c r="H11685" t="n">
        <v>0</v>
      </c>
      <c r="I11685" t="n">
        <v>0</v>
      </c>
      <c r="J11685" t="n">
        <v>0</v>
      </c>
      <c r="K11685" t="n">
        <v>0</v>
      </c>
      <c r="L11685" t="n">
        <v>0</v>
      </c>
      <c r="M11685" t="n">
        <v>0</v>
      </c>
      <c r="N11685" t="n">
        <v>0</v>
      </c>
      <c r="O11685" t="n">
        <v>0</v>
      </c>
      <c r="P11685" t="n">
        <v>0</v>
      </c>
      <c r="Q11685" t="n">
        <v>0</v>
      </c>
      <c r="R11685" s="2" t="inlineStr"/>
    </row>
    <row r="11686" ht="15" customHeight="1">
      <c r="A11686" t="inlineStr">
        <is>
          <t>A 43107-2025</t>
        </is>
      </c>
      <c r="B11686" s="1" t="n">
        <v>45909.6513425926</v>
      </c>
      <c r="C11686" s="1" t="n">
        <v>45952</v>
      </c>
      <c r="D11686" t="inlineStr">
        <is>
          <t>VÄSTRA GÖTALANDS LÄN</t>
        </is>
      </c>
      <c r="E11686" t="inlineStr">
        <is>
          <t>SVENLJUNGA</t>
        </is>
      </c>
      <c r="G11686" t="n">
        <v>3.6</v>
      </c>
      <c r="H11686" t="n">
        <v>0</v>
      </c>
      <c r="I11686" t="n">
        <v>0</v>
      </c>
      <c r="J11686" t="n">
        <v>0</v>
      </c>
      <c r="K11686" t="n">
        <v>0</v>
      </c>
      <c r="L11686" t="n">
        <v>0</v>
      </c>
      <c r="M11686" t="n">
        <v>0</v>
      </c>
      <c r="N11686" t="n">
        <v>0</v>
      </c>
      <c r="O11686" t="n">
        <v>0</v>
      </c>
      <c r="P11686" t="n">
        <v>0</v>
      </c>
      <c r="Q11686" t="n">
        <v>0</v>
      </c>
      <c r="R11686" s="2" t="inlineStr"/>
    </row>
    <row r="11687" ht="15" customHeight="1">
      <c r="A11687" t="inlineStr">
        <is>
          <t>A 43110-2025</t>
        </is>
      </c>
      <c r="B11687" s="1" t="n">
        <v>45909.65709490741</v>
      </c>
      <c r="C11687" s="1" t="n">
        <v>45952</v>
      </c>
      <c r="D11687" t="inlineStr">
        <is>
          <t>VÄSTRA GÖTALANDS LÄN</t>
        </is>
      </c>
      <c r="E11687" t="inlineStr">
        <is>
          <t>SVENLJUNGA</t>
        </is>
      </c>
      <c r="G11687" t="n">
        <v>3</v>
      </c>
      <c r="H11687" t="n">
        <v>0</v>
      </c>
      <c r="I11687" t="n">
        <v>0</v>
      </c>
      <c r="J11687" t="n">
        <v>0</v>
      </c>
      <c r="K11687" t="n">
        <v>0</v>
      </c>
      <c r="L11687" t="n">
        <v>0</v>
      </c>
      <c r="M11687" t="n">
        <v>0</v>
      </c>
      <c r="N11687" t="n">
        <v>0</v>
      </c>
      <c r="O11687" t="n">
        <v>0</v>
      </c>
      <c r="P11687" t="n">
        <v>0</v>
      </c>
      <c r="Q11687" t="n">
        <v>0</v>
      </c>
      <c r="R11687" s="2" t="inlineStr"/>
    </row>
    <row r="11688" ht="15" customHeight="1">
      <c r="A11688" t="inlineStr">
        <is>
          <t>A 17126-2022</t>
        </is>
      </c>
      <c r="B11688" s="1" t="n">
        <v>44677</v>
      </c>
      <c r="C11688" s="1" t="n">
        <v>45952</v>
      </c>
      <c r="D11688" t="inlineStr">
        <is>
          <t>VÄSTRA GÖTALANDS LÄN</t>
        </is>
      </c>
      <c r="E11688" t="inlineStr">
        <is>
          <t>TROLLHÄTTAN</t>
        </is>
      </c>
      <c r="G11688" t="n">
        <v>2.4</v>
      </c>
      <c r="H11688" t="n">
        <v>0</v>
      </c>
      <c r="I11688" t="n">
        <v>0</v>
      </c>
      <c r="J11688" t="n">
        <v>0</v>
      </c>
      <c r="K11688" t="n">
        <v>0</v>
      </c>
      <c r="L11688" t="n">
        <v>0</v>
      </c>
      <c r="M11688" t="n">
        <v>0</v>
      </c>
      <c r="N11688" t="n">
        <v>0</v>
      </c>
      <c r="O11688" t="n">
        <v>0</v>
      </c>
      <c r="P11688" t="n">
        <v>0</v>
      </c>
      <c r="Q11688" t="n">
        <v>0</v>
      </c>
      <c r="R11688" s="2" t="inlineStr"/>
    </row>
    <row r="11689" ht="15" customHeight="1">
      <c r="A11689" t="inlineStr">
        <is>
          <t>A 55088-2024</t>
        </is>
      </c>
      <c r="B11689" s="1" t="n">
        <v>45621.43332175926</v>
      </c>
      <c r="C11689" s="1" t="n">
        <v>45952</v>
      </c>
      <c r="D11689" t="inlineStr">
        <is>
          <t>VÄSTRA GÖTALANDS LÄN</t>
        </is>
      </c>
      <c r="E11689" t="inlineStr">
        <is>
          <t>DALS-ED</t>
        </is>
      </c>
      <c r="G11689" t="n">
        <v>0.3</v>
      </c>
      <c r="H11689" t="n">
        <v>0</v>
      </c>
      <c r="I11689" t="n">
        <v>0</v>
      </c>
      <c r="J11689" t="n">
        <v>0</v>
      </c>
      <c r="K11689" t="n">
        <v>0</v>
      </c>
      <c r="L11689" t="n">
        <v>0</v>
      </c>
      <c r="M11689" t="n">
        <v>0</v>
      </c>
      <c r="N11689" t="n">
        <v>0</v>
      </c>
      <c r="O11689" t="n">
        <v>0</v>
      </c>
      <c r="P11689" t="n">
        <v>0</v>
      </c>
      <c r="Q11689" t="n">
        <v>0</v>
      </c>
      <c r="R11689" s="2" t="inlineStr"/>
    </row>
    <row r="11690" ht="15" customHeight="1">
      <c r="A11690" t="inlineStr">
        <is>
          <t>A 32386-2023</t>
        </is>
      </c>
      <c r="B11690" s="1" t="n">
        <v>45120</v>
      </c>
      <c r="C11690" s="1" t="n">
        <v>45952</v>
      </c>
      <c r="D11690" t="inlineStr">
        <is>
          <t>VÄSTRA GÖTALANDS LÄN</t>
        </is>
      </c>
      <c r="E11690" t="inlineStr">
        <is>
          <t>SVENLJUNGA</t>
        </is>
      </c>
      <c r="G11690" t="n">
        <v>1.3</v>
      </c>
      <c r="H11690" t="n">
        <v>0</v>
      </c>
      <c r="I11690" t="n">
        <v>0</v>
      </c>
      <c r="J11690" t="n">
        <v>0</v>
      </c>
      <c r="K11690" t="n">
        <v>0</v>
      </c>
      <c r="L11690" t="n">
        <v>0</v>
      </c>
      <c r="M11690" t="n">
        <v>0</v>
      </c>
      <c r="N11690" t="n">
        <v>0</v>
      </c>
      <c r="O11690" t="n">
        <v>0</v>
      </c>
      <c r="P11690" t="n">
        <v>0</v>
      </c>
      <c r="Q11690" t="n">
        <v>0</v>
      </c>
      <c r="R11690" s="2" t="inlineStr"/>
    </row>
    <row r="11691" ht="15" customHeight="1">
      <c r="A11691" t="inlineStr">
        <is>
          <t>A 28211-2025</t>
        </is>
      </c>
      <c r="B11691" s="1" t="n">
        <v>45818.45789351852</v>
      </c>
      <c r="C11691" s="1" t="n">
        <v>45952</v>
      </c>
      <c r="D11691" t="inlineStr">
        <is>
          <t>VÄSTRA GÖTALANDS LÄN</t>
        </is>
      </c>
      <c r="E11691" t="inlineStr">
        <is>
          <t>HJO</t>
        </is>
      </c>
      <c r="G11691" t="n">
        <v>3.1</v>
      </c>
      <c r="H11691" t="n">
        <v>0</v>
      </c>
      <c r="I11691" t="n">
        <v>0</v>
      </c>
      <c r="J11691" t="n">
        <v>0</v>
      </c>
      <c r="K11691" t="n">
        <v>0</v>
      </c>
      <c r="L11691" t="n">
        <v>0</v>
      </c>
      <c r="M11691" t="n">
        <v>0</v>
      </c>
      <c r="N11691" t="n">
        <v>0</v>
      </c>
      <c r="O11691" t="n">
        <v>0</v>
      </c>
      <c r="P11691" t="n">
        <v>0</v>
      </c>
      <c r="Q11691" t="n">
        <v>0</v>
      </c>
      <c r="R11691" s="2" t="inlineStr"/>
    </row>
    <row r="11692" ht="15" customHeight="1">
      <c r="A11692" t="inlineStr">
        <is>
          <t>A 56558-2024</t>
        </is>
      </c>
      <c r="B11692" s="1" t="n">
        <v>45625.57997685186</v>
      </c>
      <c r="C11692" s="1" t="n">
        <v>45952</v>
      </c>
      <c r="D11692" t="inlineStr">
        <is>
          <t>VÄSTRA GÖTALANDS LÄN</t>
        </is>
      </c>
      <c r="E11692" t="inlineStr">
        <is>
          <t>HÄRRYDA</t>
        </is>
      </c>
      <c r="G11692" t="n">
        <v>2</v>
      </c>
      <c r="H11692" t="n">
        <v>0</v>
      </c>
      <c r="I11692" t="n">
        <v>0</v>
      </c>
      <c r="J11692" t="n">
        <v>0</v>
      </c>
      <c r="K11692" t="n">
        <v>0</v>
      </c>
      <c r="L11692" t="n">
        <v>0</v>
      </c>
      <c r="M11692" t="n">
        <v>0</v>
      </c>
      <c r="N11692" t="n">
        <v>0</v>
      </c>
      <c r="O11692" t="n">
        <v>0</v>
      </c>
      <c r="P11692" t="n">
        <v>0</v>
      </c>
      <c r="Q11692" t="n">
        <v>0</v>
      </c>
      <c r="R11692" s="2" t="inlineStr"/>
    </row>
    <row r="11693" ht="15" customHeight="1">
      <c r="A11693" t="inlineStr">
        <is>
          <t>A 32395-2023</t>
        </is>
      </c>
      <c r="B11693" s="1" t="n">
        <v>45120</v>
      </c>
      <c r="C11693" s="1" t="n">
        <v>45952</v>
      </c>
      <c r="D11693" t="inlineStr">
        <is>
          <t>VÄSTRA GÖTALANDS LÄN</t>
        </is>
      </c>
      <c r="E11693" t="inlineStr">
        <is>
          <t>LIDKÖPING</t>
        </is>
      </c>
      <c r="G11693" t="n">
        <v>1.1</v>
      </c>
      <c r="H11693" t="n">
        <v>0</v>
      </c>
      <c r="I11693" t="n">
        <v>0</v>
      </c>
      <c r="J11693" t="n">
        <v>0</v>
      </c>
      <c r="K11693" t="n">
        <v>0</v>
      </c>
      <c r="L11693" t="n">
        <v>0</v>
      </c>
      <c r="M11693" t="n">
        <v>0</v>
      </c>
      <c r="N11693" t="n">
        <v>0</v>
      </c>
      <c r="O11693" t="n">
        <v>0</v>
      </c>
      <c r="P11693" t="n">
        <v>0</v>
      </c>
      <c r="Q11693" t="n">
        <v>0</v>
      </c>
      <c r="R11693" s="2" t="inlineStr"/>
    </row>
    <row r="11694" ht="15" customHeight="1">
      <c r="A11694" t="inlineStr">
        <is>
          <t>A 37036-2024</t>
        </is>
      </c>
      <c r="B11694" s="1" t="n">
        <v>45539.40431712963</v>
      </c>
      <c r="C11694" s="1" t="n">
        <v>45952</v>
      </c>
      <c r="D11694" t="inlineStr">
        <is>
          <t>VÄSTRA GÖTALANDS LÄN</t>
        </is>
      </c>
      <c r="E11694" t="inlineStr">
        <is>
          <t>SKARA</t>
        </is>
      </c>
      <c r="F11694" t="inlineStr">
        <is>
          <t>Sveaskog</t>
        </is>
      </c>
      <c r="G11694" t="n">
        <v>8.199999999999999</v>
      </c>
      <c r="H11694" t="n">
        <v>0</v>
      </c>
      <c r="I11694" t="n">
        <v>0</v>
      </c>
      <c r="J11694" t="n">
        <v>0</v>
      </c>
      <c r="K11694" t="n">
        <v>0</v>
      </c>
      <c r="L11694" t="n">
        <v>0</v>
      </c>
      <c r="M11694" t="n">
        <v>0</v>
      </c>
      <c r="N11694" t="n">
        <v>0</v>
      </c>
      <c r="O11694" t="n">
        <v>0</v>
      </c>
      <c r="P11694" t="n">
        <v>0</v>
      </c>
      <c r="Q11694" t="n">
        <v>0</v>
      </c>
      <c r="R11694" s="2" t="inlineStr"/>
    </row>
    <row r="11695" ht="15" customHeight="1">
      <c r="A11695" t="inlineStr">
        <is>
          <t>A 16266-2025</t>
        </is>
      </c>
      <c r="B11695" s="1" t="n">
        <v>45750</v>
      </c>
      <c r="C11695" s="1" t="n">
        <v>45952</v>
      </c>
      <c r="D11695" t="inlineStr">
        <is>
          <t>VÄSTRA GÖTALANDS LÄN</t>
        </is>
      </c>
      <c r="E11695" t="inlineStr">
        <is>
          <t>TÖREBODA</t>
        </is>
      </c>
      <c r="G11695" t="n">
        <v>2.1</v>
      </c>
      <c r="H11695" t="n">
        <v>0</v>
      </c>
      <c r="I11695" t="n">
        <v>0</v>
      </c>
      <c r="J11695" t="n">
        <v>0</v>
      </c>
      <c r="K11695" t="n">
        <v>0</v>
      </c>
      <c r="L11695" t="n">
        <v>0</v>
      </c>
      <c r="M11695" t="n">
        <v>0</v>
      </c>
      <c r="N11695" t="n">
        <v>0</v>
      </c>
      <c r="O11695" t="n">
        <v>0</v>
      </c>
      <c r="P11695" t="n">
        <v>0</v>
      </c>
      <c r="Q11695" t="n">
        <v>0</v>
      </c>
      <c r="R11695" s="2" t="inlineStr"/>
    </row>
    <row r="11696" ht="15" customHeight="1">
      <c r="A11696" t="inlineStr">
        <is>
          <t>A 16281-2025</t>
        </is>
      </c>
      <c r="B11696" s="1" t="n">
        <v>45751.29027777778</v>
      </c>
      <c r="C11696" s="1" t="n">
        <v>45952</v>
      </c>
      <c r="D11696" t="inlineStr">
        <is>
          <t>VÄSTRA GÖTALANDS LÄN</t>
        </is>
      </c>
      <c r="E11696" t="inlineStr">
        <is>
          <t>VÅRGÅRDA</t>
        </is>
      </c>
      <c r="F11696" t="inlineStr">
        <is>
          <t>Sveaskog</t>
        </is>
      </c>
      <c r="G11696" t="n">
        <v>2.8</v>
      </c>
      <c r="H11696" t="n">
        <v>0</v>
      </c>
      <c r="I11696" t="n">
        <v>0</v>
      </c>
      <c r="J11696" t="n">
        <v>0</v>
      </c>
      <c r="K11696" t="n">
        <v>0</v>
      </c>
      <c r="L11696" t="n">
        <v>0</v>
      </c>
      <c r="M11696" t="n">
        <v>0</v>
      </c>
      <c r="N11696" t="n">
        <v>0</v>
      </c>
      <c r="O11696" t="n">
        <v>0</v>
      </c>
      <c r="P11696" t="n">
        <v>0</v>
      </c>
      <c r="Q11696" t="n">
        <v>0</v>
      </c>
      <c r="R11696" s="2" t="inlineStr"/>
    </row>
    <row r="11697" ht="15" customHeight="1">
      <c r="A11697" t="inlineStr">
        <is>
          <t>A 16283-2025</t>
        </is>
      </c>
      <c r="B11697" s="1" t="n">
        <v>45751.29266203703</v>
      </c>
      <c r="C11697" s="1" t="n">
        <v>45952</v>
      </c>
      <c r="D11697" t="inlineStr">
        <is>
          <t>VÄSTRA GÖTALANDS LÄN</t>
        </is>
      </c>
      <c r="E11697" t="inlineStr">
        <is>
          <t>VÅRGÅRDA</t>
        </is>
      </c>
      <c r="F11697" t="inlineStr">
        <is>
          <t>Sveaskog</t>
        </is>
      </c>
      <c r="G11697" t="n">
        <v>2.6</v>
      </c>
      <c r="H11697" t="n">
        <v>0</v>
      </c>
      <c r="I11697" t="n">
        <v>0</v>
      </c>
      <c r="J11697" t="n">
        <v>0</v>
      </c>
      <c r="K11697" t="n">
        <v>0</v>
      </c>
      <c r="L11697" t="n">
        <v>0</v>
      </c>
      <c r="M11697" t="n">
        <v>0</v>
      </c>
      <c r="N11697" t="n">
        <v>0</v>
      </c>
      <c r="O11697" t="n">
        <v>0</v>
      </c>
      <c r="P11697" t="n">
        <v>0</v>
      </c>
      <c r="Q11697" t="n">
        <v>0</v>
      </c>
      <c r="R11697" s="2" t="inlineStr"/>
    </row>
    <row r="11698" ht="15" customHeight="1">
      <c r="A11698" t="inlineStr">
        <is>
          <t>A 51374-2025</t>
        </is>
      </c>
      <c r="B11698" s="1" t="n">
        <v>45950.45165509259</v>
      </c>
      <c r="C11698" s="1" t="n">
        <v>45952</v>
      </c>
      <c r="D11698" t="inlineStr">
        <is>
          <t>VÄSTRA GÖTALANDS LÄN</t>
        </is>
      </c>
      <c r="E11698" t="inlineStr">
        <is>
          <t>TRANEMO</t>
        </is>
      </c>
      <c r="G11698" t="n">
        <v>2.5</v>
      </c>
      <c r="H11698" t="n">
        <v>0</v>
      </c>
      <c r="I11698" t="n">
        <v>0</v>
      </c>
      <c r="J11698" t="n">
        <v>0</v>
      </c>
      <c r="K11698" t="n">
        <v>0</v>
      </c>
      <c r="L11698" t="n">
        <v>0</v>
      </c>
      <c r="M11698" t="n">
        <v>0</v>
      </c>
      <c r="N11698" t="n">
        <v>0</v>
      </c>
      <c r="O11698" t="n">
        <v>0</v>
      </c>
      <c r="P11698" t="n">
        <v>0</v>
      </c>
      <c r="Q11698" t="n">
        <v>0</v>
      </c>
      <c r="R11698" s="2" t="inlineStr"/>
    </row>
    <row r="11699" ht="15" customHeight="1">
      <c r="A11699" t="inlineStr">
        <is>
          <t>A 42710-2025</t>
        </is>
      </c>
      <c r="B11699" s="1" t="n">
        <v>45908.37523148148</v>
      </c>
      <c r="C11699" s="1" t="n">
        <v>45952</v>
      </c>
      <c r="D11699" t="inlineStr">
        <is>
          <t>VÄSTRA GÖTALANDS LÄN</t>
        </is>
      </c>
      <c r="E11699" t="inlineStr">
        <is>
          <t>ALINGSÅS</t>
        </is>
      </c>
      <c r="G11699" t="n">
        <v>1.8</v>
      </c>
      <c r="H11699" t="n">
        <v>0</v>
      </c>
      <c r="I11699" t="n">
        <v>0</v>
      </c>
      <c r="J11699" t="n">
        <v>0</v>
      </c>
      <c r="K11699" t="n">
        <v>0</v>
      </c>
      <c r="L11699" t="n">
        <v>0</v>
      </c>
      <c r="M11699" t="n">
        <v>0</v>
      </c>
      <c r="N11699" t="n">
        <v>0</v>
      </c>
      <c r="O11699" t="n">
        <v>0</v>
      </c>
      <c r="P11699" t="n">
        <v>0</v>
      </c>
      <c r="Q11699" t="n">
        <v>0</v>
      </c>
      <c r="R11699" s="2" t="inlineStr"/>
    </row>
    <row r="11700" ht="15" customHeight="1">
      <c r="A11700" t="inlineStr">
        <is>
          <t>A 28440-2025</t>
        </is>
      </c>
      <c r="B11700" s="1" t="n">
        <v>45819.39317129629</v>
      </c>
      <c r="C11700" s="1" t="n">
        <v>45952</v>
      </c>
      <c r="D11700" t="inlineStr">
        <is>
          <t>VÄSTRA GÖTALANDS LÄN</t>
        </is>
      </c>
      <c r="E11700" t="inlineStr">
        <is>
          <t>MARIESTAD</t>
        </is>
      </c>
      <c r="G11700" t="n">
        <v>9.300000000000001</v>
      </c>
      <c r="H11700" t="n">
        <v>0</v>
      </c>
      <c r="I11700" t="n">
        <v>0</v>
      </c>
      <c r="J11700" t="n">
        <v>0</v>
      </c>
      <c r="K11700" t="n">
        <v>0</v>
      </c>
      <c r="L11700" t="n">
        <v>0</v>
      </c>
      <c r="M11700" t="n">
        <v>0</v>
      </c>
      <c r="N11700" t="n">
        <v>0</v>
      </c>
      <c r="O11700" t="n">
        <v>0</v>
      </c>
      <c r="P11700" t="n">
        <v>0</v>
      </c>
      <c r="Q11700" t="n">
        <v>0</v>
      </c>
      <c r="R11700" s="2" t="inlineStr"/>
    </row>
    <row r="11701" ht="15" customHeight="1">
      <c r="A11701" t="inlineStr">
        <is>
          <t>A 28304-2025</t>
        </is>
      </c>
      <c r="B11701" s="1" t="n">
        <v>45818.61042824074</v>
      </c>
      <c r="C11701" s="1" t="n">
        <v>45952</v>
      </c>
      <c r="D11701" t="inlineStr">
        <is>
          <t>VÄSTRA GÖTALANDS LÄN</t>
        </is>
      </c>
      <c r="E11701" t="inlineStr">
        <is>
          <t>BENGTSFORS</t>
        </is>
      </c>
      <c r="G11701" t="n">
        <v>2.2</v>
      </c>
      <c r="H11701" t="n">
        <v>0</v>
      </c>
      <c r="I11701" t="n">
        <v>0</v>
      </c>
      <c r="J11701" t="n">
        <v>0</v>
      </c>
      <c r="K11701" t="n">
        <v>0</v>
      </c>
      <c r="L11701" t="n">
        <v>0</v>
      </c>
      <c r="M11701" t="n">
        <v>0</v>
      </c>
      <c r="N11701" t="n">
        <v>0</v>
      </c>
      <c r="O11701" t="n">
        <v>0</v>
      </c>
      <c r="P11701" t="n">
        <v>0</v>
      </c>
      <c r="Q11701" t="n">
        <v>0</v>
      </c>
      <c r="R11701" s="2" t="inlineStr"/>
    </row>
    <row r="11702" ht="15" customHeight="1">
      <c r="A11702" t="inlineStr">
        <is>
          <t>A 43043-2025</t>
        </is>
      </c>
      <c r="B11702" s="1" t="n">
        <v>45909.55841435185</v>
      </c>
      <c r="C11702" s="1" t="n">
        <v>45952</v>
      </c>
      <c r="D11702" t="inlineStr">
        <is>
          <t>VÄSTRA GÖTALANDS LÄN</t>
        </is>
      </c>
      <c r="E11702" t="inlineStr">
        <is>
          <t>LERUM</t>
        </is>
      </c>
      <c r="G11702" t="n">
        <v>2.1</v>
      </c>
      <c r="H11702" t="n">
        <v>0</v>
      </c>
      <c r="I11702" t="n">
        <v>0</v>
      </c>
      <c r="J11702" t="n">
        <v>0</v>
      </c>
      <c r="K11702" t="n">
        <v>0</v>
      </c>
      <c r="L11702" t="n">
        <v>0</v>
      </c>
      <c r="M11702" t="n">
        <v>0</v>
      </c>
      <c r="N11702" t="n">
        <v>0</v>
      </c>
      <c r="O11702" t="n">
        <v>0</v>
      </c>
      <c r="P11702" t="n">
        <v>0</v>
      </c>
      <c r="Q11702" t="n">
        <v>0</v>
      </c>
      <c r="R11702" s="2" t="inlineStr"/>
    </row>
    <row r="11703" ht="15" customHeight="1">
      <c r="A11703" t="inlineStr">
        <is>
          <t>A 46587-2024</t>
        </is>
      </c>
      <c r="B11703" s="1" t="n">
        <v>45582.76763888889</v>
      </c>
      <c r="C11703" s="1" t="n">
        <v>45952</v>
      </c>
      <c r="D11703" t="inlineStr">
        <is>
          <t>VÄSTRA GÖTALANDS LÄN</t>
        </is>
      </c>
      <c r="E11703" t="inlineStr">
        <is>
          <t>SOTENÄS</t>
        </is>
      </c>
      <c r="G11703" t="n">
        <v>2.8</v>
      </c>
      <c r="H11703" t="n">
        <v>0</v>
      </c>
      <c r="I11703" t="n">
        <v>0</v>
      </c>
      <c r="J11703" t="n">
        <v>0</v>
      </c>
      <c r="K11703" t="n">
        <v>0</v>
      </c>
      <c r="L11703" t="n">
        <v>0</v>
      </c>
      <c r="M11703" t="n">
        <v>0</v>
      </c>
      <c r="N11703" t="n">
        <v>0</v>
      </c>
      <c r="O11703" t="n">
        <v>0</v>
      </c>
      <c r="P11703" t="n">
        <v>0</v>
      </c>
      <c r="Q11703" t="n">
        <v>0</v>
      </c>
      <c r="R11703" s="2" t="inlineStr"/>
    </row>
    <row r="11704" ht="15" customHeight="1">
      <c r="A11704" t="inlineStr">
        <is>
          <t>A 46588-2024</t>
        </is>
      </c>
      <c r="B11704" s="1" t="n">
        <v>45582.77137731481</v>
      </c>
      <c r="C11704" s="1" t="n">
        <v>45952</v>
      </c>
      <c r="D11704" t="inlineStr">
        <is>
          <t>VÄSTRA GÖTALANDS LÄN</t>
        </is>
      </c>
      <c r="E11704" t="inlineStr">
        <is>
          <t>SOTENÄS</t>
        </is>
      </c>
      <c r="G11704" t="n">
        <v>1</v>
      </c>
      <c r="H11704" t="n">
        <v>0</v>
      </c>
      <c r="I11704" t="n">
        <v>0</v>
      </c>
      <c r="J11704" t="n">
        <v>0</v>
      </c>
      <c r="K11704" t="n">
        <v>0</v>
      </c>
      <c r="L11704" t="n">
        <v>0</v>
      </c>
      <c r="M11704" t="n">
        <v>0</v>
      </c>
      <c r="N11704" t="n">
        <v>0</v>
      </c>
      <c r="O11704" t="n">
        <v>0</v>
      </c>
      <c r="P11704" t="n">
        <v>0</v>
      </c>
      <c r="Q11704" t="n">
        <v>0</v>
      </c>
      <c r="R11704" s="2" t="inlineStr"/>
    </row>
    <row r="11705" ht="15" customHeight="1">
      <c r="A11705" t="inlineStr">
        <is>
          <t>A 29167-2025</t>
        </is>
      </c>
      <c r="B11705" s="1" t="n">
        <v>45821</v>
      </c>
      <c r="C11705" s="1" t="n">
        <v>45952</v>
      </c>
      <c r="D11705" t="inlineStr">
        <is>
          <t>VÄSTRA GÖTALANDS LÄN</t>
        </is>
      </c>
      <c r="E11705" t="inlineStr">
        <is>
          <t>GULLSPÅNG</t>
        </is>
      </c>
      <c r="G11705" t="n">
        <v>1.1</v>
      </c>
      <c r="H11705" t="n">
        <v>0</v>
      </c>
      <c r="I11705" t="n">
        <v>0</v>
      </c>
      <c r="J11705" t="n">
        <v>0</v>
      </c>
      <c r="K11705" t="n">
        <v>0</v>
      </c>
      <c r="L11705" t="n">
        <v>0</v>
      </c>
      <c r="M11705" t="n">
        <v>0</v>
      </c>
      <c r="N11705" t="n">
        <v>0</v>
      </c>
      <c r="O11705" t="n">
        <v>0</v>
      </c>
      <c r="P11705" t="n">
        <v>0</v>
      </c>
      <c r="Q11705" t="n">
        <v>0</v>
      </c>
      <c r="R11705" s="2" t="inlineStr"/>
    </row>
    <row r="11706" ht="15" customHeight="1">
      <c r="A11706" t="inlineStr">
        <is>
          <t>A 45667-2022</t>
        </is>
      </c>
      <c r="B11706" s="1" t="n">
        <v>44845.71525462963</v>
      </c>
      <c r="C11706" s="1" t="n">
        <v>45952</v>
      </c>
      <c r="D11706" t="inlineStr">
        <is>
          <t>VÄSTRA GÖTALANDS LÄN</t>
        </is>
      </c>
      <c r="E11706" t="inlineStr">
        <is>
          <t>ÅMÅL</t>
        </is>
      </c>
      <c r="G11706" t="n">
        <v>2.5</v>
      </c>
      <c r="H11706" t="n">
        <v>0</v>
      </c>
      <c r="I11706" t="n">
        <v>0</v>
      </c>
      <c r="J11706" t="n">
        <v>0</v>
      </c>
      <c r="K11706" t="n">
        <v>0</v>
      </c>
      <c r="L11706" t="n">
        <v>0</v>
      </c>
      <c r="M11706" t="n">
        <v>0</v>
      </c>
      <c r="N11706" t="n">
        <v>0</v>
      </c>
      <c r="O11706" t="n">
        <v>0</v>
      </c>
      <c r="P11706" t="n">
        <v>0</v>
      </c>
      <c r="Q11706" t="n">
        <v>0</v>
      </c>
      <c r="R11706" s="2" t="inlineStr"/>
    </row>
    <row r="11707" ht="15" customHeight="1">
      <c r="A11707" t="inlineStr">
        <is>
          <t>A 33205-2023</t>
        </is>
      </c>
      <c r="B11707" s="1" t="n">
        <v>45127</v>
      </c>
      <c r="C11707" s="1" t="n">
        <v>45952</v>
      </c>
      <c r="D11707" t="inlineStr">
        <is>
          <t>VÄSTRA GÖTALANDS LÄN</t>
        </is>
      </c>
      <c r="E11707" t="inlineStr">
        <is>
          <t>UDDEVALLA</t>
        </is>
      </c>
      <c r="G11707" t="n">
        <v>6.1</v>
      </c>
      <c r="H11707" t="n">
        <v>0</v>
      </c>
      <c r="I11707" t="n">
        <v>0</v>
      </c>
      <c r="J11707" t="n">
        <v>0</v>
      </c>
      <c r="K11707" t="n">
        <v>0</v>
      </c>
      <c r="L11707" t="n">
        <v>0</v>
      </c>
      <c r="M11707" t="n">
        <v>0</v>
      </c>
      <c r="N11707" t="n">
        <v>0</v>
      </c>
      <c r="O11707" t="n">
        <v>0</v>
      </c>
      <c r="P11707" t="n">
        <v>0</v>
      </c>
      <c r="Q11707" t="n">
        <v>0</v>
      </c>
      <c r="R11707" s="2" t="inlineStr"/>
    </row>
    <row r="11708" ht="15" customHeight="1">
      <c r="A11708" t="inlineStr">
        <is>
          <t>A 29109-2025</t>
        </is>
      </c>
      <c r="B11708" s="1" t="n">
        <v>45821.58231481481</v>
      </c>
      <c r="C11708" s="1" t="n">
        <v>45952</v>
      </c>
      <c r="D11708" t="inlineStr">
        <is>
          <t>VÄSTRA GÖTALANDS LÄN</t>
        </is>
      </c>
      <c r="E11708" t="inlineStr">
        <is>
          <t>BORÅS</t>
        </is>
      </c>
      <c r="G11708" t="n">
        <v>1.7</v>
      </c>
      <c r="H11708" t="n">
        <v>0</v>
      </c>
      <c r="I11708" t="n">
        <v>0</v>
      </c>
      <c r="J11708" t="n">
        <v>0</v>
      </c>
      <c r="K11708" t="n">
        <v>0</v>
      </c>
      <c r="L11708" t="n">
        <v>0</v>
      </c>
      <c r="M11708" t="n">
        <v>0</v>
      </c>
      <c r="N11708" t="n">
        <v>0</v>
      </c>
      <c r="O11708" t="n">
        <v>0</v>
      </c>
      <c r="P11708" t="n">
        <v>0</v>
      </c>
      <c r="Q11708" t="n">
        <v>0</v>
      </c>
      <c r="R11708" s="2" t="inlineStr"/>
    </row>
    <row r="11709" ht="15" customHeight="1">
      <c r="A11709" t="inlineStr">
        <is>
          <t>A 29111-2025</t>
        </is>
      </c>
      <c r="B11709" s="1" t="n">
        <v>45821.58418981481</v>
      </c>
      <c r="C11709" s="1" t="n">
        <v>45952</v>
      </c>
      <c r="D11709" t="inlineStr">
        <is>
          <t>VÄSTRA GÖTALANDS LÄN</t>
        </is>
      </c>
      <c r="E11709" t="inlineStr">
        <is>
          <t>BORÅS</t>
        </is>
      </c>
      <c r="G11709" t="n">
        <v>1</v>
      </c>
      <c r="H11709" t="n">
        <v>0</v>
      </c>
      <c r="I11709" t="n">
        <v>0</v>
      </c>
      <c r="J11709" t="n">
        <v>0</v>
      </c>
      <c r="K11709" t="n">
        <v>0</v>
      </c>
      <c r="L11709" t="n">
        <v>0</v>
      </c>
      <c r="M11709" t="n">
        <v>0</v>
      </c>
      <c r="N11709" t="n">
        <v>0</v>
      </c>
      <c r="O11709" t="n">
        <v>0</v>
      </c>
      <c r="P11709" t="n">
        <v>0</v>
      </c>
      <c r="Q11709" t="n">
        <v>0</v>
      </c>
      <c r="R11709" s="2" t="inlineStr"/>
    </row>
    <row r="11710" ht="15" customHeight="1">
      <c r="A11710" t="inlineStr">
        <is>
          <t>A 33276-2023</t>
        </is>
      </c>
      <c r="B11710" s="1" t="n">
        <v>45127.60350694445</v>
      </c>
      <c r="C11710" s="1" t="n">
        <v>45952</v>
      </c>
      <c r="D11710" t="inlineStr">
        <is>
          <t>VÄSTRA GÖTALANDS LÄN</t>
        </is>
      </c>
      <c r="E11710" t="inlineStr">
        <is>
          <t>TÖREBODA</t>
        </is>
      </c>
      <c r="G11710" t="n">
        <v>2.6</v>
      </c>
      <c r="H11710" t="n">
        <v>0</v>
      </c>
      <c r="I11710" t="n">
        <v>0</v>
      </c>
      <c r="J11710" t="n">
        <v>0</v>
      </c>
      <c r="K11710" t="n">
        <v>0</v>
      </c>
      <c r="L11710" t="n">
        <v>0</v>
      </c>
      <c r="M11710" t="n">
        <v>0</v>
      </c>
      <c r="N11710" t="n">
        <v>0</v>
      </c>
      <c r="O11710" t="n">
        <v>0</v>
      </c>
      <c r="P11710" t="n">
        <v>0</v>
      </c>
      <c r="Q11710" t="n">
        <v>0</v>
      </c>
      <c r="R11710" s="2" t="inlineStr"/>
    </row>
    <row r="11711" ht="15" customHeight="1">
      <c r="A11711" t="inlineStr">
        <is>
          <t>A 28886-2025</t>
        </is>
      </c>
      <c r="B11711" s="1" t="n">
        <v>45820.62944444444</v>
      </c>
      <c r="C11711" s="1" t="n">
        <v>45952</v>
      </c>
      <c r="D11711" t="inlineStr">
        <is>
          <t>VÄSTRA GÖTALANDS LÄN</t>
        </is>
      </c>
      <c r="E11711" t="inlineStr">
        <is>
          <t>GULLSPÅNG</t>
        </is>
      </c>
      <c r="G11711" t="n">
        <v>3</v>
      </c>
      <c r="H11711" t="n">
        <v>0</v>
      </c>
      <c r="I11711" t="n">
        <v>0</v>
      </c>
      <c r="J11711" t="n">
        <v>0</v>
      </c>
      <c r="K11711" t="n">
        <v>0</v>
      </c>
      <c r="L11711" t="n">
        <v>0</v>
      </c>
      <c r="M11711" t="n">
        <v>0</v>
      </c>
      <c r="N11711" t="n">
        <v>0</v>
      </c>
      <c r="O11711" t="n">
        <v>0</v>
      </c>
      <c r="P11711" t="n">
        <v>0</v>
      </c>
      <c r="Q11711" t="n">
        <v>0</v>
      </c>
      <c r="R11711" s="2" t="inlineStr"/>
    </row>
    <row r="11712" ht="15" customHeight="1">
      <c r="A11712" t="inlineStr">
        <is>
          <t>A 28807-2025</t>
        </is>
      </c>
      <c r="B11712" s="1" t="n">
        <v>45820</v>
      </c>
      <c r="C11712" s="1" t="n">
        <v>45952</v>
      </c>
      <c r="D11712" t="inlineStr">
        <is>
          <t>VÄSTRA GÖTALANDS LÄN</t>
        </is>
      </c>
      <c r="E11712" t="inlineStr">
        <is>
          <t>TANUM</t>
        </is>
      </c>
      <c r="G11712" t="n">
        <v>2</v>
      </c>
      <c r="H11712" t="n">
        <v>0</v>
      </c>
      <c r="I11712" t="n">
        <v>0</v>
      </c>
      <c r="J11712" t="n">
        <v>0</v>
      </c>
      <c r="K11712" t="n">
        <v>0</v>
      </c>
      <c r="L11712" t="n">
        <v>0</v>
      </c>
      <c r="M11712" t="n">
        <v>0</v>
      </c>
      <c r="N11712" t="n">
        <v>0</v>
      </c>
      <c r="O11712" t="n">
        <v>0</v>
      </c>
      <c r="P11712" t="n">
        <v>0</v>
      </c>
      <c r="Q11712" t="n">
        <v>0</v>
      </c>
      <c r="R11712" s="2" t="inlineStr"/>
    </row>
    <row r="11713" ht="15" customHeight="1">
      <c r="A11713" t="inlineStr">
        <is>
          <t>A 28869-2025</t>
        </is>
      </c>
      <c r="B11713" s="1" t="n">
        <v>45820.60309027778</v>
      </c>
      <c r="C11713" s="1" t="n">
        <v>45952</v>
      </c>
      <c r="D11713" t="inlineStr">
        <is>
          <t>VÄSTRA GÖTALANDS LÄN</t>
        </is>
      </c>
      <c r="E11713" t="inlineStr">
        <is>
          <t>TÖREBODA</t>
        </is>
      </c>
      <c r="G11713" t="n">
        <v>4.4</v>
      </c>
      <c r="H11713" t="n">
        <v>0</v>
      </c>
      <c r="I11713" t="n">
        <v>0</v>
      </c>
      <c r="J11713" t="n">
        <v>0</v>
      </c>
      <c r="K11713" t="n">
        <v>0</v>
      </c>
      <c r="L11713" t="n">
        <v>0</v>
      </c>
      <c r="M11713" t="n">
        <v>0</v>
      </c>
      <c r="N11713" t="n">
        <v>0</v>
      </c>
      <c r="O11713" t="n">
        <v>0</v>
      </c>
      <c r="P11713" t="n">
        <v>0</v>
      </c>
      <c r="Q11713" t="n">
        <v>0</v>
      </c>
      <c r="R11713" s="2" t="inlineStr"/>
    </row>
    <row r="11714" ht="15" customHeight="1">
      <c r="A11714" t="inlineStr">
        <is>
          <t>A 28885-2025</t>
        </is>
      </c>
      <c r="B11714" s="1" t="n">
        <v>45820.62862268519</v>
      </c>
      <c r="C11714" s="1" t="n">
        <v>45952</v>
      </c>
      <c r="D11714" t="inlineStr">
        <is>
          <t>VÄSTRA GÖTALANDS LÄN</t>
        </is>
      </c>
      <c r="E11714" t="inlineStr">
        <is>
          <t>TRANEMO</t>
        </is>
      </c>
      <c r="G11714" t="n">
        <v>0.8</v>
      </c>
      <c r="H11714" t="n">
        <v>0</v>
      </c>
      <c r="I11714" t="n">
        <v>0</v>
      </c>
      <c r="J11714" t="n">
        <v>0</v>
      </c>
      <c r="K11714" t="n">
        <v>0</v>
      </c>
      <c r="L11714" t="n">
        <v>0</v>
      </c>
      <c r="M11714" t="n">
        <v>0</v>
      </c>
      <c r="N11714" t="n">
        <v>0</v>
      </c>
      <c r="O11714" t="n">
        <v>0</v>
      </c>
      <c r="P11714" t="n">
        <v>0</v>
      </c>
      <c r="Q11714" t="n">
        <v>0</v>
      </c>
      <c r="R11714" s="2" t="inlineStr"/>
    </row>
    <row r="11715" ht="15" customHeight="1">
      <c r="A11715" t="inlineStr">
        <is>
          <t>A 28887-2025</t>
        </is>
      </c>
      <c r="B11715" s="1" t="n">
        <v>45820.62993055556</v>
      </c>
      <c r="C11715" s="1" t="n">
        <v>45952</v>
      </c>
      <c r="D11715" t="inlineStr">
        <is>
          <t>VÄSTRA GÖTALANDS LÄN</t>
        </is>
      </c>
      <c r="E11715" t="inlineStr">
        <is>
          <t>TRANEMO</t>
        </is>
      </c>
      <c r="G11715" t="n">
        <v>1.4</v>
      </c>
      <c r="H11715" t="n">
        <v>0</v>
      </c>
      <c r="I11715" t="n">
        <v>0</v>
      </c>
      <c r="J11715" t="n">
        <v>0</v>
      </c>
      <c r="K11715" t="n">
        <v>0</v>
      </c>
      <c r="L11715" t="n">
        <v>0</v>
      </c>
      <c r="M11715" t="n">
        <v>0</v>
      </c>
      <c r="N11715" t="n">
        <v>0</v>
      </c>
      <c r="O11715" t="n">
        <v>0</v>
      </c>
      <c r="P11715" t="n">
        <v>0</v>
      </c>
      <c r="Q11715" t="n">
        <v>0</v>
      </c>
      <c r="R11715" s="2" t="inlineStr"/>
    </row>
    <row r="11716" ht="15" customHeight="1">
      <c r="A11716" t="inlineStr">
        <is>
          <t>A 28910-2025</t>
        </is>
      </c>
      <c r="B11716" s="1" t="n">
        <v>45820.65557870371</v>
      </c>
      <c r="C11716" s="1" t="n">
        <v>45952</v>
      </c>
      <c r="D11716" t="inlineStr">
        <is>
          <t>VÄSTRA GÖTALANDS LÄN</t>
        </is>
      </c>
      <c r="E11716" t="inlineStr">
        <is>
          <t>TANUM</t>
        </is>
      </c>
      <c r="G11716" t="n">
        <v>2.4</v>
      </c>
      <c r="H11716" t="n">
        <v>0</v>
      </c>
      <c r="I11716" t="n">
        <v>0</v>
      </c>
      <c r="J11716" t="n">
        <v>0</v>
      </c>
      <c r="K11716" t="n">
        <v>0</v>
      </c>
      <c r="L11716" t="n">
        <v>0</v>
      </c>
      <c r="M11716" t="n">
        <v>0</v>
      </c>
      <c r="N11716" t="n">
        <v>0</v>
      </c>
      <c r="O11716" t="n">
        <v>0</v>
      </c>
      <c r="P11716" t="n">
        <v>0</v>
      </c>
      <c r="Q11716" t="n">
        <v>0</v>
      </c>
      <c r="R11716" s="2" t="inlineStr"/>
    </row>
    <row r="11717" ht="15" customHeight="1">
      <c r="A11717" t="inlineStr">
        <is>
          <t>A 7624-2024</t>
        </is>
      </c>
      <c r="B11717" s="1" t="n">
        <v>45348.60578703704</v>
      </c>
      <c r="C11717" s="1" t="n">
        <v>45952</v>
      </c>
      <c r="D11717" t="inlineStr">
        <is>
          <t>VÄSTRA GÖTALANDS LÄN</t>
        </is>
      </c>
      <c r="E11717" t="inlineStr">
        <is>
          <t>BORÅS</t>
        </is>
      </c>
      <c r="G11717" t="n">
        <v>3.3</v>
      </c>
      <c r="H11717" t="n">
        <v>0</v>
      </c>
      <c r="I11717" t="n">
        <v>0</v>
      </c>
      <c r="J11717" t="n">
        <v>0</v>
      </c>
      <c r="K11717" t="n">
        <v>0</v>
      </c>
      <c r="L11717" t="n">
        <v>0</v>
      </c>
      <c r="M11717" t="n">
        <v>0</v>
      </c>
      <c r="N11717" t="n">
        <v>0</v>
      </c>
      <c r="O11717" t="n">
        <v>0</v>
      </c>
      <c r="P11717" t="n">
        <v>0</v>
      </c>
      <c r="Q11717" t="n">
        <v>0</v>
      </c>
      <c r="R11717" s="2" t="inlineStr"/>
    </row>
    <row r="11718" ht="15" customHeight="1">
      <c r="A11718" t="inlineStr">
        <is>
          <t>A 28805-2025</t>
        </is>
      </c>
      <c r="B11718" s="1" t="n">
        <v>45820.50503472222</v>
      </c>
      <c r="C11718" s="1" t="n">
        <v>45952</v>
      </c>
      <c r="D11718" t="inlineStr">
        <is>
          <t>VÄSTRA GÖTALANDS LÄN</t>
        </is>
      </c>
      <c r="E11718" t="inlineStr">
        <is>
          <t>SVENLJUNGA</t>
        </is>
      </c>
      <c r="G11718" t="n">
        <v>1.4</v>
      </c>
      <c r="H11718" t="n">
        <v>0</v>
      </c>
      <c r="I11718" t="n">
        <v>0</v>
      </c>
      <c r="J11718" t="n">
        <v>0</v>
      </c>
      <c r="K11718" t="n">
        <v>0</v>
      </c>
      <c r="L11718" t="n">
        <v>0</v>
      </c>
      <c r="M11718" t="n">
        <v>0</v>
      </c>
      <c r="N11718" t="n">
        <v>0</v>
      </c>
      <c r="O11718" t="n">
        <v>0</v>
      </c>
      <c r="P11718" t="n">
        <v>0</v>
      </c>
      <c r="Q11718" t="n">
        <v>0</v>
      </c>
      <c r="R11718" s="2" t="inlineStr"/>
    </row>
    <row r="11719" ht="15" customHeight="1">
      <c r="A11719" t="inlineStr">
        <is>
          <t>A 18701-2022</t>
        </is>
      </c>
      <c r="B11719" s="1" t="n">
        <v>44687</v>
      </c>
      <c r="C11719" s="1" t="n">
        <v>45952</v>
      </c>
      <c r="D11719" t="inlineStr">
        <is>
          <t>VÄSTRA GÖTALANDS LÄN</t>
        </is>
      </c>
      <c r="E11719" t="inlineStr">
        <is>
          <t>SKARA</t>
        </is>
      </c>
      <c r="G11719" t="n">
        <v>1</v>
      </c>
      <c r="H11719" t="n">
        <v>0</v>
      </c>
      <c r="I11719" t="n">
        <v>0</v>
      </c>
      <c r="J11719" t="n">
        <v>0</v>
      </c>
      <c r="K11719" t="n">
        <v>0</v>
      </c>
      <c r="L11719" t="n">
        <v>0</v>
      </c>
      <c r="M11719" t="n">
        <v>0</v>
      </c>
      <c r="N11719" t="n">
        <v>0</v>
      </c>
      <c r="O11719" t="n">
        <v>0</v>
      </c>
      <c r="P11719" t="n">
        <v>0</v>
      </c>
      <c r="Q11719" t="n">
        <v>0</v>
      </c>
      <c r="R11719" s="2" t="inlineStr"/>
    </row>
    <row r="11720" ht="15" customHeight="1">
      <c r="A11720" t="inlineStr">
        <is>
          <t>A 51386-2025</t>
        </is>
      </c>
      <c r="B11720" s="1" t="n">
        <v>45950.4659837963</v>
      </c>
      <c r="C11720" s="1" t="n">
        <v>45952</v>
      </c>
      <c r="D11720" t="inlineStr">
        <is>
          <t>VÄSTRA GÖTALANDS LÄN</t>
        </is>
      </c>
      <c r="E11720" t="inlineStr">
        <is>
          <t>ULRICEHAMN</t>
        </is>
      </c>
      <c r="G11720" t="n">
        <v>5.5</v>
      </c>
      <c r="H11720" t="n">
        <v>0</v>
      </c>
      <c r="I11720" t="n">
        <v>0</v>
      </c>
      <c r="J11720" t="n">
        <v>0</v>
      </c>
      <c r="K11720" t="n">
        <v>0</v>
      </c>
      <c r="L11720" t="n">
        <v>0</v>
      </c>
      <c r="M11720" t="n">
        <v>0</v>
      </c>
      <c r="N11720" t="n">
        <v>0</v>
      </c>
      <c r="O11720" t="n">
        <v>0</v>
      </c>
      <c r="P11720" t="n">
        <v>0</v>
      </c>
      <c r="Q11720" t="n">
        <v>0</v>
      </c>
      <c r="R11720" s="2" t="inlineStr"/>
    </row>
    <row r="11721" ht="15" customHeight="1">
      <c r="A11721" t="inlineStr">
        <is>
          <t>A 51415-2025</t>
        </is>
      </c>
      <c r="B11721" s="1" t="n">
        <v>45950.5109375</v>
      </c>
      <c r="C11721" s="1" t="n">
        <v>45952</v>
      </c>
      <c r="D11721" t="inlineStr">
        <is>
          <t>VÄSTRA GÖTALANDS LÄN</t>
        </is>
      </c>
      <c r="E11721" t="inlineStr">
        <is>
          <t>TRANEMO</t>
        </is>
      </c>
      <c r="G11721" t="n">
        <v>1.6</v>
      </c>
      <c r="H11721" t="n">
        <v>0</v>
      </c>
      <c r="I11721" t="n">
        <v>0</v>
      </c>
      <c r="J11721" t="n">
        <v>0</v>
      </c>
      <c r="K11721" t="n">
        <v>0</v>
      </c>
      <c r="L11721" t="n">
        <v>0</v>
      </c>
      <c r="M11721" t="n">
        <v>0</v>
      </c>
      <c r="N11721" t="n">
        <v>0</v>
      </c>
      <c r="O11721" t="n">
        <v>0</v>
      </c>
      <c r="P11721" t="n">
        <v>0</v>
      </c>
      <c r="Q11721" t="n">
        <v>0</v>
      </c>
      <c r="R11721" s="2" t="inlineStr"/>
    </row>
    <row r="11722" ht="15" customHeight="1">
      <c r="A11722" t="inlineStr">
        <is>
          <t>A 51432-2025</t>
        </is>
      </c>
      <c r="B11722" s="1" t="n">
        <v>45949</v>
      </c>
      <c r="C11722" s="1" t="n">
        <v>45952</v>
      </c>
      <c r="D11722" t="inlineStr">
        <is>
          <t>VÄSTRA GÖTALANDS LÄN</t>
        </is>
      </c>
      <c r="E11722" t="inlineStr">
        <is>
          <t>STRÖMSTAD</t>
        </is>
      </c>
      <c r="G11722" t="n">
        <v>0.6</v>
      </c>
      <c r="H11722" t="n">
        <v>0</v>
      </c>
      <c r="I11722" t="n">
        <v>0</v>
      </c>
      <c r="J11722" t="n">
        <v>0</v>
      </c>
      <c r="K11722" t="n">
        <v>0</v>
      </c>
      <c r="L11722" t="n">
        <v>0</v>
      </c>
      <c r="M11722" t="n">
        <v>0</v>
      </c>
      <c r="N11722" t="n">
        <v>0</v>
      </c>
      <c r="O11722" t="n">
        <v>0</v>
      </c>
      <c r="P11722" t="n">
        <v>0</v>
      </c>
      <c r="Q11722" t="n">
        <v>0</v>
      </c>
      <c r="R11722" s="2" t="inlineStr"/>
    </row>
    <row r="11723" ht="15" customHeight="1">
      <c r="A11723" t="inlineStr">
        <is>
          <t>A 57305-2024</t>
        </is>
      </c>
      <c r="B11723" s="1" t="n">
        <v>45629.60421296296</v>
      </c>
      <c r="C11723" s="1" t="n">
        <v>45952</v>
      </c>
      <c r="D11723" t="inlineStr">
        <is>
          <t>VÄSTRA GÖTALANDS LÄN</t>
        </is>
      </c>
      <c r="E11723" t="inlineStr">
        <is>
          <t>ÅMÅL</t>
        </is>
      </c>
      <c r="G11723" t="n">
        <v>1.8</v>
      </c>
      <c r="H11723" t="n">
        <v>0</v>
      </c>
      <c r="I11723" t="n">
        <v>0</v>
      </c>
      <c r="J11723" t="n">
        <v>0</v>
      </c>
      <c r="K11723" t="n">
        <v>0</v>
      </c>
      <c r="L11723" t="n">
        <v>0</v>
      </c>
      <c r="M11723" t="n">
        <v>0</v>
      </c>
      <c r="N11723" t="n">
        <v>0</v>
      </c>
      <c r="O11723" t="n">
        <v>0</v>
      </c>
      <c r="P11723" t="n">
        <v>0</v>
      </c>
      <c r="Q11723" t="n">
        <v>0</v>
      </c>
      <c r="R11723" s="2" t="inlineStr"/>
    </row>
    <row r="11724" ht="15" customHeight="1">
      <c r="A11724" t="inlineStr">
        <is>
          <t>A 51298-2025</t>
        </is>
      </c>
      <c r="B11724" s="1" t="n">
        <v>45950.36163194444</v>
      </c>
      <c r="C11724" s="1" t="n">
        <v>45952</v>
      </c>
      <c r="D11724" t="inlineStr">
        <is>
          <t>VÄSTRA GÖTALANDS LÄN</t>
        </is>
      </c>
      <c r="E11724" t="inlineStr">
        <is>
          <t>HERRLJUNGA</t>
        </is>
      </c>
      <c r="G11724" t="n">
        <v>1.9</v>
      </c>
      <c r="H11724" t="n">
        <v>0</v>
      </c>
      <c r="I11724" t="n">
        <v>0</v>
      </c>
      <c r="J11724" t="n">
        <v>0</v>
      </c>
      <c r="K11724" t="n">
        <v>0</v>
      </c>
      <c r="L11724" t="n">
        <v>0</v>
      </c>
      <c r="M11724" t="n">
        <v>0</v>
      </c>
      <c r="N11724" t="n">
        <v>0</v>
      </c>
      <c r="O11724" t="n">
        <v>0</v>
      </c>
      <c r="P11724" t="n">
        <v>0</v>
      </c>
      <c r="Q11724" t="n">
        <v>0</v>
      </c>
      <c r="R11724" s="2" t="inlineStr"/>
    </row>
    <row r="11725" ht="15" customHeight="1">
      <c r="A11725" t="inlineStr">
        <is>
          <t>A 51310-2025</t>
        </is>
      </c>
      <c r="B11725" s="1" t="n">
        <v>45950.36862268519</v>
      </c>
      <c r="C11725" s="1" t="n">
        <v>45952</v>
      </c>
      <c r="D11725" t="inlineStr">
        <is>
          <t>VÄSTRA GÖTALANDS LÄN</t>
        </is>
      </c>
      <c r="E11725" t="inlineStr">
        <is>
          <t>HERRLJUNGA</t>
        </is>
      </c>
      <c r="G11725" t="n">
        <v>2.6</v>
      </c>
      <c r="H11725" t="n">
        <v>0</v>
      </c>
      <c r="I11725" t="n">
        <v>0</v>
      </c>
      <c r="J11725" t="n">
        <v>0</v>
      </c>
      <c r="K11725" t="n">
        <v>0</v>
      </c>
      <c r="L11725" t="n">
        <v>0</v>
      </c>
      <c r="M11725" t="n">
        <v>0</v>
      </c>
      <c r="N11725" t="n">
        <v>0</v>
      </c>
      <c r="O11725" t="n">
        <v>0</v>
      </c>
      <c r="P11725" t="n">
        <v>0</v>
      </c>
      <c r="Q11725" t="n">
        <v>0</v>
      </c>
      <c r="R11725" s="2" t="inlineStr"/>
    </row>
    <row r="11726" ht="15" customHeight="1">
      <c r="A11726" t="inlineStr">
        <is>
          <t>A 42703-2025</t>
        </is>
      </c>
      <c r="B11726" s="1" t="n">
        <v>45908.36853009259</v>
      </c>
      <c r="C11726" s="1" t="n">
        <v>45952</v>
      </c>
      <c r="D11726" t="inlineStr">
        <is>
          <t>VÄSTRA GÖTALANDS LÄN</t>
        </is>
      </c>
      <c r="E11726" t="inlineStr">
        <is>
          <t>DALS-ED</t>
        </is>
      </c>
      <c r="F11726" t="inlineStr">
        <is>
          <t>Kyrkan</t>
        </is>
      </c>
      <c r="G11726" t="n">
        <v>2.2</v>
      </c>
      <c r="H11726" t="n">
        <v>0</v>
      </c>
      <c r="I11726" t="n">
        <v>0</v>
      </c>
      <c r="J11726" t="n">
        <v>0</v>
      </c>
      <c r="K11726" t="n">
        <v>0</v>
      </c>
      <c r="L11726" t="n">
        <v>0</v>
      </c>
      <c r="M11726" t="n">
        <v>0</v>
      </c>
      <c r="N11726" t="n">
        <v>0</v>
      </c>
      <c r="O11726" t="n">
        <v>0</v>
      </c>
      <c r="P11726" t="n">
        <v>0</v>
      </c>
      <c r="Q11726" t="n">
        <v>0</v>
      </c>
      <c r="R11726" s="2" t="inlineStr"/>
    </row>
    <row r="11727" ht="15" customHeight="1">
      <c r="A11727" t="inlineStr">
        <is>
          <t>A 28956-2025</t>
        </is>
      </c>
      <c r="B11727" s="1" t="n">
        <v>45821.30320601852</v>
      </c>
      <c r="C11727" s="1" t="n">
        <v>45952</v>
      </c>
      <c r="D11727" t="inlineStr">
        <is>
          <t>VÄSTRA GÖTALANDS LÄN</t>
        </is>
      </c>
      <c r="E11727" t="inlineStr">
        <is>
          <t>MARIESTAD</t>
        </is>
      </c>
      <c r="G11727" t="n">
        <v>2.5</v>
      </c>
      <c r="H11727" t="n">
        <v>0</v>
      </c>
      <c r="I11727" t="n">
        <v>0</v>
      </c>
      <c r="J11727" t="n">
        <v>0</v>
      </c>
      <c r="K11727" t="n">
        <v>0</v>
      </c>
      <c r="L11727" t="n">
        <v>0</v>
      </c>
      <c r="M11727" t="n">
        <v>0</v>
      </c>
      <c r="N11727" t="n">
        <v>0</v>
      </c>
      <c r="O11727" t="n">
        <v>0</v>
      </c>
      <c r="P11727" t="n">
        <v>0</v>
      </c>
      <c r="Q11727" t="n">
        <v>0</v>
      </c>
      <c r="R11727" s="2" t="inlineStr"/>
    </row>
    <row r="11728" ht="15" customHeight="1">
      <c r="A11728" t="inlineStr">
        <is>
          <t>A 10682-2025</t>
        </is>
      </c>
      <c r="B11728" s="1" t="n">
        <v>45721.92153935185</v>
      </c>
      <c r="C11728" s="1" t="n">
        <v>45952</v>
      </c>
      <c r="D11728" t="inlineStr">
        <is>
          <t>VÄSTRA GÖTALANDS LÄN</t>
        </is>
      </c>
      <c r="E11728" t="inlineStr">
        <is>
          <t>TRANEMO</t>
        </is>
      </c>
      <c r="G11728" t="n">
        <v>1.7</v>
      </c>
      <c r="H11728" t="n">
        <v>0</v>
      </c>
      <c r="I11728" t="n">
        <v>0</v>
      </c>
      <c r="J11728" t="n">
        <v>0</v>
      </c>
      <c r="K11728" t="n">
        <v>0</v>
      </c>
      <c r="L11728" t="n">
        <v>0</v>
      </c>
      <c r="M11728" t="n">
        <v>0</v>
      </c>
      <c r="N11728" t="n">
        <v>0</v>
      </c>
      <c r="O11728" t="n">
        <v>0</v>
      </c>
      <c r="P11728" t="n">
        <v>0</v>
      </c>
      <c r="Q11728" t="n">
        <v>0</v>
      </c>
      <c r="R11728" s="2" t="inlineStr"/>
    </row>
    <row r="11729" ht="15" customHeight="1">
      <c r="A11729" t="inlineStr">
        <is>
          <t>A 28786-2025</t>
        </is>
      </c>
      <c r="B11729" s="1" t="n">
        <v>45820.46232638889</v>
      </c>
      <c r="C11729" s="1" t="n">
        <v>45952</v>
      </c>
      <c r="D11729" t="inlineStr">
        <is>
          <t>VÄSTRA GÖTALANDS LÄN</t>
        </is>
      </c>
      <c r="E11729" t="inlineStr">
        <is>
          <t>ÅMÅL</t>
        </is>
      </c>
      <c r="G11729" t="n">
        <v>0.3</v>
      </c>
      <c r="H11729" t="n">
        <v>0</v>
      </c>
      <c r="I11729" t="n">
        <v>0</v>
      </c>
      <c r="J11729" t="n">
        <v>0</v>
      </c>
      <c r="K11729" t="n">
        <v>0</v>
      </c>
      <c r="L11729" t="n">
        <v>0</v>
      </c>
      <c r="M11729" t="n">
        <v>0</v>
      </c>
      <c r="N11729" t="n">
        <v>0</v>
      </c>
      <c r="O11729" t="n">
        <v>0</v>
      </c>
      <c r="P11729" t="n">
        <v>0</v>
      </c>
      <c r="Q11729" t="n">
        <v>0</v>
      </c>
      <c r="R11729" s="2" t="inlineStr"/>
    </row>
    <row r="11730" ht="15" customHeight="1">
      <c r="A11730" t="inlineStr">
        <is>
          <t>A 51743-2025</t>
        </is>
      </c>
      <c r="B11730" s="1" t="n">
        <v>45951.60899305555</v>
      </c>
      <c r="C11730" s="1" t="n">
        <v>45952</v>
      </c>
      <c r="D11730" t="inlineStr">
        <is>
          <t>VÄSTRA GÖTALANDS LÄN</t>
        </is>
      </c>
      <c r="E11730" t="inlineStr">
        <is>
          <t>BENGTSFORS</t>
        </is>
      </c>
      <c r="G11730" t="n">
        <v>2.9</v>
      </c>
      <c r="H11730" t="n">
        <v>0</v>
      </c>
      <c r="I11730" t="n">
        <v>0</v>
      </c>
      <c r="J11730" t="n">
        <v>0</v>
      </c>
      <c r="K11730" t="n">
        <v>0</v>
      </c>
      <c r="L11730" t="n">
        <v>0</v>
      </c>
      <c r="M11730" t="n">
        <v>0</v>
      </c>
      <c r="N11730" t="n">
        <v>0</v>
      </c>
      <c r="O11730" t="n">
        <v>0</v>
      </c>
      <c r="P11730" t="n">
        <v>0</v>
      </c>
      <c r="Q11730" t="n">
        <v>0</v>
      </c>
      <c r="R11730" s="2" t="inlineStr"/>
    </row>
    <row r="11731" ht="15" customHeight="1">
      <c r="A11731" t="inlineStr">
        <is>
          <t>A 56450-2024</t>
        </is>
      </c>
      <c r="B11731" s="1" t="n">
        <v>45625.43532407407</v>
      </c>
      <c r="C11731" s="1" t="n">
        <v>45952</v>
      </c>
      <c r="D11731" t="inlineStr">
        <is>
          <t>VÄSTRA GÖTALANDS LÄN</t>
        </is>
      </c>
      <c r="E11731" t="inlineStr">
        <is>
          <t>ULRICEHAMN</t>
        </is>
      </c>
      <c r="G11731" t="n">
        <v>7.1</v>
      </c>
      <c r="H11731" t="n">
        <v>0</v>
      </c>
      <c r="I11731" t="n">
        <v>0</v>
      </c>
      <c r="J11731" t="n">
        <v>0</v>
      </c>
      <c r="K11731" t="n">
        <v>0</v>
      </c>
      <c r="L11731" t="n">
        <v>0</v>
      </c>
      <c r="M11731" t="n">
        <v>0</v>
      </c>
      <c r="N11731" t="n">
        <v>0</v>
      </c>
      <c r="O11731" t="n">
        <v>0</v>
      </c>
      <c r="P11731" t="n">
        <v>0</v>
      </c>
      <c r="Q11731" t="n">
        <v>0</v>
      </c>
      <c r="R11731" s="2" t="inlineStr"/>
    </row>
    <row r="11732" ht="15" customHeight="1">
      <c r="A11732" t="inlineStr">
        <is>
          <t>A 29126-2025</t>
        </is>
      </c>
      <c r="B11732" s="1" t="n">
        <v>45821.59480324074</v>
      </c>
      <c r="C11732" s="1" t="n">
        <v>45952</v>
      </c>
      <c r="D11732" t="inlineStr">
        <is>
          <t>VÄSTRA GÖTALANDS LÄN</t>
        </is>
      </c>
      <c r="E11732" t="inlineStr">
        <is>
          <t>BORÅS</t>
        </is>
      </c>
      <c r="G11732" t="n">
        <v>2.6</v>
      </c>
      <c r="H11732" t="n">
        <v>0</v>
      </c>
      <c r="I11732" t="n">
        <v>0</v>
      </c>
      <c r="J11732" t="n">
        <v>0</v>
      </c>
      <c r="K11732" t="n">
        <v>0</v>
      </c>
      <c r="L11732" t="n">
        <v>0</v>
      </c>
      <c r="M11732" t="n">
        <v>0</v>
      </c>
      <c r="N11732" t="n">
        <v>0</v>
      </c>
      <c r="O11732" t="n">
        <v>0</v>
      </c>
      <c r="P11732" t="n">
        <v>0</v>
      </c>
      <c r="Q11732" t="n">
        <v>0</v>
      </c>
      <c r="R11732" s="2" t="inlineStr"/>
    </row>
    <row r="11733" ht="15" customHeight="1">
      <c r="A11733" t="inlineStr">
        <is>
          <t>A 29177-2025</t>
        </is>
      </c>
      <c r="B11733" s="1" t="n">
        <v>45821</v>
      </c>
      <c r="C11733" s="1" t="n">
        <v>45952</v>
      </c>
      <c r="D11733" t="inlineStr">
        <is>
          <t>VÄSTRA GÖTALANDS LÄN</t>
        </is>
      </c>
      <c r="E11733" t="inlineStr">
        <is>
          <t>GULLSPÅNG</t>
        </is>
      </c>
      <c r="G11733" t="n">
        <v>1.5</v>
      </c>
      <c r="H11733" t="n">
        <v>0</v>
      </c>
      <c r="I11733" t="n">
        <v>0</v>
      </c>
      <c r="J11733" t="n">
        <v>0</v>
      </c>
      <c r="K11733" t="n">
        <v>0</v>
      </c>
      <c r="L11733" t="n">
        <v>0</v>
      </c>
      <c r="M11733" t="n">
        <v>0</v>
      </c>
      <c r="N11733" t="n">
        <v>0</v>
      </c>
      <c r="O11733" t="n">
        <v>0</v>
      </c>
      <c r="P11733" t="n">
        <v>0</v>
      </c>
      <c r="Q11733" t="n">
        <v>0</v>
      </c>
      <c r="R11733" s="2" t="inlineStr"/>
    </row>
    <row r="11734" ht="15" customHeight="1">
      <c r="A11734" t="inlineStr">
        <is>
          <t>A 31852-2024</t>
        </is>
      </c>
      <c r="B11734" s="1" t="n">
        <v>45509.67528935185</v>
      </c>
      <c r="C11734" s="1" t="n">
        <v>45952</v>
      </c>
      <c r="D11734" t="inlineStr">
        <is>
          <t>VÄSTRA GÖTALANDS LÄN</t>
        </is>
      </c>
      <c r="E11734" t="inlineStr">
        <is>
          <t>BENGTSFORS</t>
        </is>
      </c>
      <c r="G11734" t="n">
        <v>1.6</v>
      </c>
      <c r="H11734" t="n">
        <v>0</v>
      </c>
      <c r="I11734" t="n">
        <v>0</v>
      </c>
      <c r="J11734" t="n">
        <v>0</v>
      </c>
      <c r="K11734" t="n">
        <v>0</v>
      </c>
      <c r="L11734" t="n">
        <v>0</v>
      </c>
      <c r="M11734" t="n">
        <v>0</v>
      </c>
      <c r="N11734" t="n">
        <v>0</v>
      </c>
      <c r="O11734" t="n">
        <v>0</v>
      </c>
      <c r="P11734" t="n">
        <v>0</v>
      </c>
      <c r="Q11734" t="n">
        <v>0</v>
      </c>
      <c r="R11734" s="2" t="inlineStr"/>
    </row>
    <row r="11735" ht="15" customHeight="1">
      <c r="A11735" t="inlineStr">
        <is>
          <t>A 40372-2022</t>
        </is>
      </c>
      <c r="B11735" s="1" t="n">
        <v>44823</v>
      </c>
      <c r="C11735" s="1" t="n">
        <v>45952</v>
      </c>
      <c r="D11735" t="inlineStr">
        <is>
          <t>VÄSTRA GÖTALANDS LÄN</t>
        </is>
      </c>
      <c r="E11735" t="inlineStr">
        <is>
          <t>DALS-ED</t>
        </is>
      </c>
      <c r="G11735" t="n">
        <v>4.1</v>
      </c>
      <c r="H11735" t="n">
        <v>0</v>
      </c>
      <c r="I11735" t="n">
        <v>0</v>
      </c>
      <c r="J11735" t="n">
        <v>0</v>
      </c>
      <c r="K11735" t="n">
        <v>0</v>
      </c>
      <c r="L11735" t="n">
        <v>0</v>
      </c>
      <c r="M11735" t="n">
        <v>0</v>
      </c>
      <c r="N11735" t="n">
        <v>0</v>
      </c>
      <c r="O11735" t="n">
        <v>0</v>
      </c>
      <c r="P11735" t="n">
        <v>0</v>
      </c>
      <c r="Q11735" t="n">
        <v>0</v>
      </c>
      <c r="R11735" s="2" t="inlineStr"/>
    </row>
    <row r="11736" ht="15" customHeight="1">
      <c r="A11736" t="inlineStr">
        <is>
          <t>A 43098-2025</t>
        </is>
      </c>
      <c r="B11736" s="1" t="n">
        <v>45909.62886574074</v>
      </c>
      <c r="C11736" s="1" t="n">
        <v>45952</v>
      </c>
      <c r="D11736" t="inlineStr">
        <is>
          <t>VÄSTRA GÖTALANDS LÄN</t>
        </is>
      </c>
      <c r="E11736" t="inlineStr">
        <is>
          <t>MARIESTAD</t>
        </is>
      </c>
      <c r="G11736" t="n">
        <v>1.5</v>
      </c>
      <c r="H11736" t="n">
        <v>0</v>
      </c>
      <c r="I11736" t="n">
        <v>0</v>
      </c>
      <c r="J11736" t="n">
        <v>0</v>
      </c>
      <c r="K11736" t="n">
        <v>0</v>
      </c>
      <c r="L11736" t="n">
        <v>0</v>
      </c>
      <c r="M11736" t="n">
        <v>0</v>
      </c>
      <c r="N11736" t="n">
        <v>0</v>
      </c>
      <c r="O11736" t="n">
        <v>0</v>
      </c>
      <c r="P11736" t="n">
        <v>0</v>
      </c>
      <c r="Q11736" t="n">
        <v>0</v>
      </c>
      <c r="R11736" s="2" t="inlineStr"/>
    </row>
    <row r="11737" ht="15" customHeight="1">
      <c r="A11737" t="inlineStr">
        <is>
          <t>A 11356-2025</t>
        </is>
      </c>
      <c r="B11737" s="1" t="n">
        <v>45726.52880787037</v>
      </c>
      <c r="C11737" s="1" t="n">
        <v>45952</v>
      </c>
      <c r="D11737" t="inlineStr">
        <is>
          <t>VÄSTRA GÖTALANDS LÄN</t>
        </is>
      </c>
      <c r="E11737" t="inlineStr">
        <is>
          <t>ORUST</t>
        </is>
      </c>
      <c r="G11737" t="n">
        <v>1.1</v>
      </c>
      <c r="H11737" t="n">
        <v>0</v>
      </c>
      <c r="I11737" t="n">
        <v>0</v>
      </c>
      <c r="J11737" t="n">
        <v>0</v>
      </c>
      <c r="K11737" t="n">
        <v>0</v>
      </c>
      <c r="L11737" t="n">
        <v>0</v>
      </c>
      <c r="M11737" t="n">
        <v>0</v>
      </c>
      <c r="N11737" t="n">
        <v>0</v>
      </c>
      <c r="O11737" t="n">
        <v>0</v>
      </c>
      <c r="P11737" t="n">
        <v>0</v>
      </c>
      <c r="Q11737" t="n">
        <v>0</v>
      </c>
      <c r="R11737" s="2" t="inlineStr"/>
    </row>
    <row r="11738" ht="15" customHeight="1">
      <c r="A11738" t="inlineStr">
        <is>
          <t>A 18715-2023</t>
        </is>
      </c>
      <c r="B11738" s="1" t="n">
        <v>45043.65006944445</v>
      </c>
      <c r="C11738" s="1" t="n">
        <v>45952</v>
      </c>
      <c r="D11738" t="inlineStr">
        <is>
          <t>VÄSTRA GÖTALANDS LÄN</t>
        </is>
      </c>
      <c r="E11738" t="inlineStr">
        <is>
          <t>VÄNERSBORG</t>
        </is>
      </c>
      <c r="G11738" t="n">
        <v>0.5</v>
      </c>
      <c r="H11738" t="n">
        <v>0</v>
      </c>
      <c r="I11738" t="n">
        <v>0</v>
      </c>
      <c r="J11738" t="n">
        <v>0</v>
      </c>
      <c r="K11738" t="n">
        <v>0</v>
      </c>
      <c r="L11738" t="n">
        <v>0</v>
      </c>
      <c r="M11738" t="n">
        <v>0</v>
      </c>
      <c r="N11738" t="n">
        <v>0</v>
      </c>
      <c r="O11738" t="n">
        <v>0</v>
      </c>
      <c r="P11738" t="n">
        <v>0</v>
      </c>
      <c r="Q11738" t="n">
        <v>0</v>
      </c>
      <c r="R11738" s="2" t="inlineStr"/>
    </row>
    <row r="11739" ht="15" customHeight="1">
      <c r="A11739" t="inlineStr">
        <is>
          <t>A 31732-2025</t>
        </is>
      </c>
      <c r="B11739" s="1" t="n">
        <v>45834.47009259259</v>
      </c>
      <c r="C11739" s="1" t="n">
        <v>45952</v>
      </c>
      <c r="D11739" t="inlineStr">
        <is>
          <t>VÄSTRA GÖTALANDS LÄN</t>
        </is>
      </c>
      <c r="E11739" t="inlineStr">
        <is>
          <t>DALS-ED</t>
        </is>
      </c>
      <c r="G11739" t="n">
        <v>2</v>
      </c>
      <c r="H11739" t="n">
        <v>0</v>
      </c>
      <c r="I11739" t="n">
        <v>0</v>
      </c>
      <c r="J11739" t="n">
        <v>0</v>
      </c>
      <c r="K11739" t="n">
        <v>0</v>
      </c>
      <c r="L11739" t="n">
        <v>0</v>
      </c>
      <c r="M11739" t="n">
        <v>0</v>
      </c>
      <c r="N11739" t="n">
        <v>0</v>
      </c>
      <c r="O11739" t="n">
        <v>0</v>
      </c>
      <c r="P11739" t="n">
        <v>0</v>
      </c>
      <c r="Q11739" t="n">
        <v>0</v>
      </c>
      <c r="R11739" s="2" t="inlineStr"/>
    </row>
    <row r="11740" ht="15" customHeight="1">
      <c r="A11740" t="inlineStr">
        <is>
          <t>A 11363-2025</t>
        </is>
      </c>
      <c r="B11740" s="1" t="n">
        <v>45726.5418287037</v>
      </c>
      <c r="C11740" s="1" t="n">
        <v>45952</v>
      </c>
      <c r="D11740" t="inlineStr">
        <is>
          <t>VÄSTRA GÖTALANDS LÄN</t>
        </is>
      </c>
      <c r="E11740" t="inlineStr">
        <is>
          <t>SVENLJUNGA</t>
        </is>
      </c>
      <c r="G11740" t="n">
        <v>1.2</v>
      </c>
      <c r="H11740" t="n">
        <v>0</v>
      </c>
      <c r="I11740" t="n">
        <v>0</v>
      </c>
      <c r="J11740" t="n">
        <v>0</v>
      </c>
      <c r="K11740" t="n">
        <v>0</v>
      </c>
      <c r="L11740" t="n">
        <v>0</v>
      </c>
      <c r="M11740" t="n">
        <v>0</v>
      </c>
      <c r="N11740" t="n">
        <v>0</v>
      </c>
      <c r="O11740" t="n">
        <v>0</v>
      </c>
      <c r="P11740" t="n">
        <v>0</v>
      </c>
      <c r="Q11740" t="n">
        <v>0</v>
      </c>
      <c r="R11740" s="2" t="inlineStr"/>
    </row>
    <row r="11741" ht="15" customHeight="1">
      <c r="A11741" t="inlineStr">
        <is>
          <t>A 18739-2023</t>
        </is>
      </c>
      <c r="B11741" s="1" t="n">
        <v>45043</v>
      </c>
      <c r="C11741" s="1" t="n">
        <v>45952</v>
      </c>
      <c r="D11741" t="inlineStr">
        <is>
          <t>VÄSTRA GÖTALANDS LÄN</t>
        </is>
      </c>
      <c r="E11741" t="inlineStr">
        <is>
          <t>SKARA</t>
        </is>
      </c>
      <c r="G11741" t="n">
        <v>2.7</v>
      </c>
      <c r="H11741" t="n">
        <v>0</v>
      </c>
      <c r="I11741" t="n">
        <v>0</v>
      </c>
      <c r="J11741" t="n">
        <v>0</v>
      </c>
      <c r="K11741" t="n">
        <v>0</v>
      </c>
      <c r="L11741" t="n">
        <v>0</v>
      </c>
      <c r="M11741" t="n">
        <v>0</v>
      </c>
      <c r="N11741" t="n">
        <v>0</v>
      </c>
      <c r="O11741" t="n">
        <v>0</v>
      </c>
      <c r="P11741" t="n">
        <v>0</v>
      </c>
      <c r="Q11741" t="n">
        <v>0</v>
      </c>
      <c r="R11741" s="2" t="inlineStr"/>
    </row>
    <row r="11742" ht="15" customHeight="1">
      <c r="A11742" t="inlineStr">
        <is>
          <t>A 43118-2025</t>
        </is>
      </c>
      <c r="B11742" s="1" t="n">
        <v>45909.67068287037</v>
      </c>
      <c r="C11742" s="1" t="n">
        <v>45952</v>
      </c>
      <c r="D11742" t="inlineStr">
        <is>
          <t>VÄSTRA GÖTALANDS LÄN</t>
        </is>
      </c>
      <c r="E11742" t="inlineStr">
        <is>
          <t>SVENLJUNGA</t>
        </is>
      </c>
      <c r="G11742" t="n">
        <v>3.7</v>
      </c>
      <c r="H11742" t="n">
        <v>0</v>
      </c>
      <c r="I11742" t="n">
        <v>0</v>
      </c>
      <c r="J11742" t="n">
        <v>0</v>
      </c>
      <c r="K11742" t="n">
        <v>0</v>
      </c>
      <c r="L11742" t="n">
        <v>0</v>
      </c>
      <c r="M11742" t="n">
        <v>0</v>
      </c>
      <c r="N11742" t="n">
        <v>0</v>
      </c>
      <c r="O11742" t="n">
        <v>0</v>
      </c>
      <c r="P11742" t="n">
        <v>0</v>
      </c>
      <c r="Q11742" t="n">
        <v>0</v>
      </c>
      <c r="R11742" s="2" t="inlineStr"/>
    </row>
    <row r="11743" ht="15" customHeight="1">
      <c r="A11743" t="inlineStr">
        <is>
          <t>A 45999-2025</t>
        </is>
      </c>
      <c r="B11743" s="1" t="n">
        <v>45924</v>
      </c>
      <c r="C11743" s="1" t="n">
        <v>45952</v>
      </c>
      <c r="D11743" t="inlineStr">
        <is>
          <t>VÄSTRA GÖTALANDS LÄN</t>
        </is>
      </c>
      <c r="E11743" t="inlineStr">
        <is>
          <t>FALKÖPING</t>
        </is>
      </c>
      <c r="G11743" t="n">
        <v>10.3</v>
      </c>
      <c r="H11743" t="n">
        <v>0</v>
      </c>
      <c r="I11743" t="n">
        <v>0</v>
      </c>
      <c r="J11743" t="n">
        <v>0</v>
      </c>
      <c r="K11743" t="n">
        <v>0</v>
      </c>
      <c r="L11743" t="n">
        <v>0</v>
      </c>
      <c r="M11743" t="n">
        <v>0</v>
      </c>
      <c r="N11743" t="n">
        <v>0</v>
      </c>
      <c r="O11743" t="n">
        <v>0</v>
      </c>
      <c r="P11743" t="n">
        <v>0</v>
      </c>
      <c r="Q11743" t="n">
        <v>0</v>
      </c>
      <c r="R11743" s="2" t="inlineStr"/>
    </row>
    <row r="11744" ht="15" customHeight="1">
      <c r="A11744" t="inlineStr">
        <is>
          <t>A 13659-2025</t>
        </is>
      </c>
      <c r="B11744" s="1" t="n">
        <v>45736</v>
      </c>
      <c r="C11744" s="1" t="n">
        <v>45952</v>
      </c>
      <c r="D11744" t="inlineStr">
        <is>
          <t>VÄSTRA GÖTALANDS LÄN</t>
        </is>
      </c>
      <c r="E11744" t="inlineStr">
        <is>
          <t>MUNKEDAL</t>
        </is>
      </c>
      <c r="F11744" t="inlineStr">
        <is>
          <t>Övriga Aktiebolag</t>
        </is>
      </c>
      <c r="G11744" t="n">
        <v>1.3</v>
      </c>
      <c r="H11744" t="n">
        <v>0</v>
      </c>
      <c r="I11744" t="n">
        <v>0</v>
      </c>
      <c r="J11744" t="n">
        <v>0</v>
      </c>
      <c r="K11744" t="n">
        <v>0</v>
      </c>
      <c r="L11744" t="n">
        <v>0</v>
      </c>
      <c r="M11744" t="n">
        <v>0</v>
      </c>
      <c r="N11744" t="n">
        <v>0</v>
      </c>
      <c r="O11744" t="n">
        <v>0</v>
      </c>
      <c r="P11744" t="n">
        <v>0</v>
      </c>
      <c r="Q11744" t="n">
        <v>0</v>
      </c>
      <c r="R11744" s="2" t="inlineStr"/>
    </row>
    <row r="11745" ht="15" customHeight="1">
      <c r="A11745" t="inlineStr">
        <is>
          <t>A 25657-2021</t>
        </is>
      </c>
      <c r="B11745" s="1" t="n">
        <v>44343.55598379629</v>
      </c>
      <c r="C11745" s="1" t="n">
        <v>45952</v>
      </c>
      <c r="D11745" t="inlineStr">
        <is>
          <t>VÄSTRA GÖTALANDS LÄN</t>
        </is>
      </c>
      <c r="E11745" t="inlineStr">
        <is>
          <t>LYSEKIL</t>
        </is>
      </c>
      <c r="G11745" t="n">
        <v>9.800000000000001</v>
      </c>
      <c r="H11745" t="n">
        <v>0</v>
      </c>
      <c r="I11745" t="n">
        <v>0</v>
      </c>
      <c r="J11745" t="n">
        <v>0</v>
      </c>
      <c r="K11745" t="n">
        <v>0</v>
      </c>
      <c r="L11745" t="n">
        <v>0</v>
      </c>
      <c r="M11745" t="n">
        <v>0</v>
      </c>
      <c r="N11745" t="n">
        <v>0</v>
      </c>
      <c r="O11745" t="n">
        <v>0</v>
      </c>
      <c r="P11745" t="n">
        <v>0</v>
      </c>
      <c r="Q11745" t="n">
        <v>0</v>
      </c>
      <c r="R11745" s="2" t="inlineStr"/>
    </row>
    <row r="11746" ht="15" customHeight="1">
      <c r="A11746" t="inlineStr">
        <is>
          <t>A 13673-2025</t>
        </is>
      </c>
      <c r="B11746" s="1" t="n">
        <v>45736.8941087963</v>
      </c>
      <c r="C11746" s="1" t="n">
        <v>45952</v>
      </c>
      <c r="D11746" t="inlineStr">
        <is>
          <t>VÄSTRA GÖTALANDS LÄN</t>
        </is>
      </c>
      <c r="E11746" t="inlineStr">
        <is>
          <t>FÄRGELANDA</t>
        </is>
      </c>
      <c r="G11746" t="n">
        <v>0.4</v>
      </c>
      <c r="H11746" t="n">
        <v>0</v>
      </c>
      <c r="I11746" t="n">
        <v>0</v>
      </c>
      <c r="J11746" t="n">
        <v>0</v>
      </c>
      <c r="K11746" t="n">
        <v>0</v>
      </c>
      <c r="L11746" t="n">
        <v>0</v>
      </c>
      <c r="M11746" t="n">
        <v>0</v>
      </c>
      <c r="N11746" t="n">
        <v>0</v>
      </c>
      <c r="O11746" t="n">
        <v>0</v>
      </c>
      <c r="P11746" t="n">
        <v>0</v>
      </c>
      <c r="Q11746" t="n">
        <v>0</v>
      </c>
      <c r="R11746" s="2" t="inlineStr"/>
    </row>
    <row r="11747" ht="15" customHeight="1">
      <c r="A11747" t="inlineStr">
        <is>
          <t>A 51816-2025</t>
        </is>
      </c>
      <c r="B11747" s="1" t="n">
        <v>45951.85037037037</v>
      </c>
      <c r="C11747" s="1" t="n">
        <v>45952</v>
      </c>
      <c r="D11747" t="inlineStr">
        <is>
          <t>VÄSTRA GÖTALANDS LÄN</t>
        </is>
      </c>
      <c r="E11747" t="inlineStr">
        <is>
          <t>DALS-ED</t>
        </is>
      </c>
      <c r="G11747" t="n">
        <v>7.7</v>
      </c>
      <c r="H11747" t="n">
        <v>0</v>
      </c>
      <c r="I11747" t="n">
        <v>0</v>
      </c>
      <c r="J11747" t="n">
        <v>0</v>
      </c>
      <c r="K11747" t="n">
        <v>0</v>
      </c>
      <c r="L11747" t="n">
        <v>0</v>
      </c>
      <c r="M11747" t="n">
        <v>0</v>
      </c>
      <c r="N11747" t="n">
        <v>0</v>
      </c>
      <c r="O11747" t="n">
        <v>0</v>
      </c>
      <c r="P11747" t="n">
        <v>0</v>
      </c>
      <c r="Q11747" t="n">
        <v>0</v>
      </c>
      <c r="R11747" s="2" t="inlineStr"/>
    </row>
    <row r="11748" ht="15" customHeight="1">
      <c r="A11748" t="inlineStr">
        <is>
          <t>A 61237-2024</t>
        </is>
      </c>
      <c r="B11748" s="1" t="n">
        <v>45645.67826388889</v>
      </c>
      <c r="C11748" s="1" t="n">
        <v>45952</v>
      </c>
      <c r="D11748" t="inlineStr">
        <is>
          <t>VÄSTRA GÖTALANDS LÄN</t>
        </is>
      </c>
      <c r="E11748" t="inlineStr">
        <is>
          <t>BENGTSFORS</t>
        </is>
      </c>
      <c r="G11748" t="n">
        <v>1.4</v>
      </c>
      <c r="H11748" t="n">
        <v>0</v>
      </c>
      <c r="I11748" t="n">
        <v>0</v>
      </c>
      <c r="J11748" t="n">
        <v>0</v>
      </c>
      <c r="K11748" t="n">
        <v>0</v>
      </c>
      <c r="L11748" t="n">
        <v>0</v>
      </c>
      <c r="M11748" t="n">
        <v>0</v>
      </c>
      <c r="N11748" t="n">
        <v>0</v>
      </c>
      <c r="O11748" t="n">
        <v>0</v>
      </c>
      <c r="P11748" t="n">
        <v>0</v>
      </c>
      <c r="Q11748" t="n">
        <v>0</v>
      </c>
      <c r="R11748" s="2" t="inlineStr"/>
    </row>
    <row r="11749" ht="15" customHeight="1">
      <c r="A11749" t="inlineStr">
        <is>
          <t>A 61247-2024</t>
        </is>
      </c>
      <c r="B11749" s="1" t="n">
        <v>45645.69128472222</v>
      </c>
      <c r="C11749" s="1" t="n">
        <v>45952</v>
      </c>
      <c r="D11749" t="inlineStr">
        <is>
          <t>VÄSTRA GÖTALANDS LÄN</t>
        </is>
      </c>
      <c r="E11749" t="inlineStr">
        <is>
          <t>STRÖMSTAD</t>
        </is>
      </c>
      <c r="G11749" t="n">
        <v>1.9</v>
      </c>
      <c r="H11749" t="n">
        <v>0</v>
      </c>
      <c r="I11749" t="n">
        <v>0</v>
      </c>
      <c r="J11749" t="n">
        <v>0</v>
      </c>
      <c r="K11749" t="n">
        <v>0</v>
      </c>
      <c r="L11749" t="n">
        <v>0</v>
      </c>
      <c r="M11749" t="n">
        <v>0</v>
      </c>
      <c r="N11749" t="n">
        <v>0</v>
      </c>
      <c r="O11749" t="n">
        <v>0</v>
      </c>
      <c r="P11749" t="n">
        <v>0</v>
      </c>
      <c r="Q11749" t="n">
        <v>0</v>
      </c>
      <c r="R11749" s="2" t="inlineStr"/>
    </row>
    <row r="11750" ht="15" customHeight="1">
      <c r="A11750" t="inlineStr">
        <is>
          <t>A 13699-2025</t>
        </is>
      </c>
      <c r="B11750" s="1" t="n">
        <v>45737.32966435186</v>
      </c>
      <c r="C11750" s="1" t="n">
        <v>45952</v>
      </c>
      <c r="D11750" t="inlineStr">
        <is>
          <t>VÄSTRA GÖTALANDS LÄN</t>
        </is>
      </c>
      <c r="E11750" t="inlineStr">
        <is>
          <t>ALINGSÅS</t>
        </is>
      </c>
      <c r="G11750" t="n">
        <v>1.3</v>
      </c>
      <c r="H11750" t="n">
        <v>0</v>
      </c>
      <c r="I11750" t="n">
        <v>0</v>
      </c>
      <c r="J11750" t="n">
        <v>0</v>
      </c>
      <c r="K11750" t="n">
        <v>0</v>
      </c>
      <c r="L11750" t="n">
        <v>0</v>
      </c>
      <c r="M11750" t="n">
        <v>0</v>
      </c>
      <c r="N11750" t="n">
        <v>0</v>
      </c>
      <c r="O11750" t="n">
        <v>0</v>
      </c>
      <c r="P11750" t="n">
        <v>0</v>
      </c>
      <c r="Q11750" t="n">
        <v>0</v>
      </c>
      <c r="R11750" s="2" t="inlineStr"/>
    </row>
    <row r="11751" ht="15" customHeight="1">
      <c r="A11751" t="inlineStr">
        <is>
          <t>A 51818-2025</t>
        </is>
      </c>
      <c r="B11751" s="1" t="n">
        <v>45951.88065972222</v>
      </c>
      <c r="C11751" s="1" t="n">
        <v>45952</v>
      </c>
      <c r="D11751" t="inlineStr">
        <is>
          <t>VÄSTRA GÖTALANDS LÄN</t>
        </is>
      </c>
      <c r="E11751" t="inlineStr">
        <is>
          <t>DALS-ED</t>
        </is>
      </c>
      <c r="F11751" t="inlineStr">
        <is>
          <t>Kyrkan</t>
        </is>
      </c>
      <c r="G11751" t="n">
        <v>0.5</v>
      </c>
      <c r="H11751" t="n">
        <v>0</v>
      </c>
      <c r="I11751" t="n">
        <v>0</v>
      </c>
      <c r="J11751" t="n">
        <v>0</v>
      </c>
      <c r="K11751" t="n">
        <v>0</v>
      </c>
      <c r="L11751" t="n">
        <v>0</v>
      </c>
      <c r="M11751" t="n">
        <v>0</v>
      </c>
      <c r="N11751" t="n">
        <v>0</v>
      </c>
      <c r="O11751" t="n">
        <v>0</v>
      </c>
      <c r="P11751" t="n">
        <v>0</v>
      </c>
      <c r="Q11751" t="n">
        <v>0</v>
      </c>
      <c r="R11751" s="2" t="inlineStr"/>
    </row>
    <row r="11752" ht="15" customHeight="1">
      <c r="A11752" t="inlineStr">
        <is>
          <t>A 8047-2024</t>
        </is>
      </c>
      <c r="B11752" s="1" t="n">
        <v>45351.32293981482</v>
      </c>
      <c r="C11752" s="1" t="n">
        <v>45952</v>
      </c>
      <c r="D11752" t="inlineStr">
        <is>
          <t>VÄSTRA GÖTALANDS LÄN</t>
        </is>
      </c>
      <c r="E11752" t="inlineStr">
        <is>
          <t>STRÖMSTAD</t>
        </is>
      </c>
      <c r="G11752" t="n">
        <v>0.9</v>
      </c>
      <c r="H11752" t="n">
        <v>0</v>
      </c>
      <c r="I11752" t="n">
        <v>0</v>
      </c>
      <c r="J11752" t="n">
        <v>0</v>
      </c>
      <c r="K11752" t="n">
        <v>0</v>
      </c>
      <c r="L11752" t="n">
        <v>0</v>
      </c>
      <c r="M11752" t="n">
        <v>0</v>
      </c>
      <c r="N11752" t="n">
        <v>0</v>
      </c>
      <c r="O11752" t="n">
        <v>0</v>
      </c>
      <c r="P11752" t="n">
        <v>0</v>
      </c>
      <c r="Q11752" t="n">
        <v>0</v>
      </c>
      <c r="R11752" s="2" t="inlineStr"/>
    </row>
    <row r="11753" ht="15" customHeight="1">
      <c r="A11753" t="inlineStr">
        <is>
          <t>A 47332-2023</t>
        </is>
      </c>
      <c r="B11753" s="1" t="n">
        <v>45202.53005787037</v>
      </c>
      <c r="C11753" s="1" t="n">
        <v>45952</v>
      </c>
      <c r="D11753" t="inlineStr">
        <is>
          <t>VÄSTRA GÖTALANDS LÄN</t>
        </is>
      </c>
      <c r="E11753" t="inlineStr">
        <is>
          <t>VARA</t>
        </is>
      </c>
      <c r="G11753" t="n">
        <v>0.5</v>
      </c>
      <c r="H11753" t="n">
        <v>0</v>
      </c>
      <c r="I11753" t="n">
        <v>0</v>
      </c>
      <c r="J11753" t="n">
        <v>0</v>
      </c>
      <c r="K11753" t="n">
        <v>0</v>
      </c>
      <c r="L11753" t="n">
        <v>0</v>
      </c>
      <c r="M11753" t="n">
        <v>0</v>
      </c>
      <c r="N11753" t="n">
        <v>0</v>
      </c>
      <c r="O11753" t="n">
        <v>0</v>
      </c>
      <c r="P11753" t="n">
        <v>0</v>
      </c>
      <c r="Q11753" t="n">
        <v>0</v>
      </c>
      <c r="R11753" s="2" t="inlineStr"/>
    </row>
    <row r="11754" ht="15" customHeight="1">
      <c r="A11754" t="inlineStr">
        <is>
          <t>A 43096-2025</t>
        </is>
      </c>
      <c r="B11754" s="1" t="n">
        <v>45909.62775462963</v>
      </c>
      <c r="C11754" s="1" t="n">
        <v>45952</v>
      </c>
      <c r="D11754" t="inlineStr">
        <is>
          <t>VÄSTRA GÖTALANDS LÄN</t>
        </is>
      </c>
      <c r="E11754" t="inlineStr">
        <is>
          <t>MARIESTAD</t>
        </is>
      </c>
      <c r="G11754" t="n">
        <v>2.1</v>
      </c>
      <c r="H11754" t="n">
        <v>0</v>
      </c>
      <c r="I11754" t="n">
        <v>0</v>
      </c>
      <c r="J11754" t="n">
        <v>0</v>
      </c>
      <c r="K11754" t="n">
        <v>0</v>
      </c>
      <c r="L11754" t="n">
        <v>0</v>
      </c>
      <c r="M11754" t="n">
        <v>0</v>
      </c>
      <c r="N11754" t="n">
        <v>0</v>
      </c>
      <c r="O11754" t="n">
        <v>0</v>
      </c>
      <c r="P11754" t="n">
        <v>0</v>
      </c>
      <c r="Q11754" t="n">
        <v>0</v>
      </c>
      <c r="R11754" s="2" t="inlineStr"/>
    </row>
    <row r="11755" ht="15" customHeight="1">
      <c r="A11755" t="inlineStr">
        <is>
          <t>A 42831-2025</t>
        </is>
      </c>
      <c r="B11755" s="1" t="n">
        <v>45908.5778587963</v>
      </c>
      <c r="C11755" s="1" t="n">
        <v>45952</v>
      </c>
      <c r="D11755" t="inlineStr">
        <is>
          <t>VÄSTRA GÖTALANDS LÄN</t>
        </is>
      </c>
      <c r="E11755" t="inlineStr">
        <is>
          <t>MUNKEDAL</t>
        </is>
      </c>
      <c r="G11755" t="n">
        <v>2.4</v>
      </c>
      <c r="H11755" t="n">
        <v>0</v>
      </c>
      <c r="I11755" t="n">
        <v>0</v>
      </c>
      <c r="J11755" t="n">
        <v>0</v>
      </c>
      <c r="K11755" t="n">
        <v>0</v>
      </c>
      <c r="L11755" t="n">
        <v>0</v>
      </c>
      <c r="M11755" t="n">
        <v>0</v>
      </c>
      <c r="N11755" t="n">
        <v>0</v>
      </c>
      <c r="O11755" t="n">
        <v>0</v>
      </c>
      <c r="P11755" t="n">
        <v>0</v>
      </c>
      <c r="Q11755" t="n">
        <v>0</v>
      </c>
      <c r="R11755" s="2" t="inlineStr"/>
    </row>
    <row r="11756" ht="15" customHeight="1">
      <c r="A11756" t="inlineStr">
        <is>
          <t>A 42837-2025</t>
        </is>
      </c>
      <c r="B11756" s="1" t="n">
        <v>45908.58097222223</v>
      </c>
      <c r="C11756" s="1" t="n">
        <v>45952</v>
      </c>
      <c r="D11756" t="inlineStr">
        <is>
          <t>VÄSTRA GÖTALANDS LÄN</t>
        </is>
      </c>
      <c r="E11756" t="inlineStr">
        <is>
          <t>SKÖVDE</t>
        </is>
      </c>
      <c r="G11756" t="n">
        <v>4.8</v>
      </c>
      <c r="H11756" t="n">
        <v>0</v>
      </c>
      <c r="I11756" t="n">
        <v>0</v>
      </c>
      <c r="J11756" t="n">
        <v>0</v>
      </c>
      <c r="K11756" t="n">
        <v>0</v>
      </c>
      <c r="L11756" t="n">
        <v>0</v>
      </c>
      <c r="M11756" t="n">
        <v>0</v>
      </c>
      <c r="N11756" t="n">
        <v>0</v>
      </c>
      <c r="O11756" t="n">
        <v>0</v>
      </c>
      <c r="P11756" t="n">
        <v>0</v>
      </c>
      <c r="Q11756" t="n">
        <v>0</v>
      </c>
      <c r="R11756" s="2" t="inlineStr"/>
    </row>
    <row r="11757" ht="15" customHeight="1">
      <c r="A11757" t="inlineStr">
        <is>
          <t>A 42842-2025</t>
        </is>
      </c>
      <c r="B11757" s="1" t="n">
        <v>45908.58668981482</v>
      </c>
      <c r="C11757" s="1" t="n">
        <v>45952</v>
      </c>
      <c r="D11757" t="inlineStr">
        <is>
          <t>VÄSTRA GÖTALANDS LÄN</t>
        </is>
      </c>
      <c r="E11757" t="inlineStr">
        <is>
          <t>TANUM</t>
        </is>
      </c>
      <c r="G11757" t="n">
        <v>2.6</v>
      </c>
      <c r="H11757" t="n">
        <v>0</v>
      </c>
      <c r="I11757" t="n">
        <v>0</v>
      </c>
      <c r="J11757" t="n">
        <v>0</v>
      </c>
      <c r="K11757" t="n">
        <v>0</v>
      </c>
      <c r="L11757" t="n">
        <v>0</v>
      </c>
      <c r="M11757" t="n">
        <v>0</v>
      </c>
      <c r="N11757" t="n">
        <v>0</v>
      </c>
      <c r="O11757" t="n">
        <v>0</v>
      </c>
      <c r="P11757" t="n">
        <v>0</v>
      </c>
      <c r="Q11757" t="n">
        <v>0</v>
      </c>
      <c r="R11757" s="2" t="inlineStr"/>
    </row>
    <row r="11758" ht="15" customHeight="1">
      <c r="A11758" t="inlineStr">
        <is>
          <t>A 42723-2025</t>
        </is>
      </c>
      <c r="B11758" s="1" t="n">
        <v>45908.40037037037</v>
      </c>
      <c r="C11758" s="1" t="n">
        <v>45952</v>
      </c>
      <c r="D11758" t="inlineStr">
        <is>
          <t>VÄSTRA GÖTALANDS LÄN</t>
        </is>
      </c>
      <c r="E11758" t="inlineStr">
        <is>
          <t>MELLERUD</t>
        </is>
      </c>
      <c r="G11758" t="n">
        <v>2.4</v>
      </c>
      <c r="H11758" t="n">
        <v>0</v>
      </c>
      <c r="I11758" t="n">
        <v>0</v>
      </c>
      <c r="J11758" t="n">
        <v>0</v>
      </c>
      <c r="K11758" t="n">
        <v>0</v>
      </c>
      <c r="L11758" t="n">
        <v>0</v>
      </c>
      <c r="M11758" t="n">
        <v>0</v>
      </c>
      <c r="N11758" t="n">
        <v>0</v>
      </c>
      <c r="O11758" t="n">
        <v>0</v>
      </c>
      <c r="P11758" t="n">
        <v>0</v>
      </c>
      <c r="Q11758" t="n">
        <v>0</v>
      </c>
      <c r="R11758" s="2" t="inlineStr"/>
    </row>
    <row r="11759" ht="15" customHeight="1">
      <c r="A11759" t="inlineStr">
        <is>
          <t>A 42736-2025</t>
        </is>
      </c>
      <c r="B11759" s="1" t="n">
        <v>45908</v>
      </c>
      <c r="C11759" s="1" t="n">
        <v>45952</v>
      </c>
      <c r="D11759" t="inlineStr">
        <is>
          <t>VÄSTRA GÖTALANDS LÄN</t>
        </is>
      </c>
      <c r="E11759" t="inlineStr">
        <is>
          <t>STRÖMSTAD</t>
        </is>
      </c>
      <c r="G11759" t="n">
        <v>1.5</v>
      </c>
      <c r="H11759" t="n">
        <v>0</v>
      </c>
      <c r="I11759" t="n">
        <v>0</v>
      </c>
      <c r="J11759" t="n">
        <v>0</v>
      </c>
      <c r="K11759" t="n">
        <v>0</v>
      </c>
      <c r="L11759" t="n">
        <v>0</v>
      </c>
      <c r="M11759" t="n">
        <v>0</v>
      </c>
      <c r="N11759" t="n">
        <v>0</v>
      </c>
      <c r="O11759" t="n">
        <v>0</v>
      </c>
      <c r="P11759" t="n">
        <v>0</v>
      </c>
      <c r="Q11759" t="n">
        <v>0</v>
      </c>
      <c r="R11759" s="2" t="inlineStr"/>
    </row>
    <row r="11760" ht="15" customHeight="1">
      <c r="A11760" t="inlineStr">
        <is>
          <t>A 51427-2025</t>
        </is>
      </c>
      <c r="B11760" s="1" t="n">
        <v>45949</v>
      </c>
      <c r="C11760" s="1" t="n">
        <v>45952</v>
      </c>
      <c r="D11760" t="inlineStr">
        <is>
          <t>VÄSTRA GÖTALANDS LÄN</t>
        </is>
      </c>
      <c r="E11760" t="inlineStr">
        <is>
          <t>STRÖMSTAD</t>
        </is>
      </c>
      <c r="G11760" t="n">
        <v>1.6</v>
      </c>
      <c r="H11760" t="n">
        <v>0</v>
      </c>
      <c r="I11760" t="n">
        <v>0</v>
      </c>
      <c r="J11760" t="n">
        <v>0</v>
      </c>
      <c r="K11760" t="n">
        <v>0</v>
      </c>
      <c r="L11760" t="n">
        <v>0</v>
      </c>
      <c r="M11760" t="n">
        <v>0</v>
      </c>
      <c r="N11760" t="n">
        <v>0</v>
      </c>
      <c r="O11760" t="n">
        <v>0</v>
      </c>
      <c r="P11760" t="n">
        <v>0</v>
      </c>
      <c r="Q11760" t="n">
        <v>0</v>
      </c>
      <c r="R11760" s="2" t="inlineStr"/>
    </row>
    <row r="11761" ht="15" customHeight="1">
      <c r="A11761" t="inlineStr">
        <is>
          <t>A 51501-2025</t>
        </is>
      </c>
      <c r="B11761" s="1" t="n">
        <v>45950.63748842593</v>
      </c>
      <c r="C11761" s="1" t="n">
        <v>45952</v>
      </c>
      <c r="D11761" t="inlineStr">
        <is>
          <t>VÄSTRA GÖTALANDS LÄN</t>
        </is>
      </c>
      <c r="E11761" t="inlineStr">
        <is>
          <t>HÄRRYDA</t>
        </is>
      </c>
      <c r="G11761" t="n">
        <v>6.1</v>
      </c>
      <c r="H11761" t="n">
        <v>0</v>
      </c>
      <c r="I11761" t="n">
        <v>0</v>
      </c>
      <c r="J11761" t="n">
        <v>0</v>
      </c>
      <c r="K11761" t="n">
        <v>0</v>
      </c>
      <c r="L11761" t="n">
        <v>0</v>
      </c>
      <c r="M11761" t="n">
        <v>0</v>
      </c>
      <c r="N11761" t="n">
        <v>0</v>
      </c>
      <c r="O11761" t="n">
        <v>0</v>
      </c>
      <c r="P11761" t="n">
        <v>0</v>
      </c>
      <c r="Q11761" t="n">
        <v>0</v>
      </c>
      <c r="R11761" s="2" t="inlineStr"/>
    </row>
    <row r="11762" ht="15" customHeight="1">
      <c r="A11762" t="inlineStr">
        <is>
          <t>A 15567-2022</t>
        </is>
      </c>
      <c r="B11762" s="1" t="n">
        <v>44662</v>
      </c>
      <c r="C11762" s="1" t="n">
        <v>45952</v>
      </c>
      <c r="D11762" t="inlineStr">
        <is>
          <t>VÄSTRA GÖTALANDS LÄN</t>
        </is>
      </c>
      <c r="E11762" t="inlineStr">
        <is>
          <t>LILLA EDET</t>
        </is>
      </c>
      <c r="G11762" t="n">
        <v>1.6</v>
      </c>
      <c r="H11762" t="n">
        <v>0</v>
      </c>
      <c r="I11762" t="n">
        <v>0</v>
      </c>
      <c r="J11762" t="n">
        <v>0</v>
      </c>
      <c r="K11762" t="n">
        <v>0</v>
      </c>
      <c r="L11762" t="n">
        <v>0</v>
      </c>
      <c r="M11762" t="n">
        <v>0</v>
      </c>
      <c r="N11762" t="n">
        <v>0</v>
      </c>
      <c r="O11762" t="n">
        <v>0</v>
      </c>
      <c r="P11762" t="n">
        <v>0</v>
      </c>
      <c r="Q11762" t="n">
        <v>0</v>
      </c>
      <c r="R11762" s="2" t="inlineStr"/>
    </row>
    <row r="11763" ht="15" customHeight="1">
      <c r="A11763" t="inlineStr">
        <is>
          <t>A 1875-2022</t>
        </is>
      </c>
      <c r="B11763" s="1" t="n">
        <v>44574</v>
      </c>
      <c r="C11763" s="1" t="n">
        <v>45952</v>
      </c>
      <c r="D11763" t="inlineStr">
        <is>
          <t>VÄSTRA GÖTALANDS LÄN</t>
        </is>
      </c>
      <c r="E11763" t="inlineStr">
        <is>
          <t>HERRLJUNGA</t>
        </is>
      </c>
      <c r="G11763" t="n">
        <v>11.4</v>
      </c>
      <c r="H11763" t="n">
        <v>0</v>
      </c>
      <c r="I11763" t="n">
        <v>0</v>
      </c>
      <c r="J11763" t="n">
        <v>0</v>
      </c>
      <c r="K11763" t="n">
        <v>0</v>
      </c>
      <c r="L11763" t="n">
        <v>0</v>
      </c>
      <c r="M11763" t="n">
        <v>0</v>
      </c>
      <c r="N11763" t="n">
        <v>0</v>
      </c>
      <c r="O11763" t="n">
        <v>0</v>
      </c>
      <c r="P11763" t="n">
        <v>0</v>
      </c>
      <c r="Q11763" t="n">
        <v>0</v>
      </c>
      <c r="R11763" s="2" t="inlineStr"/>
    </row>
    <row r="11764" ht="15" customHeight="1">
      <c r="A11764" t="inlineStr">
        <is>
          <t>A 28703-2025</t>
        </is>
      </c>
      <c r="B11764" s="1" t="n">
        <v>45820.23819444444</v>
      </c>
      <c r="C11764" s="1" t="n">
        <v>45952</v>
      </c>
      <c r="D11764" t="inlineStr">
        <is>
          <t>VÄSTRA GÖTALANDS LÄN</t>
        </is>
      </c>
      <c r="E11764" t="inlineStr">
        <is>
          <t>TIBRO</t>
        </is>
      </c>
      <c r="G11764" t="n">
        <v>7.8</v>
      </c>
      <c r="H11764" t="n">
        <v>0</v>
      </c>
      <c r="I11764" t="n">
        <v>0</v>
      </c>
      <c r="J11764" t="n">
        <v>0</v>
      </c>
      <c r="K11764" t="n">
        <v>0</v>
      </c>
      <c r="L11764" t="n">
        <v>0</v>
      </c>
      <c r="M11764" t="n">
        <v>0</v>
      </c>
      <c r="N11764" t="n">
        <v>0</v>
      </c>
      <c r="O11764" t="n">
        <v>0</v>
      </c>
      <c r="P11764" t="n">
        <v>0</v>
      </c>
      <c r="Q11764" t="n">
        <v>0</v>
      </c>
      <c r="R11764" s="2" t="inlineStr"/>
    </row>
    <row r="11765" ht="15" customHeight="1">
      <c r="A11765" t="inlineStr">
        <is>
          <t>A 1922-2024</t>
        </is>
      </c>
      <c r="B11765" s="1" t="n">
        <v>45308.43416666667</v>
      </c>
      <c r="C11765" s="1" t="n">
        <v>45952</v>
      </c>
      <c r="D11765" t="inlineStr">
        <is>
          <t>VÄSTRA GÖTALANDS LÄN</t>
        </is>
      </c>
      <c r="E11765" t="inlineStr">
        <is>
          <t>BOLLEBYGD</t>
        </is>
      </c>
      <c r="G11765" t="n">
        <v>1</v>
      </c>
      <c r="H11765" t="n">
        <v>0</v>
      </c>
      <c r="I11765" t="n">
        <v>0</v>
      </c>
      <c r="J11765" t="n">
        <v>0</v>
      </c>
      <c r="K11765" t="n">
        <v>0</v>
      </c>
      <c r="L11765" t="n">
        <v>0</v>
      </c>
      <c r="M11765" t="n">
        <v>0</v>
      </c>
      <c r="N11765" t="n">
        <v>0</v>
      </c>
      <c r="O11765" t="n">
        <v>0</v>
      </c>
      <c r="P11765" t="n">
        <v>0</v>
      </c>
      <c r="Q11765" t="n">
        <v>0</v>
      </c>
      <c r="R11765" s="2" t="inlineStr"/>
    </row>
    <row r="11766" ht="15" customHeight="1">
      <c r="A11766" t="inlineStr">
        <is>
          <t>A 43086-2025</t>
        </is>
      </c>
      <c r="B11766" s="1" t="n">
        <v>45909.61884259259</v>
      </c>
      <c r="C11766" s="1" t="n">
        <v>45952</v>
      </c>
      <c r="D11766" t="inlineStr">
        <is>
          <t>VÄSTRA GÖTALANDS LÄN</t>
        </is>
      </c>
      <c r="E11766" t="inlineStr">
        <is>
          <t>DALS-ED</t>
        </is>
      </c>
      <c r="G11766" t="n">
        <v>0.1</v>
      </c>
      <c r="H11766" t="n">
        <v>0</v>
      </c>
      <c r="I11766" t="n">
        <v>0</v>
      </c>
      <c r="J11766" t="n">
        <v>0</v>
      </c>
      <c r="K11766" t="n">
        <v>0</v>
      </c>
      <c r="L11766" t="n">
        <v>0</v>
      </c>
      <c r="M11766" t="n">
        <v>0</v>
      </c>
      <c r="N11766" t="n">
        <v>0</v>
      </c>
      <c r="O11766" t="n">
        <v>0</v>
      </c>
      <c r="P11766" t="n">
        <v>0</v>
      </c>
      <c r="Q11766" t="n">
        <v>0</v>
      </c>
      <c r="R11766" s="2" t="inlineStr"/>
    </row>
    <row r="11767" ht="15" customHeight="1">
      <c r="A11767" t="inlineStr">
        <is>
          <t>A 28781-2025</t>
        </is>
      </c>
      <c r="B11767" s="1" t="n">
        <v>45820.45300925926</v>
      </c>
      <c r="C11767" s="1" t="n">
        <v>45952</v>
      </c>
      <c r="D11767" t="inlineStr">
        <is>
          <t>VÄSTRA GÖTALANDS LÄN</t>
        </is>
      </c>
      <c r="E11767" t="inlineStr">
        <is>
          <t>VARA</t>
        </is>
      </c>
      <c r="F11767" t="inlineStr">
        <is>
          <t>Sveaskog</t>
        </is>
      </c>
      <c r="G11767" t="n">
        <v>2.8</v>
      </c>
      <c r="H11767" t="n">
        <v>0</v>
      </c>
      <c r="I11767" t="n">
        <v>0</v>
      </c>
      <c r="J11767" t="n">
        <v>0</v>
      </c>
      <c r="K11767" t="n">
        <v>0</v>
      </c>
      <c r="L11767" t="n">
        <v>0</v>
      </c>
      <c r="M11767" t="n">
        <v>0</v>
      </c>
      <c r="N11767" t="n">
        <v>0</v>
      </c>
      <c r="O11767" t="n">
        <v>0</v>
      </c>
      <c r="P11767" t="n">
        <v>0</v>
      </c>
      <c r="Q11767" t="n">
        <v>0</v>
      </c>
      <c r="R11767" s="2" t="inlineStr"/>
    </row>
    <row r="11768" ht="15" customHeight="1">
      <c r="A11768" t="inlineStr">
        <is>
          <t>A 21630-2024</t>
        </is>
      </c>
      <c r="B11768" s="1" t="n">
        <v>45442.32711805555</v>
      </c>
      <c r="C11768" s="1" t="n">
        <v>45952</v>
      </c>
      <c r="D11768" t="inlineStr">
        <is>
          <t>VÄSTRA GÖTALANDS LÄN</t>
        </is>
      </c>
      <c r="E11768" t="inlineStr">
        <is>
          <t>LILLA EDET</t>
        </is>
      </c>
      <c r="G11768" t="n">
        <v>4.6</v>
      </c>
      <c r="H11768" t="n">
        <v>0</v>
      </c>
      <c r="I11768" t="n">
        <v>0</v>
      </c>
      <c r="J11768" t="n">
        <v>0</v>
      </c>
      <c r="K11768" t="n">
        <v>0</v>
      </c>
      <c r="L11768" t="n">
        <v>0</v>
      </c>
      <c r="M11768" t="n">
        <v>0</v>
      </c>
      <c r="N11768" t="n">
        <v>0</v>
      </c>
      <c r="O11768" t="n">
        <v>0</v>
      </c>
      <c r="P11768" t="n">
        <v>0</v>
      </c>
      <c r="Q11768" t="n">
        <v>0</v>
      </c>
      <c r="R11768" s="2" t="inlineStr"/>
    </row>
    <row r="11769" ht="15" customHeight="1">
      <c r="A11769" t="inlineStr">
        <is>
          <t>A 28863-2025</t>
        </is>
      </c>
      <c r="B11769" s="1" t="n">
        <v>45820</v>
      </c>
      <c r="C11769" s="1" t="n">
        <v>45952</v>
      </c>
      <c r="D11769" t="inlineStr">
        <is>
          <t>VÄSTRA GÖTALANDS LÄN</t>
        </is>
      </c>
      <c r="E11769" t="inlineStr">
        <is>
          <t>MELLERUD</t>
        </is>
      </c>
      <c r="G11769" t="n">
        <v>1.9</v>
      </c>
      <c r="H11769" t="n">
        <v>0</v>
      </c>
      <c r="I11769" t="n">
        <v>0</v>
      </c>
      <c r="J11769" t="n">
        <v>0</v>
      </c>
      <c r="K11769" t="n">
        <v>0</v>
      </c>
      <c r="L11769" t="n">
        <v>0</v>
      </c>
      <c r="M11769" t="n">
        <v>0</v>
      </c>
      <c r="N11769" t="n">
        <v>0</v>
      </c>
      <c r="O11769" t="n">
        <v>0</v>
      </c>
      <c r="P11769" t="n">
        <v>0</v>
      </c>
      <c r="Q11769" t="n">
        <v>0</v>
      </c>
      <c r="R11769" s="2" t="inlineStr"/>
    </row>
    <row r="11770" ht="15" customHeight="1">
      <c r="A11770" t="inlineStr">
        <is>
          <t>A 28899-2025</t>
        </is>
      </c>
      <c r="B11770" s="1" t="n">
        <v>45820.63811342593</v>
      </c>
      <c r="C11770" s="1" t="n">
        <v>45952</v>
      </c>
      <c r="D11770" t="inlineStr">
        <is>
          <t>VÄSTRA GÖTALANDS LÄN</t>
        </is>
      </c>
      <c r="E11770" t="inlineStr">
        <is>
          <t>MARIESTAD</t>
        </is>
      </c>
      <c r="G11770" t="n">
        <v>4.3</v>
      </c>
      <c r="H11770" t="n">
        <v>0</v>
      </c>
      <c r="I11770" t="n">
        <v>0</v>
      </c>
      <c r="J11770" t="n">
        <v>0</v>
      </c>
      <c r="K11770" t="n">
        <v>0</v>
      </c>
      <c r="L11770" t="n">
        <v>0</v>
      </c>
      <c r="M11770" t="n">
        <v>0</v>
      </c>
      <c r="N11770" t="n">
        <v>0</v>
      </c>
      <c r="O11770" t="n">
        <v>0</v>
      </c>
      <c r="P11770" t="n">
        <v>0</v>
      </c>
      <c r="Q11770" t="n">
        <v>0</v>
      </c>
      <c r="R11770" s="2" t="inlineStr"/>
    </row>
    <row r="11771" ht="15" customHeight="1">
      <c r="A11771" t="inlineStr">
        <is>
          <t>A 28902-2025</t>
        </is>
      </c>
      <c r="B11771" s="1" t="n">
        <v>45820.64241898148</v>
      </c>
      <c r="C11771" s="1" t="n">
        <v>45952</v>
      </c>
      <c r="D11771" t="inlineStr">
        <is>
          <t>VÄSTRA GÖTALANDS LÄN</t>
        </is>
      </c>
      <c r="E11771" t="inlineStr">
        <is>
          <t>MARIESTAD</t>
        </is>
      </c>
      <c r="G11771" t="n">
        <v>2.7</v>
      </c>
      <c r="H11771" t="n">
        <v>0</v>
      </c>
      <c r="I11771" t="n">
        <v>0</v>
      </c>
      <c r="J11771" t="n">
        <v>0</v>
      </c>
      <c r="K11771" t="n">
        <v>0</v>
      </c>
      <c r="L11771" t="n">
        <v>0</v>
      </c>
      <c r="M11771" t="n">
        <v>0</v>
      </c>
      <c r="N11771" t="n">
        <v>0</v>
      </c>
      <c r="O11771" t="n">
        <v>0</v>
      </c>
      <c r="P11771" t="n">
        <v>0</v>
      </c>
      <c r="Q11771" t="n">
        <v>0</v>
      </c>
      <c r="R11771" s="2" t="inlineStr"/>
    </row>
    <row r="11772" ht="15" customHeight="1">
      <c r="A11772" t="inlineStr">
        <is>
          <t>A 29012-2025</t>
        </is>
      </c>
      <c r="B11772" s="1" t="n">
        <v>45821.40665509259</v>
      </c>
      <c r="C11772" s="1" t="n">
        <v>45952</v>
      </c>
      <c r="D11772" t="inlineStr">
        <is>
          <t>VÄSTRA GÖTALANDS LÄN</t>
        </is>
      </c>
      <c r="E11772" t="inlineStr">
        <is>
          <t>SKÖVDE</t>
        </is>
      </c>
      <c r="G11772" t="n">
        <v>4.5</v>
      </c>
      <c r="H11772" t="n">
        <v>0</v>
      </c>
      <c r="I11772" t="n">
        <v>0</v>
      </c>
      <c r="J11772" t="n">
        <v>0</v>
      </c>
      <c r="K11772" t="n">
        <v>0</v>
      </c>
      <c r="L11772" t="n">
        <v>0</v>
      </c>
      <c r="M11772" t="n">
        <v>0</v>
      </c>
      <c r="N11772" t="n">
        <v>0</v>
      </c>
      <c r="O11772" t="n">
        <v>0</v>
      </c>
      <c r="P11772" t="n">
        <v>0</v>
      </c>
      <c r="Q11772" t="n">
        <v>0</v>
      </c>
      <c r="R11772" s="2" t="inlineStr"/>
    </row>
    <row r="11773" ht="15" customHeight="1">
      <c r="A11773" t="inlineStr">
        <is>
          <t>A 31833-2024</t>
        </is>
      </c>
      <c r="B11773" s="1" t="n">
        <v>45509.64240740741</v>
      </c>
      <c r="C11773" s="1" t="n">
        <v>45952</v>
      </c>
      <c r="D11773" t="inlineStr">
        <is>
          <t>VÄSTRA GÖTALANDS LÄN</t>
        </is>
      </c>
      <c r="E11773" t="inlineStr">
        <is>
          <t>GULLSPÅNG</t>
        </is>
      </c>
      <c r="G11773" t="n">
        <v>0.7</v>
      </c>
      <c r="H11773" t="n">
        <v>0</v>
      </c>
      <c r="I11773" t="n">
        <v>0</v>
      </c>
      <c r="J11773" t="n">
        <v>0</v>
      </c>
      <c r="K11773" t="n">
        <v>0</v>
      </c>
      <c r="L11773" t="n">
        <v>0</v>
      </c>
      <c r="M11773" t="n">
        <v>0</v>
      </c>
      <c r="N11773" t="n">
        <v>0</v>
      </c>
      <c r="O11773" t="n">
        <v>0</v>
      </c>
      <c r="P11773" t="n">
        <v>0</v>
      </c>
      <c r="Q11773" t="n">
        <v>0</v>
      </c>
      <c r="R11773" s="2" t="inlineStr"/>
    </row>
    <row r="11774" ht="15" customHeight="1">
      <c r="A11774" t="inlineStr">
        <is>
          <t>A 43006-2025</t>
        </is>
      </c>
      <c r="B11774" s="1" t="n">
        <v>45909.48016203703</v>
      </c>
      <c r="C11774" s="1" t="n">
        <v>45952</v>
      </c>
      <c r="D11774" t="inlineStr">
        <is>
          <t>VÄSTRA GÖTALANDS LÄN</t>
        </is>
      </c>
      <c r="E11774" t="inlineStr">
        <is>
          <t>ULRICEHAMN</t>
        </is>
      </c>
      <c r="G11774" t="n">
        <v>2.5</v>
      </c>
      <c r="H11774" t="n">
        <v>0</v>
      </c>
      <c r="I11774" t="n">
        <v>0</v>
      </c>
      <c r="J11774" t="n">
        <v>0</v>
      </c>
      <c r="K11774" t="n">
        <v>0</v>
      </c>
      <c r="L11774" t="n">
        <v>0</v>
      </c>
      <c r="M11774" t="n">
        <v>0</v>
      </c>
      <c r="N11774" t="n">
        <v>0</v>
      </c>
      <c r="O11774" t="n">
        <v>0</v>
      </c>
      <c r="P11774" t="n">
        <v>0</v>
      </c>
      <c r="Q11774" t="n">
        <v>0</v>
      </c>
      <c r="R11774" s="2" t="inlineStr"/>
    </row>
    <row r="11775" ht="15" customHeight="1">
      <c r="A11775" t="inlineStr">
        <is>
          <t>A 29064-2025</t>
        </is>
      </c>
      <c r="B11775" s="1" t="n">
        <v>45821</v>
      </c>
      <c r="C11775" s="1" t="n">
        <v>45952</v>
      </c>
      <c r="D11775" t="inlineStr">
        <is>
          <t>VÄSTRA GÖTALANDS LÄN</t>
        </is>
      </c>
      <c r="E11775" t="inlineStr">
        <is>
          <t>HJO</t>
        </is>
      </c>
      <c r="G11775" t="n">
        <v>2.3</v>
      </c>
      <c r="H11775" t="n">
        <v>0</v>
      </c>
      <c r="I11775" t="n">
        <v>0</v>
      </c>
      <c r="J11775" t="n">
        <v>0</v>
      </c>
      <c r="K11775" t="n">
        <v>0</v>
      </c>
      <c r="L11775" t="n">
        <v>0</v>
      </c>
      <c r="M11775" t="n">
        <v>0</v>
      </c>
      <c r="N11775" t="n">
        <v>0</v>
      </c>
      <c r="O11775" t="n">
        <v>0</v>
      </c>
      <c r="P11775" t="n">
        <v>0</v>
      </c>
      <c r="Q11775" t="n">
        <v>0</v>
      </c>
      <c r="R11775" s="2" t="inlineStr"/>
    </row>
    <row r="11776" ht="15" customHeight="1">
      <c r="A11776" t="inlineStr">
        <is>
          <t>A 43009-2025</t>
        </is>
      </c>
      <c r="B11776" s="1" t="n">
        <v>45909.4825</v>
      </c>
      <c r="C11776" s="1" t="n">
        <v>45952</v>
      </c>
      <c r="D11776" t="inlineStr">
        <is>
          <t>VÄSTRA GÖTALANDS LÄN</t>
        </is>
      </c>
      <c r="E11776" t="inlineStr">
        <is>
          <t>ULRICEHAMN</t>
        </is>
      </c>
      <c r="G11776" t="n">
        <v>2</v>
      </c>
      <c r="H11776" t="n">
        <v>0</v>
      </c>
      <c r="I11776" t="n">
        <v>0</v>
      </c>
      <c r="J11776" t="n">
        <v>0</v>
      </c>
      <c r="K11776" t="n">
        <v>0</v>
      </c>
      <c r="L11776" t="n">
        <v>0</v>
      </c>
      <c r="M11776" t="n">
        <v>0</v>
      </c>
      <c r="N11776" t="n">
        <v>0</v>
      </c>
      <c r="O11776" t="n">
        <v>0</v>
      </c>
      <c r="P11776" t="n">
        <v>0</v>
      </c>
      <c r="Q11776" t="n">
        <v>0</v>
      </c>
      <c r="R11776" s="2" t="inlineStr"/>
    </row>
    <row r="11777" ht="15" customHeight="1">
      <c r="A11777" t="inlineStr">
        <is>
          <t>A 62381-2023</t>
        </is>
      </c>
      <c r="B11777" s="1" t="n">
        <v>45266</v>
      </c>
      <c r="C11777" s="1" t="n">
        <v>45952</v>
      </c>
      <c r="D11777" t="inlineStr">
        <is>
          <t>VÄSTRA GÖTALANDS LÄN</t>
        </is>
      </c>
      <c r="E11777" t="inlineStr">
        <is>
          <t>TROLLHÄTTAN</t>
        </is>
      </c>
      <c r="F11777" t="inlineStr">
        <is>
          <t>Kyrkan</t>
        </is>
      </c>
      <c r="G11777" t="n">
        <v>2.8</v>
      </c>
      <c r="H11777" t="n">
        <v>0</v>
      </c>
      <c r="I11777" t="n">
        <v>0</v>
      </c>
      <c r="J11777" t="n">
        <v>0</v>
      </c>
      <c r="K11777" t="n">
        <v>0</v>
      </c>
      <c r="L11777" t="n">
        <v>0</v>
      </c>
      <c r="M11777" t="n">
        <v>0</v>
      </c>
      <c r="N11777" t="n">
        <v>0</v>
      </c>
      <c r="O11777" t="n">
        <v>0</v>
      </c>
      <c r="P11777" t="n">
        <v>0</v>
      </c>
      <c r="Q11777" t="n">
        <v>0</v>
      </c>
      <c r="R11777" s="2" t="inlineStr"/>
    </row>
    <row r="11778" ht="15" customHeight="1">
      <c r="A11778" t="inlineStr">
        <is>
          <t>A 28960-2025</t>
        </is>
      </c>
      <c r="B11778" s="1" t="n">
        <v>45821.31986111111</v>
      </c>
      <c r="C11778" s="1" t="n">
        <v>45952</v>
      </c>
      <c r="D11778" t="inlineStr">
        <is>
          <t>VÄSTRA GÖTALANDS LÄN</t>
        </is>
      </c>
      <c r="E11778" t="inlineStr">
        <is>
          <t>VÄNERSBORG</t>
        </is>
      </c>
      <c r="G11778" t="n">
        <v>2</v>
      </c>
      <c r="H11778" t="n">
        <v>0</v>
      </c>
      <c r="I11778" t="n">
        <v>0</v>
      </c>
      <c r="J11778" t="n">
        <v>0</v>
      </c>
      <c r="K11778" t="n">
        <v>0</v>
      </c>
      <c r="L11778" t="n">
        <v>0</v>
      </c>
      <c r="M11778" t="n">
        <v>0</v>
      </c>
      <c r="N11778" t="n">
        <v>0</v>
      </c>
      <c r="O11778" t="n">
        <v>0</v>
      </c>
      <c r="P11778" t="n">
        <v>0</v>
      </c>
      <c r="Q11778" t="n">
        <v>0</v>
      </c>
      <c r="R11778" s="2" t="inlineStr"/>
    </row>
    <row r="11779" ht="15" customHeight="1">
      <c r="A11779" t="inlineStr">
        <is>
          <t>A 51613-2025</t>
        </is>
      </c>
      <c r="B11779" s="1" t="n">
        <v>45951.39907407408</v>
      </c>
      <c r="C11779" s="1" t="n">
        <v>45952</v>
      </c>
      <c r="D11779" t="inlineStr">
        <is>
          <t>VÄSTRA GÖTALANDS LÄN</t>
        </is>
      </c>
      <c r="E11779" t="inlineStr">
        <is>
          <t>BOLLEBYGD</t>
        </is>
      </c>
      <c r="G11779" t="n">
        <v>1.3</v>
      </c>
      <c r="H11779" t="n">
        <v>0</v>
      </c>
      <c r="I11779" t="n">
        <v>0</v>
      </c>
      <c r="J11779" t="n">
        <v>0</v>
      </c>
      <c r="K11779" t="n">
        <v>0</v>
      </c>
      <c r="L11779" t="n">
        <v>0</v>
      </c>
      <c r="M11779" t="n">
        <v>0</v>
      </c>
      <c r="N11779" t="n">
        <v>0</v>
      </c>
      <c r="O11779" t="n">
        <v>0</v>
      </c>
      <c r="P11779" t="n">
        <v>0</v>
      </c>
      <c r="Q11779" t="n">
        <v>0</v>
      </c>
      <c r="R11779" s="2" t="inlineStr"/>
    </row>
    <row r="11780" ht="15" customHeight="1">
      <c r="A11780" t="inlineStr">
        <is>
          <t>A 41995-2025</t>
        </is>
      </c>
      <c r="B11780" s="1" t="n">
        <v>45903.55027777778</v>
      </c>
      <c r="C11780" s="1" t="n">
        <v>45952</v>
      </c>
      <c r="D11780" t="inlineStr">
        <is>
          <t>VÄSTRA GÖTALANDS LÄN</t>
        </is>
      </c>
      <c r="E11780" t="inlineStr">
        <is>
          <t>HÄRRYDA</t>
        </is>
      </c>
      <c r="G11780" t="n">
        <v>6.5</v>
      </c>
      <c r="H11780" t="n">
        <v>0</v>
      </c>
      <c r="I11780" t="n">
        <v>0</v>
      </c>
      <c r="J11780" t="n">
        <v>0</v>
      </c>
      <c r="K11780" t="n">
        <v>0</v>
      </c>
      <c r="L11780" t="n">
        <v>0</v>
      </c>
      <c r="M11780" t="n">
        <v>0</v>
      </c>
      <c r="N11780" t="n">
        <v>0</v>
      </c>
      <c r="O11780" t="n">
        <v>0</v>
      </c>
      <c r="P11780" t="n">
        <v>0</v>
      </c>
      <c r="Q11780" t="n">
        <v>0</v>
      </c>
      <c r="R11780" s="2" t="inlineStr"/>
    </row>
    <row r="11781" ht="15" customHeight="1">
      <c r="A11781" t="inlineStr">
        <is>
          <t>A 28933-2025</t>
        </is>
      </c>
      <c r="B11781" s="1" t="n">
        <v>45820.68407407407</v>
      </c>
      <c r="C11781" s="1" t="n">
        <v>45952</v>
      </c>
      <c r="D11781" t="inlineStr">
        <is>
          <t>VÄSTRA GÖTALANDS LÄN</t>
        </is>
      </c>
      <c r="E11781" t="inlineStr">
        <is>
          <t>GULLSPÅNG</t>
        </is>
      </c>
      <c r="G11781" t="n">
        <v>0.6</v>
      </c>
      <c r="H11781" t="n">
        <v>0</v>
      </c>
      <c r="I11781" t="n">
        <v>0</v>
      </c>
      <c r="J11781" t="n">
        <v>0</v>
      </c>
      <c r="K11781" t="n">
        <v>0</v>
      </c>
      <c r="L11781" t="n">
        <v>0</v>
      </c>
      <c r="M11781" t="n">
        <v>0</v>
      </c>
      <c r="N11781" t="n">
        <v>0</v>
      </c>
      <c r="O11781" t="n">
        <v>0</v>
      </c>
      <c r="P11781" t="n">
        <v>0</v>
      </c>
      <c r="Q11781" t="n">
        <v>0</v>
      </c>
      <c r="R11781" s="2" t="inlineStr"/>
    </row>
    <row r="11782" ht="15" customHeight="1">
      <c r="A11782" t="inlineStr">
        <is>
          <t>A 28934-2025</t>
        </is>
      </c>
      <c r="B11782" s="1" t="n">
        <v>45820.68806712963</v>
      </c>
      <c r="C11782" s="1" t="n">
        <v>45952</v>
      </c>
      <c r="D11782" t="inlineStr">
        <is>
          <t>VÄSTRA GÖTALANDS LÄN</t>
        </is>
      </c>
      <c r="E11782" t="inlineStr">
        <is>
          <t>GULLSPÅNG</t>
        </is>
      </c>
      <c r="G11782" t="n">
        <v>2.4</v>
      </c>
      <c r="H11782" t="n">
        <v>0</v>
      </c>
      <c r="I11782" t="n">
        <v>0</v>
      </c>
      <c r="J11782" t="n">
        <v>0</v>
      </c>
      <c r="K11782" t="n">
        <v>0</v>
      </c>
      <c r="L11782" t="n">
        <v>0</v>
      </c>
      <c r="M11782" t="n">
        <v>0</v>
      </c>
      <c r="N11782" t="n">
        <v>0</v>
      </c>
      <c r="O11782" t="n">
        <v>0</v>
      </c>
      <c r="P11782" t="n">
        <v>0</v>
      </c>
      <c r="Q11782" t="n">
        <v>0</v>
      </c>
      <c r="R11782" s="2" t="inlineStr"/>
    </row>
    <row r="11783" ht="15" customHeight="1">
      <c r="A11783" t="inlineStr">
        <is>
          <t>A 51271-2025</t>
        </is>
      </c>
      <c r="B11783" s="1" t="n">
        <v>45949.84736111111</v>
      </c>
      <c r="C11783" s="1" t="n">
        <v>45952</v>
      </c>
      <c r="D11783" t="inlineStr">
        <is>
          <t>VÄSTRA GÖTALANDS LÄN</t>
        </is>
      </c>
      <c r="E11783" t="inlineStr">
        <is>
          <t>FÄRGELANDA</t>
        </is>
      </c>
      <c r="G11783" t="n">
        <v>10.1</v>
      </c>
      <c r="H11783" t="n">
        <v>0</v>
      </c>
      <c r="I11783" t="n">
        <v>0</v>
      </c>
      <c r="J11783" t="n">
        <v>0</v>
      </c>
      <c r="K11783" t="n">
        <v>0</v>
      </c>
      <c r="L11783" t="n">
        <v>0</v>
      </c>
      <c r="M11783" t="n">
        <v>0</v>
      </c>
      <c r="N11783" t="n">
        <v>0</v>
      </c>
      <c r="O11783" t="n">
        <v>0</v>
      </c>
      <c r="P11783" t="n">
        <v>0</v>
      </c>
      <c r="Q11783" t="n">
        <v>0</v>
      </c>
      <c r="R11783" s="2" t="inlineStr"/>
    </row>
    <row r="11784" ht="15" customHeight="1">
      <c r="A11784" t="inlineStr">
        <is>
          <t>A 42919-2025</t>
        </is>
      </c>
      <c r="B11784" s="1" t="n">
        <v>45908.87262731481</v>
      </c>
      <c r="C11784" s="1" t="n">
        <v>45952</v>
      </c>
      <c r="D11784" t="inlineStr">
        <is>
          <t>VÄSTRA GÖTALANDS LÄN</t>
        </is>
      </c>
      <c r="E11784" t="inlineStr">
        <is>
          <t>VARA</t>
        </is>
      </c>
      <c r="G11784" t="n">
        <v>1</v>
      </c>
      <c r="H11784" t="n">
        <v>0</v>
      </c>
      <c r="I11784" t="n">
        <v>0</v>
      </c>
      <c r="J11784" t="n">
        <v>0</v>
      </c>
      <c r="K11784" t="n">
        <v>0</v>
      </c>
      <c r="L11784" t="n">
        <v>0</v>
      </c>
      <c r="M11784" t="n">
        <v>0</v>
      </c>
      <c r="N11784" t="n">
        <v>0</v>
      </c>
      <c r="O11784" t="n">
        <v>0</v>
      </c>
      <c r="P11784" t="n">
        <v>0</v>
      </c>
      <c r="Q11784" t="n">
        <v>0</v>
      </c>
      <c r="R11784" s="2" t="inlineStr"/>
    </row>
    <row r="11785" ht="15" customHeight="1">
      <c r="A11785" t="inlineStr">
        <is>
          <t>A 42926-2025</t>
        </is>
      </c>
      <c r="B11785" s="1" t="n">
        <v>45909.17378472222</v>
      </c>
      <c r="C11785" s="1" t="n">
        <v>45952</v>
      </c>
      <c r="D11785" t="inlineStr">
        <is>
          <t>VÄSTRA GÖTALANDS LÄN</t>
        </is>
      </c>
      <c r="E11785" t="inlineStr">
        <is>
          <t>TRANEMO</t>
        </is>
      </c>
      <c r="G11785" t="n">
        <v>1.3</v>
      </c>
      <c r="H11785" t="n">
        <v>0</v>
      </c>
      <c r="I11785" t="n">
        <v>0</v>
      </c>
      <c r="J11785" t="n">
        <v>0</v>
      </c>
      <c r="K11785" t="n">
        <v>0</v>
      </c>
      <c r="L11785" t="n">
        <v>0</v>
      </c>
      <c r="M11785" t="n">
        <v>0</v>
      </c>
      <c r="N11785" t="n">
        <v>0</v>
      </c>
      <c r="O11785" t="n">
        <v>0</v>
      </c>
      <c r="P11785" t="n">
        <v>0</v>
      </c>
      <c r="Q11785" t="n">
        <v>0</v>
      </c>
      <c r="R11785" s="2" t="inlineStr"/>
    </row>
    <row r="11786" ht="15" customHeight="1">
      <c r="A11786" t="inlineStr">
        <is>
          <t>A 44506-2023</t>
        </is>
      </c>
      <c r="B11786" s="1" t="n">
        <v>45189</v>
      </c>
      <c r="C11786" s="1" t="n">
        <v>45952</v>
      </c>
      <c r="D11786" t="inlineStr">
        <is>
          <t>VÄSTRA GÖTALANDS LÄN</t>
        </is>
      </c>
      <c r="E11786" t="inlineStr">
        <is>
          <t>BORÅS</t>
        </is>
      </c>
      <c r="G11786" t="n">
        <v>0.8</v>
      </c>
      <c r="H11786" t="n">
        <v>0</v>
      </c>
      <c r="I11786" t="n">
        <v>0</v>
      </c>
      <c r="J11786" t="n">
        <v>0</v>
      </c>
      <c r="K11786" t="n">
        <v>0</v>
      </c>
      <c r="L11786" t="n">
        <v>0</v>
      </c>
      <c r="M11786" t="n">
        <v>0</v>
      </c>
      <c r="N11786" t="n">
        <v>0</v>
      </c>
      <c r="O11786" t="n">
        <v>0</v>
      </c>
      <c r="P11786" t="n">
        <v>0</v>
      </c>
      <c r="Q11786" t="n">
        <v>0</v>
      </c>
      <c r="R11786" s="2" t="inlineStr"/>
    </row>
    <row r="11787" ht="15" customHeight="1">
      <c r="A11787" t="inlineStr">
        <is>
          <t>A 29019-2025</t>
        </is>
      </c>
      <c r="B11787" s="1" t="n">
        <v>45821.42359953704</v>
      </c>
      <c r="C11787" s="1" t="n">
        <v>45952</v>
      </c>
      <c r="D11787" t="inlineStr">
        <is>
          <t>VÄSTRA GÖTALANDS LÄN</t>
        </is>
      </c>
      <c r="E11787" t="inlineStr">
        <is>
          <t>HJO</t>
        </is>
      </c>
      <c r="G11787" t="n">
        <v>1.6</v>
      </c>
      <c r="H11787" t="n">
        <v>0</v>
      </c>
      <c r="I11787" t="n">
        <v>0</v>
      </c>
      <c r="J11787" t="n">
        <v>0</v>
      </c>
      <c r="K11787" t="n">
        <v>0</v>
      </c>
      <c r="L11787" t="n">
        <v>0</v>
      </c>
      <c r="M11787" t="n">
        <v>0</v>
      </c>
      <c r="N11787" t="n">
        <v>0</v>
      </c>
      <c r="O11787" t="n">
        <v>0</v>
      </c>
      <c r="P11787" t="n">
        <v>0</v>
      </c>
      <c r="Q11787" t="n">
        <v>0</v>
      </c>
      <c r="R11787" s="2" t="inlineStr"/>
    </row>
    <row r="11788" ht="15" customHeight="1">
      <c r="A11788" t="inlineStr">
        <is>
          <t>A 29023-2025</t>
        </is>
      </c>
      <c r="B11788" s="1" t="n">
        <v>45821.43002314815</v>
      </c>
      <c r="C11788" s="1" t="n">
        <v>45952</v>
      </c>
      <c r="D11788" t="inlineStr">
        <is>
          <t>VÄSTRA GÖTALANDS LÄN</t>
        </is>
      </c>
      <c r="E11788" t="inlineStr">
        <is>
          <t>SKÖVDE</t>
        </is>
      </c>
      <c r="G11788" t="n">
        <v>2.5</v>
      </c>
      <c r="H11788" t="n">
        <v>0</v>
      </c>
      <c r="I11788" t="n">
        <v>0</v>
      </c>
      <c r="J11788" t="n">
        <v>0</v>
      </c>
      <c r="K11788" t="n">
        <v>0</v>
      </c>
      <c r="L11788" t="n">
        <v>0</v>
      </c>
      <c r="M11788" t="n">
        <v>0</v>
      </c>
      <c r="N11788" t="n">
        <v>0</v>
      </c>
      <c r="O11788" t="n">
        <v>0</v>
      </c>
      <c r="P11788" t="n">
        <v>0</v>
      </c>
      <c r="Q11788" t="n">
        <v>0</v>
      </c>
      <c r="R11788" s="2" t="inlineStr"/>
    </row>
    <row r="11789" ht="15" customHeight="1">
      <c r="A11789" t="inlineStr">
        <is>
          <t>A 29057-2025</t>
        </is>
      </c>
      <c r="B11789" s="1" t="n">
        <v>45821.47336805556</v>
      </c>
      <c r="C11789" s="1" t="n">
        <v>45952</v>
      </c>
      <c r="D11789" t="inlineStr">
        <is>
          <t>VÄSTRA GÖTALANDS LÄN</t>
        </is>
      </c>
      <c r="E11789" t="inlineStr">
        <is>
          <t>ULRICEHAMN</t>
        </is>
      </c>
      <c r="G11789" t="n">
        <v>3.3</v>
      </c>
      <c r="H11789" t="n">
        <v>0</v>
      </c>
      <c r="I11789" t="n">
        <v>0</v>
      </c>
      <c r="J11789" t="n">
        <v>0</v>
      </c>
      <c r="K11789" t="n">
        <v>0</v>
      </c>
      <c r="L11789" t="n">
        <v>0</v>
      </c>
      <c r="M11789" t="n">
        <v>0</v>
      </c>
      <c r="N11789" t="n">
        <v>0</v>
      </c>
      <c r="O11789" t="n">
        <v>0</v>
      </c>
      <c r="P11789" t="n">
        <v>0</v>
      </c>
      <c r="Q11789" t="n">
        <v>0</v>
      </c>
      <c r="R11789" s="2" t="inlineStr"/>
    </row>
    <row r="11790" ht="15" customHeight="1">
      <c r="A11790" t="inlineStr">
        <is>
          <t>A 28722-2025</t>
        </is>
      </c>
      <c r="B11790" s="1" t="n">
        <v>45820.35901620371</v>
      </c>
      <c r="C11790" s="1" t="n">
        <v>45952</v>
      </c>
      <c r="D11790" t="inlineStr">
        <is>
          <t>VÄSTRA GÖTALANDS LÄN</t>
        </is>
      </c>
      <c r="E11790" t="inlineStr">
        <is>
          <t>MUNKEDAL</t>
        </is>
      </c>
      <c r="G11790" t="n">
        <v>3.4</v>
      </c>
      <c r="H11790" t="n">
        <v>0</v>
      </c>
      <c r="I11790" t="n">
        <v>0</v>
      </c>
      <c r="J11790" t="n">
        <v>0</v>
      </c>
      <c r="K11790" t="n">
        <v>0</v>
      </c>
      <c r="L11790" t="n">
        <v>0</v>
      </c>
      <c r="M11790" t="n">
        <v>0</v>
      </c>
      <c r="N11790" t="n">
        <v>0</v>
      </c>
      <c r="O11790" t="n">
        <v>0</v>
      </c>
      <c r="P11790" t="n">
        <v>0</v>
      </c>
      <c r="Q11790" t="n">
        <v>0</v>
      </c>
      <c r="R11790" s="2" t="inlineStr"/>
    </row>
    <row r="11791" ht="15" customHeight="1">
      <c r="A11791" t="inlineStr">
        <is>
          <t>A 51337-2025</t>
        </is>
      </c>
      <c r="B11791" s="1" t="n">
        <v>45950.42579861111</v>
      </c>
      <c r="C11791" s="1" t="n">
        <v>45952</v>
      </c>
      <c r="D11791" t="inlineStr">
        <is>
          <t>VÄSTRA GÖTALANDS LÄN</t>
        </is>
      </c>
      <c r="E11791" t="inlineStr">
        <is>
          <t>SVENLJUNGA</t>
        </is>
      </c>
      <c r="G11791" t="n">
        <v>1.3</v>
      </c>
      <c r="H11791" t="n">
        <v>0</v>
      </c>
      <c r="I11791" t="n">
        <v>0</v>
      </c>
      <c r="J11791" t="n">
        <v>0</v>
      </c>
      <c r="K11791" t="n">
        <v>0</v>
      </c>
      <c r="L11791" t="n">
        <v>0</v>
      </c>
      <c r="M11791" t="n">
        <v>0</v>
      </c>
      <c r="N11791" t="n">
        <v>0</v>
      </c>
      <c r="O11791" t="n">
        <v>0</v>
      </c>
      <c r="P11791" t="n">
        <v>0</v>
      </c>
      <c r="Q11791" t="n">
        <v>0</v>
      </c>
      <c r="R11791" s="2" t="inlineStr"/>
    </row>
    <row r="11792" ht="15" customHeight="1">
      <c r="A11792" t="inlineStr">
        <is>
          <t>A 42988-2025</t>
        </is>
      </c>
      <c r="B11792" s="1" t="n">
        <v>45909.44909722222</v>
      </c>
      <c r="C11792" s="1" t="n">
        <v>45952</v>
      </c>
      <c r="D11792" t="inlineStr">
        <is>
          <t>VÄSTRA GÖTALANDS LÄN</t>
        </is>
      </c>
      <c r="E11792" t="inlineStr">
        <is>
          <t>BORÅS</t>
        </is>
      </c>
      <c r="F11792" t="inlineStr">
        <is>
          <t>Sveaskog</t>
        </is>
      </c>
      <c r="G11792" t="n">
        <v>2.4</v>
      </c>
      <c r="H11792" t="n">
        <v>0</v>
      </c>
      <c r="I11792" t="n">
        <v>0</v>
      </c>
      <c r="J11792" t="n">
        <v>0</v>
      </c>
      <c r="K11792" t="n">
        <v>0</v>
      </c>
      <c r="L11792" t="n">
        <v>0</v>
      </c>
      <c r="M11792" t="n">
        <v>0</v>
      </c>
      <c r="N11792" t="n">
        <v>0</v>
      </c>
      <c r="O11792" t="n">
        <v>0</v>
      </c>
      <c r="P11792" t="n">
        <v>0</v>
      </c>
      <c r="Q11792" t="n">
        <v>0</v>
      </c>
      <c r="R11792" s="2" t="inlineStr"/>
    </row>
    <row r="11793" ht="15" customHeight="1">
      <c r="A11793" t="inlineStr">
        <is>
          <t>A 28932-2025</t>
        </is>
      </c>
      <c r="B11793" s="1" t="n">
        <v>45820.68037037037</v>
      </c>
      <c r="C11793" s="1" t="n">
        <v>45952</v>
      </c>
      <c r="D11793" t="inlineStr">
        <is>
          <t>VÄSTRA GÖTALANDS LÄN</t>
        </is>
      </c>
      <c r="E11793" t="inlineStr">
        <is>
          <t>GULLSPÅNG</t>
        </is>
      </c>
      <c r="G11793" t="n">
        <v>2.2</v>
      </c>
      <c r="H11793" t="n">
        <v>0</v>
      </c>
      <c r="I11793" t="n">
        <v>0</v>
      </c>
      <c r="J11793" t="n">
        <v>0</v>
      </c>
      <c r="K11793" t="n">
        <v>0</v>
      </c>
      <c r="L11793" t="n">
        <v>0</v>
      </c>
      <c r="M11793" t="n">
        <v>0</v>
      </c>
      <c r="N11793" t="n">
        <v>0</v>
      </c>
      <c r="O11793" t="n">
        <v>0</v>
      </c>
      <c r="P11793" t="n">
        <v>0</v>
      </c>
      <c r="Q11793" t="n">
        <v>0</v>
      </c>
      <c r="R11793" s="2" t="inlineStr"/>
    </row>
    <row r="11794" ht="15" customHeight="1">
      <c r="A11794" t="inlineStr">
        <is>
          <t>A 42997-2025</t>
        </is>
      </c>
      <c r="B11794" s="1" t="n">
        <v>45909.45751157407</v>
      </c>
      <c r="C11794" s="1" t="n">
        <v>45952</v>
      </c>
      <c r="D11794" t="inlineStr">
        <is>
          <t>VÄSTRA GÖTALANDS LÄN</t>
        </is>
      </c>
      <c r="E11794" t="inlineStr">
        <is>
          <t>FALKÖPING</t>
        </is>
      </c>
      <c r="G11794" t="n">
        <v>1.2</v>
      </c>
      <c r="H11794" t="n">
        <v>0</v>
      </c>
      <c r="I11794" t="n">
        <v>0</v>
      </c>
      <c r="J11794" t="n">
        <v>0</v>
      </c>
      <c r="K11794" t="n">
        <v>0</v>
      </c>
      <c r="L11794" t="n">
        <v>0</v>
      </c>
      <c r="M11794" t="n">
        <v>0</v>
      </c>
      <c r="N11794" t="n">
        <v>0</v>
      </c>
      <c r="O11794" t="n">
        <v>0</v>
      </c>
      <c r="P11794" t="n">
        <v>0</v>
      </c>
      <c r="Q11794" t="n">
        <v>0</v>
      </c>
      <c r="R11794" s="2" t="inlineStr"/>
    </row>
    <row r="11795" ht="15" customHeight="1">
      <c r="A11795" t="inlineStr">
        <is>
          <t>A 43010-2025</t>
        </is>
      </c>
      <c r="B11795" s="1" t="n">
        <v>45909.48768518519</v>
      </c>
      <c r="C11795" s="1" t="n">
        <v>45952</v>
      </c>
      <c r="D11795" t="inlineStr">
        <is>
          <t>VÄSTRA GÖTALANDS LÄN</t>
        </is>
      </c>
      <c r="E11795" t="inlineStr">
        <is>
          <t>ULRICEHAMN</t>
        </is>
      </c>
      <c r="G11795" t="n">
        <v>1.7</v>
      </c>
      <c r="H11795" t="n">
        <v>0</v>
      </c>
      <c r="I11795" t="n">
        <v>0</v>
      </c>
      <c r="J11795" t="n">
        <v>0</v>
      </c>
      <c r="K11795" t="n">
        <v>0</v>
      </c>
      <c r="L11795" t="n">
        <v>0</v>
      </c>
      <c r="M11795" t="n">
        <v>0</v>
      </c>
      <c r="N11795" t="n">
        <v>0</v>
      </c>
      <c r="O11795" t="n">
        <v>0</v>
      </c>
      <c r="P11795" t="n">
        <v>0</v>
      </c>
      <c r="Q11795" t="n">
        <v>0</v>
      </c>
      <c r="R11795" s="2" t="inlineStr"/>
    </row>
    <row r="11796" ht="15" customHeight="1">
      <c r="A11796" t="inlineStr">
        <is>
          <t>A 28691-2025</t>
        </is>
      </c>
      <c r="B11796" s="1" t="n">
        <v>45819.76692129629</v>
      </c>
      <c r="C11796" s="1" t="n">
        <v>45952</v>
      </c>
      <c r="D11796" t="inlineStr">
        <is>
          <t>VÄSTRA GÖTALANDS LÄN</t>
        </is>
      </c>
      <c r="E11796" t="inlineStr">
        <is>
          <t>TRANEMO</t>
        </is>
      </c>
      <c r="G11796" t="n">
        <v>0.7</v>
      </c>
      <c r="H11796" t="n">
        <v>0</v>
      </c>
      <c r="I11796" t="n">
        <v>0</v>
      </c>
      <c r="J11796" t="n">
        <v>0</v>
      </c>
      <c r="K11796" t="n">
        <v>0</v>
      </c>
      <c r="L11796" t="n">
        <v>0</v>
      </c>
      <c r="M11796" t="n">
        <v>0</v>
      </c>
      <c r="N11796" t="n">
        <v>0</v>
      </c>
      <c r="O11796" t="n">
        <v>0</v>
      </c>
      <c r="P11796" t="n">
        <v>0</v>
      </c>
      <c r="Q11796" t="n">
        <v>0</v>
      </c>
      <c r="R11796" s="2" t="inlineStr"/>
    </row>
    <row r="11797" ht="15" customHeight="1">
      <c r="A11797" t="inlineStr">
        <is>
          <t>A 13134-2023</t>
        </is>
      </c>
      <c r="B11797" s="1" t="n">
        <v>45002.52252314815</v>
      </c>
      <c r="C11797" s="1" t="n">
        <v>45952</v>
      </c>
      <c r="D11797" t="inlineStr">
        <is>
          <t>VÄSTRA GÖTALANDS LÄN</t>
        </is>
      </c>
      <c r="E11797" t="inlineStr">
        <is>
          <t>TRANEMO</t>
        </is>
      </c>
      <c r="G11797" t="n">
        <v>0.8</v>
      </c>
      <c r="H11797" t="n">
        <v>0</v>
      </c>
      <c r="I11797" t="n">
        <v>0</v>
      </c>
      <c r="J11797" t="n">
        <v>0</v>
      </c>
      <c r="K11797" t="n">
        <v>0</v>
      </c>
      <c r="L11797" t="n">
        <v>0</v>
      </c>
      <c r="M11797" t="n">
        <v>0</v>
      </c>
      <c r="N11797" t="n">
        <v>0</v>
      </c>
      <c r="O11797" t="n">
        <v>0</v>
      </c>
      <c r="P11797" t="n">
        <v>0</v>
      </c>
      <c r="Q11797" t="n">
        <v>0</v>
      </c>
      <c r="R11797" s="2" t="inlineStr"/>
    </row>
    <row r="11798" ht="15" customHeight="1">
      <c r="A11798" t="inlineStr">
        <is>
          <t>A 28803-2025</t>
        </is>
      </c>
      <c r="B11798" s="1" t="n">
        <v>45820</v>
      </c>
      <c r="C11798" s="1" t="n">
        <v>45952</v>
      </c>
      <c r="D11798" t="inlineStr">
        <is>
          <t>VÄSTRA GÖTALANDS LÄN</t>
        </is>
      </c>
      <c r="E11798" t="inlineStr">
        <is>
          <t>UDDEVALLA</t>
        </is>
      </c>
      <c r="G11798" t="n">
        <v>2.1</v>
      </c>
      <c r="H11798" t="n">
        <v>0</v>
      </c>
      <c r="I11798" t="n">
        <v>0</v>
      </c>
      <c r="J11798" t="n">
        <v>0</v>
      </c>
      <c r="K11798" t="n">
        <v>0</v>
      </c>
      <c r="L11798" t="n">
        <v>0</v>
      </c>
      <c r="M11798" t="n">
        <v>0</v>
      </c>
      <c r="N11798" t="n">
        <v>0</v>
      </c>
      <c r="O11798" t="n">
        <v>0</v>
      </c>
      <c r="P11798" t="n">
        <v>0</v>
      </c>
      <c r="Q11798" t="n">
        <v>0</v>
      </c>
      <c r="R11798" s="2" t="inlineStr"/>
    </row>
    <row r="11799" ht="15" customHeight="1">
      <c r="A11799" t="inlineStr">
        <is>
          <t>A 28733-2025</t>
        </is>
      </c>
      <c r="B11799" s="1" t="n">
        <v>45820.36895833333</v>
      </c>
      <c r="C11799" s="1" t="n">
        <v>45952</v>
      </c>
      <c r="D11799" t="inlineStr">
        <is>
          <t>VÄSTRA GÖTALANDS LÄN</t>
        </is>
      </c>
      <c r="E11799" t="inlineStr">
        <is>
          <t>MUNKEDAL</t>
        </is>
      </c>
      <c r="G11799" t="n">
        <v>1.9</v>
      </c>
      <c r="H11799" t="n">
        <v>0</v>
      </c>
      <c r="I11799" t="n">
        <v>0</v>
      </c>
      <c r="J11799" t="n">
        <v>0</v>
      </c>
      <c r="K11799" t="n">
        <v>0</v>
      </c>
      <c r="L11799" t="n">
        <v>0</v>
      </c>
      <c r="M11799" t="n">
        <v>0</v>
      </c>
      <c r="N11799" t="n">
        <v>0</v>
      </c>
      <c r="O11799" t="n">
        <v>0</v>
      </c>
      <c r="P11799" t="n">
        <v>0</v>
      </c>
      <c r="Q11799" t="n">
        <v>0</v>
      </c>
      <c r="R11799" s="2" t="inlineStr"/>
    </row>
    <row r="11800" ht="15" customHeight="1">
      <c r="A11800" t="inlineStr">
        <is>
          <t>A 17806-2021</t>
        </is>
      </c>
      <c r="B11800" s="1" t="n">
        <v>44300.64185185185</v>
      </c>
      <c r="C11800" s="1" t="n">
        <v>45952</v>
      </c>
      <c r="D11800" t="inlineStr">
        <is>
          <t>VÄSTRA GÖTALANDS LÄN</t>
        </is>
      </c>
      <c r="E11800" t="inlineStr">
        <is>
          <t>HJO</t>
        </is>
      </c>
      <c r="G11800" t="n">
        <v>5.7</v>
      </c>
      <c r="H11800" t="n">
        <v>0</v>
      </c>
      <c r="I11800" t="n">
        <v>0</v>
      </c>
      <c r="J11800" t="n">
        <v>0</v>
      </c>
      <c r="K11800" t="n">
        <v>0</v>
      </c>
      <c r="L11800" t="n">
        <v>0</v>
      </c>
      <c r="M11800" t="n">
        <v>0</v>
      </c>
      <c r="N11800" t="n">
        <v>0</v>
      </c>
      <c r="O11800" t="n">
        <v>0</v>
      </c>
      <c r="P11800" t="n">
        <v>0</v>
      </c>
      <c r="Q11800" t="n">
        <v>0</v>
      </c>
      <c r="R11800" s="2" t="inlineStr"/>
    </row>
    <row r="11801" ht="15" customHeight="1">
      <c r="A11801" t="inlineStr">
        <is>
          <t>A 28738-2025</t>
        </is>
      </c>
      <c r="B11801" s="1" t="n">
        <v>45820.38222222222</v>
      </c>
      <c r="C11801" s="1" t="n">
        <v>45952</v>
      </c>
      <c r="D11801" t="inlineStr">
        <is>
          <t>VÄSTRA GÖTALANDS LÄN</t>
        </is>
      </c>
      <c r="E11801" t="inlineStr">
        <is>
          <t>SKARA</t>
        </is>
      </c>
      <c r="F11801" t="inlineStr">
        <is>
          <t>Sveaskog</t>
        </is>
      </c>
      <c r="G11801" t="n">
        <v>2</v>
      </c>
      <c r="H11801" t="n">
        <v>0</v>
      </c>
      <c r="I11801" t="n">
        <v>0</v>
      </c>
      <c r="J11801" t="n">
        <v>0</v>
      </c>
      <c r="K11801" t="n">
        <v>0</v>
      </c>
      <c r="L11801" t="n">
        <v>0</v>
      </c>
      <c r="M11801" t="n">
        <v>0</v>
      </c>
      <c r="N11801" t="n">
        <v>0</v>
      </c>
      <c r="O11801" t="n">
        <v>0</v>
      </c>
      <c r="P11801" t="n">
        <v>0</v>
      </c>
      <c r="Q11801" t="n">
        <v>0</v>
      </c>
      <c r="R11801" s="2" t="inlineStr"/>
    </row>
    <row r="11802" ht="15" customHeight="1">
      <c r="A11802" t="inlineStr">
        <is>
          <t>A 51421-2025</t>
        </is>
      </c>
      <c r="B11802" s="1" t="n">
        <v>45950.51739583333</v>
      </c>
      <c r="C11802" s="1" t="n">
        <v>45952</v>
      </c>
      <c r="D11802" t="inlineStr">
        <is>
          <t>VÄSTRA GÖTALANDS LÄN</t>
        </is>
      </c>
      <c r="E11802" t="inlineStr">
        <is>
          <t>TRANEMO</t>
        </is>
      </c>
      <c r="G11802" t="n">
        <v>0.7</v>
      </c>
      <c r="H11802" t="n">
        <v>0</v>
      </c>
      <c r="I11802" t="n">
        <v>0</v>
      </c>
      <c r="J11802" t="n">
        <v>0</v>
      </c>
      <c r="K11802" t="n">
        <v>0</v>
      </c>
      <c r="L11802" t="n">
        <v>0</v>
      </c>
      <c r="M11802" t="n">
        <v>0</v>
      </c>
      <c r="N11802" t="n">
        <v>0</v>
      </c>
      <c r="O11802" t="n">
        <v>0</v>
      </c>
      <c r="P11802" t="n">
        <v>0</v>
      </c>
      <c r="Q11802" t="n">
        <v>0</v>
      </c>
      <c r="R11802" s="2" t="inlineStr"/>
    </row>
    <row r="11803" ht="15" customHeight="1">
      <c r="A11803" t="inlineStr">
        <is>
          <t>A 13946-2024</t>
        </is>
      </c>
      <c r="B11803" s="1" t="n">
        <v>45392.31230324074</v>
      </c>
      <c r="C11803" s="1" t="n">
        <v>45952</v>
      </c>
      <c r="D11803" t="inlineStr">
        <is>
          <t>VÄSTRA GÖTALANDS LÄN</t>
        </is>
      </c>
      <c r="E11803" t="inlineStr">
        <is>
          <t>TRANEMO</t>
        </is>
      </c>
      <c r="G11803" t="n">
        <v>3.1</v>
      </c>
      <c r="H11803" t="n">
        <v>0</v>
      </c>
      <c r="I11803" t="n">
        <v>0</v>
      </c>
      <c r="J11803" t="n">
        <v>0</v>
      </c>
      <c r="K11803" t="n">
        <v>0</v>
      </c>
      <c r="L11803" t="n">
        <v>0</v>
      </c>
      <c r="M11803" t="n">
        <v>0</v>
      </c>
      <c r="N11803" t="n">
        <v>0</v>
      </c>
      <c r="O11803" t="n">
        <v>0</v>
      </c>
      <c r="P11803" t="n">
        <v>0</v>
      </c>
      <c r="Q11803" t="n">
        <v>0</v>
      </c>
      <c r="R11803" s="2" t="inlineStr"/>
    </row>
    <row r="11804" ht="15" customHeight="1">
      <c r="A11804" t="inlineStr">
        <is>
          <t>A 42711-2025</t>
        </is>
      </c>
      <c r="B11804" s="1" t="n">
        <v>45908.37621527778</v>
      </c>
      <c r="C11804" s="1" t="n">
        <v>45952</v>
      </c>
      <c r="D11804" t="inlineStr">
        <is>
          <t>VÄSTRA GÖTALANDS LÄN</t>
        </is>
      </c>
      <c r="E11804" t="inlineStr">
        <is>
          <t>ALINGSÅS</t>
        </is>
      </c>
      <c r="G11804" t="n">
        <v>0.8</v>
      </c>
      <c r="H11804" t="n">
        <v>0</v>
      </c>
      <c r="I11804" t="n">
        <v>0</v>
      </c>
      <c r="J11804" t="n">
        <v>0</v>
      </c>
      <c r="K11804" t="n">
        <v>0</v>
      </c>
      <c r="L11804" t="n">
        <v>0</v>
      </c>
      <c r="M11804" t="n">
        <v>0</v>
      </c>
      <c r="N11804" t="n">
        <v>0</v>
      </c>
      <c r="O11804" t="n">
        <v>0</v>
      </c>
      <c r="P11804" t="n">
        <v>0</v>
      </c>
      <c r="Q11804" t="n">
        <v>0</v>
      </c>
      <c r="R11804" s="2" t="inlineStr"/>
    </row>
    <row r="11805" ht="15" customHeight="1">
      <c r="A11805" t="inlineStr">
        <is>
          <t>A 28773-2025</t>
        </is>
      </c>
      <c r="B11805" s="1" t="n">
        <v>45820.439375</v>
      </c>
      <c r="C11805" s="1" t="n">
        <v>45952</v>
      </c>
      <c r="D11805" t="inlineStr">
        <is>
          <t>VÄSTRA GÖTALANDS LÄN</t>
        </is>
      </c>
      <c r="E11805" t="inlineStr">
        <is>
          <t>SKARA</t>
        </is>
      </c>
      <c r="F11805" t="inlineStr">
        <is>
          <t>Sveaskog</t>
        </is>
      </c>
      <c r="G11805" t="n">
        <v>8</v>
      </c>
      <c r="H11805" t="n">
        <v>0</v>
      </c>
      <c r="I11805" t="n">
        <v>0</v>
      </c>
      <c r="J11805" t="n">
        <v>0</v>
      </c>
      <c r="K11805" t="n">
        <v>0</v>
      </c>
      <c r="L11805" t="n">
        <v>0</v>
      </c>
      <c r="M11805" t="n">
        <v>0</v>
      </c>
      <c r="N11805" t="n">
        <v>0</v>
      </c>
      <c r="O11805" t="n">
        <v>0</v>
      </c>
      <c r="P11805" t="n">
        <v>0</v>
      </c>
      <c r="Q11805" t="n">
        <v>0</v>
      </c>
      <c r="R11805" s="2" t="inlineStr"/>
    </row>
    <row r="11806" ht="15" customHeight="1">
      <c r="A11806" t="inlineStr">
        <is>
          <t>A 51436-2025</t>
        </is>
      </c>
      <c r="B11806" s="1" t="n">
        <v>45950.56489583333</v>
      </c>
      <c r="C11806" s="1" t="n">
        <v>45952</v>
      </c>
      <c r="D11806" t="inlineStr">
        <is>
          <t>VÄSTRA GÖTALANDS LÄN</t>
        </is>
      </c>
      <c r="E11806" t="inlineStr">
        <is>
          <t>MELLERUD</t>
        </is>
      </c>
      <c r="G11806" t="n">
        <v>2</v>
      </c>
      <c r="H11806" t="n">
        <v>0</v>
      </c>
      <c r="I11806" t="n">
        <v>0</v>
      </c>
      <c r="J11806" t="n">
        <v>0</v>
      </c>
      <c r="K11806" t="n">
        <v>0</v>
      </c>
      <c r="L11806" t="n">
        <v>0</v>
      </c>
      <c r="M11806" t="n">
        <v>0</v>
      </c>
      <c r="N11806" t="n">
        <v>0</v>
      </c>
      <c r="O11806" t="n">
        <v>0</v>
      </c>
      <c r="P11806" t="n">
        <v>0</v>
      </c>
      <c r="Q11806" t="n">
        <v>0</v>
      </c>
      <c r="R11806" s="2" t="inlineStr"/>
    </row>
    <row r="11807" ht="15" customHeight="1">
      <c r="A11807" t="inlineStr">
        <is>
          <t>A 34576-2023</t>
        </is>
      </c>
      <c r="B11807" s="1" t="n">
        <v>45140.54517361111</v>
      </c>
      <c r="C11807" s="1" t="n">
        <v>45952</v>
      </c>
      <c r="D11807" t="inlineStr">
        <is>
          <t>VÄSTRA GÖTALANDS LÄN</t>
        </is>
      </c>
      <c r="E11807" t="inlineStr">
        <is>
          <t>ULRICEHAMN</t>
        </is>
      </c>
      <c r="G11807" t="n">
        <v>7.7</v>
      </c>
      <c r="H11807" t="n">
        <v>0</v>
      </c>
      <c r="I11807" t="n">
        <v>0</v>
      </c>
      <c r="J11807" t="n">
        <v>0</v>
      </c>
      <c r="K11807" t="n">
        <v>0</v>
      </c>
      <c r="L11807" t="n">
        <v>0</v>
      </c>
      <c r="M11807" t="n">
        <v>0</v>
      </c>
      <c r="N11807" t="n">
        <v>0</v>
      </c>
      <c r="O11807" t="n">
        <v>0</v>
      </c>
      <c r="P11807" t="n">
        <v>0</v>
      </c>
      <c r="Q11807" t="n">
        <v>0</v>
      </c>
      <c r="R11807" s="2" t="inlineStr"/>
    </row>
    <row r="11808" ht="15" customHeight="1">
      <c r="A11808" t="inlineStr">
        <is>
          <t>A 28865-2025</t>
        </is>
      </c>
      <c r="B11808" s="1" t="n">
        <v>45820</v>
      </c>
      <c r="C11808" s="1" t="n">
        <v>45952</v>
      </c>
      <c r="D11808" t="inlineStr">
        <is>
          <t>VÄSTRA GÖTALANDS LÄN</t>
        </is>
      </c>
      <c r="E11808" t="inlineStr">
        <is>
          <t>MELLERUD</t>
        </is>
      </c>
      <c r="G11808" t="n">
        <v>2.1</v>
      </c>
      <c r="H11808" t="n">
        <v>0</v>
      </c>
      <c r="I11808" t="n">
        <v>0</v>
      </c>
      <c r="J11808" t="n">
        <v>0</v>
      </c>
      <c r="K11808" t="n">
        <v>0</v>
      </c>
      <c r="L11808" t="n">
        <v>0</v>
      </c>
      <c r="M11808" t="n">
        <v>0</v>
      </c>
      <c r="N11808" t="n">
        <v>0</v>
      </c>
      <c r="O11808" t="n">
        <v>0</v>
      </c>
      <c r="P11808" t="n">
        <v>0</v>
      </c>
      <c r="Q11808" t="n">
        <v>0</v>
      </c>
      <c r="R11808" s="2" t="inlineStr"/>
    </row>
    <row r="11809" ht="15" customHeight="1">
      <c r="A11809" t="inlineStr">
        <is>
          <t>A 28870-2025</t>
        </is>
      </c>
      <c r="B11809" s="1" t="n">
        <v>45820</v>
      </c>
      <c r="C11809" s="1" t="n">
        <v>45952</v>
      </c>
      <c r="D11809" t="inlineStr">
        <is>
          <t>VÄSTRA GÖTALANDS LÄN</t>
        </is>
      </c>
      <c r="E11809" t="inlineStr">
        <is>
          <t>MELLERUD</t>
        </is>
      </c>
      <c r="G11809" t="n">
        <v>7.9</v>
      </c>
      <c r="H11809" t="n">
        <v>0</v>
      </c>
      <c r="I11809" t="n">
        <v>0</v>
      </c>
      <c r="J11809" t="n">
        <v>0</v>
      </c>
      <c r="K11809" t="n">
        <v>0</v>
      </c>
      <c r="L11809" t="n">
        <v>0</v>
      </c>
      <c r="M11809" t="n">
        <v>0</v>
      </c>
      <c r="N11809" t="n">
        <v>0</v>
      </c>
      <c r="O11809" t="n">
        <v>0</v>
      </c>
      <c r="P11809" t="n">
        <v>0</v>
      </c>
      <c r="Q11809" t="n">
        <v>0</v>
      </c>
      <c r="R11809" s="2" t="inlineStr"/>
    </row>
    <row r="11810" ht="15" customHeight="1">
      <c r="A11810" t="inlineStr">
        <is>
          <t>A 29308-2025</t>
        </is>
      </c>
      <c r="B11810" s="1" t="n">
        <v>45824.46103009259</v>
      </c>
      <c r="C11810" s="1" t="n">
        <v>45952</v>
      </c>
      <c r="D11810" t="inlineStr">
        <is>
          <t>VÄSTRA GÖTALANDS LÄN</t>
        </is>
      </c>
      <c r="E11810" t="inlineStr">
        <is>
          <t>STRÖMSTAD</t>
        </is>
      </c>
      <c r="G11810" t="n">
        <v>1.6</v>
      </c>
      <c r="H11810" t="n">
        <v>0</v>
      </c>
      <c r="I11810" t="n">
        <v>0</v>
      </c>
      <c r="J11810" t="n">
        <v>0</v>
      </c>
      <c r="K11810" t="n">
        <v>0</v>
      </c>
      <c r="L11810" t="n">
        <v>0</v>
      </c>
      <c r="M11810" t="n">
        <v>0</v>
      </c>
      <c r="N11810" t="n">
        <v>0</v>
      </c>
      <c r="O11810" t="n">
        <v>0</v>
      </c>
      <c r="P11810" t="n">
        <v>0</v>
      </c>
      <c r="Q11810" t="n">
        <v>0</v>
      </c>
      <c r="R11810" s="2" t="inlineStr"/>
    </row>
    <row r="11811" ht="15" customHeight="1">
      <c r="A11811" t="inlineStr">
        <is>
          <t>A 29317-2025</t>
        </is>
      </c>
      <c r="B11811" s="1" t="n">
        <v>45824.47145833333</v>
      </c>
      <c r="C11811" s="1" t="n">
        <v>45952</v>
      </c>
      <c r="D11811" t="inlineStr">
        <is>
          <t>VÄSTRA GÖTALANDS LÄN</t>
        </is>
      </c>
      <c r="E11811" t="inlineStr">
        <is>
          <t>TANUM</t>
        </is>
      </c>
      <c r="G11811" t="n">
        <v>1.4</v>
      </c>
      <c r="H11811" t="n">
        <v>0</v>
      </c>
      <c r="I11811" t="n">
        <v>0</v>
      </c>
      <c r="J11811" t="n">
        <v>0</v>
      </c>
      <c r="K11811" t="n">
        <v>0</v>
      </c>
      <c r="L11811" t="n">
        <v>0</v>
      </c>
      <c r="M11811" t="n">
        <v>0</v>
      </c>
      <c r="N11811" t="n">
        <v>0</v>
      </c>
      <c r="O11811" t="n">
        <v>0</v>
      </c>
      <c r="P11811" t="n">
        <v>0</v>
      </c>
      <c r="Q11811" t="n">
        <v>0</v>
      </c>
      <c r="R11811" s="2" t="inlineStr"/>
    </row>
    <row r="11812" ht="15" customHeight="1">
      <c r="A11812" t="inlineStr">
        <is>
          <t>A 42791-2025</t>
        </is>
      </c>
      <c r="B11812" s="1" t="n">
        <v>45908.52364583333</v>
      </c>
      <c r="C11812" s="1" t="n">
        <v>45952</v>
      </c>
      <c r="D11812" t="inlineStr">
        <is>
          <t>VÄSTRA GÖTALANDS LÄN</t>
        </is>
      </c>
      <c r="E11812" t="inlineStr">
        <is>
          <t>STENUNGSUND</t>
        </is>
      </c>
      <c r="G11812" t="n">
        <v>1.9</v>
      </c>
      <c r="H11812" t="n">
        <v>0</v>
      </c>
      <c r="I11812" t="n">
        <v>0</v>
      </c>
      <c r="J11812" t="n">
        <v>0</v>
      </c>
      <c r="K11812" t="n">
        <v>0</v>
      </c>
      <c r="L11812" t="n">
        <v>0</v>
      </c>
      <c r="M11812" t="n">
        <v>0</v>
      </c>
      <c r="N11812" t="n">
        <v>0</v>
      </c>
      <c r="O11812" t="n">
        <v>0</v>
      </c>
      <c r="P11812" t="n">
        <v>0</v>
      </c>
      <c r="Q11812" t="n">
        <v>0</v>
      </c>
      <c r="R11812" s="2" t="inlineStr"/>
    </row>
    <row r="11813" ht="15" customHeight="1">
      <c r="A11813" t="inlineStr">
        <is>
          <t>A 42651-2025</t>
        </is>
      </c>
      <c r="B11813" s="1" t="n">
        <v>45906.64269675926</v>
      </c>
      <c r="C11813" s="1" t="n">
        <v>45952</v>
      </c>
      <c r="D11813" t="inlineStr">
        <is>
          <t>VÄSTRA GÖTALANDS LÄN</t>
        </is>
      </c>
      <c r="E11813" t="inlineStr">
        <is>
          <t>TRANEMO</t>
        </is>
      </c>
      <c r="F11813" t="inlineStr">
        <is>
          <t>Kyrkan</t>
        </is>
      </c>
      <c r="G11813" t="n">
        <v>1.8</v>
      </c>
      <c r="H11813" t="n">
        <v>0</v>
      </c>
      <c r="I11813" t="n">
        <v>0</v>
      </c>
      <c r="J11813" t="n">
        <v>0</v>
      </c>
      <c r="K11813" t="n">
        <v>0</v>
      </c>
      <c r="L11813" t="n">
        <v>0</v>
      </c>
      <c r="M11813" t="n">
        <v>0</v>
      </c>
      <c r="N11813" t="n">
        <v>0</v>
      </c>
      <c r="O11813" t="n">
        <v>0</v>
      </c>
      <c r="P11813" t="n">
        <v>0</v>
      </c>
      <c r="Q11813" t="n">
        <v>0</v>
      </c>
      <c r="R11813" s="2" t="inlineStr"/>
    </row>
    <row r="11814" ht="15" customHeight="1">
      <c r="A11814" t="inlineStr">
        <is>
          <t>A 27339-2024</t>
        </is>
      </c>
      <c r="B11814" s="1" t="n">
        <v>45472.91881944444</v>
      </c>
      <c r="C11814" s="1" t="n">
        <v>45952</v>
      </c>
      <c r="D11814" t="inlineStr">
        <is>
          <t>VÄSTRA GÖTALANDS LÄN</t>
        </is>
      </c>
      <c r="E11814" t="inlineStr">
        <is>
          <t>BORÅS</t>
        </is>
      </c>
      <c r="G11814" t="n">
        <v>6.8</v>
      </c>
      <c r="H11814" t="n">
        <v>0</v>
      </c>
      <c r="I11814" t="n">
        <v>0</v>
      </c>
      <c r="J11814" t="n">
        <v>0</v>
      </c>
      <c r="K11814" t="n">
        <v>0</v>
      </c>
      <c r="L11814" t="n">
        <v>0</v>
      </c>
      <c r="M11814" t="n">
        <v>0</v>
      </c>
      <c r="N11814" t="n">
        <v>0</v>
      </c>
      <c r="O11814" t="n">
        <v>0</v>
      </c>
      <c r="P11814" t="n">
        <v>0</v>
      </c>
      <c r="Q11814" t="n">
        <v>0</v>
      </c>
      <c r="R11814" s="2" t="inlineStr"/>
    </row>
    <row r="11815" ht="15" customHeight="1">
      <c r="A11815" t="inlineStr">
        <is>
          <t>A 43090-2025</t>
        </is>
      </c>
      <c r="B11815" s="1" t="n">
        <v>45909.62460648148</v>
      </c>
      <c r="C11815" s="1" t="n">
        <v>45952</v>
      </c>
      <c r="D11815" t="inlineStr">
        <is>
          <t>VÄSTRA GÖTALANDS LÄN</t>
        </is>
      </c>
      <c r="E11815" t="inlineStr">
        <is>
          <t>MARIESTAD</t>
        </is>
      </c>
      <c r="G11815" t="n">
        <v>2.8</v>
      </c>
      <c r="H11815" t="n">
        <v>0</v>
      </c>
      <c r="I11815" t="n">
        <v>0</v>
      </c>
      <c r="J11815" t="n">
        <v>0</v>
      </c>
      <c r="K11815" t="n">
        <v>0</v>
      </c>
      <c r="L11815" t="n">
        <v>0</v>
      </c>
      <c r="M11815" t="n">
        <v>0</v>
      </c>
      <c r="N11815" t="n">
        <v>0</v>
      </c>
      <c r="O11815" t="n">
        <v>0</v>
      </c>
      <c r="P11815" t="n">
        <v>0</v>
      </c>
      <c r="Q11815" t="n">
        <v>0</v>
      </c>
      <c r="R11815" s="2" t="inlineStr"/>
    </row>
    <row r="11816" ht="15" customHeight="1">
      <c r="A11816" t="inlineStr">
        <is>
          <t>A 43561-2024</t>
        </is>
      </c>
      <c r="B11816" s="1" t="n">
        <v>45569.39880787037</v>
      </c>
      <c r="C11816" s="1" t="n">
        <v>45952</v>
      </c>
      <c r="D11816" t="inlineStr">
        <is>
          <t>VÄSTRA GÖTALANDS LÄN</t>
        </is>
      </c>
      <c r="E11816" t="inlineStr">
        <is>
          <t>TÖREBODA</t>
        </is>
      </c>
      <c r="G11816" t="n">
        <v>1</v>
      </c>
      <c r="H11816" t="n">
        <v>0</v>
      </c>
      <c r="I11816" t="n">
        <v>0</v>
      </c>
      <c r="J11816" t="n">
        <v>0</v>
      </c>
      <c r="K11816" t="n">
        <v>0</v>
      </c>
      <c r="L11816" t="n">
        <v>0</v>
      </c>
      <c r="M11816" t="n">
        <v>0</v>
      </c>
      <c r="N11816" t="n">
        <v>0</v>
      </c>
      <c r="O11816" t="n">
        <v>0</v>
      </c>
      <c r="P11816" t="n">
        <v>0</v>
      </c>
      <c r="Q11816" t="n">
        <v>0</v>
      </c>
      <c r="R11816" s="2" t="inlineStr"/>
    </row>
    <row r="11817" ht="15" customHeight="1">
      <c r="A11817" t="inlineStr">
        <is>
          <t>A 51362-2025</t>
        </is>
      </c>
      <c r="B11817" s="1" t="n">
        <v>45950.44516203704</v>
      </c>
      <c r="C11817" s="1" t="n">
        <v>45952</v>
      </c>
      <c r="D11817" t="inlineStr">
        <is>
          <t>VÄSTRA GÖTALANDS LÄN</t>
        </is>
      </c>
      <c r="E11817" t="inlineStr">
        <is>
          <t>HJO</t>
        </is>
      </c>
      <c r="G11817" t="n">
        <v>0.6</v>
      </c>
      <c r="H11817" t="n">
        <v>0</v>
      </c>
      <c r="I11817" t="n">
        <v>0</v>
      </c>
      <c r="J11817" t="n">
        <v>0</v>
      </c>
      <c r="K11817" t="n">
        <v>0</v>
      </c>
      <c r="L11817" t="n">
        <v>0</v>
      </c>
      <c r="M11817" t="n">
        <v>0</v>
      </c>
      <c r="N11817" t="n">
        <v>0</v>
      </c>
      <c r="O11817" t="n">
        <v>0</v>
      </c>
      <c r="P11817" t="n">
        <v>0</v>
      </c>
      <c r="Q11817" t="n">
        <v>0</v>
      </c>
      <c r="R11817" s="2" t="inlineStr"/>
    </row>
    <row r="11818" ht="15" customHeight="1">
      <c r="A11818" t="inlineStr">
        <is>
          <t>A 51468-2025</t>
        </is>
      </c>
      <c r="B11818" s="1" t="n">
        <v>45950.6122800926</v>
      </c>
      <c r="C11818" s="1" t="n">
        <v>45952</v>
      </c>
      <c r="D11818" t="inlineStr">
        <is>
          <t>VÄSTRA GÖTALANDS LÄN</t>
        </is>
      </c>
      <c r="E11818" t="inlineStr">
        <is>
          <t>FÄRGELANDA</t>
        </is>
      </c>
      <c r="G11818" t="n">
        <v>0.7</v>
      </c>
      <c r="H11818" t="n">
        <v>0</v>
      </c>
      <c r="I11818" t="n">
        <v>0</v>
      </c>
      <c r="J11818" t="n">
        <v>0</v>
      </c>
      <c r="K11818" t="n">
        <v>0</v>
      </c>
      <c r="L11818" t="n">
        <v>0</v>
      </c>
      <c r="M11818" t="n">
        <v>0</v>
      </c>
      <c r="N11818" t="n">
        <v>0</v>
      </c>
      <c r="O11818" t="n">
        <v>0</v>
      </c>
      <c r="P11818" t="n">
        <v>0</v>
      </c>
      <c r="Q11818" t="n">
        <v>0</v>
      </c>
      <c r="R11818" s="2" t="inlineStr"/>
    </row>
    <row r="11819" ht="15" customHeight="1">
      <c r="A11819" t="inlineStr">
        <is>
          <t>A 21497-2021</t>
        </is>
      </c>
      <c r="B11819" s="1" t="n">
        <v>44321.5434375</v>
      </c>
      <c r="C11819" s="1" t="n">
        <v>45952</v>
      </c>
      <c r="D11819" t="inlineStr">
        <is>
          <t>VÄSTRA GÖTALANDS LÄN</t>
        </is>
      </c>
      <c r="E11819" t="inlineStr">
        <is>
          <t>SKARA</t>
        </is>
      </c>
      <c r="G11819" t="n">
        <v>0.7</v>
      </c>
      <c r="H11819" t="n">
        <v>0</v>
      </c>
      <c r="I11819" t="n">
        <v>0</v>
      </c>
      <c r="J11819" t="n">
        <v>0</v>
      </c>
      <c r="K11819" t="n">
        <v>0</v>
      </c>
      <c r="L11819" t="n">
        <v>0</v>
      </c>
      <c r="M11819" t="n">
        <v>0</v>
      </c>
      <c r="N11819" t="n">
        <v>0</v>
      </c>
      <c r="O11819" t="n">
        <v>0</v>
      </c>
      <c r="P11819" t="n">
        <v>0</v>
      </c>
      <c r="Q11819" t="n">
        <v>0</v>
      </c>
      <c r="R11819" s="2" t="inlineStr"/>
    </row>
    <row r="11820" ht="15" customHeight="1">
      <c r="A11820" t="inlineStr">
        <is>
          <t>A 29243-2025</t>
        </is>
      </c>
      <c r="B11820" s="1" t="n">
        <v>45824.36542824074</v>
      </c>
      <c r="C11820" s="1" t="n">
        <v>45952</v>
      </c>
      <c r="D11820" t="inlineStr">
        <is>
          <t>VÄSTRA GÖTALANDS LÄN</t>
        </is>
      </c>
      <c r="E11820" t="inlineStr">
        <is>
          <t>TANUM</t>
        </is>
      </c>
      <c r="G11820" t="n">
        <v>1.9</v>
      </c>
      <c r="H11820" t="n">
        <v>0</v>
      </c>
      <c r="I11820" t="n">
        <v>0</v>
      </c>
      <c r="J11820" t="n">
        <v>0</v>
      </c>
      <c r="K11820" t="n">
        <v>0</v>
      </c>
      <c r="L11820" t="n">
        <v>0</v>
      </c>
      <c r="M11820" t="n">
        <v>0</v>
      </c>
      <c r="N11820" t="n">
        <v>0</v>
      </c>
      <c r="O11820" t="n">
        <v>0</v>
      </c>
      <c r="P11820" t="n">
        <v>0</v>
      </c>
      <c r="Q11820" t="n">
        <v>0</v>
      </c>
      <c r="R11820" s="2" t="inlineStr"/>
    </row>
    <row r="11821" ht="15" customHeight="1">
      <c r="A11821" t="inlineStr">
        <is>
          <t>A 29805-2025</t>
        </is>
      </c>
      <c r="B11821" s="1" t="n">
        <v>45825</v>
      </c>
      <c r="C11821" s="1" t="n">
        <v>45952</v>
      </c>
      <c r="D11821" t="inlineStr">
        <is>
          <t>VÄSTRA GÖTALANDS LÄN</t>
        </is>
      </c>
      <c r="E11821" t="inlineStr">
        <is>
          <t>MARIESTAD</t>
        </is>
      </c>
      <c r="G11821" t="n">
        <v>1.3</v>
      </c>
      <c r="H11821" t="n">
        <v>0</v>
      </c>
      <c r="I11821" t="n">
        <v>0</v>
      </c>
      <c r="J11821" t="n">
        <v>0</v>
      </c>
      <c r="K11821" t="n">
        <v>0</v>
      </c>
      <c r="L11821" t="n">
        <v>0</v>
      </c>
      <c r="M11821" t="n">
        <v>0</v>
      </c>
      <c r="N11821" t="n">
        <v>0</v>
      </c>
      <c r="O11821" t="n">
        <v>0</v>
      </c>
      <c r="P11821" t="n">
        <v>0</v>
      </c>
      <c r="Q11821" t="n">
        <v>0</v>
      </c>
      <c r="R11821" s="2" t="inlineStr"/>
    </row>
    <row r="11822" ht="15" customHeight="1">
      <c r="A11822" t="inlineStr">
        <is>
          <t>A 20415-2025</t>
        </is>
      </c>
      <c r="B11822" s="1" t="n">
        <v>45775.46172453704</v>
      </c>
      <c r="C11822" s="1" t="n">
        <v>45952</v>
      </c>
      <c r="D11822" t="inlineStr">
        <is>
          <t>VÄSTRA GÖTALANDS LÄN</t>
        </is>
      </c>
      <c r="E11822" t="inlineStr">
        <is>
          <t>MARK</t>
        </is>
      </c>
      <c r="G11822" t="n">
        <v>1.1</v>
      </c>
      <c r="H11822" t="n">
        <v>0</v>
      </c>
      <c r="I11822" t="n">
        <v>0</v>
      </c>
      <c r="J11822" t="n">
        <v>0</v>
      </c>
      <c r="K11822" t="n">
        <v>0</v>
      </c>
      <c r="L11822" t="n">
        <v>0</v>
      </c>
      <c r="M11822" t="n">
        <v>0</v>
      </c>
      <c r="N11822" t="n">
        <v>0</v>
      </c>
      <c r="O11822" t="n">
        <v>0</v>
      </c>
      <c r="P11822" t="n">
        <v>0</v>
      </c>
      <c r="Q11822" t="n">
        <v>0</v>
      </c>
      <c r="R11822" s="2" t="inlineStr"/>
    </row>
    <row r="11823" ht="15" customHeight="1">
      <c r="A11823" t="inlineStr">
        <is>
          <t>A 22480-2025</t>
        </is>
      </c>
      <c r="B11823" s="1" t="n">
        <v>45786.6363425926</v>
      </c>
      <c r="C11823" s="1" t="n">
        <v>45952</v>
      </c>
      <c r="D11823" t="inlineStr">
        <is>
          <t>VÄSTRA GÖTALANDS LÄN</t>
        </is>
      </c>
      <c r="E11823" t="inlineStr">
        <is>
          <t>TIDAHOLM</t>
        </is>
      </c>
      <c r="G11823" t="n">
        <v>3.5</v>
      </c>
      <c r="H11823" t="n">
        <v>0</v>
      </c>
      <c r="I11823" t="n">
        <v>0</v>
      </c>
      <c r="J11823" t="n">
        <v>0</v>
      </c>
      <c r="K11823" t="n">
        <v>0</v>
      </c>
      <c r="L11823" t="n">
        <v>0</v>
      </c>
      <c r="M11823" t="n">
        <v>0</v>
      </c>
      <c r="N11823" t="n">
        <v>0</v>
      </c>
      <c r="O11823" t="n">
        <v>0</v>
      </c>
      <c r="P11823" t="n">
        <v>0</v>
      </c>
      <c r="Q11823" t="n">
        <v>0</v>
      </c>
      <c r="R11823" s="2" t="inlineStr"/>
    </row>
    <row r="11824" ht="15" customHeight="1">
      <c r="A11824" t="inlineStr">
        <is>
          <t>A 42658-2025</t>
        </is>
      </c>
      <c r="B11824" s="1" t="n">
        <v>45907.52702546296</v>
      </c>
      <c r="C11824" s="1" t="n">
        <v>45952</v>
      </c>
      <c r="D11824" t="inlineStr">
        <is>
          <t>VÄSTRA GÖTALANDS LÄN</t>
        </is>
      </c>
      <c r="E11824" t="inlineStr">
        <is>
          <t>UDDEVALLA</t>
        </is>
      </c>
      <c r="G11824" t="n">
        <v>4.6</v>
      </c>
      <c r="H11824" t="n">
        <v>0</v>
      </c>
      <c r="I11824" t="n">
        <v>0</v>
      </c>
      <c r="J11824" t="n">
        <v>0</v>
      </c>
      <c r="K11824" t="n">
        <v>0</v>
      </c>
      <c r="L11824" t="n">
        <v>0</v>
      </c>
      <c r="M11824" t="n">
        <v>0</v>
      </c>
      <c r="N11824" t="n">
        <v>0</v>
      </c>
      <c r="O11824" t="n">
        <v>0</v>
      </c>
      <c r="P11824" t="n">
        <v>0</v>
      </c>
      <c r="Q11824" t="n">
        <v>0</v>
      </c>
      <c r="R11824" s="2" t="inlineStr"/>
    </row>
    <row r="11825" ht="15" customHeight="1">
      <c r="A11825" t="inlineStr">
        <is>
          <t>A 29581-2025</t>
        </is>
      </c>
      <c r="B11825" s="1" t="n">
        <v>45825.38179398148</v>
      </c>
      <c r="C11825" s="1" t="n">
        <v>45952</v>
      </c>
      <c r="D11825" t="inlineStr">
        <is>
          <t>VÄSTRA GÖTALANDS LÄN</t>
        </is>
      </c>
      <c r="E11825" t="inlineStr">
        <is>
          <t>TRANEMO</t>
        </is>
      </c>
      <c r="G11825" t="n">
        <v>4.7</v>
      </c>
      <c r="H11825" t="n">
        <v>0</v>
      </c>
      <c r="I11825" t="n">
        <v>0</v>
      </c>
      <c r="J11825" t="n">
        <v>0</v>
      </c>
      <c r="K11825" t="n">
        <v>0</v>
      </c>
      <c r="L11825" t="n">
        <v>0</v>
      </c>
      <c r="M11825" t="n">
        <v>0</v>
      </c>
      <c r="N11825" t="n">
        <v>0</v>
      </c>
      <c r="O11825" t="n">
        <v>0</v>
      </c>
      <c r="P11825" t="n">
        <v>0</v>
      </c>
      <c r="Q11825" t="n">
        <v>0</v>
      </c>
      <c r="R11825" s="2" t="inlineStr"/>
    </row>
    <row r="11826" ht="15" customHeight="1">
      <c r="A11826" t="inlineStr">
        <is>
          <t>A 49309-2021</t>
        </is>
      </c>
      <c r="B11826" s="1" t="n">
        <v>44454</v>
      </c>
      <c r="C11826" s="1" t="n">
        <v>45952</v>
      </c>
      <c r="D11826" t="inlineStr">
        <is>
          <t>VÄSTRA GÖTALANDS LÄN</t>
        </is>
      </c>
      <c r="E11826" t="inlineStr">
        <is>
          <t>TIDAHOLM</t>
        </is>
      </c>
      <c r="G11826" t="n">
        <v>4.2</v>
      </c>
      <c r="H11826" t="n">
        <v>0</v>
      </c>
      <c r="I11826" t="n">
        <v>0</v>
      </c>
      <c r="J11826" t="n">
        <v>0</v>
      </c>
      <c r="K11826" t="n">
        <v>0</v>
      </c>
      <c r="L11826" t="n">
        <v>0</v>
      </c>
      <c r="M11826" t="n">
        <v>0</v>
      </c>
      <c r="N11826" t="n">
        <v>0</v>
      </c>
      <c r="O11826" t="n">
        <v>0</v>
      </c>
      <c r="P11826" t="n">
        <v>0</v>
      </c>
      <c r="Q11826" t="n">
        <v>0</v>
      </c>
      <c r="R11826" s="2" t="inlineStr"/>
    </row>
    <row r="11827" ht="15" customHeight="1">
      <c r="A11827" t="inlineStr">
        <is>
          <t>A 29488-2025</t>
        </is>
      </c>
      <c r="B11827" s="1" t="n">
        <v>45824</v>
      </c>
      <c r="C11827" s="1" t="n">
        <v>45952</v>
      </c>
      <c r="D11827" t="inlineStr">
        <is>
          <t>VÄSTRA GÖTALANDS LÄN</t>
        </is>
      </c>
      <c r="E11827" t="inlineStr">
        <is>
          <t>KARLSBORG</t>
        </is>
      </c>
      <c r="F11827" t="inlineStr">
        <is>
          <t>Övriga Aktiebolag</t>
        </is>
      </c>
      <c r="G11827" t="n">
        <v>1.4</v>
      </c>
      <c r="H11827" t="n">
        <v>0</v>
      </c>
      <c r="I11827" t="n">
        <v>0</v>
      </c>
      <c r="J11827" t="n">
        <v>0</v>
      </c>
      <c r="K11827" t="n">
        <v>0</v>
      </c>
      <c r="L11827" t="n">
        <v>0</v>
      </c>
      <c r="M11827" t="n">
        <v>0</v>
      </c>
      <c r="N11827" t="n">
        <v>0</v>
      </c>
      <c r="O11827" t="n">
        <v>0</v>
      </c>
      <c r="P11827" t="n">
        <v>0</v>
      </c>
      <c r="Q11827" t="n">
        <v>0</v>
      </c>
      <c r="R11827" s="2" t="inlineStr"/>
    </row>
    <row r="11828" ht="15" customHeight="1">
      <c r="A11828" t="inlineStr">
        <is>
          <t>A 29515-2025</t>
        </is>
      </c>
      <c r="B11828" s="1" t="n">
        <v>45825.31734953704</v>
      </c>
      <c r="C11828" s="1" t="n">
        <v>45952</v>
      </c>
      <c r="D11828" t="inlineStr">
        <is>
          <t>VÄSTRA GÖTALANDS LÄN</t>
        </is>
      </c>
      <c r="E11828" t="inlineStr">
        <is>
          <t>ULRICEHAMN</t>
        </is>
      </c>
      <c r="G11828" t="n">
        <v>0.9</v>
      </c>
      <c r="H11828" t="n">
        <v>0</v>
      </c>
      <c r="I11828" t="n">
        <v>0</v>
      </c>
      <c r="J11828" t="n">
        <v>0</v>
      </c>
      <c r="K11828" t="n">
        <v>0</v>
      </c>
      <c r="L11828" t="n">
        <v>0</v>
      </c>
      <c r="M11828" t="n">
        <v>0</v>
      </c>
      <c r="N11828" t="n">
        <v>0</v>
      </c>
      <c r="O11828" t="n">
        <v>0</v>
      </c>
      <c r="P11828" t="n">
        <v>0</v>
      </c>
      <c r="Q11828" t="n">
        <v>0</v>
      </c>
      <c r="R11828" s="2" t="inlineStr"/>
    </row>
    <row r="11829" ht="15" customHeight="1">
      <c r="A11829" t="inlineStr">
        <is>
          <t>A 29794-2025</t>
        </is>
      </c>
      <c r="B11829" s="1" t="n">
        <v>45825.66684027778</v>
      </c>
      <c r="C11829" s="1" t="n">
        <v>45952</v>
      </c>
      <c r="D11829" t="inlineStr">
        <is>
          <t>VÄSTRA GÖTALANDS LÄN</t>
        </is>
      </c>
      <c r="E11829" t="inlineStr">
        <is>
          <t>BOLLEBYGD</t>
        </is>
      </c>
      <c r="G11829" t="n">
        <v>4</v>
      </c>
      <c r="H11829" t="n">
        <v>0</v>
      </c>
      <c r="I11829" t="n">
        <v>0</v>
      </c>
      <c r="J11829" t="n">
        <v>0</v>
      </c>
      <c r="K11829" t="n">
        <v>0</v>
      </c>
      <c r="L11829" t="n">
        <v>0</v>
      </c>
      <c r="M11829" t="n">
        <v>0</v>
      </c>
      <c r="N11829" t="n">
        <v>0</v>
      </c>
      <c r="O11829" t="n">
        <v>0</v>
      </c>
      <c r="P11829" t="n">
        <v>0</v>
      </c>
      <c r="Q11829" t="n">
        <v>0</v>
      </c>
      <c r="R11829" s="2" t="inlineStr"/>
    </row>
    <row r="11830" ht="15" customHeight="1">
      <c r="A11830" t="inlineStr">
        <is>
          <t>A 58599-2022</t>
        </is>
      </c>
      <c r="B11830" s="1" t="n">
        <v>44902.55736111111</v>
      </c>
      <c r="C11830" s="1" t="n">
        <v>45952</v>
      </c>
      <c r="D11830" t="inlineStr">
        <is>
          <t>VÄSTRA GÖTALANDS LÄN</t>
        </is>
      </c>
      <c r="E11830" t="inlineStr">
        <is>
          <t>MARK</t>
        </is>
      </c>
      <c r="G11830" t="n">
        <v>2.7</v>
      </c>
      <c r="H11830" t="n">
        <v>0</v>
      </c>
      <c r="I11830" t="n">
        <v>0</v>
      </c>
      <c r="J11830" t="n">
        <v>0</v>
      </c>
      <c r="K11830" t="n">
        <v>0</v>
      </c>
      <c r="L11830" t="n">
        <v>0</v>
      </c>
      <c r="M11830" t="n">
        <v>0</v>
      </c>
      <c r="N11830" t="n">
        <v>0</v>
      </c>
      <c r="O11830" t="n">
        <v>0</v>
      </c>
      <c r="P11830" t="n">
        <v>0</v>
      </c>
      <c r="Q11830" t="n">
        <v>0</v>
      </c>
      <c r="R11830" s="2" t="inlineStr"/>
    </row>
    <row r="11831" ht="15" customHeight="1">
      <c r="A11831" t="inlineStr">
        <is>
          <t>A 46076-2021</t>
        </is>
      </c>
      <c r="B11831" s="1" t="n">
        <v>44442</v>
      </c>
      <c r="C11831" s="1" t="n">
        <v>45952</v>
      </c>
      <c r="D11831" t="inlineStr">
        <is>
          <t>VÄSTRA GÖTALANDS LÄN</t>
        </is>
      </c>
      <c r="E11831" t="inlineStr">
        <is>
          <t>MELLERUD</t>
        </is>
      </c>
      <c r="G11831" t="n">
        <v>7.5</v>
      </c>
      <c r="H11831" t="n">
        <v>0</v>
      </c>
      <c r="I11831" t="n">
        <v>0</v>
      </c>
      <c r="J11831" t="n">
        <v>0</v>
      </c>
      <c r="K11831" t="n">
        <v>0</v>
      </c>
      <c r="L11831" t="n">
        <v>0</v>
      </c>
      <c r="M11831" t="n">
        <v>0</v>
      </c>
      <c r="N11831" t="n">
        <v>0</v>
      </c>
      <c r="O11831" t="n">
        <v>0</v>
      </c>
      <c r="P11831" t="n">
        <v>0</v>
      </c>
      <c r="Q11831" t="n">
        <v>0</v>
      </c>
      <c r="R11831" s="2" t="inlineStr"/>
    </row>
    <row r="11832" ht="15" customHeight="1">
      <c r="A11832" t="inlineStr">
        <is>
          <t>A 13109-2023</t>
        </is>
      </c>
      <c r="B11832" s="1" t="n">
        <v>45002</v>
      </c>
      <c r="C11832" s="1" t="n">
        <v>45952</v>
      </c>
      <c r="D11832" t="inlineStr">
        <is>
          <t>VÄSTRA GÖTALANDS LÄN</t>
        </is>
      </c>
      <c r="E11832" t="inlineStr">
        <is>
          <t>STRÖMSTAD</t>
        </is>
      </c>
      <c r="G11832" t="n">
        <v>2.6</v>
      </c>
      <c r="H11832" t="n">
        <v>0</v>
      </c>
      <c r="I11832" t="n">
        <v>0</v>
      </c>
      <c r="J11832" t="n">
        <v>0</v>
      </c>
      <c r="K11832" t="n">
        <v>0</v>
      </c>
      <c r="L11832" t="n">
        <v>0</v>
      </c>
      <c r="M11832" t="n">
        <v>0</v>
      </c>
      <c r="N11832" t="n">
        <v>0</v>
      </c>
      <c r="O11832" t="n">
        <v>0</v>
      </c>
      <c r="P11832" t="n">
        <v>0</v>
      </c>
      <c r="Q11832" t="n">
        <v>0</v>
      </c>
      <c r="R11832" s="2" t="inlineStr"/>
    </row>
    <row r="11833" ht="15" customHeight="1">
      <c r="A11833" t="inlineStr">
        <is>
          <t>A 29433-2025</t>
        </is>
      </c>
      <c r="B11833" s="1" t="n">
        <v>45824.65635416667</v>
      </c>
      <c r="C11833" s="1" t="n">
        <v>45952</v>
      </c>
      <c r="D11833" t="inlineStr">
        <is>
          <t>VÄSTRA GÖTALANDS LÄN</t>
        </is>
      </c>
      <c r="E11833" t="inlineStr">
        <is>
          <t>LIDKÖPING</t>
        </is>
      </c>
      <c r="G11833" t="n">
        <v>1.4</v>
      </c>
      <c r="H11833" t="n">
        <v>0</v>
      </c>
      <c r="I11833" t="n">
        <v>0</v>
      </c>
      <c r="J11833" t="n">
        <v>0</v>
      </c>
      <c r="K11833" t="n">
        <v>0</v>
      </c>
      <c r="L11833" t="n">
        <v>0</v>
      </c>
      <c r="M11833" t="n">
        <v>0</v>
      </c>
      <c r="N11833" t="n">
        <v>0</v>
      </c>
      <c r="O11833" t="n">
        <v>0</v>
      </c>
      <c r="P11833" t="n">
        <v>0</v>
      </c>
      <c r="Q11833" t="n">
        <v>0</v>
      </c>
      <c r="R11833" s="2" t="inlineStr"/>
    </row>
    <row r="11834" ht="15" customHeight="1">
      <c r="A11834" t="inlineStr">
        <is>
          <t>A 29509-2025</t>
        </is>
      </c>
      <c r="B11834" s="1" t="n">
        <v>45825.30631944445</v>
      </c>
      <c r="C11834" s="1" t="n">
        <v>45952</v>
      </c>
      <c r="D11834" t="inlineStr">
        <is>
          <t>VÄSTRA GÖTALANDS LÄN</t>
        </is>
      </c>
      <c r="E11834" t="inlineStr">
        <is>
          <t>ÅMÅL</t>
        </is>
      </c>
      <c r="G11834" t="n">
        <v>5.3</v>
      </c>
      <c r="H11834" t="n">
        <v>0</v>
      </c>
      <c r="I11834" t="n">
        <v>0</v>
      </c>
      <c r="J11834" t="n">
        <v>0</v>
      </c>
      <c r="K11834" t="n">
        <v>0</v>
      </c>
      <c r="L11834" t="n">
        <v>0</v>
      </c>
      <c r="M11834" t="n">
        <v>0</v>
      </c>
      <c r="N11834" t="n">
        <v>0</v>
      </c>
      <c r="O11834" t="n">
        <v>0</v>
      </c>
      <c r="P11834" t="n">
        <v>0</v>
      </c>
      <c r="Q11834" t="n">
        <v>0</v>
      </c>
      <c r="R11834" s="2" t="inlineStr"/>
    </row>
    <row r="11835" ht="15" customHeight="1">
      <c r="A11835" t="inlineStr">
        <is>
          <t>A 29556-2025</t>
        </is>
      </c>
      <c r="B11835" s="1" t="n">
        <v>45825.35626157407</v>
      </c>
      <c r="C11835" s="1" t="n">
        <v>45952</v>
      </c>
      <c r="D11835" t="inlineStr">
        <is>
          <t>VÄSTRA GÖTALANDS LÄN</t>
        </is>
      </c>
      <c r="E11835" t="inlineStr">
        <is>
          <t>DALS-ED</t>
        </is>
      </c>
      <c r="G11835" t="n">
        <v>5.9</v>
      </c>
      <c r="H11835" t="n">
        <v>0</v>
      </c>
      <c r="I11835" t="n">
        <v>0</v>
      </c>
      <c r="J11835" t="n">
        <v>0</v>
      </c>
      <c r="K11835" t="n">
        <v>0</v>
      </c>
      <c r="L11835" t="n">
        <v>0</v>
      </c>
      <c r="M11835" t="n">
        <v>0</v>
      </c>
      <c r="N11835" t="n">
        <v>0</v>
      </c>
      <c r="O11835" t="n">
        <v>0</v>
      </c>
      <c r="P11835" t="n">
        <v>0</v>
      </c>
      <c r="Q11835" t="n">
        <v>0</v>
      </c>
      <c r="R11835" s="2" t="inlineStr"/>
    </row>
    <row r="11836" ht="15" customHeight="1">
      <c r="A11836" t="inlineStr">
        <is>
          <t>A 39867-2023</t>
        </is>
      </c>
      <c r="B11836" s="1" t="n">
        <v>45168.39663194444</v>
      </c>
      <c r="C11836" s="1" t="n">
        <v>45952</v>
      </c>
      <c r="D11836" t="inlineStr">
        <is>
          <t>VÄSTRA GÖTALANDS LÄN</t>
        </is>
      </c>
      <c r="E11836" t="inlineStr">
        <is>
          <t>UDDEVALLA</t>
        </is>
      </c>
      <c r="G11836" t="n">
        <v>1.8</v>
      </c>
      <c r="H11836" t="n">
        <v>0</v>
      </c>
      <c r="I11836" t="n">
        <v>0</v>
      </c>
      <c r="J11836" t="n">
        <v>0</v>
      </c>
      <c r="K11836" t="n">
        <v>0</v>
      </c>
      <c r="L11836" t="n">
        <v>0</v>
      </c>
      <c r="M11836" t="n">
        <v>0</v>
      </c>
      <c r="N11836" t="n">
        <v>0</v>
      </c>
      <c r="O11836" t="n">
        <v>0</v>
      </c>
      <c r="P11836" t="n">
        <v>0</v>
      </c>
      <c r="Q11836" t="n">
        <v>0</v>
      </c>
      <c r="R11836" s="2" t="inlineStr"/>
    </row>
    <row r="11837" ht="15" customHeight="1">
      <c r="A11837" t="inlineStr">
        <is>
          <t>A 29341-2025</t>
        </is>
      </c>
      <c r="B11837" s="1" t="n">
        <v>45824.5056712963</v>
      </c>
      <c r="C11837" s="1" t="n">
        <v>45952</v>
      </c>
      <c r="D11837" t="inlineStr">
        <is>
          <t>VÄSTRA GÖTALANDS LÄN</t>
        </is>
      </c>
      <c r="E11837" t="inlineStr">
        <is>
          <t>SKÖVDE</t>
        </is>
      </c>
      <c r="F11837" t="inlineStr">
        <is>
          <t>Kommuner</t>
        </is>
      </c>
      <c r="G11837" t="n">
        <v>1</v>
      </c>
      <c r="H11837" t="n">
        <v>0</v>
      </c>
      <c r="I11837" t="n">
        <v>0</v>
      </c>
      <c r="J11837" t="n">
        <v>0</v>
      </c>
      <c r="K11837" t="n">
        <v>0</v>
      </c>
      <c r="L11837" t="n">
        <v>0</v>
      </c>
      <c r="M11837" t="n">
        <v>0</v>
      </c>
      <c r="N11837" t="n">
        <v>0</v>
      </c>
      <c r="O11837" t="n">
        <v>0</v>
      </c>
      <c r="P11837" t="n">
        <v>0</v>
      </c>
      <c r="Q11837" t="n">
        <v>0</v>
      </c>
      <c r="R11837" s="2" t="inlineStr"/>
    </row>
    <row r="11838" ht="15" customHeight="1">
      <c r="A11838" t="inlineStr">
        <is>
          <t>A 29342-2025</t>
        </is>
      </c>
      <c r="B11838" s="1" t="n">
        <v>45824.50614583334</v>
      </c>
      <c r="C11838" s="1" t="n">
        <v>45952</v>
      </c>
      <c r="D11838" t="inlineStr">
        <is>
          <t>VÄSTRA GÖTALANDS LÄN</t>
        </is>
      </c>
      <c r="E11838" t="inlineStr">
        <is>
          <t>SVENLJUNGA</t>
        </is>
      </c>
      <c r="G11838" t="n">
        <v>0.8</v>
      </c>
      <c r="H11838" t="n">
        <v>0</v>
      </c>
      <c r="I11838" t="n">
        <v>0</v>
      </c>
      <c r="J11838" t="n">
        <v>0</v>
      </c>
      <c r="K11838" t="n">
        <v>0</v>
      </c>
      <c r="L11838" t="n">
        <v>0</v>
      </c>
      <c r="M11838" t="n">
        <v>0</v>
      </c>
      <c r="N11838" t="n">
        <v>0</v>
      </c>
      <c r="O11838" t="n">
        <v>0</v>
      </c>
      <c r="P11838" t="n">
        <v>0</v>
      </c>
      <c r="Q11838" t="n">
        <v>0</v>
      </c>
      <c r="R11838" s="2" t="inlineStr"/>
    </row>
    <row r="11839" ht="15" customHeight="1">
      <c r="A11839" t="inlineStr">
        <is>
          <t>A 29345-2025</t>
        </is>
      </c>
      <c r="B11839" s="1" t="n">
        <v>45824.50850694445</v>
      </c>
      <c r="C11839" s="1" t="n">
        <v>45952</v>
      </c>
      <c r="D11839" t="inlineStr">
        <is>
          <t>VÄSTRA GÖTALANDS LÄN</t>
        </is>
      </c>
      <c r="E11839" t="inlineStr">
        <is>
          <t>SVENLJUNGA</t>
        </is>
      </c>
      <c r="G11839" t="n">
        <v>1.6</v>
      </c>
      <c r="H11839" t="n">
        <v>0</v>
      </c>
      <c r="I11839" t="n">
        <v>0</v>
      </c>
      <c r="J11839" t="n">
        <v>0</v>
      </c>
      <c r="K11839" t="n">
        <v>0</v>
      </c>
      <c r="L11839" t="n">
        <v>0</v>
      </c>
      <c r="M11839" t="n">
        <v>0</v>
      </c>
      <c r="N11839" t="n">
        <v>0</v>
      </c>
      <c r="O11839" t="n">
        <v>0</v>
      </c>
      <c r="P11839" t="n">
        <v>0</v>
      </c>
      <c r="Q11839" t="n">
        <v>0</v>
      </c>
      <c r="R11839" s="2" t="inlineStr"/>
    </row>
    <row r="11840" ht="15" customHeight="1">
      <c r="A11840" t="inlineStr">
        <is>
          <t>A 29371-2025</t>
        </is>
      </c>
      <c r="B11840" s="1" t="n">
        <v>45824</v>
      </c>
      <c r="C11840" s="1" t="n">
        <v>45952</v>
      </c>
      <c r="D11840" t="inlineStr">
        <is>
          <t>VÄSTRA GÖTALANDS LÄN</t>
        </is>
      </c>
      <c r="E11840" t="inlineStr">
        <is>
          <t>TANUM</t>
        </is>
      </c>
      <c r="G11840" t="n">
        <v>6.3</v>
      </c>
      <c r="H11840" t="n">
        <v>0</v>
      </c>
      <c r="I11840" t="n">
        <v>0</v>
      </c>
      <c r="J11840" t="n">
        <v>0</v>
      </c>
      <c r="K11840" t="n">
        <v>0</v>
      </c>
      <c r="L11840" t="n">
        <v>0</v>
      </c>
      <c r="M11840" t="n">
        <v>0</v>
      </c>
      <c r="N11840" t="n">
        <v>0</v>
      </c>
      <c r="O11840" t="n">
        <v>0</v>
      </c>
      <c r="P11840" t="n">
        <v>0</v>
      </c>
      <c r="Q11840" t="n">
        <v>0</v>
      </c>
      <c r="R11840" s="2" t="inlineStr"/>
    </row>
    <row r="11841" ht="15" customHeight="1">
      <c r="A11841" t="inlineStr">
        <is>
          <t>A 14798-2024</t>
        </is>
      </c>
      <c r="B11841" s="1" t="n">
        <v>45397.90431712963</v>
      </c>
      <c r="C11841" s="1" t="n">
        <v>45952</v>
      </c>
      <c r="D11841" t="inlineStr">
        <is>
          <t>VÄSTRA GÖTALANDS LÄN</t>
        </is>
      </c>
      <c r="E11841" t="inlineStr">
        <is>
          <t>VÄNERSBORG</t>
        </is>
      </c>
      <c r="F11841" t="inlineStr">
        <is>
          <t>Sveaskog</t>
        </is>
      </c>
      <c r="G11841" t="n">
        <v>2.8</v>
      </c>
      <c r="H11841" t="n">
        <v>0</v>
      </c>
      <c r="I11841" t="n">
        <v>0</v>
      </c>
      <c r="J11841" t="n">
        <v>0</v>
      </c>
      <c r="K11841" t="n">
        <v>0</v>
      </c>
      <c r="L11841" t="n">
        <v>0</v>
      </c>
      <c r="M11841" t="n">
        <v>0</v>
      </c>
      <c r="N11841" t="n">
        <v>0</v>
      </c>
      <c r="O11841" t="n">
        <v>0</v>
      </c>
      <c r="P11841" t="n">
        <v>0</v>
      </c>
      <c r="Q11841" t="n">
        <v>0</v>
      </c>
      <c r="R11841" s="2" t="inlineStr"/>
      <c r="U11841">
        <f>HYPERLINK("https://klasma.github.io/Logging_1487/knärot/A 14798-2024 karta knärot.png", "A 14798-2024")</f>
        <v/>
      </c>
      <c r="V11841">
        <f>HYPERLINK("https://klasma.github.io/Logging_1487/klagomål/A 14798-2024 FSC-klagomål.docx", "A 14798-2024")</f>
        <v/>
      </c>
      <c r="W11841">
        <f>HYPERLINK("https://klasma.github.io/Logging_1487/klagomålsmail/A 14798-2024 FSC-klagomål mail.docx", "A 14798-2024")</f>
        <v/>
      </c>
      <c r="X11841">
        <f>HYPERLINK("https://klasma.github.io/Logging_1487/tillsyn/A 14798-2024 tillsynsbegäran.docx", "A 14798-2024")</f>
        <v/>
      </c>
      <c r="Y11841">
        <f>HYPERLINK("https://klasma.github.io/Logging_1487/tillsynsmail/A 14798-2024 tillsynsbegäran mail.docx", "A 14798-2024")</f>
        <v/>
      </c>
    </row>
    <row r="11842" ht="15" customHeight="1">
      <c r="A11842" t="inlineStr">
        <is>
          <t>A 18741-2025</t>
        </is>
      </c>
      <c r="B11842" s="1" t="n">
        <v>45763.73197916667</v>
      </c>
      <c r="C11842" s="1" t="n">
        <v>45952</v>
      </c>
      <c r="D11842" t="inlineStr">
        <is>
          <t>VÄSTRA GÖTALANDS LÄN</t>
        </is>
      </c>
      <c r="E11842" t="inlineStr">
        <is>
          <t>TÖREBODA</t>
        </is>
      </c>
      <c r="G11842" t="n">
        <v>3</v>
      </c>
      <c r="H11842" t="n">
        <v>0</v>
      </c>
      <c r="I11842" t="n">
        <v>0</v>
      </c>
      <c r="J11842" t="n">
        <v>0</v>
      </c>
      <c r="K11842" t="n">
        <v>0</v>
      </c>
      <c r="L11842" t="n">
        <v>0</v>
      </c>
      <c r="M11842" t="n">
        <v>0</v>
      </c>
      <c r="N11842" t="n">
        <v>0</v>
      </c>
      <c r="O11842" t="n">
        <v>0</v>
      </c>
      <c r="P11842" t="n">
        <v>0</v>
      </c>
      <c r="Q11842" t="n">
        <v>0</v>
      </c>
      <c r="R11842" s="2" t="inlineStr"/>
    </row>
    <row r="11843" ht="15" customHeight="1">
      <c r="A11843" t="inlineStr">
        <is>
          <t>A 29686-2025</t>
        </is>
      </c>
      <c r="B11843" s="1" t="n">
        <v>45825.51634259259</v>
      </c>
      <c r="C11843" s="1" t="n">
        <v>45952</v>
      </c>
      <c r="D11843" t="inlineStr">
        <is>
          <t>VÄSTRA GÖTALANDS LÄN</t>
        </is>
      </c>
      <c r="E11843" t="inlineStr">
        <is>
          <t>DALS-ED</t>
        </is>
      </c>
      <c r="G11843" t="n">
        <v>3.7</v>
      </c>
      <c r="H11843" t="n">
        <v>0</v>
      </c>
      <c r="I11843" t="n">
        <v>0</v>
      </c>
      <c r="J11843" t="n">
        <v>0</v>
      </c>
      <c r="K11843" t="n">
        <v>0</v>
      </c>
      <c r="L11843" t="n">
        <v>0</v>
      </c>
      <c r="M11843" t="n">
        <v>0</v>
      </c>
      <c r="N11843" t="n">
        <v>0</v>
      </c>
      <c r="O11843" t="n">
        <v>0</v>
      </c>
      <c r="P11843" t="n">
        <v>0</v>
      </c>
      <c r="Q11843" t="n">
        <v>0</v>
      </c>
      <c r="R11843" s="2" t="inlineStr"/>
    </row>
    <row r="11844" ht="15" customHeight="1">
      <c r="A11844" t="inlineStr">
        <is>
          <t>A 29394-2025</t>
        </is>
      </c>
      <c r="B11844" s="1" t="n">
        <v>45824.60599537037</v>
      </c>
      <c r="C11844" s="1" t="n">
        <v>45952</v>
      </c>
      <c r="D11844" t="inlineStr">
        <is>
          <t>VÄSTRA GÖTALANDS LÄN</t>
        </is>
      </c>
      <c r="E11844" t="inlineStr">
        <is>
          <t>LERUM</t>
        </is>
      </c>
      <c r="G11844" t="n">
        <v>7</v>
      </c>
      <c r="H11844" t="n">
        <v>0</v>
      </c>
      <c r="I11844" t="n">
        <v>0</v>
      </c>
      <c r="J11844" t="n">
        <v>0</v>
      </c>
      <c r="K11844" t="n">
        <v>0</v>
      </c>
      <c r="L11844" t="n">
        <v>0</v>
      </c>
      <c r="M11844" t="n">
        <v>0</v>
      </c>
      <c r="N11844" t="n">
        <v>0</v>
      </c>
      <c r="O11844" t="n">
        <v>0</v>
      </c>
      <c r="P11844" t="n">
        <v>0</v>
      </c>
      <c r="Q11844" t="n">
        <v>0</v>
      </c>
      <c r="R11844" s="2" t="inlineStr"/>
    </row>
    <row r="11845" ht="15" customHeight="1">
      <c r="A11845" t="inlineStr">
        <is>
          <t>A 29448-2025</t>
        </is>
      </c>
      <c r="B11845" s="1" t="n">
        <v>45824.66903935185</v>
      </c>
      <c r="C11845" s="1" t="n">
        <v>45952</v>
      </c>
      <c r="D11845" t="inlineStr">
        <is>
          <t>VÄSTRA GÖTALANDS LÄN</t>
        </is>
      </c>
      <c r="E11845" t="inlineStr">
        <is>
          <t>MARIESTAD</t>
        </is>
      </c>
      <c r="G11845" t="n">
        <v>1</v>
      </c>
      <c r="H11845" t="n">
        <v>0</v>
      </c>
      <c r="I11845" t="n">
        <v>0</v>
      </c>
      <c r="J11845" t="n">
        <v>0</v>
      </c>
      <c r="K11845" t="n">
        <v>0</v>
      </c>
      <c r="L11845" t="n">
        <v>0</v>
      </c>
      <c r="M11845" t="n">
        <v>0</v>
      </c>
      <c r="N11845" t="n">
        <v>0</v>
      </c>
      <c r="O11845" t="n">
        <v>0</v>
      </c>
      <c r="P11845" t="n">
        <v>0</v>
      </c>
      <c r="Q11845" t="n">
        <v>0</v>
      </c>
      <c r="R11845" s="2" t="inlineStr"/>
    </row>
    <row r="11846" ht="15" customHeight="1">
      <c r="A11846" t="inlineStr">
        <is>
          <t>A 29209-2025</t>
        </is>
      </c>
      <c r="B11846" s="1" t="n">
        <v>45823.90710648148</v>
      </c>
      <c r="C11846" s="1" t="n">
        <v>45952</v>
      </c>
      <c r="D11846" t="inlineStr">
        <is>
          <t>VÄSTRA GÖTALANDS LÄN</t>
        </is>
      </c>
      <c r="E11846" t="inlineStr">
        <is>
          <t>BORÅS</t>
        </is>
      </c>
      <c r="G11846" t="n">
        <v>1.9</v>
      </c>
      <c r="H11846" t="n">
        <v>0</v>
      </c>
      <c r="I11846" t="n">
        <v>0</v>
      </c>
      <c r="J11846" t="n">
        <v>0</v>
      </c>
      <c r="K11846" t="n">
        <v>0</v>
      </c>
      <c r="L11846" t="n">
        <v>0</v>
      </c>
      <c r="M11846" t="n">
        <v>0</v>
      </c>
      <c r="N11846" t="n">
        <v>0</v>
      </c>
      <c r="O11846" t="n">
        <v>0</v>
      </c>
      <c r="P11846" t="n">
        <v>0</v>
      </c>
      <c r="Q11846" t="n">
        <v>0</v>
      </c>
      <c r="R11846" s="2" t="inlineStr"/>
    </row>
    <row r="11847" ht="15" customHeight="1">
      <c r="A11847" t="inlineStr">
        <is>
          <t>A 29245-2025</t>
        </is>
      </c>
      <c r="B11847" s="1" t="n">
        <v>45824.3672337963</v>
      </c>
      <c r="C11847" s="1" t="n">
        <v>45952</v>
      </c>
      <c r="D11847" t="inlineStr">
        <is>
          <t>VÄSTRA GÖTALANDS LÄN</t>
        </is>
      </c>
      <c r="E11847" t="inlineStr">
        <is>
          <t>MARIESTAD</t>
        </is>
      </c>
      <c r="G11847" t="n">
        <v>1</v>
      </c>
      <c r="H11847" t="n">
        <v>0</v>
      </c>
      <c r="I11847" t="n">
        <v>0</v>
      </c>
      <c r="J11847" t="n">
        <v>0</v>
      </c>
      <c r="K11847" t="n">
        <v>0</v>
      </c>
      <c r="L11847" t="n">
        <v>0</v>
      </c>
      <c r="M11847" t="n">
        <v>0</v>
      </c>
      <c r="N11847" t="n">
        <v>0</v>
      </c>
      <c r="O11847" t="n">
        <v>0</v>
      </c>
      <c r="P11847" t="n">
        <v>0</v>
      </c>
      <c r="Q11847" t="n">
        <v>0</v>
      </c>
      <c r="R11847" s="2" t="inlineStr"/>
    </row>
    <row r="11848" ht="15" customHeight="1">
      <c r="A11848" t="inlineStr">
        <is>
          <t>A 29631-2025</t>
        </is>
      </c>
      <c r="B11848" s="1" t="n">
        <v>45825.44777777778</v>
      </c>
      <c r="C11848" s="1" t="n">
        <v>45952</v>
      </c>
      <c r="D11848" t="inlineStr">
        <is>
          <t>VÄSTRA GÖTALANDS LÄN</t>
        </is>
      </c>
      <c r="E11848" t="inlineStr">
        <is>
          <t>UDDEVALLA</t>
        </is>
      </c>
      <c r="G11848" t="n">
        <v>3.1</v>
      </c>
      <c r="H11848" t="n">
        <v>0</v>
      </c>
      <c r="I11848" t="n">
        <v>0</v>
      </c>
      <c r="J11848" t="n">
        <v>0</v>
      </c>
      <c r="K11848" t="n">
        <v>0</v>
      </c>
      <c r="L11848" t="n">
        <v>0</v>
      </c>
      <c r="M11848" t="n">
        <v>0</v>
      </c>
      <c r="N11848" t="n">
        <v>0</v>
      </c>
      <c r="O11848" t="n">
        <v>0</v>
      </c>
      <c r="P11848" t="n">
        <v>0</v>
      </c>
      <c r="Q11848" t="n">
        <v>0</v>
      </c>
      <c r="R11848" s="2" t="inlineStr"/>
    </row>
    <row r="11849" ht="15" customHeight="1">
      <c r="A11849" t="inlineStr">
        <is>
          <t>A 29180-2025</t>
        </is>
      </c>
      <c r="B11849" s="1" t="n">
        <v>45821</v>
      </c>
      <c r="C11849" s="1" t="n">
        <v>45952</v>
      </c>
      <c r="D11849" t="inlineStr">
        <is>
          <t>VÄSTRA GÖTALANDS LÄN</t>
        </is>
      </c>
      <c r="E11849" t="inlineStr">
        <is>
          <t>TÖREBODA</t>
        </is>
      </c>
      <c r="G11849" t="n">
        <v>1.1</v>
      </c>
      <c r="H11849" t="n">
        <v>0</v>
      </c>
      <c r="I11849" t="n">
        <v>0</v>
      </c>
      <c r="J11849" t="n">
        <v>0</v>
      </c>
      <c r="K11849" t="n">
        <v>0</v>
      </c>
      <c r="L11849" t="n">
        <v>0</v>
      </c>
      <c r="M11849" t="n">
        <v>0</v>
      </c>
      <c r="N11849" t="n">
        <v>0</v>
      </c>
      <c r="O11849" t="n">
        <v>0</v>
      </c>
      <c r="P11849" t="n">
        <v>0</v>
      </c>
      <c r="Q11849" t="n">
        <v>0</v>
      </c>
      <c r="R11849" s="2" t="inlineStr"/>
    </row>
    <row r="11850" ht="15" customHeight="1">
      <c r="A11850" t="inlineStr">
        <is>
          <t>A 29485-2025</t>
        </is>
      </c>
      <c r="B11850" s="1" t="n">
        <v>45824.74728009259</v>
      </c>
      <c r="C11850" s="1" t="n">
        <v>45952</v>
      </c>
      <c r="D11850" t="inlineStr">
        <is>
          <t>VÄSTRA GÖTALANDS LÄN</t>
        </is>
      </c>
      <c r="E11850" t="inlineStr">
        <is>
          <t>KARLSBORG</t>
        </is>
      </c>
      <c r="G11850" t="n">
        <v>0.5</v>
      </c>
      <c r="H11850" t="n">
        <v>0</v>
      </c>
      <c r="I11850" t="n">
        <v>0</v>
      </c>
      <c r="J11850" t="n">
        <v>0</v>
      </c>
      <c r="K11850" t="n">
        <v>0</v>
      </c>
      <c r="L11850" t="n">
        <v>0</v>
      </c>
      <c r="M11850" t="n">
        <v>0</v>
      </c>
      <c r="N11850" t="n">
        <v>0</v>
      </c>
      <c r="O11850" t="n">
        <v>0</v>
      </c>
      <c r="P11850" t="n">
        <v>0</v>
      </c>
      <c r="Q11850" t="n">
        <v>0</v>
      </c>
      <c r="R11850" s="2" t="inlineStr"/>
    </row>
    <row r="11851" ht="15" customHeight="1">
      <c r="A11851" t="inlineStr">
        <is>
          <t>A 29647-2025</t>
        </is>
      </c>
      <c r="B11851" s="1" t="n">
        <v>45825.47179398148</v>
      </c>
      <c r="C11851" s="1" t="n">
        <v>45952</v>
      </c>
      <c r="D11851" t="inlineStr">
        <is>
          <t>VÄSTRA GÖTALANDS LÄN</t>
        </is>
      </c>
      <c r="E11851" t="inlineStr">
        <is>
          <t>BENGTSFORS</t>
        </is>
      </c>
      <c r="G11851" t="n">
        <v>1.7</v>
      </c>
      <c r="H11851" t="n">
        <v>0</v>
      </c>
      <c r="I11851" t="n">
        <v>0</v>
      </c>
      <c r="J11851" t="n">
        <v>0</v>
      </c>
      <c r="K11851" t="n">
        <v>0</v>
      </c>
      <c r="L11851" t="n">
        <v>0</v>
      </c>
      <c r="M11851" t="n">
        <v>0</v>
      </c>
      <c r="N11851" t="n">
        <v>0</v>
      </c>
      <c r="O11851" t="n">
        <v>0</v>
      </c>
      <c r="P11851" t="n">
        <v>0</v>
      </c>
      <c r="Q11851" t="n">
        <v>0</v>
      </c>
      <c r="R11851" s="2" t="inlineStr"/>
    </row>
    <row r="11852" ht="15" customHeight="1">
      <c r="A11852" t="inlineStr">
        <is>
          <t>A 29494-2025</t>
        </is>
      </c>
      <c r="B11852" s="1" t="n">
        <v>45824.82013888889</v>
      </c>
      <c r="C11852" s="1" t="n">
        <v>45952</v>
      </c>
      <c r="D11852" t="inlineStr">
        <is>
          <t>VÄSTRA GÖTALANDS LÄN</t>
        </is>
      </c>
      <c r="E11852" t="inlineStr">
        <is>
          <t>MARIESTAD</t>
        </is>
      </c>
      <c r="G11852" t="n">
        <v>6.4</v>
      </c>
      <c r="H11852" t="n">
        <v>0</v>
      </c>
      <c r="I11852" t="n">
        <v>0</v>
      </c>
      <c r="J11852" t="n">
        <v>0</v>
      </c>
      <c r="K11852" t="n">
        <v>0</v>
      </c>
      <c r="L11852" t="n">
        <v>0</v>
      </c>
      <c r="M11852" t="n">
        <v>0</v>
      </c>
      <c r="N11852" t="n">
        <v>0</v>
      </c>
      <c r="O11852" t="n">
        <v>0</v>
      </c>
      <c r="P11852" t="n">
        <v>0</v>
      </c>
      <c r="Q11852" t="n">
        <v>0</v>
      </c>
      <c r="R11852" s="2" t="inlineStr"/>
    </row>
    <row r="11853" ht="15" customHeight="1">
      <c r="A11853" t="inlineStr">
        <is>
          <t>A 29495-2025</t>
        </is>
      </c>
      <c r="B11853" s="1" t="n">
        <v>45824.84045138889</v>
      </c>
      <c r="C11853" s="1" t="n">
        <v>45952</v>
      </c>
      <c r="D11853" t="inlineStr">
        <is>
          <t>VÄSTRA GÖTALANDS LÄN</t>
        </is>
      </c>
      <c r="E11853" t="inlineStr">
        <is>
          <t>LIDKÖPING</t>
        </is>
      </c>
      <c r="G11853" t="n">
        <v>5.2</v>
      </c>
      <c r="H11853" t="n">
        <v>0</v>
      </c>
      <c r="I11853" t="n">
        <v>0</v>
      </c>
      <c r="J11853" t="n">
        <v>0</v>
      </c>
      <c r="K11853" t="n">
        <v>0</v>
      </c>
      <c r="L11853" t="n">
        <v>0</v>
      </c>
      <c r="M11853" t="n">
        <v>0</v>
      </c>
      <c r="N11853" t="n">
        <v>0</v>
      </c>
      <c r="O11853" t="n">
        <v>0</v>
      </c>
      <c r="P11853" t="n">
        <v>0</v>
      </c>
      <c r="Q11853" t="n">
        <v>0</v>
      </c>
      <c r="R11853" s="2" t="inlineStr"/>
    </row>
    <row r="11854" ht="15" customHeight="1">
      <c r="A11854" t="inlineStr">
        <is>
          <t>A 29300-2025</t>
        </is>
      </c>
      <c r="B11854" s="1" t="n">
        <v>45824.45552083333</v>
      </c>
      <c r="C11854" s="1" t="n">
        <v>45952</v>
      </c>
      <c r="D11854" t="inlineStr">
        <is>
          <t>VÄSTRA GÖTALANDS LÄN</t>
        </is>
      </c>
      <c r="E11854" t="inlineStr">
        <is>
          <t>STRÖMSTAD</t>
        </is>
      </c>
      <c r="G11854" t="n">
        <v>2.2</v>
      </c>
      <c r="H11854" t="n">
        <v>0</v>
      </c>
      <c r="I11854" t="n">
        <v>0</v>
      </c>
      <c r="J11854" t="n">
        <v>0</v>
      </c>
      <c r="K11854" t="n">
        <v>0</v>
      </c>
      <c r="L11854" t="n">
        <v>0</v>
      </c>
      <c r="M11854" t="n">
        <v>0</v>
      </c>
      <c r="N11854" t="n">
        <v>0</v>
      </c>
      <c r="O11854" t="n">
        <v>0</v>
      </c>
      <c r="P11854" t="n">
        <v>0</v>
      </c>
      <c r="Q11854" t="n">
        <v>0</v>
      </c>
      <c r="R11854" s="2" t="inlineStr"/>
    </row>
    <row r="11855" ht="15" customHeight="1">
      <c r="A11855" t="inlineStr">
        <is>
          <t>A 29585-2025</t>
        </is>
      </c>
      <c r="B11855" s="1" t="n">
        <v>45825.3859375</v>
      </c>
      <c r="C11855" s="1" t="n">
        <v>45952</v>
      </c>
      <c r="D11855" t="inlineStr">
        <is>
          <t>VÄSTRA GÖTALANDS LÄN</t>
        </is>
      </c>
      <c r="E11855" t="inlineStr">
        <is>
          <t>TRANEMO</t>
        </is>
      </c>
      <c r="G11855" t="n">
        <v>2</v>
      </c>
      <c r="H11855" t="n">
        <v>0</v>
      </c>
      <c r="I11855" t="n">
        <v>0</v>
      </c>
      <c r="J11855" t="n">
        <v>0</v>
      </c>
      <c r="K11855" t="n">
        <v>0</v>
      </c>
      <c r="L11855" t="n">
        <v>0</v>
      </c>
      <c r="M11855" t="n">
        <v>0</v>
      </c>
      <c r="N11855" t="n">
        <v>0</v>
      </c>
      <c r="O11855" t="n">
        <v>0</v>
      </c>
      <c r="P11855" t="n">
        <v>0</v>
      </c>
      <c r="Q11855" t="n">
        <v>0</v>
      </c>
      <c r="R11855" s="2" t="inlineStr"/>
    </row>
    <row r="11856" ht="15" customHeight="1">
      <c r="A11856" t="inlineStr">
        <is>
          <t>A 29790-2025</t>
        </is>
      </c>
      <c r="B11856" s="1" t="n">
        <v>45825.66005787037</v>
      </c>
      <c r="C11856" s="1" t="n">
        <v>45952</v>
      </c>
      <c r="D11856" t="inlineStr">
        <is>
          <t>VÄSTRA GÖTALANDS LÄN</t>
        </is>
      </c>
      <c r="E11856" t="inlineStr">
        <is>
          <t>DALS-ED</t>
        </is>
      </c>
      <c r="G11856" t="n">
        <v>2</v>
      </c>
      <c r="H11856" t="n">
        <v>0</v>
      </c>
      <c r="I11856" t="n">
        <v>0</v>
      </c>
      <c r="J11856" t="n">
        <v>0</v>
      </c>
      <c r="K11856" t="n">
        <v>0</v>
      </c>
      <c r="L11856" t="n">
        <v>0</v>
      </c>
      <c r="M11856" t="n">
        <v>0</v>
      </c>
      <c r="N11856" t="n">
        <v>0</v>
      </c>
      <c r="O11856" t="n">
        <v>0</v>
      </c>
      <c r="P11856" t="n">
        <v>0</v>
      </c>
      <c r="Q11856" t="n">
        <v>0</v>
      </c>
      <c r="R11856" s="2" t="inlineStr"/>
    </row>
    <row r="11857" ht="15" customHeight="1">
      <c r="A11857" t="inlineStr">
        <is>
          <t>A 29555-2025</t>
        </is>
      </c>
      <c r="B11857" s="1" t="n">
        <v>45825.35525462963</v>
      </c>
      <c r="C11857" s="1" t="n">
        <v>45952</v>
      </c>
      <c r="D11857" t="inlineStr">
        <is>
          <t>VÄSTRA GÖTALANDS LÄN</t>
        </is>
      </c>
      <c r="E11857" t="inlineStr">
        <is>
          <t>TROLLHÄTTAN</t>
        </is>
      </c>
      <c r="G11857" t="n">
        <v>4.3</v>
      </c>
      <c r="H11857" t="n">
        <v>0</v>
      </c>
      <c r="I11857" t="n">
        <v>0</v>
      </c>
      <c r="J11857" t="n">
        <v>0</v>
      </c>
      <c r="K11857" t="n">
        <v>0</v>
      </c>
      <c r="L11857" t="n">
        <v>0</v>
      </c>
      <c r="M11857" t="n">
        <v>0</v>
      </c>
      <c r="N11857" t="n">
        <v>0</v>
      </c>
      <c r="O11857" t="n">
        <v>0</v>
      </c>
      <c r="P11857" t="n">
        <v>0</v>
      </c>
      <c r="Q11857" t="n">
        <v>0</v>
      </c>
      <c r="R11857" s="2" t="inlineStr"/>
    </row>
    <row r="11858" ht="15" customHeight="1">
      <c r="A11858" t="inlineStr">
        <is>
          <t>A 37700-2021</t>
        </is>
      </c>
      <c r="B11858" s="1" t="n">
        <v>44400</v>
      </c>
      <c r="C11858" s="1" t="n">
        <v>45952</v>
      </c>
      <c r="D11858" t="inlineStr">
        <is>
          <t>VÄSTRA GÖTALANDS LÄN</t>
        </is>
      </c>
      <c r="E11858" t="inlineStr">
        <is>
          <t>GULLSPÅNG</t>
        </is>
      </c>
      <c r="G11858" t="n">
        <v>5.5</v>
      </c>
      <c r="H11858" t="n">
        <v>0</v>
      </c>
      <c r="I11858" t="n">
        <v>0</v>
      </c>
      <c r="J11858" t="n">
        <v>0</v>
      </c>
      <c r="K11858" t="n">
        <v>0</v>
      </c>
      <c r="L11858" t="n">
        <v>0</v>
      </c>
      <c r="M11858" t="n">
        <v>0</v>
      </c>
      <c r="N11858" t="n">
        <v>0</v>
      </c>
      <c r="O11858" t="n">
        <v>0</v>
      </c>
      <c r="P11858" t="n">
        <v>0</v>
      </c>
      <c r="Q11858" t="n">
        <v>0</v>
      </c>
      <c r="R11858" s="2" t="inlineStr"/>
    </row>
    <row r="11859" ht="15" customHeight="1">
      <c r="A11859" t="inlineStr">
        <is>
          <t>A 34354-2023</t>
        </is>
      </c>
      <c r="B11859" s="1" t="n">
        <v>45139</v>
      </c>
      <c r="C11859" s="1" t="n">
        <v>45952</v>
      </c>
      <c r="D11859" t="inlineStr">
        <is>
          <t>VÄSTRA GÖTALANDS LÄN</t>
        </is>
      </c>
      <c r="E11859" t="inlineStr">
        <is>
          <t>ORUST</t>
        </is>
      </c>
      <c r="G11859" t="n">
        <v>3.6</v>
      </c>
      <c r="H11859" t="n">
        <v>0</v>
      </c>
      <c r="I11859" t="n">
        <v>0</v>
      </c>
      <c r="J11859" t="n">
        <v>0</v>
      </c>
      <c r="K11859" t="n">
        <v>0</v>
      </c>
      <c r="L11859" t="n">
        <v>0</v>
      </c>
      <c r="M11859" t="n">
        <v>0</v>
      </c>
      <c r="N11859" t="n">
        <v>0</v>
      </c>
      <c r="O11859" t="n">
        <v>0</v>
      </c>
      <c r="P11859" t="n">
        <v>0</v>
      </c>
      <c r="Q11859" t="n">
        <v>0</v>
      </c>
      <c r="R11859" s="2" t="inlineStr"/>
    </row>
    <row r="11860" ht="15" customHeight="1">
      <c r="A11860" t="inlineStr">
        <is>
          <t>A 34433-2023</t>
        </is>
      </c>
      <c r="B11860" s="1" t="n">
        <v>45139</v>
      </c>
      <c r="C11860" s="1" t="n">
        <v>45952</v>
      </c>
      <c r="D11860" t="inlineStr">
        <is>
          <t>VÄSTRA GÖTALANDS LÄN</t>
        </is>
      </c>
      <c r="E11860" t="inlineStr">
        <is>
          <t>FÄRGELANDA</t>
        </is>
      </c>
      <c r="G11860" t="n">
        <v>9.6</v>
      </c>
      <c r="H11860" t="n">
        <v>0</v>
      </c>
      <c r="I11860" t="n">
        <v>0</v>
      </c>
      <c r="J11860" t="n">
        <v>0</v>
      </c>
      <c r="K11860" t="n">
        <v>0</v>
      </c>
      <c r="L11860" t="n">
        <v>0</v>
      </c>
      <c r="M11860" t="n">
        <v>0</v>
      </c>
      <c r="N11860" t="n">
        <v>0</v>
      </c>
      <c r="O11860" t="n">
        <v>0</v>
      </c>
      <c r="P11860" t="n">
        <v>0</v>
      </c>
      <c r="Q11860" t="n">
        <v>0</v>
      </c>
      <c r="R11860" s="2" t="inlineStr"/>
    </row>
    <row r="11861" ht="15" customHeight="1">
      <c r="A11861" t="inlineStr">
        <is>
          <t>A 29529-2025</t>
        </is>
      </c>
      <c r="B11861" s="1" t="n">
        <v>45825.3437037037</v>
      </c>
      <c r="C11861" s="1" t="n">
        <v>45952</v>
      </c>
      <c r="D11861" t="inlineStr">
        <is>
          <t>VÄSTRA GÖTALANDS LÄN</t>
        </is>
      </c>
      <c r="E11861" t="inlineStr">
        <is>
          <t>MARK</t>
        </is>
      </c>
      <c r="G11861" t="n">
        <v>3.8</v>
      </c>
      <c r="H11861" t="n">
        <v>0</v>
      </c>
      <c r="I11861" t="n">
        <v>0</v>
      </c>
      <c r="J11861" t="n">
        <v>0</v>
      </c>
      <c r="K11861" t="n">
        <v>0</v>
      </c>
      <c r="L11861" t="n">
        <v>0</v>
      </c>
      <c r="M11861" t="n">
        <v>0</v>
      </c>
      <c r="N11861" t="n">
        <v>0</v>
      </c>
      <c r="O11861" t="n">
        <v>0</v>
      </c>
      <c r="P11861" t="n">
        <v>0</v>
      </c>
      <c r="Q11861" t="n">
        <v>0</v>
      </c>
      <c r="R11861" s="2" t="inlineStr"/>
    </row>
    <row r="11862" ht="15" customHeight="1">
      <c r="A11862" t="inlineStr">
        <is>
          <t>A 29017-2025</t>
        </is>
      </c>
      <c r="B11862" s="1" t="n">
        <v>45821.41775462963</v>
      </c>
      <c r="C11862" s="1" t="n">
        <v>45952</v>
      </c>
      <c r="D11862" t="inlineStr">
        <is>
          <t>VÄSTRA GÖTALANDS LÄN</t>
        </is>
      </c>
      <c r="E11862" t="inlineStr">
        <is>
          <t>SKÖVDE</t>
        </is>
      </c>
      <c r="G11862" t="n">
        <v>2.2</v>
      </c>
      <c r="H11862" t="n">
        <v>0</v>
      </c>
      <c r="I11862" t="n">
        <v>0</v>
      </c>
      <c r="J11862" t="n">
        <v>0</v>
      </c>
      <c r="K11862" t="n">
        <v>0</v>
      </c>
      <c r="L11862" t="n">
        <v>0</v>
      </c>
      <c r="M11862" t="n">
        <v>0</v>
      </c>
      <c r="N11862" t="n">
        <v>0</v>
      </c>
      <c r="O11862" t="n">
        <v>0</v>
      </c>
      <c r="P11862" t="n">
        <v>0</v>
      </c>
      <c r="Q11862" t="n">
        <v>0</v>
      </c>
      <c r="R11862" s="2" t="inlineStr"/>
    </row>
    <row r="11863" ht="15" customHeight="1">
      <c r="A11863" t="inlineStr">
        <is>
          <t>A 29670-2025</t>
        </is>
      </c>
      <c r="B11863" s="1" t="n">
        <v>45825.49831018518</v>
      </c>
      <c r="C11863" s="1" t="n">
        <v>45952</v>
      </c>
      <c r="D11863" t="inlineStr">
        <is>
          <t>VÄSTRA GÖTALANDS LÄN</t>
        </is>
      </c>
      <c r="E11863" t="inlineStr">
        <is>
          <t>MARIESTAD</t>
        </is>
      </c>
      <c r="F11863" t="inlineStr">
        <is>
          <t>Sveaskog</t>
        </is>
      </c>
      <c r="G11863" t="n">
        <v>2.6</v>
      </c>
      <c r="H11863" t="n">
        <v>0</v>
      </c>
      <c r="I11863" t="n">
        <v>0</v>
      </c>
      <c r="J11863" t="n">
        <v>0</v>
      </c>
      <c r="K11863" t="n">
        <v>0</v>
      </c>
      <c r="L11863" t="n">
        <v>0</v>
      </c>
      <c r="M11863" t="n">
        <v>0</v>
      </c>
      <c r="N11863" t="n">
        <v>0</v>
      </c>
      <c r="O11863" t="n">
        <v>0</v>
      </c>
      <c r="P11863" t="n">
        <v>0</v>
      </c>
      <c r="Q11863" t="n">
        <v>0</v>
      </c>
      <c r="R11863" s="2" t="inlineStr"/>
    </row>
    <row r="11864" ht="15" customHeight="1">
      <c r="A11864" t="inlineStr">
        <is>
          <t>A 65114-2021</t>
        </is>
      </c>
      <c r="B11864" s="1" t="n">
        <v>44515.41678240741</v>
      </c>
      <c r="C11864" s="1" t="n">
        <v>45952</v>
      </c>
      <c r="D11864" t="inlineStr">
        <is>
          <t>VÄSTRA GÖTALANDS LÄN</t>
        </is>
      </c>
      <c r="E11864" t="inlineStr">
        <is>
          <t>TIBRO</t>
        </is>
      </c>
      <c r="G11864" t="n">
        <v>1.5</v>
      </c>
      <c r="H11864" t="n">
        <v>0</v>
      </c>
      <c r="I11864" t="n">
        <v>0</v>
      </c>
      <c r="J11864" t="n">
        <v>0</v>
      </c>
      <c r="K11864" t="n">
        <v>0</v>
      </c>
      <c r="L11864" t="n">
        <v>0</v>
      </c>
      <c r="M11864" t="n">
        <v>0</v>
      </c>
      <c r="N11864" t="n">
        <v>0</v>
      </c>
      <c r="O11864" t="n">
        <v>0</v>
      </c>
      <c r="P11864" t="n">
        <v>0</v>
      </c>
      <c r="Q11864" t="n">
        <v>0</v>
      </c>
      <c r="R11864" s="2" t="inlineStr"/>
    </row>
    <row r="11865" ht="15" customHeight="1">
      <c r="A11865" t="inlineStr">
        <is>
          <t>A 29633-2025</t>
        </is>
      </c>
      <c r="B11865" s="1" t="n">
        <v>45825.45028935185</v>
      </c>
      <c r="C11865" s="1" t="n">
        <v>45952</v>
      </c>
      <c r="D11865" t="inlineStr">
        <is>
          <t>VÄSTRA GÖTALANDS LÄN</t>
        </is>
      </c>
      <c r="E11865" t="inlineStr">
        <is>
          <t>BENGTSFORS</t>
        </is>
      </c>
      <c r="G11865" t="n">
        <v>1.9</v>
      </c>
      <c r="H11865" t="n">
        <v>0</v>
      </c>
      <c r="I11865" t="n">
        <v>0</v>
      </c>
      <c r="J11865" t="n">
        <v>0</v>
      </c>
      <c r="K11865" t="n">
        <v>0</v>
      </c>
      <c r="L11865" t="n">
        <v>0</v>
      </c>
      <c r="M11865" t="n">
        <v>0</v>
      </c>
      <c r="N11865" t="n">
        <v>0</v>
      </c>
      <c r="O11865" t="n">
        <v>0</v>
      </c>
      <c r="P11865" t="n">
        <v>0</v>
      </c>
      <c r="Q11865" t="n">
        <v>0</v>
      </c>
      <c r="R11865" s="2" t="inlineStr"/>
    </row>
    <row r="11866" ht="15" customHeight="1">
      <c r="A11866" t="inlineStr">
        <is>
          <t>A 29638-2025</t>
        </is>
      </c>
      <c r="B11866" s="1" t="n">
        <v>45825.45644675926</v>
      </c>
      <c r="C11866" s="1" t="n">
        <v>45952</v>
      </c>
      <c r="D11866" t="inlineStr">
        <is>
          <t>VÄSTRA GÖTALANDS LÄN</t>
        </is>
      </c>
      <c r="E11866" t="inlineStr">
        <is>
          <t>BENGTSFORS</t>
        </is>
      </c>
      <c r="G11866" t="n">
        <v>1.4</v>
      </c>
      <c r="H11866" t="n">
        <v>0</v>
      </c>
      <c r="I11866" t="n">
        <v>0</v>
      </c>
      <c r="J11866" t="n">
        <v>0</v>
      </c>
      <c r="K11866" t="n">
        <v>0</v>
      </c>
      <c r="L11866" t="n">
        <v>0</v>
      </c>
      <c r="M11866" t="n">
        <v>0</v>
      </c>
      <c r="N11866" t="n">
        <v>0</v>
      </c>
      <c r="O11866" t="n">
        <v>0</v>
      </c>
      <c r="P11866" t="n">
        <v>0</v>
      </c>
      <c r="Q11866" t="n">
        <v>0</v>
      </c>
      <c r="R11866" s="2" t="inlineStr"/>
    </row>
    <row r="11867" ht="15" customHeight="1">
      <c r="A11867" t="inlineStr">
        <is>
          <t>A 19852-2025</t>
        </is>
      </c>
      <c r="B11867" s="1" t="n">
        <v>45771.49827546296</v>
      </c>
      <c r="C11867" s="1" t="n">
        <v>45952</v>
      </c>
      <c r="D11867" t="inlineStr">
        <is>
          <t>VÄSTRA GÖTALANDS LÄN</t>
        </is>
      </c>
      <c r="E11867" t="inlineStr">
        <is>
          <t>BORÅS</t>
        </is>
      </c>
      <c r="G11867" t="n">
        <v>8.6</v>
      </c>
      <c r="H11867" t="n">
        <v>0</v>
      </c>
      <c r="I11867" t="n">
        <v>0</v>
      </c>
      <c r="J11867" t="n">
        <v>0</v>
      </c>
      <c r="K11867" t="n">
        <v>0</v>
      </c>
      <c r="L11867" t="n">
        <v>0</v>
      </c>
      <c r="M11867" t="n">
        <v>0</v>
      </c>
      <c r="N11867" t="n">
        <v>0</v>
      </c>
      <c r="O11867" t="n">
        <v>0</v>
      </c>
      <c r="P11867" t="n">
        <v>0</v>
      </c>
      <c r="Q11867" t="n">
        <v>0</v>
      </c>
      <c r="R11867" s="2" t="inlineStr"/>
    </row>
    <row r="11868" ht="15" customHeight="1">
      <c r="A11868" t="inlineStr">
        <is>
          <t>A 19858-2025</t>
        </is>
      </c>
      <c r="B11868" s="1" t="n">
        <v>45771.53150462963</v>
      </c>
      <c r="C11868" s="1" t="n">
        <v>45952</v>
      </c>
      <c r="D11868" t="inlineStr">
        <is>
          <t>VÄSTRA GÖTALANDS LÄN</t>
        </is>
      </c>
      <c r="E11868" t="inlineStr">
        <is>
          <t>HERRLJUNGA</t>
        </is>
      </c>
      <c r="G11868" t="n">
        <v>2.2</v>
      </c>
      <c r="H11868" t="n">
        <v>0</v>
      </c>
      <c r="I11868" t="n">
        <v>0</v>
      </c>
      <c r="J11868" t="n">
        <v>0</v>
      </c>
      <c r="K11868" t="n">
        <v>0</v>
      </c>
      <c r="L11868" t="n">
        <v>0</v>
      </c>
      <c r="M11868" t="n">
        <v>0</v>
      </c>
      <c r="N11868" t="n">
        <v>0</v>
      </c>
      <c r="O11868" t="n">
        <v>0</v>
      </c>
      <c r="P11868" t="n">
        <v>0</v>
      </c>
      <c r="Q11868" t="n">
        <v>0</v>
      </c>
      <c r="R11868" s="2" t="inlineStr"/>
    </row>
    <row r="11869" ht="15" customHeight="1">
      <c r="A11869" t="inlineStr">
        <is>
          <t>A 19863-2025</t>
        </is>
      </c>
      <c r="B11869" s="1" t="n">
        <v>45771.53564814815</v>
      </c>
      <c r="C11869" s="1" t="n">
        <v>45952</v>
      </c>
      <c r="D11869" t="inlineStr">
        <is>
          <t>VÄSTRA GÖTALANDS LÄN</t>
        </is>
      </c>
      <c r="E11869" t="inlineStr">
        <is>
          <t>HERRLJUNGA</t>
        </is>
      </c>
      <c r="G11869" t="n">
        <v>3.4</v>
      </c>
      <c r="H11869" t="n">
        <v>0</v>
      </c>
      <c r="I11869" t="n">
        <v>0</v>
      </c>
      <c r="J11869" t="n">
        <v>0</v>
      </c>
      <c r="K11869" t="n">
        <v>0</v>
      </c>
      <c r="L11869" t="n">
        <v>0</v>
      </c>
      <c r="M11869" t="n">
        <v>0</v>
      </c>
      <c r="N11869" t="n">
        <v>0</v>
      </c>
      <c r="O11869" t="n">
        <v>0</v>
      </c>
      <c r="P11869" t="n">
        <v>0</v>
      </c>
      <c r="Q11869" t="n">
        <v>0</v>
      </c>
      <c r="R11869" s="2" t="inlineStr"/>
    </row>
    <row r="11870" ht="15" customHeight="1">
      <c r="A11870" t="inlineStr">
        <is>
          <t>A 19871-2025</t>
        </is>
      </c>
      <c r="B11870" s="1" t="n">
        <v>45771.54677083333</v>
      </c>
      <c r="C11870" s="1" t="n">
        <v>45952</v>
      </c>
      <c r="D11870" t="inlineStr">
        <is>
          <t>VÄSTRA GÖTALANDS LÄN</t>
        </is>
      </c>
      <c r="E11870" t="inlineStr">
        <is>
          <t>HERRLJUNGA</t>
        </is>
      </c>
      <c r="G11870" t="n">
        <v>2.5</v>
      </c>
      <c r="H11870" t="n">
        <v>0</v>
      </c>
      <c r="I11870" t="n">
        <v>0</v>
      </c>
      <c r="J11870" t="n">
        <v>0</v>
      </c>
      <c r="K11870" t="n">
        <v>0</v>
      </c>
      <c r="L11870" t="n">
        <v>0</v>
      </c>
      <c r="M11870" t="n">
        <v>0</v>
      </c>
      <c r="N11870" t="n">
        <v>0</v>
      </c>
      <c r="O11870" t="n">
        <v>0</v>
      </c>
      <c r="P11870" t="n">
        <v>0</v>
      </c>
      <c r="Q11870" t="n">
        <v>0</v>
      </c>
      <c r="R11870" s="2" t="inlineStr"/>
    </row>
    <row r="11871" ht="15" customHeight="1">
      <c r="A11871" t="inlineStr">
        <is>
          <t>A 19914-2025</t>
        </is>
      </c>
      <c r="B11871" s="1" t="n">
        <v>45771.61266203703</v>
      </c>
      <c r="C11871" s="1" t="n">
        <v>45952</v>
      </c>
      <c r="D11871" t="inlineStr">
        <is>
          <t>VÄSTRA GÖTALANDS LÄN</t>
        </is>
      </c>
      <c r="E11871" t="inlineStr">
        <is>
          <t>ÅMÅL</t>
        </is>
      </c>
      <c r="G11871" t="n">
        <v>5.2</v>
      </c>
      <c r="H11871" t="n">
        <v>0</v>
      </c>
      <c r="I11871" t="n">
        <v>0</v>
      </c>
      <c r="J11871" t="n">
        <v>0</v>
      </c>
      <c r="K11871" t="n">
        <v>0</v>
      </c>
      <c r="L11871" t="n">
        <v>0</v>
      </c>
      <c r="M11871" t="n">
        <v>0</v>
      </c>
      <c r="N11871" t="n">
        <v>0</v>
      </c>
      <c r="O11871" t="n">
        <v>0</v>
      </c>
      <c r="P11871" t="n">
        <v>0</v>
      </c>
      <c r="Q11871" t="n">
        <v>0</v>
      </c>
      <c r="R11871" s="2" t="inlineStr"/>
    </row>
    <row r="11872" ht="15" customHeight="1">
      <c r="A11872" t="inlineStr">
        <is>
          <t>A 32303-2023</t>
        </is>
      </c>
      <c r="B11872" s="1" t="n">
        <v>45120.42296296296</v>
      </c>
      <c r="C11872" s="1" t="n">
        <v>45952</v>
      </c>
      <c r="D11872" t="inlineStr">
        <is>
          <t>VÄSTRA GÖTALANDS LÄN</t>
        </is>
      </c>
      <c r="E11872" t="inlineStr">
        <is>
          <t>ULRICEHAMN</t>
        </is>
      </c>
      <c r="G11872" t="n">
        <v>6.4</v>
      </c>
      <c r="H11872" t="n">
        <v>0</v>
      </c>
      <c r="I11872" t="n">
        <v>0</v>
      </c>
      <c r="J11872" t="n">
        <v>0</v>
      </c>
      <c r="K11872" t="n">
        <v>0</v>
      </c>
      <c r="L11872" t="n">
        <v>0</v>
      </c>
      <c r="M11872" t="n">
        <v>0</v>
      </c>
      <c r="N11872" t="n">
        <v>0</v>
      </c>
      <c r="O11872" t="n">
        <v>0</v>
      </c>
      <c r="P11872" t="n">
        <v>0</v>
      </c>
      <c r="Q11872" t="n">
        <v>0</v>
      </c>
      <c r="R11872" s="2" t="inlineStr"/>
    </row>
    <row r="11873" ht="15" customHeight="1">
      <c r="A11873" t="inlineStr">
        <is>
          <t>A 29325-2025</t>
        </is>
      </c>
      <c r="B11873" s="1" t="n">
        <v>45824</v>
      </c>
      <c r="C11873" s="1" t="n">
        <v>45952</v>
      </c>
      <c r="D11873" t="inlineStr">
        <is>
          <t>VÄSTRA GÖTALANDS LÄN</t>
        </is>
      </c>
      <c r="E11873" t="inlineStr">
        <is>
          <t>ULRICEHAMN</t>
        </is>
      </c>
      <c r="G11873" t="n">
        <v>14.8</v>
      </c>
      <c r="H11873" t="n">
        <v>0</v>
      </c>
      <c r="I11873" t="n">
        <v>0</v>
      </c>
      <c r="J11873" t="n">
        <v>0</v>
      </c>
      <c r="K11873" t="n">
        <v>0</v>
      </c>
      <c r="L11873" t="n">
        <v>0</v>
      </c>
      <c r="M11873" t="n">
        <v>0</v>
      </c>
      <c r="N11873" t="n">
        <v>0</v>
      </c>
      <c r="O11873" t="n">
        <v>0</v>
      </c>
      <c r="P11873" t="n">
        <v>0</v>
      </c>
      <c r="Q11873" t="n">
        <v>0</v>
      </c>
      <c r="R11873" s="2" t="inlineStr"/>
    </row>
    <row r="11874" ht="15" customHeight="1">
      <c r="A11874" t="inlineStr">
        <is>
          <t>A 45123-2021</t>
        </is>
      </c>
      <c r="B11874" s="1" t="n">
        <v>44439.4424074074</v>
      </c>
      <c r="C11874" s="1" t="n">
        <v>45952</v>
      </c>
      <c r="D11874" t="inlineStr">
        <is>
          <t>VÄSTRA GÖTALANDS LÄN</t>
        </is>
      </c>
      <c r="E11874" t="inlineStr">
        <is>
          <t>MUNKEDAL</t>
        </is>
      </c>
      <c r="G11874" t="n">
        <v>5.2</v>
      </c>
      <c r="H11874" t="n">
        <v>0</v>
      </c>
      <c r="I11874" t="n">
        <v>0</v>
      </c>
      <c r="J11874" t="n">
        <v>0</v>
      </c>
      <c r="K11874" t="n">
        <v>0</v>
      </c>
      <c r="L11874" t="n">
        <v>0</v>
      </c>
      <c r="M11874" t="n">
        <v>0</v>
      </c>
      <c r="N11874" t="n">
        <v>0</v>
      </c>
      <c r="O11874" t="n">
        <v>0</v>
      </c>
      <c r="P11874" t="n">
        <v>0</v>
      </c>
      <c r="Q11874" t="n">
        <v>0</v>
      </c>
      <c r="R11874" s="2" t="inlineStr"/>
    </row>
    <row r="11875" ht="15" customHeight="1">
      <c r="A11875" t="inlineStr">
        <is>
          <t>A 29305-2025</t>
        </is>
      </c>
      <c r="B11875" s="1" t="n">
        <v>45824.45982638889</v>
      </c>
      <c r="C11875" s="1" t="n">
        <v>45952</v>
      </c>
      <c r="D11875" t="inlineStr">
        <is>
          <t>VÄSTRA GÖTALANDS LÄN</t>
        </is>
      </c>
      <c r="E11875" t="inlineStr">
        <is>
          <t>MUNKEDAL</t>
        </is>
      </c>
      <c r="G11875" t="n">
        <v>1.3</v>
      </c>
      <c r="H11875" t="n">
        <v>0</v>
      </c>
      <c r="I11875" t="n">
        <v>0</v>
      </c>
      <c r="J11875" t="n">
        <v>0</v>
      </c>
      <c r="K11875" t="n">
        <v>0</v>
      </c>
      <c r="L11875" t="n">
        <v>0</v>
      </c>
      <c r="M11875" t="n">
        <v>0</v>
      </c>
      <c r="N11875" t="n">
        <v>0</v>
      </c>
      <c r="O11875" t="n">
        <v>0</v>
      </c>
      <c r="P11875" t="n">
        <v>0</v>
      </c>
      <c r="Q11875" t="n">
        <v>0</v>
      </c>
      <c r="R11875" s="2" t="inlineStr"/>
    </row>
    <row r="11876" ht="15" customHeight="1">
      <c r="A11876" t="inlineStr">
        <is>
          <t>A 56116-2022</t>
        </is>
      </c>
      <c r="B11876" s="1" t="n">
        <v>44889.66744212963</v>
      </c>
      <c r="C11876" s="1" t="n">
        <v>45952</v>
      </c>
      <c r="D11876" t="inlineStr">
        <is>
          <t>VÄSTRA GÖTALANDS LÄN</t>
        </is>
      </c>
      <c r="E11876" t="inlineStr">
        <is>
          <t>TROLLHÄTTAN</t>
        </is>
      </c>
      <c r="G11876" t="n">
        <v>2.2</v>
      </c>
      <c r="H11876" t="n">
        <v>0</v>
      </c>
      <c r="I11876" t="n">
        <v>0</v>
      </c>
      <c r="J11876" t="n">
        <v>0</v>
      </c>
      <c r="K11876" t="n">
        <v>0</v>
      </c>
      <c r="L11876" t="n">
        <v>0</v>
      </c>
      <c r="M11876" t="n">
        <v>0</v>
      </c>
      <c r="N11876" t="n">
        <v>0</v>
      </c>
      <c r="O11876" t="n">
        <v>0</v>
      </c>
      <c r="P11876" t="n">
        <v>0</v>
      </c>
      <c r="Q11876" t="n">
        <v>0</v>
      </c>
      <c r="R11876" s="2" t="inlineStr"/>
    </row>
    <row r="11877" ht="15" customHeight="1">
      <c r="A11877" t="inlineStr">
        <is>
          <t>A 29303-2025</t>
        </is>
      </c>
      <c r="B11877" s="1" t="n">
        <v>45824.45894675926</v>
      </c>
      <c r="C11877" s="1" t="n">
        <v>45952</v>
      </c>
      <c r="D11877" t="inlineStr">
        <is>
          <t>VÄSTRA GÖTALANDS LÄN</t>
        </is>
      </c>
      <c r="E11877" t="inlineStr">
        <is>
          <t>VARA</t>
        </is>
      </c>
      <c r="G11877" t="n">
        <v>1</v>
      </c>
      <c r="H11877" t="n">
        <v>0</v>
      </c>
      <c r="I11877" t="n">
        <v>0</v>
      </c>
      <c r="J11877" t="n">
        <v>0</v>
      </c>
      <c r="K11877" t="n">
        <v>0</v>
      </c>
      <c r="L11877" t="n">
        <v>0</v>
      </c>
      <c r="M11877" t="n">
        <v>0</v>
      </c>
      <c r="N11877" t="n">
        <v>0</v>
      </c>
      <c r="O11877" t="n">
        <v>0</v>
      </c>
      <c r="P11877" t="n">
        <v>0</v>
      </c>
      <c r="Q11877" t="n">
        <v>0</v>
      </c>
      <c r="R11877" s="2" t="inlineStr"/>
    </row>
    <row r="11878" ht="15" customHeight="1">
      <c r="A11878" t="inlineStr">
        <is>
          <t>A 5154-2025</t>
        </is>
      </c>
      <c r="B11878" s="1" t="n">
        <v>45691.60403935185</v>
      </c>
      <c r="C11878" s="1" t="n">
        <v>45952</v>
      </c>
      <c r="D11878" t="inlineStr">
        <is>
          <t>VÄSTRA GÖTALANDS LÄN</t>
        </is>
      </c>
      <c r="E11878" t="inlineStr">
        <is>
          <t>ULRICEHAMN</t>
        </is>
      </c>
      <c r="G11878" t="n">
        <v>0.7</v>
      </c>
      <c r="H11878" t="n">
        <v>0</v>
      </c>
      <c r="I11878" t="n">
        <v>0</v>
      </c>
      <c r="J11878" t="n">
        <v>0</v>
      </c>
      <c r="K11878" t="n">
        <v>0</v>
      </c>
      <c r="L11878" t="n">
        <v>0</v>
      </c>
      <c r="M11878" t="n">
        <v>0</v>
      </c>
      <c r="N11878" t="n">
        <v>0</v>
      </c>
      <c r="O11878" t="n">
        <v>0</v>
      </c>
      <c r="P11878" t="n">
        <v>0</v>
      </c>
      <c r="Q11878" t="n">
        <v>0</v>
      </c>
      <c r="R11878" s="2" t="inlineStr"/>
    </row>
    <row r="11879" ht="15" customHeight="1">
      <c r="A11879" t="inlineStr">
        <is>
          <t>A 29306-2025</t>
        </is>
      </c>
      <c r="B11879" s="1" t="n">
        <v>45824.45997685185</v>
      </c>
      <c r="C11879" s="1" t="n">
        <v>45952</v>
      </c>
      <c r="D11879" t="inlineStr">
        <is>
          <t>VÄSTRA GÖTALANDS LÄN</t>
        </is>
      </c>
      <c r="E11879" t="inlineStr">
        <is>
          <t>BOLLEBYGD</t>
        </is>
      </c>
      <c r="G11879" t="n">
        <v>3.2</v>
      </c>
      <c r="H11879" t="n">
        <v>0</v>
      </c>
      <c r="I11879" t="n">
        <v>0</v>
      </c>
      <c r="J11879" t="n">
        <v>0</v>
      </c>
      <c r="K11879" t="n">
        <v>0</v>
      </c>
      <c r="L11879" t="n">
        <v>0</v>
      </c>
      <c r="M11879" t="n">
        <v>0</v>
      </c>
      <c r="N11879" t="n">
        <v>0</v>
      </c>
      <c r="O11879" t="n">
        <v>0</v>
      </c>
      <c r="P11879" t="n">
        <v>0</v>
      </c>
      <c r="Q11879" t="n">
        <v>0</v>
      </c>
      <c r="R11879" s="2" t="inlineStr"/>
    </row>
    <row r="11880" ht="15" customHeight="1">
      <c r="A11880" t="inlineStr">
        <is>
          <t>A 29668-2025</t>
        </is>
      </c>
      <c r="B11880" s="1" t="n">
        <v>45825.49658564815</v>
      </c>
      <c r="C11880" s="1" t="n">
        <v>45952</v>
      </c>
      <c r="D11880" t="inlineStr">
        <is>
          <t>VÄSTRA GÖTALANDS LÄN</t>
        </is>
      </c>
      <c r="E11880" t="inlineStr">
        <is>
          <t>MARIESTAD</t>
        </is>
      </c>
      <c r="F11880" t="inlineStr">
        <is>
          <t>Sveaskog</t>
        </is>
      </c>
      <c r="G11880" t="n">
        <v>1</v>
      </c>
      <c r="H11880" t="n">
        <v>0</v>
      </c>
      <c r="I11880" t="n">
        <v>0</v>
      </c>
      <c r="J11880" t="n">
        <v>0</v>
      </c>
      <c r="K11880" t="n">
        <v>0</v>
      </c>
      <c r="L11880" t="n">
        <v>0</v>
      </c>
      <c r="M11880" t="n">
        <v>0</v>
      </c>
      <c r="N11880" t="n">
        <v>0</v>
      </c>
      <c r="O11880" t="n">
        <v>0</v>
      </c>
      <c r="P11880" t="n">
        <v>0</v>
      </c>
      <c r="Q11880" t="n">
        <v>0</v>
      </c>
      <c r="R11880" s="2" t="inlineStr"/>
    </row>
    <row r="11881" ht="15" customHeight="1">
      <c r="A11881" t="inlineStr">
        <is>
          <t>A 29672-2025</t>
        </is>
      </c>
      <c r="B11881" s="1" t="n">
        <v>45825.50122685185</v>
      </c>
      <c r="C11881" s="1" t="n">
        <v>45952</v>
      </c>
      <c r="D11881" t="inlineStr">
        <is>
          <t>VÄSTRA GÖTALANDS LÄN</t>
        </is>
      </c>
      <c r="E11881" t="inlineStr">
        <is>
          <t>MARIESTAD</t>
        </is>
      </c>
      <c r="F11881" t="inlineStr">
        <is>
          <t>Sveaskog</t>
        </is>
      </c>
      <c r="G11881" t="n">
        <v>7.3</v>
      </c>
      <c r="H11881" t="n">
        <v>0</v>
      </c>
      <c r="I11881" t="n">
        <v>0</v>
      </c>
      <c r="J11881" t="n">
        <v>0</v>
      </c>
      <c r="K11881" t="n">
        <v>0</v>
      </c>
      <c r="L11881" t="n">
        <v>0</v>
      </c>
      <c r="M11881" t="n">
        <v>0</v>
      </c>
      <c r="N11881" t="n">
        <v>0</v>
      </c>
      <c r="O11881" t="n">
        <v>0</v>
      </c>
      <c r="P11881" t="n">
        <v>0</v>
      </c>
      <c r="Q11881" t="n">
        <v>0</v>
      </c>
      <c r="R11881" s="2" t="inlineStr"/>
    </row>
    <row r="11882" ht="15" customHeight="1">
      <c r="A11882" t="inlineStr">
        <is>
          <t>A 29692-2025</t>
        </is>
      </c>
      <c r="B11882" s="1" t="n">
        <v>45825.54019675926</v>
      </c>
      <c r="C11882" s="1" t="n">
        <v>45952</v>
      </c>
      <c r="D11882" t="inlineStr">
        <is>
          <t>VÄSTRA GÖTALANDS LÄN</t>
        </is>
      </c>
      <c r="E11882" t="inlineStr">
        <is>
          <t>DALS-ED</t>
        </is>
      </c>
      <c r="G11882" t="n">
        <v>2.3</v>
      </c>
      <c r="H11882" t="n">
        <v>0</v>
      </c>
      <c r="I11882" t="n">
        <v>0</v>
      </c>
      <c r="J11882" t="n">
        <v>0</v>
      </c>
      <c r="K11882" t="n">
        <v>0</v>
      </c>
      <c r="L11882" t="n">
        <v>0</v>
      </c>
      <c r="M11882" t="n">
        <v>0</v>
      </c>
      <c r="N11882" t="n">
        <v>0</v>
      </c>
      <c r="O11882" t="n">
        <v>0</v>
      </c>
      <c r="P11882" t="n">
        <v>0</v>
      </c>
      <c r="Q11882" t="n">
        <v>0</v>
      </c>
      <c r="R11882" s="2" t="inlineStr"/>
    </row>
    <row r="11883" ht="15" customHeight="1">
      <c r="A11883" t="inlineStr">
        <is>
          <t>A 12429-2024</t>
        </is>
      </c>
      <c r="B11883" s="1" t="n">
        <v>45379.43885416666</v>
      </c>
      <c r="C11883" s="1" t="n">
        <v>45952</v>
      </c>
      <c r="D11883" t="inlineStr">
        <is>
          <t>VÄSTRA GÖTALANDS LÄN</t>
        </is>
      </c>
      <c r="E11883" t="inlineStr">
        <is>
          <t>MARK</t>
        </is>
      </c>
      <c r="G11883" t="n">
        <v>5.9</v>
      </c>
      <c r="H11883" t="n">
        <v>0</v>
      </c>
      <c r="I11883" t="n">
        <v>0</v>
      </c>
      <c r="J11883" t="n">
        <v>0</v>
      </c>
      <c r="K11883" t="n">
        <v>0</v>
      </c>
      <c r="L11883" t="n">
        <v>0</v>
      </c>
      <c r="M11883" t="n">
        <v>0</v>
      </c>
      <c r="N11883" t="n">
        <v>0</v>
      </c>
      <c r="O11883" t="n">
        <v>0</v>
      </c>
      <c r="P11883" t="n">
        <v>0</v>
      </c>
      <c r="Q11883" t="n">
        <v>0</v>
      </c>
      <c r="R11883" s="2" t="inlineStr"/>
    </row>
    <row r="11884" ht="15" customHeight="1">
      <c r="A11884" t="inlineStr">
        <is>
          <t>A 29594-2025</t>
        </is>
      </c>
      <c r="B11884" s="1" t="n">
        <v>45825.40509259259</v>
      </c>
      <c r="C11884" s="1" t="n">
        <v>45952</v>
      </c>
      <c r="D11884" t="inlineStr">
        <is>
          <t>VÄSTRA GÖTALANDS LÄN</t>
        </is>
      </c>
      <c r="E11884" t="inlineStr">
        <is>
          <t>BENGTSFORS</t>
        </is>
      </c>
      <c r="G11884" t="n">
        <v>2.4</v>
      </c>
      <c r="H11884" t="n">
        <v>0</v>
      </c>
      <c r="I11884" t="n">
        <v>0</v>
      </c>
      <c r="J11884" t="n">
        <v>0</v>
      </c>
      <c r="K11884" t="n">
        <v>0</v>
      </c>
      <c r="L11884" t="n">
        <v>0</v>
      </c>
      <c r="M11884" t="n">
        <v>0</v>
      </c>
      <c r="N11884" t="n">
        <v>0</v>
      </c>
      <c r="O11884" t="n">
        <v>0</v>
      </c>
      <c r="P11884" t="n">
        <v>0</v>
      </c>
      <c r="Q11884" t="n">
        <v>0</v>
      </c>
      <c r="R11884" s="2" t="inlineStr"/>
    </row>
    <row r="11885" ht="15" customHeight="1">
      <c r="A11885" t="inlineStr">
        <is>
          <t>A 29619-2025</t>
        </is>
      </c>
      <c r="B11885" s="1" t="n">
        <v>45825.43653935185</v>
      </c>
      <c r="C11885" s="1" t="n">
        <v>45952</v>
      </c>
      <c r="D11885" t="inlineStr">
        <is>
          <t>VÄSTRA GÖTALANDS LÄN</t>
        </is>
      </c>
      <c r="E11885" t="inlineStr">
        <is>
          <t>SVENLJUNGA</t>
        </is>
      </c>
      <c r="G11885" t="n">
        <v>0.9</v>
      </c>
      <c r="H11885" t="n">
        <v>0</v>
      </c>
      <c r="I11885" t="n">
        <v>0</v>
      </c>
      <c r="J11885" t="n">
        <v>0</v>
      </c>
      <c r="K11885" t="n">
        <v>0</v>
      </c>
      <c r="L11885" t="n">
        <v>0</v>
      </c>
      <c r="M11885" t="n">
        <v>0</v>
      </c>
      <c r="N11885" t="n">
        <v>0</v>
      </c>
      <c r="O11885" t="n">
        <v>0</v>
      </c>
      <c r="P11885" t="n">
        <v>0</v>
      </c>
      <c r="Q11885" t="n">
        <v>0</v>
      </c>
      <c r="R11885" s="2" t="inlineStr"/>
    </row>
    <row r="11886" ht="15" customHeight="1">
      <c r="A11886" t="inlineStr">
        <is>
          <t>A 29335-2025</t>
        </is>
      </c>
      <c r="B11886" s="1" t="n">
        <v>45824.49121527778</v>
      </c>
      <c r="C11886" s="1" t="n">
        <v>45952</v>
      </c>
      <c r="D11886" t="inlineStr">
        <is>
          <t>VÄSTRA GÖTALANDS LÄN</t>
        </is>
      </c>
      <c r="E11886" t="inlineStr">
        <is>
          <t>SKÖVDE</t>
        </is>
      </c>
      <c r="F11886" t="inlineStr">
        <is>
          <t>Kommuner</t>
        </is>
      </c>
      <c r="G11886" t="n">
        <v>0.7</v>
      </c>
      <c r="H11886" t="n">
        <v>0</v>
      </c>
      <c r="I11886" t="n">
        <v>0</v>
      </c>
      <c r="J11886" t="n">
        <v>0</v>
      </c>
      <c r="K11886" t="n">
        <v>0</v>
      </c>
      <c r="L11886" t="n">
        <v>0</v>
      </c>
      <c r="M11886" t="n">
        <v>0</v>
      </c>
      <c r="N11886" t="n">
        <v>0</v>
      </c>
      <c r="O11886" t="n">
        <v>0</v>
      </c>
      <c r="P11886" t="n">
        <v>0</v>
      </c>
      <c r="Q11886" t="n">
        <v>0</v>
      </c>
      <c r="R11886" s="2" t="inlineStr"/>
    </row>
    <row r="11887" ht="15" customHeight="1">
      <c r="A11887" t="inlineStr">
        <is>
          <t>A 29015-2025</t>
        </is>
      </c>
      <c r="B11887" s="1" t="n">
        <v>45821.41212962963</v>
      </c>
      <c r="C11887" s="1" t="n">
        <v>45952</v>
      </c>
      <c r="D11887" t="inlineStr">
        <is>
          <t>VÄSTRA GÖTALANDS LÄN</t>
        </is>
      </c>
      <c r="E11887" t="inlineStr">
        <is>
          <t>SKÖVDE</t>
        </is>
      </c>
      <c r="G11887" t="n">
        <v>2.1</v>
      </c>
      <c r="H11887" t="n">
        <v>0</v>
      </c>
      <c r="I11887" t="n">
        <v>0</v>
      </c>
      <c r="J11887" t="n">
        <v>0</v>
      </c>
      <c r="K11887" t="n">
        <v>0</v>
      </c>
      <c r="L11887" t="n">
        <v>0</v>
      </c>
      <c r="M11887" t="n">
        <v>0</v>
      </c>
      <c r="N11887" t="n">
        <v>0</v>
      </c>
      <c r="O11887" t="n">
        <v>0</v>
      </c>
      <c r="P11887" t="n">
        <v>0</v>
      </c>
      <c r="Q11887" t="n">
        <v>0</v>
      </c>
      <c r="R11887" s="2" t="inlineStr"/>
    </row>
    <row r="11888" ht="15" customHeight="1">
      <c r="A11888" t="inlineStr">
        <is>
          <t>A 29373-2025</t>
        </is>
      </c>
      <c r="B11888" s="1" t="n">
        <v>45824.579375</v>
      </c>
      <c r="C11888" s="1" t="n">
        <v>45952</v>
      </c>
      <c r="D11888" t="inlineStr">
        <is>
          <t>VÄSTRA GÖTALANDS LÄN</t>
        </is>
      </c>
      <c r="E11888" t="inlineStr">
        <is>
          <t>ALE</t>
        </is>
      </c>
      <c r="G11888" t="n">
        <v>4.6</v>
      </c>
      <c r="H11888" t="n">
        <v>0</v>
      </c>
      <c r="I11888" t="n">
        <v>0</v>
      </c>
      <c r="J11888" t="n">
        <v>0</v>
      </c>
      <c r="K11888" t="n">
        <v>0</v>
      </c>
      <c r="L11888" t="n">
        <v>0</v>
      </c>
      <c r="M11888" t="n">
        <v>0</v>
      </c>
      <c r="N11888" t="n">
        <v>0</v>
      </c>
      <c r="O11888" t="n">
        <v>0</v>
      </c>
      <c r="P11888" t="n">
        <v>0</v>
      </c>
      <c r="Q11888" t="n">
        <v>0</v>
      </c>
      <c r="R11888" s="2" t="inlineStr"/>
    </row>
    <row r="11889" ht="15" customHeight="1">
      <c r="A11889" t="inlineStr">
        <is>
          <t>A 29182-2025</t>
        </is>
      </c>
      <c r="B11889" s="1" t="n">
        <v>45821.745625</v>
      </c>
      <c r="C11889" s="1" t="n">
        <v>45952</v>
      </c>
      <c r="D11889" t="inlineStr">
        <is>
          <t>VÄSTRA GÖTALANDS LÄN</t>
        </is>
      </c>
      <c r="E11889" t="inlineStr">
        <is>
          <t>TIDAHOLM</t>
        </is>
      </c>
      <c r="G11889" t="n">
        <v>3.5</v>
      </c>
      <c r="H11889" t="n">
        <v>0</v>
      </c>
      <c r="I11889" t="n">
        <v>0</v>
      </c>
      <c r="J11889" t="n">
        <v>0</v>
      </c>
      <c r="K11889" t="n">
        <v>0</v>
      </c>
      <c r="L11889" t="n">
        <v>0</v>
      </c>
      <c r="M11889" t="n">
        <v>0</v>
      </c>
      <c r="N11889" t="n">
        <v>0</v>
      </c>
      <c r="O11889" t="n">
        <v>0</v>
      </c>
      <c r="P11889" t="n">
        <v>0</v>
      </c>
      <c r="Q11889" t="n">
        <v>0</v>
      </c>
      <c r="R11889" s="2" t="inlineStr"/>
    </row>
    <row r="11890" ht="15" customHeight="1">
      <c r="A11890" t="inlineStr">
        <is>
          <t>A 29428-2025</t>
        </is>
      </c>
      <c r="B11890" s="1" t="n">
        <v>45824</v>
      </c>
      <c r="C11890" s="1" t="n">
        <v>45952</v>
      </c>
      <c r="D11890" t="inlineStr">
        <is>
          <t>VÄSTRA GÖTALANDS LÄN</t>
        </is>
      </c>
      <c r="E11890" t="inlineStr">
        <is>
          <t>ÅMÅL</t>
        </is>
      </c>
      <c r="G11890" t="n">
        <v>6.5</v>
      </c>
      <c r="H11890" t="n">
        <v>0</v>
      </c>
      <c r="I11890" t="n">
        <v>0</v>
      </c>
      <c r="J11890" t="n">
        <v>0</v>
      </c>
      <c r="K11890" t="n">
        <v>0</v>
      </c>
      <c r="L11890" t="n">
        <v>0</v>
      </c>
      <c r="M11890" t="n">
        <v>0</v>
      </c>
      <c r="N11890" t="n">
        <v>0</v>
      </c>
      <c r="O11890" t="n">
        <v>0</v>
      </c>
      <c r="P11890" t="n">
        <v>0</v>
      </c>
      <c r="Q11890" t="n">
        <v>0</v>
      </c>
      <c r="R11890" s="2" t="inlineStr"/>
    </row>
    <row r="11891" ht="15" customHeight="1">
      <c r="A11891" t="inlineStr">
        <is>
          <t>A 43241-2024</t>
        </is>
      </c>
      <c r="B11891" s="1" t="n">
        <v>45568.25478009259</v>
      </c>
      <c r="C11891" s="1" t="n">
        <v>45952</v>
      </c>
      <c r="D11891" t="inlineStr">
        <is>
          <t>VÄSTRA GÖTALANDS LÄN</t>
        </is>
      </c>
      <c r="E11891" t="inlineStr">
        <is>
          <t>ULRICEHAMN</t>
        </is>
      </c>
      <c r="G11891" t="n">
        <v>6</v>
      </c>
      <c r="H11891" t="n">
        <v>0</v>
      </c>
      <c r="I11891" t="n">
        <v>0</v>
      </c>
      <c r="J11891" t="n">
        <v>0</v>
      </c>
      <c r="K11891" t="n">
        <v>0</v>
      </c>
      <c r="L11891" t="n">
        <v>0</v>
      </c>
      <c r="M11891" t="n">
        <v>0</v>
      </c>
      <c r="N11891" t="n">
        <v>0</v>
      </c>
      <c r="O11891" t="n">
        <v>0</v>
      </c>
      <c r="P11891" t="n">
        <v>0</v>
      </c>
      <c r="Q11891" t="n">
        <v>0</v>
      </c>
      <c r="R11891" s="2" t="inlineStr"/>
    </row>
    <row r="11892" ht="15" customHeight="1">
      <c r="A11892" t="inlineStr">
        <is>
          <t>A 29470-2025</t>
        </is>
      </c>
      <c r="B11892" s="1" t="n">
        <v>45824.69983796297</v>
      </c>
      <c r="C11892" s="1" t="n">
        <v>45952</v>
      </c>
      <c r="D11892" t="inlineStr">
        <is>
          <t>VÄSTRA GÖTALANDS LÄN</t>
        </is>
      </c>
      <c r="E11892" t="inlineStr">
        <is>
          <t>BENGTSFORS</t>
        </is>
      </c>
      <c r="G11892" t="n">
        <v>3.1</v>
      </c>
      <c r="H11892" t="n">
        <v>0</v>
      </c>
      <c r="I11892" t="n">
        <v>0</v>
      </c>
      <c r="J11892" t="n">
        <v>0</v>
      </c>
      <c r="K11892" t="n">
        <v>0</v>
      </c>
      <c r="L11892" t="n">
        <v>0</v>
      </c>
      <c r="M11892" t="n">
        <v>0</v>
      </c>
      <c r="N11892" t="n">
        <v>0</v>
      </c>
      <c r="O11892" t="n">
        <v>0</v>
      </c>
      <c r="P11892" t="n">
        <v>0</v>
      </c>
      <c r="Q11892" t="n">
        <v>0</v>
      </c>
      <c r="R11892" s="2" t="inlineStr"/>
    </row>
    <row r="11893" ht="15" customHeight="1">
      <c r="A11893" t="inlineStr">
        <is>
          <t>A 29486-2025</t>
        </is>
      </c>
      <c r="B11893" s="1" t="n">
        <v>45824.75438657407</v>
      </c>
      <c r="C11893" s="1" t="n">
        <v>45952</v>
      </c>
      <c r="D11893" t="inlineStr">
        <is>
          <t>VÄSTRA GÖTALANDS LÄN</t>
        </is>
      </c>
      <c r="E11893" t="inlineStr">
        <is>
          <t>KARLSBORG</t>
        </is>
      </c>
      <c r="G11893" t="n">
        <v>2.4</v>
      </c>
      <c r="H11893" t="n">
        <v>0</v>
      </c>
      <c r="I11893" t="n">
        <v>0</v>
      </c>
      <c r="J11893" t="n">
        <v>0</v>
      </c>
      <c r="K11893" t="n">
        <v>0</v>
      </c>
      <c r="L11893" t="n">
        <v>0</v>
      </c>
      <c r="M11893" t="n">
        <v>0</v>
      </c>
      <c r="N11893" t="n">
        <v>0</v>
      </c>
      <c r="O11893" t="n">
        <v>0</v>
      </c>
      <c r="P11893" t="n">
        <v>0</v>
      </c>
      <c r="Q11893" t="n">
        <v>0</v>
      </c>
      <c r="R11893" s="2" t="inlineStr"/>
    </row>
    <row r="11894" ht="15" customHeight="1">
      <c r="A11894" t="inlineStr">
        <is>
          <t>A 29200-2025</t>
        </is>
      </c>
      <c r="B11894" s="1" t="n">
        <v>45823.35009259259</v>
      </c>
      <c r="C11894" s="1" t="n">
        <v>45952</v>
      </c>
      <c r="D11894" t="inlineStr">
        <is>
          <t>VÄSTRA GÖTALANDS LÄN</t>
        </is>
      </c>
      <c r="E11894" t="inlineStr">
        <is>
          <t>VARA</t>
        </is>
      </c>
      <c r="G11894" t="n">
        <v>5.6</v>
      </c>
      <c r="H11894" t="n">
        <v>0</v>
      </c>
      <c r="I11894" t="n">
        <v>0</v>
      </c>
      <c r="J11894" t="n">
        <v>0</v>
      </c>
      <c r="K11894" t="n">
        <v>0</v>
      </c>
      <c r="L11894" t="n">
        <v>0</v>
      </c>
      <c r="M11894" t="n">
        <v>0</v>
      </c>
      <c r="N11894" t="n">
        <v>0</v>
      </c>
      <c r="O11894" t="n">
        <v>0</v>
      </c>
      <c r="P11894" t="n">
        <v>0</v>
      </c>
      <c r="Q11894" t="n">
        <v>0</v>
      </c>
      <c r="R11894" s="2" t="inlineStr"/>
    </row>
    <row r="11895" ht="15" customHeight="1">
      <c r="A11895" t="inlineStr">
        <is>
          <t>A 14296-2023</t>
        </is>
      </c>
      <c r="B11895" s="1" t="n">
        <v>45011</v>
      </c>
      <c r="C11895" s="1" t="n">
        <v>45952</v>
      </c>
      <c r="D11895" t="inlineStr">
        <is>
          <t>VÄSTRA GÖTALANDS LÄN</t>
        </is>
      </c>
      <c r="E11895" t="inlineStr">
        <is>
          <t>GÖTENE</t>
        </is>
      </c>
      <c r="G11895" t="n">
        <v>1.7</v>
      </c>
      <c r="H11895" t="n">
        <v>0</v>
      </c>
      <c r="I11895" t="n">
        <v>0</v>
      </c>
      <c r="J11895" t="n">
        <v>0</v>
      </c>
      <c r="K11895" t="n">
        <v>0</v>
      </c>
      <c r="L11895" t="n">
        <v>0</v>
      </c>
      <c r="M11895" t="n">
        <v>0</v>
      </c>
      <c r="N11895" t="n">
        <v>0</v>
      </c>
      <c r="O11895" t="n">
        <v>0</v>
      </c>
      <c r="P11895" t="n">
        <v>0</v>
      </c>
      <c r="Q11895" t="n">
        <v>0</v>
      </c>
      <c r="R11895" s="2" t="inlineStr"/>
    </row>
    <row r="11896" ht="15" customHeight="1">
      <c r="A11896" t="inlineStr">
        <is>
          <t>A 20036-2021</t>
        </is>
      </c>
      <c r="B11896" s="1" t="n">
        <v>44314.33216435185</v>
      </c>
      <c r="C11896" s="1" t="n">
        <v>45952</v>
      </c>
      <c r="D11896" t="inlineStr">
        <is>
          <t>VÄSTRA GÖTALANDS LÄN</t>
        </is>
      </c>
      <c r="E11896" t="inlineStr">
        <is>
          <t>FÄRGELANDA</t>
        </is>
      </c>
      <c r="G11896" t="n">
        <v>1.4</v>
      </c>
      <c r="H11896" t="n">
        <v>0</v>
      </c>
      <c r="I11896" t="n">
        <v>0</v>
      </c>
      <c r="J11896" t="n">
        <v>0</v>
      </c>
      <c r="K11896" t="n">
        <v>0</v>
      </c>
      <c r="L11896" t="n">
        <v>0</v>
      </c>
      <c r="M11896" t="n">
        <v>0</v>
      </c>
      <c r="N11896" t="n">
        <v>0</v>
      </c>
      <c r="O11896" t="n">
        <v>0</v>
      </c>
      <c r="P11896" t="n">
        <v>0</v>
      </c>
      <c r="Q11896" t="n">
        <v>0</v>
      </c>
      <c r="R11896" s="2" t="inlineStr"/>
    </row>
    <row r="11897" ht="15" customHeight="1">
      <c r="A11897" t="inlineStr">
        <is>
          <t>A 61361-2022</t>
        </is>
      </c>
      <c r="B11897" s="1" t="n">
        <v>44915.77621527778</v>
      </c>
      <c r="C11897" s="1" t="n">
        <v>45952</v>
      </c>
      <c r="D11897" t="inlineStr">
        <is>
          <t>VÄSTRA GÖTALANDS LÄN</t>
        </is>
      </c>
      <c r="E11897" t="inlineStr">
        <is>
          <t>TIDAHOLM</t>
        </is>
      </c>
      <c r="F11897" t="inlineStr">
        <is>
          <t>Sveaskog</t>
        </is>
      </c>
      <c r="G11897" t="n">
        <v>0.5</v>
      </c>
      <c r="H11897" t="n">
        <v>0</v>
      </c>
      <c r="I11897" t="n">
        <v>0</v>
      </c>
      <c r="J11897" t="n">
        <v>0</v>
      </c>
      <c r="K11897" t="n">
        <v>0</v>
      </c>
      <c r="L11897" t="n">
        <v>0</v>
      </c>
      <c r="M11897" t="n">
        <v>0</v>
      </c>
      <c r="N11897" t="n">
        <v>0</v>
      </c>
      <c r="O11897" t="n">
        <v>0</v>
      </c>
      <c r="P11897" t="n">
        <v>0</v>
      </c>
      <c r="Q11897" t="n">
        <v>0</v>
      </c>
      <c r="R11897" s="2" t="inlineStr"/>
    </row>
    <row r="11898" ht="15" customHeight="1">
      <c r="A11898" t="inlineStr">
        <is>
          <t>A 7674-2023</t>
        </is>
      </c>
      <c r="B11898" s="1" t="n">
        <v>44972.69076388889</v>
      </c>
      <c r="C11898" s="1" t="n">
        <v>45952</v>
      </c>
      <c r="D11898" t="inlineStr">
        <is>
          <t>VÄSTRA GÖTALANDS LÄN</t>
        </is>
      </c>
      <c r="E11898" t="inlineStr">
        <is>
          <t>TANUM</t>
        </is>
      </c>
      <c r="G11898" t="n">
        <v>1.9</v>
      </c>
      <c r="H11898" t="n">
        <v>0</v>
      </c>
      <c r="I11898" t="n">
        <v>0</v>
      </c>
      <c r="J11898" t="n">
        <v>0</v>
      </c>
      <c r="K11898" t="n">
        <v>0</v>
      </c>
      <c r="L11898" t="n">
        <v>0</v>
      </c>
      <c r="M11898" t="n">
        <v>0</v>
      </c>
      <c r="N11898" t="n">
        <v>0</v>
      </c>
      <c r="O11898" t="n">
        <v>0</v>
      </c>
      <c r="P11898" t="n">
        <v>0</v>
      </c>
      <c r="Q11898" t="n">
        <v>0</v>
      </c>
      <c r="R11898" s="2" t="inlineStr"/>
    </row>
    <row r="11899" ht="15" customHeight="1">
      <c r="A11899" t="inlineStr">
        <is>
          <t>A 7705-2023</t>
        </is>
      </c>
      <c r="B11899" s="1" t="n">
        <v>44969</v>
      </c>
      <c r="C11899" s="1" t="n">
        <v>45952</v>
      </c>
      <c r="D11899" t="inlineStr">
        <is>
          <t>VÄSTRA GÖTALANDS LÄN</t>
        </is>
      </c>
      <c r="E11899" t="inlineStr">
        <is>
          <t>TANUM</t>
        </is>
      </c>
      <c r="G11899" t="n">
        <v>2.1</v>
      </c>
      <c r="H11899" t="n">
        <v>0</v>
      </c>
      <c r="I11899" t="n">
        <v>0</v>
      </c>
      <c r="J11899" t="n">
        <v>0</v>
      </c>
      <c r="K11899" t="n">
        <v>0</v>
      </c>
      <c r="L11899" t="n">
        <v>0</v>
      </c>
      <c r="M11899" t="n">
        <v>0</v>
      </c>
      <c r="N11899" t="n">
        <v>0</v>
      </c>
      <c r="O11899" t="n">
        <v>0</v>
      </c>
      <c r="P11899" t="n">
        <v>0</v>
      </c>
      <c r="Q11899" t="n">
        <v>0</v>
      </c>
      <c r="R11899" s="2" t="inlineStr"/>
    </row>
    <row r="11900" ht="15" customHeight="1">
      <c r="A11900" t="inlineStr">
        <is>
          <t>A 30036-2025</t>
        </is>
      </c>
      <c r="B11900" s="1" t="n">
        <v>45826.57094907408</v>
      </c>
      <c r="C11900" s="1" t="n">
        <v>45952</v>
      </c>
      <c r="D11900" t="inlineStr">
        <is>
          <t>VÄSTRA GÖTALANDS LÄN</t>
        </is>
      </c>
      <c r="E11900" t="inlineStr">
        <is>
          <t>ULRICEHAMN</t>
        </is>
      </c>
      <c r="G11900" t="n">
        <v>0.8</v>
      </c>
      <c r="H11900" t="n">
        <v>0</v>
      </c>
      <c r="I11900" t="n">
        <v>0</v>
      </c>
      <c r="J11900" t="n">
        <v>0</v>
      </c>
      <c r="K11900" t="n">
        <v>0</v>
      </c>
      <c r="L11900" t="n">
        <v>0</v>
      </c>
      <c r="M11900" t="n">
        <v>0</v>
      </c>
      <c r="N11900" t="n">
        <v>0</v>
      </c>
      <c r="O11900" t="n">
        <v>0</v>
      </c>
      <c r="P11900" t="n">
        <v>0</v>
      </c>
      <c r="Q11900" t="n">
        <v>0</v>
      </c>
      <c r="R11900" s="2" t="inlineStr"/>
    </row>
    <row r="11901" ht="15" customHeight="1">
      <c r="A11901" t="inlineStr">
        <is>
          <t>A 10541-2025</t>
        </is>
      </c>
      <c r="B11901" s="1" t="n">
        <v>45721.48103009259</v>
      </c>
      <c r="C11901" s="1" t="n">
        <v>45952</v>
      </c>
      <c r="D11901" t="inlineStr">
        <is>
          <t>VÄSTRA GÖTALANDS LÄN</t>
        </is>
      </c>
      <c r="E11901" t="inlineStr">
        <is>
          <t>ALINGSÅS</t>
        </is>
      </c>
      <c r="F11901" t="inlineStr">
        <is>
          <t>Kyrkan</t>
        </is>
      </c>
      <c r="G11901" t="n">
        <v>2.5</v>
      </c>
      <c r="H11901" t="n">
        <v>0</v>
      </c>
      <c r="I11901" t="n">
        <v>0</v>
      </c>
      <c r="J11901" t="n">
        <v>0</v>
      </c>
      <c r="K11901" t="n">
        <v>0</v>
      </c>
      <c r="L11901" t="n">
        <v>0</v>
      </c>
      <c r="M11901" t="n">
        <v>0</v>
      </c>
      <c r="N11901" t="n">
        <v>0</v>
      </c>
      <c r="O11901" t="n">
        <v>0</v>
      </c>
      <c r="P11901" t="n">
        <v>0</v>
      </c>
      <c r="Q11901" t="n">
        <v>0</v>
      </c>
      <c r="R11901" s="2" t="inlineStr"/>
    </row>
    <row r="11902" ht="15" customHeight="1">
      <c r="A11902" t="inlineStr">
        <is>
          <t>A 10657-2025</t>
        </is>
      </c>
      <c r="B11902" s="1" t="n">
        <v>45721.70053240741</v>
      </c>
      <c r="C11902" s="1" t="n">
        <v>45952</v>
      </c>
      <c r="D11902" t="inlineStr">
        <is>
          <t>VÄSTRA GÖTALANDS LÄN</t>
        </is>
      </c>
      <c r="E11902" t="inlineStr">
        <is>
          <t>MARK</t>
        </is>
      </c>
      <c r="G11902" t="n">
        <v>4</v>
      </c>
      <c r="H11902" t="n">
        <v>0</v>
      </c>
      <c r="I11902" t="n">
        <v>0</v>
      </c>
      <c r="J11902" t="n">
        <v>0</v>
      </c>
      <c r="K11902" t="n">
        <v>0</v>
      </c>
      <c r="L11902" t="n">
        <v>0</v>
      </c>
      <c r="M11902" t="n">
        <v>0</v>
      </c>
      <c r="N11902" t="n">
        <v>0</v>
      </c>
      <c r="O11902" t="n">
        <v>0</v>
      </c>
      <c r="P11902" t="n">
        <v>0</v>
      </c>
      <c r="Q11902" t="n">
        <v>0</v>
      </c>
      <c r="R11902" s="2" t="inlineStr"/>
    </row>
    <row r="11903" ht="15" customHeight="1">
      <c r="A11903" t="inlineStr">
        <is>
          <t>A 13731-2025</t>
        </is>
      </c>
      <c r="B11903" s="1" t="n">
        <v>45737.38832175926</v>
      </c>
      <c r="C11903" s="1" t="n">
        <v>45952</v>
      </c>
      <c r="D11903" t="inlineStr">
        <is>
          <t>VÄSTRA GÖTALANDS LÄN</t>
        </is>
      </c>
      <c r="E11903" t="inlineStr">
        <is>
          <t>HERRLJUNGA</t>
        </is>
      </c>
      <c r="G11903" t="n">
        <v>5.3</v>
      </c>
      <c r="H11903" t="n">
        <v>0</v>
      </c>
      <c r="I11903" t="n">
        <v>0</v>
      </c>
      <c r="J11903" t="n">
        <v>0</v>
      </c>
      <c r="K11903" t="n">
        <v>0</v>
      </c>
      <c r="L11903" t="n">
        <v>0</v>
      </c>
      <c r="M11903" t="n">
        <v>0</v>
      </c>
      <c r="N11903" t="n">
        <v>0</v>
      </c>
      <c r="O11903" t="n">
        <v>0</v>
      </c>
      <c r="P11903" t="n">
        <v>0</v>
      </c>
      <c r="Q11903" t="n">
        <v>0</v>
      </c>
      <c r="R11903" s="2" t="inlineStr"/>
    </row>
    <row r="11904" ht="15" customHeight="1">
      <c r="A11904" t="inlineStr">
        <is>
          <t>A 11127-2025</t>
        </is>
      </c>
      <c r="B11904" s="1" t="n">
        <v>45723.64304398148</v>
      </c>
      <c r="C11904" s="1" t="n">
        <v>45952</v>
      </c>
      <c r="D11904" t="inlineStr">
        <is>
          <t>VÄSTRA GÖTALANDS LÄN</t>
        </is>
      </c>
      <c r="E11904" t="inlineStr">
        <is>
          <t>ALINGSÅS</t>
        </is>
      </c>
      <c r="G11904" t="n">
        <v>1.1</v>
      </c>
      <c r="H11904" t="n">
        <v>0</v>
      </c>
      <c r="I11904" t="n">
        <v>0</v>
      </c>
      <c r="J11904" t="n">
        <v>0</v>
      </c>
      <c r="K11904" t="n">
        <v>0</v>
      </c>
      <c r="L11904" t="n">
        <v>0</v>
      </c>
      <c r="M11904" t="n">
        <v>0</v>
      </c>
      <c r="N11904" t="n">
        <v>0</v>
      </c>
      <c r="O11904" t="n">
        <v>0</v>
      </c>
      <c r="P11904" t="n">
        <v>0</v>
      </c>
      <c r="Q11904" t="n">
        <v>0</v>
      </c>
      <c r="R11904" s="2" t="inlineStr"/>
    </row>
    <row r="11905" ht="15" customHeight="1">
      <c r="A11905" t="inlineStr">
        <is>
          <t>A 13034-2025</t>
        </is>
      </c>
      <c r="B11905" s="1" t="n">
        <v>45734.57408564815</v>
      </c>
      <c r="C11905" s="1" t="n">
        <v>45952</v>
      </c>
      <c r="D11905" t="inlineStr">
        <is>
          <t>VÄSTRA GÖTALANDS LÄN</t>
        </is>
      </c>
      <c r="E11905" t="inlineStr">
        <is>
          <t>VÅRGÅRDA</t>
        </is>
      </c>
      <c r="G11905" t="n">
        <v>0.4</v>
      </c>
      <c r="H11905" t="n">
        <v>0</v>
      </c>
      <c r="I11905" t="n">
        <v>0</v>
      </c>
      <c r="J11905" t="n">
        <v>0</v>
      </c>
      <c r="K11905" t="n">
        <v>0</v>
      </c>
      <c r="L11905" t="n">
        <v>0</v>
      </c>
      <c r="M11905" t="n">
        <v>0</v>
      </c>
      <c r="N11905" t="n">
        <v>0</v>
      </c>
      <c r="O11905" t="n">
        <v>0</v>
      </c>
      <c r="P11905" t="n">
        <v>0</v>
      </c>
      <c r="Q11905" t="n">
        <v>0</v>
      </c>
      <c r="R11905" s="2" t="inlineStr"/>
    </row>
    <row r="11906" ht="15" customHeight="1">
      <c r="A11906" t="inlineStr">
        <is>
          <t>A 14688-2025</t>
        </is>
      </c>
      <c r="B11906" s="1" t="n">
        <v>45742.57935185185</v>
      </c>
      <c r="C11906" s="1" t="n">
        <v>45952</v>
      </c>
      <c r="D11906" t="inlineStr">
        <is>
          <t>VÄSTRA GÖTALANDS LÄN</t>
        </is>
      </c>
      <c r="E11906" t="inlineStr">
        <is>
          <t>MARK</t>
        </is>
      </c>
      <c r="G11906" t="n">
        <v>0.8</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19470-2023</t>
        </is>
      </c>
      <c r="B11907" s="1" t="n">
        <v>45050</v>
      </c>
      <c r="C11907" s="1" t="n">
        <v>45952</v>
      </c>
      <c r="D11907" t="inlineStr">
        <is>
          <t>VÄSTRA GÖTALANDS LÄN</t>
        </is>
      </c>
      <c r="E11907" t="inlineStr">
        <is>
          <t>FALKÖPING</t>
        </is>
      </c>
      <c r="G11907" t="n">
        <v>1.4</v>
      </c>
      <c r="H11907" t="n">
        <v>0</v>
      </c>
      <c r="I11907" t="n">
        <v>0</v>
      </c>
      <c r="J11907" t="n">
        <v>0</v>
      </c>
      <c r="K11907" t="n">
        <v>0</v>
      </c>
      <c r="L11907" t="n">
        <v>0</v>
      </c>
      <c r="M11907" t="n">
        <v>0</v>
      </c>
      <c r="N11907" t="n">
        <v>0</v>
      </c>
      <c r="O11907" t="n">
        <v>0</v>
      </c>
      <c r="P11907" t="n">
        <v>0</v>
      </c>
      <c r="Q11907" t="n">
        <v>0</v>
      </c>
      <c r="R11907" s="2" t="inlineStr"/>
    </row>
    <row r="11908" ht="15" customHeight="1">
      <c r="A11908" t="inlineStr">
        <is>
          <t>A 27529-2023</t>
        </is>
      </c>
      <c r="B11908" s="1" t="n">
        <v>45097</v>
      </c>
      <c r="C11908" s="1" t="n">
        <v>45952</v>
      </c>
      <c r="D11908" t="inlineStr">
        <is>
          <t>VÄSTRA GÖTALANDS LÄN</t>
        </is>
      </c>
      <c r="E11908" t="inlineStr">
        <is>
          <t>UDDEVALLA</t>
        </is>
      </c>
      <c r="G11908" t="n">
        <v>9.699999999999999</v>
      </c>
      <c r="H11908" t="n">
        <v>0</v>
      </c>
      <c r="I11908" t="n">
        <v>0</v>
      </c>
      <c r="J11908" t="n">
        <v>0</v>
      </c>
      <c r="K11908" t="n">
        <v>0</v>
      </c>
      <c r="L11908" t="n">
        <v>0</v>
      </c>
      <c r="M11908" t="n">
        <v>0</v>
      </c>
      <c r="N11908" t="n">
        <v>0</v>
      </c>
      <c r="O11908" t="n">
        <v>0</v>
      </c>
      <c r="P11908" t="n">
        <v>0</v>
      </c>
      <c r="Q11908" t="n">
        <v>0</v>
      </c>
      <c r="R11908" s="2" t="inlineStr"/>
    </row>
    <row r="11909" ht="15" customHeight="1">
      <c r="A11909" t="inlineStr">
        <is>
          <t>A 30150-2025</t>
        </is>
      </c>
      <c r="B11909" s="1" t="n">
        <v>45827.31333333333</v>
      </c>
      <c r="C11909" s="1" t="n">
        <v>45952</v>
      </c>
      <c r="D11909" t="inlineStr">
        <is>
          <t>VÄSTRA GÖTALANDS LÄN</t>
        </is>
      </c>
      <c r="E11909" t="inlineStr">
        <is>
          <t>SKÖVDE</t>
        </is>
      </c>
      <c r="F11909" t="inlineStr">
        <is>
          <t>Kommuner</t>
        </is>
      </c>
      <c r="G11909" t="n">
        <v>4.2</v>
      </c>
      <c r="H11909" t="n">
        <v>0</v>
      </c>
      <c r="I11909" t="n">
        <v>0</v>
      </c>
      <c r="J11909" t="n">
        <v>0</v>
      </c>
      <c r="K11909" t="n">
        <v>0</v>
      </c>
      <c r="L11909" t="n">
        <v>0</v>
      </c>
      <c r="M11909" t="n">
        <v>0</v>
      </c>
      <c r="N11909" t="n">
        <v>0</v>
      </c>
      <c r="O11909" t="n">
        <v>0</v>
      </c>
      <c r="P11909" t="n">
        <v>0</v>
      </c>
      <c r="Q11909" t="n">
        <v>0</v>
      </c>
      <c r="R11909" s="2" t="inlineStr"/>
    </row>
    <row r="11910" ht="15" customHeight="1">
      <c r="A11910" t="inlineStr">
        <is>
          <t>A 30001-2025</t>
        </is>
      </c>
      <c r="B11910" s="1" t="n">
        <v>45826.52243055555</v>
      </c>
      <c r="C11910" s="1" t="n">
        <v>45952</v>
      </c>
      <c r="D11910" t="inlineStr">
        <is>
          <t>VÄSTRA GÖTALANDS LÄN</t>
        </is>
      </c>
      <c r="E11910" t="inlineStr">
        <is>
          <t>GULLSPÅNG</t>
        </is>
      </c>
      <c r="F11910" t="inlineStr">
        <is>
          <t>Kyrkan</t>
        </is>
      </c>
      <c r="G11910" t="n">
        <v>4.7</v>
      </c>
      <c r="H11910" t="n">
        <v>0</v>
      </c>
      <c r="I11910" t="n">
        <v>0</v>
      </c>
      <c r="J11910" t="n">
        <v>0</v>
      </c>
      <c r="K11910" t="n">
        <v>0</v>
      </c>
      <c r="L11910" t="n">
        <v>0</v>
      </c>
      <c r="M11910" t="n">
        <v>0</v>
      </c>
      <c r="N11910" t="n">
        <v>0</v>
      </c>
      <c r="O11910" t="n">
        <v>0</v>
      </c>
      <c r="P11910" t="n">
        <v>0</v>
      </c>
      <c r="Q11910" t="n">
        <v>0</v>
      </c>
      <c r="R11910" s="2" t="inlineStr"/>
    </row>
    <row r="11911" ht="15" customHeight="1">
      <c r="A11911" t="inlineStr">
        <is>
          <t>A 30079-2025</t>
        </is>
      </c>
      <c r="B11911" s="1" t="n">
        <v>45826.64440972222</v>
      </c>
      <c r="C11911" s="1" t="n">
        <v>45952</v>
      </c>
      <c r="D11911" t="inlineStr">
        <is>
          <t>VÄSTRA GÖTALANDS LÄN</t>
        </is>
      </c>
      <c r="E11911" t="inlineStr">
        <is>
          <t>VÅRGÅRDA</t>
        </is>
      </c>
      <c r="G11911" t="n">
        <v>1.3</v>
      </c>
      <c r="H11911" t="n">
        <v>0</v>
      </c>
      <c r="I11911" t="n">
        <v>0</v>
      </c>
      <c r="J11911" t="n">
        <v>0</v>
      </c>
      <c r="K11911" t="n">
        <v>0</v>
      </c>
      <c r="L11911" t="n">
        <v>0</v>
      </c>
      <c r="M11911" t="n">
        <v>0</v>
      </c>
      <c r="N11911" t="n">
        <v>0</v>
      </c>
      <c r="O11911" t="n">
        <v>0</v>
      </c>
      <c r="P11911" t="n">
        <v>0</v>
      </c>
      <c r="Q11911" t="n">
        <v>0</v>
      </c>
      <c r="R11911" s="2" t="inlineStr"/>
    </row>
    <row r="11912" ht="15" customHeight="1">
      <c r="A11912" t="inlineStr">
        <is>
          <t>A 29813-2025</t>
        </is>
      </c>
      <c r="B11912" s="1" t="n">
        <v>45825.78273148148</v>
      </c>
      <c r="C11912" s="1" t="n">
        <v>45952</v>
      </c>
      <c r="D11912" t="inlineStr">
        <is>
          <t>VÄSTRA GÖTALANDS LÄN</t>
        </is>
      </c>
      <c r="E11912" t="inlineStr">
        <is>
          <t>GULLSPÅNG</t>
        </is>
      </c>
      <c r="G11912" t="n">
        <v>1</v>
      </c>
      <c r="H11912" t="n">
        <v>0</v>
      </c>
      <c r="I11912" t="n">
        <v>0</v>
      </c>
      <c r="J11912" t="n">
        <v>0</v>
      </c>
      <c r="K11912" t="n">
        <v>0</v>
      </c>
      <c r="L11912" t="n">
        <v>0</v>
      </c>
      <c r="M11912" t="n">
        <v>0</v>
      </c>
      <c r="N11912" t="n">
        <v>0</v>
      </c>
      <c r="O11912" t="n">
        <v>0</v>
      </c>
      <c r="P11912" t="n">
        <v>0</v>
      </c>
      <c r="Q11912" t="n">
        <v>0</v>
      </c>
      <c r="R11912" s="2" t="inlineStr"/>
    </row>
    <row r="11913" ht="15" customHeight="1">
      <c r="A11913" t="inlineStr">
        <is>
          <t>A 29837-2025</t>
        </is>
      </c>
      <c r="B11913" s="1" t="n">
        <v>45826.27395833333</v>
      </c>
      <c r="C11913" s="1" t="n">
        <v>45952</v>
      </c>
      <c r="D11913" t="inlineStr">
        <is>
          <t>VÄSTRA GÖTALANDS LÄN</t>
        </is>
      </c>
      <c r="E11913" t="inlineStr">
        <is>
          <t>ALINGSÅS</t>
        </is>
      </c>
      <c r="G11913" t="n">
        <v>3.2</v>
      </c>
      <c r="H11913" t="n">
        <v>0</v>
      </c>
      <c r="I11913" t="n">
        <v>0</v>
      </c>
      <c r="J11913" t="n">
        <v>0</v>
      </c>
      <c r="K11913" t="n">
        <v>0</v>
      </c>
      <c r="L11913" t="n">
        <v>0</v>
      </c>
      <c r="M11913" t="n">
        <v>0</v>
      </c>
      <c r="N11913" t="n">
        <v>0</v>
      </c>
      <c r="O11913" t="n">
        <v>0</v>
      </c>
      <c r="P11913" t="n">
        <v>0</v>
      </c>
      <c r="Q11913" t="n">
        <v>0</v>
      </c>
      <c r="R11913" s="2" t="inlineStr"/>
    </row>
    <row r="11914" ht="15" customHeight="1">
      <c r="A11914" t="inlineStr">
        <is>
          <t>A 29928-2025</t>
        </is>
      </c>
      <c r="B11914" s="1" t="n">
        <v>45826.43283564815</v>
      </c>
      <c r="C11914" s="1" t="n">
        <v>45952</v>
      </c>
      <c r="D11914" t="inlineStr">
        <is>
          <t>VÄSTRA GÖTALANDS LÄN</t>
        </is>
      </c>
      <c r="E11914" t="inlineStr">
        <is>
          <t>UDDEVALLA</t>
        </is>
      </c>
      <c r="G11914" t="n">
        <v>3.4</v>
      </c>
      <c r="H11914" t="n">
        <v>0</v>
      </c>
      <c r="I11914" t="n">
        <v>0</v>
      </c>
      <c r="J11914" t="n">
        <v>0</v>
      </c>
      <c r="K11914" t="n">
        <v>0</v>
      </c>
      <c r="L11914" t="n">
        <v>0</v>
      </c>
      <c r="M11914" t="n">
        <v>0</v>
      </c>
      <c r="N11914" t="n">
        <v>0</v>
      </c>
      <c r="O11914" t="n">
        <v>0</v>
      </c>
      <c r="P11914" t="n">
        <v>0</v>
      </c>
      <c r="Q11914" t="n">
        <v>0</v>
      </c>
      <c r="R11914" s="2" t="inlineStr"/>
    </row>
    <row r="11915" ht="15" customHeight="1">
      <c r="A11915" t="inlineStr">
        <is>
          <t>A 6080-2023</t>
        </is>
      </c>
      <c r="B11915" s="1" t="n">
        <v>44964</v>
      </c>
      <c r="C11915" s="1" t="n">
        <v>45952</v>
      </c>
      <c r="D11915" t="inlineStr">
        <is>
          <t>VÄSTRA GÖTALANDS LÄN</t>
        </is>
      </c>
      <c r="E11915" t="inlineStr">
        <is>
          <t>LIDKÖPING</t>
        </is>
      </c>
      <c r="G11915" t="n">
        <v>1.9</v>
      </c>
      <c r="H11915" t="n">
        <v>0</v>
      </c>
      <c r="I11915" t="n">
        <v>0</v>
      </c>
      <c r="J11915" t="n">
        <v>0</v>
      </c>
      <c r="K11915" t="n">
        <v>0</v>
      </c>
      <c r="L11915" t="n">
        <v>0</v>
      </c>
      <c r="M11915" t="n">
        <v>0</v>
      </c>
      <c r="N11915" t="n">
        <v>0</v>
      </c>
      <c r="O11915" t="n">
        <v>0</v>
      </c>
      <c r="P11915" t="n">
        <v>0</v>
      </c>
      <c r="Q11915" t="n">
        <v>0</v>
      </c>
      <c r="R11915" s="2" t="inlineStr"/>
    </row>
    <row r="11916" ht="15" customHeight="1">
      <c r="A11916" t="inlineStr">
        <is>
          <t>A 10231-2025</t>
        </is>
      </c>
      <c r="B11916" s="1" t="n">
        <v>45720.32884259259</v>
      </c>
      <c r="C11916" s="1" t="n">
        <v>45952</v>
      </c>
      <c r="D11916" t="inlineStr">
        <is>
          <t>VÄSTRA GÖTALANDS LÄN</t>
        </is>
      </c>
      <c r="E11916" t="inlineStr">
        <is>
          <t>TRANEMO</t>
        </is>
      </c>
      <c r="G11916" t="n">
        <v>1.4</v>
      </c>
      <c r="H11916" t="n">
        <v>0</v>
      </c>
      <c r="I11916" t="n">
        <v>0</v>
      </c>
      <c r="J11916" t="n">
        <v>0</v>
      </c>
      <c r="K11916" t="n">
        <v>0</v>
      </c>
      <c r="L11916" t="n">
        <v>0</v>
      </c>
      <c r="M11916" t="n">
        <v>0</v>
      </c>
      <c r="N11916" t="n">
        <v>0</v>
      </c>
      <c r="O11916" t="n">
        <v>0</v>
      </c>
      <c r="P11916" t="n">
        <v>0</v>
      </c>
      <c r="Q11916" t="n">
        <v>0</v>
      </c>
      <c r="R11916" s="2" t="inlineStr"/>
    </row>
    <row r="11917" ht="15" customHeight="1">
      <c r="A11917" t="inlineStr">
        <is>
          <t>A 25815-2024</t>
        </is>
      </c>
      <c r="B11917" s="1" t="n">
        <v>45467.37991898148</v>
      </c>
      <c r="C11917" s="1" t="n">
        <v>45952</v>
      </c>
      <c r="D11917" t="inlineStr">
        <is>
          <t>VÄSTRA GÖTALANDS LÄN</t>
        </is>
      </c>
      <c r="E11917" t="inlineStr">
        <is>
          <t>TRANEMO</t>
        </is>
      </c>
      <c r="G11917" t="n">
        <v>7.4</v>
      </c>
      <c r="H11917" t="n">
        <v>0</v>
      </c>
      <c r="I11917" t="n">
        <v>0</v>
      </c>
      <c r="J11917" t="n">
        <v>0</v>
      </c>
      <c r="K11917" t="n">
        <v>0</v>
      </c>
      <c r="L11917" t="n">
        <v>0</v>
      </c>
      <c r="M11917" t="n">
        <v>0</v>
      </c>
      <c r="N11917" t="n">
        <v>0</v>
      </c>
      <c r="O11917" t="n">
        <v>0</v>
      </c>
      <c r="P11917" t="n">
        <v>0</v>
      </c>
      <c r="Q11917" t="n">
        <v>0</v>
      </c>
      <c r="R11917" s="2" t="inlineStr"/>
    </row>
    <row r="11918" ht="15" customHeight="1">
      <c r="A11918" t="inlineStr">
        <is>
          <t>A 25826-2024</t>
        </is>
      </c>
      <c r="B11918" s="1" t="n">
        <v>45467.40405092593</v>
      </c>
      <c r="C11918" s="1" t="n">
        <v>45952</v>
      </c>
      <c r="D11918" t="inlineStr">
        <is>
          <t>VÄSTRA GÖTALANDS LÄN</t>
        </is>
      </c>
      <c r="E11918" t="inlineStr">
        <is>
          <t>FÄRGELANDA</t>
        </is>
      </c>
      <c r="G11918" t="n">
        <v>2.4</v>
      </c>
      <c r="H11918" t="n">
        <v>0</v>
      </c>
      <c r="I11918" t="n">
        <v>0</v>
      </c>
      <c r="J11918" t="n">
        <v>0</v>
      </c>
      <c r="K11918" t="n">
        <v>0</v>
      </c>
      <c r="L11918" t="n">
        <v>0</v>
      </c>
      <c r="M11918" t="n">
        <v>0</v>
      </c>
      <c r="N11918" t="n">
        <v>0</v>
      </c>
      <c r="O11918" t="n">
        <v>0</v>
      </c>
      <c r="P11918" t="n">
        <v>0</v>
      </c>
      <c r="Q11918" t="n">
        <v>0</v>
      </c>
      <c r="R11918" s="2" t="inlineStr"/>
    </row>
    <row r="11919" ht="15" customHeight="1">
      <c r="A11919" t="inlineStr">
        <is>
          <t>A 49429-2021</t>
        </is>
      </c>
      <c r="B11919" s="1" t="n">
        <v>44454</v>
      </c>
      <c r="C11919" s="1" t="n">
        <v>45952</v>
      </c>
      <c r="D11919" t="inlineStr">
        <is>
          <t>VÄSTRA GÖTALANDS LÄN</t>
        </is>
      </c>
      <c r="E11919" t="inlineStr">
        <is>
          <t>FALKÖPING</t>
        </is>
      </c>
      <c r="G11919" t="n">
        <v>1.4</v>
      </c>
      <c r="H11919" t="n">
        <v>0</v>
      </c>
      <c r="I11919" t="n">
        <v>0</v>
      </c>
      <c r="J11919" t="n">
        <v>0</v>
      </c>
      <c r="K11919" t="n">
        <v>0</v>
      </c>
      <c r="L11919" t="n">
        <v>0</v>
      </c>
      <c r="M11919" t="n">
        <v>0</v>
      </c>
      <c r="N11919" t="n">
        <v>0</v>
      </c>
      <c r="O11919" t="n">
        <v>0</v>
      </c>
      <c r="P11919" t="n">
        <v>0</v>
      </c>
      <c r="Q11919" t="n">
        <v>0</v>
      </c>
      <c r="R11919" s="2" t="inlineStr"/>
    </row>
    <row r="11920" ht="15" customHeight="1">
      <c r="A11920" t="inlineStr">
        <is>
          <t>A 53392-2024</t>
        </is>
      </c>
      <c r="B11920" s="1" t="n">
        <v>45614.48221064815</v>
      </c>
      <c r="C11920" s="1" t="n">
        <v>45952</v>
      </c>
      <c r="D11920" t="inlineStr">
        <is>
          <t>VÄSTRA GÖTALANDS LÄN</t>
        </is>
      </c>
      <c r="E11920" t="inlineStr">
        <is>
          <t>TIDAHOLM</t>
        </is>
      </c>
      <c r="F11920" t="inlineStr">
        <is>
          <t>Sveaskog</t>
        </is>
      </c>
      <c r="G11920" t="n">
        <v>2.8</v>
      </c>
      <c r="H11920" t="n">
        <v>0</v>
      </c>
      <c r="I11920" t="n">
        <v>0</v>
      </c>
      <c r="J11920" t="n">
        <v>0</v>
      </c>
      <c r="K11920" t="n">
        <v>0</v>
      </c>
      <c r="L11920" t="n">
        <v>0</v>
      </c>
      <c r="M11920" t="n">
        <v>0</v>
      </c>
      <c r="N11920" t="n">
        <v>0</v>
      </c>
      <c r="O11920" t="n">
        <v>0</v>
      </c>
      <c r="P11920" t="n">
        <v>0</v>
      </c>
      <c r="Q11920" t="n">
        <v>0</v>
      </c>
      <c r="R11920" s="2" t="inlineStr"/>
    </row>
    <row r="11921" ht="15" customHeight="1">
      <c r="A11921" t="inlineStr">
        <is>
          <t>A 53394-2024</t>
        </is>
      </c>
      <c r="B11921" s="1" t="n">
        <v>45614.48385416667</v>
      </c>
      <c r="C11921" s="1" t="n">
        <v>45952</v>
      </c>
      <c r="D11921" t="inlineStr">
        <is>
          <t>VÄSTRA GÖTALANDS LÄN</t>
        </is>
      </c>
      <c r="E11921" t="inlineStr">
        <is>
          <t>TIDAHOLM</t>
        </is>
      </c>
      <c r="F11921" t="inlineStr">
        <is>
          <t>Sveaskog</t>
        </is>
      </c>
      <c r="G11921" t="n">
        <v>1.6</v>
      </c>
      <c r="H11921" t="n">
        <v>0</v>
      </c>
      <c r="I11921" t="n">
        <v>0</v>
      </c>
      <c r="J11921" t="n">
        <v>0</v>
      </c>
      <c r="K11921" t="n">
        <v>0</v>
      </c>
      <c r="L11921" t="n">
        <v>0</v>
      </c>
      <c r="M11921" t="n">
        <v>0</v>
      </c>
      <c r="N11921" t="n">
        <v>0</v>
      </c>
      <c r="O11921" t="n">
        <v>0</v>
      </c>
      <c r="P11921" t="n">
        <v>0</v>
      </c>
      <c r="Q11921" t="n">
        <v>0</v>
      </c>
      <c r="R11921" s="2" t="inlineStr"/>
    </row>
    <row r="11922" ht="15" customHeight="1">
      <c r="A11922" t="inlineStr">
        <is>
          <t>A 53398-2024</t>
        </is>
      </c>
      <c r="B11922" s="1" t="n">
        <v>45614.48731481482</v>
      </c>
      <c r="C11922" s="1" t="n">
        <v>45952</v>
      </c>
      <c r="D11922" t="inlineStr">
        <is>
          <t>VÄSTRA GÖTALANDS LÄN</t>
        </is>
      </c>
      <c r="E11922" t="inlineStr">
        <is>
          <t>TIDAHOLM</t>
        </is>
      </c>
      <c r="F11922" t="inlineStr">
        <is>
          <t>Sveaskog</t>
        </is>
      </c>
      <c r="G11922" t="n">
        <v>3.7</v>
      </c>
      <c r="H11922" t="n">
        <v>0</v>
      </c>
      <c r="I11922" t="n">
        <v>0</v>
      </c>
      <c r="J11922" t="n">
        <v>0</v>
      </c>
      <c r="K11922" t="n">
        <v>0</v>
      </c>
      <c r="L11922" t="n">
        <v>0</v>
      </c>
      <c r="M11922" t="n">
        <v>0</v>
      </c>
      <c r="N11922" t="n">
        <v>0</v>
      </c>
      <c r="O11922" t="n">
        <v>0</v>
      </c>
      <c r="P11922" t="n">
        <v>0</v>
      </c>
      <c r="Q11922" t="n">
        <v>0</v>
      </c>
      <c r="R11922" s="2" t="inlineStr"/>
    </row>
    <row r="11923" ht="15" customHeight="1">
      <c r="A11923" t="inlineStr">
        <is>
          <t>A 35202-2023</t>
        </is>
      </c>
      <c r="B11923" s="1" t="n">
        <v>45145</v>
      </c>
      <c r="C11923" s="1" t="n">
        <v>45952</v>
      </c>
      <c r="D11923" t="inlineStr">
        <is>
          <t>VÄSTRA GÖTALANDS LÄN</t>
        </is>
      </c>
      <c r="E11923" t="inlineStr">
        <is>
          <t>LIDKÖPING</t>
        </is>
      </c>
      <c r="G11923" t="n">
        <v>11.1</v>
      </c>
      <c r="H11923" t="n">
        <v>0</v>
      </c>
      <c r="I11923" t="n">
        <v>0</v>
      </c>
      <c r="J11923" t="n">
        <v>0</v>
      </c>
      <c r="K11923" t="n">
        <v>0</v>
      </c>
      <c r="L11923" t="n">
        <v>0</v>
      </c>
      <c r="M11923" t="n">
        <v>0</v>
      </c>
      <c r="N11923" t="n">
        <v>0</v>
      </c>
      <c r="O11923" t="n">
        <v>0</v>
      </c>
      <c r="P11923" t="n">
        <v>0</v>
      </c>
      <c r="Q11923" t="n">
        <v>0</v>
      </c>
      <c r="R11923" s="2" t="inlineStr"/>
    </row>
    <row r="11924" ht="15" customHeight="1">
      <c r="A11924" t="inlineStr">
        <is>
          <t>A 7734-2022</t>
        </is>
      </c>
      <c r="B11924" s="1" t="n">
        <v>44608</v>
      </c>
      <c r="C11924" s="1" t="n">
        <v>45952</v>
      </c>
      <c r="D11924" t="inlineStr">
        <is>
          <t>VÄSTRA GÖTALANDS LÄN</t>
        </is>
      </c>
      <c r="E11924" t="inlineStr">
        <is>
          <t>VÅRGÅRDA</t>
        </is>
      </c>
      <c r="G11924" t="n">
        <v>2.7</v>
      </c>
      <c r="H11924" t="n">
        <v>0</v>
      </c>
      <c r="I11924" t="n">
        <v>0</v>
      </c>
      <c r="J11924" t="n">
        <v>0</v>
      </c>
      <c r="K11924" t="n">
        <v>0</v>
      </c>
      <c r="L11924" t="n">
        <v>0</v>
      </c>
      <c r="M11924" t="n">
        <v>0</v>
      </c>
      <c r="N11924" t="n">
        <v>0</v>
      </c>
      <c r="O11924" t="n">
        <v>0</v>
      </c>
      <c r="P11924" t="n">
        <v>0</v>
      </c>
      <c r="Q11924" t="n">
        <v>0</v>
      </c>
      <c r="R11924" s="2" t="inlineStr"/>
    </row>
    <row r="11925" ht="15" customHeight="1">
      <c r="A11925" t="inlineStr">
        <is>
          <t>A 21333-2024</t>
        </is>
      </c>
      <c r="B11925" s="1" t="n">
        <v>45440</v>
      </c>
      <c r="C11925" s="1" t="n">
        <v>45952</v>
      </c>
      <c r="D11925" t="inlineStr">
        <is>
          <t>VÄSTRA GÖTALANDS LÄN</t>
        </is>
      </c>
      <c r="E11925" t="inlineStr">
        <is>
          <t>STRÖMSTAD</t>
        </is>
      </c>
      <c r="G11925" t="n">
        <v>2.4</v>
      </c>
      <c r="H11925" t="n">
        <v>0</v>
      </c>
      <c r="I11925" t="n">
        <v>0</v>
      </c>
      <c r="J11925" t="n">
        <v>0</v>
      </c>
      <c r="K11925" t="n">
        <v>0</v>
      </c>
      <c r="L11925" t="n">
        <v>0</v>
      </c>
      <c r="M11925" t="n">
        <v>0</v>
      </c>
      <c r="N11925" t="n">
        <v>0</v>
      </c>
      <c r="O11925" t="n">
        <v>0</v>
      </c>
      <c r="P11925" t="n">
        <v>0</v>
      </c>
      <c r="Q11925" t="n">
        <v>0</v>
      </c>
      <c r="R11925" s="2" t="inlineStr"/>
    </row>
    <row r="11926" ht="15" customHeight="1">
      <c r="A11926" t="inlineStr">
        <is>
          <t>A 31969-2023</t>
        </is>
      </c>
      <c r="B11926" s="1" t="n">
        <v>45119.41274305555</v>
      </c>
      <c r="C11926" s="1" t="n">
        <v>45952</v>
      </c>
      <c r="D11926" t="inlineStr">
        <is>
          <t>VÄSTRA GÖTALANDS LÄN</t>
        </is>
      </c>
      <c r="E11926" t="inlineStr">
        <is>
          <t>GÖTENE</t>
        </is>
      </c>
      <c r="G11926" t="n">
        <v>1.1</v>
      </c>
      <c r="H11926" t="n">
        <v>0</v>
      </c>
      <c r="I11926" t="n">
        <v>0</v>
      </c>
      <c r="J11926" t="n">
        <v>0</v>
      </c>
      <c r="K11926" t="n">
        <v>0</v>
      </c>
      <c r="L11926" t="n">
        <v>0</v>
      </c>
      <c r="M11926" t="n">
        <v>0</v>
      </c>
      <c r="N11926" t="n">
        <v>0</v>
      </c>
      <c r="O11926" t="n">
        <v>0</v>
      </c>
      <c r="P11926" t="n">
        <v>0</v>
      </c>
      <c r="Q11926" t="n">
        <v>0</v>
      </c>
      <c r="R11926" s="2" t="inlineStr"/>
    </row>
    <row r="11927" ht="15" customHeight="1">
      <c r="A11927" t="inlineStr">
        <is>
          <t>A 31978-2023</t>
        </is>
      </c>
      <c r="B11927" s="1" t="n">
        <v>45119.42896990741</v>
      </c>
      <c r="C11927" s="1" t="n">
        <v>45952</v>
      </c>
      <c r="D11927" t="inlineStr">
        <is>
          <t>VÄSTRA GÖTALANDS LÄN</t>
        </is>
      </c>
      <c r="E11927" t="inlineStr">
        <is>
          <t>GÖTENE</t>
        </is>
      </c>
      <c r="G11927" t="n">
        <v>1.2</v>
      </c>
      <c r="H11927" t="n">
        <v>0</v>
      </c>
      <c r="I11927" t="n">
        <v>0</v>
      </c>
      <c r="J11927" t="n">
        <v>0</v>
      </c>
      <c r="K11927" t="n">
        <v>0</v>
      </c>
      <c r="L11927" t="n">
        <v>0</v>
      </c>
      <c r="M11927" t="n">
        <v>0</v>
      </c>
      <c r="N11927" t="n">
        <v>0</v>
      </c>
      <c r="O11927" t="n">
        <v>0</v>
      </c>
      <c r="P11927" t="n">
        <v>0</v>
      </c>
      <c r="Q11927" t="n">
        <v>0</v>
      </c>
      <c r="R11927" s="2" t="inlineStr"/>
    </row>
    <row r="11928" ht="15" customHeight="1">
      <c r="A11928" t="inlineStr">
        <is>
          <t>A 26146-2023</t>
        </is>
      </c>
      <c r="B11928" s="1" t="n">
        <v>45091.48631944445</v>
      </c>
      <c r="C11928" s="1" t="n">
        <v>45952</v>
      </c>
      <c r="D11928" t="inlineStr">
        <is>
          <t>VÄSTRA GÖTALANDS LÄN</t>
        </is>
      </c>
      <c r="E11928" t="inlineStr">
        <is>
          <t>SVENLJUNGA</t>
        </is>
      </c>
      <c r="G11928" t="n">
        <v>0.9</v>
      </c>
      <c r="H11928" t="n">
        <v>0</v>
      </c>
      <c r="I11928" t="n">
        <v>0</v>
      </c>
      <c r="J11928" t="n">
        <v>0</v>
      </c>
      <c r="K11928" t="n">
        <v>0</v>
      </c>
      <c r="L11928" t="n">
        <v>0</v>
      </c>
      <c r="M11928" t="n">
        <v>0</v>
      </c>
      <c r="N11928" t="n">
        <v>0</v>
      </c>
      <c r="O11928" t="n">
        <v>0</v>
      </c>
      <c r="P11928" t="n">
        <v>0</v>
      </c>
      <c r="Q11928" t="n">
        <v>0</v>
      </c>
      <c r="R11928" s="2" t="inlineStr"/>
    </row>
    <row r="11929" ht="15" customHeight="1">
      <c r="A11929" t="inlineStr">
        <is>
          <t>A 26163-2023</t>
        </is>
      </c>
      <c r="B11929" s="1" t="n">
        <v>45091</v>
      </c>
      <c r="C11929" s="1" t="n">
        <v>45952</v>
      </c>
      <c r="D11929" t="inlineStr">
        <is>
          <t>VÄSTRA GÖTALANDS LÄN</t>
        </is>
      </c>
      <c r="E11929" t="inlineStr">
        <is>
          <t>FALKÖPING</t>
        </is>
      </c>
      <c r="G11929" t="n">
        <v>1.6</v>
      </c>
      <c r="H11929" t="n">
        <v>0</v>
      </c>
      <c r="I11929" t="n">
        <v>0</v>
      </c>
      <c r="J11929" t="n">
        <v>0</v>
      </c>
      <c r="K11929" t="n">
        <v>0</v>
      </c>
      <c r="L11929" t="n">
        <v>0</v>
      </c>
      <c r="M11929" t="n">
        <v>0</v>
      </c>
      <c r="N11929" t="n">
        <v>0</v>
      </c>
      <c r="O11929" t="n">
        <v>0</v>
      </c>
      <c r="P11929" t="n">
        <v>0</v>
      </c>
      <c r="Q11929" t="n">
        <v>0</v>
      </c>
      <c r="R11929" s="2" t="inlineStr"/>
    </row>
    <row r="11930" ht="15" customHeight="1">
      <c r="A11930" t="inlineStr">
        <is>
          <t>A 35106-2021</t>
        </is>
      </c>
      <c r="B11930" s="1" t="n">
        <v>44384.36292824074</v>
      </c>
      <c r="C11930" s="1" t="n">
        <v>45952</v>
      </c>
      <c r="D11930" t="inlineStr">
        <is>
          <t>VÄSTRA GÖTALANDS LÄN</t>
        </is>
      </c>
      <c r="E11930" t="inlineStr">
        <is>
          <t>GRÄSTORP</t>
        </is>
      </c>
      <c r="G11930" t="n">
        <v>2.6</v>
      </c>
      <c r="H11930" t="n">
        <v>0</v>
      </c>
      <c r="I11930" t="n">
        <v>0</v>
      </c>
      <c r="J11930" t="n">
        <v>0</v>
      </c>
      <c r="K11930" t="n">
        <v>0</v>
      </c>
      <c r="L11930" t="n">
        <v>0</v>
      </c>
      <c r="M11930" t="n">
        <v>0</v>
      </c>
      <c r="N11930" t="n">
        <v>0</v>
      </c>
      <c r="O11930" t="n">
        <v>0</v>
      </c>
      <c r="P11930" t="n">
        <v>0</v>
      </c>
      <c r="Q11930" t="n">
        <v>0</v>
      </c>
      <c r="R11930" s="2" t="inlineStr"/>
    </row>
    <row r="11931" ht="15" customHeight="1">
      <c r="A11931" t="inlineStr">
        <is>
          <t>A 9890-2025</t>
        </is>
      </c>
      <c r="B11931" s="1" t="n">
        <v>45716.70203703704</v>
      </c>
      <c r="C11931" s="1" t="n">
        <v>45952</v>
      </c>
      <c r="D11931" t="inlineStr">
        <is>
          <t>VÄSTRA GÖTALANDS LÄN</t>
        </is>
      </c>
      <c r="E11931" t="inlineStr">
        <is>
          <t>MARK</t>
        </is>
      </c>
      <c r="G11931" t="n">
        <v>1</v>
      </c>
      <c r="H11931" t="n">
        <v>0</v>
      </c>
      <c r="I11931" t="n">
        <v>0</v>
      </c>
      <c r="J11931" t="n">
        <v>0</v>
      </c>
      <c r="K11931" t="n">
        <v>0</v>
      </c>
      <c r="L11931" t="n">
        <v>0</v>
      </c>
      <c r="M11931" t="n">
        <v>0</v>
      </c>
      <c r="N11931" t="n">
        <v>0</v>
      </c>
      <c r="O11931" t="n">
        <v>0</v>
      </c>
      <c r="P11931" t="n">
        <v>0</v>
      </c>
      <c r="Q11931" t="n">
        <v>0</v>
      </c>
      <c r="R11931" s="2" t="inlineStr"/>
    </row>
    <row r="11932" ht="15" customHeight="1">
      <c r="A11932" t="inlineStr">
        <is>
          <t>A 9491-2025</t>
        </is>
      </c>
      <c r="B11932" s="1" t="n">
        <v>45715.4965162037</v>
      </c>
      <c r="C11932" s="1" t="n">
        <v>45952</v>
      </c>
      <c r="D11932" t="inlineStr">
        <is>
          <t>VÄSTRA GÖTALANDS LÄN</t>
        </is>
      </c>
      <c r="E11932" t="inlineStr">
        <is>
          <t>HÄRRYDA</t>
        </is>
      </c>
      <c r="G11932" t="n">
        <v>1.5</v>
      </c>
      <c r="H11932" t="n">
        <v>0</v>
      </c>
      <c r="I11932" t="n">
        <v>0</v>
      </c>
      <c r="J11932" t="n">
        <v>0</v>
      </c>
      <c r="K11932" t="n">
        <v>0</v>
      </c>
      <c r="L11932" t="n">
        <v>0</v>
      </c>
      <c r="M11932" t="n">
        <v>0</v>
      </c>
      <c r="N11932" t="n">
        <v>0</v>
      </c>
      <c r="O11932" t="n">
        <v>0</v>
      </c>
      <c r="P11932" t="n">
        <v>0</v>
      </c>
      <c r="Q11932" t="n">
        <v>0</v>
      </c>
      <c r="R11932" s="2" t="inlineStr"/>
    </row>
    <row r="11933" ht="15" customHeight="1">
      <c r="A11933" t="inlineStr">
        <is>
          <t>A 36299-2021</t>
        </is>
      </c>
      <c r="B11933" s="1" t="n">
        <v>44390</v>
      </c>
      <c r="C11933" s="1" t="n">
        <v>45952</v>
      </c>
      <c r="D11933" t="inlineStr">
        <is>
          <t>VÄSTRA GÖTALANDS LÄN</t>
        </is>
      </c>
      <c r="E11933" t="inlineStr">
        <is>
          <t>TRANEMO</t>
        </is>
      </c>
      <c r="G11933" t="n">
        <v>1.3</v>
      </c>
      <c r="H11933" t="n">
        <v>0</v>
      </c>
      <c r="I11933" t="n">
        <v>0</v>
      </c>
      <c r="J11933" t="n">
        <v>0</v>
      </c>
      <c r="K11933" t="n">
        <v>0</v>
      </c>
      <c r="L11933" t="n">
        <v>0</v>
      </c>
      <c r="M11933" t="n">
        <v>0</v>
      </c>
      <c r="N11933" t="n">
        <v>0</v>
      </c>
      <c r="O11933" t="n">
        <v>0</v>
      </c>
      <c r="P11933" t="n">
        <v>0</v>
      </c>
      <c r="Q11933" t="n">
        <v>0</v>
      </c>
      <c r="R11933" s="2" t="inlineStr"/>
    </row>
    <row r="11934" ht="15" customHeight="1">
      <c r="A11934" t="inlineStr">
        <is>
          <t>A 11359-2025</t>
        </is>
      </c>
      <c r="B11934" s="1" t="n">
        <v>45726.53104166667</v>
      </c>
      <c r="C11934" s="1" t="n">
        <v>45952</v>
      </c>
      <c r="D11934" t="inlineStr">
        <is>
          <t>VÄSTRA GÖTALANDS LÄN</t>
        </is>
      </c>
      <c r="E11934" t="inlineStr">
        <is>
          <t>SVENLJUNGA</t>
        </is>
      </c>
      <c r="G11934" t="n">
        <v>0.9</v>
      </c>
      <c r="H11934" t="n">
        <v>0</v>
      </c>
      <c r="I11934" t="n">
        <v>0</v>
      </c>
      <c r="J11934" t="n">
        <v>0</v>
      </c>
      <c r="K11934" t="n">
        <v>0</v>
      </c>
      <c r="L11934" t="n">
        <v>0</v>
      </c>
      <c r="M11934" t="n">
        <v>0</v>
      </c>
      <c r="N11934" t="n">
        <v>0</v>
      </c>
      <c r="O11934" t="n">
        <v>0</v>
      </c>
      <c r="P11934" t="n">
        <v>0</v>
      </c>
      <c r="Q11934" t="n">
        <v>0</v>
      </c>
      <c r="R11934" s="2" t="inlineStr"/>
    </row>
    <row r="11935" ht="15" customHeight="1">
      <c r="A11935" t="inlineStr">
        <is>
          <t>A 11388-2025</t>
        </is>
      </c>
      <c r="B11935" s="1" t="n">
        <v>45726.56748842593</v>
      </c>
      <c r="C11935" s="1" t="n">
        <v>45952</v>
      </c>
      <c r="D11935" t="inlineStr">
        <is>
          <t>VÄSTRA GÖTALANDS LÄN</t>
        </is>
      </c>
      <c r="E11935" t="inlineStr">
        <is>
          <t>ALINGSÅS</t>
        </is>
      </c>
      <c r="G11935" t="n">
        <v>1.3</v>
      </c>
      <c r="H11935" t="n">
        <v>0</v>
      </c>
      <c r="I11935" t="n">
        <v>0</v>
      </c>
      <c r="J11935" t="n">
        <v>0</v>
      </c>
      <c r="K11935" t="n">
        <v>0</v>
      </c>
      <c r="L11935" t="n">
        <v>0</v>
      </c>
      <c r="M11935" t="n">
        <v>0</v>
      </c>
      <c r="N11935" t="n">
        <v>0</v>
      </c>
      <c r="O11935" t="n">
        <v>0</v>
      </c>
      <c r="P11935" t="n">
        <v>0</v>
      </c>
      <c r="Q11935" t="n">
        <v>0</v>
      </c>
      <c r="R11935" s="2" t="inlineStr"/>
    </row>
    <row r="11936" ht="15" customHeight="1">
      <c r="A11936" t="inlineStr">
        <is>
          <t>A 13362-2025</t>
        </is>
      </c>
      <c r="B11936" s="1" t="n">
        <v>45735.65590277778</v>
      </c>
      <c r="C11936" s="1" t="n">
        <v>45952</v>
      </c>
      <c r="D11936" t="inlineStr">
        <is>
          <t>VÄSTRA GÖTALANDS LÄN</t>
        </is>
      </c>
      <c r="E11936" t="inlineStr">
        <is>
          <t>SVENLJUNGA</t>
        </is>
      </c>
      <c r="G11936" t="n">
        <v>2.9</v>
      </c>
      <c r="H11936" t="n">
        <v>0</v>
      </c>
      <c r="I11936" t="n">
        <v>0</v>
      </c>
      <c r="J11936" t="n">
        <v>0</v>
      </c>
      <c r="K11936" t="n">
        <v>0</v>
      </c>
      <c r="L11936" t="n">
        <v>0</v>
      </c>
      <c r="M11936" t="n">
        <v>0</v>
      </c>
      <c r="N11936" t="n">
        <v>0</v>
      </c>
      <c r="O11936" t="n">
        <v>0</v>
      </c>
      <c r="P11936" t="n">
        <v>0</v>
      </c>
      <c r="Q11936" t="n">
        <v>0</v>
      </c>
      <c r="R11936" s="2" t="inlineStr"/>
    </row>
    <row r="11937" ht="15" customHeight="1">
      <c r="A11937" t="inlineStr">
        <is>
          <t>A 13382-2025</t>
        </is>
      </c>
      <c r="B11937" s="1" t="n">
        <v>45735.67928240741</v>
      </c>
      <c r="C11937" s="1" t="n">
        <v>45952</v>
      </c>
      <c r="D11937" t="inlineStr">
        <is>
          <t>VÄSTRA GÖTALANDS LÄN</t>
        </is>
      </c>
      <c r="E11937" t="inlineStr">
        <is>
          <t>ALE</t>
        </is>
      </c>
      <c r="G11937" t="n">
        <v>0.9</v>
      </c>
      <c r="H11937" t="n">
        <v>0</v>
      </c>
      <c r="I11937" t="n">
        <v>0</v>
      </c>
      <c r="J11937" t="n">
        <v>0</v>
      </c>
      <c r="K11937" t="n">
        <v>0</v>
      </c>
      <c r="L11937" t="n">
        <v>0</v>
      </c>
      <c r="M11937" t="n">
        <v>0</v>
      </c>
      <c r="N11937" t="n">
        <v>0</v>
      </c>
      <c r="O11937" t="n">
        <v>0</v>
      </c>
      <c r="P11937" t="n">
        <v>0</v>
      </c>
      <c r="Q11937" t="n">
        <v>0</v>
      </c>
      <c r="R11937" s="2" t="inlineStr"/>
    </row>
    <row r="11938" ht="15" customHeight="1">
      <c r="A11938" t="inlineStr">
        <is>
          <t>A 10879-2025</t>
        </is>
      </c>
      <c r="B11938" s="1" t="n">
        <v>45722.64840277778</v>
      </c>
      <c r="C11938" s="1" t="n">
        <v>45952</v>
      </c>
      <c r="D11938" t="inlineStr">
        <is>
          <t>VÄSTRA GÖTALANDS LÄN</t>
        </is>
      </c>
      <c r="E11938" t="inlineStr">
        <is>
          <t>TRANEMO</t>
        </is>
      </c>
      <c r="G11938" t="n">
        <v>4.5</v>
      </c>
      <c r="H11938" t="n">
        <v>0</v>
      </c>
      <c r="I11938" t="n">
        <v>0</v>
      </c>
      <c r="J11938" t="n">
        <v>0</v>
      </c>
      <c r="K11938" t="n">
        <v>0</v>
      </c>
      <c r="L11938" t="n">
        <v>0</v>
      </c>
      <c r="M11938" t="n">
        <v>0</v>
      </c>
      <c r="N11938" t="n">
        <v>0</v>
      </c>
      <c r="O11938" t="n">
        <v>0</v>
      </c>
      <c r="P11938" t="n">
        <v>0</v>
      </c>
      <c r="Q11938" t="n">
        <v>0</v>
      </c>
      <c r="R11938" s="2" t="inlineStr"/>
    </row>
    <row r="11939" ht="15" customHeight="1">
      <c r="A11939" t="inlineStr">
        <is>
          <t>A 10918-2025</t>
        </is>
      </c>
      <c r="B11939" s="1" t="n">
        <v>45722.77650462963</v>
      </c>
      <c r="C11939" s="1" t="n">
        <v>45952</v>
      </c>
      <c r="D11939" t="inlineStr">
        <is>
          <t>VÄSTRA GÖTALANDS LÄN</t>
        </is>
      </c>
      <c r="E11939" t="inlineStr">
        <is>
          <t>BOLLEBYGD</t>
        </is>
      </c>
      <c r="G11939" t="n">
        <v>1.9</v>
      </c>
      <c r="H11939" t="n">
        <v>0</v>
      </c>
      <c r="I11939" t="n">
        <v>0</v>
      </c>
      <c r="J11939" t="n">
        <v>0</v>
      </c>
      <c r="K11939" t="n">
        <v>0</v>
      </c>
      <c r="L11939" t="n">
        <v>0</v>
      </c>
      <c r="M11939" t="n">
        <v>0</v>
      </c>
      <c r="N11939" t="n">
        <v>0</v>
      </c>
      <c r="O11939" t="n">
        <v>0</v>
      </c>
      <c r="P11939" t="n">
        <v>0</v>
      </c>
      <c r="Q11939" t="n">
        <v>0</v>
      </c>
      <c r="R11939" s="2" t="inlineStr"/>
    </row>
    <row r="11940" ht="15" customHeight="1">
      <c r="A11940" t="inlineStr">
        <is>
          <t>A 13598-2025</t>
        </is>
      </c>
      <c r="B11940" s="1" t="n">
        <v>45736.60548611111</v>
      </c>
      <c r="C11940" s="1" t="n">
        <v>45952</v>
      </c>
      <c r="D11940" t="inlineStr">
        <is>
          <t>VÄSTRA GÖTALANDS LÄN</t>
        </is>
      </c>
      <c r="E11940" t="inlineStr">
        <is>
          <t>HERRLJUNGA</t>
        </is>
      </c>
      <c r="G11940" t="n">
        <v>0.8</v>
      </c>
      <c r="H11940" t="n">
        <v>0</v>
      </c>
      <c r="I11940" t="n">
        <v>0</v>
      </c>
      <c r="J11940" t="n">
        <v>0</v>
      </c>
      <c r="K11940" t="n">
        <v>0</v>
      </c>
      <c r="L11940" t="n">
        <v>0</v>
      </c>
      <c r="M11940" t="n">
        <v>0</v>
      </c>
      <c r="N11940" t="n">
        <v>0</v>
      </c>
      <c r="O11940" t="n">
        <v>0</v>
      </c>
      <c r="P11940" t="n">
        <v>0</v>
      </c>
      <c r="Q11940" t="n">
        <v>0</v>
      </c>
      <c r="R11940" s="2" t="inlineStr"/>
    </row>
    <row r="11941" ht="15" customHeight="1">
      <c r="A11941" t="inlineStr">
        <is>
          <t>A 13948-2025</t>
        </is>
      </c>
      <c r="B11941" s="1" t="n">
        <v>45737.73006944444</v>
      </c>
      <c r="C11941" s="1" t="n">
        <v>45952</v>
      </c>
      <c r="D11941" t="inlineStr">
        <is>
          <t>VÄSTRA GÖTALANDS LÄN</t>
        </is>
      </c>
      <c r="E11941" t="inlineStr">
        <is>
          <t>SVENLJUNGA</t>
        </is>
      </c>
      <c r="G11941" t="n">
        <v>6.6</v>
      </c>
      <c r="H11941" t="n">
        <v>0</v>
      </c>
      <c r="I11941" t="n">
        <v>0</v>
      </c>
      <c r="J11941" t="n">
        <v>0</v>
      </c>
      <c r="K11941" t="n">
        <v>0</v>
      </c>
      <c r="L11941" t="n">
        <v>0</v>
      </c>
      <c r="M11941" t="n">
        <v>0</v>
      </c>
      <c r="N11941" t="n">
        <v>0</v>
      </c>
      <c r="O11941" t="n">
        <v>0</v>
      </c>
      <c r="P11941" t="n">
        <v>0</v>
      </c>
      <c r="Q11941" t="n">
        <v>0</v>
      </c>
      <c r="R11941" s="2" t="inlineStr"/>
    </row>
    <row r="11942" ht="15" customHeight="1">
      <c r="A11942" t="inlineStr">
        <is>
          <t>A 13950-2025</t>
        </is>
      </c>
      <c r="B11942" s="1" t="n">
        <v>45737.76314814815</v>
      </c>
      <c r="C11942" s="1" t="n">
        <v>45952</v>
      </c>
      <c r="D11942" t="inlineStr">
        <is>
          <t>VÄSTRA GÖTALANDS LÄN</t>
        </is>
      </c>
      <c r="E11942" t="inlineStr">
        <is>
          <t>TRANEMO</t>
        </is>
      </c>
      <c r="G11942" t="n">
        <v>2.7</v>
      </c>
      <c r="H11942" t="n">
        <v>0</v>
      </c>
      <c r="I11942" t="n">
        <v>0</v>
      </c>
      <c r="J11942" t="n">
        <v>0</v>
      </c>
      <c r="K11942" t="n">
        <v>0</v>
      </c>
      <c r="L11942" t="n">
        <v>0</v>
      </c>
      <c r="M11942" t="n">
        <v>0</v>
      </c>
      <c r="N11942" t="n">
        <v>0</v>
      </c>
      <c r="O11942" t="n">
        <v>0</v>
      </c>
      <c r="P11942" t="n">
        <v>0</v>
      </c>
      <c r="Q11942" t="n">
        <v>0</v>
      </c>
      <c r="R11942" s="2" t="inlineStr"/>
    </row>
    <row r="11943" ht="15" customHeight="1">
      <c r="A11943" t="inlineStr">
        <is>
          <t>A 13986-2025</t>
        </is>
      </c>
      <c r="B11943" s="1" t="n">
        <v>45739.37567129629</v>
      </c>
      <c r="C11943" s="1" t="n">
        <v>45952</v>
      </c>
      <c r="D11943" t="inlineStr">
        <is>
          <t>VÄSTRA GÖTALANDS LÄN</t>
        </is>
      </c>
      <c r="E11943" t="inlineStr">
        <is>
          <t>SVENLJUNGA</t>
        </is>
      </c>
      <c r="G11943" t="n">
        <v>4.3</v>
      </c>
      <c r="H11943" t="n">
        <v>0</v>
      </c>
      <c r="I11943" t="n">
        <v>0</v>
      </c>
      <c r="J11943" t="n">
        <v>0</v>
      </c>
      <c r="K11943" t="n">
        <v>0</v>
      </c>
      <c r="L11943" t="n">
        <v>0</v>
      </c>
      <c r="M11943" t="n">
        <v>0</v>
      </c>
      <c r="N11943" t="n">
        <v>0</v>
      </c>
      <c r="O11943" t="n">
        <v>0</v>
      </c>
      <c r="P11943" t="n">
        <v>0</v>
      </c>
      <c r="Q11943" t="n">
        <v>0</v>
      </c>
      <c r="R11943" s="2" t="inlineStr"/>
    </row>
    <row r="11944" ht="15" customHeight="1">
      <c r="A11944" t="inlineStr">
        <is>
          <t>A 14836-2025</t>
        </is>
      </c>
      <c r="B11944" s="1" t="n">
        <v>45743.38391203704</v>
      </c>
      <c r="C11944" s="1" t="n">
        <v>45952</v>
      </c>
      <c r="D11944" t="inlineStr">
        <is>
          <t>VÄSTRA GÖTALANDS LÄN</t>
        </is>
      </c>
      <c r="E11944" t="inlineStr">
        <is>
          <t>HERRLJUNGA</t>
        </is>
      </c>
      <c r="G11944" t="n">
        <v>1.7</v>
      </c>
      <c r="H11944" t="n">
        <v>0</v>
      </c>
      <c r="I11944" t="n">
        <v>0</v>
      </c>
      <c r="J11944" t="n">
        <v>0</v>
      </c>
      <c r="K11944" t="n">
        <v>0</v>
      </c>
      <c r="L11944" t="n">
        <v>0</v>
      </c>
      <c r="M11944" t="n">
        <v>0</v>
      </c>
      <c r="N11944" t="n">
        <v>0</v>
      </c>
      <c r="O11944" t="n">
        <v>0</v>
      </c>
      <c r="P11944" t="n">
        <v>0</v>
      </c>
      <c r="Q11944" t="n">
        <v>0</v>
      </c>
      <c r="R11944" s="2" t="inlineStr"/>
    </row>
    <row r="11945" ht="15" customHeight="1">
      <c r="A11945" t="inlineStr">
        <is>
          <t>A 15064-2025</t>
        </is>
      </c>
      <c r="B11945" s="1" t="n">
        <v>45743.74188657408</v>
      </c>
      <c r="C11945" s="1" t="n">
        <v>45952</v>
      </c>
      <c r="D11945" t="inlineStr">
        <is>
          <t>VÄSTRA GÖTALANDS LÄN</t>
        </is>
      </c>
      <c r="E11945" t="inlineStr">
        <is>
          <t>ULRICEHAMN</t>
        </is>
      </c>
      <c r="G11945" t="n">
        <v>1</v>
      </c>
      <c r="H11945" t="n">
        <v>0</v>
      </c>
      <c r="I11945" t="n">
        <v>0</v>
      </c>
      <c r="J11945" t="n">
        <v>0</v>
      </c>
      <c r="K11945" t="n">
        <v>0</v>
      </c>
      <c r="L11945" t="n">
        <v>0</v>
      </c>
      <c r="M11945" t="n">
        <v>0</v>
      </c>
      <c r="N11945" t="n">
        <v>0</v>
      </c>
      <c r="O11945" t="n">
        <v>0</v>
      </c>
      <c r="P11945" t="n">
        <v>0</v>
      </c>
      <c r="Q11945" t="n">
        <v>0</v>
      </c>
      <c r="R11945" s="2" t="inlineStr"/>
    </row>
    <row r="11946" ht="15" customHeight="1">
      <c r="A11946" t="inlineStr">
        <is>
          <t>A 29819-2025</t>
        </is>
      </c>
      <c r="B11946" s="1" t="n">
        <v>45825.84666666666</v>
      </c>
      <c r="C11946" s="1" t="n">
        <v>45952</v>
      </c>
      <c r="D11946" t="inlineStr">
        <is>
          <t>VÄSTRA GÖTALANDS LÄN</t>
        </is>
      </c>
      <c r="E11946" t="inlineStr">
        <is>
          <t>TIBRO</t>
        </is>
      </c>
      <c r="G11946" t="n">
        <v>2.1</v>
      </c>
      <c r="H11946" t="n">
        <v>0</v>
      </c>
      <c r="I11946" t="n">
        <v>0</v>
      </c>
      <c r="J11946" t="n">
        <v>0</v>
      </c>
      <c r="K11946" t="n">
        <v>0</v>
      </c>
      <c r="L11946" t="n">
        <v>0</v>
      </c>
      <c r="M11946" t="n">
        <v>0</v>
      </c>
      <c r="N11946" t="n">
        <v>0</v>
      </c>
      <c r="O11946" t="n">
        <v>0</v>
      </c>
      <c r="P11946" t="n">
        <v>0</v>
      </c>
      <c r="Q11946" t="n">
        <v>0</v>
      </c>
      <c r="R11946" s="2" t="inlineStr"/>
    </row>
    <row r="11947" ht="15" customHeight="1">
      <c r="A11947" t="inlineStr">
        <is>
          <t>A 11351-2025</t>
        </is>
      </c>
      <c r="B11947" s="1" t="n">
        <v>45726.51960648148</v>
      </c>
      <c r="C11947" s="1" t="n">
        <v>45952</v>
      </c>
      <c r="D11947" t="inlineStr">
        <is>
          <t>VÄSTRA GÖTALANDS LÄN</t>
        </is>
      </c>
      <c r="E11947" t="inlineStr">
        <is>
          <t>SVENLJUNGA</t>
        </is>
      </c>
      <c r="G11947" t="n">
        <v>2.3</v>
      </c>
      <c r="H11947" t="n">
        <v>0</v>
      </c>
      <c r="I11947" t="n">
        <v>0</v>
      </c>
      <c r="J11947" t="n">
        <v>0</v>
      </c>
      <c r="K11947" t="n">
        <v>0</v>
      </c>
      <c r="L11947" t="n">
        <v>0</v>
      </c>
      <c r="M11947" t="n">
        <v>0</v>
      </c>
      <c r="N11947" t="n">
        <v>0</v>
      </c>
      <c r="O11947" t="n">
        <v>0</v>
      </c>
      <c r="P11947" t="n">
        <v>0</v>
      </c>
      <c r="Q11947" t="n">
        <v>0</v>
      </c>
      <c r="R11947" s="2" t="inlineStr"/>
    </row>
    <row r="11948" ht="15" customHeight="1">
      <c r="A11948" t="inlineStr">
        <is>
          <t>A 11425-2025</t>
        </is>
      </c>
      <c r="B11948" s="1" t="n">
        <v>45726.60582175926</v>
      </c>
      <c r="C11948" s="1" t="n">
        <v>45952</v>
      </c>
      <c r="D11948" t="inlineStr">
        <is>
          <t>VÄSTRA GÖTALANDS LÄN</t>
        </is>
      </c>
      <c r="E11948" t="inlineStr">
        <is>
          <t>HERRLJUNGA</t>
        </is>
      </c>
      <c r="G11948" t="n">
        <v>1.9</v>
      </c>
      <c r="H11948" t="n">
        <v>0</v>
      </c>
      <c r="I11948" t="n">
        <v>0</v>
      </c>
      <c r="J11948" t="n">
        <v>0</v>
      </c>
      <c r="K11948" t="n">
        <v>0</v>
      </c>
      <c r="L11948" t="n">
        <v>0</v>
      </c>
      <c r="M11948" t="n">
        <v>0</v>
      </c>
      <c r="N11948" t="n">
        <v>0</v>
      </c>
      <c r="O11948" t="n">
        <v>0</v>
      </c>
      <c r="P11948" t="n">
        <v>0</v>
      </c>
      <c r="Q11948" t="n">
        <v>0</v>
      </c>
      <c r="R11948" s="2" t="inlineStr"/>
    </row>
    <row r="11949" ht="15" customHeight="1">
      <c r="A11949" t="inlineStr">
        <is>
          <t>A 11462-2025</t>
        </is>
      </c>
      <c r="B11949" s="1" t="n">
        <v>45726.65605324074</v>
      </c>
      <c r="C11949" s="1" t="n">
        <v>45952</v>
      </c>
      <c r="D11949" t="inlineStr">
        <is>
          <t>VÄSTRA GÖTALANDS LÄN</t>
        </is>
      </c>
      <c r="E11949" t="inlineStr">
        <is>
          <t>ALINGSÅS</t>
        </is>
      </c>
      <c r="G11949" t="n">
        <v>2.7</v>
      </c>
      <c r="H11949" t="n">
        <v>0</v>
      </c>
      <c r="I11949" t="n">
        <v>0</v>
      </c>
      <c r="J11949" t="n">
        <v>0</v>
      </c>
      <c r="K11949" t="n">
        <v>0</v>
      </c>
      <c r="L11949" t="n">
        <v>0</v>
      </c>
      <c r="M11949" t="n">
        <v>0</v>
      </c>
      <c r="N11949" t="n">
        <v>0</v>
      </c>
      <c r="O11949" t="n">
        <v>0</v>
      </c>
      <c r="P11949" t="n">
        <v>0</v>
      </c>
      <c r="Q11949" t="n">
        <v>0</v>
      </c>
      <c r="R11949" s="2" t="inlineStr"/>
    </row>
    <row r="11950" ht="15" customHeight="1">
      <c r="A11950" t="inlineStr">
        <is>
          <t>A 11480-2025</t>
        </is>
      </c>
      <c r="B11950" s="1" t="n">
        <v>45726.67855324074</v>
      </c>
      <c r="C11950" s="1" t="n">
        <v>45952</v>
      </c>
      <c r="D11950" t="inlineStr">
        <is>
          <t>VÄSTRA GÖTALANDS LÄN</t>
        </is>
      </c>
      <c r="E11950" t="inlineStr">
        <is>
          <t>MARK</t>
        </is>
      </c>
      <c r="G11950" t="n">
        <v>0.5</v>
      </c>
      <c r="H11950" t="n">
        <v>0</v>
      </c>
      <c r="I11950" t="n">
        <v>0</v>
      </c>
      <c r="J11950" t="n">
        <v>0</v>
      </c>
      <c r="K11950" t="n">
        <v>0</v>
      </c>
      <c r="L11950" t="n">
        <v>0</v>
      </c>
      <c r="M11950" t="n">
        <v>0</v>
      </c>
      <c r="N11950" t="n">
        <v>0</v>
      </c>
      <c r="O11950" t="n">
        <v>0</v>
      </c>
      <c r="P11950" t="n">
        <v>0</v>
      </c>
      <c r="Q11950" t="n">
        <v>0</v>
      </c>
      <c r="R11950" s="2" t="inlineStr"/>
    </row>
    <row r="11951" ht="15" customHeight="1">
      <c r="A11951" t="inlineStr">
        <is>
          <t>A 11755-2025</t>
        </is>
      </c>
      <c r="B11951" s="1" t="n">
        <v>45727.64140046296</v>
      </c>
      <c r="C11951" s="1" t="n">
        <v>45952</v>
      </c>
      <c r="D11951" t="inlineStr">
        <is>
          <t>VÄSTRA GÖTALANDS LÄN</t>
        </is>
      </c>
      <c r="E11951" t="inlineStr">
        <is>
          <t>BORÅS</t>
        </is>
      </c>
      <c r="G11951" t="n">
        <v>0.6</v>
      </c>
      <c r="H11951" t="n">
        <v>0</v>
      </c>
      <c r="I11951" t="n">
        <v>0</v>
      </c>
      <c r="J11951" t="n">
        <v>0</v>
      </c>
      <c r="K11951" t="n">
        <v>0</v>
      </c>
      <c r="L11951" t="n">
        <v>0</v>
      </c>
      <c r="M11951" t="n">
        <v>0</v>
      </c>
      <c r="N11951" t="n">
        <v>0</v>
      </c>
      <c r="O11951" t="n">
        <v>0</v>
      </c>
      <c r="P11951" t="n">
        <v>0</v>
      </c>
      <c r="Q11951" t="n">
        <v>0</v>
      </c>
      <c r="R11951" s="2" t="inlineStr"/>
    </row>
    <row r="11952" ht="15" customHeight="1">
      <c r="A11952" t="inlineStr">
        <is>
          <t>A 11759-2025</t>
        </is>
      </c>
      <c r="B11952" s="1" t="n">
        <v>45727.64462962963</v>
      </c>
      <c r="C11952" s="1" t="n">
        <v>45952</v>
      </c>
      <c r="D11952" t="inlineStr">
        <is>
          <t>VÄSTRA GÖTALANDS LÄN</t>
        </is>
      </c>
      <c r="E11952" t="inlineStr">
        <is>
          <t>BORÅS</t>
        </is>
      </c>
      <c r="G11952" t="n">
        <v>2.8</v>
      </c>
      <c r="H11952" t="n">
        <v>0</v>
      </c>
      <c r="I11952" t="n">
        <v>0</v>
      </c>
      <c r="J11952" t="n">
        <v>0</v>
      </c>
      <c r="K11952" t="n">
        <v>0</v>
      </c>
      <c r="L11952" t="n">
        <v>0</v>
      </c>
      <c r="M11952" t="n">
        <v>0</v>
      </c>
      <c r="N11952" t="n">
        <v>0</v>
      </c>
      <c r="O11952" t="n">
        <v>0</v>
      </c>
      <c r="P11952" t="n">
        <v>0</v>
      </c>
      <c r="Q11952" t="n">
        <v>0</v>
      </c>
      <c r="R11952" s="2" t="inlineStr"/>
    </row>
    <row r="11953" ht="15" customHeight="1">
      <c r="A11953" t="inlineStr">
        <is>
          <t>A 27876-2024</t>
        </is>
      </c>
      <c r="B11953" s="1" t="n">
        <v>45475.72972222222</v>
      </c>
      <c r="C11953" s="1" t="n">
        <v>45952</v>
      </c>
      <c r="D11953" t="inlineStr">
        <is>
          <t>VÄSTRA GÖTALANDS LÄN</t>
        </is>
      </c>
      <c r="E11953" t="inlineStr">
        <is>
          <t>DALS-ED</t>
        </is>
      </c>
      <c r="G11953" t="n">
        <v>1.3</v>
      </c>
      <c r="H11953" t="n">
        <v>0</v>
      </c>
      <c r="I11953" t="n">
        <v>0</v>
      </c>
      <c r="J11953" t="n">
        <v>0</v>
      </c>
      <c r="K11953" t="n">
        <v>0</v>
      </c>
      <c r="L11953" t="n">
        <v>0</v>
      </c>
      <c r="M11953" t="n">
        <v>0</v>
      </c>
      <c r="N11953" t="n">
        <v>0</v>
      </c>
      <c r="O11953" t="n">
        <v>0</v>
      </c>
      <c r="P11953" t="n">
        <v>0</v>
      </c>
      <c r="Q11953" t="n">
        <v>0</v>
      </c>
      <c r="R11953" s="2" t="inlineStr"/>
    </row>
    <row r="11954" ht="15" customHeight="1">
      <c r="A11954" t="inlineStr">
        <is>
          <t>A 27877-2024</t>
        </is>
      </c>
      <c r="B11954" s="1" t="n">
        <v>45475.73616898148</v>
      </c>
      <c r="C11954" s="1" t="n">
        <v>45952</v>
      </c>
      <c r="D11954" t="inlineStr">
        <is>
          <t>VÄSTRA GÖTALANDS LÄN</t>
        </is>
      </c>
      <c r="E11954" t="inlineStr">
        <is>
          <t>DALS-ED</t>
        </is>
      </c>
      <c r="G11954" t="n">
        <v>0.7</v>
      </c>
      <c r="H11954" t="n">
        <v>0</v>
      </c>
      <c r="I11954" t="n">
        <v>0</v>
      </c>
      <c r="J11954" t="n">
        <v>0</v>
      </c>
      <c r="K11954" t="n">
        <v>0</v>
      </c>
      <c r="L11954" t="n">
        <v>0</v>
      </c>
      <c r="M11954" t="n">
        <v>0</v>
      </c>
      <c r="N11954" t="n">
        <v>0</v>
      </c>
      <c r="O11954" t="n">
        <v>0</v>
      </c>
      <c r="P11954" t="n">
        <v>0</v>
      </c>
      <c r="Q11954" t="n">
        <v>0</v>
      </c>
      <c r="R11954" s="2" t="inlineStr"/>
    </row>
    <row r="11955" ht="15" customHeight="1">
      <c r="A11955" t="inlineStr">
        <is>
          <t>A 11421-2025</t>
        </is>
      </c>
      <c r="B11955" s="1" t="n">
        <v>45726.60076388889</v>
      </c>
      <c r="C11955" s="1" t="n">
        <v>45952</v>
      </c>
      <c r="D11955" t="inlineStr">
        <is>
          <t>VÄSTRA GÖTALANDS LÄN</t>
        </is>
      </c>
      <c r="E11955" t="inlineStr">
        <is>
          <t>TRANEMO</t>
        </is>
      </c>
      <c r="G11955" t="n">
        <v>0.8</v>
      </c>
      <c r="H11955" t="n">
        <v>0</v>
      </c>
      <c r="I11955" t="n">
        <v>0</v>
      </c>
      <c r="J11955" t="n">
        <v>0</v>
      </c>
      <c r="K11955" t="n">
        <v>0</v>
      </c>
      <c r="L11955" t="n">
        <v>0</v>
      </c>
      <c r="M11955" t="n">
        <v>0</v>
      </c>
      <c r="N11955" t="n">
        <v>0</v>
      </c>
      <c r="O11955" t="n">
        <v>0</v>
      </c>
      <c r="P11955" t="n">
        <v>0</v>
      </c>
      <c r="Q11955" t="n">
        <v>0</v>
      </c>
      <c r="R11955" s="2" t="inlineStr"/>
    </row>
    <row r="11956" ht="15" customHeight="1">
      <c r="A11956" t="inlineStr">
        <is>
          <t>A 14008-2025</t>
        </is>
      </c>
      <c r="B11956" s="1" t="n">
        <v>45740.308125</v>
      </c>
      <c r="C11956" s="1" t="n">
        <v>45952</v>
      </c>
      <c r="D11956" t="inlineStr">
        <is>
          <t>VÄSTRA GÖTALANDS LÄN</t>
        </is>
      </c>
      <c r="E11956" t="inlineStr">
        <is>
          <t>TRANEMO</t>
        </is>
      </c>
      <c r="G11956" t="n">
        <v>0.8</v>
      </c>
      <c r="H11956" t="n">
        <v>0</v>
      </c>
      <c r="I11956" t="n">
        <v>0</v>
      </c>
      <c r="J11956" t="n">
        <v>0</v>
      </c>
      <c r="K11956" t="n">
        <v>0</v>
      </c>
      <c r="L11956" t="n">
        <v>0</v>
      </c>
      <c r="M11956" t="n">
        <v>0</v>
      </c>
      <c r="N11956" t="n">
        <v>0</v>
      </c>
      <c r="O11956" t="n">
        <v>0</v>
      </c>
      <c r="P11956" t="n">
        <v>0</v>
      </c>
      <c r="Q11956" t="n">
        <v>0</v>
      </c>
      <c r="R11956" s="2" t="inlineStr"/>
    </row>
    <row r="11957" ht="15" customHeight="1">
      <c r="A11957" t="inlineStr">
        <is>
          <t>A 14009-2025</t>
        </is>
      </c>
      <c r="B11957" s="1" t="n">
        <v>45740.30979166667</v>
      </c>
      <c r="C11957" s="1" t="n">
        <v>45952</v>
      </c>
      <c r="D11957" t="inlineStr">
        <is>
          <t>VÄSTRA GÖTALANDS LÄN</t>
        </is>
      </c>
      <c r="E11957" t="inlineStr">
        <is>
          <t>TRANEMO</t>
        </is>
      </c>
      <c r="G11957" t="n">
        <v>1.2</v>
      </c>
      <c r="H11957" t="n">
        <v>0</v>
      </c>
      <c r="I11957" t="n">
        <v>0</v>
      </c>
      <c r="J11957" t="n">
        <v>0</v>
      </c>
      <c r="K11957" t="n">
        <v>0</v>
      </c>
      <c r="L11957" t="n">
        <v>0</v>
      </c>
      <c r="M11957" t="n">
        <v>0</v>
      </c>
      <c r="N11957" t="n">
        <v>0</v>
      </c>
      <c r="O11957" t="n">
        <v>0</v>
      </c>
      <c r="P11957" t="n">
        <v>0</v>
      </c>
      <c r="Q11957" t="n">
        <v>0</v>
      </c>
      <c r="R11957" s="2" t="inlineStr"/>
    </row>
    <row r="11958" ht="15" customHeight="1">
      <c r="A11958" t="inlineStr">
        <is>
          <t>A 11886-2025</t>
        </is>
      </c>
      <c r="B11958" s="1" t="n">
        <v>45728.45510416666</v>
      </c>
      <c r="C11958" s="1" t="n">
        <v>45952</v>
      </c>
      <c r="D11958" t="inlineStr">
        <is>
          <t>VÄSTRA GÖTALANDS LÄN</t>
        </is>
      </c>
      <c r="E11958" t="inlineStr">
        <is>
          <t>HERRLJUNGA</t>
        </is>
      </c>
      <c r="G11958" t="n">
        <v>0.6</v>
      </c>
      <c r="H11958" t="n">
        <v>0</v>
      </c>
      <c r="I11958" t="n">
        <v>0</v>
      </c>
      <c r="J11958" t="n">
        <v>0</v>
      </c>
      <c r="K11958" t="n">
        <v>0</v>
      </c>
      <c r="L11958" t="n">
        <v>0</v>
      </c>
      <c r="M11958" t="n">
        <v>0</v>
      </c>
      <c r="N11958" t="n">
        <v>0</v>
      </c>
      <c r="O11958" t="n">
        <v>0</v>
      </c>
      <c r="P11958" t="n">
        <v>0</v>
      </c>
      <c r="Q11958" t="n">
        <v>0</v>
      </c>
      <c r="R11958" s="2" t="inlineStr"/>
    </row>
    <row r="11959" ht="15" customHeight="1">
      <c r="A11959" t="inlineStr">
        <is>
          <t>A 11889-2025</t>
        </is>
      </c>
      <c r="B11959" s="1" t="n">
        <v>45728.45725694444</v>
      </c>
      <c r="C11959" s="1" t="n">
        <v>45952</v>
      </c>
      <c r="D11959" t="inlineStr">
        <is>
          <t>VÄSTRA GÖTALANDS LÄN</t>
        </is>
      </c>
      <c r="E11959" t="inlineStr">
        <is>
          <t>HERRLJUNGA</t>
        </is>
      </c>
      <c r="G11959" t="n">
        <v>1.6</v>
      </c>
      <c r="H11959" t="n">
        <v>0</v>
      </c>
      <c r="I11959" t="n">
        <v>0</v>
      </c>
      <c r="J11959" t="n">
        <v>0</v>
      </c>
      <c r="K11959" t="n">
        <v>0</v>
      </c>
      <c r="L11959" t="n">
        <v>0</v>
      </c>
      <c r="M11959" t="n">
        <v>0</v>
      </c>
      <c r="N11959" t="n">
        <v>0</v>
      </c>
      <c r="O11959" t="n">
        <v>0</v>
      </c>
      <c r="P11959" t="n">
        <v>0</v>
      </c>
      <c r="Q11959" t="n">
        <v>0</v>
      </c>
      <c r="R11959" s="2" t="inlineStr"/>
    </row>
    <row r="11960" ht="15" customHeight="1">
      <c r="A11960" t="inlineStr">
        <is>
          <t>A 12981-2025</t>
        </is>
      </c>
      <c r="B11960" s="1" t="n">
        <v>45734.46116898148</v>
      </c>
      <c r="C11960" s="1" t="n">
        <v>45952</v>
      </c>
      <c r="D11960" t="inlineStr">
        <is>
          <t>VÄSTRA GÖTALANDS LÄN</t>
        </is>
      </c>
      <c r="E11960" t="inlineStr">
        <is>
          <t>TRANEMO</t>
        </is>
      </c>
      <c r="G11960" t="n">
        <v>2.7</v>
      </c>
      <c r="H11960" t="n">
        <v>0</v>
      </c>
      <c r="I11960" t="n">
        <v>0</v>
      </c>
      <c r="J11960" t="n">
        <v>0</v>
      </c>
      <c r="K11960" t="n">
        <v>0</v>
      </c>
      <c r="L11960" t="n">
        <v>0</v>
      </c>
      <c r="M11960" t="n">
        <v>0</v>
      </c>
      <c r="N11960" t="n">
        <v>0</v>
      </c>
      <c r="O11960" t="n">
        <v>0</v>
      </c>
      <c r="P11960" t="n">
        <v>0</v>
      </c>
      <c r="Q11960" t="n">
        <v>0</v>
      </c>
      <c r="R11960" s="2" t="inlineStr"/>
    </row>
    <row r="11961" ht="15" customHeight="1">
      <c r="A11961" t="inlineStr">
        <is>
          <t>A 12995-2025</t>
        </is>
      </c>
      <c r="B11961" s="1" t="n">
        <v>45734</v>
      </c>
      <c r="C11961" s="1" t="n">
        <v>45952</v>
      </c>
      <c r="D11961" t="inlineStr">
        <is>
          <t>VÄSTRA GÖTALANDS LÄN</t>
        </is>
      </c>
      <c r="E11961" t="inlineStr">
        <is>
          <t>SVENLJUNGA</t>
        </is>
      </c>
      <c r="G11961" t="n">
        <v>2.7</v>
      </c>
      <c r="H11961" t="n">
        <v>0</v>
      </c>
      <c r="I11961" t="n">
        <v>0</v>
      </c>
      <c r="J11961" t="n">
        <v>0</v>
      </c>
      <c r="K11961" t="n">
        <v>0</v>
      </c>
      <c r="L11961" t="n">
        <v>0</v>
      </c>
      <c r="M11961" t="n">
        <v>0</v>
      </c>
      <c r="N11961" t="n">
        <v>0</v>
      </c>
      <c r="O11961" t="n">
        <v>0</v>
      </c>
      <c r="P11961" t="n">
        <v>0</v>
      </c>
      <c r="Q11961" t="n">
        <v>0</v>
      </c>
      <c r="R11961" s="2" t="inlineStr"/>
    </row>
    <row r="11962" ht="15" customHeight="1">
      <c r="A11962" t="inlineStr">
        <is>
          <t>A 20806-2023</t>
        </is>
      </c>
      <c r="B11962" s="1" t="n">
        <v>45058</v>
      </c>
      <c r="C11962" s="1" t="n">
        <v>45952</v>
      </c>
      <c r="D11962" t="inlineStr">
        <is>
          <t>VÄSTRA GÖTALANDS LÄN</t>
        </is>
      </c>
      <c r="E11962" t="inlineStr">
        <is>
          <t>VÅRGÅRDA</t>
        </is>
      </c>
      <c r="G11962" t="n">
        <v>4.2</v>
      </c>
      <c r="H11962" t="n">
        <v>0</v>
      </c>
      <c r="I11962" t="n">
        <v>0</v>
      </c>
      <c r="J11962" t="n">
        <v>0</v>
      </c>
      <c r="K11962" t="n">
        <v>0</v>
      </c>
      <c r="L11962" t="n">
        <v>0</v>
      </c>
      <c r="M11962" t="n">
        <v>0</v>
      </c>
      <c r="N11962" t="n">
        <v>0</v>
      </c>
      <c r="O11962" t="n">
        <v>0</v>
      </c>
      <c r="P11962" t="n">
        <v>0</v>
      </c>
      <c r="Q11962" t="n">
        <v>0</v>
      </c>
      <c r="R11962" s="2" t="inlineStr"/>
    </row>
    <row r="11963" ht="15" customHeight="1">
      <c r="A11963" t="inlineStr">
        <is>
          <t>A 30413-2025</t>
        </is>
      </c>
      <c r="B11963" s="1" t="n">
        <v>45827.60287037037</v>
      </c>
      <c r="C11963" s="1" t="n">
        <v>45952</v>
      </c>
      <c r="D11963" t="inlineStr">
        <is>
          <t>VÄSTRA GÖTALANDS LÄN</t>
        </is>
      </c>
      <c r="E11963" t="inlineStr">
        <is>
          <t>MARIESTAD</t>
        </is>
      </c>
      <c r="G11963" t="n">
        <v>3</v>
      </c>
      <c r="H11963" t="n">
        <v>0</v>
      </c>
      <c r="I11963" t="n">
        <v>0</v>
      </c>
      <c r="J11963" t="n">
        <v>0</v>
      </c>
      <c r="K11963" t="n">
        <v>0</v>
      </c>
      <c r="L11963" t="n">
        <v>0</v>
      </c>
      <c r="M11963" t="n">
        <v>0</v>
      </c>
      <c r="N11963" t="n">
        <v>0</v>
      </c>
      <c r="O11963" t="n">
        <v>0</v>
      </c>
      <c r="P11963" t="n">
        <v>0</v>
      </c>
      <c r="Q11963" t="n">
        <v>0</v>
      </c>
      <c r="R11963" s="2" t="inlineStr"/>
    </row>
    <row r="11964" ht="15" customHeight="1">
      <c r="A11964" t="inlineStr">
        <is>
          <t>A 61879-2023</t>
        </is>
      </c>
      <c r="B11964" s="1" t="n">
        <v>45266.42527777778</v>
      </c>
      <c r="C11964" s="1" t="n">
        <v>45952</v>
      </c>
      <c r="D11964" t="inlineStr">
        <is>
          <t>VÄSTRA GÖTALANDS LÄN</t>
        </is>
      </c>
      <c r="E11964" t="inlineStr">
        <is>
          <t>VARA</t>
        </is>
      </c>
      <c r="G11964" t="n">
        <v>0.8</v>
      </c>
      <c r="H11964" t="n">
        <v>0</v>
      </c>
      <c r="I11964" t="n">
        <v>0</v>
      </c>
      <c r="J11964" t="n">
        <v>0</v>
      </c>
      <c r="K11964" t="n">
        <v>0</v>
      </c>
      <c r="L11964" t="n">
        <v>0</v>
      </c>
      <c r="M11964" t="n">
        <v>0</v>
      </c>
      <c r="N11964" t="n">
        <v>0</v>
      </c>
      <c r="O11964" t="n">
        <v>0</v>
      </c>
      <c r="P11964" t="n">
        <v>0</v>
      </c>
      <c r="Q11964" t="n">
        <v>0</v>
      </c>
      <c r="R11964" s="2" t="inlineStr"/>
    </row>
    <row r="11965" ht="15" customHeight="1">
      <c r="A11965" t="inlineStr">
        <is>
          <t>A 29979-2025</t>
        </is>
      </c>
      <c r="B11965" s="1" t="n">
        <v>45826</v>
      </c>
      <c r="C11965" s="1" t="n">
        <v>45952</v>
      </c>
      <c r="D11965" t="inlineStr">
        <is>
          <t>VÄSTRA GÖTALANDS LÄN</t>
        </is>
      </c>
      <c r="E11965" t="inlineStr">
        <is>
          <t>ÅMÅL</t>
        </is>
      </c>
      <c r="G11965" t="n">
        <v>5.9</v>
      </c>
      <c r="H11965" t="n">
        <v>0</v>
      </c>
      <c r="I11965" t="n">
        <v>0</v>
      </c>
      <c r="J11965" t="n">
        <v>0</v>
      </c>
      <c r="K11965" t="n">
        <v>0</v>
      </c>
      <c r="L11965" t="n">
        <v>0</v>
      </c>
      <c r="M11965" t="n">
        <v>0</v>
      </c>
      <c r="N11965" t="n">
        <v>0</v>
      </c>
      <c r="O11965" t="n">
        <v>0</v>
      </c>
      <c r="P11965" t="n">
        <v>0</v>
      </c>
      <c r="Q11965" t="n">
        <v>0</v>
      </c>
      <c r="R11965" s="2" t="inlineStr"/>
    </row>
    <row r="11966" ht="15" customHeight="1">
      <c r="A11966" t="inlineStr">
        <is>
          <t>A 14902-2025</t>
        </is>
      </c>
      <c r="B11966" s="1" t="n">
        <v>45743.48855324074</v>
      </c>
      <c r="C11966" s="1" t="n">
        <v>45952</v>
      </c>
      <c r="D11966" t="inlineStr">
        <is>
          <t>VÄSTRA GÖTALANDS LÄN</t>
        </is>
      </c>
      <c r="E11966" t="inlineStr">
        <is>
          <t>MARK</t>
        </is>
      </c>
      <c r="G11966" t="n">
        <v>4.6</v>
      </c>
      <c r="H11966" t="n">
        <v>0</v>
      </c>
      <c r="I11966" t="n">
        <v>0</v>
      </c>
      <c r="J11966" t="n">
        <v>0</v>
      </c>
      <c r="K11966" t="n">
        <v>0</v>
      </c>
      <c r="L11966" t="n">
        <v>0</v>
      </c>
      <c r="M11966" t="n">
        <v>0</v>
      </c>
      <c r="N11966" t="n">
        <v>0</v>
      </c>
      <c r="O11966" t="n">
        <v>0</v>
      </c>
      <c r="P11966" t="n">
        <v>0</v>
      </c>
      <c r="Q11966" t="n">
        <v>0</v>
      </c>
      <c r="R11966" s="2" t="inlineStr"/>
    </row>
    <row r="11967" ht="15" customHeight="1">
      <c r="A11967" t="inlineStr">
        <is>
          <t>A 15023-2025</t>
        </is>
      </c>
      <c r="B11967" s="1" t="n">
        <v>45743.65465277778</v>
      </c>
      <c r="C11967" s="1" t="n">
        <v>45952</v>
      </c>
      <c r="D11967" t="inlineStr">
        <is>
          <t>VÄSTRA GÖTALANDS LÄN</t>
        </is>
      </c>
      <c r="E11967" t="inlineStr">
        <is>
          <t>MARK</t>
        </is>
      </c>
      <c r="G11967" t="n">
        <v>0.5</v>
      </c>
      <c r="H11967" t="n">
        <v>0</v>
      </c>
      <c r="I11967" t="n">
        <v>0</v>
      </c>
      <c r="J11967" t="n">
        <v>0</v>
      </c>
      <c r="K11967" t="n">
        <v>0</v>
      </c>
      <c r="L11967" t="n">
        <v>0</v>
      </c>
      <c r="M11967" t="n">
        <v>0</v>
      </c>
      <c r="N11967" t="n">
        <v>0</v>
      </c>
      <c r="O11967" t="n">
        <v>0</v>
      </c>
      <c r="P11967" t="n">
        <v>0</v>
      </c>
      <c r="Q11967" t="n">
        <v>0</v>
      </c>
      <c r="R11967" s="2" t="inlineStr"/>
    </row>
    <row r="11968" ht="15" customHeight="1">
      <c r="A11968" t="inlineStr">
        <is>
          <t>A 11458-2025</t>
        </is>
      </c>
      <c r="B11968" s="1" t="n">
        <v>45726</v>
      </c>
      <c r="C11968" s="1" t="n">
        <v>45952</v>
      </c>
      <c r="D11968" t="inlineStr">
        <is>
          <t>VÄSTRA GÖTALANDS LÄN</t>
        </is>
      </c>
      <c r="E11968" t="inlineStr">
        <is>
          <t>ALINGSÅS</t>
        </is>
      </c>
      <c r="G11968" t="n">
        <v>2</v>
      </c>
      <c r="H11968" t="n">
        <v>0</v>
      </c>
      <c r="I11968" t="n">
        <v>0</v>
      </c>
      <c r="J11968" t="n">
        <v>0</v>
      </c>
      <c r="K11968" t="n">
        <v>0</v>
      </c>
      <c r="L11968" t="n">
        <v>0</v>
      </c>
      <c r="M11968" t="n">
        <v>0</v>
      </c>
      <c r="N11968" t="n">
        <v>0</v>
      </c>
      <c r="O11968" t="n">
        <v>0</v>
      </c>
      <c r="P11968" t="n">
        <v>0</v>
      </c>
      <c r="Q11968" t="n">
        <v>0</v>
      </c>
      <c r="R11968" s="2" t="inlineStr"/>
    </row>
    <row r="11969" ht="15" customHeight="1">
      <c r="A11969" t="inlineStr">
        <is>
          <t>A 14020-2025</t>
        </is>
      </c>
      <c r="B11969" s="1" t="n">
        <v>45740.32759259259</v>
      </c>
      <c r="C11969" s="1" t="n">
        <v>45952</v>
      </c>
      <c r="D11969" t="inlineStr">
        <is>
          <t>VÄSTRA GÖTALANDS LÄN</t>
        </is>
      </c>
      <c r="E11969" t="inlineStr">
        <is>
          <t>ULRICEHAMN</t>
        </is>
      </c>
      <c r="G11969" t="n">
        <v>6.3</v>
      </c>
      <c r="H11969" t="n">
        <v>0</v>
      </c>
      <c r="I11969" t="n">
        <v>0</v>
      </c>
      <c r="J11969" t="n">
        <v>0</v>
      </c>
      <c r="K11969" t="n">
        <v>0</v>
      </c>
      <c r="L11969" t="n">
        <v>0</v>
      </c>
      <c r="M11969" t="n">
        <v>0</v>
      </c>
      <c r="N11969" t="n">
        <v>0</v>
      </c>
      <c r="O11969" t="n">
        <v>0</v>
      </c>
      <c r="P11969" t="n">
        <v>0</v>
      </c>
      <c r="Q11969" t="n">
        <v>0</v>
      </c>
      <c r="R11969" s="2" t="inlineStr"/>
    </row>
    <row r="11970" ht="15" customHeight="1">
      <c r="A11970" t="inlineStr">
        <is>
          <t>A 12966-2025</t>
        </is>
      </c>
      <c r="B11970" s="1" t="n">
        <v>45734.43109953704</v>
      </c>
      <c r="C11970" s="1" t="n">
        <v>45952</v>
      </c>
      <c r="D11970" t="inlineStr">
        <is>
          <t>VÄSTRA GÖTALANDS LÄN</t>
        </is>
      </c>
      <c r="E11970" t="inlineStr">
        <is>
          <t>BORÅS</t>
        </is>
      </c>
      <c r="G11970" t="n">
        <v>3.5</v>
      </c>
      <c r="H11970" t="n">
        <v>0</v>
      </c>
      <c r="I11970" t="n">
        <v>0</v>
      </c>
      <c r="J11970" t="n">
        <v>0</v>
      </c>
      <c r="K11970" t="n">
        <v>0</v>
      </c>
      <c r="L11970" t="n">
        <v>0</v>
      </c>
      <c r="M11970" t="n">
        <v>0</v>
      </c>
      <c r="N11970" t="n">
        <v>0</v>
      </c>
      <c r="O11970" t="n">
        <v>0</v>
      </c>
      <c r="P11970" t="n">
        <v>0</v>
      </c>
      <c r="Q11970" t="n">
        <v>0</v>
      </c>
      <c r="R11970" s="2" t="inlineStr"/>
    </row>
    <row r="11971" ht="15" customHeight="1">
      <c r="A11971" t="inlineStr">
        <is>
          <t>A 61334-2022</t>
        </is>
      </c>
      <c r="B11971" s="1" t="n">
        <v>44915</v>
      </c>
      <c r="C11971" s="1" t="n">
        <v>45952</v>
      </c>
      <c r="D11971" t="inlineStr">
        <is>
          <t>VÄSTRA GÖTALANDS LÄN</t>
        </is>
      </c>
      <c r="E11971" t="inlineStr">
        <is>
          <t>BOLLEBYGD</t>
        </is>
      </c>
      <c r="G11971" t="n">
        <v>1.2</v>
      </c>
      <c r="H11971" t="n">
        <v>0</v>
      </c>
      <c r="I11971" t="n">
        <v>0</v>
      </c>
      <c r="J11971" t="n">
        <v>0</v>
      </c>
      <c r="K11971" t="n">
        <v>0</v>
      </c>
      <c r="L11971" t="n">
        <v>0</v>
      </c>
      <c r="M11971" t="n">
        <v>0</v>
      </c>
      <c r="N11971" t="n">
        <v>0</v>
      </c>
      <c r="O11971" t="n">
        <v>0</v>
      </c>
      <c r="P11971" t="n">
        <v>0</v>
      </c>
      <c r="Q11971" t="n">
        <v>0</v>
      </c>
      <c r="R11971" s="2" t="inlineStr"/>
    </row>
    <row r="11972" ht="15" customHeight="1">
      <c r="A11972" t="inlineStr">
        <is>
          <t>A 61362-2022</t>
        </is>
      </c>
      <c r="B11972" s="1" t="n">
        <v>44915.77934027778</v>
      </c>
      <c r="C11972" s="1" t="n">
        <v>45952</v>
      </c>
      <c r="D11972" t="inlineStr">
        <is>
          <t>VÄSTRA GÖTALANDS LÄN</t>
        </is>
      </c>
      <c r="E11972" t="inlineStr">
        <is>
          <t>TIDAHOLM</t>
        </is>
      </c>
      <c r="F11972" t="inlineStr">
        <is>
          <t>Sveaskog</t>
        </is>
      </c>
      <c r="G11972" t="n">
        <v>0.9</v>
      </c>
      <c r="H11972" t="n">
        <v>0</v>
      </c>
      <c r="I11972" t="n">
        <v>0</v>
      </c>
      <c r="J11972" t="n">
        <v>0</v>
      </c>
      <c r="K11972" t="n">
        <v>0</v>
      </c>
      <c r="L11972" t="n">
        <v>0</v>
      </c>
      <c r="M11972" t="n">
        <v>0</v>
      </c>
      <c r="N11972" t="n">
        <v>0</v>
      </c>
      <c r="O11972" t="n">
        <v>0</v>
      </c>
      <c r="P11972" t="n">
        <v>0</v>
      </c>
      <c r="Q11972" t="n">
        <v>0</v>
      </c>
      <c r="R11972" s="2" t="inlineStr"/>
    </row>
    <row r="11973" ht="15" customHeight="1">
      <c r="A11973" t="inlineStr">
        <is>
          <t>A 47810-2024</t>
        </is>
      </c>
      <c r="B11973" s="1" t="n">
        <v>45588.61688657408</v>
      </c>
      <c r="C11973" s="1" t="n">
        <v>45952</v>
      </c>
      <c r="D11973" t="inlineStr">
        <is>
          <t>VÄSTRA GÖTALANDS LÄN</t>
        </is>
      </c>
      <c r="E11973" t="inlineStr">
        <is>
          <t>SVENLJUNGA</t>
        </is>
      </c>
      <c r="G11973" t="n">
        <v>0.7</v>
      </c>
      <c r="H11973" t="n">
        <v>0</v>
      </c>
      <c r="I11973" t="n">
        <v>0</v>
      </c>
      <c r="J11973" t="n">
        <v>0</v>
      </c>
      <c r="K11973" t="n">
        <v>0</v>
      </c>
      <c r="L11973" t="n">
        <v>0</v>
      </c>
      <c r="M11973" t="n">
        <v>0</v>
      </c>
      <c r="N11973" t="n">
        <v>0</v>
      </c>
      <c r="O11973" t="n">
        <v>0</v>
      </c>
      <c r="P11973" t="n">
        <v>0</v>
      </c>
      <c r="Q11973" t="n">
        <v>0</v>
      </c>
      <c r="R11973" s="2" t="inlineStr"/>
    </row>
    <row r="11974" ht="15" customHeight="1">
      <c r="A11974" t="inlineStr">
        <is>
          <t>A 11513-2025</t>
        </is>
      </c>
      <c r="B11974" s="1" t="n">
        <v>45726.86369212963</v>
      </c>
      <c r="C11974" s="1" t="n">
        <v>45952</v>
      </c>
      <c r="D11974" t="inlineStr">
        <is>
          <t>VÄSTRA GÖTALANDS LÄN</t>
        </is>
      </c>
      <c r="E11974" t="inlineStr">
        <is>
          <t>ULRICEHAMN</t>
        </is>
      </c>
      <c r="G11974" t="n">
        <v>1.2</v>
      </c>
      <c r="H11974" t="n">
        <v>0</v>
      </c>
      <c r="I11974" t="n">
        <v>0</v>
      </c>
      <c r="J11974" t="n">
        <v>0</v>
      </c>
      <c r="K11974" t="n">
        <v>0</v>
      </c>
      <c r="L11974" t="n">
        <v>0</v>
      </c>
      <c r="M11974" t="n">
        <v>0</v>
      </c>
      <c r="N11974" t="n">
        <v>0</v>
      </c>
      <c r="O11974" t="n">
        <v>0</v>
      </c>
      <c r="P11974" t="n">
        <v>0</v>
      </c>
      <c r="Q11974" t="n">
        <v>0</v>
      </c>
      <c r="R11974" s="2" t="inlineStr"/>
    </row>
    <row r="11975" ht="15" customHeight="1">
      <c r="A11975" t="inlineStr">
        <is>
          <t>A 13100-2025</t>
        </is>
      </c>
      <c r="B11975" s="1" t="n">
        <v>45734.67028935185</v>
      </c>
      <c r="C11975" s="1" t="n">
        <v>45952</v>
      </c>
      <c r="D11975" t="inlineStr">
        <is>
          <t>VÄSTRA GÖTALANDS LÄN</t>
        </is>
      </c>
      <c r="E11975" t="inlineStr">
        <is>
          <t>LERUM</t>
        </is>
      </c>
      <c r="G11975" t="n">
        <v>8.800000000000001</v>
      </c>
      <c r="H11975" t="n">
        <v>0</v>
      </c>
      <c r="I11975" t="n">
        <v>0</v>
      </c>
      <c r="J11975" t="n">
        <v>0</v>
      </c>
      <c r="K11975" t="n">
        <v>0</v>
      </c>
      <c r="L11975" t="n">
        <v>0</v>
      </c>
      <c r="M11975" t="n">
        <v>0</v>
      </c>
      <c r="N11975" t="n">
        <v>0</v>
      </c>
      <c r="O11975" t="n">
        <v>0</v>
      </c>
      <c r="P11975" t="n">
        <v>0</v>
      </c>
      <c r="Q11975" t="n">
        <v>0</v>
      </c>
      <c r="R11975" s="2" t="inlineStr"/>
    </row>
    <row r="11976" ht="15" customHeight="1">
      <c r="A11976" t="inlineStr">
        <is>
          <t>A 13927-2025</t>
        </is>
      </c>
      <c r="B11976" s="1" t="n">
        <v>45737.66302083333</v>
      </c>
      <c r="C11976" s="1" t="n">
        <v>45952</v>
      </c>
      <c r="D11976" t="inlineStr">
        <is>
          <t>VÄSTRA GÖTALANDS LÄN</t>
        </is>
      </c>
      <c r="E11976" t="inlineStr">
        <is>
          <t>MARK</t>
        </is>
      </c>
      <c r="G11976" t="n">
        <v>0.5</v>
      </c>
      <c r="H11976" t="n">
        <v>0</v>
      </c>
      <c r="I11976" t="n">
        <v>0</v>
      </c>
      <c r="J11976" t="n">
        <v>0</v>
      </c>
      <c r="K11976" t="n">
        <v>0</v>
      </c>
      <c r="L11976" t="n">
        <v>0</v>
      </c>
      <c r="M11976" t="n">
        <v>0</v>
      </c>
      <c r="N11976" t="n">
        <v>0</v>
      </c>
      <c r="O11976" t="n">
        <v>0</v>
      </c>
      <c r="P11976" t="n">
        <v>0</v>
      </c>
      <c r="Q11976" t="n">
        <v>0</v>
      </c>
      <c r="R11976" s="2" t="inlineStr"/>
    </row>
    <row r="11977" ht="15" customHeight="1">
      <c r="A11977" t="inlineStr">
        <is>
          <t>A 48504-2024</t>
        </is>
      </c>
      <c r="B11977" s="1" t="n">
        <v>45593.24111111111</v>
      </c>
      <c r="C11977" s="1" t="n">
        <v>45952</v>
      </c>
      <c r="D11977" t="inlineStr">
        <is>
          <t>VÄSTRA GÖTALANDS LÄN</t>
        </is>
      </c>
      <c r="E11977" t="inlineStr">
        <is>
          <t>BORÅS</t>
        </is>
      </c>
      <c r="G11977" t="n">
        <v>0.5</v>
      </c>
      <c r="H11977" t="n">
        <v>0</v>
      </c>
      <c r="I11977" t="n">
        <v>0</v>
      </c>
      <c r="J11977" t="n">
        <v>0</v>
      </c>
      <c r="K11977" t="n">
        <v>0</v>
      </c>
      <c r="L11977" t="n">
        <v>0</v>
      </c>
      <c r="M11977" t="n">
        <v>0</v>
      </c>
      <c r="N11977" t="n">
        <v>0</v>
      </c>
      <c r="O11977" t="n">
        <v>0</v>
      </c>
      <c r="P11977" t="n">
        <v>0</v>
      </c>
      <c r="Q11977" t="n">
        <v>0</v>
      </c>
      <c r="R11977" s="2" t="inlineStr"/>
    </row>
    <row r="11978" ht="15" customHeight="1">
      <c r="A11978" t="inlineStr">
        <is>
          <t>A 30031-2025</t>
        </is>
      </c>
      <c r="B11978" s="1" t="n">
        <v>45826</v>
      </c>
      <c r="C11978" s="1" t="n">
        <v>45952</v>
      </c>
      <c r="D11978" t="inlineStr">
        <is>
          <t>VÄSTRA GÖTALANDS LÄN</t>
        </is>
      </c>
      <c r="E11978" t="inlineStr">
        <is>
          <t>MUNKEDAL</t>
        </is>
      </c>
      <c r="G11978" t="n">
        <v>4</v>
      </c>
      <c r="H11978" t="n">
        <v>0</v>
      </c>
      <c r="I11978" t="n">
        <v>0</v>
      </c>
      <c r="J11978" t="n">
        <v>0</v>
      </c>
      <c r="K11978" t="n">
        <v>0</v>
      </c>
      <c r="L11978" t="n">
        <v>0</v>
      </c>
      <c r="M11978" t="n">
        <v>0</v>
      </c>
      <c r="N11978" t="n">
        <v>0</v>
      </c>
      <c r="O11978" t="n">
        <v>0</v>
      </c>
      <c r="P11978" t="n">
        <v>0</v>
      </c>
      <c r="Q11978" t="n">
        <v>0</v>
      </c>
      <c r="R11978" s="2" t="inlineStr"/>
    </row>
    <row r="11979" ht="15" customHeight="1">
      <c r="A11979" t="inlineStr">
        <is>
          <t>A 30220-2025</t>
        </is>
      </c>
      <c r="B11979" s="1" t="n">
        <v>45827.37181712963</v>
      </c>
      <c r="C11979" s="1" t="n">
        <v>45952</v>
      </c>
      <c r="D11979" t="inlineStr">
        <is>
          <t>VÄSTRA GÖTALANDS LÄN</t>
        </is>
      </c>
      <c r="E11979" t="inlineStr">
        <is>
          <t>HERRLJUNGA</t>
        </is>
      </c>
      <c r="G11979" t="n">
        <v>0.9</v>
      </c>
      <c r="H11979" t="n">
        <v>0</v>
      </c>
      <c r="I11979" t="n">
        <v>0</v>
      </c>
      <c r="J11979" t="n">
        <v>0</v>
      </c>
      <c r="K11979" t="n">
        <v>0</v>
      </c>
      <c r="L11979" t="n">
        <v>0</v>
      </c>
      <c r="M11979" t="n">
        <v>0</v>
      </c>
      <c r="N11979" t="n">
        <v>0</v>
      </c>
      <c r="O11979" t="n">
        <v>0</v>
      </c>
      <c r="P11979" t="n">
        <v>0</v>
      </c>
      <c r="Q11979" t="n">
        <v>0</v>
      </c>
      <c r="R11979" s="2" t="inlineStr"/>
    </row>
    <row r="11980" ht="15" customHeight="1">
      <c r="A11980" t="inlineStr">
        <is>
          <t>A 12072-2023</t>
        </is>
      </c>
      <c r="B11980" s="1" t="n">
        <v>44997.43135416666</v>
      </c>
      <c r="C11980" s="1" t="n">
        <v>45952</v>
      </c>
      <c r="D11980" t="inlineStr">
        <is>
          <t>VÄSTRA GÖTALANDS LÄN</t>
        </is>
      </c>
      <c r="E11980" t="inlineStr">
        <is>
          <t>BENGTSFORS</t>
        </is>
      </c>
      <c r="G11980" t="n">
        <v>2.6</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11345-2023</t>
        </is>
      </c>
      <c r="B11981" s="1" t="n">
        <v>44993.37150462963</v>
      </c>
      <c r="C11981" s="1" t="n">
        <v>45952</v>
      </c>
      <c r="D11981" t="inlineStr">
        <is>
          <t>VÄSTRA GÖTALANDS LÄN</t>
        </is>
      </c>
      <c r="E11981" t="inlineStr">
        <is>
          <t>MARIESTAD</t>
        </is>
      </c>
      <c r="G11981" t="n">
        <v>0.7</v>
      </c>
      <c r="H11981" t="n">
        <v>0</v>
      </c>
      <c r="I11981" t="n">
        <v>0</v>
      </c>
      <c r="J11981" t="n">
        <v>0</v>
      </c>
      <c r="K11981" t="n">
        <v>0</v>
      </c>
      <c r="L11981" t="n">
        <v>0</v>
      </c>
      <c r="M11981" t="n">
        <v>0</v>
      </c>
      <c r="N11981" t="n">
        <v>0</v>
      </c>
      <c r="O11981" t="n">
        <v>0</v>
      </c>
      <c r="P11981" t="n">
        <v>0</v>
      </c>
      <c r="Q11981" t="n">
        <v>0</v>
      </c>
      <c r="R11981" s="2" t="inlineStr"/>
    </row>
    <row r="11982" ht="15" customHeight="1">
      <c r="A11982" t="inlineStr">
        <is>
          <t>A 54039-2024</t>
        </is>
      </c>
      <c r="B11982" s="1" t="n">
        <v>45616.43416666667</v>
      </c>
      <c r="C11982" s="1" t="n">
        <v>45952</v>
      </c>
      <c r="D11982" t="inlineStr">
        <is>
          <t>VÄSTRA GÖTALANDS LÄN</t>
        </is>
      </c>
      <c r="E11982" t="inlineStr">
        <is>
          <t>MARK</t>
        </is>
      </c>
      <c r="G11982" t="n">
        <v>3.7</v>
      </c>
      <c r="H11982" t="n">
        <v>0</v>
      </c>
      <c r="I11982" t="n">
        <v>0</v>
      </c>
      <c r="J11982" t="n">
        <v>0</v>
      </c>
      <c r="K11982" t="n">
        <v>0</v>
      </c>
      <c r="L11982" t="n">
        <v>0</v>
      </c>
      <c r="M11982" t="n">
        <v>0</v>
      </c>
      <c r="N11982" t="n">
        <v>0</v>
      </c>
      <c r="O11982" t="n">
        <v>0</v>
      </c>
      <c r="P11982" t="n">
        <v>0</v>
      </c>
      <c r="Q11982" t="n">
        <v>0</v>
      </c>
      <c r="R11982" s="2" t="inlineStr"/>
    </row>
    <row r="11983" ht="15" customHeight="1">
      <c r="A11983" t="inlineStr">
        <is>
          <t>A 54097-2024</t>
        </is>
      </c>
      <c r="B11983" s="1" t="n">
        <v>45616.51472222222</v>
      </c>
      <c r="C11983" s="1" t="n">
        <v>45952</v>
      </c>
      <c r="D11983" t="inlineStr">
        <is>
          <t>VÄSTRA GÖTALANDS LÄN</t>
        </is>
      </c>
      <c r="E11983" t="inlineStr">
        <is>
          <t>VÅRGÅRDA</t>
        </is>
      </c>
      <c r="G11983" t="n">
        <v>1</v>
      </c>
      <c r="H11983" t="n">
        <v>0</v>
      </c>
      <c r="I11983" t="n">
        <v>0</v>
      </c>
      <c r="J11983" t="n">
        <v>0</v>
      </c>
      <c r="K11983" t="n">
        <v>0</v>
      </c>
      <c r="L11983" t="n">
        <v>0</v>
      </c>
      <c r="M11983" t="n">
        <v>0</v>
      </c>
      <c r="N11983" t="n">
        <v>0</v>
      </c>
      <c r="O11983" t="n">
        <v>0</v>
      </c>
      <c r="P11983" t="n">
        <v>0</v>
      </c>
      <c r="Q11983" t="n">
        <v>0</v>
      </c>
      <c r="R11983" s="2" t="inlineStr"/>
    </row>
    <row r="11984" ht="15" customHeight="1">
      <c r="A11984" t="inlineStr">
        <is>
          <t>A 54101-2024</t>
        </is>
      </c>
      <c r="B11984" s="1" t="n">
        <v>45616.52381944445</v>
      </c>
      <c r="C11984" s="1" t="n">
        <v>45952</v>
      </c>
      <c r="D11984" t="inlineStr">
        <is>
          <t>VÄSTRA GÖTALANDS LÄN</t>
        </is>
      </c>
      <c r="E11984" t="inlineStr">
        <is>
          <t>FALKÖPING</t>
        </is>
      </c>
      <c r="G11984" t="n">
        <v>3.9</v>
      </c>
      <c r="H11984" t="n">
        <v>0</v>
      </c>
      <c r="I11984" t="n">
        <v>0</v>
      </c>
      <c r="J11984" t="n">
        <v>0</v>
      </c>
      <c r="K11984" t="n">
        <v>0</v>
      </c>
      <c r="L11984" t="n">
        <v>0</v>
      </c>
      <c r="M11984" t="n">
        <v>0</v>
      </c>
      <c r="N11984" t="n">
        <v>0</v>
      </c>
      <c r="O11984" t="n">
        <v>0</v>
      </c>
      <c r="P11984" t="n">
        <v>0</v>
      </c>
      <c r="Q11984" t="n">
        <v>0</v>
      </c>
      <c r="R11984" s="2" t="inlineStr"/>
    </row>
    <row r="11985" ht="15" customHeight="1">
      <c r="A11985" t="inlineStr">
        <is>
          <t>A 29814-2025</t>
        </is>
      </c>
      <c r="B11985" s="1" t="n">
        <v>45825.78996527778</v>
      </c>
      <c r="C11985" s="1" t="n">
        <v>45952</v>
      </c>
      <c r="D11985" t="inlineStr">
        <is>
          <t>VÄSTRA GÖTALANDS LÄN</t>
        </is>
      </c>
      <c r="E11985" t="inlineStr">
        <is>
          <t>VARA</t>
        </is>
      </c>
      <c r="G11985" t="n">
        <v>2.1</v>
      </c>
      <c r="H11985" t="n">
        <v>0</v>
      </c>
      <c r="I11985" t="n">
        <v>0</v>
      </c>
      <c r="J11985" t="n">
        <v>0</v>
      </c>
      <c r="K11985" t="n">
        <v>0</v>
      </c>
      <c r="L11985" t="n">
        <v>0</v>
      </c>
      <c r="M11985" t="n">
        <v>0</v>
      </c>
      <c r="N11985" t="n">
        <v>0</v>
      </c>
      <c r="O11985" t="n">
        <v>0</v>
      </c>
      <c r="P11985" t="n">
        <v>0</v>
      </c>
      <c r="Q11985" t="n">
        <v>0</v>
      </c>
      <c r="R11985" s="2" t="inlineStr"/>
    </row>
    <row r="11986" ht="15" customHeight="1">
      <c r="A11986" t="inlineStr">
        <is>
          <t>A 29815-2025</t>
        </is>
      </c>
      <c r="B11986" s="1" t="n">
        <v>45825.81784722222</v>
      </c>
      <c r="C11986" s="1" t="n">
        <v>45952</v>
      </c>
      <c r="D11986" t="inlineStr">
        <is>
          <t>VÄSTRA GÖTALANDS LÄN</t>
        </is>
      </c>
      <c r="E11986" t="inlineStr">
        <is>
          <t>GULLSPÅNG</t>
        </is>
      </c>
      <c r="G11986" t="n">
        <v>2.6</v>
      </c>
      <c r="H11986" t="n">
        <v>0</v>
      </c>
      <c r="I11986" t="n">
        <v>0</v>
      </c>
      <c r="J11986" t="n">
        <v>0</v>
      </c>
      <c r="K11986" t="n">
        <v>0</v>
      </c>
      <c r="L11986" t="n">
        <v>0</v>
      </c>
      <c r="M11986" t="n">
        <v>0</v>
      </c>
      <c r="N11986" t="n">
        <v>0</v>
      </c>
      <c r="O11986" t="n">
        <v>0</v>
      </c>
      <c r="P11986" t="n">
        <v>0</v>
      </c>
      <c r="Q11986" t="n">
        <v>0</v>
      </c>
      <c r="R11986" s="2" t="inlineStr"/>
    </row>
    <row r="11987" ht="15" customHeight="1">
      <c r="A11987" t="inlineStr">
        <is>
          <t>A 30200-2025</t>
        </is>
      </c>
      <c r="B11987" s="1" t="n">
        <v>45827.35715277777</v>
      </c>
      <c r="C11987" s="1" t="n">
        <v>45952</v>
      </c>
      <c r="D11987" t="inlineStr">
        <is>
          <t>VÄSTRA GÖTALANDS LÄN</t>
        </is>
      </c>
      <c r="E11987" t="inlineStr">
        <is>
          <t>HERRLJUNGA</t>
        </is>
      </c>
      <c r="G11987" t="n">
        <v>1.4</v>
      </c>
      <c r="H11987" t="n">
        <v>0</v>
      </c>
      <c r="I11987" t="n">
        <v>0</v>
      </c>
      <c r="J11987" t="n">
        <v>0</v>
      </c>
      <c r="K11987" t="n">
        <v>0</v>
      </c>
      <c r="L11987" t="n">
        <v>0</v>
      </c>
      <c r="M11987" t="n">
        <v>0</v>
      </c>
      <c r="N11987" t="n">
        <v>0</v>
      </c>
      <c r="O11987" t="n">
        <v>0</v>
      </c>
      <c r="P11987" t="n">
        <v>0</v>
      </c>
      <c r="Q11987" t="n">
        <v>0</v>
      </c>
      <c r="R11987" s="2" t="inlineStr"/>
    </row>
    <row r="11988" ht="15" customHeight="1">
      <c r="A11988" t="inlineStr">
        <is>
          <t>A 63735-2023</t>
        </is>
      </c>
      <c r="B11988" s="1" t="n">
        <v>45277.77255787037</v>
      </c>
      <c r="C11988" s="1" t="n">
        <v>45952</v>
      </c>
      <c r="D11988" t="inlineStr">
        <is>
          <t>VÄSTRA GÖTALANDS LÄN</t>
        </is>
      </c>
      <c r="E11988" t="inlineStr">
        <is>
          <t>HERRLJUNGA</t>
        </is>
      </c>
      <c r="G11988" t="n">
        <v>2.6</v>
      </c>
      <c r="H11988" t="n">
        <v>0</v>
      </c>
      <c r="I11988" t="n">
        <v>0</v>
      </c>
      <c r="J11988" t="n">
        <v>0</v>
      </c>
      <c r="K11988" t="n">
        <v>0</v>
      </c>
      <c r="L11988" t="n">
        <v>0</v>
      </c>
      <c r="M11988" t="n">
        <v>0</v>
      </c>
      <c r="N11988" t="n">
        <v>0</v>
      </c>
      <c r="O11988" t="n">
        <v>0</v>
      </c>
      <c r="P11988" t="n">
        <v>0</v>
      </c>
      <c r="Q11988" t="n">
        <v>0</v>
      </c>
      <c r="R11988" s="2" t="inlineStr"/>
    </row>
    <row r="11989" ht="15" customHeight="1">
      <c r="A11989" t="inlineStr">
        <is>
          <t>A 30009-2025</t>
        </is>
      </c>
      <c r="B11989" s="1" t="n">
        <v>45826.53834490741</v>
      </c>
      <c r="C11989" s="1" t="n">
        <v>45952</v>
      </c>
      <c r="D11989" t="inlineStr">
        <is>
          <t>VÄSTRA GÖTALANDS LÄN</t>
        </is>
      </c>
      <c r="E11989" t="inlineStr">
        <is>
          <t>MARK</t>
        </is>
      </c>
      <c r="G11989" t="n">
        <v>4.1</v>
      </c>
      <c r="H11989" t="n">
        <v>0</v>
      </c>
      <c r="I11989" t="n">
        <v>0</v>
      </c>
      <c r="J11989" t="n">
        <v>0</v>
      </c>
      <c r="K11989" t="n">
        <v>0</v>
      </c>
      <c r="L11989" t="n">
        <v>0</v>
      </c>
      <c r="M11989" t="n">
        <v>0</v>
      </c>
      <c r="N11989" t="n">
        <v>0</v>
      </c>
      <c r="O11989" t="n">
        <v>0</v>
      </c>
      <c r="P11989" t="n">
        <v>0</v>
      </c>
      <c r="Q11989" t="n">
        <v>0</v>
      </c>
      <c r="R11989" s="2" t="inlineStr"/>
    </row>
    <row r="11990" ht="15" customHeight="1">
      <c r="A11990" t="inlineStr">
        <is>
          <t>A 30011-2025</t>
        </is>
      </c>
      <c r="B11990" s="1" t="n">
        <v>45826.54273148148</v>
      </c>
      <c r="C11990" s="1" t="n">
        <v>45952</v>
      </c>
      <c r="D11990" t="inlineStr">
        <is>
          <t>VÄSTRA GÖTALANDS LÄN</t>
        </is>
      </c>
      <c r="E11990" t="inlineStr">
        <is>
          <t>MUNKEDAL</t>
        </is>
      </c>
      <c r="G11990" t="n">
        <v>6.2</v>
      </c>
      <c r="H11990" t="n">
        <v>0</v>
      </c>
      <c r="I11990" t="n">
        <v>0</v>
      </c>
      <c r="J11990" t="n">
        <v>0</v>
      </c>
      <c r="K11990" t="n">
        <v>0</v>
      </c>
      <c r="L11990" t="n">
        <v>0</v>
      </c>
      <c r="M11990" t="n">
        <v>0</v>
      </c>
      <c r="N11990" t="n">
        <v>0</v>
      </c>
      <c r="O11990" t="n">
        <v>0</v>
      </c>
      <c r="P11990" t="n">
        <v>0</v>
      </c>
      <c r="Q11990" t="n">
        <v>0</v>
      </c>
      <c r="R11990" s="2" t="inlineStr"/>
    </row>
    <row r="11991" ht="15" customHeight="1">
      <c r="A11991" t="inlineStr">
        <is>
          <t>A 30023-2025</t>
        </is>
      </c>
      <c r="B11991" s="1" t="n">
        <v>45826.5583912037</v>
      </c>
      <c r="C11991" s="1" t="n">
        <v>45952</v>
      </c>
      <c r="D11991" t="inlineStr">
        <is>
          <t>VÄSTRA GÖTALANDS LÄN</t>
        </is>
      </c>
      <c r="E11991" t="inlineStr">
        <is>
          <t>TRANEMO</t>
        </is>
      </c>
      <c r="G11991" t="n">
        <v>1.3</v>
      </c>
      <c r="H11991" t="n">
        <v>0</v>
      </c>
      <c r="I11991" t="n">
        <v>0</v>
      </c>
      <c r="J11991" t="n">
        <v>0</v>
      </c>
      <c r="K11991" t="n">
        <v>0</v>
      </c>
      <c r="L11991" t="n">
        <v>0</v>
      </c>
      <c r="M11991" t="n">
        <v>0</v>
      </c>
      <c r="N11991" t="n">
        <v>0</v>
      </c>
      <c r="O11991" t="n">
        <v>0</v>
      </c>
      <c r="P11991" t="n">
        <v>0</v>
      </c>
      <c r="Q11991" t="n">
        <v>0</v>
      </c>
      <c r="R11991" s="2" t="inlineStr"/>
    </row>
    <row r="11992" ht="15" customHeight="1">
      <c r="A11992" t="inlineStr">
        <is>
          <t>A 60339-2020</t>
        </is>
      </c>
      <c r="B11992" s="1" t="n">
        <v>44152</v>
      </c>
      <c r="C11992" s="1" t="n">
        <v>45952</v>
      </c>
      <c r="D11992" t="inlineStr">
        <is>
          <t>VÄSTRA GÖTALANDS LÄN</t>
        </is>
      </c>
      <c r="E11992" t="inlineStr">
        <is>
          <t>SKÖVDE</t>
        </is>
      </c>
      <c r="G11992" t="n">
        <v>5</v>
      </c>
      <c r="H11992" t="n">
        <v>0</v>
      </c>
      <c r="I11992" t="n">
        <v>0</v>
      </c>
      <c r="J11992" t="n">
        <v>0</v>
      </c>
      <c r="K11992" t="n">
        <v>0</v>
      </c>
      <c r="L11992" t="n">
        <v>0</v>
      </c>
      <c r="M11992" t="n">
        <v>0</v>
      </c>
      <c r="N11992" t="n">
        <v>0</v>
      </c>
      <c r="O11992" t="n">
        <v>0</v>
      </c>
      <c r="P11992" t="n">
        <v>0</v>
      </c>
      <c r="Q11992" t="n">
        <v>0</v>
      </c>
      <c r="R11992" s="2" t="inlineStr"/>
    </row>
    <row r="11993" ht="15" customHeight="1">
      <c r="A11993" t="inlineStr">
        <is>
          <t>A 30404-2025</t>
        </is>
      </c>
      <c r="B11993" s="1" t="n">
        <v>45827.59276620371</v>
      </c>
      <c r="C11993" s="1" t="n">
        <v>45952</v>
      </c>
      <c r="D11993" t="inlineStr">
        <is>
          <t>VÄSTRA GÖTALANDS LÄN</t>
        </is>
      </c>
      <c r="E11993" t="inlineStr">
        <is>
          <t>MARIESTAD</t>
        </is>
      </c>
      <c r="F11993" t="inlineStr">
        <is>
          <t>Sveaskog</t>
        </is>
      </c>
      <c r="G11993" t="n">
        <v>4.2</v>
      </c>
      <c r="H11993" t="n">
        <v>0</v>
      </c>
      <c r="I11993" t="n">
        <v>0</v>
      </c>
      <c r="J11993" t="n">
        <v>0</v>
      </c>
      <c r="K11993" t="n">
        <v>0</v>
      </c>
      <c r="L11993" t="n">
        <v>0</v>
      </c>
      <c r="M11993" t="n">
        <v>0</v>
      </c>
      <c r="N11993" t="n">
        <v>0</v>
      </c>
      <c r="O11993" t="n">
        <v>0</v>
      </c>
      <c r="P11993" t="n">
        <v>0</v>
      </c>
      <c r="Q11993" t="n">
        <v>0</v>
      </c>
      <c r="R11993" s="2" t="inlineStr"/>
    </row>
    <row r="11994" ht="15" customHeight="1">
      <c r="A11994" t="inlineStr">
        <is>
          <t>A 1103-2025</t>
        </is>
      </c>
      <c r="B11994" s="1" t="n">
        <v>45666</v>
      </c>
      <c r="C11994" s="1" t="n">
        <v>45952</v>
      </c>
      <c r="D11994" t="inlineStr">
        <is>
          <t>VÄSTRA GÖTALANDS LÄN</t>
        </is>
      </c>
      <c r="E11994" t="inlineStr">
        <is>
          <t>TJÖRN</t>
        </is>
      </c>
      <c r="G11994" t="n">
        <v>1.6</v>
      </c>
      <c r="H11994" t="n">
        <v>0</v>
      </c>
      <c r="I11994" t="n">
        <v>0</v>
      </c>
      <c r="J11994" t="n">
        <v>0</v>
      </c>
      <c r="K11994" t="n">
        <v>0</v>
      </c>
      <c r="L11994" t="n">
        <v>0</v>
      </c>
      <c r="M11994" t="n">
        <v>0</v>
      </c>
      <c r="N11994" t="n">
        <v>0</v>
      </c>
      <c r="O11994" t="n">
        <v>0</v>
      </c>
      <c r="P11994" t="n">
        <v>0</v>
      </c>
      <c r="Q11994" t="n">
        <v>0</v>
      </c>
      <c r="R11994" s="2" t="inlineStr"/>
    </row>
    <row r="11995" ht="15" customHeight="1">
      <c r="A11995" t="inlineStr">
        <is>
          <t>A 11928-2025</t>
        </is>
      </c>
      <c r="B11995" s="1" t="n">
        <v>45728.51762731482</v>
      </c>
      <c r="C11995" s="1" t="n">
        <v>45952</v>
      </c>
      <c r="D11995" t="inlineStr">
        <is>
          <t>VÄSTRA GÖTALANDS LÄN</t>
        </is>
      </c>
      <c r="E11995" t="inlineStr">
        <is>
          <t>MARK</t>
        </is>
      </c>
      <c r="G11995" t="n">
        <v>2.9</v>
      </c>
      <c r="H11995" t="n">
        <v>0</v>
      </c>
      <c r="I11995" t="n">
        <v>0</v>
      </c>
      <c r="J11995" t="n">
        <v>0</v>
      </c>
      <c r="K11995" t="n">
        <v>0</v>
      </c>
      <c r="L11995" t="n">
        <v>0</v>
      </c>
      <c r="M11995" t="n">
        <v>0</v>
      </c>
      <c r="N11995" t="n">
        <v>0</v>
      </c>
      <c r="O11995" t="n">
        <v>0</v>
      </c>
      <c r="P11995" t="n">
        <v>0</v>
      </c>
      <c r="Q11995" t="n">
        <v>0</v>
      </c>
      <c r="R11995" s="2" t="inlineStr"/>
    </row>
    <row r="11996" ht="15" customHeight="1">
      <c r="A11996" t="inlineStr">
        <is>
          <t>A 30054-2025</t>
        </is>
      </c>
      <c r="B11996" s="1" t="n">
        <v>45826.60033564815</v>
      </c>
      <c r="C11996" s="1" t="n">
        <v>45952</v>
      </c>
      <c r="D11996" t="inlineStr">
        <is>
          <t>VÄSTRA GÖTALANDS LÄN</t>
        </is>
      </c>
      <c r="E11996" t="inlineStr">
        <is>
          <t>ÅMÅL</t>
        </is>
      </c>
      <c r="G11996" t="n">
        <v>4.3</v>
      </c>
      <c r="H11996" t="n">
        <v>0</v>
      </c>
      <c r="I11996" t="n">
        <v>0</v>
      </c>
      <c r="J11996" t="n">
        <v>0</v>
      </c>
      <c r="K11996" t="n">
        <v>0</v>
      </c>
      <c r="L11996" t="n">
        <v>0</v>
      </c>
      <c r="M11996" t="n">
        <v>0</v>
      </c>
      <c r="N11996" t="n">
        <v>0</v>
      </c>
      <c r="O11996" t="n">
        <v>0</v>
      </c>
      <c r="P11996" t="n">
        <v>0</v>
      </c>
      <c r="Q11996" t="n">
        <v>0</v>
      </c>
      <c r="R11996" s="2" t="inlineStr"/>
    </row>
    <row r="11997" ht="15" customHeight="1">
      <c r="A11997" t="inlineStr">
        <is>
          <t>A 39150-2022</t>
        </is>
      </c>
      <c r="B11997" s="1" t="n">
        <v>44817.48424768518</v>
      </c>
      <c r="C11997" s="1" t="n">
        <v>45952</v>
      </c>
      <c r="D11997" t="inlineStr">
        <is>
          <t>VÄSTRA GÖTALANDS LÄN</t>
        </is>
      </c>
      <c r="E11997" t="inlineStr">
        <is>
          <t>GÖTENE</t>
        </is>
      </c>
      <c r="G11997" t="n">
        <v>1.1</v>
      </c>
      <c r="H11997" t="n">
        <v>0</v>
      </c>
      <c r="I11997" t="n">
        <v>0</v>
      </c>
      <c r="J11997" t="n">
        <v>0</v>
      </c>
      <c r="K11997" t="n">
        <v>0</v>
      </c>
      <c r="L11997" t="n">
        <v>0</v>
      </c>
      <c r="M11997" t="n">
        <v>0</v>
      </c>
      <c r="N11997" t="n">
        <v>0</v>
      </c>
      <c r="O11997" t="n">
        <v>0</v>
      </c>
      <c r="P11997" t="n">
        <v>0</v>
      </c>
      <c r="Q11997" t="n">
        <v>0</v>
      </c>
      <c r="R11997" s="2" t="inlineStr"/>
    </row>
    <row r="11998" ht="15" customHeight="1">
      <c r="A11998" t="inlineStr">
        <is>
          <t>A 38244-2022</t>
        </is>
      </c>
      <c r="B11998" s="1" t="n">
        <v>44812.47820601852</v>
      </c>
      <c r="C11998" s="1" t="n">
        <v>45952</v>
      </c>
      <c r="D11998" t="inlineStr">
        <is>
          <t>VÄSTRA GÖTALANDS LÄN</t>
        </is>
      </c>
      <c r="E11998" t="inlineStr">
        <is>
          <t>FALKÖPING</t>
        </is>
      </c>
      <c r="G11998" t="n">
        <v>4.5</v>
      </c>
      <c r="H11998" t="n">
        <v>0</v>
      </c>
      <c r="I11998" t="n">
        <v>0</v>
      </c>
      <c r="J11998" t="n">
        <v>0</v>
      </c>
      <c r="K11998" t="n">
        <v>0</v>
      </c>
      <c r="L11998" t="n">
        <v>0</v>
      </c>
      <c r="M11998" t="n">
        <v>0</v>
      </c>
      <c r="N11998" t="n">
        <v>0</v>
      </c>
      <c r="O11998" t="n">
        <v>0</v>
      </c>
      <c r="P11998" t="n">
        <v>0</v>
      </c>
      <c r="Q11998" t="n">
        <v>0</v>
      </c>
      <c r="R11998" s="2" t="inlineStr"/>
    </row>
    <row r="11999" ht="15" customHeight="1">
      <c r="A11999" t="inlineStr">
        <is>
          <t>A 3030-2025</t>
        </is>
      </c>
      <c r="B11999" s="1" t="n">
        <v>45678.58909722222</v>
      </c>
      <c r="C11999" s="1" t="n">
        <v>45952</v>
      </c>
      <c r="D11999" t="inlineStr">
        <is>
          <t>VÄSTRA GÖTALANDS LÄN</t>
        </is>
      </c>
      <c r="E11999" t="inlineStr">
        <is>
          <t>MARK</t>
        </is>
      </c>
      <c r="F11999" t="inlineStr">
        <is>
          <t>Sveaskog</t>
        </is>
      </c>
      <c r="G11999" t="n">
        <v>6.8</v>
      </c>
      <c r="H11999" t="n">
        <v>0</v>
      </c>
      <c r="I11999" t="n">
        <v>0</v>
      </c>
      <c r="J11999" t="n">
        <v>0</v>
      </c>
      <c r="K11999" t="n">
        <v>0</v>
      </c>
      <c r="L11999" t="n">
        <v>0</v>
      </c>
      <c r="M11999" t="n">
        <v>0</v>
      </c>
      <c r="N11999" t="n">
        <v>0</v>
      </c>
      <c r="O11999" t="n">
        <v>0</v>
      </c>
      <c r="P11999" t="n">
        <v>0</v>
      </c>
      <c r="Q11999" t="n">
        <v>0</v>
      </c>
      <c r="R11999" s="2" t="inlineStr"/>
    </row>
    <row r="12000" ht="15" customHeight="1">
      <c r="A12000" t="inlineStr">
        <is>
          <t>A 4147-2023</t>
        </is>
      </c>
      <c r="B12000" s="1" t="n">
        <v>44953</v>
      </c>
      <c r="C12000" s="1" t="n">
        <v>45952</v>
      </c>
      <c r="D12000" t="inlineStr">
        <is>
          <t>VÄSTRA GÖTALANDS LÄN</t>
        </is>
      </c>
      <c r="E12000" t="inlineStr">
        <is>
          <t>ALINGSÅS</t>
        </is>
      </c>
      <c r="G12000" t="n">
        <v>2.7</v>
      </c>
      <c r="H12000" t="n">
        <v>0</v>
      </c>
      <c r="I12000" t="n">
        <v>0</v>
      </c>
      <c r="J12000" t="n">
        <v>0</v>
      </c>
      <c r="K12000" t="n">
        <v>0</v>
      </c>
      <c r="L12000" t="n">
        <v>0</v>
      </c>
      <c r="M12000" t="n">
        <v>0</v>
      </c>
      <c r="N12000" t="n">
        <v>0</v>
      </c>
      <c r="O12000" t="n">
        <v>0</v>
      </c>
      <c r="P12000" t="n">
        <v>0</v>
      </c>
      <c r="Q12000" t="n">
        <v>0</v>
      </c>
      <c r="R12000" s="2" t="inlineStr"/>
    </row>
    <row r="12001" ht="15" customHeight="1">
      <c r="A12001" t="inlineStr">
        <is>
          <t>A 40896-2022</t>
        </is>
      </c>
      <c r="B12001" s="1" t="n">
        <v>44825</v>
      </c>
      <c r="C12001" s="1" t="n">
        <v>45952</v>
      </c>
      <c r="D12001" t="inlineStr">
        <is>
          <t>VÄSTRA GÖTALANDS LÄN</t>
        </is>
      </c>
      <c r="E12001" t="inlineStr">
        <is>
          <t>TROLLHÄTTAN</t>
        </is>
      </c>
      <c r="G12001" t="n">
        <v>11.3</v>
      </c>
      <c r="H12001" t="n">
        <v>0</v>
      </c>
      <c r="I12001" t="n">
        <v>0</v>
      </c>
      <c r="J12001" t="n">
        <v>0</v>
      </c>
      <c r="K12001" t="n">
        <v>0</v>
      </c>
      <c r="L12001" t="n">
        <v>0</v>
      </c>
      <c r="M12001" t="n">
        <v>0</v>
      </c>
      <c r="N12001" t="n">
        <v>0</v>
      </c>
      <c r="O12001" t="n">
        <v>0</v>
      </c>
      <c r="P12001" t="n">
        <v>0</v>
      </c>
      <c r="Q12001" t="n">
        <v>0</v>
      </c>
      <c r="R12001" s="2" t="inlineStr"/>
    </row>
    <row r="12002" ht="15" customHeight="1">
      <c r="A12002" t="inlineStr">
        <is>
          <t>A 34423-2021</t>
        </is>
      </c>
      <c r="B12002" s="1" t="n">
        <v>44380</v>
      </c>
      <c r="C12002" s="1" t="n">
        <v>45952</v>
      </c>
      <c r="D12002" t="inlineStr">
        <is>
          <t>VÄSTRA GÖTALANDS LÄN</t>
        </is>
      </c>
      <c r="E12002" t="inlineStr">
        <is>
          <t>HERRLJUNGA</t>
        </is>
      </c>
      <c r="G12002" t="n">
        <v>1.2</v>
      </c>
      <c r="H12002" t="n">
        <v>0</v>
      </c>
      <c r="I12002" t="n">
        <v>0</v>
      </c>
      <c r="J12002" t="n">
        <v>0</v>
      </c>
      <c r="K12002" t="n">
        <v>0</v>
      </c>
      <c r="L12002" t="n">
        <v>0</v>
      </c>
      <c r="M12002" t="n">
        <v>0</v>
      </c>
      <c r="N12002" t="n">
        <v>0</v>
      </c>
      <c r="O12002" t="n">
        <v>0</v>
      </c>
      <c r="P12002" t="n">
        <v>0</v>
      </c>
      <c r="Q12002" t="n">
        <v>0</v>
      </c>
      <c r="R12002" s="2" t="inlineStr"/>
    </row>
    <row r="12003" ht="15" customHeight="1">
      <c r="A12003" t="inlineStr">
        <is>
          <t>A 30141-2025</t>
        </is>
      </c>
      <c r="B12003" s="1" t="n">
        <v>45826.91336805555</v>
      </c>
      <c r="C12003" s="1" t="n">
        <v>45952</v>
      </c>
      <c r="D12003" t="inlineStr">
        <is>
          <t>VÄSTRA GÖTALANDS LÄN</t>
        </is>
      </c>
      <c r="E12003" t="inlineStr">
        <is>
          <t>FÄRGELANDA</t>
        </is>
      </c>
      <c r="G12003" t="n">
        <v>6.1</v>
      </c>
      <c r="H12003" t="n">
        <v>0</v>
      </c>
      <c r="I12003" t="n">
        <v>0</v>
      </c>
      <c r="J12003" t="n">
        <v>0</v>
      </c>
      <c r="K12003" t="n">
        <v>0</v>
      </c>
      <c r="L12003" t="n">
        <v>0</v>
      </c>
      <c r="M12003" t="n">
        <v>0</v>
      </c>
      <c r="N12003" t="n">
        <v>0</v>
      </c>
      <c r="O12003" t="n">
        <v>0</v>
      </c>
      <c r="P12003" t="n">
        <v>0</v>
      </c>
      <c r="Q12003" t="n">
        <v>0</v>
      </c>
      <c r="R12003" s="2" t="inlineStr"/>
    </row>
    <row r="12004" ht="15" customHeight="1">
      <c r="A12004" t="inlineStr">
        <is>
          <t>A 9576-2025</t>
        </is>
      </c>
      <c r="B12004" s="1" t="n">
        <v>45715.62474537037</v>
      </c>
      <c r="C12004" s="1" t="n">
        <v>45952</v>
      </c>
      <c r="D12004" t="inlineStr">
        <is>
          <t>VÄSTRA GÖTALANDS LÄN</t>
        </is>
      </c>
      <c r="E12004" t="inlineStr">
        <is>
          <t>TRANEMO</t>
        </is>
      </c>
      <c r="G12004" t="n">
        <v>1.5</v>
      </c>
      <c r="H12004" t="n">
        <v>0</v>
      </c>
      <c r="I12004" t="n">
        <v>0</v>
      </c>
      <c r="J12004" t="n">
        <v>0</v>
      </c>
      <c r="K12004" t="n">
        <v>0</v>
      </c>
      <c r="L12004" t="n">
        <v>0</v>
      </c>
      <c r="M12004" t="n">
        <v>0</v>
      </c>
      <c r="N12004" t="n">
        <v>0</v>
      </c>
      <c r="O12004" t="n">
        <v>0</v>
      </c>
      <c r="P12004" t="n">
        <v>0</v>
      </c>
      <c r="Q12004" t="n">
        <v>0</v>
      </c>
      <c r="R12004" s="2" t="inlineStr"/>
    </row>
    <row r="12005" ht="15" customHeight="1">
      <c r="A12005" t="inlineStr">
        <is>
          <t>A 11640-2025</t>
        </is>
      </c>
      <c r="B12005" s="1" t="n">
        <v>45727.47200231482</v>
      </c>
      <c r="C12005" s="1" t="n">
        <v>45952</v>
      </c>
      <c r="D12005" t="inlineStr">
        <is>
          <t>VÄSTRA GÖTALANDS LÄN</t>
        </is>
      </c>
      <c r="E12005" t="inlineStr">
        <is>
          <t>ULRICEHAMN</t>
        </is>
      </c>
      <c r="G12005" t="n">
        <v>5.4</v>
      </c>
      <c r="H12005" t="n">
        <v>0</v>
      </c>
      <c r="I12005" t="n">
        <v>0</v>
      </c>
      <c r="J12005" t="n">
        <v>0</v>
      </c>
      <c r="K12005" t="n">
        <v>0</v>
      </c>
      <c r="L12005" t="n">
        <v>0</v>
      </c>
      <c r="M12005" t="n">
        <v>0</v>
      </c>
      <c r="N12005" t="n">
        <v>0</v>
      </c>
      <c r="O12005" t="n">
        <v>0</v>
      </c>
      <c r="P12005" t="n">
        <v>0</v>
      </c>
      <c r="Q12005" t="n">
        <v>0</v>
      </c>
      <c r="R12005" s="2" t="inlineStr"/>
    </row>
    <row r="12006" ht="15" customHeight="1">
      <c r="A12006" t="inlineStr">
        <is>
          <t>A 11202-2025</t>
        </is>
      </c>
      <c r="B12006" s="1" t="n">
        <v>45726.31182870371</v>
      </c>
      <c r="C12006" s="1" t="n">
        <v>45952</v>
      </c>
      <c r="D12006" t="inlineStr">
        <is>
          <t>VÄSTRA GÖTALANDS LÄN</t>
        </is>
      </c>
      <c r="E12006" t="inlineStr">
        <is>
          <t>SVENLJUNGA</t>
        </is>
      </c>
      <c r="G12006" t="n">
        <v>13.4</v>
      </c>
      <c r="H12006" t="n">
        <v>0</v>
      </c>
      <c r="I12006" t="n">
        <v>0</v>
      </c>
      <c r="J12006" t="n">
        <v>0</v>
      </c>
      <c r="K12006" t="n">
        <v>0</v>
      </c>
      <c r="L12006" t="n">
        <v>0</v>
      </c>
      <c r="M12006" t="n">
        <v>0</v>
      </c>
      <c r="N12006" t="n">
        <v>0</v>
      </c>
      <c r="O12006" t="n">
        <v>0</v>
      </c>
      <c r="P12006" t="n">
        <v>0</v>
      </c>
      <c r="Q12006" t="n">
        <v>0</v>
      </c>
      <c r="R12006" s="2" t="inlineStr"/>
    </row>
    <row r="12007" ht="15" customHeight="1">
      <c r="A12007" t="inlineStr">
        <is>
          <t>A 11209-2025</t>
        </is>
      </c>
      <c r="B12007" s="1" t="n">
        <v>45726.32915509259</v>
      </c>
      <c r="C12007" s="1" t="n">
        <v>45952</v>
      </c>
      <c r="D12007" t="inlineStr">
        <is>
          <t>VÄSTRA GÖTALANDS LÄN</t>
        </is>
      </c>
      <c r="E12007" t="inlineStr">
        <is>
          <t>SVENLJUNGA</t>
        </is>
      </c>
      <c r="G12007" t="n">
        <v>1.3</v>
      </c>
      <c r="H12007" t="n">
        <v>0</v>
      </c>
      <c r="I12007" t="n">
        <v>0</v>
      </c>
      <c r="J12007" t="n">
        <v>0</v>
      </c>
      <c r="K12007" t="n">
        <v>0</v>
      </c>
      <c r="L12007" t="n">
        <v>0</v>
      </c>
      <c r="M12007" t="n">
        <v>0</v>
      </c>
      <c r="N12007" t="n">
        <v>0</v>
      </c>
      <c r="O12007" t="n">
        <v>0</v>
      </c>
      <c r="P12007" t="n">
        <v>0</v>
      </c>
      <c r="Q12007" t="n">
        <v>0</v>
      </c>
      <c r="R12007" s="2" t="inlineStr"/>
    </row>
    <row r="12008" ht="15" customHeight="1">
      <c r="A12008" t="inlineStr">
        <is>
          <t>A 30121-2025</t>
        </is>
      </c>
      <c r="B12008" s="1" t="n">
        <v>45826.73800925926</v>
      </c>
      <c r="C12008" s="1" t="n">
        <v>45952</v>
      </c>
      <c r="D12008" t="inlineStr">
        <is>
          <t>VÄSTRA GÖTALANDS LÄN</t>
        </is>
      </c>
      <c r="E12008" t="inlineStr">
        <is>
          <t>SVENLJUNGA</t>
        </is>
      </c>
      <c r="F12008" t="inlineStr">
        <is>
          <t>Sveaskog</t>
        </is>
      </c>
      <c r="G12008" t="n">
        <v>1.1</v>
      </c>
      <c r="H12008" t="n">
        <v>0</v>
      </c>
      <c r="I12008" t="n">
        <v>0</v>
      </c>
      <c r="J12008" t="n">
        <v>0</v>
      </c>
      <c r="K12008" t="n">
        <v>0</v>
      </c>
      <c r="L12008" t="n">
        <v>0</v>
      </c>
      <c r="M12008" t="n">
        <v>0</v>
      </c>
      <c r="N12008" t="n">
        <v>0</v>
      </c>
      <c r="O12008" t="n">
        <v>0</v>
      </c>
      <c r="P12008" t="n">
        <v>0</v>
      </c>
      <c r="Q12008" t="n">
        <v>0</v>
      </c>
      <c r="R12008" s="2" t="inlineStr"/>
    </row>
    <row r="12009" ht="15" customHeight="1">
      <c r="A12009" t="inlineStr">
        <is>
          <t>A 11207-2025</t>
        </is>
      </c>
      <c r="B12009" s="1" t="n">
        <v>45726.32260416666</v>
      </c>
      <c r="C12009" s="1" t="n">
        <v>45952</v>
      </c>
      <c r="D12009" t="inlineStr">
        <is>
          <t>VÄSTRA GÖTALANDS LÄN</t>
        </is>
      </c>
      <c r="E12009" t="inlineStr">
        <is>
          <t>SVENLJUNGA</t>
        </is>
      </c>
      <c r="G12009" t="n">
        <v>10.6</v>
      </c>
      <c r="H12009" t="n">
        <v>0</v>
      </c>
      <c r="I12009" t="n">
        <v>0</v>
      </c>
      <c r="J12009" t="n">
        <v>0</v>
      </c>
      <c r="K12009" t="n">
        <v>0</v>
      </c>
      <c r="L12009" t="n">
        <v>0</v>
      </c>
      <c r="M12009" t="n">
        <v>0</v>
      </c>
      <c r="N12009" t="n">
        <v>0</v>
      </c>
      <c r="O12009" t="n">
        <v>0</v>
      </c>
      <c r="P12009" t="n">
        <v>0</v>
      </c>
      <c r="Q12009" t="n">
        <v>0</v>
      </c>
      <c r="R12009" s="2" t="inlineStr"/>
    </row>
    <row r="12010" ht="15" customHeight="1">
      <c r="A12010" t="inlineStr">
        <is>
          <t>A 11459-2025</t>
        </is>
      </c>
      <c r="B12010" s="1" t="n">
        <v>45726</v>
      </c>
      <c r="C12010" s="1" t="n">
        <v>45952</v>
      </c>
      <c r="D12010" t="inlineStr">
        <is>
          <t>VÄSTRA GÖTALANDS LÄN</t>
        </is>
      </c>
      <c r="E12010" t="inlineStr">
        <is>
          <t>ALINGSÅS</t>
        </is>
      </c>
      <c r="G12010" t="n">
        <v>1.9</v>
      </c>
      <c r="H12010" t="n">
        <v>0</v>
      </c>
      <c r="I12010" t="n">
        <v>0</v>
      </c>
      <c r="J12010" t="n">
        <v>0</v>
      </c>
      <c r="K12010" t="n">
        <v>0</v>
      </c>
      <c r="L12010" t="n">
        <v>0</v>
      </c>
      <c r="M12010" t="n">
        <v>0</v>
      </c>
      <c r="N12010" t="n">
        <v>0</v>
      </c>
      <c r="O12010" t="n">
        <v>0</v>
      </c>
      <c r="P12010" t="n">
        <v>0</v>
      </c>
      <c r="Q12010" t="n">
        <v>0</v>
      </c>
      <c r="R12010" s="2" t="inlineStr"/>
    </row>
    <row r="12011" ht="15" customHeight="1">
      <c r="A12011" t="inlineStr">
        <is>
          <t>A 11629-2025</t>
        </is>
      </c>
      <c r="B12011" s="1" t="n">
        <v>45727.46181712963</v>
      </c>
      <c r="C12011" s="1" t="n">
        <v>45952</v>
      </c>
      <c r="D12011" t="inlineStr">
        <is>
          <t>VÄSTRA GÖTALANDS LÄN</t>
        </is>
      </c>
      <c r="E12011" t="inlineStr">
        <is>
          <t>ULRICEHAMN</t>
        </is>
      </c>
      <c r="G12011" t="n">
        <v>3.4</v>
      </c>
      <c r="H12011" t="n">
        <v>0</v>
      </c>
      <c r="I12011" t="n">
        <v>0</v>
      </c>
      <c r="J12011" t="n">
        <v>0</v>
      </c>
      <c r="K12011" t="n">
        <v>0</v>
      </c>
      <c r="L12011" t="n">
        <v>0</v>
      </c>
      <c r="M12011" t="n">
        <v>0</v>
      </c>
      <c r="N12011" t="n">
        <v>0</v>
      </c>
      <c r="O12011" t="n">
        <v>0</v>
      </c>
      <c r="P12011" t="n">
        <v>0</v>
      </c>
      <c r="Q12011" t="n">
        <v>0</v>
      </c>
      <c r="R12011" s="2" t="inlineStr"/>
    </row>
    <row r="12012" ht="15" customHeight="1">
      <c r="A12012" t="inlineStr">
        <is>
          <t>A 30024-2025</t>
        </is>
      </c>
      <c r="B12012" s="1" t="n">
        <v>45826.56084490741</v>
      </c>
      <c r="C12012" s="1" t="n">
        <v>45952</v>
      </c>
      <c r="D12012" t="inlineStr">
        <is>
          <t>VÄSTRA GÖTALANDS LÄN</t>
        </is>
      </c>
      <c r="E12012" t="inlineStr">
        <is>
          <t>TRANEMO</t>
        </is>
      </c>
      <c r="G12012" t="n">
        <v>2.2</v>
      </c>
      <c r="H12012" t="n">
        <v>0</v>
      </c>
      <c r="I12012" t="n">
        <v>0</v>
      </c>
      <c r="J12012" t="n">
        <v>0</v>
      </c>
      <c r="K12012" t="n">
        <v>0</v>
      </c>
      <c r="L12012" t="n">
        <v>0</v>
      </c>
      <c r="M12012" t="n">
        <v>0</v>
      </c>
      <c r="N12012" t="n">
        <v>0</v>
      </c>
      <c r="O12012" t="n">
        <v>0</v>
      </c>
      <c r="P12012" t="n">
        <v>0</v>
      </c>
      <c r="Q12012" t="n">
        <v>0</v>
      </c>
      <c r="R12012" s="2" t="inlineStr"/>
    </row>
    <row r="12013" ht="15" customHeight="1">
      <c r="A12013" t="inlineStr">
        <is>
          <t>A 30057-2025</t>
        </is>
      </c>
      <c r="B12013" s="1" t="n">
        <v>45826.60518518519</v>
      </c>
      <c r="C12013" s="1" t="n">
        <v>45952</v>
      </c>
      <c r="D12013" t="inlineStr">
        <is>
          <t>VÄSTRA GÖTALANDS LÄN</t>
        </is>
      </c>
      <c r="E12013" t="inlineStr">
        <is>
          <t>ULRICEHAMN</t>
        </is>
      </c>
      <c r="G12013" t="n">
        <v>0.8</v>
      </c>
      <c r="H12013" t="n">
        <v>0</v>
      </c>
      <c r="I12013" t="n">
        <v>0</v>
      </c>
      <c r="J12013" t="n">
        <v>0</v>
      </c>
      <c r="K12013" t="n">
        <v>0</v>
      </c>
      <c r="L12013" t="n">
        <v>0</v>
      </c>
      <c r="M12013" t="n">
        <v>0</v>
      </c>
      <c r="N12013" t="n">
        <v>0</v>
      </c>
      <c r="O12013" t="n">
        <v>0</v>
      </c>
      <c r="P12013" t="n">
        <v>0</v>
      </c>
      <c r="Q12013" t="n">
        <v>0</v>
      </c>
      <c r="R12013" s="2" t="inlineStr"/>
    </row>
    <row r="12014" ht="15" customHeight="1">
      <c r="A12014" t="inlineStr">
        <is>
          <t>A 29924-2025</t>
        </is>
      </c>
      <c r="B12014" s="1" t="n">
        <v>45826.42863425926</v>
      </c>
      <c r="C12014" s="1" t="n">
        <v>45952</v>
      </c>
      <c r="D12014" t="inlineStr">
        <is>
          <t>VÄSTRA GÖTALANDS LÄN</t>
        </is>
      </c>
      <c r="E12014" t="inlineStr">
        <is>
          <t>ULRICEHAMN</t>
        </is>
      </c>
      <c r="G12014" t="n">
        <v>0.5</v>
      </c>
      <c r="H12014" t="n">
        <v>0</v>
      </c>
      <c r="I12014" t="n">
        <v>0</v>
      </c>
      <c r="J12014" t="n">
        <v>0</v>
      </c>
      <c r="K12014" t="n">
        <v>0</v>
      </c>
      <c r="L12014" t="n">
        <v>0</v>
      </c>
      <c r="M12014" t="n">
        <v>0</v>
      </c>
      <c r="N12014" t="n">
        <v>0</v>
      </c>
      <c r="O12014" t="n">
        <v>0</v>
      </c>
      <c r="P12014" t="n">
        <v>0</v>
      </c>
      <c r="Q12014" t="n">
        <v>0</v>
      </c>
      <c r="R12014" s="2" t="inlineStr"/>
    </row>
    <row r="12015" ht="15" customHeight="1">
      <c r="A12015" t="inlineStr">
        <is>
          <t>A 29929-2025</t>
        </is>
      </c>
      <c r="B12015" s="1" t="n">
        <v>45826.43549768518</v>
      </c>
      <c r="C12015" s="1" t="n">
        <v>45952</v>
      </c>
      <c r="D12015" t="inlineStr">
        <is>
          <t>VÄSTRA GÖTALANDS LÄN</t>
        </is>
      </c>
      <c r="E12015" t="inlineStr">
        <is>
          <t>UDDEVALLA</t>
        </is>
      </c>
      <c r="G12015" t="n">
        <v>3.1</v>
      </c>
      <c r="H12015" t="n">
        <v>0</v>
      </c>
      <c r="I12015" t="n">
        <v>0</v>
      </c>
      <c r="J12015" t="n">
        <v>0</v>
      </c>
      <c r="K12015" t="n">
        <v>0</v>
      </c>
      <c r="L12015" t="n">
        <v>0</v>
      </c>
      <c r="M12015" t="n">
        <v>0</v>
      </c>
      <c r="N12015" t="n">
        <v>0</v>
      </c>
      <c r="O12015" t="n">
        <v>0</v>
      </c>
      <c r="P12015" t="n">
        <v>0</v>
      </c>
      <c r="Q12015" t="n">
        <v>0</v>
      </c>
      <c r="R12015" s="2" t="inlineStr"/>
    </row>
    <row r="12016" ht="15" customHeight="1">
      <c r="A12016" t="inlineStr">
        <is>
          <t>A 38970-2024</t>
        </is>
      </c>
      <c r="B12016" s="1" t="n">
        <v>45548</v>
      </c>
      <c r="C12016" s="1" t="n">
        <v>45952</v>
      </c>
      <c r="D12016" t="inlineStr">
        <is>
          <t>VÄSTRA GÖTALANDS LÄN</t>
        </is>
      </c>
      <c r="E12016" t="inlineStr">
        <is>
          <t>BORÅS</t>
        </is>
      </c>
      <c r="G12016" t="n">
        <v>0.8</v>
      </c>
      <c r="H12016" t="n">
        <v>0</v>
      </c>
      <c r="I12016" t="n">
        <v>0</v>
      </c>
      <c r="J12016" t="n">
        <v>0</v>
      </c>
      <c r="K12016" t="n">
        <v>0</v>
      </c>
      <c r="L12016" t="n">
        <v>0</v>
      </c>
      <c r="M12016" t="n">
        <v>0</v>
      </c>
      <c r="N12016" t="n">
        <v>0</v>
      </c>
      <c r="O12016" t="n">
        <v>0</v>
      </c>
      <c r="P12016" t="n">
        <v>0</v>
      </c>
      <c r="Q12016" t="n">
        <v>0</v>
      </c>
      <c r="R12016" s="2" t="inlineStr"/>
    </row>
    <row r="12017" ht="15" customHeight="1">
      <c r="A12017" t="inlineStr">
        <is>
          <t>A 60646-2022</t>
        </is>
      </c>
      <c r="B12017" s="1" t="n">
        <v>44911.72984953703</v>
      </c>
      <c r="C12017" s="1" t="n">
        <v>45952</v>
      </c>
      <c r="D12017" t="inlineStr">
        <is>
          <t>VÄSTRA GÖTALANDS LÄN</t>
        </is>
      </c>
      <c r="E12017" t="inlineStr">
        <is>
          <t>TIDAHOLM</t>
        </is>
      </c>
      <c r="F12017" t="inlineStr">
        <is>
          <t>Sveaskog</t>
        </is>
      </c>
      <c r="G12017" t="n">
        <v>1.4</v>
      </c>
      <c r="H12017" t="n">
        <v>0</v>
      </c>
      <c r="I12017" t="n">
        <v>0</v>
      </c>
      <c r="J12017" t="n">
        <v>0</v>
      </c>
      <c r="K12017" t="n">
        <v>0</v>
      </c>
      <c r="L12017" t="n">
        <v>0</v>
      </c>
      <c r="M12017" t="n">
        <v>0</v>
      </c>
      <c r="N12017" t="n">
        <v>0</v>
      </c>
      <c r="O12017" t="n">
        <v>0</v>
      </c>
      <c r="P12017" t="n">
        <v>0</v>
      </c>
      <c r="Q12017" t="n">
        <v>0</v>
      </c>
      <c r="R12017" s="2" t="inlineStr"/>
    </row>
    <row r="12018" ht="15" customHeight="1">
      <c r="A12018" t="inlineStr">
        <is>
          <t>A 16444-2025</t>
        </is>
      </c>
      <c r="B12018" s="1" t="n">
        <v>45751.50175925926</v>
      </c>
      <c r="C12018" s="1" t="n">
        <v>45952</v>
      </c>
      <c r="D12018" t="inlineStr">
        <is>
          <t>VÄSTRA GÖTALANDS LÄN</t>
        </is>
      </c>
      <c r="E12018" t="inlineStr">
        <is>
          <t>GULLSPÅNG</t>
        </is>
      </c>
      <c r="F12018" t="inlineStr">
        <is>
          <t>Kyrkan</t>
        </is>
      </c>
      <c r="G12018" t="n">
        <v>0.8</v>
      </c>
      <c r="H12018" t="n">
        <v>0</v>
      </c>
      <c r="I12018" t="n">
        <v>0</v>
      </c>
      <c r="J12018" t="n">
        <v>0</v>
      </c>
      <c r="K12018" t="n">
        <v>0</v>
      </c>
      <c r="L12018" t="n">
        <v>0</v>
      </c>
      <c r="M12018" t="n">
        <v>0</v>
      </c>
      <c r="N12018" t="n">
        <v>0</v>
      </c>
      <c r="O12018" t="n">
        <v>0</v>
      </c>
      <c r="P12018" t="n">
        <v>0</v>
      </c>
      <c r="Q12018" t="n">
        <v>0</v>
      </c>
      <c r="R12018" s="2" t="inlineStr"/>
    </row>
    <row r="12019" ht="15" customHeight="1">
      <c r="A12019" t="inlineStr">
        <is>
          <t>A 7161-2025</t>
        </is>
      </c>
      <c r="B12019" s="1" t="n">
        <v>45702.38982638889</v>
      </c>
      <c r="C12019" s="1" t="n">
        <v>45952</v>
      </c>
      <c r="D12019" t="inlineStr">
        <is>
          <t>VÄSTRA GÖTALANDS LÄN</t>
        </is>
      </c>
      <c r="E12019" t="inlineStr">
        <is>
          <t>MARIESTAD</t>
        </is>
      </c>
      <c r="F12019" t="inlineStr">
        <is>
          <t>Sveaskog</t>
        </is>
      </c>
      <c r="G12019" t="n">
        <v>1.2</v>
      </c>
      <c r="H12019" t="n">
        <v>0</v>
      </c>
      <c r="I12019" t="n">
        <v>0</v>
      </c>
      <c r="J12019" t="n">
        <v>0</v>
      </c>
      <c r="K12019" t="n">
        <v>0</v>
      </c>
      <c r="L12019" t="n">
        <v>0</v>
      </c>
      <c r="M12019" t="n">
        <v>0</v>
      </c>
      <c r="N12019" t="n">
        <v>0</v>
      </c>
      <c r="O12019" t="n">
        <v>0</v>
      </c>
      <c r="P12019" t="n">
        <v>0</v>
      </c>
      <c r="Q12019" t="n">
        <v>0</v>
      </c>
      <c r="R12019" s="2" t="inlineStr"/>
    </row>
    <row r="12020" ht="15" customHeight="1">
      <c r="A12020" t="inlineStr">
        <is>
          <t>A 62223-2022</t>
        </is>
      </c>
      <c r="B12020" s="1" t="n">
        <v>44922.67252314815</v>
      </c>
      <c r="C12020" s="1" t="n">
        <v>45952</v>
      </c>
      <c r="D12020" t="inlineStr">
        <is>
          <t>VÄSTRA GÖTALANDS LÄN</t>
        </is>
      </c>
      <c r="E12020" t="inlineStr">
        <is>
          <t>TIBRO</t>
        </is>
      </c>
      <c r="G12020" t="n">
        <v>0.4</v>
      </c>
      <c r="H12020" t="n">
        <v>0</v>
      </c>
      <c r="I12020" t="n">
        <v>0</v>
      </c>
      <c r="J12020" t="n">
        <v>0</v>
      </c>
      <c r="K12020" t="n">
        <v>0</v>
      </c>
      <c r="L12020" t="n">
        <v>0</v>
      </c>
      <c r="M12020" t="n">
        <v>0</v>
      </c>
      <c r="N12020" t="n">
        <v>0</v>
      </c>
      <c r="O12020" t="n">
        <v>0</v>
      </c>
      <c r="P12020" t="n">
        <v>0</v>
      </c>
      <c r="Q12020" t="n">
        <v>0</v>
      </c>
      <c r="R12020" s="2" t="inlineStr"/>
    </row>
    <row r="12021" ht="15" customHeight="1">
      <c r="A12021" t="inlineStr">
        <is>
          <t>A 12438-2025</t>
        </is>
      </c>
      <c r="B12021" s="1" t="n">
        <v>45730.47032407407</v>
      </c>
      <c r="C12021" s="1" t="n">
        <v>45952</v>
      </c>
      <c r="D12021" t="inlineStr">
        <is>
          <t>VÄSTRA GÖTALANDS LÄN</t>
        </is>
      </c>
      <c r="E12021" t="inlineStr">
        <is>
          <t>ULRICEHAMN</t>
        </is>
      </c>
      <c r="G12021" t="n">
        <v>1.1</v>
      </c>
      <c r="H12021" t="n">
        <v>0</v>
      </c>
      <c r="I12021" t="n">
        <v>0</v>
      </c>
      <c r="J12021" t="n">
        <v>0</v>
      </c>
      <c r="K12021" t="n">
        <v>0</v>
      </c>
      <c r="L12021" t="n">
        <v>0</v>
      </c>
      <c r="M12021" t="n">
        <v>0</v>
      </c>
      <c r="N12021" t="n">
        <v>0</v>
      </c>
      <c r="O12021" t="n">
        <v>0</v>
      </c>
      <c r="P12021" t="n">
        <v>0</v>
      </c>
      <c r="Q12021" t="n">
        <v>0</v>
      </c>
      <c r="R12021" s="2" t="inlineStr"/>
    </row>
    <row r="12022" ht="15" customHeight="1">
      <c r="A12022" t="inlineStr">
        <is>
          <t>A 12484-2025</t>
        </is>
      </c>
      <c r="B12022" s="1" t="n">
        <v>45730.58797453704</v>
      </c>
      <c r="C12022" s="1" t="n">
        <v>45952</v>
      </c>
      <c r="D12022" t="inlineStr">
        <is>
          <t>VÄSTRA GÖTALANDS LÄN</t>
        </is>
      </c>
      <c r="E12022" t="inlineStr">
        <is>
          <t>BORÅS</t>
        </is>
      </c>
      <c r="G12022" t="n">
        <v>2.6</v>
      </c>
      <c r="H12022" t="n">
        <v>0</v>
      </c>
      <c r="I12022" t="n">
        <v>0</v>
      </c>
      <c r="J12022" t="n">
        <v>0</v>
      </c>
      <c r="K12022" t="n">
        <v>0</v>
      </c>
      <c r="L12022" t="n">
        <v>0</v>
      </c>
      <c r="M12022" t="n">
        <v>0</v>
      </c>
      <c r="N12022" t="n">
        <v>0</v>
      </c>
      <c r="O12022" t="n">
        <v>0</v>
      </c>
      <c r="P12022" t="n">
        <v>0</v>
      </c>
      <c r="Q12022" t="n">
        <v>0</v>
      </c>
      <c r="R12022" s="2" t="inlineStr"/>
    </row>
    <row r="12023" ht="15" customHeight="1">
      <c r="A12023" t="inlineStr">
        <is>
          <t>A 12487-2025</t>
        </is>
      </c>
      <c r="B12023" s="1" t="n">
        <v>45730.59189814814</v>
      </c>
      <c r="C12023" s="1" t="n">
        <v>45952</v>
      </c>
      <c r="D12023" t="inlineStr">
        <is>
          <t>VÄSTRA GÖTALANDS LÄN</t>
        </is>
      </c>
      <c r="E12023" t="inlineStr">
        <is>
          <t>BORÅS</t>
        </is>
      </c>
      <c r="G12023" t="n">
        <v>1.7</v>
      </c>
      <c r="H12023" t="n">
        <v>0</v>
      </c>
      <c r="I12023" t="n">
        <v>0</v>
      </c>
      <c r="J12023" t="n">
        <v>0</v>
      </c>
      <c r="K12023" t="n">
        <v>0</v>
      </c>
      <c r="L12023" t="n">
        <v>0</v>
      </c>
      <c r="M12023" t="n">
        <v>0</v>
      </c>
      <c r="N12023" t="n">
        <v>0</v>
      </c>
      <c r="O12023" t="n">
        <v>0</v>
      </c>
      <c r="P12023" t="n">
        <v>0</v>
      </c>
      <c r="Q12023" t="n">
        <v>0</v>
      </c>
      <c r="R12023" s="2" t="inlineStr"/>
    </row>
    <row r="12024" ht="15" customHeight="1">
      <c r="A12024" t="inlineStr">
        <is>
          <t>A 13596-2025</t>
        </is>
      </c>
      <c r="B12024" s="1" t="n">
        <v>45736.60425925926</v>
      </c>
      <c r="C12024" s="1" t="n">
        <v>45952</v>
      </c>
      <c r="D12024" t="inlineStr">
        <is>
          <t>VÄSTRA GÖTALANDS LÄN</t>
        </is>
      </c>
      <c r="E12024" t="inlineStr">
        <is>
          <t>HERRLJUNGA</t>
        </is>
      </c>
      <c r="G12024" t="n">
        <v>2.4</v>
      </c>
      <c r="H12024" t="n">
        <v>0</v>
      </c>
      <c r="I12024" t="n">
        <v>0</v>
      </c>
      <c r="J12024" t="n">
        <v>0</v>
      </c>
      <c r="K12024" t="n">
        <v>0</v>
      </c>
      <c r="L12024" t="n">
        <v>0</v>
      </c>
      <c r="M12024" t="n">
        <v>0</v>
      </c>
      <c r="N12024" t="n">
        <v>0</v>
      </c>
      <c r="O12024" t="n">
        <v>0</v>
      </c>
      <c r="P12024" t="n">
        <v>0</v>
      </c>
      <c r="Q12024" t="n">
        <v>0</v>
      </c>
      <c r="R12024" s="2" t="inlineStr"/>
    </row>
    <row r="12025" ht="15" customHeight="1">
      <c r="A12025" t="inlineStr">
        <is>
          <t>A 14381-2025</t>
        </is>
      </c>
      <c r="B12025" s="1" t="n">
        <v>45741</v>
      </c>
      <c r="C12025" s="1" t="n">
        <v>45952</v>
      </c>
      <c r="D12025" t="inlineStr">
        <is>
          <t>VÄSTRA GÖTALANDS LÄN</t>
        </is>
      </c>
      <c r="E12025" t="inlineStr">
        <is>
          <t>BORÅS</t>
        </is>
      </c>
      <c r="G12025" t="n">
        <v>0.8</v>
      </c>
      <c r="H12025" t="n">
        <v>0</v>
      </c>
      <c r="I12025" t="n">
        <v>0</v>
      </c>
      <c r="J12025" t="n">
        <v>0</v>
      </c>
      <c r="K12025" t="n">
        <v>0</v>
      </c>
      <c r="L12025" t="n">
        <v>0</v>
      </c>
      <c r="M12025" t="n">
        <v>0</v>
      </c>
      <c r="N12025" t="n">
        <v>0</v>
      </c>
      <c r="O12025" t="n">
        <v>0</v>
      </c>
      <c r="P12025" t="n">
        <v>0</v>
      </c>
      <c r="Q12025" t="n">
        <v>0</v>
      </c>
      <c r="R12025" s="2" t="inlineStr"/>
    </row>
    <row r="12026" ht="15" customHeight="1">
      <c r="A12026" t="inlineStr">
        <is>
          <t>A 14922-2025</t>
        </is>
      </c>
      <c r="B12026" s="1" t="n">
        <v>45743.548125</v>
      </c>
      <c r="C12026" s="1" t="n">
        <v>45952</v>
      </c>
      <c r="D12026" t="inlineStr">
        <is>
          <t>VÄSTRA GÖTALANDS LÄN</t>
        </is>
      </c>
      <c r="E12026" t="inlineStr">
        <is>
          <t>SVENLJUNGA</t>
        </is>
      </c>
      <c r="G12026" t="n">
        <v>1.8</v>
      </c>
      <c r="H12026" t="n">
        <v>0</v>
      </c>
      <c r="I12026" t="n">
        <v>0</v>
      </c>
      <c r="J12026" t="n">
        <v>0</v>
      </c>
      <c r="K12026" t="n">
        <v>0</v>
      </c>
      <c r="L12026" t="n">
        <v>0</v>
      </c>
      <c r="M12026" t="n">
        <v>0</v>
      </c>
      <c r="N12026" t="n">
        <v>0</v>
      </c>
      <c r="O12026" t="n">
        <v>0</v>
      </c>
      <c r="P12026" t="n">
        <v>0</v>
      </c>
      <c r="Q12026" t="n">
        <v>0</v>
      </c>
      <c r="R12026" s="2" t="inlineStr"/>
    </row>
    <row r="12027" ht="15" customHeight="1">
      <c r="A12027" t="inlineStr">
        <is>
          <t>A 14952-2025</t>
        </is>
      </c>
      <c r="B12027" s="1" t="n">
        <v>45743.58193287037</v>
      </c>
      <c r="C12027" s="1" t="n">
        <v>45952</v>
      </c>
      <c r="D12027" t="inlineStr">
        <is>
          <t>VÄSTRA GÖTALANDS LÄN</t>
        </is>
      </c>
      <c r="E12027" t="inlineStr">
        <is>
          <t>ULRICEHAMN</t>
        </is>
      </c>
      <c r="G12027" t="n">
        <v>1</v>
      </c>
      <c r="H12027" t="n">
        <v>0</v>
      </c>
      <c r="I12027" t="n">
        <v>0</v>
      </c>
      <c r="J12027" t="n">
        <v>0</v>
      </c>
      <c r="K12027" t="n">
        <v>0</v>
      </c>
      <c r="L12027" t="n">
        <v>0</v>
      </c>
      <c r="M12027" t="n">
        <v>0</v>
      </c>
      <c r="N12027" t="n">
        <v>0</v>
      </c>
      <c r="O12027" t="n">
        <v>0</v>
      </c>
      <c r="P12027" t="n">
        <v>0</v>
      </c>
      <c r="Q12027" t="n">
        <v>0</v>
      </c>
      <c r="R12027" s="2" t="inlineStr"/>
    </row>
    <row r="12028" ht="15" customHeight="1">
      <c r="A12028" t="inlineStr">
        <is>
          <t>A 14977-2025</t>
        </is>
      </c>
      <c r="B12028" s="1" t="n">
        <v>45743.59481481482</v>
      </c>
      <c r="C12028" s="1" t="n">
        <v>45952</v>
      </c>
      <c r="D12028" t="inlineStr">
        <is>
          <t>VÄSTRA GÖTALANDS LÄN</t>
        </is>
      </c>
      <c r="E12028" t="inlineStr">
        <is>
          <t>MARK</t>
        </is>
      </c>
      <c r="G12028" t="n">
        <v>0.8</v>
      </c>
      <c r="H12028" t="n">
        <v>0</v>
      </c>
      <c r="I12028" t="n">
        <v>0</v>
      </c>
      <c r="J12028" t="n">
        <v>0</v>
      </c>
      <c r="K12028" t="n">
        <v>0</v>
      </c>
      <c r="L12028" t="n">
        <v>0</v>
      </c>
      <c r="M12028" t="n">
        <v>0</v>
      </c>
      <c r="N12028" t="n">
        <v>0</v>
      </c>
      <c r="O12028" t="n">
        <v>0</v>
      </c>
      <c r="P12028" t="n">
        <v>0</v>
      </c>
      <c r="Q12028" t="n">
        <v>0</v>
      </c>
      <c r="R12028" s="2" t="inlineStr"/>
    </row>
    <row r="12029" ht="15" customHeight="1">
      <c r="A12029" t="inlineStr">
        <is>
          <t>A 9471-2025</t>
        </is>
      </c>
      <c r="B12029" s="1" t="n">
        <v>45715.47013888889</v>
      </c>
      <c r="C12029" s="1" t="n">
        <v>45952</v>
      </c>
      <c r="D12029" t="inlineStr">
        <is>
          <t>VÄSTRA GÖTALANDS LÄN</t>
        </is>
      </c>
      <c r="E12029" t="inlineStr">
        <is>
          <t>BOLLEBYGD</t>
        </is>
      </c>
      <c r="G12029" t="n">
        <v>0.5</v>
      </c>
      <c r="H12029" t="n">
        <v>0</v>
      </c>
      <c r="I12029" t="n">
        <v>0</v>
      </c>
      <c r="J12029" t="n">
        <v>0</v>
      </c>
      <c r="K12029" t="n">
        <v>0</v>
      </c>
      <c r="L12029" t="n">
        <v>0</v>
      </c>
      <c r="M12029" t="n">
        <v>0</v>
      </c>
      <c r="N12029" t="n">
        <v>0</v>
      </c>
      <c r="O12029" t="n">
        <v>0</v>
      </c>
      <c r="P12029" t="n">
        <v>0</v>
      </c>
      <c r="Q12029" t="n">
        <v>0</v>
      </c>
      <c r="R12029" s="2" t="inlineStr"/>
    </row>
    <row r="12030" ht="15" customHeight="1">
      <c r="A12030" t="inlineStr">
        <is>
          <t>A 9851-2025</t>
        </is>
      </c>
      <c r="B12030" s="1" t="n">
        <v>45716</v>
      </c>
      <c r="C12030" s="1" t="n">
        <v>45952</v>
      </c>
      <c r="D12030" t="inlineStr">
        <is>
          <t>VÄSTRA GÖTALANDS LÄN</t>
        </is>
      </c>
      <c r="E12030" t="inlineStr">
        <is>
          <t>ALINGSÅS</t>
        </is>
      </c>
      <c r="G12030" t="n">
        <v>6.6</v>
      </c>
      <c r="H12030" t="n">
        <v>0</v>
      </c>
      <c r="I12030" t="n">
        <v>0</v>
      </c>
      <c r="J12030" t="n">
        <v>0</v>
      </c>
      <c r="K12030" t="n">
        <v>0</v>
      </c>
      <c r="L12030" t="n">
        <v>0</v>
      </c>
      <c r="M12030" t="n">
        <v>0</v>
      </c>
      <c r="N12030" t="n">
        <v>0</v>
      </c>
      <c r="O12030" t="n">
        <v>0</v>
      </c>
      <c r="P12030" t="n">
        <v>0</v>
      </c>
      <c r="Q12030" t="n">
        <v>0</v>
      </c>
      <c r="R12030" s="2" t="inlineStr"/>
    </row>
    <row r="12031" ht="15" customHeight="1">
      <c r="A12031" t="inlineStr">
        <is>
          <t>A 50043-2023</t>
        </is>
      </c>
      <c r="B12031" s="1" t="n">
        <v>45215.49396990741</v>
      </c>
      <c r="C12031" s="1" t="n">
        <v>45952</v>
      </c>
      <c r="D12031" t="inlineStr">
        <is>
          <t>VÄSTRA GÖTALANDS LÄN</t>
        </is>
      </c>
      <c r="E12031" t="inlineStr">
        <is>
          <t>SKARA</t>
        </is>
      </c>
      <c r="G12031" t="n">
        <v>0.4</v>
      </c>
      <c r="H12031" t="n">
        <v>0</v>
      </c>
      <c r="I12031" t="n">
        <v>0</v>
      </c>
      <c r="J12031" t="n">
        <v>0</v>
      </c>
      <c r="K12031" t="n">
        <v>0</v>
      </c>
      <c r="L12031" t="n">
        <v>0</v>
      </c>
      <c r="M12031" t="n">
        <v>0</v>
      </c>
      <c r="N12031" t="n">
        <v>0</v>
      </c>
      <c r="O12031" t="n">
        <v>0</v>
      </c>
      <c r="P12031" t="n">
        <v>0</v>
      </c>
      <c r="Q12031" t="n">
        <v>0</v>
      </c>
      <c r="R12031" s="2" t="inlineStr"/>
    </row>
    <row r="12032" ht="15" customHeight="1">
      <c r="A12032" t="inlineStr">
        <is>
          <t>A 30122-2025</t>
        </is>
      </c>
      <c r="B12032" s="1" t="n">
        <v>45826</v>
      </c>
      <c r="C12032" s="1" t="n">
        <v>45952</v>
      </c>
      <c r="D12032" t="inlineStr">
        <is>
          <t>VÄSTRA GÖTALANDS LÄN</t>
        </is>
      </c>
      <c r="E12032" t="inlineStr">
        <is>
          <t>MARK</t>
        </is>
      </c>
      <c r="F12032" t="inlineStr">
        <is>
          <t>Sveaskog</t>
        </is>
      </c>
      <c r="G12032" t="n">
        <v>4</v>
      </c>
      <c r="H12032" t="n">
        <v>0</v>
      </c>
      <c r="I12032" t="n">
        <v>0</v>
      </c>
      <c r="J12032" t="n">
        <v>0</v>
      </c>
      <c r="K12032" t="n">
        <v>0</v>
      </c>
      <c r="L12032" t="n">
        <v>0</v>
      </c>
      <c r="M12032" t="n">
        <v>0</v>
      </c>
      <c r="N12032" t="n">
        <v>0</v>
      </c>
      <c r="O12032" t="n">
        <v>0</v>
      </c>
      <c r="P12032" t="n">
        <v>0</v>
      </c>
      <c r="Q12032" t="n">
        <v>0</v>
      </c>
      <c r="R12032" s="2" t="inlineStr"/>
    </row>
    <row r="12033" ht="15" customHeight="1">
      <c r="A12033" t="inlineStr">
        <is>
          <t>A 13933-2025</t>
        </is>
      </c>
      <c r="B12033" s="1" t="n">
        <v>45737.67600694444</v>
      </c>
      <c r="C12033" s="1" t="n">
        <v>45952</v>
      </c>
      <c r="D12033" t="inlineStr">
        <is>
          <t>VÄSTRA GÖTALANDS LÄN</t>
        </is>
      </c>
      <c r="E12033" t="inlineStr">
        <is>
          <t>SVENLJUNGA</t>
        </is>
      </c>
      <c r="G12033" t="n">
        <v>4.6</v>
      </c>
      <c r="H12033" t="n">
        <v>0</v>
      </c>
      <c r="I12033" t="n">
        <v>0</v>
      </c>
      <c r="J12033" t="n">
        <v>0</v>
      </c>
      <c r="K12033" t="n">
        <v>0</v>
      </c>
      <c r="L12033" t="n">
        <v>0</v>
      </c>
      <c r="M12033" t="n">
        <v>0</v>
      </c>
      <c r="N12033" t="n">
        <v>0</v>
      </c>
      <c r="O12033" t="n">
        <v>0</v>
      </c>
      <c r="P12033" t="n">
        <v>0</v>
      </c>
      <c r="Q12033" t="n">
        <v>0</v>
      </c>
      <c r="R12033" s="2" t="inlineStr"/>
    </row>
    <row r="12034" ht="15" customHeight="1">
      <c r="A12034" t="inlineStr">
        <is>
          <t>A 15324-2025</t>
        </is>
      </c>
      <c r="B12034" s="1" t="n">
        <v>45747.3316550926</v>
      </c>
      <c r="C12034" s="1" t="n">
        <v>45952</v>
      </c>
      <c r="D12034" t="inlineStr">
        <is>
          <t>VÄSTRA GÖTALANDS LÄN</t>
        </is>
      </c>
      <c r="E12034" t="inlineStr">
        <is>
          <t>TRANEMO</t>
        </is>
      </c>
      <c r="G12034" t="n">
        <v>2.8</v>
      </c>
      <c r="H12034" t="n">
        <v>0</v>
      </c>
      <c r="I12034" t="n">
        <v>0</v>
      </c>
      <c r="J12034" t="n">
        <v>0</v>
      </c>
      <c r="K12034" t="n">
        <v>0</v>
      </c>
      <c r="L12034" t="n">
        <v>0</v>
      </c>
      <c r="M12034" t="n">
        <v>0</v>
      </c>
      <c r="N12034" t="n">
        <v>0</v>
      </c>
      <c r="O12034" t="n">
        <v>0</v>
      </c>
      <c r="P12034" t="n">
        <v>0</v>
      </c>
      <c r="Q12034" t="n">
        <v>0</v>
      </c>
      <c r="R12034" s="2" t="inlineStr"/>
    </row>
    <row r="12035" ht="15" customHeight="1">
      <c r="A12035" t="inlineStr">
        <is>
          <t>A 13923-2025</t>
        </is>
      </c>
      <c r="B12035" s="1" t="n">
        <v>45737.66050925926</v>
      </c>
      <c r="C12035" s="1" t="n">
        <v>45952</v>
      </c>
      <c r="D12035" t="inlineStr">
        <is>
          <t>VÄSTRA GÖTALANDS LÄN</t>
        </is>
      </c>
      <c r="E12035" t="inlineStr">
        <is>
          <t>MARK</t>
        </is>
      </c>
      <c r="G12035" t="n">
        <v>2.3</v>
      </c>
      <c r="H12035" t="n">
        <v>0</v>
      </c>
      <c r="I12035" t="n">
        <v>0</v>
      </c>
      <c r="J12035" t="n">
        <v>0</v>
      </c>
      <c r="K12035" t="n">
        <v>0</v>
      </c>
      <c r="L12035" t="n">
        <v>0</v>
      </c>
      <c r="M12035" t="n">
        <v>0</v>
      </c>
      <c r="N12035" t="n">
        <v>0</v>
      </c>
      <c r="O12035" t="n">
        <v>0</v>
      </c>
      <c r="P12035" t="n">
        <v>0</v>
      </c>
      <c r="Q12035" t="n">
        <v>0</v>
      </c>
      <c r="R12035" s="2" t="inlineStr"/>
    </row>
    <row r="12036" ht="15" customHeight="1">
      <c r="A12036" t="inlineStr">
        <is>
          <t>A 13935-2025</t>
        </is>
      </c>
      <c r="B12036" s="1" t="n">
        <v>45737.67806712963</v>
      </c>
      <c r="C12036" s="1" t="n">
        <v>45952</v>
      </c>
      <c r="D12036" t="inlineStr">
        <is>
          <t>VÄSTRA GÖTALANDS LÄN</t>
        </is>
      </c>
      <c r="E12036" t="inlineStr">
        <is>
          <t>SVENLJUNGA</t>
        </is>
      </c>
      <c r="G12036" t="n">
        <v>3.1</v>
      </c>
      <c r="H12036" t="n">
        <v>0</v>
      </c>
      <c r="I12036" t="n">
        <v>0</v>
      </c>
      <c r="J12036" t="n">
        <v>0</v>
      </c>
      <c r="K12036" t="n">
        <v>0</v>
      </c>
      <c r="L12036" t="n">
        <v>0</v>
      </c>
      <c r="M12036" t="n">
        <v>0</v>
      </c>
      <c r="N12036" t="n">
        <v>0</v>
      </c>
      <c r="O12036" t="n">
        <v>0</v>
      </c>
      <c r="P12036" t="n">
        <v>0</v>
      </c>
      <c r="Q12036" t="n">
        <v>0</v>
      </c>
      <c r="R12036" s="2" t="inlineStr"/>
    </row>
    <row r="12037" ht="15" customHeight="1">
      <c r="A12037" t="inlineStr">
        <is>
          <t>A 14935-2025</t>
        </is>
      </c>
      <c r="B12037" s="1" t="n">
        <v>45743.55704861111</v>
      </c>
      <c r="C12037" s="1" t="n">
        <v>45952</v>
      </c>
      <c r="D12037" t="inlineStr">
        <is>
          <t>VÄSTRA GÖTALANDS LÄN</t>
        </is>
      </c>
      <c r="E12037" t="inlineStr">
        <is>
          <t>ULRICEHAMN</t>
        </is>
      </c>
      <c r="G12037" t="n">
        <v>7</v>
      </c>
      <c r="H12037" t="n">
        <v>0</v>
      </c>
      <c r="I12037" t="n">
        <v>0</v>
      </c>
      <c r="J12037" t="n">
        <v>0</v>
      </c>
      <c r="K12037" t="n">
        <v>0</v>
      </c>
      <c r="L12037" t="n">
        <v>0</v>
      </c>
      <c r="M12037" t="n">
        <v>0</v>
      </c>
      <c r="N12037" t="n">
        <v>0</v>
      </c>
      <c r="O12037" t="n">
        <v>0</v>
      </c>
      <c r="P12037" t="n">
        <v>0</v>
      </c>
      <c r="Q12037" t="n">
        <v>0</v>
      </c>
      <c r="R12037" s="2" t="inlineStr"/>
    </row>
    <row r="12038" ht="15" customHeight="1">
      <c r="A12038" t="inlineStr">
        <is>
          <t>A 14943-2025</t>
        </is>
      </c>
      <c r="B12038" s="1" t="n">
        <v>45743.56715277778</v>
      </c>
      <c r="C12038" s="1" t="n">
        <v>45952</v>
      </c>
      <c r="D12038" t="inlineStr">
        <is>
          <t>VÄSTRA GÖTALANDS LÄN</t>
        </is>
      </c>
      <c r="E12038" t="inlineStr">
        <is>
          <t>ULRICEHAMN</t>
        </is>
      </c>
      <c r="G12038" t="n">
        <v>1.6</v>
      </c>
      <c r="H12038" t="n">
        <v>0</v>
      </c>
      <c r="I12038" t="n">
        <v>0</v>
      </c>
      <c r="J12038" t="n">
        <v>0</v>
      </c>
      <c r="K12038" t="n">
        <v>0</v>
      </c>
      <c r="L12038" t="n">
        <v>0</v>
      </c>
      <c r="M12038" t="n">
        <v>0</v>
      </c>
      <c r="N12038" t="n">
        <v>0</v>
      </c>
      <c r="O12038" t="n">
        <v>0</v>
      </c>
      <c r="P12038" t="n">
        <v>0</v>
      </c>
      <c r="Q12038" t="n">
        <v>0</v>
      </c>
      <c r="R12038" s="2" t="inlineStr"/>
    </row>
    <row r="12039" ht="15" customHeight="1">
      <c r="A12039" t="inlineStr">
        <is>
          <t>A 29987-2025</t>
        </is>
      </c>
      <c r="B12039" s="1" t="n">
        <v>45826</v>
      </c>
      <c r="C12039" s="1" t="n">
        <v>45952</v>
      </c>
      <c r="D12039" t="inlineStr">
        <is>
          <t>VÄSTRA GÖTALANDS LÄN</t>
        </is>
      </c>
      <c r="E12039" t="inlineStr">
        <is>
          <t>ÅMÅL</t>
        </is>
      </c>
      <c r="G12039" t="n">
        <v>1.1</v>
      </c>
      <c r="H12039" t="n">
        <v>0</v>
      </c>
      <c r="I12039" t="n">
        <v>0</v>
      </c>
      <c r="J12039" t="n">
        <v>0</v>
      </c>
      <c r="K12039" t="n">
        <v>0</v>
      </c>
      <c r="L12039" t="n">
        <v>0</v>
      </c>
      <c r="M12039" t="n">
        <v>0</v>
      </c>
      <c r="N12039" t="n">
        <v>0</v>
      </c>
      <c r="O12039" t="n">
        <v>0</v>
      </c>
      <c r="P12039" t="n">
        <v>0</v>
      </c>
      <c r="Q12039" t="n">
        <v>0</v>
      </c>
      <c r="R12039" s="2" t="inlineStr"/>
    </row>
    <row r="12040" ht="15" customHeight="1">
      <c r="A12040" t="inlineStr">
        <is>
          <t>A 57913-2024</t>
        </is>
      </c>
      <c r="B12040" s="1" t="n">
        <v>45631.49569444444</v>
      </c>
      <c r="C12040" s="1" t="n">
        <v>45952</v>
      </c>
      <c r="D12040" t="inlineStr">
        <is>
          <t>VÄSTRA GÖTALANDS LÄN</t>
        </is>
      </c>
      <c r="E12040" t="inlineStr">
        <is>
          <t>KARLSBORG</t>
        </is>
      </c>
      <c r="F12040" t="inlineStr">
        <is>
          <t>Sveaskog</t>
        </is>
      </c>
      <c r="G12040" t="n">
        <v>1.2</v>
      </c>
      <c r="H12040" t="n">
        <v>0</v>
      </c>
      <c r="I12040" t="n">
        <v>0</v>
      </c>
      <c r="J12040" t="n">
        <v>0</v>
      </c>
      <c r="K12040" t="n">
        <v>0</v>
      </c>
      <c r="L12040" t="n">
        <v>0</v>
      </c>
      <c r="M12040" t="n">
        <v>0</v>
      </c>
      <c r="N12040" t="n">
        <v>0</v>
      </c>
      <c r="O12040" t="n">
        <v>0</v>
      </c>
      <c r="P12040" t="n">
        <v>0</v>
      </c>
      <c r="Q12040" t="n">
        <v>0</v>
      </c>
      <c r="R12040" s="2" t="inlineStr"/>
    </row>
    <row r="12041" ht="15" customHeight="1">
      <c r="A12041" t="inlineStr">
        <is>
          <t>A 10924-2025</t>
        </is>
      </c>
      <c r="B12041" s="1" t="n">
        <v>45722.83402777778</v>
      </c>
      <c r="C12041" s="1" t="n">
        <v>45952</v>
      </c>
      <c r="D12041" t="inlineStr">
        <is>
          <t>VÄSTRA GÖTALANDS LÄN</t>
        </is>
      </c>
      <c r="E12041" t="inlineStr">
        <is>
          <t>VÅRGÅRDA</t>
        </is>
      </c>
      <c r="G12041" t="n">
        <v>1.8</v>
      </c>
      <c r="H12041" t="n">
        <v>0</v>
      </c>
      <c r="I12041" t="n">
        <v>0</v>
      </c>
      <c r="J12041" t="n">
        <v>0</v>
      </c>
      <c r="K12041" t="n">
        <v>0</v>
      </c>
      <c r="L12041" t="n">
        <v>0</v>
      </c>
      <c r="M12041" t="n">
        <v>0</v>
      </c>
      <c r="N12041" t="n">
        <v>0</v>
      </c>
      <c r="O12041" t="n">
        <v>0</v>
      </c>
      <c r="P12041" t="n">
        <v>0</v>
      </c>
      <c r="Q12041" t="n">
        <v>0</v>
      </c>
      <c r="R12041" s="2" t="inlineStr"/>
    </row>
    <row r="12042" ht="15" customHeight="1">
      <c r="A12042" t="inlineStr">
        <is>
          <t>A 10941-2025</t>
        </is>
      </c>
      <c r="B12042" s="1" t="n">
        <v>45723.30767361111</v>
      </c>
      <c r="C12042" s="1" t="n">
        <v>45952</v>
      </c>
      <c r="D12042" t="inlineStr">
        <is>
          <t>VÄSTRA GÖTALANDS LÄN</t>
        </is>
      </c>
      <c r="E12042" t="inlineStr">
        <is>
          <t>SVENLJUNGA</t>
        </is>
      </c>
      <c r="F12042" t="inlineStr">
        <is>
          <t>Sveaskog</t>
        </is>
      </c>
      <c r="G12042" t="n">
        <v>2.9</v>
      </c>
      <c r="H12042" t="n">
        <v>0</v>
      </c>
      <c r="I12042" t="n">
        <v>0</v>
      </c>
      <c r="J12042" t="n">
        <v>0</v>
      </c>
      <c r="K12042" t="n">
        <v>0</v>
      </c>
      <c r="L12042" t="n">
        <v>0</v>
      </c>
      <c r="M12042" t="n">
        <v>0</v>
      </c>
      <c r="N12042" t="n">
        <v>0</v>
      </c>
      <c r="O12042" t="n">
        <v>0</v>
      </c>
      <c r="P12042" t="n">
        <v>0</v>
      </c>
      <c r="Q12042" t="n">
        <v>0</v>
      </c>
      <c r="R12042" s="2" t="inlineStr"/>
    </row>
    <row r="12043" ht="15" customHeight="1">
      <c r="A12043" t="inlineStr">
        <is>
          <t>A 13547-2025</t>
        </is>
      </c>
      <c r="B12043" s="1" t="n">
        <v>45736.53746527778</v>
      </c>
      <c r="C12043" s="1" t="n">
        <v>45952</v>
      </c>
      <c r="D12043" t="inlineStr">
        <is>
          <t>VÄSTRA GÖTALANDS LÄN</t>
        </is>
      </c>
      <c r="E12043" t="inlineStr">
        <is>
          <t>SVENLJUNGA</t>
        </is>
      </c>
      <c r="G12043" t="n">
        <v>1.5</v>
      </c>
      <c r="H12043" t="n">
        <v>0</v>
      </c>
      <c r="I12043" t="n">
        <v>0</v>
      </c>
      <c r="J12043" t="n">
        <v>0</v>
      </c>
      <c r="K12043" t="n">
        <v>0</v>
      </c>
      <c r="L12043" t="n">
        <v>0</v>
      </c>
      <c r="M12043" t="n">
        <v>0</v>
      </c>
      <c r="N12043" t="n">
        <v>0</v>
      </c>
      <c r="O12043" t="n">
        <v>0</v>
      </c>
      <c r="P12043" t="n">
        <v>0</v>
      </c>
      <c r="Q12043" t="n">
        <v>0</v>
      </c>
      <c r="R12043" s="2" t="inlineStr"/>
    </row>
    <row r="12044" ht="15" customHeight="1">
      <c r="A12044" t="inlineStr">
        <is>
          <t>A 13586-2025</t>
        </is>
      </c>
      <c r="B12044" s="1" t="n">
        <v>45736.59434027778</v>
      </c>
      <c r="C12044" s="1" t="n">
        <v>45952</v>
      </c>
      <c r="D12044" t="inlineStr">
        <is>
          <t>VÄSTRA GÖTALANDS LÄN</t>
        </is>
      </c>
      <c r="E12044" t="inlineStr">
        <is>
          <t>HÄRRYDA</t>
        </is>
      </c>
      <c r="G12044" t="n">
        <v>2.4</v>
      </c>
      <c r="H12044" t="n">
        <v>0</v>
      </c>
      <c r="I12044" t="n">
        <v>0</v>
      </c>
      <c r="J12044" t="n">
        <v>0</v>
      </c>
      <c r="K12044" t="n">
        <v>0</v>
      </c>
      <c r="L12044" t="n">
        <v>0</v>
      </c>
      <c r="M12044" t="n">
        <v>0</v>
      </c>
      <c r="N12044" t="n">
        <v>0</v>
      </c>
      <c r="O12044" t="n">
        <v>0</v>
      </c>
      <c r="P12044" t="n">
        <v>0</v>
      </c>
      <c r="Q12044" t="n">
        <v>0</v>
      </c>
      <c r="R12044" s="2" t="inlineStr"/>
    </row>
    <row r="12045" ht="15" customHeight="1">
      <c r="A12045" t="inlineStr">
        <is>
          <t>A 13987-2025</t>
        </is>
      </c>
      <c r="B12045" s="1" t="n">
        <v>45739.38702546297</v>
      </c>
      <c r="C12045" s="1" t="n">
        <v>45952</v>
      </c>
      <c r="D12045" t="inlineStr">
        <is>
          <t>VÄSTRA GÖTALANDS LÄN</t>
        </is>
      </c>
      <c r="E12045" t="inlineStr">
        <is>
          <t>SVENLJUNGA</t>
        </is>
      </c>
      <c r="G12045" t="n">
        <v>6.9</v>
      </c>
      <c r="H12045" t="n">
        <v>0</v>
      </c>
      <c r="I12045" t="n">
        <v>0</v>
      </c>
      <c r="J12045" t="n">
        <v>0</v>
      </c>
      <c r="K12045" t="n">
        <v>0</v>
      </c>
      <c r="L12045" t="n">
        <v>0</v>
      </c>
      <c r="M12045" t="n">
        <v>0</v>
      </c>
      <c r="N12045" t="n">
        <v>0</v>
      </c>
      <c r="O12045" t="n">
        <v>0</v>
      </c>
      <c r="P12045" t="n">
        <v>0</v>
      </c>
      <c r="Q12045" t="n">
        <v>0</v>
      </c>
      <c r="R12045" s="2" t="inlineStr"/>
    </row>
    <row r="12046" ht="15" customHeight="1">
      <c r="A12046" t="inlineStr">
        <is>
          <t>A 14006-2025</t>
        </is>
      </c>
      <c r="B12046" s="1" t="n">
        <v>45740.30222222222</v>
      </c>
      <c r="C12046" s="1" t="n">
        <v>45952</v>
      </c>
      <c r="D12046" t="inlineStr">
        <is>
          <t>VÄSTRA GÖTALANDS LÄN</t>
        </is>
      </c>
      <c r="E12046" t="inlineStr">
        <is>
          <t>TRANEMO</t>
        </is>
      </c>
      <c r="G12046" t="n">
        <v>0.6</v>
      </c>
      <c r="H12046" t="n">
        <v>0</v>
      </c>
      <c r="I12046" t="n">
        <v>0</v>
      </c>
      <c r="J12046" t="n">
        <v>0</v>
      </c>
      <c r="K12046" t="n">
        <v>0</v>
      </c>
      <c r="L12046" t="n">
        <v>0</v>
      </c>
      <c r="M12046" t="n">
        <v>0</v>
      </c>
      <c r="N12046" t="n">
        <v>0</v>
      </c>
      <c r="O12046" t="n">
        <v>0</v>
      </c>
      <c r="P12046" t="n">
        <v>0</v>
      </c>
      <c r="Q12046" t="n">
        <v>0</v>
      </c>
      <c r="R12046" s="2" t="inlineStr"/>
    </row>
    <row r="12047" ht="15" customHeight="1">
      <c r="A12047" t="inlineStr">
        <is>
          <t>A 14128-2025</t>
        </is>
      </c>
      <c r="B12047" s="1" t="n">
        <v>45740.47094907407</v>
      </c>
      <c r="C12047" s="1" t="n">
        <v>45952</v>
      </c>
      <c r="D12047" t="inlineStr">
        <is>
          <t>VÄSTRA GÖTALANDS LÄN</t>
        </is>
      </c>
      <c r="E12047" t="inlineStr">
        <is>
          <t>MARK</t>
        </is>
      </c>
      <c r="G12047" t="n">
        <v>1</v>
      </c>
      <c r="H12047" t="n">
        <v>0</v>
      </c>
      <c r="I12047" t="n">
        <v>0</v>
      </c>
      <c r="J12047" t="n">
        <v>0</v>
      </c>
      <c r="K12047" t="n">
        <v>0</v>
      </c>
      <c r="L12047" t="n">
        <v>0</v>
      </c>
      <c r="M12047" t="n">
        <v>0</v>
      </c>
      <c r="N12047" t="n">
        <v>0</v>
      </c>
      <c r="O12047" t="n">
        <v>0</v>
      </c>
      <c r="P12047" t="n">
        <v>0</v>
      </c>
      <c r="Q12047" t="n">
        <v>0</v>
      </c>
      <c r="R12047" s="2" t="inlineStr"/>
    </row>
    <row r="12048" ht="15" customHeight="1">
      <c r="A12048" t="inlineStr">
        <is>
          <t>A 14379-2025</t>
        </is>
      </c>
      <c r="B12048" s="1" t="n">
        <v>45741</v>
      </c>
      <c r="C12048" s="1" t="n">
        <v>45952</v>
      </c>
      <c r="D12048" t="inlineStr">
        <is>
          <t>VÄSTRA GÖTALANDS LÄN</t>
        </is>
      </c>
      <c r="E12048" t="inlineStr">
        <is>
          <t>BORÅS</t>
        </is>
      </c>
      <c r="G12048" t="n">
        <v>0.8</v>
      </c>
      <c r="H12048" t="n">
        <v>0</v>
      </c>
      <c r="I12048" t="n">
        <v>0</v>
      </c>
      <c r="J12048" t="n">
        <v>0</v>
      </c>
      <c r="K12048" t="n">
        <v>0</v>
      </c>
      <c r="L12048" t="n">
        <v>0</v>
      </c>
      <c r="M12048" t="n">
        <v>0</v>
      </c>
      <c r="N12048" t="n">
        <v>0</v>
      </c>
      <c r="O12048" t="n">
        <v>0</v>
      </c>
      <c r="P12048" t="n">
        <v>0</v>
      </c>
      <c r="Q12048" t="n">
        <v>0</v>
      </c>
      <c r="R12048" s="2" t="inlineStr"/>
    </row>
    <row r="12049" ht="15" customHeight="1">
      <c r="A12049" t="inlineStr">
        <is>
          <t>A 58855-2024</t>
        </is>
      </c>
      <c r="B12049" s="1" t="n">
        <v>45636.39221064815</v>
      </c>
      <c r="C12049" s="1" t="n">
        <v>45952</v>
      </c>
      <c r="D12049" t="inlineStr">
        <is>
          <t>VÄSTRA GÖTALANDS LÄN</t>
        </is>
      </c>
      <c r="E12049" t="inlineStr">
        <is>
          <t>DALS-ED</t>
        </is>
      </c>
      <c r="G12049" t="n">
        <v>0.3</v>
      </c>
      <c r="H12049" t="n">
        <v>0</v>
      </c>
      <c r="I12049" t="n">
        <v>0</v>
      </c>
      <c r="J12049" t="n">
        <v>0</v>
      </c>
      <c r="K12049" t="n">
        <v>0</v>
      </c>
      <c r="L12049" t="n">
        <v>0</v>
      </c>
      <c r="M12049" t="n">
        <v>0</v>
      </c>
      <c r="N12049" t="n">
        <v>0</v>
      </c>
      <c r="O12049" t="n">
        <v>0</v>
      </c>
      <c r="P12049" t="n">
        <v>0</v>
      </c>
      <c r="Q12049" t="n">
        <v>0</v>
      </c>
      <c r="R12049" s="2" t="inlineStr"/>
    </row>
    <row r="12050" ht="15" customHeight="1">
      <c r="A12050" t="inlineStr">
        <is>
          <t>A 30228-2025</t>
        </is>
      </c>
      <c r="B12050" s="1" t="n">
        <v>45827</v>
      </c>
      <c r="C12050" s="1" t="n">
        <v>45952</v>
      </c>
      <c r="D12050" t="inlineStr">
        <is>
          <t>VÄSTRA GÖTALANDS LÄN</t>
        </is>
      </c>
      <c r="E12050" t="inlineStr">
        <is>
          <t>SVENLJUNGA</t>
        </is>
      </c>
      <c r="G12050" t="n">
        <v>0.7</v>
      </c>
      <c r="H12050" t="n">
        <v>0</v>
      </c>
      <c r="I12050" t="n">
        <v>0</v>
      </c>
      <c r="J12050" t="n">
        <v>0</v>
      </c>
      <c r="K12050" t="n">
        <v>0</v>
      </c>
      <c r="L12050" t="n">
        <v>0</v>
      </c>
      <c r="M12050" t="n">
        <v>0</v>
      </c>
      <c r="N12050" t="n">
        <v>0</v>
      </c>
      <c r="O12050" t="n">
        <v>0</v>
      </c>
      <c r="P12050" t="n">
        <v>0</v>
      </c>
      <c r="Q12050" t="n">
        <v>0</v>
      </c>
      <c r="R12050" s="2" t="inlineStr"/>
    </row>
    <row r="12051" ht="15" customHeight="1">
      <c r="A12051" t="inlineStr">
        <is>
          <t>A 29890-2025</t>
        </is>
      </c>
      <c r="B12051" s="1" t="n">
        <v>45826.37506944445</v>
      </c>
      <c r="C12051" s="1" t="n">
        <v>45952</v>
      </c>
      <c r="D12051" t="inlineStr">
        <is>
          <t>VÄSTRA GÖTALANDS LÄN</t>
        </is>
      </c>
      <c r="E12051" t="inlineStr">
        <is>
          <t>UDDEVALLA</t>
        </is>
      </c>
      <c r="G12051" t="n">
        <v>9.800000000000001</v>
      </c>
      <c r="H12051" t="n">
        <v>0</v>
      </c>
      <c r="I12051" t="n">
        <v>0</v>
      </c>
      <c r="J12051" t="n">
        <v>0</v>
      </c>
      <c r="K12051" t="n">
        <v>0</v>
      </c>
      <c r="L12051" t="n">
        <v>0</v>
      </c>
      <c r="M12051" t="n">
        <v>0</v>
      </c>
      <c r="N12051" t="n">
        <v>0</v>
      </c>
      <c r="O12051" t="n">
        <v>0</v>
      </c>
      <c r="P12051" t="n">
        <v>0</v>
      </c>
      <c r="Q12051" t="n">
        <v>0</v>
      </c>
      <c r="R12051" s="2" t="inlineStr"/>
    </row>
    <row r="12052" ht="15" customHeight="1">
      <c r="A12052" t="inlineStr">
        <is>
          <t>A 13903-2025</t>
        </is>
      </c>
      <c r="B12052" s="1" t="n">
        <v>45737.63481481482</v>
      </c>
      <c r="C12052" s="1" t="n">
        <v>45952</v>
      </c>
      <c r="D12052" t="inlineStr">
        <is>
          <t>VÄSTRA GÖTALANDS LÄN</t>
        </is>
      </c>
      <c r="E12052" t="inlineStr">
        <is>
          <t>ALE</t>
        </is>
      </c>
      <c r="G12052" t="n">
        <v>0.5</v>
      </c>
      <c r="H12052" t="n">
        <v>0</v>
      </c>
      <c r="I12052" t="n">
        <v>0</v>
      </c>
      <c r="J12052" t="n">
        <v>0</v>
      </c>
      <c r="K12052" t="n">
        <v>0</v>
      </c>
      <c r="L12052" t="n">
        <v>0</v>
      </c>
      <c r="M12052" t="n">
        <v>0</v>
      </c>
      <c r="N12052" t="n">
        <v>0</v>
      </c>
      <c r="O12052" t="n">
        <v>0</v>
      </c>
      <c r="P12052" t="n">
        <v>0</v>
      </c>
      <c r="Q12052" t="n">
        <v>0</v>
      </c>
      <c r="R12052" s="2" t="inlineStr"/>
    </row>
    <row r="12053" ht="15" customHeight="1">
      <c r="A12053" t="inlineStr">
        <is>
          <t>A 14032-2025</t>
        </is>
      </c>
      <c r="B12053" s="1" t="n">
        <v>45740.35876157408</v>
      </c>
      <c r="C12053" s="1" t="n">
        <v>45952</v>
      </c>
      <c r="D12053" t="inlineStr">
        <is>
          <t>VÄSTRA GÖTALANDS LÄN</t>
        </is>
      </c>
      <c r="E12053" t="inlineStr">
        <is>
          <t>BOLLEBYGD</t>
        </is>
      </c>
      <c r="G12053" t="n">
        <v>1.9</v>
      </c>
      <c r="H12053" t="n">
        <v>0</v>
      </c>
      <c r="I12053" t="n">
        <v>0</v>
      </c>
      <c r="J12053" t="n">
        <v>0</v>
      </c>
      <c r="K12053" t="n">
        <v>0</v>
      </c>
      <c r="L12053" t="n">
        <v>0</v>
      </c>
      <c r="M12053" t="n">
        <v>0</v>
      </c>
      <c r="N12053" t="n">
        <v>0</v>
      </c>
      <c r="O12053" t="n">
        <v>0</v>
      </c>
      <c r="P12053" t="n">
        <v>0</v>
      </c>
      <c r="Q12053" t="n">
        <v>0</v>
      </c>
      <c r="R12053" s="2" t="inlineStr"/>
    </row>
    <row r="12054" ht="15" customHeight="1">
      <c r="A12054" t="inlineStr">
        <is>
          <t>A 10291-2025</t>
        </is>
      </c>
      <c r="B12054" s="1" t="n">
        <v>45720.42122685185</v>
      </c>
      <c r="C12054" s="1" t="n">
        <v>45952</v>
      </c>
      <c r="D12054" t="inlineStr">
        <is>
          <t>VÄSTRA GÖTALANDS LÄN</t>
        </is>
      </c>
      <c r="E12054" t="inlineStr">
        <is>
          <t>BORÅS</t>
        </is>
      </c>
      <c r="G12054" t="n">
        <v>4.4</v>
      </c>
      <c r="H12054" t="n">
        <v>0</v>
      </c>
      <c r="I12054" t="n">
        <v>0</v>
      </c>
      <c r="J12054" t="n">
        <v>0</v>
      </c>
      <c r="K12054" t="n">
        <v>0</v>
      </c>
      <c r="L12054" t="n">
        <v>0</v>
      </c>
      <c r="M12054" t="n">
        <v>0</v>
      </c>
      <c r="N12054" t="n">
        <v>0</v>
      </c>
      <c r="O12054" t="n">
        <v>0</v>
      </c>
      <c r="P12054" t="n">
        <v>0</v>
      </c>
      <c r="Q12054" t="n">
        <v>0</v>
      </c>
      <c r="R12054" s="2" t="inlineStr"/>
    </row>
    <row r="12055" ht="15" customHeight="1">
      <c r="A12055" t="inlineStr">
        <is>
          <t>A 14948-2025</t>
        </is>
      </c>
      <c r="B12055" s="1" t="n">
        <v>45743.57358796296</v>
      </c>
      <c r="C12055" s="1" t="n">
        <v>45952</v>
      </c>
      <c r="D12055" t="inlineStr">
        <is>
          <t>VÄSTRA GÖTALANDS LÄN</t>
        </is>
      </c>
      <c r="E12055" t="inlineStr">
        <is>
          <t>ULRICEHAMN</t>
        </is>
      </c>
      <c r="G12055" t="n">
        <v>0.9</v>
      </c>
      <c r="H12055" t="n">
        <v>0</v>
      </c>
      <c r="I12055" t="n">
        <v>0</v>
      </c>
      <c r="J12055" t="n">
        <v>0</v>
      </c>
      <c r="K12055" t="n">
        <v>0</v>
      </c>
      <c r="L12055" t="n">
        <v>0</v>
      </c>
      <c r="M12055" t="n">
        <v>0</v>
      </c>
      <c r="N12055" t="n">
        <v>0</v>
      </c>
      <c r="O12055" t="n">
        <v>0</v>
      </c>
      <c r="P12055" t="n">
        <v>0</v>
      </c>
      <c r="Q12055" t="n">
        <v>0</v>
      </c>
      <c r="R12055" s="2" t="inlineStr"/>
    </row>
    <row r="12056" ht="15" customHeight="1">
      <c r="A12056" t="inlineStr">
        <is>
          <t>A 14996-2025</t>
        </is>
      </c>
      <c r="B12056" s="1" t="n">
        <v>45743.61261574074</v>
      </c>
      <c r="C12056" s="1" t="n">
        <v>45952</v>
      </c>
      <c r="D12056" t="inlineStr">
        <is>
          <t>VÄSTRA GÖTALANDS LÄN</t>
        </is>
      </c>
      <c r="E12056" t="inlineStr">
        <is>
          <t>MARK</t>
        </is>
      </c>
      <c r="G12056" t="n">
        <v>0.8</v>
      </c>
      <c r="H12056" t="n">
        <v>0</v>
      </c>
      <c r="I12056" t="n">
        <v>0</v>
      </c>
      <c r="J12056" t="n">
        <v>0</v>
      </c>
      <c r="K12056" t="n">
        <v>0</v>
      </c>
      <c r="L12056" t="n">
        <v>0</v>
      </c>
      <c r="M12056" t="n">
        <v>0</v>
      </c>
      <c r="N12056" t="n">
        <v>0</v>
      </c>
      <c r="O12056" t="n">
        <v>0</v>
      </c>
      <c r="P12056" t="n">
        <v>0</v>
      </c>
      <c r="Q12056" t="n">
        <v>0</v>
      </c>
      <c r="R12056" s="2" t="inlineStr"/>
    </row>
    <row r="12057" ht="15" customHeight="1">
      <c r="A12057" t="inlineStr">
        <is>
          <t>A 14999-2025</t>
        </is>
      </c>
      <c r="B12057" s="1" t="n">
        <v>45743.61517361111</v>
      </c>
      <c r="C12057" s="1" t="n">
        <v>45952</v>
      </c>
      <c r="D12057" t="inlineStr">
        <is>
          <t>VÄSTRA GÖTALANDS LÄN</t>
        </is>
      </c>
      <c r="E12057" t="inlineStr">
        <is>
          <t>MARK</t>
        </is>
      </c>
      <c r="G12057" t="n">
        <v>1.3</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12033-2025</t>
        </is>
      </c>
      <c r="B12058" s="1" t="n">
        <v>45728.64533564815</v>
      </c>
      <c r="C12058" s="1" t="n">
        <v>45952</v>
      </c>
      <c r="D12058" t="inlineStr">
        <is>
          <t>VÄSTRA GÖTALANDS LÄN</t>
        </is>
      </c>
      <c r="E12058" t="inlineStr">
        <is>
          <t>HERRLJUNGA</t>
        </is>
      </c>
      <c r="G12058" t="n">
        <v>0.6</v>
      </c>
      <c r="H12058" t="n">
        <v>0</v>
      </c>
      <c r="I12058" t="n">
        <v>0</v>
      </c>
      <c r="J12058" t="n">
        <v>0</v>
      </c>
      <c r="K12058" t="n">
        <v>0</v>
      </c>
      <c r="L12058" t="n">
        <v>0</v>
      </c>
      <c r="M12058" t="n">
        <v>0</v>
      </c>
      <c r="N12058" t="n">
        <v>0</v>
      </c>
      <c r="O12058" t="n">
        <v>0</v>
      </c>
      <c r="P12058" t="n">
        <v>0</v>
      </c>
      <c r="Q12058" t="n">
        <v>0</v>
      </c>
      <c r="R12058" s="2" t="inlineStr"/>
    </row>
    <row r="12059" ht="15" customHeight="1">
      <c r="A12059" t="inlineStr">
        <is>
          <t>A 12472-2025</t>
        </is>
      </c>
      <c r="B12059" s="1" t="n">
        <v>45730.55692129629</v>
      </c>
      <c r="C12059" s="1" t="n">
        <v>45952</v>
      </c>
      <c r="D12059" t="inlineStr">
        <is>
          <t>VÄSTRA GÖTALANDS LÄN</t>
        </is>
      </c>
      <c r="E12059" t="inlineStr">
        <is>
          <t>SVENLJUNGA</t>
        </is>
      </c>
      <c r="G12059" t="n">
        <v>1.7</v>
      </c>
      <c r="H12059" t="n">
        <v>0</v>
      </c>
      <c r="I12059" t="n">
        <v>0</v>
      </c>
      <c r="J12059" t="n">
        <v>0</v>
      </c>
      <c r="K12059" t="n">
        <v>0</v>
      </c>
      <c r="L12059" t="n">
        <v>0</v>
      </c>
      <c r="M12059" t="n">
        <v>0</v>
      </c>
      <c r="N12059" t="n">
        <v>0</v>
      </c>
      <c r="O12059" t="n">
        <v>0</v>
      </c>
      <c r="P12059" t="n">
        <v>0</v>
      </c>
      <c r="Q12059" t="n">
        <v>0</v>
      </c>
      <c r="R12059" s="2" t="inlineStr"/>
    </row>
    <row r="12060" ht="15" customHeight="1">
      <c r="A12060" t="inlineStr">
        <is>
          <t>A 14599-2025</t>
        </is>
      </c>
      <c r="B12060" s="1" t="n">
        <v>45742.36256944444</v>
      </c>
      <c r="C12060" s="1" t="n">
        <v>45952</v>
      </c>
      <c r="D12060" t="inlineStr">
        <is>
          <t>VÄSTRA GÖTALANDS LÄN</t>
        </is>
      </c>
      <c r="E12060" t="inlineStr">
        <is>
          <t>ULRICEHAMN</t>
        </is>
      </c>
      <c r="G12060" t="n">
        <v>1.5</v>
      </c>
      <c r="H12060" t="n">
        <v>0</v>
      </c>
      <c r="I12060" t="n">
        <v>0</v>
      </c>
      <c r="J12060" t="n">
        <v>0</v>
      </c>
      <c r="K12060" t="n">
        <v>0</v>
      </c>
      <c r="L12060" t="n">
        <v>0</v>
      </c>
      <c r="M12060" t="n">
        <v>0</v>
      </c>
      <c r="N12060" t="n">
        <v>0</v>
      </c>
      <c r="O12060" t="n">
        <v>0</v>
      </c>
      <c r="P12060" t="n">
        <v>0</v>
      </c>
      <c r="Q12060" t="n">
        <v>0</v>
      </c>
      <c r="R12060" s="2" t="inlineStr"/>
    </row>
    <row r="12061" ht="15" customHeight="1">
      <c r="A12061" t="inlineStr">
        <is>
          <t>A 30008-2025</t>
        </is>
      </c>
      <c r="B12061" s="1" t="n">
        <v>45826.53549768519</v>
      </c>
      <c r="C12061" s="1" t="n">
        <v>45952</v>
      </c>
      <c r="D12061" t="inlineStr">
        <is>
          <t>VÄSTRA GÖTALANDS LÄN</t>
        </is>
      </c>
      <c r="E12061" t="inlineStr">
        <is>
          <t>MUNKEDAL</t>
        </is>
      </c>
      <c r="G12061" t="n">
        <v>1.4</v>
      </c>
      <c r="H12061" t="n">
        <v>0</v>
      </c>
      <c r="I12061" t="n">
        <v>0</v>
      </c>
      <c r="J12061" t="n">
        <v>0</v>
      </c>
      <c r="K12061" t="n">
        <v>0</v>
      </c>
      <c r="L12061" t="n">
        <v>0</v>
      </c>
      <c r="M12061" t="n">
        <v>0</v>
      </c>
      <c r="N12061" t="n">
        <v>0</v>
      </c>
      <c r="O12061" t="n">
        <v>0</v>
      </c>
      <c r="P12061" t="n">
        <v>0</v>
      </c>
      <c r="Q12061" t="n">
        <v>0</v>
      </c>
      <c r="R12061" s="2" t="inlineStr"/>
    </row>
    <row r="12062" ht="15" customHeight="1">
      <c r="A12062" t="inlineStr">
        <is>
          <t>A 30066-2025</t>
        </is>
      </c>
      <c r="B12062" s="1" t="n">
        <v>45826.62505787037</v>
      </c>
      <c r="C12062" s="1" t="n">
        <v>45952</v>
      </c>
      <c r="D12062" t="inlineStr">
        <is>
          <t>VÄSTRA GÖTALANDS LÄN</t>
        </is>
      </c>
      <c r="E12062" t="inlineStr">
        <is>
          <t>BENGTSFORS</t>
        </is>
      </c>
      <c r="G12062" t="n">
        <v>0.9</v>
      </c>
      <c r="H12062" t="n">
        <v>0</v>
      </c>
      <c r="I12062" t="n">
        <v>0</v>
      </c>
      <c r="J12062" t="n">
        <v>0</v>
      </c>
      <c r="K12062" t="n">
        <v>0</v>
      </c>
      <c r="L12062" t="n">
        <v>0</v>
      </c>
      <c r="M12062" t="n">
        <v>0</v>
      </c>
      <c r="N12062" t="n">
        <v>0</v>
      </c>
      <c r="O12062" t="n">
        <v>0</v>
      </c>
      <c r="P12062" t="n">
        <v>0</v>
      </c>
      <c r="Q12062" t="n">
        <v>0</v>
      </c>
      <c r="R12062" s="2" t="inlineStr"/>
    </row>
    <row r="12063" ht="15" customHeight="1">
      <c r="A12063" t="inlineStr">
        <is>
          <t>A 30069-2025</t>
        </is>
      </c>
      <c r="B12063" s="1" t="n">
        <v>45826.6315625</v>
      </c>
      <c r="C12063" s="1" t="n">
        <v>45952</v>
      </c>
      <c r="D12063" t="inlineStr">
        <is>
          <t>VÄSTRA GÖTALANDS LÄN</t>
        </is>
      </c>
      <c r="E12063" t="inlineStr">
        <is>
          <t>BENGTSFORS</t>
        </is>
      </c>
      <c r="G12063" t="n">
        <v>1</v>
      </c>
      <c r="H12063" t="n">
        <v>0</v>
      </c>
      <c r="I12063" t="n">
        <v>0</v>
      </c>
      <c r="J12063" t="n">
        <v>0</v>
      </c>
      <c r="K12063" t="n">
        <v>0</v>
      </c>
      <c r="L12063" t="n">
        <v>0</v>
      </c>
      <c r="M12063" t="n">
        <v>0</v>
      </c>
      <c r="N12063" t="n">
        <v>0</v>
      </c>
      <c r="O12063" t="n">
        <v>0</v>
      </c>
      <c r="P12063" t="n">
        <v>0</v>
      </c>
      <c r="Q12063" t="n">
        <v>0</v>
      </c>
      <c r="R12063" s="2" t="inlineStr"/>
    </row>
    <row r="12064" ht="15" customHeight="1">
      <c r="A12064" t="inlineStr">
        <is>
          <t>A 29991-2025</t>
        </is>
      </c>
      <c r="B12064" s="1" t="n">
        <v>45826.50349537037</v>
      </c>
      <c r="C12064" s="1" t="n">
        <v>45952</v>
      </c>
      <c r="D12064" t="inlineStr">
        <is>
          <t>VÄSTRA GÖTALANDS LÄN</t>
        </is>
      </c>
      <c r="E12064" t="inlineStr">
        <is>
          <t>MARK</t>
        </is>
      </c>
      <c r="G12064" t="n">
        <v>2.3</v>
      </c>
      <c r="H12064" t="n">
        <v>0</v>
      </c>
      <c r="I12064" t="n">
        <v>0</v>
      </c>
      <c r="J12064" t="n">
        <v>0</v>
      </c>
      <c r="K12064" t="n">
        <v>0</v>
      </c>
      <c r="L12064" t="n">
        <v>0</v>
      </c>
      <c r="M12064" t="n">
        <v>0</v>
      </c>
      <c r="N12064" t="n">
        <v>0</v>
      </c>
      <c r="O12064" t="n">
        <v>0</v>
      </c>
      <c r="P12064" t="n">
        <v>0</v>
      </c>
      <c r="Q12064" t="n">
        <v>0</v>
      </c>
      <c r="R12064" s="2" t="inlineStr"/>
    </row>
    <row r="12065" ht="15" customHeight="1">
      <c r="A12065" t="inlineStr">
        <is>
          <t>A 10270-2025</t>
        </is>
      </c>
      <c r="B12065" s="1" t="n">
        <v>45720.38792824074</v>
      </c>
      <c r="C12065" s="1" t="n">
        <v>45952</v>
      </c>
      <c r="D12065" t="inlineStr">
        <is>
          <t>VÄSTRA GÖTALANDS LÄN</t>
        </is>
      </c>
      <c r="E12065" t="inlineStr">
        <is>
          <t>ULRICEHAMN</t>
        </is>
      </c>
      <c r="G12065" t="n">
        <v>1.4</v>
      </c>
      <c r="H12065" t="n">
        <v>0</v>
      </c>
      <c r="I12065" t="n">
        <v>0</v>
      </c>
      <c r="J12065" t="n">
        <v>0</v>
      </c>
      <c r="K12065" t="n">
        <v>0</v>
      </c>
      <c r="L12065" t="n">
        <v>0</v>
      </c>
      <c r="M12065" t="n">
        <v>0</v>
      </c>
      <c r="N12065" t="n">
        <v>0</v>
      </c>
      <c r="O12065" t="n">
        <v>0</v>
      </c>
      <c r="P12065" t="n">
        <v>0</v>
      </c>
      <c r="Q12065" t="n">
        <v>0</v>
      </c>
      <c r="R12065" s="2" t="inlineStr"/>
    </row>
    <row r="12066" ht="15" customHeight="1">
      <c r="A12066" t="inlineStr">
        <is>
          <t>A 12628-2025</t>
        </is>
      </c>
      <c r="B12066" s="1" t="n">
        <v>45733.36819444445</v>
      </c>
      <c r="C12066" s="1" t="n">
        <v>45952</v>
      </c>
      <c r="D12066" t="inlineStr">
        <is>
          <t>VÄSTRA GÖTALANDS LÄN</t>
        </is>
      </c>
      <c r="E12066" t="inlineStr">
        <is>
          <t>HERRLJUNGA</t>
        </is>
      </c>
      <c r="F12066" t="inlineStr">
        <is>
          <t>Sveaskog</t>
        </is>
      </c>
      <c r="G12066" t="n">
        <v>3</v>
      </c>
      <c r="H12066" t="n">
        <v>0</v>
      </c>
      <c r="I12066" t="n">
        <v>0</v>
      </c>
      <c r="J12066" t="n">
        <v>0</v>
      </c>
      <c r="K12066" t="n">
        <v>0</v>
      </c>
      <c r="L12066" t="n">
        <v>0</v>
      </c>
      <c r="M12066" t="n">
        <v>0</v>
      </c>
      <c r="N12066" t="n">
        <v>0</v>
      </c>
      <c r="O12066" t="n">
        <v>0</v>
      </c>
      <c r="P12066" t="n">
        <v>0</v>
      </c>
      <c r="Q12066" t="n">
        <v>0</v>
      </c>
      <c r="R12066" s="2" t="inlineStr"/>
    </row>
    <row r="12067" ht="15" customHeight="1">
      <c r="A12067" t="inlineStr">
        <is>
          <t>A 12752-2025</t>
        </is>
      </c>
      <c r="B12067" s="1" t="n">
        <v>45733.55653935186</v>
      </c>
      <c r="C12067" s="1" t="n">
        <v>45952</v>
      </c>
      <c r="D12067" t="inlineStr">
        <is>
          <t>VÄSTRA GÖTALANDS LÄN</t>
        </is>
      </c>
      <c r="E12067" t="inlineStr">
        <is>
          <t>SVENLJUNGA</t>
        </is>
      </c>
      <c r="G12067" t="n">
        <v>0.8</v>
      </c>
      <c r="H12067" t="n">
        <v>0</v>
      </c>
      <c r="I12067" t="n">
        <v>0</v>
      </c>
      <c r="J12067" t="n">
        <v>0</v>
      </c>
      <c r="K12067" t="n">
        <v>0</v>
      </c>
      <c r="L12067" t="n">
        <v>0</v>
      </c>
      <c r="M12067" t="n">
        <v>0</v>
      </c>
      <c r="N12067" t="n">
        <v>0</v>
      </c>
      <c r="O12067" t="n">
        <v>0</v>
      </c>
      <c r="P12067" t="n">
        <v>0</v>
      </c>
      <c r="Q12067" t="n">
        <v>0</v>
      </c>
      <c r="R12067" s="2" t="inlineStr"/>
    </row>
    <row r="12068" ht="15" customHeight="1">
      <c r="A12068" t="inlineStr">
        <is>
          <t>A 30143-2025</t>
        </is>
      </c>
      <c r="B12068" s="1" t="n">
        <v>45826.92831018518</v>
      </c>
      <c r="C12068" s="1" t="n">
        <v>45952</v>
      </c>
      <c r="D12068" t="inlineStr">
        <is>
          <t>VÄSTRA GÖTALANDS LÄN</t>
        </is>
      </c>
      <c r="E12068" t="inlineStr">
        <is>
          <t>FÄRGELANDA</t>
        </is>
      </c>
      <c r="G12068" t="n">
        <v>0.9</v>
      </c>
      <c r="H12068" t="n">
        <v>0</v>
      </c>
      <c r="I12068" t="n">
        <v>0</v>
      </c>
      <c r="J12068" t="n">
        <v>0</v>
      </c>
      <c r="K12068" t="n">
        <v>0</v>
      </c>
      <c r="L12068" t="n">
        <v>0</v>
      </c>
      <c r="M12068" t="n">
        <v>0</v>
      </c>
      <c r="N12068" t="n">
        <v>0</v>
      </c>
      <c r="O12068" t="n">
        <v>0</v>
      </c>
      <c r="P12068" t="n">
        <v>0</v>
      </c>
      <c r="Q12068" t="n">
        <v>0</v>
      </c>
      <c r="R12068" s="2" t="inlineStr"/>
    </row>
    <row r="12069" ht="15" customHeight="1">
      <c r="A12069" t="inlineStr">
        <is>
          <t>A 29827-2025</t>
        </is>
      </c>
      <c r="B12069" s="1" t="n">
        <v>45825.88684027778</v>
      </c>
      <c r="C12069" s="1" t="n">
        <v>45952</v>
      </c>
      <c r="D12069" t="inlineStr">
        <is>
          <t>VÄSTRA GÖTALANDS LÄN</t>
        </is>
      </c>
      <c r="E12069" t="inlineStr">
        <is>
          <t>DALS-ED</t>
        </is>
      </c>
      <c r="G12069" t="n">
        <v>1.2</v>
      </c>
      <c r="H12069" t="n">
        <v>0</v>
      </c>
      <c r="I12069" t="n">
        <v>0</v>
      </c>
      <c r="J12069" t="n">
        <v>0</v>
      </c>
      <c r="K12069" t="n">
        <v>0</v>
      </c>
      <c r="L12069" t="n">
        <v>0</v>
      </c>
      <c r="M12069" t="n">
        <v>0</v>
      </c>
      <c r="N12069" t="n">
        <v>0</v>
      </c>
      <c r="O12069" t="n">
        <v>0</v>
      </c>
      <c r="P12069" t="n">
        <v>0</v>
      </c>
      <c r="Q12069" t="n">
        <v>0</v>
      </c>
      <c r="R12069" s="2" t="inlineStr"/>
    </row>
    <row r="12070" ht="15" customHeight="1">
      <c r="A12070" t="inlineStr">
        <is>
          <t>A 14546-2025</t>
        </is>
      </c>
      <c r="B12070" s="1" t="n">
        <v>45741</v>
      </c>
      <c r="C12070" s="1" t="n">
        <v>45952</v>
      </c>
      <c r="D12070" t="inlineStr">
        <is>
          <t>VÄSTRA GÖTALANDS LÄN</t>
        </is>
      </c>
      <c r="E12070" t="inlineStr">
        <is>
          <t>MARK</t>
        </is>
      </c>
      <c r="F12070" t="inlineStr">
        <is>
          <t>Sveaskog</t>
        </is>
      </c>
      <c r="G12070" t="n">
        <v>2.6</v>
      </c>
      <c r="H12070" t="n">
        <v>0</v>
      </c>
      <c r="I12070" t="n">
        <v>0</v>
      </c>
      <c r="J12070" t="n">
        <v>0</v>
      </c>
      <c r="K12070" t="n">
        <v>0</v>
      </c>
      <c r="L12070" t="n">
        <v>0</v>
      </c>
      <c r="M12070" t="n">
        <v>0</v>
      </c>
      <c r="N12070" t="n">
        <v>0</v>
      </c>
      <c r="O12070" t="n">
        <v>0</v>
      </c>
      <c r="P12070" t="n">
        <v>0</v>
      </c>
      <c r="Q12070" t="n">
        <v>0</v>
      </c>
      <c r="R12070" s="2" t="inlineStr"/>
    </row>
    <row r="12071" ht="15" customHeight="1">
      <c r="A12071" t="inlineStr">
        <is>
          <t>A 11022-2025</t>
        </is>
      </c>
      <c r="B12071" s="1" t="n">
        <v>45723.46748842593</v>
      </c>
      <c r="C12071" s="1" t="n">
        <v>45952</v>
      </c>
      <c r="D12071" t="inlineStr">
        <is>
          <t>VÄSTRA GÖTALANDS LÄN</t>
        </is>
      </c>
      <c r="E12071" t="inlineStr">
        <is>
          <t>BORÅS</t>
        </is>
      </c>
      <c r="G12071" t="n">
        <v>1.6</v>
      </c>
      <c r="H12071" t="n">
        <v>0</v>
      </c>
      <c r="I12071" t="n">
        <v>0</v>
      </c>
      <c r="J12071" t="n">
        <v>0</v>
      </c>
      <c r="K12071" t="n">
        <v>0</v>
      </c>
      <c r="L12071" t="n">
        <v>0</v>
      </c>
      <c r="M12071" t="n">
        <v>0</v>
      </c>
      <c r="N12071" t="n">
        <v>0</v>
      </c>
      <c r="O12071" t="n">
        <v>0</v>
      </c>
      <c r="P12071" t="n">
        <v>0</v>
      </c>
      <c r="Q12071" t="n">
        <v>0</v>
      </c>
      <c r="R12071" s="2" t="inlineStr"/>
    </row>
    <row r="12072" ht="15" customHeight="1">
      <c r="A12072" t="inlineStr">
        <is>
          <t>A 11512-2025</t>
        </is>
      </c>
      <c r="B12072" s="1" t="n">
        <v>45726.84574074074</v>
      </c>
      <c r="C12072" s="1" t="n">
        <v>45952</v>
      </c>
      <c r="D12072" t="inlineStr">
        <is>
          <t>VÄSTRA GÖTALANDS LÄN</t>
        </is>
      </c>
      <c r="E12072" t="inlineStr">
        <is>
          <t>ULRICEHAMN</t>
        </is>
      </c>
      <c r="G12072" t="n">
        <v>8.5</v>
      </c>
      <c r="H12072" t="n">
        <v>0</v>
      </c>
      <c r="I12072" t="n">
        <v>0</v>
      </c>
      <c r="J12072" t="n">
        <v>0</v>
      </c>
      <c r="K12072" t="n">
        <v>0</v>
      </c>
      <c r="L12072" t="n">
        <v>0</v>
      </c>
      <c r="M12072" t="n">
        <v>0</v>
      </c>
      <c r="N12072" t="n">
        <v>0</v>
      </c>
      <c r="O12072" t="n">
        <v>0</v>
      </c>
      <c r="P12072" t="n">
        <v>0</v>
      </c>
      <c r="Q12072" t="n">
        <v>0</v>
      </c>
      <c r="R12072" s="2" t="inlineStr"/>
    </row>
    <row r="12073" ht="15" customHeight="1">
      <c r="A12073" t="inlineStr">
        <is>
          <t>A 29840-2025</t>
        </is>
      </c>
      <c r="B12073" s="1" t="n">
        <v>45826.29282407407</v>
      </c>
      <c r="C12073" s="1" t="n">
        <v>45952</v>
      </c>
      <c r="D12073" t="inlineStr">
        <is>
          <t>VÄSTRA GÖTALANDS LÄN</t>
        </is>
      </c>
      <c r="E12073" t="inlineStr">
        <is>
          <t>VÄNERSBORG</t>
        </is>
      </c>
      <c r="G12073" t="n">
        <v>2.8</v>
      </c>
      <c r="H12073" t="n">
        <v>0</v>
      </c>
      <c r="I12073" t="n">
        <v>0</v>
      </c>
      <c r="J12073" t="n">
        <v>0</v>
      </c>
      <c r="K12073" t="n">
        <v>0</v>
      </c>
      <c r="L12073" t="n">
        <v>0</v>
      </c>
      <c r="M12073" t="n">
        <v>0</v>
      </c>
      <c r="N12073" t="n">
        <v>0</v>
      </c>
      <c r="O12073" t="n">
        <v>0</v>
      </c>
      <c r="P12073" t="n">
        <v>0</v>
      </c>
      <c r="Q12073" t="n">
        <v>0</v>
      </c>
      <c r="R12073" s="2" t="inlineStr"/>
    </row>
    <row r="12074" ht="15" customHeight="1">
      <c r="A12074" t="inlineStr">
        <is>
          <t>A 29845-2025</t>
        </is>
      </c>
      <c r="B12074" s="1" t="n">
        <v>45826.32145833333</v>
      </c>
      <c r="C12074" s="1" t="n">
        <v>45952</v>
      </c>
      <c r="D12074" t="inlineStr">
        <is>
          <t>VÄSTRA GÖTALANDS LÄN</t>
        </is>
      </c>
      <c r="E12074" t="inlineStr">
        <is>
          <t>LIDKÖPING</t>
        </is>
      </c>
      <c r="G12074" t="n">
        <v>0.7</v>
      </c>
      <c r="H12074" t="n">
        <v>0</v>
      </c>
      <c r="I12074" t="n">
        <v>0</v>
      </c>
      <c r="J12074" t="n">
        <v>0</v>
      </c>
      <c r="K12074" t="n">
        <v>0</v>
      </c>
      <c r="L12074" t="n">
        <v>0</v>
      </c>
      <c r="M12074" t="n">
        <v>0</v>
      </c>
      <c r="N12074" t="n">
        <v>0</v>
      </c>
      <c r="O12074" t="n">
        <v>0</v>
      </c>
      <c r="P12074" t="n">
        <v>0</v>
      </c>
      <c r="Q12074" t="n">
        <v>0</v>
      </c>
      <c r="R12074" s="2" t="inlineStr"/>
    </row>
    <row r="12075" ht="15" customHeight="1">
      <c r="A12075" t="inlineStr">
        <is>
          <t>A 30312-2025</t>
        </is>
      </c>
      <c r="B12075" s="1" t="n">
        <v>45827</v>
      </c>
      <c r="C12075" s="1" t="n">
        <v>45952</v>
      </c>
      <c r="D12075" t="inlineStr">
        <is>
          <t>VÄSTRA GÖTALANDS LÄN</t>
        </is>
      </c>
      <c r="E12075" t="inlineStr">
        <is>
          <t>BORÅS</t>
        </is>
      </c>
      <c r="G12075" t="n">
        <v>0.5</v>
      </c>
      <c r="H12075" t="n">
        <v>0</v>
      </c>
      <c r="I12075" t="n">
        <v>0</v>
      </c>
      <c r="J12075" t="n">
        <v>0</v>
      </c>
      <c r="K12075" t="n">
        <v>0</v>
      </c>
      <c r="L12075" t="n">
        <v>0</v>
      </c>
      <c r="M12075" t="n">
        <v>0</v>
      </c>
      <c r="N12075" t="n">
        <v>0</v>
      </c>
      <c r="O12075" t="n">
        <v>0</v>
      </c>
      <c r="P12075" t="n">
        <v>0</v>
      </c>
      <c r="Q12075" t="n">
        <v>0</v>
      </c>
      <c r="R12075" s="2" t="inlineStr"/>
    </row>
    <row r="12076" ht="15" customHeight="1">
      <c r="A12076" t="inlineStr">
        <is>
          <t>A 29911-2025</t>
        </is>
      </c>
      <c r="B12076" s="1" t="n">
        <v>45826.4077662037</v>
      </c>
      <c r="C12076" s="1" t="n">
        <v>45952</v>
      </c>
      <c r="D12076" t="inlineStr">
        <is>
          <t>VÄSTRA GÖTALANDS LÄN</t>
        </is>
      </c>
      <c r="E12076" t="inlineStr">
        <is>
          <t>BORÅS</t>
        </is>
      </c>
      <c r="G12076" t="n">
        <v>5</v>
      </c>
      <c r="H12076" t="n">
        <v>0</v>
      </c>
      <c r="I12076" t="n">
        <v>0</v>
      </c>
      <c r="J12076" t="n">
        <v>0</v>
      </c>
      <c r="K12076" t="n">
        <v>0</v>
      </c>
      <c r="L12076" t="n">
        <v>0</v>
      </c>
      <c r="M12076" t="n">
        <v>0</v>
      </c>
      <c r="N12076" t="n">
        <v>0</v>
      </c>
      <c r="O12076" t="n">
        <v>0</v>
      </c>
      <c r="P12076" t="n">
        <v>0</v>
      </c>
      <c r="Q12076" t="n">
        <v>0</v>
      </c>
      <c r="R12076" s="2" t="inlineStr"/>
    </row>
    <row r="12077" ht="15" customHeight="1">
      <c r="A12077" t="inlineStr">
        <is>
          <t>A 29919-2025</t>
        </is>
      </c>
      <c r="B12077" s="1" t="n">
        <v>45826.42263888889</v>
      </c>
      <c r="C12077" s="1" t="n">
        <v>45952</v>
      </c>
      <c r="D12077" t="inlineStr">
        <is>
          <t>VÄSTRA GÖTALANDS LÄN</t>
        </is>
      </c>
      <c r="E12077" t="inlineStr">
        <is>
          <t>UDDEVALLA</t>
        </is>
      </c>
      <c r="G12077" t="n">
        <v>2.3</v>
      </c>
      <c r="H12077" t="n">
        <v>0</v>
      </c>
      <c r="I12077" t="n">
        <v>0</v>
      </c>
      <c r="J12077" t="n">
        <v>0</v>
      </c>
      <c r="K12077" t="n">
        <v>0</v>
      </c>
      <c r="L12077" t="n">
        <v>0</v>
      </c>
      <c r="M12077" t="n">
        <v>0</v>
      </c>
      <c r="N12077" t="n">
        <v>0</v>
      </c>
      <c r="O12077" t="n">
        <v>0</v>
      </c>
      <c r="P12077" t="n">
        <v>0</v>
      </c>
      <c r="Q12077" t="n">
        <v>0</v>
      </c>
      <c r="R12077" s="2" t="inlineStr"/>
    </row>
    <row r="12078" ht="15" customHeight="1">
      <c r="A12078" t="inlineStr">
        <is>
          <t>A 29921-2025</t>
        </is>
      </c>
      <c r="B12078" s="1" t="n">
        <v>45826.42519675926</v>
      </c>
      <c r="C12078" s="1" t="n">
        <v>45952</v>
      </c>
      <c r="D12078" t="inlineStr">
        <is>
          <t>VÄSTRA GÖTALANDS LÄN</t>
        </is>
      </c>
      <c r="E12078" t="inlineStr">
        <is>
          <t>UDDEVALLA</t>
        </is>
      </c>
      <c r="G12078" t="n">
        <v>0.9</v>
      </c>
      <c r="H12078" t="n">
        <v>0</v>
      </c>
      <c r="I12078" t="n">
        <v>0</v>
      </c>
      <c r="J12078" t="n">
        <v>0</v>
      </c>
      <c r="K12078" t="n">
        <v>0</v>
      </c>
      <c r="L12078" t="n">
        <v>0</v>
      </c>
      <c r="M12078" t="n">
        <v>0</v>
      </c>
      <c r="N12078" t="n">
        <v>0</v>
      </c>
      <c r="O12078" t="n">
        <v>0</v>
      </c>
      <c r="P12078" t="n">
        <v>0</v>
      </c>
      <c r="Q12078" t="n">
        <v>0</v>
      </c>
      <c r="R12078" s="2" t="inlineStr"/>
    </row>
    <row r="12079" ht="15" customHeight="1">
      <c r="A12079" t="inlineStr">
        <is>
          <t>A 9643-2025</t>
        </is>
      </c>
      <c r="B12079" s="1" t="n">
        <v>45715.84982638889</v>
      </c>
      <c r="C12079" s="1" t="n">
        <v>45952</v>
      </c>
      <c r="D12079" t="inlineStr">
        <is>
          <t>VÄSTRA GÖTALANDS LÄN</t>
        </is>
      </c>
      <c r="E12079" t="inlineStr">
        <is>
          <t>BORÅS</t>
        </is>
      </c>
      <c r="G12079" t="n">
        <v>4.3</v>
      </c>
      <c r="H12079" t="n">
        <v>0</v>
      </c>
      <c r="I12079" t="n">
        <v>0</v>
      </c>
      <c r="J12079" t="n">
        <v>0</v>
      </c>
      <c r="K12079" t="n">
        <v>0</v>
      </c>
      <c r="L12079" t="n">
        <v>0</v>
      </c>
      <c r="M12079" t="n">
        <v>0</v>
      </c>
      <c r="N12079" t="n">
        <v>0</v>
      </c>
      <c r="O12079" t="n">
        <v>0</v>
      </c>
      <c r="P12079" t="n">
        <v>0</v>
      </c>
      <c r="Q12079" t="n">
        <v>0</v>
      </c>
      <c r="R12079" s="2" t="inlineStr"/>
    </row>
    <row r="12080" ht="15" customHeight="1">
      <c r="A12080" t="inlineStr">
        <is>
          <t>A 11221-2025</t>
        </is>
      </c>
      <c r="B12080" s="1" t="n">
        <v>45726.34305555555</v>
      </c>
      <c r="C12080" s="1" t="n">
        <v>45952</v>
      </c>
      <c r="D12080" t="inlineStr">
        <is>
          <t>VÄSTRA GÖTALANDS LÄN</t>
        </is>
      </c>
      <c r="E12080" t="inlineStr">
        <is>
          <t>SVENLJUNGA</t>
        </is>
      </c>
      <c r="G12080" t="n">
        <v>1.6</v>
      </c>
      <c r="H12080" t="n">
        <v>0</v>
      </c>
      <c r="I12080" t="n">
        <v>0</v>
      </c>
      <c r="J12080" t="n">
        <v>0</v>
      </c>
      <c r="K12080" t="n">
        <v>0</v>
      </c>
      <c r="L12080" t="n">
        <v>0</v>
      </c>
      <c r="M12080" t="n">
        <v>0</v>
      </c>
      <c r="N12080" t="n">
        <v>0</v>
      </c>
      <c r="O12080" t="n">
        <v>0</v>
      </c>
      <c r="P12080" t="n">
        <v>0</v>
      </c>
      <c r="Q12080" t="n">
        <v>0</v>
      </c>
      <c r="R12080" s="2" t="inlineStr"/>
    </row>
    <row r="12081" ht="15" customHeight="1">
      <c r="A12081" t="inlineStr">
        <is>
          <t>A 11368-2025</t>
        </is>
      </c>
      <c r="B12081" s="1" t="n">
        <v>45726.54803240741</v>
      </c>
      <c r="C12081" s="1" t="n">
        <v>45952</v>
      </c>
      <c r="D12081" t="inlineStr">
        <is>
          <t>VÄSTRA GÖTALANDS LÄN</t>
        </is>
      </c>
      <c r="E12081" t="inlineStr">
        <is>
          <t>SVENLJUNGA</t>
        </is>
      </c>
      <c r="G12081" t="n">
        <v>1</v>
      </c>
      <c r="H12081" t="n">
        <v>0</v>
      </c>
      <c r="I12081" t="n">
        <v>0</v>
      </c>
      <c r="J12081" t="n">
        <v>0</v>
      </c>
      <c r="K12081" t="n">
        <v>0</v>
      </c>
      <c r="L12081" t="n">
        <v>0</v>
      </c>
      <c r="M12081" t="n">
        <v>0</v>
      </c>
      <c r="N12081" t="n">
        <v>0</v>
      </c>
      <c r="O12081" t="n">
        <v>0</v>
      </c>
      <c r="P12081" t="n">
        <v>0</v>
      </c>
      <c r="Q12081" t="n">
        <v>0</v>
      </c>
      <c r="R12081" s="2" t="inlineStr"/>
    </row>
    <row r="12082" ht="15" customHeight="1">
      <c r="A12082" t="inlineStr">
        <is>
          <t>A 29960-2025</t>
        </is>
      </c>
      <c r="B12082" s="1" t="n">
        <v>45826.4806712963</v>
      </c>
      <c r="C12082" s="1" t="n">
        <v>45952</v>
      </c>
      <c r="D12082" t="inlineStr">
        <is>
          <t>VÄSTRA GÖTALANDS LÄN</t>
        </is>
      </c>
      <c r="E12082" t="inlineStr">
        <is>
          <t>HJO</t>
        </is>
      </c>
      <c r="G12082" t="n">
        <v>2.6</v>
      </c>
      <c r="H12082" t="n">
        <v>0</v>
      </c>
      <c r="I12082" t="n">
        <v>0</v>
      </c>
      <c r="J12082" t="n">
        <v>0</v>
      </c>
      <c r="K12082" t="n">
        <v>0</v>
      </c>
      <c r="L12082" t="n">
        <v>0</v>
      </c>
      <c r="M12082" t="n">
        <v>0</v>
      </c>
      <c r="N12082" t="n">
        <v>0</v>
      </c>
      <c r="O12082" t="n">
        <v>0</v>
      </c>
      <c r="P12082" t="n">
        <v>0</v>
      </c>
      <c r="Q12082" t="n">
        <v>0</v>
      </c>
      <c r="R12082" s="2" t="inlineStr"/>
    </row>
    <row r="12083" ht="15" customHeight="1">
      <c r="A12083" t="inlineStr">
        <is>
          <t>A 12329-2024</t>
        </is>
      </c>
      <c r="B12083" s="1" t="n">
        <v>45378.67270833333</v>
      </c>
      <c r="C12083" s="1" t="n">
        <v>45952</v>
      </c>
      <c r="D12083" t="inlineStr">
        <is>
          <t>VÄSTRA GÖTALANDS LÄN</t>
        </is>
      </c>
      <c r="E12083" t="inlineStr">
        <is>
          <t>TROLLHÄTTAN</t>
        </is>
      </c>
      <c r="G12083" t="n">
        <v>0.8</v>
      </c>
      <c r="H12083" t="n">
        <v>0</v>
      </c>
      <c r="I12083" t="n">
        <v>0</v>
      </c>
      <c r="J12083" t="n">
        <v>0</v>
      </c>
      <c r="K12083" t="n">
        <v>0</v>
      </c>
      <c r="L12083" t="n">
        <v>0</v>
      </c>
      <c r="M12083" t="n">
        <v>0</v>
      </c>
      <c r="N12083" t="n">
        <v>0</v>
      </c>
      <c r="O12083" t="n">
        <v>0</v>
      </c>
      <c r="P12083" t="n">
        <v>0</v>
      </c>
      <c r="Q12083" t="n">
        <v>0</v>
      </c>
      <c r="R12083" s="2" t="inlineStr"/>
    </row>
    <row r="12084" ht="15" customHeight="1">
      <c r="A12084" t="inlineStr">
        <is>
          <t>A 30646-2025</t>
        </is>
      </c>
      <c r="B12084" s="1" t="n">
        <v>45831.49241898148</v>
      </c>
      <c r="C12084" s="1" t="n">
        <v>45952</v>
      </c>
      <c r="D12084" t="inlineStr">
        <is>
          <t>VÄSTRA GÖTALANDS LÄN</t>
        </is>
      </c>
      <c r="E12084" t="inlineStr">
        <is>
          <t>SVENLJUNGA</t>
        </is>
      </c>
      <c r="G12084" t="n">
        <v>1.2</v>
      </c>
      <c r="H12084" t="n">
        <v>0</v>
      </c>
      <c r="I12084" t="n">
        <v>0</v>
      </c>
      <c r="J12084" t="n">
        <v>0</v>
      </c>
      <c r="K12084" t="n">
        <v>0</v>
      </c>
      <c r="L12084" t="n">
        <v>0</v>
      </c>
      <c r="M12084" t="n">
        <v>0</v>
      </c>
      <c r="N12084" t="n">
        <v>0</v>
      </c>
      <c r="O12084" t="n">
        <v>0</v>
      </c>
      <c r="P12084" t="n">
        <v>0</v>
      </c>
      <c r="Q12084" t="n">
        <v>0</v>
      </c>
      <c r="R12084" s="2" t="inlineStr"/>
    </row>
    <row r="12085" ht="15" customHeight="1">
      <c r="A12085" t="inlineStr">
        <is>
          <t>A 30614-2025</t>
        </is>
      </c>
      <c r="B12085" s="1" t="n">
        <v>45831.46700231481</v>
      </c>
      <c r="C12085" s="1" t="n">
        <v>45952</v>
      </c>
      <c r="D12085" t="inlineStr">
        <is>
          <t>VÄSTRA GÖTALANDS LÄN</t>
        </is>
      </c>
      <c r="E12085" t="inlineStr">
        <is>
          <t>MUNKEDAL</t>
        </is>
      </c>
      <c r="G12085" t="n">
        <v>6.1</v>
      </c>
      <c r="H12085" t="n">
        <v>0</v>
      </c>
      <c r="I12085" t="n">
        <v>0</v>
      </c>
      <c r="J12085" t="n">
        <v>0</v>
      </c>
      <c r="K12085" t="n">
        <v>0</v>
      </c>
      <c r="L12085" t="n">
        <v>0</v>
      </c>
      <c r="M12085" t="n">
        <v>0</v>
      </c>
      <c r="N12085" t="n">
        <v>0</v>
      </c>
      <c r="O12085" t="n">
        <v>0</v>
      </c>
      <c r="P12085" t="n">
        <v>0</v>
      </c>
      <c r="Q12085" t="n">
        <v>0</v>
      </c>
      <c r="R12085" s="2" t="inlineStr"/>
    </row>
    <row r="12086" ht="15" customHeight="1">
      <c r="A12086" t="inlineStr">
        <is>
          <t>A 27232-2023</t>
        </is>
      </c>
      <c r="B12086" s="1" t="n">
        <v>45096.5971412037</v>
      </c>
      <c r="C12086" s="1" t="n">
        <v>45952</v>
      </c>
      <c r="D12086" t="inlineStr">
        <is>
          <t>VÄSTRA GÖTALANDS LÄN</t>
        </is>
      </c>
      <c r="E12086" t="inlineStr">
        <is>
          <t>TIDAHOLM</t>
        </is>
      </c>
      <c r="G12086" t="n">
        <v>1</v>
      </c>
      <c r="H12086" t="n">
        <v>0</v>
      </c>
      <c r="I12086" t="n">
        <v>0</v>
      </c>
      <c r="J12086" t="n">
        <v>0</v>
      </c>
      <c r="K12086" t="n">
        <v>0</v>
      </c>
      <c r="L12086" t="n">
        <v>0</v>
      </c>
      <c r="M12086" t="n">
        <v>0</v>
      </c>
      <c r="N12086" t="n">
        <v>0</v>
      </c>
      <c r="O12086" t="n">
        <v>0</v>
      </c>
      <c r="P12086" t="n">
        <v>0</v>
      </c>
      <c r="Q12086" t="n">
        <v>0</v>
      </c>
      <c r="R12086" s="2" t="inlineStr"/>
    </row>
    <row r="12087" ht="15" customHeight="1">
      <c r="A12087" t="inlineStr">
        <is>
          <t>A 30676-2025</t>
        </is>
      </c>
      <c r="B12087" s="1" t="n">
        <v>45831.52273148148</v>
      </c>
      <c r="C12087" s="1" t="n">
        <v>45952</v>
      </c>
      <c r="D12087" t="inlineStr">
        <is>
          <t>VÄSTRA GÖTALANDS LÄN</t>
        </is>
      </c>
      <c r="E12087" t="inlineStr">
        <is>
          <t>KARLSBORG</t>
        </is>
      </c>
      <c r="G12087" t="n">
        <v>1.1</v>
      </c>
      <c r="H12087" t="n">
        <v>0</v>
      </c>
      <c r="I12087" t="n">
        <v>0</v>
      </c>
      <c r="J12087" t="n">
        <v>0</v>
      </c>
      <c r="K12087" t="n">
        <v>0</v>
      </c>
      <c r="L12087" t="n">
        <v>0</v>
      </c>
      <c r="M12087" t="n">
        <v>0</v>
      </c>
      <c r="N12087" t="n">
        <v>0</v>
      </c>
      <c r="O12087" t="n">
        <v>0</v>
      </c>
      <c r="P12087" t="n">
        <v>0</v>
      </c>
      <c r="Q12087" t="n">
        <v>0</v>
      </c>
      <c r="R12087" s="2" t="inlineStr"/>
    </row>
    <row r="12088" ht="15" customHeight="1">
      <c r="A12088" t="inlineStr">
        <is>
          <t>A 18685-2025</t>
        </is>
      </c>
      <c r="B12088" s="1" t="n">
        <v>45763.61067129629</v>
      </c>
      <c r="C12088" s="1" t="n">
        <v>45952</v>
      </c>
      <c r="D12088" t="inlineStr">
        <is>
          <t>VÄSTRA GÖTALANDS LÄN</t>
        </is>
      </c>
      <c r="E12088" t="inlineStr">
        <is>
          <t>GULLSPÅNG</t>
        </is>
      </c>
      <c r="G12088" t="n">
        <v>3.7</v>
      </c>
      <c r="H12088" t="n">
        <v>0</v>
      </c>
      <c r="I12088" t="n">
        <v>0</v>
      </c>
      <c r="J12088" t="n">
        <v>0</v>
      </c>
      <c r="K12088" t="n">
        <v>0</v>
      </c>
      <c r="L12088" t="n">
        <v>0</v>
      </c>
      <c r="M12088" t="n">
        <v>0</v>
      </c>
      <c r="N12088" t="n">
        <v>0</v>
      </c>
      <c r="O12088" t="n">
        <v>0</v>
      </c>
      <c r="P12088" t="n">
        <v>0</v>
      </c>
      <c r="Q12088" t="n">
        <v>0</v>
      </c>
      <c r="R12088" s="2" t="inlineStr"/>
    </row>
    <row r="12089" ht="15" customHeight="1">
      <c r="A12089" t="inlineStr">
        <is>
          <t>A 18687-2025</t>
        </is>
      </c>
      <c r="B12089" s="1" t="n">
        <v>45763.6129050926</v>
      </c>
      <c r="C12089" s="1" t="n">
        <v>45952</v>
      </c>
      <c r="D12089" t="inlineStr">
        <is>
          <t>VÄSTRA GÖTALANDS LÄN</t>
        </is>
      </c>
      <c r="E12089" t="inlineStr">
        <is>
          <t>TÖREBODA</t>
        </is>
      </c>
      <c r="G12089" t="n">
        <v>1.1</v>
      </c>
      <c r="H12089" t="n">
        <v>0</v>
      </c>
      <c r="I12089" t="n">
        <v>0</v>
      </c>
      <c r="J12089" t="n">
        <v>0</v>
      </c>
      <c r="K12089" t="n">
        <v>0</v>
      </c>
      <c r="L12089" t="n">
        <v>0</v>
      </c>
      <c r="M12089" t="n">
        <v>0</v>
      </c>
      <c r="N12089" t="n">
        <v>0</v>
      </c>
      <c r="O12089" t="n">
        <v>0</v>
      </c>
      <c r="P12089" t="n">
        <v>0</v>
      </c>
      <c r="Q12089" t="n">
        <v>0</v>
      </c>
      <c r="R12089" s="2" t="inlineStr"/>
    </row>
    <row r="12090" ht="15" customHeight="1">
      <c r="A12090" t="inlineStr">
        <is>
          <t>A 18722-2025</t>
        </is>
      </c>
      <c r="B12090" s="1" t="n">
        <v>45763.66126157407</v>
      </c>
      <c r="C12090" s="1" t="n">
        <v>45952</v>
      </c>
      <c r="D12090" t="inlineStr">
        <is>
          <t>VÄSTRA GÖTALANDS LÄN</t>
        </is>
      </c>
      <c r="E12090" t="inlineStr">
        <is>
          <t>GULLSPÅNG</t>
        </is>
      </c>
      <c r="G12090" t="n">
        <v>1.3</v>
      </c>
      <c r="H12090" t="n">
        <v>0</v>
      </c>
      <c r="I12090" t="n">
        <v>0</v>
      </c>
      <c r="J12090" t="n">
        <v>0</v>
      </c>
      <c r="K12090" t="n">
        <v>0</v>
      </c>
      <c r="L12090" t="n">
        <v>0</v>
      </c>
      <c r="M12090" t="n">
        <v>0</v>
      </c>
      <c r="N12090" t="n">
        <v>0</v>
      </c>
      <c r="O12090" t="n">
        <v>0</v>
      </c>
      <c r="P12090" t="n">
        <v>0</v>
      </c>
      <c r="Q12090" t="n">
        <v>0</v>
      </c>
      <c r="R12090" s="2" t="inlineStr"/>
    </row>
    <row r="12091" ht="15" customHeight="1">
      <c r="A12091" t="inlineStr">
        <is>
          <t>A 18730-2025</t>
        </is>
      </c>
      <c r="B12091" s="1" t="n">
        <v>45763.67412037037</v>
      </c>
      <c r="C12091" s="1" t="n">
        <v>45952</v>
      </c>
      <c r="D12091" t="inlineStr">
        <is>
          <t>VÄSTRA GÖTALANDS LÄN</t>
        </is>
      </c>
      <c r="E12091" t="inlineStr">
        <is>
          <t>HERRLJUNGA</t>
        </is>
      </c>
      <c r="G12091" t="n">
        <v>4.4</v>
      </c>
      <c r="H12091" t="n">
        <v>0</v>
      </c>
      <c r="I12091" t="n">
        <v>0</v>
      </c>
      <c r="J12091" t="n">
        <v>0</v>
      </c>
      <c r="K12091" t="n">
        <v>0</v>
      </c>
      <c r="L12091" t="n">
        <v>0</v>
      </c>
      <c r="M12091" t="n">
        <v>0</v>
      </c>
      <c r="N12091" t="n">
        <v>0</v>
      </c>
      <c r="O12091" t="n">
        <v>0</v>
      </c>
      <c r="P12091" t="n">
        <v>0</v>
      </c>
      <c r="Q12091" t="n">
        <v>0</v>
      </c>
      <c r="R12091" s="2" t="inlineStr"/>
    </row>
    <row r="12092" ht="15" customHeight="1">
      <c r="A12092" t="inlineStr">
        <is>
          <t>A 16844-2024</t>
        </is>
      </c>
      <c r="B12092" s="1" t="n">
        <v>45411.49805555555</v>
      </c>
      <c r="C12092" s="1" t="n">
        <v>45952</v>
      </c>
      <c r="D12092" t="inlineStr">
        <is>
          <t>VÄSTRA GÖTALANDS LÄN</t>
        </is>
      </c>
      <c r="E12092" t="inlineStr">
        <is>
          <t>SVENLJUNGA</t>
        </is>
      </c>
      <c r="G12092" t="n">
        <v>2.2</v>
      </c>
      <c r="H12092" t="n">
        <v>0</v>
      </c>
      <c r="I12092" t="n">
        <v>0</v>
      </c>
      <c r="J12092" t="n">
        <v>0</v>
      </c>
      <c r="K12092" t="n">
        <v>0</v>
      </c>
      <c r="L12092" t="n">
        <v>0</v>
      </c>
      <c r="M12092" t="n">
        <v>0</v>
      </c>
      <c r="N12092" t="n">
        <v>0</v>
      </c>
      <c r="O12092" t="n">
        <v>0</v>
      </c>
      <c r="P12092" t="n">
        <v>0</v>
      </c>
      <c r="Q12092" t="n">
        <v>0</v>
      </c>
      <c r="R12092" s="2" t="inlineStr"/>
    </row>
    <row r="12093" ht="15" customHeight="1">
      <c r="A12093" t="inlineStr">
        <is>
          <t>A 30737-2025</t>
        </is>
      </c>
      <c r="B12093" s="1" t="n">
        <v>45831</v>
      </c>
      <c r="C12093" s="1" t="n">
        <v>45952</v>
      </c>
      <c r="D12093" t="inlineStr">
        <is>
          <t>VÄSTRA GÖTALANDS LÄN</t>
        </is>
      </c>
      <c r="E12093" t="inlineStr">
        <is>
          <t>FÄRGELANDA</t>
        </is>
      </c>
      <c r="G12093" t="n">
        <v>7.6</v>
      </c>
      <c r="H12093" t="n">
        <v>0</v>
      </c>
      <c r="I12093" t="n">
        <v>0</v>
      </c>
      <c r="J12093" t="n">
        <v>0</v>
      </c>
      <c r="K12093" t="n">
        <v>0</v>
      </c>
      <c r="L12093" t="n">
        <v>0</v>
      </c>
      <c r="M12093" t="n">
        <v>0</v>
      </c>
      <c r="N12093" t="n">
        <v>0</v>
      </c>
      <c r="O12093" t="n">
        <v>0</v>
      </c>
      <c r="P12093" t="n">
        <v>0</v>
      </c>
      <c r="Q12093" t="n">
        <v>0</v>
      </c>
      <c r="R12093" s="2" t="inlineStr"/>
    </row>
    <row r="12094" ht="15" customHeight="1">
      <c r="A12094" t="inlineStr">
        <is>
          <t>A 59151-2023</t>
        </is>
      </c>
      <c r="B12094" s="1" t="n">
        <v>45251</v>
      </c>
      <c r="C12094" s="1" t="n">
        <v>45952</v>
      </c>
      <c r="D12094" t="inlineStr">
        <is>
          <t>VÄSTRA GÖTALANDS LÄN</t>
        </is>
      </c>
      <c r="E12094" t="inlineStr">
        <is>
          <t>MARK</t>
        </is>
      </c>
      <c r="G12094" t="n">
        <v>0.4</v>
      </c>
      <c r="H12094" t="n">
        <v>0</v>
      </c>
      <c r="I12094" t="n">
        <v>0</v>
      </c>
      <c r="J12094" t="n">
        <v>0</v>
      </c>
      <c r="K12094" t="n">
        <v>0</v>
      </c>
      <c r="L12094" t="n">
        <v>0</v>
      </c>
      <c r="M12094" t="n">
        <v>0</v>
      </c>
      <c r="N12094" t="n">
        <v>0</v>
      </c>
      <c r="O12094" t="n">
        <v>0</v>
      </c>
      <c r="P12094" t="n">
        <v>0</v>
      </c>
      <c r="Q12094" t="n">
        <v>0</v>
      </c>
      <c r="R12094" s="2" t="inlineStr"/>
    </row>
    <row r="12095" ht="15" customHeight="1">
      <c r="A12095" t="inlineStr">
        <is>
          <t>A 30697-2025</t>
        </is>
      </c>
      <c r="B12095" s="1" t="n">
        <v>45831.5425462963</v>
      </c>
      <c r="C12095" s="1" t="n">
        <v>45952</v>
      </c>
      <c r="D12095" t="inlineStr">
        <is>
          <t>VÄSTRA GÖTALANDS LÄN</t>
        </is>
      </c>
      <c r="E12095" t="inlineStr">
        <is>
          <t>SVENLJUNGA</t>
        </is>
      </c>
      <c r="G12095" t="n">
        <v>1</v>
      </c>
      <c r="H12095" t="n">
        <v>0</v>
      </c>
      <c r="I12095" t="n">
        <v>0</v>
      </c>
      <c r="J12095" t="n">
        <v>0</v>
      </c>
      <c r="K12095" t="n">
        <v>0</v>
      </c>
      <c r="L12095" t="n">
        <v>0</v>
      </c>
      <c r="M12095" t="n">
        <v>0</v>
      </c>
      <c r="N12095" t="n">
        <v>0</v>
      </c>
      <c r="O12095" t="n">
        <v>0</v>
      </c>
      <c r="P12095" t="n">
        <v>0</v>
      </c>
      <c r="Q12095" t="n">
        <v>0</v>
      </c>
      <c r="R12095" s="2" t="inlineStr"/>
    </row>
    <row r="12096" ht="15" customHeight="1">
      <c r="A12096" t="inlineStr">
        <is>
          <t>A 51564-2024</t>
        </is>
      </c>
      <c r="B12096" s="1" t="n">
        <v>45604.62042824074</v>
      </c>
      <c r="C12096" s="1" t="n">
        <v>45952</v>
      </c>
      <c r="D12096" t="inlineStr">
        <is>
          <t>VÄSTRA GÖTALANDS LÄN</t>
        </is>
      </c>
      <c r="E12096" t="inlineStr">
        <is>
          <t>BOLLEBYGD</t>
        </is>
      </c>
      <c r="G12096" t="n">
        <v>4.1</v>
      </c>
      <c r="H12096" t="n">
        <v>0</v>
      </c>
      <c r="I12096" t="n">
        <v>0</v>
      </c>
      <c r="J12096" t="n">
        <v>0</v>
      </c>
      <c r="K12096" t="n">
        <v>0</v>
      </c>
      <c r="L12096" t="n">
        <v>0</v>
      </c>
      <c r="M12096" t="n">
        <v>0</v>
      </c>
      <c r="N12096" t="n">
        <v>0</v>
      </c>
      <c r="O12096" t="n">
        <v>0</v>
      </c>
      <c r="P12096" t="n">
        <v>0</v>
      </c>
      <c r="Q12096" t="n">
        <v>0</v>
      </c>
      <c r="R12096" s="2" t="inlineStr"/>
    </row>
    <row r="12097" ht="15" customHeight="1">
      <c r="A12097" t="inlineStr">
        <is>
          <t>A 35491-2023</t>
        </is>
      </c>
      <c r="B12097" s="1" t="n">
        <v>45146</v>
      </c>
      <c r="C12097" s="1" t="n">
        <v>45952</v>
      </c>
      <c r="D12097" t="inlineStr">
        <is>
          <t>VÄSTRA GÖTALANDS LÄN</t>
        </is>
      </c>
      <c r="E12097" t="inlineStr">
        <is>
          <t>BOLLEBYGD</t>
        </is>
      </c>
      <c r="G12097" t="n">
        <v>3.5</v>
      </c>
      <c r="H12097" t="n">
        <v>0</v>
      </c>
      <c r="I12097" t="n">
        <v>0</v>
      </c>
      <c r="J12097" t="n">
        <v>0</v>
      </c>
      <c r="K12097" t="n">
        <v>0</v>
      </c>
      <c r="L12097" t="n">
        <v>0</v>
      </c>
      <c r="M12097" t="n">
        <v>0</v>
      </c>
      <c r="N12097" t="n">
        <v>0</v>
      </c>
      <c r="O12097" t="n">
        <v>0</v>
      </c>
      <c r="P12097" t="n">
        <v>0</v>
      </c>
      <c r="Q12097" t="n">
        <v>0</v>
      </c>
      <c r="R12097" s="2" t="inlineStr"/>
      <c r="U12097">
        <f>HYPERLINK("https://klasma.github.io/Logging_1443/knärot/A 35491-2023 karta knärot.png", "A 35491-2023")</f>
        <v/>
      </c>
      <c r="V12097">
        <f>HYPERLINK("https://klasma.github.io/Logging_1443/klagomål/A 35491-2023 FSC-klagomål.docx", "A 35491-2023")</f>
        <v/>
      </c>
      <c r="W12097">
        <f>HYPERLINK("https://klasma.github.io/Logging_1443/klagomålsmail/A 35491-2023 FSC-klagomål mail.docx", "A 35491-2023")</f>
        <v/>
      </c>
      <c r="X12097">
        <f>HYPERLINK("https://klasma.github.io/Logging_1443/tillsyn/A 35491-2023 tillsynsbegäran.docx", "A 35491-2023")</f>
        <v/>
      </c>
      <c r="Y12097">
        <f>HYPERLINK("https://klasma.github.io/Logging_1443/tillsynsmail/A 35491-2023 tillsynsbegäran mail.docx", "A 35491-2023")</f>
        <v/>
      </c>
    </row>
    <row r="12098" ht="15" customHeight="1">
      <c r="A12098" t="inlineStr">
        <is>
          <t>A 30802-2025</t>
        </is>
      </c>
      <c r="B12098" s="1" t="n">
        <v>45831.6530787037</v>
      </c>
      <c r="C12098" s="1" t="n">
        <v>45952</v>
      </c>
      <c r="D12098" t="inlineStr">
        <is>
          <t>VÄSTRA GÖTALANDS LÄN</t>
        </is>
      </c>
      <c r="E12098" t="inlineStr">
        <is>
          <t>UDDEVALLA</t>
        </is>
      </c>
      <c r="G12098" t="n">
        <v>4</v>
      </c>
      <c r="H12098" t="n">
        <v>0</v>
      </c>
      <c r="I12098" t="n">
        <v>0</v>
      </c>
      <c r="J12098" t="n">
        <v>0</v>
      </c>
      <c r="K12098" t="n">
        <v>0</v>
      </c>
      <c r="L12098" t="n">
        <v>0</v>
      </c>
      <c r="M12098" t="n">
        <v>0</v>
      </c>
      <c r="N12098" t="n">
        <v>0</v>
      </c>
      <c r="O12098" t="n">
        <v>0</v>
      </c>
      <c r="P12098" t="n">
        <v>0</v>
      </c>
      <c r="Q12098" t="n">
        <v>0</v>
      </c>
      <c r="R12098" s="2" t="inlineStr"/>
    </row>
    <row r="12099" ht="15" customHeight="1">
      <c r="A12099" t="inlineStr">
        <is>
          <t>A 59163-2023</t>
        </is>
      </c>
      <c r="B12099" s="1" t="n">
        <v>45251</v>
      </c>
      <c r="C12099" s="1" t="n">
        <v>45952</v>
      </c>
      <c r="D12099" t="inlineStr">
        <is>
          <t>VÄSTRA GÖTALANDS LÄN</t>
        </is>
      </c>
      <c r="E12099" t="inlineStr">
        <is>
          <t>MARK</t>
        </is>
      </c>
      <c r="G12099" t="n">
        <v>6.1</v>
      </c>
      <c r="H12099" t="n">
        <v>0</v>
      </c>
      <c r="I12099" t="n">
        <v>0</v>
      </c>
      <c r="J12099" t="n">
        <v>0</v>
      </c>
      <c r="K12099" t="n">
        <v>0</v>
      </c>
      <c r="L12099" t="n">
        <v>0</v>
      </c>
      <c r="M12099" t="n">
        <v>0</v>
      </c>
      <c r="N12099" t="n">
        <v>0</v>
      </c>
      <c r="O12099" t="n">
        <v>0</v>
      </c>
      <c r="P12099" t="n">
        <v>0</v>
      </c>
      <c r="Q12099" t="n">
        <v>0</v>
      </c>
      <c r="R12099" s="2" t="inlineStr"/>
    </row>
    <row r="12100" ht="15" customHeight="1">
      <c r="A12100" t="inlineStr">
        <is>
          <t>A 30832-2025</t>
        </is>
      </c>
      <c r="B12100" s="1" t="n">
        <v>45831.68861111111</v>
      </c>
      <c r="C12100" s="1" t="n">
        <v>45952</v>
      </c>
      <c r="D12100" t="inlineStr">
        <is>
          <t>VÄSTRA GÖTALANDS LÄN</t>
        </is>
      </c>
      <c r="E12100" t="inlineStr">
        <is>
          <t>TRANEMO</t>
        </is>
      </c>
      <c r="G12100" t="n">
        <v>1</v>
      </c>
      <c r="H12100" t="n">
        <v>0</v>
      </c>
      <c r="I12100" t="n">
        <v>0</v>
      </c>
      <c r="J12100" t="n">
        <v>0</v>
      </c>
      <c r="K12100" t="n">
        <v>0</v>
      </c>
      <c r="L12100" t="n">
        <v>0</v>
      </c>
      <c r="M12100" t="n">
        <v>0</v>
      </c>
      <c r="N12100" t="n">
        <v>0</v>
      </c>
      <c r="O12100" t="n">
        <v>0</v>
      </c>
      <c r="P12100" t="n">
        <v>0</v>
      </c>
      <c r="Q12100" t="n">
        <v>0</v>
      </c>
      <c r="R12100" s="2" t="inlineStr"/>
    </row>
    <row r="12101" ht="15" customHeight="1">
      <c r="A12101" t="inlineStr">
        <is>
          <t>A 26699-2024</t>
        </is>
      </c>
      <c r="B12101" s="1" t="n">
        <v>45470.38099537037</v>
      </c>
      <c r="C12101" s="1" t="n">
        <v>45952</v>
      </c>
      <c r="D12101" t="inlineStr">
        <is>
          <t>VÄSTRA GÖTALANDS LÄN</t>
        </is>
      </c>
      <c r="E12101" t="inlineStr">
        <is>
          <t>MUNKEDAL</t>
        </is>
      </c>
      <c r="G12101" t="n">
        <v>5.4</v>
      </c>
      <c r="H12101" t="n">
        <v>0</v>
      </c>
      <c r="I12101" t="n">
        <v>0</v>
      </c>
      <c r="J12101" t="n">
        <v>0</v>
      </c>
      <c r="K12101" t="n">
        <v>0</v>
      </c>
      <c r="L12101" t="n">
        <v>0</v>
      </c>
      <c r="M12101" t="n">
        <v>0</v>
      </c>
      <c r="N12101" t="n">
        <v>0</v>
      </c>
      <c r="O12101" t="n">
        <v>0</v>
      </c>
      <c r="P12101" t="n">
        <v>0</v>
      </c>
      <c r="Q12101" t="n">
        <v>0</v>
      </c>
      <c r="R12101" s="2" t="inlineStr"/>
    </row>
    <row r="12102" ht="15" customHeight="1">
      <c r="A12102" t="inlineStr">
        <is>
          <t>A 30797-2025</t>
        </is>
      </c>
      <c r="B12102" s="1" t="n">
        <v>45831.64825231482</v>
      </c>
      <c r="C12102" s="1" t="n">
        <v>45952</v>
      </c>
      <c r="D12102" t="inlineStr">
        <is>
          <t>VÄSTRA GÖTALANDS LÄN</t>
        </is>
      </c>
      <c r="E12102" t="inlineStr">
        <is>
          <t>MARK</t>
        </is>
      </c>
      <c r="G12102" t="n">
        <v>3.6</v>
      </c>
      <c r="H12102" t="n">
        <v>0</v>
      </c>
      <c r="I12102" t="n">
        <v>0</v>
      </c>
      <c r="J12102" t="n">
        <v>0</v>
      </c>
      <c r="K12102" t="n">
        <v>0</v>
      </c>
      <c r="L12102" t="n">
        <v>0</v>
      </c>
      <c r="M12102" t="n">
        <v>0</v>
      </c>
      <c r="N12102" t="n">
        <v>0</v>
      </c>
      <c r="O12102" t="n">
        <v>0</v>
      </c>
      <c r="P12102" t="n">
        <v>0</v>
      </c>
      <c r="Q12102" t="n">
        <v>0</v>
      </c>
      <c r="R12102" s="2" t="inlineStr"/>
    </row>
    <row r="12103" ht="15" customHeight="1">
      <c r="A12103" t="inlineStr">
        <is>
          <t>A 59225-2023</t>
        </is>
      </c>
      <c r="B12103" s="1" t="n">
        <v>45253</v>
      </c>
      <c r="C12103" s="1" t="n">
        <v>45952</v>
      </c>
      <c r="D12103" t="inlineStr">
        <is>
          <t>VÄSTRA GÖTALANDS LÄN</t>
        </is>
      </c>
      <c r="E12103" t="inlineStr">
        <is>
          <t>VÅRGÅRDA</t>
        </is>
      </c>
      <c r="G12103" t="n">
        <v>2</v>
      </c>
      <c r="H12103" t="n">
        <v>0</v>
      </c>
      <c r="I12103" t="n">
        <v>0</v>
      </c>
      <c r="J12103" t="n">
        <v>0</v>
      </c>
      <c r="K12103" t="n">
        <v>0</v>
      </c>
      <c r="L12103" t="n">
        <v>0</v>
      </c>
      <c r="M12103" t="n">
        <v>0</v>
      </c>
      <c r="N12103" t="n">
        <v>0</v>
      </c>
      <c r="O12103" t="n">
        <v>0</v>
      </c>
      <c r="P12103" t="n">
        <v>0</v>
      </c>
      <c r="Q12103" t="n">
        <v>0</v>
      </c>
      <c r="R12103" s="2" t="inlineStr"/>
    </row>
    <row r="12104" ht="15" customHeight="1">
      <c r="A12104" t="inlineStr">
        <is>
          <t>A 30591-2025</t>
        </is>
      </c>
      <c r="B12104" s="1" t="n">
        <v>45831.43407407407</v>
      </c>
      <c r="C12104" s="1" t="n">
        <v>45952</v>
      </c>
      <c r="D12104" t="inlineStr">
        <is>
          <t>VÄSTRA GÖTALANDS LÄN</t>
        </is>
      </c>
      <c r="E12104" t="inlineStr">
        <is>
          <t>TÖREBODA</t>
        </is>
      </c>
      <c r="G12104" t="n">
        <v>3.9</v>
      </c>
      <c r="H12104" t="n">
        <v>0</v>
      </c>
      <c r="I12104" t="n">
        <v>0</v>
      </c>
      <c r="J12104" t="n">
        <v>0</v>
      </c>
      <c r="K12104" t="n">
        <v>0</v>
      </c>
      <c r="L12104" t="n">
        <v>0</v>
      </c>
      <c r="M12104" t="n">
        <v>0</v>
      </c>
      <c r="N12104" t="n">
        <v>0</v>
      </c>
      <c r="O12104" t="n">
        <v>0</v>
      </c>
      <c r="P12104" t="n">
        <v>0</v>
      </c>
      <c r="Q12104" t="n">
        <v>0</v>
      </c>
      <c r="R12104" s="2" t="inlineStr"/>
    </row>
    <row r="12105" ht="15" customHeight="1">
      <c r="A12105" t="inlineStr">
        <is>
          <t>A 30772-2025</t>
        </is>
      </c>
      <c r="B12105" s="1" t="n">
        <v>45831.61435185185</v>
      </c>
      <c r="C12105" s="1" t="n">
        <v>45952</v>
      </c>
      <c r="D12105" t="inlineStr">
        <is>
          <t>VÄSTRA GÖTALANDS LÄN</t>
        </is>
      </c>
      <c r="E12105" t="inlineStr">
        <is>
          <t>KARLSBORG</t>
        </is>
      </c>
      <c r="G12105" t="n">
        <v>4.1</v>
      </c>
      <c r="H12105" t="n">
        <v>0</v>
      </c>
      <c r="I12105" t="n">
        <v>0</v>
      </c>
      <c r="J12105" t="n">
        <v>0</v>
      </c>
      <c r="K12105" t="n">
        <v>0</v>
      </c>
      <c r="L12105" t="n">
        <v>0</v>
      </c>
      <c r="M12105" t="n">
        <v>0</v>
      </c>
      <c r="N12105" t="n">
        <v>0</v>
      </c>
      <c r="O12105" t="n">
        <v>0</v>
      </c>
      <c r="P12105" t="n">
        <v>0</v>
      </c>
      <c r="Q12105" t="n">
        <v>0</v>
      </c>
      <c r="R12105" s="2" t="inlineStr"/>
    </row>
    <row r="12106" ht="15" customHeight="1">
      <c r="A12106" t="inlineStr">
        <is>
          <t>A 30486-2025</t>
        </is>
      </c>
      <c r="B12106" s="1" t="n">
        <v>45829.4681712963</v>
      </c>
      <c r="C12106" s="1" t="n">
        <v>45952</v>
      </c>
      <c r="D12106" t="inlineStr">
        <is>
          <t>VÄSTRA GÖTALANDS LÄN</t>
        </is>
      </c>
      <c r="E12106" t="inlineStr">
        <is>
          <t>TROLLHÄTTAN</t>
        </is>
      </c>
      <c r="G12106" t="n">
        <v>1.2</v>
      </c>
      <c r="H12106" t="n">
        <v>0</v>
      </c>
      <c r="I12106" t="n">
        <v>0</v>
      </c>
      <c r="J12106" t="n">
        <v>0</v>
      </c>
      <c r="K12106" t="n">
        <v>0</v>
      </c>
      <c r="L12106" t="n">
        <v>0</v>
      </c>
      <c r="M12106" t="n">
        <v>0</v>
      </c>
      <c r="N12106" t="n">
        <v>0</v>
      </c>
      <c r="O12106" t="n">
        <v>0</v>
      </c>
      <c r="P12106" t="n">
        <v>0</v>
      </c>
      <c r="Q12106" t="n">
        <v>0</v>
      </c>
      <c r="R12106" s="2" t="inlineStr"/>
    </row>
    <row r="12107" ht="15" customHeight="1">
      <c r="A12107" t="inlineStr">
        <is>
          <t>A 30704-2025</t>
        </is>
      </c>
      <c r="B12107" s="1" t="n">
        <v>45831.54914351852</v>
      </c>
      <c r="C12107" s="1" t="n">
        <v>45952</v>
      </c>
      <c r="D12107" t="inlineStr">
        <is>
          <t>VÄSTRA GÖTALANDS LÄN</t>
        </is>
      </c>
      <c r="E12107" t="inlineStr">
        <is>
          <t>SVENLJUNGA</t>
        </is>
      </c>
      <c r="G12107" t="n">
        <v>0.7</v>
      </c>
      <c r="H12107" t="n">
        <v>0</v>
      </c>
      <c r="I12107" t="n">
        <v>0</v>
      </c>
      <c r="J12107" t="n">
        <v>0</v>
      </c>
      <c r="K12107" t="n">
        <v>0</v>
      </c>
      <c r="L12107" t="n">
        <v>0</v>
      </c>
      <c r="M12107" t="n">
        <v>0</v>
      </c>
      <c r="N12107" t="n">
        <v>0</v>
      </c>
      <c r="O12107" t="n">
        <v>0</v>
      </c>
      <c r="P12107" t="n">
        <v>0</v>
      </c>
      <c r="Q12107" t="n">
        <v>0</v>
      </c>
      <c r="R12107" s="2" t="inlineStr"/>
    </row>
    <row r="12108" ht="15" customHeight="1">
      <c r="A12108" t="inlineStr">
        <is>
          <t>A 4724-2022</t>
        </is>
      </c>
      <c r="B12108" s="1" t="n">
        <v>44592</v>
      </c>
      <c r="C12108" s="1" t="n">
        <v>45952</v>
      </c>
      <c r="D12108" t="inlineStr">
        <is>
          <t>VÄSTRA GÖTALANDS LÄN</t>
        </is>
      </c>
      <c r="E12108" t="inlineStr">
        <is>
          <t>DALS-ED</t>
        </is>
      </c>
      <c r="G12108" t="n">
        <v>3.5</v>
      </c>
      <c r="H12108" t="n">
        <v>0</v>
      </c>
      <c r="I12108" t="n">
        <v>0</v>
      </c>
      <c r="J12108" t="n">
        <v>0</v>
      </c>
      <c r="K12108" t="n">
        <v>0</v>
      </c>
      <c r="L12108" t="n">
        <v>0</v>
      </c>
      <c r="M12108" t="n">
        <v>0</v>
      </c>
      <c r="N12108" t="n">
        <v>0</v>
      </c>
      <c r="O12108" t="n">
        <v>0</v>
      </c>
      <c r="P12108" t="n">
        <v>0</v>
      </c>
      <c r="Q12108" t="n">
        <v>0</v>
      </c>
      <c r="R12108" s="2" t="inlineStr"/>
    </row>
    <row r="12109" ht="15" customHeight="1">
      <c r="A12109" t="inlineStr">
        <is>
          <t>A 30621-2025</t>
        </is>
      </c>
      <c r="B12109" s="1" t="n">
        <v>45831.47098379629</v>
      </c>
      <c r="C12109" s="1" t="n">
        <v>45952</v>
      </c>
      <c r="D12109" t="inlineStr">
        <is>
          <t>VÄSTRA GÖTALANDS LÄN</t>
        </is>
      </c>
      <c r="E12109" t="inlineStr">
        <is>
          <t>VÄNERSBORG</t>
        </is>
      </c>
      <c r="G12109" t="n">
        <v>4.8</v>
      </c>
      <c r="H12109" t="n">
        <v>0</v>
      </c>
      <c r="I12109" t="n">
        <v>0</v>
      </c>
      <c r="J12109" t="n">
        <v>0</v>
      </c>
      <c r="K12109" t="n">
        <v>0</v>
      </c>
      <c r="L12109" t="n">
        <v>0</v>
      </c>
      <c r="M12109" t="n">
        <v>0</v>
      </c>
      <c r="N12109" t="n">
        <v>0</v>
      </c>
      <c r="O12109" t="n">
        <v>0</v>
      </c>
      <c r="P12109" t="n">
        <v>0</v>
      </c>
      <c r="Q12109" t="n">
        <v>0</v>
      </c>
      <c r="R12109" s="2" t="inlineStr"/>
    </row>
    <row r="12110" ht="15" customHeight="1">
      <c r="A12110" t="inlineStr">
        <is>
          <t>A 39464-2023</t>
        </is>
      </c>
      <c r="B12110" s="1" t="n">
        <v>45166</v>
      </c>
      <c r="C12110" s="1" t="n">
        <v>45952</v>
      </c>
      <c r="D12110" t="inlineStr">
        <is>
          <t>VÄSTRA GÖTALANDS LÄN</t>
        </is>
      </c>
      <c r="E12110" t="inlineStr">
        <is>
          <t>ULRICEHAMN</t>
        </is>
      </c>
      <c r="G12110" t="n">
        <v>3.7</v>
      </c>
      <c r="H12110" t="n">
        <v>0</v>
      </c>
      <c r="I12110" t="n">
        <v>0</v>
      </c>
      <c r="J12110" t="n">
        <v>0</v>
      </c>
      <c r="K12110" t="n">
        <v>0</v>
      </c>
      <c r="L12110" t="n">
        <v>0</v>
      </c>
      <c r="M12110" t="n">
        <v>0</v>
      </c>
      <c r="N12110" t="n">
        <v>0</v>
      </c>
      <c r="O12110" t="n">
        <v>0</v>
      </c>
      <c r="P12110" t="n">
        <v>0</v>
      </c>
      <c r="Q12110" t="n">
        <v>0</v>
      </c>
      <c r="R12110" s="2" t="inlineStr"/>
    </row>
    <row r="12111" ht="15" customHeight="1">
      <c r="A12111" t="inlineStr">
        <is>
          <t>A 39473-2023</t>
        </is>
      </c>
      <c r="B12111" s="1" t="n">
        <v>45166</v>
      </c>
      <c r="C12111" s="1" t="n">
        <v>45952</v>
      </c>
      <c r="D12111" t="inlineStr">
        <is>
          <t>VÄSTRA GÖTALANDS LÄN</t>
        </is>
      </c>
      <c r="E12111" t="inlineStr">
        <is>
          <t>ULRICEHAMN</t>
        </is>
      </c>
      <c r="G12111" t="n">
        <v>2.2</v>
      </c>
      <c r="H12111" t="n">
        <v>0</v>
      </c>
      <c r="I12111" t="n">
        <v>0</v>
      </c>
      <c r="J12111" t="n">
        <v>0</v>
      </c>
      <c r="K12111" t="n">
        <v>0</v>
      </c>
      <c r="L12111" t="n">
        <v>0</v>
      </c>
      <c r="M12111" t="n">
        <v>0</v>
      </c>
      <c r="N12111" t="n">
        <v>0</v>
      </c>
      <c r="O12111" t="n">
        <v>0</v>
      </c>
      <c r="P12111" t="n">
        <v>0</v>
      </c>
      <c r="Q12111" t="n">
        <v>0</v>
      </c>
      <c r="R12111" s="2" t="inlineStr"/>
    </row>
    <row r="12112" ht="15" customHeight="1">
      <c r="A12112" t="inlineStr">
        <is>
          <t>A 39476-2023</t>
        </is>
      </c>
      <c r="B12112" s="1" t="n">
        <v>45166</v>
      </c>
      <c r="C12112" s="1" t="n">
        <v>45952</v>
      </c>
      <c r="D12112" t="inlineStr">
        <is>
          <t>VÄSTRA GÖTALANDS LÄN</t>
        </is>
      </c>
      <c r="E12112" t="inlineStr">
        <is>
          <t>ULRICEHAMN</t>
        </is>
      </c>
      <c r="G12112" t="n">
        <v>2.3</v>
      </c>
      <c r="H12112" t="n">
        <v>0</v>
      </c>
      <c r="I12112" t="n">
        <v>0</v>
      </c>
      <c r="J12112" t="n">
        <v>0</v>
      </c>
      <c r="K12112" t="n">
        <v>0</v>
      </c>
      <c r="L12112" t="n">
        <v>0</v>
      </c>
      <c r="M12112" t="n">
        <v>0</v>
      </c>
      <c r="N12112" t="n">
        <v>0</v>
      </c>
      <c r="O12112" t="n">
        <v>0</v>
      </c>
      <c r="P12112" t="n">
        <v>0</v>
      </c>
      <c r="Q12112" t="n">
        <v>0</v>
      </c>
      <c r="R12112" s="2" t="inlineStr"/>
    </row>
    <row r="12113" ht="15" customHeight="1">
      <c r="A12113" t="inlineStr">
        <is>
          <t>A 1486-2023</t>
        </is>
      </c>
      <c r="B12113" s="1" t="n">
        <v>44937</v>
      </c>
      <c r="C12113" s="1" t="n">
        <v>45952</v>
      </c>
      <c r="D12113" t="inlineStr">
        <is>
          <t>VÄSTRA GÖTALANDS LÄN</t>
        </is>
      </c>
      <c r="E12113" t="inlineStr">
        <is>
          <t>TJÖRN</t>
        </is>
      </c>
      <c r="G12113" t="n">
        <v>0.2</v>
      </c>
      <c r="H12113" t="n">
        <v>0</v>
      </c>
      <c r="I12113" t="n">
        <v>0</v>
      </c>
      <c r="J12113" t="n">
        <v>0</v>
      </c>
      <c r="K12113" t="n">
        <v>0</v>
      </c>
      <c r="L12113" t="n">
        <v>0</v>
      </c>
      <c r="M12113" t="n">
        <v>0</v>
      </c>
      <c r="N12113" t="n">
        <v>0</v>
      </c>
      <c r="O12113" t="n">
        <v>0</v>
      </c>
      <c r="P12113" t="n">
        <v>0</v>
      </c>
      <c r="Q12113" t="n">
        <v>0</v>
      </c>
      <c r="R12113" s="2" t="inlineStr"/>
    </row>
    <row r="12114" ht="15" customHeight="1">
      <c r="A12114" t="inlineStr">
        <is>
          <t>A 54698-2022</t>
        </is>
      </c>
      <c r="B12114" s="1" t="n">
        <v>44883.50241898148</v>
      </c>
      <c r="C12114" s="1" t="n">
        <v>45952</v>
      </c>
      <c r="D12114" t="inlineStr">
        <is>
          <t>VÄSTRA GÖTALANDS LÄN</t>
        </is>
      </c>
      <c r="E12114" t="inlineStr">
        <is>
          <t>FÄRGELANDA</t>
        </is>
      </c>
      <c r="G12114" t="n">
        <v>1</v>
      </c>
      <c r="H12114" t="n">
        <v>0</v>
      </c>
      <c r="I12114" t="n">
        <v>0</v>
      </c>
      <c r="J12114" t="n">
        <v>0</v>
      </c>
      <c r="K12114" t="n">
        <v>0</v>
      </c>
      <c r="L12114" t="n">
        <v>0</v>
      </c>
      <c r="M12114" t="n">
        <v>0</v>
      </c>
      <c r="N12114" t="n">
        <v>0</v>
      </c>
      <c r="O12114" t="n">
        <v>0</v>
      </c>
      <c r="P12114" t="n">
        <v>0</v>
      </c>
      <c r="Q12114" t="n">
        <v>0</v>
      </c>
      <c r="R12114" s="2" t="inlineStr"/>
    </row>
    <row r="12115" ht="15" customHeight="1">
      <c r="A12115" t="inlineStr">
        <is>
          <t>A 1554-2023</t>
        </is>
      </c>
      <c r="B12115" s="1" t="n">
        <v>44937</v>
      </c>
      <c r="C12115" s="1" t="n">
        <v>45952</v>
      </c>
      <c r="D12115" t="inlineStr">
        <is>
          <t>VÄSTRA GÖTALANDS LÄN</t>
        </is>
      </c>
      <c r="E12115" t="inlineStr">
        <is>
          <t>TÖREBODA</t>
        </is>
      </c>
      <c r="F12115" t="inlineStr">
        <is>
          <t>Övriga statliga verk och myndigheter</t>
        </is>
      </c>
      <c r="G12115" t="n">
        <v>0.8</v>
      </c>
      <c r="H12115" t="n">
        <v>0</v>
      </c>
      <c r="I12115" t="n">
        <v>0</v>
      </c>
      <c r="J12115" t="n">
        <v>0</v>
      </c>
      <c r="K12115" t="n">
        <v>0</v>
      </c>
      <c r="L12115" t="n">
        <v>0</v>
      </c>
      <c r="M12115" t="n">
        <v>0</v>
      </c>
      <c r="N12115" t="n">
        <v>0</v>
      </c>
      <c r="O12115" t="n">
        <v>0</v>
      </c>
      <c r="P12115" t="n">
        <v>0</v>
      </c>
      <c r="Q12115" t="n">
        <v>0</v>
      </c>
      <c r="R12115" s="2" t="inlineStr"/>
    </row>
    <row r="12116" ht="15" customHeight="1">
      <c r="A12116" t="inlineStr">
        <is>
          <t>A 52277-2023</t>
        </is>
      </c>
      <c r="B12116" s="1" t="n">
        <v>45217</v>
      </c>
      <c r="C12116" s="1" t="n">
        <v>45952</v>
      </c>
      <c r="D12116" t="inlineStr">
        <is>
          <t>VÄSTRA GÖTALANDS LÄN</t>
        </is>
      </c>
      <c r="E12116" t="inlineStr">
        <is>
          <t>DALS-ED</t>
        </is>
      </c>
      <c r="F12116" t="inlineStr">
        <is>
          <t>Kyrkan</t>
        </is>
      </c>
      <c r="G12116" t="n">
        <v>1.5</v>
      </c>
      <c r="H12116" t="n">
        <v>0</v>
      </c>
      <c r="I12116" t="n">
        <v>0</v>
      </c>
      <c r="J12116" t="n">
        <v>0</v>
      </c>
      <c r="K12116" t="n">
        <v>0</v>
      </c>
      <c r="L12116" t="n">
        <v>0</v>
      </c>
      <c r="M12116" t="n">
        <v>0</v>
      </c>
      <c r="N12116" t="n">
        <v>0</v>
      </c>
      <c r="O12116" t="n">
        <v>0</v>
      </c>
      <c r="P12116" t="n">
        <v>0</v>
      </c>
      <c r="Q12116" t="n">
        <v>0</v>
      </c>
      <c r="R12116" s="2" t="inlineStr"/>
    </row>
    <row r="12117" ht="15" customHeight="1">
      <c r="A12117" t="inlineStr">
        <is>
          <t>A 37356-2023</t>
        </is>
      </c>
      <c r="B12117" s="1" t="n">
        <v>45156.47878472223</v>
      </c>
      <c r="C12117" s="1" t="n">
        <v>45952</v>
      </c>
      <c r="D12117" t="inlineStr">
        <is>
          <t>VÄSTRA GÖTALANDS LÄN</t>
        </is>
      </c>
      <c r="E12117" t="inlineStr">
        <is>
          <t>BENGTSFORS</t>
        </is>
      </c>
      <c r="G12117" t="n">
        <v>1.5</v>
      </c>
      <c r="H12117" t="n">
        <v>0</v>
      </c>
      <c r="I12117" t="n">
        <v>0</v>
      </c>
      <c r="J12117" t="n">
        <v>0</v>
      </c>
      <c r="K12117" t="n">
        <v>0</v>
      </c>
      <c r="L12117" t="n">
        <v>0</v>
      </c>
      <c r="M12117" t="n">
        <v>0</v>
      </c>
      <c r="N12117" t="n">
        <v>0</v>
      </c>
      <c r="O12117" t="n">
        <v>0</v>
      </c>
      <c r="P12117" t="n">
        <v>0</v>
      </c>
      <c r="Q12117" t="n">
        <v>0</v>
      </c>
      <c r="R12117" s="2" t="inlineStr"/>
    </row>
    <row r="12118" ht="15" customHeight="1">
      <c r="A12118" t="inlineStr">
        <is>
          <t>A 37371-2023</t>
        </is>
      </c>
      <c r="B12118" s="1" t="n">
        <v>45156.51420138889</v>
      </c>
      <c r="C12118" s="1" t="n">
        <v>45952</v>
      </c>
      <c r="D12118" t="inlineStr">
        <is>
          <t>VÄSTRA GÖTALANDS LÄN</t>
        </is>
      </c>
      <c r="E12118" t="inlineStr">
        <is>
          <t>TROLLHÄTTAN</t>
        </is>
      </c>
      <c r="G12118" t="n">
        <v>2.1</v>
      </c>
      <c r="H12118" t="n">
        <v>0</v>
      </c>
      <c r="I12118" t="n">
        <v>0</v>
      </c>
      <c r="J12118" t="n">
        <v>0</v>
      </c>
      <c r="K12118" t="n">
        <v>0</v>
      </c>
      <c r="L12118" t="n">
        <v>0</v>
      </c>
      <c r="M12118" t="n">
        <v>0</v>
      </c>
      <c r="N12118" t="n">
        <v>0</v>
      </c>
      <c r="O12118" t="n">
        <v>0</v>
      </c>
      <c r="P12118" t="n">
        <v>0</v>
      </c>
      <c r="Q12118" t="n">
        <v>0</v>
      </c>
      <c r="R12118" s="2" t="inlineStr"/>
    </row>
    <row r="12119" ht="15" customHeight="1">
      <c r="A12119" t="inlineStr">
        <is>
          <t>A 37394-2023</t>
        </is>
      </c>
      <c r="B12119" s="1" t="n">
        <v>45155</v>
      </c>
      <c r="C12119" s="1" t="n">
        <v>45952</v>
      </c>
      <c r="D12119" t="inlineStr">
        <is>
          <t>VÄSTRA GÖTALANDS LÄN</t>
        </is>
      </c>
      <c r="E12119" t="inlineStr">
        <is>
          <t>BENGTSFORS</t>
        </is>
      </c>
      <c r="G12119" t="n">
        <v>2.1</v>
      </c>
      <c r="H12119" t="n">
        <v>0</v>
      </c>
      <c r="I12119" t="n">
        <v>0</v>
      </c>
      <c r="J12119" t="n">
        <v>0</v>
      </c>
      <c r="K12119" t="n">
        <v>0</v>
      </c>
      <c r="L12119" t="n">
        <v>0</v>
      </c>
      <c r="M12119" t="n">
        <v>0</v>
      </c>
      <c r="N12119" t="n">
        <v>0</v>
      </c>
      <c r="O12119" t="n">
        <v>0</v>
      </c>
      <c r="P12119" t="n">
        <v>0</v>
      </c>
      <c r="Q12119" t="n">
        <v>0</v>
      </c>
      <c r="R12119" s="2" t="inlineStr"/>
    </row>
    <row r="12120" ht="15" customHeight="1">
      <c r="A12120" t="inlineStr">
        <is>
          <t>A 40261-2024</t>
        </is>
      </c>
      <c r="B12120" s="1" t="n">
        <v>45554.63262731482</v>
      </c>
      <c r="C12120" s="1" t="n">
        <v>45952</v>
      </c>
      <c r="D12120" t="inlineStr">
        <is>
          <t>VÄSTRA GÖTALANDS LÄN</t>
        </is>
      </c>
      <c r="E12120" t="inlineStr">
        <is>
          <t>ÅMÅL</t>
        </is>
      </c>
      <c r="G12120" t="n">
        <v>0.6</v>
      </c>
      <c r="H12120" t="n">
        <v>0</v>
      </c>
      <c r="I12120" t="n">
        <v>0</v>
      </c>
      <c r="J12120" t="n">
        <v>0</v>
      </c>
      <c r="K12120" t="n">
        <v>0</v>
      </c>
      <c r="L12120" t="n">
        <v>0</v>
      </c>
      <c r="M12120" t="n">
        <v>0</v>
      </c>
      <c r="N12120" t="n">
        <v>0</v>
      </c>
      <c r="O12120" t="n">
        <v>0</v>
      </c>
      <c r="P12120" t="n">
        <v>0</v>
      </c>
      <c r="Q12120" t="n">
        <v>0</v>
      </c>
      <c r="R12120" s="2" t="inlineStr"/>
    </row>
    <row r="12121" ht="15" customHeight="1">
      <c r="A12121" t="inlineStr">
        <is>
          <t>A 5770-2023</t>
        </is>
      </c>
      <c r="B12121" s="1" t="n">
        <v>44963.37232638889</v>
      </c>
      <c r="C12121" s="1" t="n">
        <v>45952</v>
      </c>
      <c r="D12121" t="inlineStr">
        <is>
          <t>VÄSTRA GÖTALANDS LÄN</t>
        </is>
      </c>
      <c r="E12121" t="inlineStr">
        <is>
          <t>HJO</t>
        </is>
      </c>
      <c r="G12121" t="n">
        <v>1.7</v>
      </c>
      <c r="H12121" t="n">
        <v>0</v>
      </c>
      <c r="I12121" t="n">
        <v>0</v>
      </c>
      <c r="J12121" t="n">
        <v>0</v>
      </c>
      <c r="K12121" t="n">
        <v>0</v>
      </c>
      <c r="L12121" t="n">
        <v>0</v>
      </c>
      <c r="M12121" t="n">
        <v>0</v>
      </c>
      <c r="N12121" t="n">
        <v>0</v>
      </c>
      <c r="O12121" t="n">
        <v>0</v>
      </c>
      <c r="P12121" t="n">
        <v>0</v>
      </c>
      <c r="Q12121" t="n">
        <v>0</v>
      </c>
      <c r="R12121" s="2" t="inlineStr"/>
    </row>
    <row r="12122" ht="15" customHeight="1">
      <c r="A12122" t="inlineStr">
        <is>
          <t>A 60793-2023</t>
        </is>
      </c>
      <c r="B12122" s="1" t="n">
        <v>45260.6534375</v>
      </c>
      <c r="C12122" s="1" t="n">
        <v>45952</v>
      </c>
      <c r="D12122" t="inlineStr">
        <is>
          <t>VÄSTRA GÖTALANDS LÄN</t>
        </is>
      </c>
      <c r="E12122" t="inlineStr">
        <is>
          <t>TJÖRN</t>
        </is>
      </c>
      <c r="G12122" t="n">
        <v>0.7</v>
      </c>
      <c r="H12122" t="n">
        <v>0</v>
      </c>
      <c r="I12122" t="n">
        <v>0</v>
      </c>
      <c r="J12122" t="n">
        <v>0</v>
      </c>
      <c r="K12122" t="n">
        <v>0</v>
      </c>
      <c r="L12122" t="n">
        <v>0</v>
      </c>
      <c r="M12122" t="n">
        <v>0</v>
      </c>
      <c r="N12122" t="n">
        <v>0</v>
      </c>
      <c r="O12122" t="n">
        <v>0</v>
      </c>
      <c r="P12122" t="n">
        <v>0</v>
      </c>
      <c r="Q12122" t="n">
        <v>0</v>
      </c>
      <c r="R12122" s="2" t="inlineStr"/>
    </row>
    <row r="12123" ht="15" customHeight="1">
      <c r="A12123" t="inlineStr">
        <is>
          <t>A 23581-2021</t>
        </is>
      </c>
      <c r="B12123" s="1" t="n">
        <v>44334</v>
      </c>
      <c r="C12123" s="1" t="n">
        <v>45952</v>
      </c>
      <c r="D12123" t="inlineStr">
        <is>
          <t>VÄSTRA GÖTALANDS LÄN</t>
        </is>
      </c>
      <c r="E12123" t="inlineStr">
        <is>
          <t>ULRICEHAMN</t>
        </is>
      </c>
      <c r="F12123" t="inlineStr">
        <is>
          <t>Kommuner</t>
        </is>
      </c>
      <c r="G12123" t="n">
        <v>1.2</v>
      </c>
      <c r="H12123" t="n">
        <v>0</v>
      </c>
      <c r="I12123" t="n">
        <v>0</v>
      </c>
      <c r="J12123" t="n">
        <v>0</v>
      </c>
      <c r="K12123" t="n">
        <v>0</v>
      </c>
      <c r="L12123" t="n">
        <v>0</v>
      </c>
      <c r="M12123" t="n">
        <v>0</v>
      </c>
      <c r="N12123" t="n">
        <v>0</v>
      </c>
      <c r="O12123" t="n">
        <v>0</v>
      </c>
      <c r="P12123" t="n">
        <v>0</v>
      </c>
      <c r="Q12123" t="n">
        <v>0</v>
      </c>
      <c r="R12123" s="2" t="inlineStr"/>
    </row>
    <row r="12124" ht="15" customHeight="1">
      <c r="A12124" t="inlineStr">
        <is>
          <t>A 23650-2021</t>
        </is>
      </c>
      <c r="B12124" s="1" t="n">
        <v>44334.59101851852</v>
      </c>
      <c r="C12124" s="1" t="n">
        <v>45952</v>
      </c>
      <c r="D12124" t="inlineStr">
        <is>
          <t>VÄSTRA GÖTALANDS LÄN</t>
        </is>
      </c>
      <c r="E12124" t="inlineStr">
        <is>
          <t>BENGTSFORS</t>
        </is>
      </c>
      <c r="G12124" t="n">
        <v>1.4</v>
      </c>
      <c r="H12124" t="n">
        <v>0</v>
      </c>
      <c r="I12124" t="n">
        <v>0</v>
      </c>
      <c r="J12124" t="n">
        <v>0</v>
      </c>
      <c r="K12124" t="n">
        <v>0</v>
      </c>
      <c r="L12124" t="n">
        <v>0</v>
      </c>
      <c r="M12124" t="n">
        <v>0</v>
      </c>
      <c r="N12124" t="n">
        <v>0</v>
      </c>
      <c r="O12124" t="n">
        <v>0</v>
      </c>
      <c r="P12124" t="n">
        <v>0</v>
      </c>
      <c r="Q12124" t="n">
        <v>0</v>
      </c>
      <c r="R12124" s="2" t="inlineStr"/>
    </row>
    <row r="12125" ht="15" customHeight="1">
      <c r="A12125" t="inlineStr">
        <is>
          <t>A 61336-2021</t>
        </is>
      </c>
      <c r="B12125" s="1" t="n">
        <v>44498.68288194444</v>
      </c>
      <c r="C12125" s="1" t="n">
        <v>45952</v>
      </c>
      <c r="D12125" t="inlineStr">
        <is>
          <t>VÄSTRA GÖTALANDS LÄN</t>
        </is>
      </c>
      <c r="E12125" t="inlineStr">
        <is>
          <t>MUNKEDAL</t>
        </is>
      </c>
      <c r="G12125" t="n">
        <v>4</v>
      </c>
      <c r="H12125" t="n">
        <v>0</v>
      </c>
      <c r="I12125" t="n">
        <v>0</v>
      </c>
      <c r="J12125" t="n">
        <v>0</v>
      </c>
      <c r="K12125" t="n">
        <v>0</v>
      </c>
      <c r="L12125" t="n">
        <v>0</v>
      </c>
      <c r="M12125" t="n">
        <v>0</v>
      </c>
      <c r="N12125" t="n">
        <v>0</v>
      </c>
      <c r="O12125" t="n">
        <v>0</v>
      </c>
      <c r="P12125" t="n">
        <v>0</v>
      </c>
      <c r="Q12125" t="n">
        <v>0</v>
      </c>
      <c r="R12125" s="2" t="inlineStr"/>
    </row>
    <row r="12126" ht="15" customHeight="1">
      <c r="A12126" t="inlineStr">
        <is>
          <t>A 11216-2025</t>
        </is>
      </c>
      <c r="B12126" s="1" t="n">
        <v>45726.33575231482</v>
      </c>
      <c r="C12126" s="1" t="n">
        <v>45952</v>
      </c>
      <c r="D12126" t="inlineStr">
        <is>
          <t>VÄSTRA GÖTALANDS LÄN</t>
        </is>
      </c>
      <c r="E12126" t="inlineStr">
        <is>
          <t>SVENLJUNGA</t>
        </is>
      </c>
      <c r="G12126" t="n">
        <v>0.4</v>
      </c>
      <c r="H12126" t="n">
        <v>0</v>
      </c>
      <c r="I12126" t="n">
        <v>0</v>
      </c>
      <c r="J12126" t="n">
        <v>0</v>
      </c>
      <c r="K12126" t="n">
        <v>0</v>
      </c>
      <c r="L12126" t="n">
        <v>0</v>
      </c>
      <c r="M12126" t="n">
        <v>0</v>
      </c>
      <c r="N12126" t="n">
        <v>0</v>
      </c>
      <c r="O12126" t="n">
        <v>0</v>
      </c>
      <c r="P12126" t="n">
        <v>0</v>
      </c>
      <c r="Q12126" t="n">
        <v>0</v>
      </c>
      <c r="R12126" s="2" t="inlineStr"/>
    </row>
    <row r="12127" ht="15" customHeight="1">
      <c r="A12127" t="inlineStr">
        <is>
          <t>A 1780-2023</t>
        </is>
      </c>
      <c r="B12127" s="1" t="n">
        <v>44938.598125</v>
      </c>
      <c r="C12127" s="1" t="n">
        <v>45952</v>
      </c>
      <c r="D12127" t="inlineStr">
        <is>
          <t>VÄSTRA GÖTALANDS LÄN</t>
        </is>
      </c>
      <c r="E12127" t="inlineStr">
        <is>
          <t>SKÖVDE</t>
        </is>
      </c>
      <c r="G12127" t="n">
        <v>0.6</v>
      </c>
      <c r="H12127" t="n">
        <v>0</v>
      </c>
      <c r="I12127" t="n">
        <v>0</v>
      </c>
      <c r="J12127" t="n">
        <v>0</v>
      </c>
      <c r="K12127" t="n">
        <v>0</v>
      </c>
      <c r="L12127" t="n">
        <v>0</v>
      </c>
      <c r="M12127" t="n">
        <v>0</v>
      </c>
      <c r="N12127" t="n">
        <v>0</v>
      </c>
      <c r="O12127" t="n">
        <v>0</v>
      </c>
      <c r="P12127" t="n">
        <v>0</v>
      </c>
      <c r="Q12127" t="n">
        <v>0</v>
      </c>
      <c r="R12127" s="2" t="inlineStr"/>
    </row>
    <row r="12128" ht="15" customHeight="1">
      <c r="A12128" t="inlineStr">
        <is>
          <t>A 52481-2021</t>
        </is>
      </c>
      <c r="B12128" s="1" t="n">
        <v>44466.41472222222</v>
      </c>
      <c r="C12128" s="1" t="n">
        <v>45952</v>
      </c>
      <c r="D12128" t="inlineStr">
        <is>
          <t>VÄSTRA GÖTALANDS LÄN</t>
        </is>
      </c>
      <c r="E12128" t="inlineStr">
        <is>
          <t>ULRICEHAMN</t>
        </is>
      </c>
      <c r="G12128" t="n">
        <v>11.9</v>
      </c>
      <c r="H12128" t="n">
        <v>0</v>
      </c>
      <c r="I12128" t="n">
        <v>0</v>
      </c>
      <c r="J12128" t="n">
        <v>0</v>
      </c>
      <c r="K12128" t="n">
        <v>0</v>
      </c>
      <c r="L12128" t="n">
        <v>0</v>
      </c>
      <c r="M12128" t="n">
        <v>0</v>
      </c>
      <c r="N12128" t="n">
        <v>0</v>
      </c>
      <c r="O12128" t="n">
        <v>0</v>
      </c>
      <c r="P12128" t="n">
        <v>0</v>
      </c>
      <c r="Q12128" t="n">
        <v>0</v>
      </c>
      <c r="R12128" s="2" t="inlineStr"/>
    </row>
    <row r="12129" ht="15" customHeight="1">
      <c r="A12129" t="inlineStr">
        <is>
          <t>A 18456-2025</t>
        </is>
      </c>
      <c r="B12129" s="1" t="n">
        <v>45762.67017361111</v>
      </c>
      <c r="C12129" s="1" t="n">
        <v>45952</v>
      </c>
      <c r="D12129" t="inlineStr">
        <is>
          <t>VÄSTRA GÖTALANDS LÄN</t>
        </is>
      </c>
      <c r="E12129" t="inlineStr">
        <is>
          <t>DALS-ED</t>
        </is>
      </c>
      <c r="G12129" t="n">
        <v>3.7</v>
      </c>
      <c r="H12129" t="n">
        <v>0</v>
      </c>
      <c r="I12129" t="n">
        <v>0</v>
      </c>
      <c r="J12129" t="n">
        <v>0</v>
      </c>
      <c r="K12129" t="n">
        <v>0</v>
      </c>
      <c r="L12129" t="n">
        <v>0</v>
      </c>
      <c r="M12129" t="n">
        <v>0</v>
      </c>
      <c r="N12129" t="n">
        <v>0</v>
      </c>
      <c r="O12129" t="n">
        <v>0</v>
      </c>
      <c r="P12129" t="n">
        <v>0</v>
      </c>
      <c r="Q12129" t="n">
        <v>0</v>
      </c>
      <c r="R12129" s="2" t="inlineStr"/>
    </row>
    <row r="12130" ht="15" customHeight="1">
      <c r="A12130" t="inlineStr">
        <is>
          <t>A 18499-2025</t>
        </is>
      </c>
      <c r="B12130" s="1" t="n">
        <v>45763.36215277778</v>
      </c>
      <c r="C12130" s="1" t="n">
        <v>45952</v>
      </c>
      <c r="D12130" t="inlineStr">
        <is>
          <t>VÄSTRA GÖTALANDS LÄN</t>
        </is>
      </c>
      <c r="E12130" t="inlineStr">
        <is>
          <t>SVENLJUNGA</t>
        </is>
      </c>
      <c r="G12130" t="n">
        <v>0.8</v>
      </c>
      <c r="H12130" t="n">
        <v>0</v>
      </c>
      <c r="I12130" t="n">
        <v>0</v>
      </c>
      <c r="J12130" t="n">
        <v>0</v>
      </c>
      <c r="K12130" t="n">
        <v>0</v>
      </c>
      <c r="L12130" t="n">
        <v>0</v>
      </c>
      <c r="M12130" t="n">
        <v>0</v>
      </c>
      <c r="N12130" t="n">
        <v>0</v>
      </c>
      <c r="O12130" t="n">
        <v>0</v>
      </c>
      <c r="P12130" t="n">
        <v>0</v>
      </c>
      <c r="Q12130" t="n">
        <v>0</v>
      </c>
      <c r="R12130" s="2" t="inlineStr"/>
    </row>
    <row r="12131" ht="15" customHeight="1">
      <c r="A12131" t="inlineStr">
        <is>
          <t>A 18520-2025</t>
        </is>
      </c>
      <c r="B12131" s="1" t="n">
        <v>45763.39306712963</v>
      </c>
      <c r="C12131" s="1" t="n">
        <v>45952</v>
      </c>
      <c r="D12131" t="inlineStr">
        <is>
          <t>VÄSTRA GÖTALANDS LÄN</t>
        </is>
      </c>
      <c r="E12131" t="inlineStr">
        <is>
          <t>DALS-ED</t>
        </is>
      </c>
      <c r="G12131" t="n">
        <v>1.8</v>
      </c>
      <c r="H12131" t="n">
        <v>0</v>
      </c>
      <c r="I12131" t="n">
        <v>0</v>
      </c>
      <c r="J12131" t="n">
        <v>0</v>
      </c>
      <c r="K12131" t="n">
        <v>0</v>
      </c>
      <c r="L12131" t="n">
        <v>0</v>
      </c>
      <c r="M12131" t="n">
        <v>0</v>
      </c>
      <c r="N12131" t="n">
        <v>0</v>
      </c>
      <c r="O12131" t="n">
        <v>0</v>
      </c>
      <c r="P12131" t="n">
        <v>0</v>
      </c>
      <c r="Q12131" t="n">
        <v>0</v>
      </c>
      <c r="R12131" s="2" t="inlineStr"/>
    </row>
    <row r="12132" ht="15" customHeight="1">
      <c r="A12132" t="inlineStr">
        <is>
          <t>A 18523-2025</t>
        </is>
      </c>
      <c r="B12132" s="1" t="n">
        <v>45763.39765046296</v>
      </c>
      <c r="C12132" s="1" t="n">
        <v>45952</v>
      </c>
      <c r="D12132" t="inlineStr">
        <is>
          <t>VÄSTRA GÖTALANDS LÄN</t>
        </is>
      </c>
      <c r="E12132" t="inlineStr">
        <is>
          <t>DALS-ED</t>
        </is>
      </c>
      <c r="G12132" t="n">
        <v>2.1</v>
      </c>
      <c r="H12132" t="n">
        <v>0</v>
      </c>
      <c r="I12132" t="n">
        <v>0</v>
      </c>
      <c r="J12132" t="n">
        <v>0</v>
      </c>
      <c r="K12132" t="n">
        <v>0</v>
      </c>
      <c r="L12132" t="n">
        <v>0</v>
      </c>
      <c r="M12132" t="n">
        <v>0</v>
      </c>
      <c r="N12132" t="n">
        <v>0</v>
      </c>
      <c r="O12132" t="n">
        <v>0</v>
      </c>
      <c r="P12132" t="n">
        <v>0</v>
      </c>
      <c r="Q12132" t="n">
        <v>0</v>
      </c>
      <c r="R12132" s="2" t="inlineStr"/>
    </row>
    <row r="12133" ht="15" customHeight="1">
      <c r="A12133" t="inlineStr">
        <is>
          <t>A 59169-2024</t>
        </is>
      </c>
      <c r="B12133" s="1" t="n">
        <v>45637.49137731481</v>
      </c>
      <c r="C12133" s="1" t="n">
        <v>45952</v>
      </c>
      <c r="D12133" t="inlineStr">
        <is>
          <t>VÄSTRA GÖTALANDS LÄN</t>
        </is>
      </c>
      <c r="E12133" t="inlineStr">
        <is>
          <t>BENGTSFORS</t>
        </is>
      </c>
      <c r="G12133" t="n">
        <v>1.5</v>
      </c>
      <c r="H12133" t="n">
        <v>0</v>
      </c>
      <c r="I12133" t="n">
        <v>0</v>
      </c>
      <c r="J12133" t="n">
        <v>0</v>
      </c>
      <c r="K12133" t="n">
        <v>0</v>
      </c>
      <c r="L12133" t="n">
        <v>0</v>
      </c>
      <c r="M12133" t="n">
        <v>0</v>
      </c>
      <c r="N12133" t="n">
        <v>0</v>
      </c>
      <c r="O12133" t="n">
        <v>0</v>
      </c>
      <c r="P12133" t="n">
        <v>0</v>
      </c>
      <c r="Q12133" t="n">
        <v>0</v>
      </c>
      <c r="R12133" s="2" t="inlineStr"/>
    </row>
    <row r="12134" ht="15" customHeight="1">
      <c r="A12134" t="inlineStr">
        <is>
          <t>A 59177-2024</t>
        </is>
      </c>
      <c r="B12134" s="1" t="n">
        <v>45637.50666666667</v>
      </c>
      <c r="C12134" s="1" t="n">
        <v>45952</v>
      </c>
      <c r="D12134" t="inlineStr">
        <is>
          <t>VÄSTRA GÖTALANDS LÄN</t>
        </is>
      </c>
      <c r="E12134" t="inlineStr">
        <is>
          <t>MARK</t>
        </is>
      </c>
      <c r="G12134" t="n">
        <v>4.2</v>
      </c>
      <c r="H12134" t="n">
        <v>0</v>
      </c>
      <c r="I12134" t="n">
        <v>0</v>
      </c>
      <c r="J12134" t="n">
        <v>0</v>
      </c>
      <c r="K12134" t="n">
        <v>0</v>
      </c>
      <c r="L12134" t="n">
        <v>0</v>
      </c>
      <c r="M12134" t="n">
        <v>0</v>
      </c>
      <c r="N12134" t="n">
        <v>0</v>
      </c>
      <c r="O12134" t="n">
        <v>0</v>
      </c>
      <c r="P12134" t="n">
        <v>0</v>
      </c>
      <c r="Q12134" t="n">
        <v>0</v>
      </c>
      <c r="R12134" s="2" t="inlineStr"/>
    </row>
    <row r="12135" ht="15" customHeight="1">
      <c r="A12135" t="inlineStr">
        <is>
          <t>A 62463-2023</t>
        </is>
      </c>
      <c r="B12135" s="1" t="n">
        <v>45268.52193287037</v>
      </c>
      <c r="C12135" s="1" t="n">
        <v>45952</v>
      </c>
      <c r="D12135" t="inlineStr">
        <is>
          <t>VÄSTRA GÖTALANDS LÄN</t>
        </is>
      </c>
      <c r="E12135" t="inlineStr">
        <is>
          <t>MUNKEDAL</t>
        </is>
      </c>
      <c r="G12135" t="n">
        <v>3</v>
      </c>
      <c r="H12135" t="n">
        <v>0</v>
      </c>
      <c r="I12135" t="n">
        <v>0</v>
      </c>
      <c r="J12135" t="n">
        <v>0</v>
      </c>
      <c r="K12135" t="n">
        <v>0</v>
      </c>
      <c r="L12135" t="n">
        <v>0</v>
      </c>
      <c r="M12135" t="n">
        <v>0</v>
      </c>
      <c r="N12135" t="n">
        <v>0</v>
      </c>
      <c r="O12135" t="n">
        <v>0</v>
      </c>
      <c r="P12135" t="n">
        <v>0</v>
      </c>
      <c r="Q12135" t="n">
        <v>0</v>
      </c>
      <c r="R12135" s="2" t="inlineStr"/>
    </row>
    <row r="12136" ht="15" customHeight="1">
      <c r="A12136" t="inlineStr">
        <is>
          <t>A 62490-2023</t>
        </is>
      </c>
      <c r="B12136" s="1" t="n">
        <v>45267</v>
      </c>
      <c r="C12136" s="1" t="n">
        <v>45952</v>
      </c>
      <c r="D12136" t="inlineStr">
        <is>
          <t>VÄSTRA GÖTALANDS LÄN</t>
        </is>
      </c>
      <c r="E12136" t="inlineStr">
        <is>
          <t>SVENLJUNGA</t>
        </is>
      </c>
      <c r="G12136" t="n">
        <v>2.4</v>
      </c>
      <c r="H12136" t="n">
        <v>0</v>
      </c>
      <c r="I12136" t="n">
        <v>0</v>
      </c>
      <c r="J12136" t="n">
        <v>0</v>
      </c>
      <c r="K12136" t="n">
        <v>0</v>
      </c>
      <c r="L12136" t="n">
        <v>0</v>
      </c>
      <c r="M12136" t="n">
        <v>0</v>
      </c>
      <c r="N12136" t="n">
        <v>0</v>
      </c>
      <c r="O12136" t="n">
        <v>0</v>
      </c>
      <c r="P12136" t="n">
        <v>0</v>
      </c>
      <c r="Q12136" t="n">
        <v>0</v>
      </c>
      <c r="R12136" s="2" t="inlineStr"/>
    </row>
    <row r="12137" ht="15" customHeight="1">
      <c r="A12137" t="inlineStr">
        <is>
          <t>A 63173-2023</t>
        </is>
      </c>
      <c r="B12137" s="1" t="n">
        <v>45273.5737962963</v>
      </c>
      <c r="C12137" s="1" t="n">
        <v>45952</v>
      </c>
      <c r="D12137" t="inlineStr">
        <is>
          <t>VÄSTRA GÖTALANDS LÄN</t>
        </is>
      </c>
      <c r="E12137" t="inlineStr">
        <is>
          <t>TANUM</t>
        </is>
      </c>
      <c r="G12137" t="n">
        <v>5.5</v>
      </c>
      <c r="H12137" t="n">
        <v>0</v>
      </c>
      <c r="I12137" t="n">
        <v>0</v>
      </c>
      <c r="J12137" t="n">
        <v>0</v>
      </c>
      <c r="K12137" t="n">
        <v>0</v>
      </c>
      <c r="L12137" t="n">
        <v>0</v>
      </c>
      <c r="M12137" t="n">
        <v>0</v>
      </c>
      <c r="N12137" t="n">
        <v>0</v>
      </c>
      <c r="O12137" t="n">
        <v>0</v>
      </c>
      <c r="P12137" t="n">
        <v>0</v>
      </c>
      <c r="Q12137" t="n">
        <v>0</v>
      </c>
      <c r="R12137" s="2" t="inlineStr"/>
    </row>
    <row r="12138" ht="15" customHeight="1">
      <c r="A12138" t="inlineStr">
        <is>
          <t>A 30708-2025</t>
        </is>
      </c>
      <c r="B12138" s="1" t="n">
        <v>45831.55090277778</v>
      </c>
      <c r="C12138" s="1" t="n">
        <v>45952</v>
      </c>
      <c r="D12138" t="inlineStr">
        <is>
          <t>VÄSTRA GÖTALANDS LÄN</t>
        </is>
      </c>
      <c r="E12138" t="inlineStr">
        <is>
          <t>DALS-ED</t>
        </is>
      </c>
      <c r="G12138" t="n">
        <v>1.8</v>
      </c>
      <c r="H12138" t="n">
        <v>0</v>
      </c>
      <c r="I12138" t="n">
        <v>0</v>
      </c>
      <c r="J12138" t="n">
        <v>0</v>
      </c>
      <c r="K12138" t="n">
        <v>0</v>
      </c>
      <c r="L12138" t="n">
        <v>0</v>
      </c>
      <c r="M12138" t="n">
        <v>0</v>
      </c>
      <c r="N12138" t="n">
        <v>0</v>
      </c>
      <c r="O12138" t="n">
        <v>0</v>
      </c>
      <c r="P12138" t="n">
        <v>0</v>
      </c>
      <c r="Q12138" t="n">
        <v>0</v>
      </c>
      <c r="R12138" s="2" t="inlineStr"/>
    </row>
    <row r="12139" ht="15" customHeight="1">
      <c r="A12139" t="inlineStr">
        <is>
          <t>A 19289-2025</t>
        </is>
      </c>
      <c r="B12139" s="1" t="n">
        <v>45769</v>
      </c>
      <c r="C12139" s="1" t="n">
        <v>45952</v>
      </c>
      <c r="D12139" t="inlineStr">
        <is>
          <t>VÄSTRA GÖTALANDS LÄN</t>
        </is>
      </c>
      <c r="E12139" t="inlineStr">
        <is>
          <t>MUNKEDAL</t>
        </is>
      </c>
      <c r="G12139" t="n">
        <v>1.9</v>
      </c>
      <c r="H12139" t="n">
        <v>0</v>
      </c>
      <c r="I12139" t="n">
        <v>0</v>
      </c>
      <c r="J12139" t="n">
        <v>0</v>
      </c>
      <c r="K12139" t="n">
        <v>0</v>
      </c>
      <c r="L12139" t="n">
        <v>0</v>
      </c>
      <c r="M12139" t="n">
        <v>0</v>
      </c>
      <c r="N12139" t="n">
        <v>0</v>
      </c>
      <c r="O12139" t="n">
        <v>0</v>
      </c>
      <c r="P12139" t="n">
        <v>0</v>
      </c>
      <c r="Q12139" t="n">
        <v>0</v>
      </c>
      <c r="R12139" s="2" t="inlineStr"/>
    </row>
    <row r="12140" ht="15" customHeight="1">
      <c r="A12140" t="inlineStr">
        <is>
          <t>A 34075-2023</t>
        </is>
      </c>
      <c r="B12140" s="1" t="n">
        <v>45135.49209490741</v>
      </c>
      <c r="C12140" s="1" t="n">
        <v>45952</v>
      </c>
      <c r="D12140" t="inlineStr">
        <is>
          <t>VÄSTRA GÖTALANDS LÄN</t>
        </is>
      </c>
      <c r="E12140" t="inlineStr">
        <is>
          <t>MARK</t>
        </is>
      </c>
      <c r="G12140" t="n">
        <v>0.9</v>
      </c>
      <c r="H12140" t="n">
        <v>0</v>
      </c>
      <c r="I12140" t="n">
        <v>0</v>
      </c>
      <c r="J12140" t="n">
        <v>0</v>
      </c>
      <c r="K12140" t="n">
        <v>0</v>
      </c>
      <c r="L12140" t="n">
        <v>0</v>
      </c>
      <c r="M12140" t="n">
        <v>0</v>
      </c>
      <c r="N12140" t="n">
        <v>0</v>
      </c>
      <c r="O12140" t="n">
        <v>0</v>
      </c>
      <c r="P12140" t="n">
        <v>0</v>
      </c>
      <c r="Q12140" t="n">
        <v>0</v>
      </c>
      <c r="R12140" s="2" t="inlineStr"/>
    </row>
    <row r="12141" ht="15" customHeight="1">
      <c r="A12141" t="inlineStr">
        <is>
          <t>A 34665-2023</t>
        </is>
      </c>
      <c r="B12141" s="1" t="n">
        <v>45140.81900462963</v>
      </c>
      <c r="C12141" s="1" t="n">
        <v>45952</v>
      </c>
      <c r="D12141" t="inlineStr">
        <is>
          <t>VÄSTRA GÖTALANDS LÄN</t>
        </is>
      </c>
      <c r="E12141" t="inlineStr">
        <is>
          <t>HÄRRYDA</t>
        </is>
      </c>
      <c r="G12141" t="n">
        <v>2.3</v>
      </c>
      <c r="H12141" t="n">
        <v>0</v>
      </c>
      <c r="I12141" t="n">
        <v>0</v>
      </c>
      <c r="J12141" t="n">
        <v>0</v>
      </c>
      <c r="K12141" t="n">
        <v>0</v>
      </c>
      <c r="L12141" t="n">
        <v>0</v>
      </c>
      <c r="M12141" t="n">
        <v>0</v>
      </c>
      <c r="N12141" t="n">
        <v>0</v>
      </c>
      <c r="O12141" t="n">
        <v>0</v>
      </c>
      <c r="P12141" t="n">
        <v>0</v>
      </c>
      <c r="Q12141" t="n">
        <v>0</v>
      </c>
      <c r="R12141" s="2" t="inlineStr"/>
    </row>
    <row r="12142" ht="15" customHeight="1">
      <c r="A12142" t="inlineStr">
        <is>
          <t>A 60768-2024</t>
        </is>
      </c>
      <c r="B12142" s="1" t="n">
        <v>45644.57855324074</v>
      </c>
      <c r="C12142" s="1" t="n">
        <v>45952</v>
      </c>
      <c r="D12142" t="inlineStr">
        <is>
          <t>VÄSTRA GÖTALANDS LÄN</t>
        </is>
      </c>
      <c r="E12142" t="inlineStr">
        <is>
          <t>ESSUNGA</t>
        </is>
      </c>
      <c r="G12142" t="n">
        <v>1.5</v>
      </c>
      <c r="H12142" t="n">
        <v>0</v>
      </c>
      <c r="I12142" t="n">
        <v>0</v>
      </c>
      <c r="J12142" t="n">
        <v>0</v>
      </c>
      <c r="K12142" t="n">
        <v>0</v>
      </c>
      <c r="L12142" t="n">
        <v>0</v>
      </c>
      <c r="M12142" t="n">
        <v>0</v>
      </c>
      <c r="N12142" t="n">
        <v>0</v>
      </c>
      <c r="O12142" t="n">
        <v>0</v>
      </c>
      <c r="P12142" t="n">
        <v>0</v>
      </c>
      <c r="Q12142" t="n">
        <v>0</v>
      </c>
      <c r="R12142" s="2" t="inlineStr"/>
    </row>
    <row r="12143" ht="15" customHeight="1">
      <c r="A12143" t="inlineStr">
        <is>
          <t>A 14660-2023</t>
        </is>
      </c>
      <c r="B12143" s="1" t="n">
        <v>45013.91371527778</v>
      </c>
      <c r="C12143" s="1" t="n">
        <v>45952</v>
      </c>
      <c r="D12143" t="inlineStr">
        <is>
          <t>VÄSTRA GÖTALANDS LÄN</t>
        </is>
      </c>
      <c r="E12143" t="inlineStr">
        <is>
          <t>ÅMÅL</t>
        </is>
      </c>
      <c r="G12143" t="n">
        <v>1.5</v>
      </c>
      <c r="H12143" t="n">
        <v>0</v>
      </c>
      <c r="I12143" t="n">
        <v>0</v>
      </c>
      <c r="J12143" t="n">
        <v>0</v>
      </c>
      <c r="K12143" t="n">
        <v>0</v>
      </c>
      <c r="L12143" t="n">
        <v>0</v>
      </c>
      <c r="M12143" t="n">
        <v>0</v>
      </c>
      <c r="N12143" t="n">
        <v>0</v>
      </c>
      <c r="O12143" t="n">
        <v>0</v>
      </c>
      <c r="P12143" t="n">
        <v>0</v>
      </c>
      <c r="Q12143" t="n">
        <v>0</v>
      </c>
      <c r="R12143" s="2" t="inlineStr"/>
    </row>
    <row r="12144" ht="15" customHeight="1">
      <c r="A12144" t="inlineStr">
        <is>
          <t>A 60809-2024</t>
        </is>
      </c>
      <c r="B12144" s="1" t="n">
        <v>45644.61414351852</v>
      </c>
      <c r="C12144" s="1" t="n">
        <v>45952</v>
      </c>
      <c r="D12144" t="inlineStr">
        <is>
          <t>VÄSTRA GÖTALANDS LÄN</t>
        </is>
      </c>
      <c r="E12144" t="inlineStr">
        <is>
          <t>MÖLNDAL</t>
        </is>
      </c>
      <c r="G12144" t="n">
        <v>0.5</v>
      </c>
      <c r="H12144" t="n">
        <v>0</v>
      </c>
      <c r="I12144" t="n">
        <v>0</v>
      </c>
      <c r="J12144" t="n">
        <v>0</v>
      </c>
      <c r="K12144" t="n">
        <v>0</v>
      </c>
      <c r="L12144" t="n">
        <v>0</v>
      </c>
      <c r="M12144" t="n">
        <v>0</v>
      </c>
      <c r="N12144" t="n">
        <v>0</v>
      </c>
      <c r="O12144" t="n">
        <v>0</v>
      </c>
      <c r="P12144" t="n">
        <v>0</v>
      </c>
      <c r="Q12144" t="n">
        <v>0</v>
      </c>
      <c r="R12144" s="2" t="inlineStr"/>
    </row>
    <row r="12145" ht="15" customHeight="1">
      <c r="A12145" t="inlineStr">
        <is>
          <t>A 9863-2024</t>
        </is>
      </c>
      <c r="B12145" s="1" t="n">
        <v>45363</v>
      </c>
      <c r="C12145" s="1" t="n">
        <v>45952</v>
      </c>
      <c r="D12145" t="inlineStr">
        <is>
          <t>VÄSTRA GÖTALANDS LÄN</t>
        </is>
      </c>
      <c r="E12145" t="inlineStr">
        <is>
          <t>VÅRGÅRDA</t>
        </is>
      </c>
      <c r="G12145" t="n">
        <v>0.8</v>
      </c>
      <c r="H12145" t="n">
        <v>0</v>
      </c>
      <c r="I12145" t="n">
        <v>0</v>
      </c>
      <c r="J12145" t="n">
        <v>0</v>
      </c>
      <c r="K12145" t="n">
        <v>0</v>
      </c>
      <c r="L12145" t="n">
        <v>0</v>
      </c>
      <c r="M12145" t="n">
        <v>0</v>
      </c>
      <c r="N12145" t="n">
        <v>0</v>
      </c>
      <c r="O12145" t="n">
        <v>0</v>
      </c>
      <c r="P12145" t="n">
        <v>0</v>
      </c>
      <c r="Q12145" t="n">
        <v>0</v>
      </c>
      <c r="R12145" s="2" t="inlineStr"/>
    </row>
    <row r="12146" ht="15" customHeight="1">
      <c r="A12146" t="inlineStr">
        <is>
          <t>A 2570-2025</t>
        </is>
      </c>
      <c r="B12146" s="1" t="n">
        <v>45674.66657407407</v>
      </c>
      <c r="C12146" s="1" t="n">
        <v>45952</v>
      </c>
      <c r="D12146" t="inlineStr">
        <is>
          <t>VÄSTRA GÖTALANDS LÄN</t>
        </is>
      </c>
      <c r="E12146" t="inlineStr">
        <is>
          <t>BORÅS</t>
        </is>
      </c>
      <c r="G12146" t="n">
        <v>2.8</v>
      </c>
      <c r="H12146" t="n">
        <v>0</v>
      </c>
      <c r="I12146" t="n">
        <v>0</v>
      </c>
      <c r="J12146" t="n">
        <v>0</v>
      </c>
      <c r="K12146" t="n">
        <v>0</v>
      </c>
      <c r="L12146" t="n">
        <v>0</v>
      </c>
      <c r="M12146" t="n">
        <v>0</v>
      </c>
      <c r="N12146" t="n">
        <v>0</v>
      </c>
      <c r="O12146" t="n">
        <v>0</v>
      </c>
      <c r="P12146" t="n">
        <v>0</v>
      </c>
      <c r="Q12146" t="n">
        <v>0</v>
      </c>
      <c r="R12146" s="2" t="inlineStr"/>
    </row>
    <row r="12147" ht="15" customHeight="1">
      <c r="A12147" t="inlineStr">
        <is>
          <t>A 2632-2025</t>
        </is>
      </c>
      <c r="B12147" s="1" t="n">
        <v>45675.8675</v>
      </c>
      <c r="C12147" s="1" t="n">
        <v>45952</v>
      </c>
      <c r="D12147" t="inlineStr">
        <is>
          <t>VÄSTRA GÖTALANDS LÄN</t>
        </is>
      </c>
      <c r="E12147" t="inlineStr">
        <is>
          <t>DALS-ED</t>
        </is>
      </c>
      <c r="G12147" t="n">
        <v>1.4</v>
      </c>
      <c r="H12147" t="n">
        <v>0</v>
      </c>
      <c r="I12147" t="n">
        <v>0</v>
      </c>
      <c r="J12147" t="n">
        <v>0</v>
      </c>
      <c r="K12147" t="n">
        <v>0</v>
      </c>
      <c r="L12147" t="n">
        <v>0</v>
      </c>
      <c r="M12147" t="n">
        <v>0</v>
      </c>
      <c r="N12147" t="n">
        <v>0</v>
      </c>
      <c r="O12147" t="n">
        <v>0</v>
      </c>
      <c r="P12147" t="n">
        <v>0</v>
      </c>
      <c r="Q12147" t="n">
        <v>0</v>
      </c>
      <c r="R12147" s="2" t="inlineStr"/>
    </row>
    <row r="12148" ht="15" customHeight="1">
      <c r="A12148" t="inlineStr">
        <is>
          <t>A 3251-2025</t>
        </is>
      </c>
      <c r="B12148" s="1" t="n">
        <v>45679.5387962963</v>
      </c>
      <c r="C12148" s="1" t="n">
        <v>45952</v>
      </c>
      <c r="D12148" t="inlineStr">
        <is>
          <t>VÄSTRA GÖTALANDS LÄN</t>
        </is>
      </c>
      <c r="E12148" t="inlineStr">
        <is>
          <t>LIDKÖPING</t>
        </is>
      </c>
      <c r="G12148" t="n">
        <v>1.3</v>
      </c>
      <c r="H12148" t="n">
        <v>0</v>
      </c>
      <c r="I12148" t="n">
        <v>0</v>
      </c>
      <c r="J12148" t="n">
        <v>0</v>
      </c>
      <c r="K12148" t="n">
        <v>0</v>
      </c>
      <c r="L12148" t="n">
        <v>0</v>
      </c>
      <c r="M12148" t="n">
        <v>0</v>
      </c>
      <c r="N12148" t="n">
        <v>0</v>
      </c>
      <c r="O12148" t="n">
        <v>0</v>
      </c>
      <c r="P12148" t="n">
        <v>0</v>
      </c>
      <c r="Q12148" t="n">
        <v>0</v>
      </c>
      <c r="R12148" s="2" t="inlineStr"/>
    </row>
    <row r="12149" ht="15" customHeight="1">
      <c r="A12149" t="inlineStr">
        <is>
          <t>A 32866-2022</t>
        </is>
      </c>
      <c r="B12149" s="1" t="n">
        <v>44784.50711805555</v>
      </c>
      <c r="C12149" s="1" t="n">
        <v>45952</v>
      </c>
      <c r="D12149" t="inlineStr">
        <is>
          <t>VÄSTRA GÖTALANDS LÄN</t>
        </is>
      </c>
      <c r="E12149" t="inlineStr">
        <is>
          <t>HÄRRYDA</t>
        </is>
      </c>
      <c r="G12149" t="n">
        <v>1.4</v>
      </c>
      <c r="H12149" t="n">
        <v>0</v>
      </c>
      <c r="I12149" t="n">
        <v>0</v>
      </c>
      <c r="J12149" t="n">
        <v>0</v>
      </c>
      <c r="K12149" t="n">
        <v>0</v>
      </c>
      <c r="L12149" t="n">
        <v>0</v>
      </c>
      <c r="M12149" t="n">
        <v>0</v>
      </c>
      <c r="N12149" t="n">
        <v>0</v>
      </c>
      <c r="O12149" t="n">
        <v>0</v>
      </c>
      <c r="P12149" t="n">
        <v>0</v>
      </c>
      <c r="Q12149" t="n">
        <v>0</v>
      </c>
      <c r="R12149" s="2" t="inlineStr"/>
    </row>
    <row r="12150" ht="15" customHeight="1">
      <c r="A12150" t="inlineStr">
        <is>
          <t>A 4505-2023</t>
        </is>
      </c>
      <c r="B12150" s="1" t="n">
        <v>44956.56306712963</v>
      </c>
      <c r="C12150" s="1" t="n">
        <v>45952</v>
      </c>
      <c r="D12150" t="inlineStr">
        <is>
          <t>VÄSTRA GÖTALANDS LÄN</t>
        </is>
      </c>
      <c r="E12150" t="inlineStr">
        <is>
          <t>UDDEVALLA</t>
        </is>
      </c>
      <c r="G12150" t="n">
        <v>1.3</v>
      </c>
      <c r="H12150" t="n">
        <v>0</v>
      </c>
      <c r="I12150" t="n">
        <v>0</v>
      </c>
      <c r="J12150" t="n">
        <v>0</v>
      </c>
      <c r="K12150" t="n">
        <v>0</v>
      </c>
      <c r="L12150" t="n">
        <v>0</v>
      </c>
      <c r="M12150" t="n">
        <v>0</v>
      </c>
      <c r="N12150" t="n">
        <v>0</v>
      </c>
      <c r="O12150" t="n">
        <v>0</v>
      </c>
      <c r="P12150" t="n">
        <v>0</v>
      </c>
      <c r="Q12150" t="n">
        <v>0</v>
      </c>
      <c r="R12150" s="2" t="inlineStr"/>
    </row>
    <row r="12151" ht="15" customHeight="1">
      <c r="A12151" t="inlineStr">
        <is>
          <t>A 5317-2023</t>
        </is>
      </c>
      <c r="B12151" s="1" t="n">
        <v>44959.56810185185</v>
      </c>
      <c r="C12151" s="1" t="n">
        <v>45952</v>
      </c>
      <c r="D12151" t="inlineStr">
        <is>
          <t>VÄSTRA GÖTALANDS LÄN</t>
        </is>
      </c>
      <c r="E12151" t="inlineStr">
        <is>
          <t>ULRICEHAMN</t>
        </is>
      </c>
      <c r="G12151" t="n">
        <v>6.7</v>
      </c>
      <c r="H12151" t="n">
        <v>0</v>
      </c>
      <c r="I12151" t="n">
        <v>0</v>
      </c>
      <c r="J12151" t="n">
        <v>0</v>
      </c>
      <c r="K12151" t="n">
        <v>0</v>
      </c>
      <c r="L12151" t="n">
        <v>0</v>
      </c>
      <c r="M12151" t="n">
        <v>0</v>
      </c>
      <c r="N12151" t="n">
        <v>0</v>
      </c>
      <c r="O12151" t="n">
        <v>0</v>
      </c>
      <c r="P12151" t="n">
        <v>0</v>
      </c>
      <c r="Q12151" t="n">
        <v>0</v>
      </c>
      <c r="R12151" s="2" t="inlineStr"/>
    </row>
    <row r="12152" ht="15" customHeight="1">
      <c r="A12152" t="inlineStr">
        <is>
          <t>A 5328-2023</t>
        </is>
      </c>
      <c r="B12152" s="1" t="n">
        <v>44959</v>
      </c>
      <c r="C12152" s="1" t="n">
        <v>45952</v>
      </c>
      <c r="D12152" t="inlineStr">
        <is>
          <t>VÄSTRA GÖTALANDS LÄN</t>
        </is>
      </c>
      <c r="E12152" t="inlineStr">
        <is>
          <t>ULRICEHAMN</t>
        </is>
      </c>
      <c r="G12152" t="n">
        <v>1.8</v>
      </c>
      <c r="H12152" t="n">
        <v>0</v>
      </c>
      <c r="I12152" t="n">
        <v>0</v>
      </c>
      <c r="J12152" t="n">
        <v>0</v>
      </c>
      <c r="K12152" t="n">
        <v>0</v>
      </c>
      <c r="L12152" t="n">
        <v>0</v>
      </c>
      <c r="M12152" t="n">
        <v>0</v>
      </c>
      <c r="N12152" t="n">
        <v>0</v>
      </c>
      <c r="O12152" t="n">
        <v>0</v>
      </c>
      <c r="P12152" t="n">
        <v>0</v>
      </c>
      <c r="Q12152" t="n">
        <v>0</v>
      </c>
      <c r="R12152" s="2" t="inlineStr"/>
    </row>
    <row r="12153" ht="15" customHeight="1">
      <c r="A12153" t="inlineStr">
        <is>
          <t>A 56344-2022</t>
        </is>
      </c>
      <c r="B12153" s="1" t="n">
        <v>44890.6440162037</v>
      </c>
      <c r="C12153" s="1" t="n">
        <v>45952</v>
      </c>
      <c r="D12153" t="inlineStr">
        <is>
          <t>VÄSTRA GÖTALANDS LÄN</t>
        </is>
      </c>
      <c r="E12153" t="inlineStr">
        <is>
          <t>MARIESTAD</t>
        </is>
      </c>
      <c r="G12153" t="n">
        <v>0.7</v>
      </c>
      <c r="H12153" t="n">
        <v>0</v>
      </c>
      <c r="I12153" t="n">
        <v>0</v>
      </c>
      <c r="J12153" t="n">
        <v>0</v>
      </c>
      <c r="K12153" t="n">
        <v>0</v>
      </c>
      <c r="L12153" t="n">
        <v>0</v>
      </c>
      <c r="M12153" t="n">
        <v>0</v>
      </c>
      <c r="N12153" t="n">
        <v>0</v>
      </c>
      <c r="O12153" t="n">
        <v>0</v>
      </c>
      <c r="P12153" t="n">
        <v>0</v>
      </c>
      <c r="Q12153" t="n">
        <v>0</v>
      </c>
      <c r="R12153" s="2" t="inlineStr"/>
    </row>
    <row r="12154" ht="15" customHeight="1">
      <c r="A12154" t="inlineStr">
        <is>
          <t>A 31594-2025</t>
        </is>
      </c>
      <c r="B12154" s="1" t="n">
        <v>45833.70512731482</v>
      </c>
      <c r="C12154" s="1" t="n">
        <v>45952</v>
      </c>
      <c r="D12154" t="inlineStr">
        <is>
          <t>VÄSTRA GÖTALANDS LÄN</t>
        </is>
      </c>
      <c r="E12154" t="inlineStr">
        <is>
          <t>BOLLEBYGD</t>
        </is>
      </c>
      <c r="G12154" t="n">
        <v>2.8</v>
      </c>
      <c r="H12154" t="n">
        <v>0</v>
      </c>
      <c r="I12154" t="n">
        <v>0</v>
      </c>
      <c r="J12154" t="n">
        <v>0</v>
      </c>
      <c r="K12154" t="n">
        <v>0</v>
      </c>
      <c r="L12154" t="n">
        <v>0</v>
      </c>
      <c r="M12154" t="n">
        <v>0</v>
      </c>
      <c r="N12154" t="n">
        <v>0</v>
      </c>
      <c r="O12154" t="n">
        <v>0</v>
      </c>
      <c r="P12154" t="n">
        <v>0</v>
      </c>
      <c r="Q12154" t="n">
        <v>0</v>
      </c>
      <c r="R12154" s="2" t="inlineStr"/>
    </row>
    <row r="12155" ht="15" customHeight="1">
      <c r="A12155" t="inlineStr">
        <is>
          <t>A 54774-2023</t>
        </is>
      </c>
      <c r="B12155" s="1" t="n">
        <v>45236.4627662037</v>
      </c>
      <c r="C12155" s="1" t="n">
        <v>45952</v>
      </c>
      <c r="D12155" t="inlineStr">
        <is>
          <t>VÄSTRA GÖTALANDS LÄN</t>
        </is>
      </c>
      <c r="E12155" t="inlineStr">
        <is>
          <t>FALKÖPING</t>
        </is>
      </c>
      <c r="G12155" t="n">
        <v>0.7</v>
      </c>
      <c r="H12155" t="n">
        <v>0</v>
      </c>
      <c r="I12155" t="n">
        <v>0</v>
      </c>
      <c r="J12155" t="n">
        <v>0</v>
      </c>
      <c r="K12155" t="n">
        <v>0</v>
      </c>
      <c r="L12155" t="n">
        <v>0</v>
      </c>
      <c r="M12155" t="n">
        <v>0</v>
      </c>
      <c r="N12155" t="n">
        <v>0</v>
      </c>
      <c r="O12155" t="n">
        <v>0</v>
      </c>
      <c r="P12155" t="n">
        <v>0</v>
      </c>
      <c r="Q12155" t="n">
        <v>0</v>
      </c>
      <c r="R12155" s="2" t="inlineStr"/>
    </row>
    <row r="12156" ht="15" customHeight="1">
      <c r="A12156" t="inlineStr">
        <is>
          <t>A 31008-2025</t>
        </is>
      </c>
      <c r="B12156" s="1" t="n">
        <v>45832.50234953704</v>
      </c>
      <c r="C12156" s="1" t="n">
        <v>45952</v>
      </c>
      <c r="D12156" t="inlineStr">
        <is>
          <t>VÄSTRA GÖTALANDS LÄN</t>
        </is>
      </c>
      <c r="E12156" t="inlineStr">
        <is>
          <t>SVENLJUNGA</t>
        </is>
      </c>
      <c r="G12156" t="n">
        <v>3.1</v>
      </c>
      <c r="H12156" t="n">
        <v>0</v>
      </c>
      <c r="I12156" t="n">
        <v>0</v>
      </c>
      <c r="J12156" t="n">
        <v>0</v>
      </c>
      <c r="K12156" t="n">
        <v>0</v>
      </c>
      <c r="L12156" t="n">
        <v>0</v>
      </c>
      <c r="M12156" t="n">
        <v>0</v>
      </c>
      <c r="N12156" t="n">
        <v>0</v>
      </c>
      <c r="O12156" t="n">
        <v>0</v>
      </c>
      <c r="P12156" t="n">
        <v>0</v>
      </c>
      <c r="Q12156" t="n">
        <v>0</v>
      </c>
      <c r="R12156" s="2" t="inlineStr"/>
    </row>
    <row r="12157" ht="15" customHeight="1">
      <c r="A12157" t="inlineStr">
        <is>
          <t>A 31146-2025</t>
        </is>
      </c>
      <c r="B12157" s="1" t="n">
        <v>45832.63880787037</v>
      </c>
      <c r="C12157" s="1" t="n">
        <v>45952</v>
      </c>
      <c r="D12157" t="inlineStr">
        <is>
          <t>VÄSTRA GÖTALANDS LÄN</t>
        </is>
      </c>
      <c r="E12157" t="inlineStr">
        <is>
          <t>FÄRGELANDA</t>
        </is>
      </c>
      <c r="G12157" t="n">
        <v>3.8</v>
      </c>
      <c r="H12157" t="n">
        <v>0</v>
      </c>
      <c r="I12157" t="n">
        <v>0</v>
      </c>
      <c r="J12157" t="n">
        <v>0</v>
      </c>
      <c r="K12157" t="n">
        <v>0</v>
      </c>
      <c r="L12157" t="n">
        <v>0</v>
      </c>
      <c r="M12157" t="n">
        <v>0</v>
      </c>
      <c r="N12157" t="n">
        <v>0</v>
      </c>
      <c r="O12157" t="n">
        <v>0</v>
      </c>
      <c r="P12157" t="n">
        <v>0</v>
      </c>
      <c r="Q12157" t="n">
        <v>0</v>
      </c>
      <c r="R12157" s="2" t="inlineStr"/>
    </row>
    <row r="12158" ht="15" customHeight="1">
      <c r="A12158" t="inlineStr">
        <is>
          <t>A 30933-2025</t>
        </is>
      </c>
      <c r="B12158" s="1" t="n">
        <v>45832.403125</v>
      </c>
      <c r="C12158" s="1" t="n">
        <v>45952</v>
      </c>
      <c r="D12158" t="inlineStr">
        <is>
          <t>VÄSTRA GÖTALANDS LÄN</t>
        </is>
      </c>
      <c r="E12158" t="inlineStr">
        <is>
          <t>MARK</t>
        </is>
      </c>
      <c r="G12158" t="n">
        <v>0.6</v>
      </c>
      <c r="H12158" t="n">
        <v>0</v>
      </c>
      <c r="I12158" t="n">
        <v>0</v>
      </c>
      <c r="J12158" t="n">
        <v>0</v>
      </c>
      <c r="K12158" t="n">
        <v>0</v>
      </c>
      <c r="L12158" t="n">
        <v>0</v>
      </c>
      <c r="M12158" t="n">
        <v>0</v>
      </c>
      <c r="N12158" t="n">
        <v>0</v>
      </c>
      <c r="O12158" t="n">
        <v>0</v>
      </c>
      <c r="P12158" t="n">
        <v>0</v>
      </c>
      <c r="Q12158" t="n">
        <v>0</v>
      </c>
      <c r="R12158" s="2" t="inlineStr"/>
    </row>
    <row r="12159" ht="15" customHeight="1">
      <c r="A12159" t="inlineStr">
        <is>
          <t>A 7977-2025</t>
        </is>
      </c>
      <c r="B12159" s="1" t="n">
        <v>45707.46462962963</v>
      </c>
      <c r="C12159" s="1" t="n">
        <v>45952</v>
      </c>
      <c r="D12159" t="inlineStr">
        <is>
          <t>VÄSTRA GÖTALANDS LÄN</t>
        </is>
      </c>
      <c r="E12159" t="inlineStr">
        <is>
          <t>KARLSBORG</t>
        </is>
      </c>
      <c r="G12159" t="n">
        <v>1.3</v>
      </c>
      <c r="H12159" t="n">
        <v>0</v>
      </c>
      <c r="I12159" t="n">
        <v>0</v>
      </c>
      <c r="J12159" t="n">
        <v>0</v>
      </c>
      <c r="K12159" t="n">
        <v>0</v>
      </c>
      <c r="L12159" t="n">
        <v>0</v>
      </c>
      <c r="M12159" t="n">
        <v>0</v>
      </c>
      <c r="N12159" t="n">
        <v>0</v>
      </c>
      <c r="O12159" t="n">
        <v>0</v>
      </c>
      <c r="P12159" t="n">
        <v>0</v>
      </c>
      <c r="Q12159" t="n">
        <v>0</v>
      </c>
      <c r="R12159" s="2" t="inlineStr"/>
    </row>
    <row r="12160" ht="15" customHeight="1">
      <c r="A12160" t="inlineStr">
        <is>
          <t>A 49946-2021</t>
        </is>
      </c>
      <c r="B12160" s="1" t="n">
        <v>44454</v>
      </c>
      <c r="C12160" s="1" t="n">
        <v>45952</v>
      </c>
      <c r="D12160" t="inlineStr">
        <is>
          <t>VÄSTRA GÖTALANDS LÄN</t>
        </is>
      </c>
      <c r="E12160" t="inlineStr">
        <is>
          <t>MUNKEDAL</t>
        </is>
      </c>
      <c r="G12160" t="n">
        <v>2.8</v>
      </c>
      <c r="H12160" t="n">
        <v>0</v>
      </c>
      <c r="I12160" t="n">
        <v>0</v>
      </c>
      <c r="J12160" t="n">
        <v>0</v>
      </c>
      <c r="K12160" t="n">
        <v>0</v>
      </c>
      <c r="L12160" t="n">
        <v>0</v>
      </c>
      <c r="M12160" t="n">
        <v>0</v>
      </c>
      <c r="N12160" t="n">
        <v>0</v>
      </c>
      <c r="O12160" t="n">
        <v>0</v>
      </c>
      <c r="P12160" t="n">
        <v>0</v>
      </c>
      <c r="Q12160" t="n">
        <v>0</v>
      </c>
      <c r="R12160" s="2" t="inlineStr"/>
    </row>
    <row r="12161" ht="15" customHeight="1">
      <c r="A12161" t="inlineStr">
        <is>
          <t>A 18133-2025</t>
        </is>
      </c>
      <c r="B12161" s="1" t="n">
        <v>45761.60090277778</v>
      </c>
      <c r="C12161" s="1" t="n">
        <v>45952</v>
      </c>
      <c r="D12161" t="inlineStr">
        <is>
          <t>VÄSTRA GÖTALANDS LÄN</t>
        </is>
      </c>
      <c r="E12161" t="inlineStr">
        <is>
          <t>MARIESTAD</t>
        </is>
      </c>
      <c r="G12161" t="n">
        <v>11.9</v>
      </c>
      <c r="H12161" t="n">
        <v>0</v>
      </c>
      <c r="I12161" t="n">
        <v>0</v>
      </c>
      <c r="J12161" t="n">
        <v>0</v>
      </c>
      <c r="K12161" t="n">
        <v>0</v>
      </c>
      <c r="L12161" t="n">
        <v>0</v>
      </c>
      <c r="M12161" t="n">
        <v>0</v>
      </c>
      <c r="N12161" t="n">
        <v>0</v>
      </c>
      <c r="O12161" t="n">
        <v>0</v>
      </c>
      <c r="P12161" t="n">
        <v>0</v>
      </c>
      <c r="Q12161" t="n">
        <v>0</v>
      </c>
      <c r="R12161" s="2" t="inlineStr"/>
    </row>
    <row r="12162" ht="15" customHeight="1">
      <c r="A12162" t="inlineStr">
        <is>
          <t>A 5523-2023</t>
        </is>
      </c>
      <c r="B12162" s="1" t="n">
        <v>44960</v>
      </c>
      <c r="C12162" s="1" t="n">
        <v>45952</v>
      </c>
      <c r="D12162" t="inlineStr">
        <is>
          <t>VÄSTRA GÖTALANDS LÄN</t>
        </is>
      </c>
      <c r="E12162" t="inlineStr">
        <is>
          <t>VÅRGÅRDA</t>
        </is>
      </c>
      <c r="G12162" t="n">
        <v>2.4</v>
      </c>
      <c r="H12162" t="n">
        <v>0</v>
      </c>
      <c r="I12162" t="n">
        <v>0</v>
      </c>
      <c r="J12162" t="n">
        <v>0</v>
      </c>
      <c r="K12162" t="n">
        <v>0</v>
      </c>
      <c r="L12162" t="n">
        <v>0</v>
      </c>
      <c r="M12162" t="n">
        <v>0</v>
      </c>
      <c r="N12162" t="n">
        <v>0</v>
      </c>
      <c r="O12162" t="n">
        <v>0</v>
      </c>
      <c r="P12162" t="n">
        <v>0</v>
      </c>
      <c r="Q12162" t="n">
        <v>0</v>
      </c>
      <c r="R12162" s="2" t="inlineStr"/>
    </row>
    <row r="12163" ht="15" customHeight="1">
      <c r="A12163" t="inlineStr">
        <is>
          <t>A 5559-2023</t>
        </is>
      </c>
      <c r="B12163" s="1" t="n">
        <v>44957</v>
      </c>
      <c r="C12163" s="1" t="n">
        <v>45952</v>
      </c>
      <c r="D12163" t="inlineStr">
        <is>
          <t>VÄSTRA GÖTALANDS LÄN</t>
        </is>
      </c>
      <c r="E12163" t="inlineStr">
        <is>
          <t>SKARA</t>
        </is>
      </c>
      <c r="G12163" t="n">
        <v>1</v>
      </c>
      <c r="H12163" t="n">
        <v>0</v>
      </c>
      <c r="I12163" t="n">
        <v>0</v>
      </c>
      <c r="J12163" t="n">
        <v>0</v>
      </c>
      <c r="K12163" t="n">
        <v>0</v>
      </c>
      <c r="L12163" t="n">
        <v>0</v>
      </c>
      <c r="M12163" t="n">
        <v>0</v>
      </c>
      <c r="N12163" t="n">
        <v>0</v>
      </c>
      <c r="O12163" t="n">
        <v>0</v>
      </c>
      <c r="P12163" t="n">
        <v>0</v>
      </c>
      <c r="Q12163" t="n">
        <v>0</v>
      </c>
      <c r="R12163" s="2" t="inlineStr"/>
    </row>
    <row r="12164" ht="15" customHeight="1">
      <c r="A12164" t="inlineStr">
        <is>
          <t>A 5577-2023</t>
        </is>
      </c>
      <c r="B12164" s="1" t="n">
        <v>44960.49412037037</v>
      </c>
      <c r="C12164" s="1" t="n">
        <v>45952</v>
      </c>
      <c r="D12164" t="inlineStr">
        <is>
          <t>VÄSTRA GÖTALANDS LÄN</t>
        </is>
      </c>
      <c r="E12164" t="inlineStr">
        <is>
          <t>LIDKÖPING</t>
        </is>
      </c>
      <c r="G12164" t="n">
        <v>0.8</v>
      </c>
      <c r="H12164" t="n">
        <v>0</v>
      </c>
      <c r="I12164" t="n">
        <v>0</v>
      </c>
      <c r="J12164" t="n">
        <v>0</v>
      </c>
      <c r="K12164" t="n">
        <v>0</v>
      </c>
      <c r="L12164" t="n">
        <v>0</v>
      </c>
      <c r="M12164" t="n">
        <v>0</v>
      </c>
      <c r="N12164" t="n">
        <v>0</v>
      </c>
      <c r="O12164" t="n">
        <v>0</v>
      </c>
      <c r="P12164" t="n">
        <v>0</v>
      </c>
      <c r="Q12164" t="n">
        <v>0</v>
      </c>
      <c r="R12164" s="2" t="inlineStr"/>
    </row>
    <row r="12165" ht="15" customHeight="1">
      <c r="A12165" t="inlineStr">
        <is>
          <t>A 1286-2022</t>
        </is>
      </c>
      <c r="B12165" s="1" t="n">
        <v>44572.67575231481</v>
      </c>
      <c r="C12165" s="1" t="n">
        <v>45952</v>
      </c>
      <c r="D12165" t="inlineStr">
        <is>
          <t>VÄSTRA GÖTALANDS LÄN</t>
        </is>
      </c>
      <c r="E12165" t="inlineStr">
        <is>
          <t>BENGTSFORS</t>
        </is>
      </c>
      <c r="G12165" t="n">
        <v>3.3</v>
      </c>
      <c r="H12165" t="n">
        <v>0</v>
      </c>
      <c r="I12165" t="n">
        <v>0</v>
      </c>
      <c r="J12165" t="n">
        <v>0</v>
      </c>
      <c r="K12165" t="n">
        <v>0</v>
      </c>
      <c r="L12165" t="n">
        <v>0</v>
      </c>
      <c r="M12165" t="n">
        <v>0</v>
      </c>
      <c r="N12165" t="n">
        <v>0</v>
      </c>
      <c r="O12165" t="n">
        <v>0</v>
      </c>
      <c r="P12165" t="n">
        <v>0</v>
      </c>
      <c r="Q12165" t="n">
        <v>0</v>
      </c>
      <c r="R12165" s="2" t="inlineStr"/>
    </row>
    <row r="12166" ht="15" customHeight="1">
      <c r="A12166" t="inlineStr">
        <is>
          <t>A 1315-2022</t>
        </is>
      </c>
      <c r="B12166" s="1" t="n">
        <v>44572.73582175926</v>
      </c>
      <c r="C12166" s="1" t="n">
        <v>45952</v>
      </c>
      <c r="D12166" t="inlineStr">
        <is>
          <t>VÄSTRA GÖTALANDS LÄN</t>
        </is>
      </c>
      <c r="E12166" t="inlineStr">
        <is>
          <t>BENGTSFORS</t>
        </is>
      </c>
      <c r="G12166" t="n">
        <v>1.5</v>
      </c>
      <c r="H12166" t="n">
        <v>0</v>
      </c>
      <c r="I12166" t="n">
        <v>0</v>
      </c>
      <c r="J12166" t="n">
        <v>0</v>
      </c>
      <c r="K12166" t="n">
        <v>0</v>
      </c>
      <c r="L12166" t="n">
        <v>0</v>
      </c>
      <c r="M12166" t="n">
        <v>0</v>
      </c>
      <c r="N12166" t="n">
        <v>0</v>
      </c>
      <c r="O12166" t="n">
        <v>0</v>
      </c>
      <c r="P12166" t="n">
        <v>0</v>
      </c>
      <c r="Q12166" t="n">
        <v>0</v>
      </c>
      <c r="R12166" s="2" t="inlineStr"/>
    </row>
    <row r="12167" ht="15" customHeight="1">
      <c r="A12167" t="inlineStr">
        <is>
          <t>A 5114-2023</t>
        </is>
      </c>
      <c r="B12167" s="1" t="n">
        <v>44958.66506944445</v>
      </c>
      <c r="C12167" s="1" t="n">
        <v>45952</v>
      </c>
      <c r="D12167" t="inlineStr">
        <is>
          <t>VÄSTRA GÖTALANDS LÄN</t>
        </is>
      </c>
      <c r="E12167" t="inlineStr">
        <is>
          <t>DALS-ED</t>
        </is>
      </c>
      <c r="G12167" t="n">
        <v>2.2</v>
      </c>
      <c r="H12167" t="n">
        <v>0</v>
      </c>
      <c r="I12167" t="n">
        <v>0</v>
      </c>
      <c r="J12167" t="n">
        <v>0</v>
      </c>
      <c r="K12167" t="n">
        <v>0</v>
      </c>
      <c r="L12167" t="n">
        <v>0</v>
      </c>
      <c r="M12167" t="n">
        <v>0</v>
      </c>
      <c r="N12167" t="n">
        <v>0</v>
      </c>
      <c r="O12167" t="n">
        <v>0</v>
      </c>
      <c r="P12167" t="n">
        <v>0</v>
      </c>
      <c r="Q12167" t="n">
        <v>0</v>
      </c>
      <c r="R12167" s="2" t="inlineStr"/>
    </row>
    <row r="12168" ht="15" customHeight="1">
      <c r="A12168" t="inlineStr">
        <is>
          <t>A 30954-2025</t>
        </is>
      </c>
      <c r="B12168" s="1" t="n">
        <v>45832.43674768518</v>
      </c>
      <c r="C12168" s="1" t="n">
        <v>45952</v>
      </c>
      <c r="D12168" t="inlineStr">
        <is>
          <t>VÄSTRA GÖTALANDS LÄN</t>
        </is>
      </c>
      <c r="E12168" t="inlineStr">
        <is>
          <t>UDDEVALLA</t>
        </is>
      </c>
      <c r="G12168" t="n">
        <v>11</v>
      </c>
      <c r="H12168" t="n">
        <v>0</v>
      </c>
      <c r="I12168" t="n">
        <v>0</v>
      </c>
      <c r="J12168" t="n">
        <v>0</v>
      </c>
      <c r="K12168" t="n">
        <v>0</v>
      </c>
      <c r="L12168" t="n">
        <v>0</v>
      </c>
      <c r="M12168" t="n">
        <v>0</v>
      </c>
      <c r="N12168" t="n">
        <v>0</v>
      </c>
      <c r="O12168" t="n">
        <v>0</v>
      </c>
      <c r="P12168" t="n">
        <v>0</v>
      </c>
      <c r="Q12168" t="n">
        <v>0</v>
      </c>
      <c r="R12168" s="2" t="inlineStr"/>
    </row>
    <row r="12169" ht="15" customHeight="1">
      <c r="A12169" t="inlineStr">
        <is>
          <t>A 30959-2025</t>
        </is>
      </c>
      <c r="B12169" s="1" t="n">
        <v>45832.43942129629</v>
      </c>
      <c r="C12169" s="1" t="n">
        <v>45952</v>
      </c>
      <c r="D12169" t="inlineStr">
        <is>
          <t>VÄSTRA GÖTALANDS LÄN</t>
        </is>
      </c>
      <c r="E12169" t="inlineStr">
        <is>
          <t>BORÅS</t>
        </is>
      </c>
      <c r="G12169" t="n">
        <v>0.5</v>
      </c>
      <c r="H12169" t="n">
        <v>0</v>
      </c>
      <c r="I12169" t="n">
        <v>0</v>
      </c>
      <c r="J12169" t="n">
        <v>0</v>
      </c>
      <c r="K12169" t="n">
        <v>0</v>
      </c>
      <c r="L12169" t="n">
        <v>0</v>
      </c>
      <c r="M12169" t="n">
        <v>0</v>
      </c>
      <c r="N12169" t="n">
        <v>0</v>
      </c>
      <c r="O12169" t="n">
        <v>0</v>
      </c>
      <c r="P12169" t="n">
        <v>0</v>
      </c>
      <c r="Q12169" t="n">
        <v>0</v>
      </c>
      <c r="R12169" s="2" t="inlineStr"/>
    </row>
    <row r="12170" ht="15" customHeight="1">
      <c r="A12170" t="inlineStr">
        <is>
          <t>A 25135-2025</t>
        </is>
      </c>
      <c r="B12170" s="1" t="n">
        <v>45798</v>
      </c>
      <c r="C12170" s="1" t="n">
        <v>45952</v>
      </c>
      <c r="D12170" t="inlineStr">
        <is>
          <t>VÄSTRA GÖTALANDS LÄN</t>
        </is>
      </c>
      <c r="E12170" t="inlineStr">
        <is>
          <t>KUNGÄLV</t>
        </is>
      </c>
      <c r="G12170" t="n">
        <v>1.1</v>
      </c>
      <c r="H12170" t="n">
        <v>0</v>
      </c>
      <c r="I12170" t="n">
        <v>0</v>
      </c>
      <c r="J12170" t="n">
        <v>0</v>
      </c>
      <c r="K12170" t="n">
        <v>0</v>
      </c>
      <c r="L12170" t="n">
        <v>0</v>
      </c>
      <c r="M12170" t="n">
        <v>0</v>
      </c>
      <c r="N12170" t="n">
        <v>0</v>
      </c>
      <c r="O12170" t="n">
        <v>0</v>
      </c>
      <c r="P12170" t="n">
        <v>0</v>
      </c>
      <c r="Q12170" t="n">
        <v>0</v>
      </c>
      <c r="R12170" s="2" t="inlineStr"/>
    </row>
    <row r="12171" ht="15" customHeight="1">
      <c r="A12171" t="inlineStr">
        <is>
          <t>A 30846-2025</t>
        </is>
      </c>
      <c r="B12171" s="1" t="n">
        <v>45831.79909722223</v>
      </c>
      <c r="C12171" s="1" t="n">
        <v>45952</v>
      </c>
      <c r="D12171" t="inlineStr">
        <is>
          <t>VÄSTRA GÖTALANDS LÄN</t>
        </is>
      </c>
      <c r="E12171" t="inlineStr">
        <is>
          <t>ULRICEHAMN</t>
        </is>
      </c>
      <c r="G12171" t="n">
        <v>2.5</v>
      </c>
      <c r="H12171" t="n">
        <v>0</v>
      </c>
      <c r="I12171" t="n">
        <v>0</v>
      </c>
      <c r="J12171" t="n">
        <v>0</v>
      </c>
      <c r="K12171" t="n">
        <v>0</v>
      </c>
      <c r="L12171" t="n">
        <v>0</v>
      </c>
      <c r="M12171" t="n">
        <v>0</v>
      </c>
      <c r="N12171" t="n">
        <v>0</v>
      </c>
      <c r="O12171" t="n">
        <v>0</v>
      </c>
      <c r="P12171" t="n">
        <v>0</v>
      </c>
      <c r="Q12171" t="n">
        <v>0</v>
      </c>
      <c r="R12171" s="2" t="inlineStr"/>
    </row>
    <row r="12172" ht="15" customHeight="1">
      <c r="A12172" t="inlineStr">
        <is>
          <t>A 11786-2024</t>
        </is>
      </c>
      <c r="B12172" s="1" t="n">
        <v>45374.72565972222</v>
      </c>
      <c r="C12172" s="1" t="n">
        <v>45952</v>
      </c>
      <c r="D12172" t="inlineStr">
        <is>
          <t>VÄSTRA GÖTALANDS LÄN</t>
        </is>
      </c>
      <c r="E12172" t="inlineStr">
        <is>
          <t>TANUM</t>
        </is>
      </c>
      <c r="G12172" t="n">
        <v>12.4</v>
      </c>
      <c r="H12172" t="n">
        <v>0</v>
      </c>
      <c r="I12172" t="n">
        <v>0</v>
      </c>
      <c r="J12172" t="n">
        <v>0</v>
      </c>
      <c r="K12172" t="n">
        <v>0</v>
      </c>
      <c r="L12172" t="n">
        <v>0</v>
      </c>
      <c r="M12172" t="n">
        <v>0</v>
      </c>
      <c r="N12172" t="n">
        <v>0</v>
      </c>
      <c r="O12172" t="n">
        <v>0</v>
      </c>
      <c r="P12172" t="n">
        <v>0</v>
      </c>
      <c r="Q12172" t="n">
        <v>0</v>
      </c>
      <c r="R12172" s="2" t="inlineStr"/>
    </row>
    <row r="12173" ht="15" customHeight="1">
      <c r="A12173" t="inlineStr">
        <is>
          <t>A 11793-2024</t>
        </is>
      </c>
      <c r="B12173" s="1" t="n">
        <v>45375.30324074074</v>
      </c>
      <c r="C12173" s="1" t="n">
        <v>45952</v>
      </c>
      <c r="D12173" t="inlineStr">
        <is>
          <t>VÄSTRA GÖTALANDS LÄN</t>
        </is>
      </c>
      <c r="E12173" t="inlineStr">
        <is>
          <t>VÅRGÅRDA</t>
        </is>
      </c>
      <c r="G12173" t="n">
        <v>0.4</v>
      </c>
      <c r="H12173" t="n">
        <v>0</v>
      </c>
      <c r="I12173" t="n">
        <v>0</v>
      </c>
      <c r="J12173" t="n">
        <v>0</v>
      </c>
      <c r="K12173" t="n">
        <v>0</v>
      </c>
      <c r="L12173" t="n">
        <v>0</v>
      </c>
      <c r="M12173" t="n">
        <v>0</v>
      </c>
      <c r="N12173" t="n">
        <v>0</v>
      </c>
      <c r="O12173" t="n">
        <v>0</v>
      </c>
      <c r="P12173" t="n">
        <v>0</v>
      </c>
      <c r="Q12173" t="n">
        <v>0</v>
      </c>
      <c r="R12173" s="2" t="inlineStr"/>
    </row>
    <row r="12174" ht="15" customHeight="1">
      <c r="A12174" t="inlineStr">
        <is>
          <t>A 33192-2023</t>
        </is>
      </c>
      <c r="B12174" s="1" t="n">
        <v>45127</v>
      </c>
      <c r="C12174" s="1" t="n">
        <v>45952</v>
      </c>
      <c r="D12174" t="inlineStr">
        <is>
          <t>VÄSTRA GÖTALANDS LÄN</t>
        </is>
      </c>
      <c r="E12174" t="inlineStr">
        <is>
          <t>MUNKEDAL</t>
        </is>
      </c>
      <c r="G12174" t="n">
        <v>7.8</v>
      </c>
      <c r="H12174" t="n">
        <v>0</v>
      </c>
      <c r="I12174" t="n">
        <v>0</v>
      </c>
      <c r="J12174" t="n">
        <v>0</v>
      </c>
      <c r="K12174" t="n">
        <v>0</v>
      </c>
      <c r="L12174" t="n">
        <v>0</v>
      </c>
      <c r="M12174" t="n">
        <v>0</v>
      </c>
      <c r="N12174" t="n">
        <v>0</v>
      </c>
      <c r="O12174" t="n">
        <v>0</v>
      </c>
      <c r="P12174" t="n">
        <v>0</v>
      </c>
      <c r="Q12174" t="n">
        <v>0</v>
      </c>
      <c r="R12174" s="2" t="inlineStr"/>
    </row>
    <row r="12175" ht="15" customHeight="1">
      <c r="A12175" t="inlineStr">
        <is>
          <t>A 68660-2021</t>
        </is>
      </c>
      <c r="B12175" s="1" t="n">
        <v>44529</v>
      </c>
      <c r="C12175" s="1" t="n">
        <v>45952</v>
      </c>
      <c r="D12175" t="inlineStr">
        <is>
          <t>VÄSTRA GÖTALANDS LÄN</t>
        </is>
      </c>
      <c r="E12175" t="inlineStr">
        <is>
          <t>FALKÖPING</t>
        </is>
      </c>
      <c r="G12175" t="n">
        <v>2.8</v>
      </c>
      <c r="H12175" t="n">
        <v>0</v>
      </c>
      <c r="I12175" t="n">
        <v>0</v>
      </c>
      <c r="J12175" t="n">
        <v>0</v>
      </c>
      <c r="K12175" t="n">
        <v>0</v>
      </c>
      <c r="L12175" t="n">
        <v>0</v>
      </c>
      <c r="M12175" t="n">
        <v>0</v>
      </c>
      <c r="N12175" t="n">
        <v>0</v>
      </c>
      <c r="O12175" t="n">
        <v>0</v>
      </c>
      <c r="P12175" t="n">
        <v>0</v>
      </c>
      <c r="Q12175" t="n">
        <v>0</v>
      </c>
      <c r="R12175" s="2" t="inlineStr"/>
    </row>
    <row r="12176" ht="15" customHeight="1">
      <c r="A12176" t="inlineStr">
        <is>
          <t>A 30905-2025</t>
        </is>
      </c>
      <c r="B12176" s="1" t="n">
        <v>45832.36346064815</v>
      </c>
      <c r="C12176" s="1" t="n">
        <v>45952</v>
      </c>
      <c r="D12176" t="inlineStr">
        <is>
          <t>VÄSTRA GÖTALANDS LÄN</t>
        </is>
      </c>
      <c r="E12176" t="inlineStr">
        <is>
          <t>BORÅS</t>
        </is>
      </c>
      <c r="G12176" t="n">
        <v>0.8</v>
      </c>
      <c r="H12176" t="n">
        <v>0</v>
      </c>
      <c r="I12176" t="n">
        <v>0</v>
      </c>
      <c r="J12176" t="n">
        <v>0</v>
      </c>
      <c r="K12176" t="n">
        <v>0</v>
      </c>
      <c r="L12176" t="n">
        <v>0</v>
      </c>
      <c r="M12176" t="n">
        <v>0</v>
      </c>
      <c r="N12176" t="n">
        <v>0</v>
      </c>
      <c r="O12176" t="n">
        <v>0</v>
      </c>
      <c r="P12176" t="n">
        <v>0</v>
      </c>
      <c r="Q12176" t="n">
        <v>0</v>
      </c>
      <c r="R12176" s="2" t="inlineStr"/>
    </row>
    <row r="12177" ht="15" customHeight="1">
      <c r="A12177" t="inlineStr">
        <is>
          <t>A 34497-2024</t>
        </is>
      </c>
      <c r="B12177" s="1" t="n">
        <v>45525.63168981481</v>
      </c>
      <c r="C12177" s="1" t="n">
        <v>45952</v>
      </c>
      <c r="D12177" t="inlineStr">
        <is>
          <t>VÄSTRA GÖTALANDS LÄN</t>
        </is>
      </c>
      <c r="E12177" t="inlineStr">
        <is>
          <t>TANUM</t>
        </is>
      </c>
      <c r="G12177" t="n">
        <v>1.2</v>
      </c>
      <c r="H12177" t="n">
        <v>0</v>
      </c>
      <c r="I12177" t="n">
        <v>0</v>
      </c>
      <c r="J12177" t="n">
        <v>0</v>
      </c>
      <c r="K12177" t="n">
        <v>0</v>
      </c>
      <c r="L12177" t="n">
        <v>0</v>
      </c>
      <c r="M12177" t="n">
        <v>0</v>
      </c>
      <c r="N12177" t="n">
        <v>0</v>
      </c>
      <c r="O12177" t="n">
        <v>0</v>
      </c>
      <c r="P12177" t="n">
        <v>0</v>
      </c>
      <c r="Q12177" t="n">
        <v>0</v>
      </c>
      <c r="R12177" s="2" t="inlineStr"/>
    </row>
    <row r="12178" ht="15" customHeight="1">
      <c r="A12178" t="inlineStr">
        <is>
          <t>A 65080-2023</t>
        </is>
      </c>
      <c r="B12178" s="1" t="n">
        <v>45287</v>
      </c>
      <c r="C12178" s="1" t="n">
        <v>45952</v>
      </c>
      <c r="D12178" t="inlineStr">
        <is>
          <t>VÄSTRA GÖTALANDS LÄN</t>
        </is>
      </c>
      <c r="E12178" t="inlineStr">
        <is>
          <t>HÄRRYDA</t>
        </is>
      </c>
      <c r="G12178" t="n">
        <v>0.7</v>
      </c>
      <c r="H12178" t="n">
        <v>0</v>
      </c>
      <c r="I12178" t="n">
        <v>0</v>
      </c>
      <c r="J12178" t="n">
        <v>0</v>
      </c>
      <c r="K12178" t="n">
        <v>0</v>
      </c>
      <c r="L12178" t="n">
        <v>0</v>
      </c>
      <c r="M12178" t="n">
        <v>0</v>
      </c>
      <c r="N12178" t="n">
        <v>0</v>
      </c>
      <c r="O12178" t="n">
        <v>0</v>
      </c>
      <c r="P12178" t="n">
        <v>0</v>
      </c>
      <c r="Q12178" t="n">
        <v>0</v>
      </c>
      <c r="R12178" s="2" t="inlineStr"/>
    </row>
    <row r="12179" ht="15" customHeight="1">
      <c r="A12179" t="inlineStr">
        <is>
          <t>A 29047-2023</t>
        </is>
      </c>
      <c r="B12179" s="1" t="n">
        <v>45104</v>
      </c>
      <c r="C12179" s="1" t="n">
        <v>45952</v>
      </c>
      <c r="D12179" t="inlineStr">
        <is>
          <t>VÄSTRA GÖTALANDS LÄN</t>
        </is>
      </c>
      <c r="E12179" t="inlineStr">
        <is>
          <t>DALS-ED</t>
        </is>
      </c>
      <c r="G12179" t="n">
        <v>0.8</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20231-2025</t>
        </is>
      </c>
      <c r="B12180" s="1" t="n">
        <v>45772.66784722222</v>
      </c>
      <c r="C12180" s="1" t="n">
        <v>45952</v>
      </c>
      <c r="D12180" t="inlineStr">
        <is>
          <t>VÄSTRA GÖTALANDS LÄN</t>
        </is>
      </c>
      <c r="E12180" t="inlineStr">
        <is>
          <t>HERRLJUNGA</t>
        </is>
      </c>
      <c r="G12180" t="n">
        <v>2.4</v>
      </c>
      <c r="H12180" t="n">
        <v>0</v>
      </c>
      <c r="I12180" t="n">
        <v>0</v>
      </c>
      <c r="J12180" t="n">
        <v>0</v>
      </c>
      <c r="K12180" t="n">
        <v>0</v>
      </c>
      <c r="L12180" t="n">
        <v>0</v>
      </c>
      <c r="M12180" t="n">
        <v>0</v>
      </c>
      <c r="N12180" t="n">
        <v>0</v>
      </c>
      <c r="O12180" t="n">
        <v>0</v>
      </c>
      <c r="P12180" t="n">
        <v>0</v>
      </c>
      <c r="Q12180" t="n">
        <v>0</v>
      </c>
      <c r="R12180" s="2" t="inlineStr"/>
    </row>
    <row r="12181" ht="15" customHeight="1">
      <c r="A12181" t="inlineStr">
        <is>
          <t>A 64459-2020</t>
        </is>
      </c>
      <c r="B12181" s="1" t="n">
        <v>44168</v>
      </c>
      <c r="C12181" s="1" t="n">
        <v>45952</v>
      </c>
      <c r="D12181" t="inlineStr">
        <is>
          <t>VÄSTRA GÖTALANDS LÄN</t>
        </is>
      </c>
      <c r="E12181" t="inlineStr">
        <is>
          <t>MARK</t>
        </is>
      </c>
      <c r="G12181" t="n">
        <v>1.8</v>
      </c>
      <c r="H12181" t="n">
        <v>0</v>
      </c>
      <c r="I12181" t="n">
        <v>0</v>
      </c>
      <c r="J12181" t="n">
        <v>0</v>
      </c>
      <c r="K12181" t="n">
        <v>0</v>
      </c>
      <c r="L12181" t="n">
        <v>0</v>
      </c>
      <c r="M12181" t="n">
        <v>0</v>
      </c>
      <c r="N12181" t="n">
        <v>0</v>
      </c>
      <c r="O12181" t="n">
        <v>0</v>
      </c>
      <c r="P12181" t="n">
        <v>0</v>
      </c>
      <c r="Q12181" t="n">
        <v>0</v>
      </c>
      <c r="R12181" s="2" t="inlineStr"/>
    </row>
    <row r="12182" ht="15" customHeight="1">
      <c r="A12182" t="inlineStr">
        <is>
          <t>A 17243-2025</t>
        </is>
      </c>
      <c r="B12182" s="1" t="n">
        <v>45756.49090277778</v>
      </c>
      <c r="C12182" s="1" t="n">
        <v>45952</v>
      </c>
      <c r="D12182" t="inlineStr">
        <is>
          <t>VÄSTRA GÖTALANDS LÄN</t>
        </is>
      </c>
      <c r="E12182" t="inlineStr">
        <is>
          <t>HERRLJUNGA</t>
        </is>
      </c>
      <c r="G12182" t="n">
        <v>0.5</v>
      </c>
      <c r="H12182" t="n">
        <v>0</v>
      </c>
      <c r="I12182" t="n">
        <v>0</v>
      </c>
      <c r="J12182" t="n">
        <v>0</v>
      </c>
      <c r="K12182" t="n">
        <v>0</v>
      </c>
      <c r="L12182" t="n">
        <v>0</v>
      </c>
      <c r="M12182" t="n">
        <v>0</v>
      </c>
      <c r="N12182" t="n">
        <v>0</v>
      </c>
      <c r="O12182" t="n">
        <v>0</v>
      </c>
      <c r="P12182" t="n">
        <v>0</v>
      </c>
      <c r="Q12182" t="n">
        <v>0</v>
      </c>
      <c r="R12182" s="2" t="inlineStr"/>
    </row>
    <row r="12183" ht="15" customHeight="1">
      <c r="A12183" t="inlineStr">
        <is>
          <t>A 17263-2025</t>
        </is>
      </c>
      <c r="B12183" s="1" t="n">
        <v>45756</v>
      </c>
      <c r="C12183" s="1" t="n">
        <v>45952</v>
      </c>
      <c r="D12183" t="inlineStr">
        <is>
          <t>VÄSTRA GÖTALANDS LÄN</t>
        </is>
      </c>
      <c r="E12183" t="inlineStr">
        <is>
          <t>BORÅS</t>
        </is>
      </c>
      <c r="G12183" t="n">
        <v>3</v>
      </c>
      <c r="H12183" t="n">
        <v>0</v>
      </c>
      <c r="I12183" t="n">
        <v>0</v>
      </c>
      <c r="J12183" t="n">
        <v>0</v>
      </c>
      <c r="K12183" t="n">
        <v>0</v>
      </c>
      <c r="L12183" t="n">
        <v>0</v>
      </c>
      <c r="M12183" t="n">
        <v>0</v>
      </c>
      <c r="N12183" t="n">
        <v>0</v>
      </c>
      <c r="O12183" t="n">
        <v>0</v>
      </c>
      <c r="P12183" t="n">
        <v>0</v>
      </c>
      <c r="Q12183" t="n">
        <v>0</v>
      </c>
      <c r="R12183" s="2" t="inlineStr"/>
    </row>
    <row r="12184" ht="15" customHeight="1">
      <c r="A12184" t="inlineStr">
        <is>
          <t>A 59452-2023</t>
        </is>
      </c>
      <c r="B12184" s="1" t="n">
        <v>45254.37158564815</v>
      </c>
      <c r="C12184" s="1" t="n">
        <v>45952</v>
      </c>
      <c r="D12184" t="inlineStr">
        <is>
          <t>VÄSTRA GÖTALANDS LÄN</t>
        </is>
      </c>
      <c r="E12184" t="inlineStr">
        <is>
          <t>HJO</t>
        </is>
      </c>
      <c r="G12184" t="n">
        <v>1.2</v>
      </c>
      <c r="H12184" t="n">
        <v>0</v>
      </c>
      <c r="I12184" t="n">
        <v>0</v>
      </c>
      <c r="J12184" t="n">
        <v>0</v>
      </c>
      <c r="K12184" t="n">
        <v>0</v>
      </c>
      <c r="L12184" t="n">
        <v>0</v>
      </c>
      <c r="M12184" t="n">
        <v>0</v>
      </c>
      <c r="N12184" t="n">
        <v>0</v>
      </c>
      <c r="O12184" t="n">
        <v>0</v>
      </c>
      <c r="P12184" t="n">
        <v>0</v>
      </c>
      <c r="Q12184" t="n">
        <v>0</v>
      </c>
      <c r="R12184" s="2" t="inlineStr"/>
    </row>
    <row r="12185" ht="15" customHeight="1">
      <c r="A12185" t="inlineStr">
        <is>
          <t>A 16662-2023</t>
        </is>
      </c>
      <c r="B12185" s="1" t="n">
        <v>45030</v>
      </c>
      <c r="C12185" s="1" t="n">
        <v>45952</v>
      </c>
      <c r="D12185" t="inlineStr">
        <is>
          <t>VÄSTRA GÖTALANDS LÄN</t>
        </is>
      </c>
      <c r="E12185" t="inlineStr">
        <is>
          <t>TANUM</t>
        </is>
      </c>
      <c r="G12185" t="n">
        <v>5.9</v>
      </c>
      <c r="H12185" t="n">
        <v>0</v>
      </c>
      <c r="I12185" t="n">
        <v>0</v>
      </c>
      <c r="J12185" t="n">
        <v>0</v>
      </c>
      <c r="K12185" t="n">
        <v>0</v>
      </c>
      <c r="L12185" t="n">
        <v>0</v>
      </c>
      <c r="M12185" t="n">
        <v>0</v>
      </c>
      <c r="N12185" t="n">
        <v>0</v>
      </c>
      <c r="O12185" t="n">
        <v>0</v>
      </c>
      <c r="P12185" t="n">
        <v>0</v>
      </c>
      <c r="Q12185" t="n">
        <v>0</v>
      </c>
      <c r="R12185" s="2" t="inlineStr"/>
    </row>
    <row r="12186" ht="15" customHeight="1">
      <c r="A12186" t="inlineStr">
        <is>
          <t>A 31163-2025</t>
        </is>
      </c>
      <c r="B12186" s="1" t="n">
        <v>45832.65693287037</v>
      </c>
      <c r="C12186" s="1" t="n">
        <v>45952</v>
      </c>
      <c r="D12186" t="inlineStr">
        <is>
          <t>VÄSTRA GÖTALANDS LÄN</t>
        </is>
      </c>
      <c r="E12186" t="inlineStr">
        <is>
          <t>VARA</t>
        </is>
      </c>
      <c r="G12186" t="n">
        <v>1.2</v>
      </c>
      <c r="H12186" t="n">
        <v>0</v>
      </c>
      <c r="I12186" t="n">
        <v>0</v>
      </c>
      <c r="J12186" t="n">
        <v>0</v>
      </c>
      <c r="K12186" t="n">
        <v>0</v>
      </c>
      <c r="L12186" t="n">
        <v>0</v>
      </c>
      <c r="M12186" t="n">
        <v>0</v>
      </c>
      <c r="N12186" t="n">
        <v>0</v>
      </c>
      <c r="O12186" t="n">
        <v>0</v>
      </c>
      <c r="P12186" t="n">
        <v>0</v>
      </c>
      <c r="Q12186" t="n">
        <v>0</v>
      </c>
      <c r="R12186" s="2" t="inlineStr"/>
    </row>
    <row r="12187" ht="15" customHeight="1">
      <c r="A12187" t="inlineStr">
        <is>
          <t>A 15927-2023</t>
        </is>
      </c>
      <c r="B12187" s="1" t="n">
        <v>45022.54587962963</v>
      </c>
      <c r="C12187" s="1" t="n">
        <v>45952</v>
      </c>
      <c r="D12187" t="inlineStr">
        <is>
          <t>VÄSTRA GÖTALANDS LÄN</t>
        </is>
      </c>
      <c r="E12187" t="inlineStr">
        <is>
          <t>SKARA</t>
        </is>
      </c>
      <c r="G12187" t="n">
        <v>1.9</v>
      </c>
      <c r="H12187" t="n">
        <v>0</v>
      </c>
      <c r="I12187" t="n">
        <v>0</v>
      </c>
      <c r="J12187" t="n">
        <v>0</v>
      </c>
      <c r="K12187" t="n">
        <v>0</v>
      </c>
      <c r="L12187" t="n">
        <v>0</v>
      </c>
      <c r="M12187" t="n">
        <v>0</v>
      </c>
      <c r="N12187" t="n">
        <v>0</v>
      </c>
      <c r="O12187" t="n">
        <v>0</v>
      </c>
      <c r="P12187" t="n">
        <v>0</v>
      </c>
      <c r="Q12187" t="n">
        <v>0</v>
      </c>
      <c r="R12187" s="2" t="inlineStr"/>
    </row>
    <row r="12188" ht="15" customHeight="1">
      <c r="A12188" t="inlineStr">
        <is>
          <t>A 15928-2023</t>
        </is>
      </c>
      <c r="B12188" s="1" t="n">
        <v>45022</v>
      </c>
      <c r="C12188" s="1" t="n">
        <v>45952</v>
      </c>
      <c r="D12188" t="inlineStr">
        <is>
          <t>VÄSTRA GÖTALANDS LÄN</t>
        </is>
      </c>
      <c r="E12188" t="inlineStr">
        <is>
          <t>FALKÖPING</t>
        </is>
      </c>
      <c r="G12188" t="n">
        <v>1.4</v>
      </c>
      <c r="H12188" t="n">
        <v>0</v>
      </c>
      <c r="I12188" t="n">
        <v>0</v>
      </c>
      <c r="J12188" t="n">
        <v>0</v>
      </c>
      <c r="K12188" t="n">
        <v>0</v>
      </c>
      <c r="L12188" t="n">
        <v>0</v>
      </c>
      <c r="M12188" t="n">
        <v>0</v>
      </c>
      <c r="N12188" t="n">
        <v>0</v>
      </c>
      <c r="O12188" t="n">
        <v>0</v>
      </c>
      <c r="P12188" t="n">
        <v>0</v>
      </c>
      <c r="Q12188" t="n">
        <v>0</v>
      </c>
      <c r="R12188" s="2" t="inlineStr"/>
    </row>
    <row r="12189" ht="15" customHeight="1">
      <c r="A12189" t="inlineStr">
        <is>
          <t>A 31405-2025</t>
        </is>
      </c>
      <c r="B12189" s="1" t="n">
        <v>45833.47336805556</v>
      </c>
      <c r="C12189" s="1" t="n">
        <v>45952</v>
      </c>
      <c r="D12189" t="inlineStr">
        <is>
          <t>VÄSTRA GÖTALANDS LÄN</t>
        </is>
      </c>
      <c r="E12189" t="inlineStr">
        <is>
          <t>ULRICEHAMN</t>
        </is>
      </c>
      <c r="F12189" t="inlineStr">
        <is>
          <t>Sveaskog</t>
        </is>
      </c>
      <c r="G12189" t="n">
        <v>3.7</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31407-2025</t>
        </is>
      </c>
      <c r="B12190" s="1" t="n">
        <v>45833</v>
      </c>
      <c r="C12190" s="1" t="n">
        <v>45952</v>
      </c>
      <c r="D12190" t="inlineStr">
        <is>
          <t>VÄSTRA GÖTALANDS LÄN</t>
        </is>
      </c>
      <c r="E12190" t="inlineStr">
        <is>
          <t>ALE</t>
        </is>
      </c>
      <c r="G12190" t="n">
        <v>0.8</v>
      </c>
      <c r="H12190" t="n">
        <v>0</v>
      </c>
      <c r="I12190" t="n">
        <v>0</v>
      </c>
      <c r="J12190" t="n">
        <v>0</v>
      </c>
      <c r="K12190" t="n">
        <v>0</v>
      </c>
      <c r="L12190" t="n">
        <v>0</v>
      </c>
      <c r="M12190" t="n">
        <v>0</v>
      </c>
      <c r="N12190" t="n">
        <v>0</v>
      </c>
      <c r="O12190" t="n">
        <v>0</v>
      </c>
      <c r="P12190" t="n">
        <v>0</v>
      </c>
      <c r="Q12190" t="n">
        <v>0</v>
      </c>
      <c r="R12190" s="2" t="inlineStr"/>
    </row>
    <row r="12191" ht="15" customHeight="1">
      <c r="A12191" t="inlineStr">
        <is>
          <t>A 31409-2025</t>
        </is>
      </c>
      <c r="B12191" s="1" t="n">
        <v>45833</v>
      </c>
      <c r="C12191" s="1" t="n">
        <v>45952</v>
      </c>
      <c r="D12191" t="inlineStr">
        <is>
          <t>VÄSTRA GÖTALANDS LÄN</t>
        </is>
      </c>
      <c r="E12191" t="inlineStr">
        <is>
          <t>ALE</t>
        </is>
      </c>
      <c r="G12191" t="n">
        <v>0.8</v>
      </c>
      <c r="H12191" t="n">
        <v>0</v>
      </c>
      <c r="I12191" t="n">
        <v>0</v>
      </c>
      <c r="J12191" t="n">
        <v>0</v>
      </c>
      <c r="K12191" t="n">
        <v>0</v>
      </c>
      <c r="L12191" t="n">
        <v>0</v>
      </c>
      <c r="M12191" t="n">
        <v>0</v>
      </c>
      <c r="N12191" t="n">
        <v>0</v>
      </c>
      <c r="O12191" t="n">
        <v>0</v>
      </c>
      <c r="P12191" t="n">
        <v>0</v>
      </c>
      <c r="Q12191" t="n">
        <v>0</v>
      </c>
      <c r="R12191" s="2" t="inlineStr"/>
    </row>
    <row r="12192" ht="15" customHeight="1">
      <c r="A12192" t="inlineStr">
        <is>
          <t>A 31410-2025</t>
        </is>
      </c>
      <c r="B12192" s="1" t="n">
        <v>45833.4774537037</v>
      </c>
      <c r="C12192" s="1" t="n">
        <v>45952</v>
      </c>
      <c r="D12192" t="inlineStr">
        <is>
          <t>VÄSTRA GÖTALANDS LÄN</t>
        </is>
      </c>
      <c r="E12192" t="inlineStr">
        <is>
          <t>ULRICEHAMN</t>
        </is>
      </c>
      <c r="F12192" t="inlineStr">
        <is>
          <t>Sveaskog</t>
        </is>
      </c>
      <c r="G12192" t="n">
        <v>1.5</v>
      </c>
      <c r="H12192" t="n">
        <v>0</v>
      </c>
      <c r="I12192" t="n">
        <v>0</v>
      </c>
      <c r="J12192" t="n">
        <v>0</v>
      </c>
      <c r="K12192" t="n">
        <v>0</v>
      </c>
      <c r="L12192" t="n">
        <v>0</v>
      </c>
      <c r="M12192" t="n">
        <v>0</v>
      </c>
      <c r="N12192" t="n">
        <v>0</v>
      </c>
      <c r="O12192" t="n">
        <v>0</v>
      </c>
      <c r="P12192" t="n">
        <v>0</v>
      </c>
      <c r="Q12192" t="n">
        <v>0</v>
      </c>
      <c r="R12192" s="2" t="inlineStr"/>
    </row>
    <row r="12193" ht="15" customHeight="1">
      <c r="A12193" t="inlineStr">
        <is>
          <t>A 31454-2025</t>
        </is>
      </c>
      <c r="B12193" s="1" t="n">
        <v>45833.53537037037</v>
      </c>
      <c r="C12193" s="1" t="n">
        <v>45952</v>
      </c>
      <c r="D12193" t="inlineStr">
        <is>
          <t>VÄSTRA GÖTALANDS LÄN</t>
        </is>
      </c>
      <c r="E12193" t="inlineStr">
        <is>
          <t>MARK</t>
        </is>
      </c>
      <c r="G12193" t="n">
        <v>1.7</v>
      </c>
      <c r="H12193" t="n">
        <v>0</v>
      </c>
      <c r="I12193" t="n">
        <v>0</v>
      </c>
      <c r="J12193" t="n">
        <v>0</v>
      </c>
      <c r="K12193" t="n">
        <v>0</v>
      </c>
      <c r="L12193" t="n">
        <v>0</v>
      </c>
      <c r="M12193" t="n">
        <v>0</v>
      </c>
      <c r="N12193" t="n">
        <v>0</v>
      </c>
      <c r="O12193" t="n">
        <v>0</v>
      </c>
      <c r="P12193" t="n">
        <v>0</v>
      </c>
      <c r="Q12193" t="n">
        <v>0</v>
      </c>
      <c r="R12193" s="2" t="inlineStr"/>
    </row>
    <row r="12194" ht="15" customHeight="1">
      <c r="A12194" t="inlineStr">
        <is>
          <t>A 17553-2025</t>
        </is>
      </c>
      <c r="B12194" s="1" t="n">
        <v>45757.61700231482</v>
      </c>
      <c r="C12194" s="1" t="n">
        <v>45952</v>
      </c>
      <c r="D12194" t="inlineStr">
        <is>
          <t>VÄSTRA GÖTALANDS LÄN</t>
        </is>
      </c>
      <c r="E12194" t="inlineStr">
        <is>
          <t>ALINGSÅS</t>
        </is>
      </c>
      <c r="G12194" t="n">
        <v>2.8</v>
      </c>
      <c r="H12194" t="n">
        <v>0</v>
      </c>
      <c r="I12194" t="n">
        <v>0</v>
      </c>
      <c r="J12194" t="n">
        <v>0</v>
      </c>
      <c r="K12194" t="n">
        <v>0</v>
      </c>
      <c r="L12194" t="n">
        <v>0</v>
      </c>
      <c r="M12194" t="n">
        <v>0</v>
      </c>
      <c r="N12194" t="n">
        <v>0</v>
      </c>
      <c r="O12194" t="n">
        <v>0</v>
      </c>
      <c r="P12194" t="n">
        <v>0</v>
      </c>
      <c r="Q12194" t="n">
        <v>0</v>
      </c>
      <c r="R12194" s="2" t="inlineStr"/>
    </row>
    <row r="12195" ht="15" customHeight="1">
      <c r="A12195" t="inlineStr">
        <is>
          <t>A 31254-2025</t>
        </is>
      </c>
      <c r="B12195" s="1" t="n">
        <v>45833.3154050926</v>
      </c>
      <c r="C12195" s="1" t="n">
        <v>45952</v>
      </c>
      <c r="D12195" t="inlineStr">
        <is>
          <t>VÄSTRA GÖTALANDS LÄN</t>
        </is>
      </c>
      <c r="E12195" t="inlineStr">
        <is>
          <t>HERRLJUNGA</t>
        </is>
      </c>
      <c r="G12195" t="n">
        <v>0.5</v>
      </c>
      <c r="H12195" t="n">
        <v>0</v>
      </c>
      <c r="I12195" t="n">
        <v>0</v>
      </c>
      <c r="J12195" t="n">
        <v>0</v>
      </c>
      <c r="K12195" t="n">
        <v>0</v>
      </c>
      <c r="L12195" t="n">
        <v>0</v>
      </c>
      <c r="M12195" t="n">
        <v>0</v>
      </c>
      <c r="N12195" t="n">
        <v>0</v>
      </c>
      <c r="O12195" t="n">
        <v>0</v>
      </c>
      <c r="P12195" t="n">
        <v>0</v>
      </c>
      <c r="Q12195" t="n">
        <v>0</v>
      </c>
      <c r="R12195" s="2" t="inlineStr"/>
    </row>
    <row r="12196" ht="15" customHeight="1">
      <c r="A12196" t="inlineStr">
        <is>
          <t>A 30844-2025</t>
        </is>
      </c>
      <c r="B12196" s="1" t="n">
        <v>45831.78528935185</v>
      </c>
      <c r="C12196" s="1" t="n">
        <v>45952</v>
      </c>
      <c r="D12196" t="inlineStr">
        <is>
          <t>VÄSTRA GÖTALANDS LÄN</t>
        </is>
      </c>
      <c r="E12196" t="inlineStr">
        <is>
          <t>ULRICEHAMN</t>
        </is>
      </c>
      <c r="G12196" t="n">
        <v>2.1</v>
      </c>
      <c r="H12196" t="n">
        <v>0</v>
      </c>
      <c r="I12196" t="n">
        <v>0</v>
      </c>
      <c r="J12196" t="n">
        <v>0</v>
      </c>
      <c r="K12196" t="n">
        <v>0</v>
      </c>
      <c r="L12196" t="n">
        <v>0</v>
      </c>
      <c r="M12196" t="n">
        <v>0</v>
      </c>
      <c r="N12196" t="n">
        <v>0</v>
      </c>
      <c r="O12196" t="n">
        <v>0</v>
      </c>
      <c r="P12196" t="n">
        <v>0</v>
      </c>
      <c r="Q12196" t="n">
        <v>0</v>
      </c>
      <c r="R12196" s="2" t="inlineStr"/>
    </row>
    <row r="12197" ht="15" customHeight="1">
      <c r="A12197" t="inlineStr">
        <is>
          <t>A 30849-2025</t>
        </is>
      </c>
      <c r="B12197" s="1" t="n">
        <v>45831.81407407407</v>
      </c>
      <c r="C12197" s="1" t="n">
        <v>45952</v>
      </c>
      <c r="D12197" t="inlineStr">
        <is>
          <t>VÄSTRA GÖTALANDS LÄN</t>
        </is>
      </c>
      <c r="E12197" t="inlineStr">
        <is>
          <t>TRANEMO</t>
        </is>
      </c>
      <c r="G12197" t="n">
        <v>2.6</v>
      </c>
      <c r="H12197" t="n">
        <v>0</v>
      </c>
      <c r="I12197" t="n">
        <v>0</v>
      </c>
      <c r="J12197" t="n">
        <v>0</v>
      </c>
      <c r="K12197" t="n">
        <v>0</v>
      </c>
      <c r="L12197" t="n">
        <v>0</v>
      </c>
      <c r="M12197" t="n">
        <v>0</v>
      </c>
      <c r="N12197" t="n">
        <v>0</v>
      </c>
      <c r="O12197" t="n">
        <v>0</v>
      </c>
      <c r="P12197" t="n">
        <v>0</v>
      </c>
      <c r="Q12197" t="n">
        <v>0</v>
      </c>
      <c r="R12197" s="2" t="inlineStr"/>
    </row>
    <row r="12198" ht="15" customHeight="1">
      <c r="A12198" t="inlineStr">
        <is>
          <t>A 3461-2023</t>
        </is>
      </c>
      <c r="B12198" s="1" t="n">
        <v>44949.64356481482</v>
      </c>
      <c r="C12198" s="1" t="n">
        <v>45952</v>
      </c>
      <c r="D12198" t="inlineStr">
        <is>
          <t>VÄSTRA GÖTALANDS LÄN</t>
        </is>
      </c>
      <c r="E12198" t="inlineStr">
        <is>
          <t>FALKÖPING</t>
        </is>
      </c>
      <c r="G12198" t="n">
        <v>2.2</v>
      </c>
      <c r="H12198" t="n">
        <v>0</v>
      </c>
      <c r="I12198" t="n">
        <v>0</v>
      </c>
      <c r="J12198" t="n">
        <v>0</v>
      </c>
      <c r="K12198" t="n">
        <v>0</v>
      </c>
      <c r="L12198" t="n">
        <v>0</v>
      </c>
      <c r="M12198" t="n">
        <v>0</v>
      </c>
      <c r="N12198" t="n">
        <v>0</v>
      </c>
      <c r="O12198" t="n">
        <v>0</v>
      </c>
      <c r="P12198" t="n">
        <v>0</v>
      </c>
      <c r="Q12198" t="n">
        <v>0</v>
      </c>
      <c r="R12198" s="2" t="inlineStr"/>
    </row>
    <row r="12199" ht="15" customHeight="1">
      <c r="A12199" t="inlineStr">
        <is>
          <t>A 29872-2025</t>
        </is>
      </c>
      <c r="B12199" s="1" t="n">
        <v>45826.35928240741</v>
      </c>
      <c r="C12199" s="1" t="n">
        <v>45952</v>
      </c>
      <c r="D12199" t="inlineStr">
        <is>
          <t>VÄSTRA GÖTALANDS LÄN</t>
        </is>
      </c>
      <c r="E12199" t="inlineStr">
        <is>
          <t>MARK</t>
        </is>
      </c>
      <c r="G12199" t="n">
        <v>3.3</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21180-2024</t>
        </is>
      </c>
      <c r="B12200" s="1" t="n">
        <v>45440.46910879629</v>
      </c>
      <c r="C12200" s="1" t="n">
        <v>45952</v>
      </c>
      <c r="D12200" t="inlineStr">
        <is>
          <t>VÄSTRA GÖTALANDS LÄN</t>
        </is>
      </c>
      <c r="E12200" t="inlineStr">
        <is>
          <t>BORÅS</t>
        </is>
      </c>
      <c r="G12200" t="n">
        <v>2.1</v>
      </c>
      <c r="H12200" t="n">
        <v>0</v>
      </c>
      <c r="I12200" t="n">
        <v>0</v>
      </c>
      <c r="J12200" t="n">
        <v>0</v>
      </c>
      <c r="K12200" t="n">
        <v>0</v>
      </c>
      <c r="L12200" t="n">
        <v>0</v>
      </c>
      <c r="M12200" t="n">
        <v>0</v>
      </c>
      <c r="N12200" t="n">
        <v>0</v>
      </c>
      <c r="O12200" t="n">
        <v>0</v>
      </c>
      <c r="P12200" t="n">
        <v>0</v>
      </c>
      <c r="Q12200" t="n">
        <v>0</v>
      </c>
      <c r="R12200" s="2" t="inlineStr"/>
    </row>
    <row r="12201" ht="15" customHeight="1">
      <c r="A12201" t="inlineStr">
        <is>
          <t>A 30952-2025</t>
        </is>
      </c>
      <c r="B12201" s="1" t="n">
        <v>45832.434375</v>
      </c>
      <c r="C12201" s="1" t="n">
        <v>45952</v>
      </c>
      <c r="D12201" t="inlineStr">
        <is>
          <t>VÄSTRA GÖTALANDS LÄN</t>
        </is>
      </c>
      <c r="E12201" t="inlineStr">
        <is>
          <t>BORÅS</t>
        </is>
      </c>
      <c r="G12201" t="n">
        <v>5.5</v>
      </c>
      <c r="H12201" t="n">
        <v>0</v>
      </c>
      <c r="I12201" t="n">
        <v>0</v>
      </c>
      <c r="J12201" t="n">
        <v>0</v>
      </c>
      <c r="K12201" t="n">
        <v>0</v>
      </c>
      <c r="L12201" t="n">
        <v>0</v>
      </c>
      <c r="M12201" t="n">
        <v>0</v>
      </c>
      <c r="N12201" t="n">
        <v>0</v>
      </c>
      <c r="O12201" t="n">
        <v>0</v>
      </c>
      <c r="P12201" t="n">
        <v>0</v>
      </c>
      <c r="Q12201" t="n">
        <v>0</v>
      </c>
      <c r="R12201" s="2" t="inlineStr"/>
    </row>
    <row r="12202" ht="15" customHeight="1">
      <c r="A12202" t="inlineStr">
        <is>
          <t>A 37203-2024</t>
        </is>
      </c>
      <c r="B12202" s="1" t="n">
        <v>45539.67503472222</v>
      </c>
      <c r="C12202" s="1" t="n">
        <v>45952</v>
      </c>
      <c r="D12202" t="inlineStr">
        <is>
          <t>VÄSTRA GÖTALANDS LÄN</t>
        </is>
      </c>
      <c r="E12202" t="inlineStr">
        <is>
          <t>TRANEMO</t>
        </is>
      </c>
      <c r="G12202" t="n">
        <v>1.4</v>
      </c>
      <c r="H12202" t="n">
        <v>0</v>
      </c>
      <c r="I12202" t="n">
        <v>0</v>
      </c>
      <c r="J12202" t="n">
        <v>0</v>
      </c>
      <c r="K12202" t="n">
        <v>0</v>
      </c>
      <c r="L12202" t="n">
        <v>0</v>
      </c>
      <c r="M12202" t="n">
        <v>0</v>
      </c>
      <c r="N12202" t="n">
        <v>0</v>
      </c>
      <c r="O12202" t="n">
        <v>0</v>
      </c>
      <c r="P12202" t="n">
        <v>0</v>
      </c>
      <c r="Q12202" t="n">
        <v>0</v>
      </c>
      <c r="R12202" s="2" t="inlineStr"/>
    </row>
    <row r="12203" ht="15" customHeight="1">
      <c r="A12203" t="inlineStr">
        <is>
          <t>A 39173-2023</t>
        </is>
      </c>
      <c r="B12203" s="1" t="n">
        <v>45166.37446759259</v>
      </c>
      <c r="C12203" s="1" t="n">
        <v>45952</v>
      </c>
      <c r="D12203" t="inlineStr">
        <is>
          <t>VÄSTRA GÖTALANDS LÄN</t>
        </is>
      </c>
      <c r="E12203" t="inlineStr">
        <is>
          <t>SVENLJUNGA</t>
        </is>
      </c>
      <c r="G12203" t="n">
        <v>3.6</v>
      </c>
      <c r="H12203" t="n">
        <v>0</v>
      </c>
      <c r="I12203" t="n">
        <v>0</v>
      </c>
      <c r="J12203" t="n">
        <v>0</v>
      </c>
      <c r="K12203" t="n">
        <v>0</v>
      </c>
      <c r="L12203" t="n">
        <v>0</v>
      </c>
      <c r="M12203" t="n">
        <v>0</v>
      </c>
      <c r="N12203" t="n">
        <v>0</v>
      </c>
      <c r="O12203" t="n">
        <v>0</v>
      </c>
      <c r="P12203" t="n">
        <v>0</v>
      </c>
      <c r="Q12203" t="n">
        <v>0</v>
      </c>
      <c r="R12203" s="2" t="inlineStr"/>
    </row>
    <row r="12204" ht="15" customHeight="1">
      <c r="A12204" t="inlineStr">
        <is>
          <t>A 41229-2024</t>
        </is>
      </c>
      <c r="B12204" s="1" t="n">
        <v>45559.56221064815</v>
      </c>
      <c r="C12204" s="1" t="n">
        <v>45952</v>
      </c>
      <c r="D12204" t="inlineStr">
        <is>
          <t>VÄSTRA GÖTALANDS LÄN</t>
        </is>
      </c>
      <c r="E12204" t="inlineStr">
        <is>
          <t>BENGTSFORS</t>
        </is>
      </c>
      <c r="G12204" t="n">
        <v>1.1</v>
      </c>
      <c r="H12204" t="n">
        <v>0</v>
      </c>
      <c r="I12204" t="n">
        <v>0</v>
      </c>
      <c r="J12204" t="n">
        <v>0</v>
      </c>
      <c r="K12204" t="n">
        <v>0</v>
      </c>
      <c r="L12204" t="n">
        <v>0</v>
      </c>
      <c r="M12204" t="n">
        <v>0</v>
      </c>
      <c r="N12204" t="n">
        <v>0</v>
      </c>
      <c r="O12204" t="n">
        <v>0</v>
      </c>
      <c r="P12204" t="n">
        <v>0</v>
      </c>
      <c r="Q12204" t="n">
        <v>0</v>
      </c>
      <c r="R12204" s="2" t="inlineStr"/>
    </row>
    <row r="12205" ht="15" customHeight="1">
      <c r="A12205" t="inlineStr">
        <is>
          <t>A 31150-2025</t>
        </is>
      </c>
      <c r="B12205" s="1" t="n">
        <v>45832.64126157408</v>
      </c>
      <c r="C12205" s="1" t="n">
        <v>45952</v>
      </c>
      <c r="D12205" t="inlineStr">
        <is>
          <t>VÄSTRA GÖTALANDS LÄN</t>
        </is>
      </c>
      <c r="E12205" t="inlineStr">
        <is>
          <t>DALS-ED</t>
        </is>
      </c>
      <c r="F12205" t="inlineStr">
        <is>
          <t>Övriga Aktiebolag</t>
        </is>
      </c>
      <c r="G12205" t="n">
        <v>3.4</v>
      </c>
      <c r="H12205" t="n">
        <v>0</v>
      </c>
      <c r="I12205" t="n">
        <v>0</v>
      </c>
      <c r="J12205" t="n">
        <v>0</v>
      </c>
      <c r="K12205" t="n">
        <v>0</v>
      </c>
      <c r="L12205" t="n">
        <v>0</v>
      </c>
      <c r="M12205" t="n">
        <v>0</v>
      </c>
      <c r="N12205" t="n">
        <v>0</v>
      </c>
      <c r="O12205" t="n">
        <v>0</v>
      </c>
      <c r="P12205" t="n">
        <v>0</v>
      </c>
      <c r="Q12205" t="n">
        <v>0</v>
      </c>
      <c r="R12205" s="2" t="inlineStr"/>
    </row>
    <row r="12206" ht="15" customHeight="1">
      <c r="A12206" t="inlineStr">
        <is>
          <t>A 31384-2025</t>
        </is>
      </c>
      <c r="B12206" s="1" t="n">
        <v>45833.45099537037</v>
      </c>
      <c r="C12206" s="1" t="n">
        <v>45952</v>
      </c>
      <c r="D12206" t="inlineStr">
        <is>
          <t>VÄSTRA GÖTALANDS LÄN</t>
        </is>
      </c>
      <c r="E12206" t="inlineStr">
        <is>
          <t>ULRICEHAMN</t>
        </is>
      </c>
      <c r="F12206" t="inlineStr">
        <is>
          <t>Sveaskog</t>
        </is>
      </c>
      <c r="G12206" t="n">
        <v>6.6</v>
      </c>
      <c r="H12206" t="n">
        <v>0</v>
      </c>
      <c r="I12206" t="n">
        <v>0</v>
      </c>
      <c r="J12206" t="n">
        <v>0</v>
      </c>
      <c r="K12206" t="n">
        <v>0</v>
      </c>
      <c r="L12206" t="n">
        <v>0</v>
      </c>
      <c r="M12206" t="n">
        <v>0</v>
      </c>
      <c r="N12206" t="n">
        <v>0</v>
      </c>
      <c r="O12206" t="n">
        <v>0</v>
      </c>
      <c r="P12206" t="n">
        <v>0</v>
      </c>
      <c r="Q12206" t="n">
        <v>0</v>
      </c>
      <c r="R12206" s="2" t="inlineStr"/>
    </row>
    <row r="12207" ht="15" customHeight="1">
      <c r="A12207" t="inlineStr">
        <is>
          <t>A 31391-2025</t>
        </is>
      </c>
      <c r="B12207" s="1" t="n">
        <v>45833.46016203704</v>
      </c>
      <c r="C12207" s="1" t="n">
        <v>45952</v>
      </c>
      <c r="D12207" t="inlineStr">
        <is>
          <t>VÄSTRA GÖTALANDS LÄN</t>
        </is>
      </c>
      <c r="E12207" t="inlineStr">
        <is>
          <t>ULRICEHAMN</t>
        </is>
      </c>
      <c r="F12207" t="inlineStr">
        <is>
          <t>Sveaskog</t>
        </is>
      </c>
      <c r="G12207" t="n">
        <v>3</v>
      </c>
      <c r="H12207" t="n">
        <v>0</v>
      </c>
      <c r="I12207" t="n">
        <v>0</v>
      </c>
      <c r="J12207" t="n">
        <v>0</v>
      </c>
      <c r="K12207" t="n">
        <v>0</v>
      </c>
      <c r="L12207" t="n">
        <v>0</v>
      </c>
      <c r="M12207" t="n">
        <v>0</v>
      </c>
      <c r="N12207" t="n">
        <v>0</v>
      </c>
      <c r="O12207" t="n">
        <v>0</v>
      </c>
      <c r="P12207" t="n">
        <v>0</v>
      </c>
      <c r="Q12207" t="n">
        <v>0</v>
      </c>
      <c r="R12207" s="2" t="inlineStr"/>
    </row>
    <row r="12208" ht="15" customHeight="1">
      <c r="A12208" t="inlineStr">
        <is>
          <t>A 31538-2025</t>
        </is>
      </c>
      <c r="B12208" s="1" t="n">
        <v>45833.6284375</v>
      </c>
      <c r="C12208" s="1" t="n">
        <v>45952</v>
      </c>
      <c r="D12208" t="inlineStr">
        <is>
          <t>VÄSTRA GÖTALANDS LÄN</t>
        </is>
      </c>
      <c r="E12208" t="inlineStr">
        <is>
          <t>KARLSBORG</t>
        </is>
      </c>
      <c r="F12208" t="inlineStr">
        <is>
          <t>Sveaskog</t>
        </is>
      </c>
      <c r="G12208" t="n">
        <v>11.2</v>
      </c>
      <c r="H12208" t="n">
        <v>0</v>
      </c>
      <c r="I12208" t="n">
        <v>0</v>
      </c>
      <c r="J12208" t="n">
        <v>0</v>
      </c>
      <c r="K12208" t="n">
        <v>0</v>
      </c>
      <c r="L12208" t="n">
        <v>0</v>
      </c>
      <c r="M12208" t="n">
        <v>0</v>
      </c>
      <c r="N12208" t="n">
        <v>0</v>
      </c>
      <c r="O12208" t="n">
        <v>0</v>
      </c>
      <c r="P12208" t="n">
        <v>0</v>
      </c>
      <c r="Q12208" t="n">
        <v>0</v>
      </c>
      <c r="R12208" s="2" t="inlineStr"/>
    </row>
    <row r="12209" ht="15" customHeight="1">
      <c r="A12209" t="inlineStr">
        <is>
          <t>A 31158-2025</t>
        </is>
      </c>
      <c r="B12209" s="1" t="n">
        <v>45832.65253472222</v>
      </c>
      <c r="C12209" s="1" t="n">
        <v>45952</v>
      </c>
      <c r="D12209" t="inlineStr">
        <is>
          <t>VÄSTRA GÖTALANDS LÄN</t>
        </is>
      </c>
      <c r="E12209" t="inlineStr">
        <is>
          <t>FÄRGELANDA</t>
        </is>
      </c>
      <c r="G12209" t="n">
        <v>12.3</v>
      </c>
      <c r="H12209" t="n">
        <v>0</v>
      </c>
      <c r="I12209" t="n">
        <v>0</v>
      </c>
      <c r="J12209" t="n">
        <v>0</v>
      </c>
      <c r="K12209" t="n">
        <v>0</v>
      </c>
      <c r="L12209" t="n">
        <v>0</v>
      </c>
      <c r="M12209" t="n">
        <v>0</v>
      </c>
      <c r="N12209" t="n">
        <v>0</v>
      </c>
      <c r="O12209" t="n">
        <v>0</v>
      </c>
      <c r="P12209" t="n">
        <v>0</v>
      </c>
      <c r="Q12209" t="n">
        <v>0</v>
      </c>
      <c r="R12209" s="2" t="inlineStr"/>
    </row>
    <row r="12210" ht="15" customHeight="1">
      <c r="A12210" t="inlineStr">
        <is>
          <t>A 30994-2025</t>
        </is>
      </c>
      <c r="B12210" s="1" t="n">
        <v>45832.4885300926</v>
      </c>
      <c r="C12210" s="1" t="n">
        <v>45952</v>
      </c>
      <c r="D12210" t="inlineStr">
        <is>
          <t>VÄSTRA GÖTALANDS LÄN</t>
        </is>
      </c>
      <c r="E12210" t="inlineStr">
        <is>
          <t>FÄRGELANDA</t>
        </is>
      </c>
      <c r="G12210" t="n">
        <v>0.7</v>
      </c>
      <c r="H12210" t="n">
        <v>0</v>
      </c>
      <c r="I12210" t="n">
        <v>0</v>
      </c>
      <c r="J12210" t="n">
        <v>0</v>
      </c>
      <c r="K12210" t="n">
        <v>0</v>
      </c>
      <c r="L12210" t="n">
        <v>0</v>
      </c>
      <c r="M12210" t="n">
        <v>0</v>
      </c>
      <c r="N12210" t="n">
        <v>0</v>
      </c>
      <c r="O12210" t="n">
        <v>0</v>
      </c>
      <c r="P12210" t="n">
        <v>0</v>
      </c>
      <c r="Q12210" t="n">
        <v>0</v>
      </c>
      <c r="R12210" s="2" t="inlineStr"/>
    </row>
    <row r="12211" ht="15" customHeight="1">
      <c r="A12211" t="inlineStr">
        <is>
          <t>A 61587-2021</t>
        </is>
      </c>
      <c r="B12211" s="1" t="n">
        <v>44501.45686342593</v>
      </c>
      <c r="C12211" s="1" t="n">
        <v>45952</v>
      </c>
      <c r="D12211" t="inlineStr">
        <is>
          <t>VÄSTRA GÖTALANDS LÄN</t>
        </is>
      </c>
      <c r="E12211" t="inlineStr">
        <is>
          <t>TIDAHOLM</t>
        </is>
      </c>
      <c r="G12211" t="n">
        <v>1.2</v>
      </c>
      <c r="H12211" t="n">
        <v>0</v>
      </c>
      <c r="I12211" t="n">
        <v>0</v>
      </c>
      <c r="J12211" t="n">
        <v>0</v>
      </c>
      <c r="K12211" t="n">
        <v>0</v>
      </c>
      <c r="L12211" t="n">
        <v>0</v>
      </c>
      <c r="M12211" t="n">
        <v>0</v>
      </c>
      <c r="N12211" t="n">
        <v>0</v>
      </c>
      <c r="O12211" t="n">
        <v>0</v>
      </c>
      <c r="P12211" t="n">
        <v>0</v>
      </c>
      <c r="Q12211" t="n">
        <v>0</v>
      </c>
      <c r="R12211" s="2" t="inlineStr"/>
    </row>
    <row r="12212" ht="15" customHeight="1">
      <c r="A12212" t="inlineStr">
        <is>
          <t>A 31440-2025</t>
        </is>
      </c>
      <c r="B12212" s="1" t="n">
        <v>45833.51048611111</v>
      </c>
      <c r="C12212" s="1" t="n">
        <v>45952</v>
      </c>
      <c r="D12212" t="inlineStr">
        <is>
          <t>VÄSTRA GÖTALANDS LÄN</t>
        </is>
      </c>
      <c r="E12212" t="inlineStr">
        <is>
          <t>KARLSBORG</t>
        </is>
      </c>
      <c r="G12212" t="n">
        <v>3.5</v>
      </c>
      <c r="H12212" t="n">
        <v>0</v>
      </c>
      <c r="I12212" t="n">
        <v>0</v>
      </c>
      <c r="J12212" t="n">
        <v>0</v>
      </c>
      <c r="K12212" t="n">
        <v>0</v>
      </c>
      <c r="L12212" t="n">
        <v>0</v>
      </c>
      <c r="M12212" t="n">
        <v>0</v>
      </c>
      <c r="N12212" t="n">
        <v>0</v>
      </c>
      <c r="O12212" t="n">
        <v>0</v>
      </c>
      <c r="P12212" t="n">
        <v>0</v>
      </c>
      <c r="Q12212" t="n">
        <v>0</v>
      </c>
      <c r="R12212" s="2" t="inlineStr"/>
    </row>
    <row r="12213" ht="15" customHeight="1">
      <c r="A12213" t="inlineStr">
        <is>
          <t>A 31210-2025</t>
        </is>
      </c>
      <c r="B12213" s="1" t="n">
        <v>45832.71377314815</v>
      </c>
      <c r="C12213" s="1" t="n">
        <v>45952</v>
      </c>
      <c r="D12213" t="inlineStr">
        <is>
          <t>VÄSTRA GÖTALANDS LÄN</t>
        </is>
      </c>
      <c r="E12213" t="inlineStr">
        <is>
          <t>BORÅS</t>
        </is>
      </c>
      <c r="G12213" t="n">
        <v>3</v>
      </c>
      <c r="H12213" t="n">
        <v>0</v>
      </c>
      <c r="I12213" t="n">
        <v>0</v>
      </c>
      <c r="J12213" t="n">
        <v>0</v>
      </c>
      <c r="K12213" t="n">
        <v>0</v>
      </c>
      <c r="L12213" t="n">
        <v>0</v>
      </c>
      <c r="M12213" t="n">
        <v>0</v>
      </c>
      <c r="N12213" t="n">
        <v>0</v>
      </c>
      <c r="O12213" t="n">
        <v>0</v>
      </c>
      <c r="P12213" t="n">
        <v>0</v>
      </c>
      <c r="Q12213" t="n">
        <v>0</v>
      </c>
      <c r="R12213" s="2" t="inlineStr"/>
    </row>
    <row r="12214" ht="15" customHeight="1">
      <c r="A12214" t="inlineStr">
        <is>
          <t>A 31611-2025</t>
        </is>
      </c>
      <c r="B12214" s="1" t="n">
        <v>45833</v>
      </c>
      <c r="C12214" s="1" t="n">
        <v>45952</v>
      </c>
      <c r="D12214" t="inlineStr">
        <is>
          <t>VÄSTRA GÖTALANDS LÄN</t>
        </is>
      </c>
      <c r="E12214" t="inlineStr">
        <is>
          <t>FALKÖPING</t>
        </is>
      </c>
      <c r="G12214" t="n">
        <v>0.7</v>
      </c>
      <c r="H12214" t="n">
        <v>0</v>
      </c>
      <c r="I12214" t="n">
        <v>0</v>
      </c>
      <c r="J12214" t="n">
        <v>0</v>
      </c>
      <c r="K12214" t="n">
        <v>0</v>
      </c>
      <c r="L12214" t="n">
        <v>0</v>
      </c>
      <c r="M12214" t="n">
        <v>0</v>
      </c>
      <c r="N12214" t="n">
        <v>0</v>
      </c>
      <c r="O12214" t="n">
        <v>0</v>
      </c>
      <c r="P12214" t="n">
        <v>0</v>
      </c>
      <c r="Q12214" t="n">
        <v>0</v>
      </c>
      <c r="R12214" s="2" t="inlineStr"/>
    </row>
    <row r="12215" ht="15" customHeight="1">
      <c r="A12215" t="inlineStr">
        <is>
          <t>A 31558-2025</t>
        </is>
      </c>
      <c r="B12215" s="1" t="n">
        <v>45833.65283564815</v>
      </c>
      <c r="C12215" s="1" t="n">
        <v>45952</v>
      </c>
      <c r="D12215" t="inlineStr">
        <is>
          <t>VÄSTRA GÖTALANDS LÄN</t>
        </is>
      </c>
      <c r="E12215" t="inlineStr">
        <is>
          <t>MUNKEDAL</t>
        </is>
      </c>
      <c r="G12215" t="n">
        <v>4.5</v>
      </c>
      <c r="H12215" t="n">
        <v>0</v>
      </c>
      <c r="I12215" t="n">
        <v>0</v>
      </c>
      <c r="J12215" t="n">
        <v>0</v>
      </c>
      <c r="K12215" t="n">
        <v>0</v>
      </c>
      <c r="L12215" t="n">
        <v>0</v>
      </c>
      <c r="M12215" t="n">
        <v>0</v>
      </c>
      <c r="N12215" t="n">
        <v>0</v>
      </c>
      <c r="O12215" t="n">
        <v>0</v>
      </c>
      <c r="P12215" t="n">
        <v>0</v>
      </c>
      <c r="Q12215" t="n">
        <v>0</v>
      </c>
      <c r="R12215" s="2" t="inlineStr"/>
    </row>
    <row r="12216" ht="15" customHeight="1">
      <c r="A12216" t="inlineStr">
        <is>
          <t>A 31394-2025</t>
        </is>
      </c>
      <c r="B12216" s="1" t="n">
        <v>45833.46310185185</v>
      </c>
      <c r="C12216" s="1" t="n">
        <v>45952</v>
      </c>
      <c r="D12216" t="inlineStr">
        <is>
          <t>VÄSTRA GÖTALANDS LÄN</t>
        </is>
      </c>
      <c r="E12216" t="inlineStr">
        <is>
          <t>ULRICEHAMN</t>
        </is>
      </c>
      <c r="F12216" t="inlineStr">
        <is>
          <t>Sveaskog</t>
        </is>
      </c>
      <c r="G12216" t="n">
        <v>2.2</v>
      </c>
      <c r="H12216" t="n">
        <v>0</v>
      </c>
      <c r="I12216" t="n">
        <v>0</v>
      </c>
      <c r="J12216" t="n">
        <v>0</v>
      </c>
      <c r="K12216" t="n">
        <v>0</v>
      </c>
      <c r="L12216" t="n">
        <v>0</v>
      </c>
      <c r="M12216" t="n">
        <v>0</v>
      </c>
      <c r="N12216" t="n">
        <v>0</v>
      </c>
      <c r="O12216" t="n">
        <v>0</v>
      </c>
      <c r="P12216" t="n">
        <v>0</v>
      </c>
      <c r="Q12216" t="n">
        <v>0</v>
      </c>
      <c r="R12216" s="2" t="inlineStr"/>
    </row>
    <row r="12217" ht="15" customHeight="1">
      <c r="A12217" t="inlineStr">
        <is>
          <t>A 20873-2024</t>
        </is>
      </c>
      <c r="B12217" s="1" t="n">
        <v>45439</v>
      </c>
      <c r="C12217" s="1" t="n">
        <v>45952</v>
      </c>
      <c r="D12217" t="inlineStr">
        <is>
          <t>VÄSTRA GÖTALANDS LÄN</t>
        </is>
      </c>
      <c r="E12217" t="inlineStr">
        <is>
          <t>TRANEMO</t>
        </is>
      </c>
      <c r="G12217" t="n">
        <v>1.6</v>
      </c>
      <c r="H12217" t="n">
        <v>0</v>
      </c>
      <c r="I12217" t="n">
        <v>0</v>
      </c>
      <c r="J12217" t="n">
        <v>0</v>
      </c>
      <c r="K12217" t="n">
        <v>0</v>
      </c>
      <c r="L12217" t="n">
        <v>0</v>
      </c>
      <c r="M12217" t="n">
        <v>0</v>
      </c>
      <c r="N12217" t="n">
        <v>0</v>
      </c>
      <c r="O12217" t="n">
        <v>0</v>
      </c>
      <c r="P12217" t="n">
        <v>0</v>
      </c>
      <c r="Q12217" t="n">
        <v>0</v>
      </c>
      <c r="R12217" s="2" t="inlineStr"/>
    </row>
    <row r="12218" ht="15" customHeight="1">
      <c r="A12218" t="inlineStr">
        <is>
          <t>A 31128-2025</t>
        </is>
      </c>
      <c r="B12218" s="1" t="n">
        <v>45832.6290625</v>
      </c>
      <c r="C12218" s="1" t="n">
        <v>45952</v>
      </c>
      <c r="D12218" t="inlineStr">
        <is>
          <t>VÄSTRA GÖTALANDS LÄN</t>
        </is>
      </c>
      <c r="E12218" t="inlineStr">
        <is>
          <t>TRANEMO</t>
        </is>
      </c>
      <c r="G12218" t="n">
        <v>11</v>
      </c>
      <c r="H12218" t="n">
        <v>0</v>
      </c>
      <c r="I12218" t="n">
        <v>0</v>
      </c>
      <c r="J12218" t="n">
        <v>0</v>
      </c>
      <c r="K12218" t="n">
        <v>0</v>
      </c>
      <c r="L12218" t="n">
        <v>0</v>
      </c>
      <c r="M12218" t="n">
        <v>0</v>
      </c>
      <c r="N12218" t="n">
        <v>0</v>
      </c>
      <c r="O12218" t="n">
        <v>0</v>
      </c>
      <c r="P12218" t="n">
        <v>0</v>
      </c>
      <c r="Q12218" t="n">
        <v>0</v>
      </c>
      <c r="R12218" s="2" t="inlineStr"/>
    </row>
    <row r="12219" ht="15" customHeight="1">
      <c r="A12219" t="inlineStr">
        <is>
          <t>A 8535-2024</t>
        </is>
      </c>
      <c r="B12219" s="1" t="n">
        <v>45355.51329861111</v>
      </c>
      <c r="C12219" s="1" t="n">
        <v>45952</v>
      </c>
      <c r="D12219" t="inlineStr">
        <is>
          <t>VÄSTRA GÖTALANDS LÄN</t>
        </is>
      </c>
      <c r="E12219" t="inlineStr">
        <is>
          <t>TANUM</t>
        </is>
      </c>
      <c r="G12219" t="n">
        <v>1.9</v>
      </c>
      <c r="H12219" t="n">
        <v>0</v>
      </c>
      <c r="I12219" t="n">
        <v>0</v>
      </c>
      <c r="J12219" t="n">
        <v>0</v>
      </c>
      <c r="K12219" t="n">
        <v>0</v>
      </c>
      <c r="L12219" t="n">
        <v>0</v>
      </c>
      <c r="M12219" t="n">
        <v>0</v>
      </c>
      <c r="N12219" t="n">
        <v>0</v>
      </c>
      <c r="O12219" t="n">
        <v>0</v>
      </c>
      <c r="P12219" t="n">
        <v>0</v>
      </c>
      <c r="Q12219" t="n">
        <v>0</v>
      </c>
      <c r="R12219" s="2" t="inlineStr"/>
    </row>
    <row r="12220" ht="15" customHeight="1">
      <c r="A12220" t="inlineStr">
        <is>
          <t>A 31584-2025</t>
        </is>
      </c>
      <c r="B12220" s="1" t="n">
        <v>45833.68732638889</v>
      </c>
      <c r="C12220" s="1" t="n">
        <v>45952</v>
      </c>
      <c r="D12220" t="inlineStr">
        <is>
          <t>VÄSTRA GÖTALANDS LÄN</t>
        </is>
      </c>
      <c r="E12220" t="inlineStr">
        <is>
          <t>BENGTSFORS</t>
        </is>
      </c>
      <c r="G12220" t="n">
        <v>7</v>
      </c>
      <c r="H12220" t="n">
        <v>0</v>
      </c>
      <c r="I12220" t="n">
        <v>0</v>
      </c>
      <c r="J12220" t="n">
        <v>0</v>
      </c>
      <c r="K12220" t="n">
        <v>0</v>
      </c>
      <c r="L12220" t="n">
        <v>0</v>
      </c>
      <c r="M12220" t="n">
        <v>0</v>
      </c>
      <c r="N12220" t="n">
        <v>0</v>
      </c>
      <c r="O12220" t="n">
        <v>0</v>
      </c>
      <c r="P12220" t="n">
        <v>0</v>
      </c>
      <c r="Q12220" t="n">
        <v>0</v>
      </c>
      <c r="R12220" s="2" t="inlineStr"/>
    </row>
    <row r="12221" ht="15" customHeight="1">
      <c r="A12221" t="inlineStr">
        <is>
          <t>A 30484-2023</t>
        </is>
      </c>
      <c r="B12221" s="1" t="n">
        <v>45111.60274305556</v>
      </c>
      <c r="C12221" s="1" t="n">
        <v>45952</v>
      </c>
      <c r="D12221" t="inlineStr">
        <is>
          <t>VÄSTRA GÖTALANDS LÄN</t>
        </is>
      </c>
      <c r="E12221" t="inlineStr">
        <is>
          <t>LIDKÖPING</t>
        </is>
      </c>
      <c r="G12221" t="n">
        <v>0.2</v>
      </c>
      <c r="H12221" t="n">
        <v>0</v>
      </c>
      <c r="I12221" t="n">
        <v>0</v>
      </c>
      <c r="J12221" t="n">
        <v>0</v>
      </c>
      <c r="K12221" t="n">
        <v>0</v>
      </c>
      <c r="L12221" t="n">
        <v>0</v>
      </c>
      <c r="M12221" t="n">
        <v>0</v>
      </c>
      <c r="N12221" t="n">
        <v>0</v>
      </c>
      <c r="O12221" t="n">
        <v>0</v>
      </c>
      <c r="P12221" t="n">
        <v>0</v>
      </c>
      <c r="Q12221" t="n">
        <v>0</v>
      </c>
      <c r="R12221" s="2" t="inlineStr"/>
    </row>
    <row r="12222" ht="15" customHeight="1">
      <c r="A12222" t="inlineStr">
        <is>
          <t>A 30495-2023</t>
        </is>
      </c>
      <c r="B12222" s="1" t="n">
        <v>45102</v>
      </c>
      <c r="C12222" s="1" t="n">
        <v>45952</v>
      </c>
      <c r="D12222" t="inlineStr">
        <is>
          <t>VÄSTRA GÖTALANDS LÄN</t>
        </is>
      </c>
      <c r="E12222" t="inlineStr">
        <is>
          <t>TANUM</t>
        </is>
      </c>
      <c r="G12222" t="n">
        <v>1.6</v>
      </c>
      <c r="H12222" t="n">
        <v>0</v>
      </c>
      <c r="I12222" t="n">
        <v>0</v>
      </c>
      <c r="J12222" t="n">
        <v>0</v>
      </c>
      <c r="K12222" t="n">
        <v>0</v>
      </c>
      <c r="L12222" t="n">
        <v>0</v>
      </c>
      <c r="M12222" t="n">
        <v>0</v>
      </c>
      <c r="N12222" t="n">
        <v>0</v>
      </c>
      <c r="O12222" t="n">
        <v>0</v>
      </c>
      <c r="P12222" t="n">
        <v>0</v>
      </c>
      <c r="Q12222" t="n">
        <v>0</v>
      </c>
      <c r="R12222" s="2" t="inlineStr"/>
    </row>
    <row r="12223" ht="15" customHeight="1">
      <c r="A12223" t="inlineStr">
        <is>
          <t>A 31258-2025</t>
        </is>
      </c>
      <c r="B12223" s="1" t="n">
        <v>45833.32134259259</v>
      </c>
      <c r="C12223" s="1" t="n">
        <v>45952</v>
      </c>
      <c r="D12223" t="inlineStr">
        <is>
          <t>VÄSTRA GÖTALANDS LÄN</t>
        </is>
      </c>
      <c r="E12223" t="inlineStr">
        <is>
          <t>GÖTENE</t>
        </is>
      </c>
      <c r="G12223" t="n">
        <v>5.2</v>
      </c>
      <c r="H12223" t="n">
        <v>0</v>
      </c>
      <c r="I12223" t="n">
        <v>0</v>
      </c>
      <c r="J12223" t="n">
        <v>0</v>
      </c>
      <c r="K12223" t="n">
        <v>0</v>
      </c>
      <c r="L12223" t="n">
        <v>0</v>
      </c>
      <c r="M12223" t="n">
        <v>0</v>
      </c>
      <c r="N12223" t="n">
        <v>0</v>
      </c>
      <c r="O12223" t="n">
        <v>0</v>
      </c>
      <c r="P12223" t="n">
        <v>0</v>
      </c>
      <c r="Q12223" t="n">
        <v>0</v>
      </c>
      <c r="R12223" s="2" t="inlineStr"/>
    </row>
    <row r="12224" ht="15" customHeight="1">
      <c r="A12224" t="inlineStr">
        <is>
          <t>A 31403-2025</t>
        </is>
      </c>
      <c r="B12224" s="1" t="n">
        <v>45833</v>
      </c>
      <c r="C12224" s="1" t="n">
        <v>45952</v>
      </c>
      <c r="D12224" t="inlineStr">
        <is>
          <t>VÄSTRA GÖTALANDS LÄN</t>
        </is>
      </c>
      <c r="E12224" t="inlineStr">
        <is>
          <t>MARK</t>
        </is>
      </c>
      <c r="G12224" t="n">
        <v>3</v>
      </c>
      <c r="H12224" t="n">
        <v>0</v>
      </c>
      <c r="I12224" t="n">
        <v>0</v>
      </c>
      <c r="J12224" t="n">
        <v>0</v>
      </c>
      <c r="K12224" t="n">
        <v>0</v>
      </c>
      <c r="L12224" t="n">
        <v>0</v>
      </c>
      <c r="M12224" t="n">
        <v>0</v>
      </c>
      <c r="N12224" t="n">
        <v>0</v>
      </c>
      <c r="O12224" t="n">
        <v>0</v>
      </c>
      <c r="P12224" t="n">
        <v>0</v>
      </c>
      <c r="Q12224" t="n">
        <v>0</v>
      </c>
      <c r="R12224" s="2" t="inlineStr"/>
    </row>
    <row r="12225" ht="15" customHeight="1">
      <c r="A12225" t="inlineStr">
        <is>
          <t>A 31444-2025</t>
        </is>
      </c>
      <c r="B12225" s="1" t="n">
        <v>45833.51385416667</v>
      </c>
      <c r="C12225" s="1" t="n">
        <v>45952</v>
      </c>
      <c r="D12225" t="inlineStr">
        <is>
          <t>VÄSTRA GÖTALANDS LÄN</t>
        </is>
      </c>
      <c r="E12225" t="inlineStr">
        <is>
          <t>KARLSBORG</t>
        </is>
      </c>
      <c r="G12225" t="n">
        <v>1.6</v>
      </c>
      <c r="H12225" t="n">
        <v>0</v>
      </c>
      <c r="I12225" t="n">
        <v>0</v>
      </c>
      <c r="J12225" t="n">
        <v>0</v>
      </c>
      <c r="K12225" t="n">
        <v>0</v>
      </c>
      <c r="L12225" t="n">
        <v>0</v>
      </c>
      <c r="M12225" t="n">
        <v>0</v>
      </c>
      <c r="N12225" t="n">
        <v>0</v>
      </c>
      <c r="O12225" t="n">
        <v>0</v>
      </c>
      <c r="P12225" t="n">
        <v>0</v>
      </c>
      <c r="Q12225" t="n">
        <v>0</v>
      </c>
      <c r="R12225" s="2" t="inlineStr"/>
    </row>
    <row r="12226" ht="15" customHeight="1">
      <c r="A12226" t="inlineStr">
        <is>
          <t>A 31457-2025</t>
        </is>
      </c>
      <c r="B12226" s="1" t="n">
        <v>45833.54055555556</v>
      </c>
      <c r="C12226" s="1" t="n">
        <v>45952</v>
      </c>
      <c r="D12226" t="inlineStr">
        <is>
          <t>VÄSTRA GÖTALANDS LÄN</t>
        </is>
      </c>
      <c r="E12226" t="inlineStr">
        <is>
          <t>MARK</t>
        </is>
      </c>
      <c r="G12226" t="n">
        <v>4.9</v>
      </c>
      <c r="H12226" t="n">
        <v>0</v>
      </c>
      <c r="I12226" t="n">
        <v>0</v>
      </c>
      <c r="J12226" t="n">
        <v>0</v>
      </c>
      <c r="K12226" t="n">
        <v>0</v>
      </c>
      <c r="L12226" t="n">
        <v>0</v>
      </c>
      <c r="M12226" t="n">
        <v>0</v>
      </c>
      <c r="N12226" t="n">
        <v>0</v>
      </c>
      <c r="O12226" t="n">
        <v>0</v>
      </c>
      <c r="P12226" t="n">
        <v>0</v>
      </c>
      <c r="Q12226" t="n">
        <v>0</v>
      </c>
      <c r="R12226" s="2" t="inlineStr"/>
    </row>
    <row r="12227" ht="15" customHeight="1">
      <c r="A12227" t="inlineStr">
        <is>
          <t>A 31475-2025</t>
        </is>
      </c>
      <c r="B12227" s="1" t="n">
        <v>45833.56820601852</v>
      </c>
      <c r="C12227" s="1" t="n">
        <v>45952</v>
      </c>
      <c r="D12227" t="inlineStr">
        <is>
          <t>VÄSTRA GÖTALANDS LÄN</t>
        </is>
      </c>
      <c r="E12227" t="inlineStr">
        <is>
          <t>BENGTSFORS</t>
        </is>
      </c>
      <c r="G12227" t="n">
        <v>4.6</v>
      </c>
      <c r="H12227" t="n">
        <v>0</v>
      </c>
      <c r="I12227" t="n">
        <v>0</v>
      </c>
      <c r="J12227" t="n">
        <v>0</v>
      </c>
      <c r="K12227" t="n">
        <v>0</v>
      </c>
      <c r="L12227" t="n">
        <v>0</v>
      </c>
      <c r="M12227" t="n">
        <v>0</v>
      </c>
      <c r="N12227" t="n">
        <v>0</v>
      </c>
      <c r="O12227" t="n">
        <v>0</v>
      </c>
      <c r="P12227" t="n">
        <v>0</v>
      </c>
      <c r="Q12227" t="n">
        <v>0</v>
      </c>
      <c r="R12227" s="2" t="inlineStr"/>
    </row>
    <row r="12228" ht="15" customHeight="1">
      <c r="A12228" t="inlineStr">
        <is>
          <t>A 31464-2025</t>
        </is>
      </c>
      <c r="B12228" s="1" t="n">
        <v>45833</v>
      </c>
      <c r="C12228" s="1" t="n">
        <v>45952</v>
      </c>
      <c r="D12228" t="inlineStr">
        <is>
          <t>VÄSTRA GÖTALANDS LÄN</t>
        </is>
      </c>
      <c r="E12228" t="inlineStr">
        <is>
          <t>TROLLHÄTTAN</t>
        </is>
      </c>
      <c r="G12228" t="n">
        <v>1.4</v>
      </c>
      <c r="H12228" t="n">
        <v>0</v>
      </c>
      <c r="I12228" t="n">
        <v>0</v>
      </c>
      <c r="J12228" t="n">
        <v>0</v>
      </c>
      <c r="K12228" t="n">
        <v>0</v>
      </c>
      <c r="L12228" t="n">
        <v>0</v>
      </c>
      <c r="M12228" t="n">
        <v>0</v>
      </c>
      <c r="N12228" t="n">
        <v>0</v>
      </c>
      <c r="O12228" t="n">
        <v>0</v>
      </c>
      <c r="P12228" t="n">
        <v>0</v>
      </c>
      <c r="Q12228" t="n">
        <v>0</v>
      </c>
      <c r="R12228" s="2" t="inlineStr"/>
    </row>
    <row r="12229" ht="15" customHeight="1">
      <c r="A12229" t="inlineStr">
        <is>
          <t>A 30847-2025</t>
        </is>
      </c>
      <c r="B12229" s="1" t="n">
        <v>45831.8115625</v>
      </c>
      <c r="C12229" s="1" t="n">
        <v>45952</v>
      </c>
      <c r="D12229" t="inlineStr">
        <is>
          <t>VÄSTRA GÖTALANDS LÄN</t>
        </is>
      </c>
      <c r="E12229" t="inlineStr">
        <is>
          <t>ULRICEHAMN</t>
        </is>
      </c>
      <c r="G12229" t="n">
        <v>1</v>
      </c>
      <c r="H12229" t="n">
        <v>0</v>
      </c>
      <c r="I12229" t="n">
        <v>0</v>
      </c>
      <c r="J12229" t="n">
        <v>0</v>
      </c>
      <c r="K12229" t="n">
        <v>0</v>
      </c>
      <c r="L12229" t="n">
        <v>0</v>
      </c>
      <c r="M12229" t="n">
        <v>0</v>
      </c>
      <c r="N12229" t="n">
        <v>0</v>
      </c>
      <c r="O12229" t="n">
        <v>0</v>
      </c>
      <c r="P12229" t="n">
        <v>0</v>
      </c>
      <c r="Q12229" t="n">
        <v>0</v>
      </c>
      <c r="R12229" s="2" t="inlineStr"/>
    </row>
    <row r="12230" ht="15" customHeight="1">
      <c r="A12230" t="inlineStr">
        <is>
          <t>A 47212-2023</t>
        </is>
      </c>
      <c r="B12230" s="1" t="n">
        <v>45202</v>
      </c>
      <c r="C12230" s="1" t="n">
        <v>45952</v>
      </c>
      <c r="D12230" t="inlineStr">
        <is>
          <t>VÄSTRA GÖTALANDS LÄN</t>
        </is>
      </c>
      <c r="E12230" t="inlineStr">
        <is>
          <t>BENGTSFORS</t>
        </is>
      </c>
      <c r="G12230" t="n">
        <v>0.7</v>
      </c>
      <c r="H12230" t="n">
        <v>0</v>
      </c>
      <c r="I12230" t="n">
        <v>0</v>
      </c>
      <c r="J12230" t="n">
        <v>0</v>
      </c>
      <c r="K12230" t="n">
        <v>0</v>
      </c>
      <c r="L12230" t="n">
        <v>0</v>
      </c>
      <c r="M12230" t="n">
        <v>0</v>
      </c>
      <c r="N12230" t="n">
        <v>0</v>
      </c>
      <c r="O12230" t="n">
        <v>0</v>
      </c>
      <c r="P12230" t="n">
        <v>0</v>
      </c>
      <c r="Q12230" t="n">
        <v>0</v>
      </c>
      <c r="R12230" s="2" t="inlineStr"/>
    </row>
    <row r="12231" ht="15" customHeight="1">
      <c r="A12231" t="inlineStr">
        <is>
          <t>A 31488-2025</t>
        </is>
      </c>
      <c r="B12231" s="1" t="n">
        <v>45833</v>
      </c>
      <c r="C12231" s="1" t="n">
        <v>45952</v>
      </c>
      <c r="D12231" t="inlineStr">
        <is>
          <t>VÄSTRA GÖTALANDS LÄN</t>
        </is>
      </c>
      <c r="E12231" t="inlineStr">
        <is>
          <t>ALE</t>
        </is>
      </c>
      <c r="G12231" t="n">
        <v>1.8</v>
      </c>
      <c r="H12231" t="n">
        <v>0</v>
      </c>
      <c r="I12231" t="n">
        <v>0</v>
      </c>
      <c r="J12231" t="n">
        <v>0</v>
      </c>
      <c r="K12231" t="n">
        <v>0</v>
      </c>
      <c r="L12231" t="n">
        <v>0</v>
      </c>
      <c r="M12231" t="n">
        <v>0</v>
      </c>
      <c r="N12231" t="n">
        <v>0</v>
      </c>
      <c r="O12231" t="n">
        <v>0</v>
      </c>
      <c r="P12231" t="n">
        <v>0</v>
      </c>
      <c r="Q12231" t="n">
        <v>0</v>
      </c>
      <c r="R12231" s="2" t="inlineStr"/>
    </row>
    <row r="12232" ht="15" customHeight="1">
      <c r="A12232" t="inlineStr">
        <is>
          <t>A 60380-2022</t>
        </is>
      </c>
      <c r="B12232" s="1" t="n">
        <v>44910.69658564815</v>
      </c>
      <c r="C12232" s="1" t="n">
        <v>45952</v>
      </c>
      <c r="D12232" t="inlineStr">
        <is>
          <t>VÄSTRA GÖTALANDS LÄN</t>
        </is>
      </c>
      <c r="E12232" t="inlineStr">
        <is>
          <t>VÅRGÅRDA</t>
        </is>
      </c>
      <c r="G12232" t="n">
        <v>0</v>
      </c>
      <c r="H12232" t="n">
        <v>0</v>
      </c>
      <c r="I12232" t="n">
        <v>0</v>
      </c>
      <c r="J12232" t="n">
        <v>0</v>
      </c>
      <c r="K12232" t="n">
        <v>0</v>
      </c>
      <c r="L12232" t="n">
        <v>0</v>
      </c>
      <c r="M12232" t="n">
        <v>0</v>
      </c>
      <c r="N12232" t="n">
        <v>0</v>
      </c>
      <c r="O12232" t="n">
        <v>0</v>
      </c>
      <c r="P12232" t="n">
        <v>0</v>
      </c>
      <c r="Q12232" t="n">
        <v>0</v>
      </c>
      <c r="R12232" s="2" t="inlineStr"/>
    </row>
    <row r="12233" ht="15" customHeight="1">
      <c r="A12233" t="inlineStr">
        <is>
          <t>A 42522-2024</t>
        </is>
      </c>
      <c r="B12233" s="1" t="n">
        <v>45565.55225694444</v>
      </c>
      <c r="C12233" s="1" t="n">
        <v>45952</v>
      </c>
      <c r="D12233" t="inlineStr">
        <is>
          <t>VÄSTRA GÖTALANDS LÄN</t>
        </is>
      </c>
      <c r="E12233" t="inlineStr">
        <is>
          <t>HERRLJUNGA</t>
        </is>
      </c>
      <c r="G12233" t="n">
        <v>2</v>
      </c>
      <c r="H12233" t="n">
        <v>0</v>
      </c>
      <c r="I12233" t="n">
        <v>0</v>
      </c>
      <c r="J12233" t="n">
        <v>0</v>
      </c>
      <c r="K12233" t="n">
        <v>0</v>
      </c>
      <c r="L12233" t="n">
        <v>0</v>
      </c>
      <c r="M12233" t="n">
        <v>0</v>
      </c>
      <c r="N12233" t="n">
        <v>0</v>
      </c>
      <c r="O12233" t="n">
        <v>0</v>
      </c>
      <c r="P12233" t="n">
        <v>0</v>
      </c>
      <c r="Q12233" t="n">
        <v>0</v>
      </c>
      <c r="R12233" s="2" t="inlineStr"/>
    </row>
    <row r="12234" ht="15" customHeight="1">
      <c r="A12234" t="inlineStr">
        <is>
          <t>A 31533-2025</t>
        </is>
      </c>
      <c r="B12234" s="1" t="n">
        <v>45833</v>
      </c>
      <c r="C12234" s="1" t="n">
        <v>45952</v>
      </c>
      <c r="D12234" t="inlineStr">
        <is>
          <t>VÄSTRA GÖTALANDS LÄN</t>
        </is>
      </c>
      <c r="E12234" t="inlineStr">
        <is>
          <t>ALE</t>
        </is>
      </c>
      <c r="G12234" t="n">
        <v>1.6</v>
      </c>
      <c r="H12234" t="n">
        <v>0</v>
      </c>
      <c r="I12234" t="n">
        <v>0</v>
      </c>
      <c r="J12234" t="n">
        <v>0</v>
      </c>
      <c r="K12234" t="n">
        <v>0</v>
      </c>
      <c r="L12234" t="n">
        <v>0</v>
      </c>
      <c r="M12234" t="n">
        <v>0</v>
      </c>
      <c r="N12234" t="n">
        <v>0</v>
      </c>
      <c r="O12234" t="n">
        <v>0</v>
      </c>
      <c r="P12234" t="n">
        <v>0</v>
      </c>
      <c r="Q12234" t="n">
        <v>0</v>
      </c>
      <c r="R12234" s="2" t="inlineStr"/>
    </row>
    <row r="12235" ht="15" customHeight="1">
      <c r="A12235" t="inlineStr">
        <is>
          <t>A 31099-2025</t>
        </is>
      </c>
      <c r="B12235" s="1" t="n">
        <v>45832.59876157407</v>
      </c>
      <c r="C12235" s="1" t="n">
        <v>45952</v>
      </c>
      <c r="D12235" t="inlineStr">
        <is>
          <t>VÄSTRA GÖTALANDS LÄN</t>
        </is>
      </c>
      <c r="E12235" t="inlineStr">
        <is>
          <t>SVENLJUNGA</t>
        </is>
      </c>
      <c r="G12235" t="n">
        <v>4.3</v>
      </c>
      <c r="H12235" t="n">
        <v>0</v>
      </c>
      <c r="I12235" t="n">
        <v>0</v>
      </c>
      <c r="J12235" t="n">
        <v>0</v>
      </c>
      <c r="K12235" t="n">
        <v>0</v>
      </c>
      <c r="L12235" t="n">
        <v>0</v>
      </c>
      <c r="M12235" t="n">
        <v>0</v>
      </c>
      <c r="N12235" t="n">
        <v>0</v>
      </c>
      <c r="O12235" t="n">
        <v>0</v>
      </c>
      <c r="P12235" t="n">
        <v>0</v>
      </c>
      <c r="Q12235" t="n">
        <v>0</v>
      </c>
      <c r="R12235" s="2" t="inlineStr"/>
    </row>
    <row r="12236" ht="15" customHeight="1">
      <c r="A12236" t="inlineStr">
        <is>
          <t>A 31617-2025</t>
        </is>
      </c>
      <c r="B12236" s="1" t="n">
        <v>45833</v>
      </c>
      <c r="C12236" s="1" t="n">
        <v>45952</v>
      </c>
      <c r="D12236" t="inlineStr">
        <is>
          <t>VÄSTRA GÖTALANDS LÄN</t>
        </is>
      </c>
      <c r="E12236" t="inlineStr">
        <is>
          <t>ORUST</t>
        </is>
      </c>
      <c r="G12236" t="n">
        <v>3.6</v>
      </c>
      <c r="H12236" t="n">
        <v>0</v>
      </c>
      <c r="I12236" t="n">
        <v>0</v>
      </c>
      <c r="J12236" t="n">
        <v>0</v>
      </c>
      <c r="K12236" t="n">
        <v>0</v>
      </c>
      <c r="L12236" t="n">
        <v>0</v>
      </c>
      <c r="M12236" t="n">
        <v>0</v>
      </c>
      <c r="N12236" t="n">
        <v>0</v>
      </c>
      <c r="O12236" t="n">
        <v>0</v>
      </c>
      <c r="P12236" t="n">
        <v>0</v>
      </c>
      <c r="Q12236" t="n">
        <v>0</v>
      </c>
      <c r="R12236" s="2" t="inlineStr"/>
    </row>
    <row r="12237" ht="15" customHeight="1">
      <c r="A12237" t="inlineStr">
        <is>
          <t>A 42611-2024</t>
        </is>
      </c>
      <c r="B12237" s="1" t="n">
        <v>45565.78096064815</v>
      </c>
      <c r="C12237" s="1" t="n">
        <v>45952</v>
      </c>
      <c r="D12237" t="inlineStr">
        <is>
          <t>VÄSTRA GÖTALANDS LÄN</t>
        </is>
      </c>
      <c r="E12237" t="inlineStr">
        <is>
          <t>SVENLJUNGA</t>
        </is>
      </c>
      <c r="G12237" t="n">
        <v>5.2</v>
      </c>
      <c r="H12237" t="n">
        <v>0</v>
      </c>
      <c r="I12237" t="n">
        <v>0</v>
      </c>
      <c r="J12237" t="n">
        <v>0</v>
      </c>
      <c r="K12237" t="n">
        <v>0</v>
      </c>
      <c r="L12237" t="n">
        <v>0</v>
      </c>
      <c r="M12237" t="n">
        <v>0</v>
      </c>
      <c r="N12237" t="n">
        <v>0</v>
      </c>
      <c r="O12237" t="n">
        <v>0</v>
      </c>
      <c r="P12237" t="n">
        <v>0</v>
      </c>
      <c r="Q12237" t="n">
        <v>0</v>
      </c>
      <c r="R12237" s="2" t="inlineStr"/>
    </row>
    <row r="12238" ht="15" customHeight="1">
      <c r="A12238" t="inlineStr">
        <is>
          <t>A 54519-2022</t>
        </is>
      </c>
      <c r="B12238" s="1" t="n">
        <v>44882</v>
      </c>
      <c r="C12238" s="1" t="n">
        <v>45952</v>
      </c>
      <c r="D12238" t="inlineStr">
        <is>
          <t>VÄSTRA GÖTALANDS LÄN</t>
        </is>
      </c>
      <c r="E12238" t="inlineStr">
        <is>
          <t>ULRICEHAMN</t>
        </is>
      </c>
      <c r="G12238" t="n">
        <v>1.2</v>
      </c>
      <c r="H12238" t="n">
        <v>0</v>
      </c>
      <c r="I12238" t="n">
        <v>0</v>
      </c>
      <c r="J12238" t="n">
        <v>0</v>
      </c>
      <c r="K12238" t="n">
        <v>0</v>
      </c>
      <c r="L12238" t="n">
        <v>0</v>
      </c>
      <c r="M12238" t="n">
        <v>0</v>
      </c>
      <c r="N12238" t="n">
        <v>0</v>
      </c>
      <c r="O12238" t="n">
        <v>0</v>
      </c>
      <c r="P12238" t="n">
        <v>0</v>
      </c>
      <c r="Q12238" t="n">
        <v>0</v>
      </c>
      <c r="R12238" s="2" t="inlineStr"/>
    </row>
    <row r="12239" ht="15" customHeight="1">
      <c r="A12239" t="inlineStr">
        <is>
          <t>A 31256-2025</t>
        </is>
      </c>
      <c r="B12239" s="1" t="n">
        <v>45833.32037037037</v>
      </c>
      <c r="C12239" s="1" t="n">
        <v>45952</v>
      </c>
      <c r="D12239" t="inlineStr">
        <is>
          <t>VÄSTRA GÖTALANDS LÄN</t>
        </is>
      </c>
      <c r="E12239" t="inlineStr">
        <is>
          <t>HERRLJUNGA</t>
        </is>
      </c>
      <c r="G12239" t="n">
        <v>1.4</v>
      </c>
      <c r="H12239" t="n">
        <v>0</v>
      </c>
      <c r="I12239" t="n">
        <v>0</v>
      </c>
      <c r="J12239" t="n">
        <v>0</v>
      </c>
      <c r="K12239" t="n">
        <v>0</v>
      </c>
      <c r="L12239" t="n">
        <v>0</v>
      </c>
      <c r="M12239" t="n">
        <v>0</v>
      </c>
      <c r="N12239" t="n">
        <v>0</v>
      </c>
      <c r="O12239" t="n">
        <v>0</v>
      </c>
      <c r="P12239" t="n">
        <v>0</v>
      </c>
      <c r="Q12239" t="n">
        <v>0</v>
      </c>
      <c r="R12239" s="2" t="inlineStr"/>
    </row>
    <row r="12240" ht="15" customHeight="1">
      <c r="A12240" t="inlineStr">
        <is>
          <t>A 47194-2021</t>
        </is>
      </c>
      <c r="B12240" s="1" t="n">
        <v>44447.32616898148</v>
      </c>
      <c r="C12240" s="1" t="n">
        <v>45952</v>
      </c>
      <c r="D12240" t="inlineStr">
        <is>
          <t>VÄSTRA GÖTALANDS LÄN</t>
        </is>
      </c>
      <c r="E12240" t="inlineStr">
        <is>
          <t>MARIESTAD</t>
        </is>
      </c>
      <c r="G12240" t="n">
        <v>0.8</v>
      </c>
      <c r="H12240" t="n">
        <v>0</v>
      </c>
      <c r="I12240" t="n">
        <v>0</v>
      </c>
      <c r="J12240" t="n">
        <v>0</v>
      </c>
      <c r="K12240" t="n">
        <v>0</v>
      </c>
      <c r="L12240" t="n">
        <v>0</v>
      </c>
      <c r="M12240" t="n">
        <v>0</v>
      </c>
      <c r="N12240" t="n">
        <v>0</v>
      </c>
      <c r="O12240" t="n">
        <v>0</v>
      </c>
      <c r="P12240" t="n">
        <v>0</v>
      </c>
      <c r="Q12240" t="n">
        <v>0</v>
      </c>
      <c r="R12240" s="2" t="inlineStr"/>
    </row>
    <row r="12241" ht="15" customHeight="1">
      <c r="A12241" t="inlineStr">
        <is>
          <t>A 31865-2025</t>
        </is>
      </c>
      <c r="B12241" s="1" t="n">
        <v>45834.64103009259</v>
      </c>
      <c r="C12241" s="1" t="n">
        <v>45952</v>
      </c>
      <c r="D12241" t="inlineStr">
        <is>
          <t>VÄSTRA GÖTALANDS LÄN</t>
        </is>
      </c>
      <c r="E12241" t="inlineStr">
        <is>
          <t>HERRLJUNGA</t>
        </is>
      </c>
      <c r="G12241" t="n">
        <v>0.9</v>
      </c>
      <c r="H12241" t="n">
        <v>0</v>
      </c>
      <c r="I12241" t="n">
        <v>0</v>
      </c>
      <c r="J12241" t="n">
        <v>0</v>
      </c>
      <c r="K12241" t="n">
        <v>0</v>
      </c>
      <c r="L12241" t="n">
        <v>0</v>
      </c>
      <c r="M12241" t="n">
        <v>0</v>
      </c>
      <c r="N12241" t="n">
        <v>0</v>
      </c>
      <c r="O12241" t="n">
        <v>0</v>
      </c>
      <c r="P12241" t="n">
        <v>0</v>
      </c>
      <c r="Q12241" t="n">
        <v>0</v>
      </c>
      <c r="R12241" s="2" t="inlineStr"/>
    </row>
    <row r="12242" ht="15" customHeight="1">
      <c r="A12242" t="inlineStr">
        <is>
          <t>A 8950-2024</t>
        </is>
      </c>
      <c r="B12242" s="1" t="n">
        <v>45357.44467592592</v>
      </c>
      <c r="C12242" s="1" t="n">
        <v>45952</v>
      </c>
      <c r="D12242" t="inlineStr">
        <is>
          <t>VÄSTRA GÖTALANDS LÄN</t>
        </is>
      </c>
      <c r="E12242" t="inlineStr">
        <is>
          <t>LIDKÖPING</t>
        </is>
      </c>
      <c r="G12242" t="n">
        <v>0.6</v>
      </c>
      <c r="H12242" t="n">
        <v>0</v>
      </c>
      <c r="I12242" t="n">
        <v>0</v>
      </c>
      <c r="J12242" t="n">
        <v>0</v>
      </c>
      <c r="K12242" t="n">
        <v>0</v>
      </c>
      <c r="L12242" t="n">
        <v>0</v>
      </c>
      <c r="M12242" t="n">
        <v>0</v>
      </c>
      <c r="N12242" t="n">
        <v>0</v>
      </c>
      <c r="O12242" t="n">
        <v>0</v>
      </c>
      <c r="P12242" t="n">
        <v>0</v>
      </c>
      <c r="Q12242" t="n">
        <v>0</v>
      </c>
      <c r="R12242" s="2" t="inlineStr"/>
    </row>
    <row r="12243" ht="15" customHeight="1">
      <c r="A12243" t="inlineStr">
        <is>
          <t>A 8970-2024</t>
        </is>
      </c>
      <c r="B12243" s="1" t="n">
        <v>45357.49026620371</v>
      </c>
      <c r="C12243" s="1" t="n">
        <v>45952</v>
      </c>
      <c r="D12243" t="inlineStr">
        <is>
          <t>VÄSTRA GÖTALANDS LÄN</t>
        </is>
      </c>
      <c r="E12243" t="inlineStr">
        <is>
          <t>SVENLJUNGA</t>
        </is>
      </c>
      <c r="G12243" t="n">
        <v>3.6</v>
      </c>
      <c r="H12243" t="n">
        <v>0</v>
      </c>
      <c r="I12243" t="n">
        <v>0</v>
      </c>
      <c r="J12243" t="n">
        <v>0</v>
      </c>
      <c r="K12243" t="n">
        <v>0</v>
      </c>
      <c r="L12243" t="n">
        <v>0</v>
      </c>
      <c r="M12243" t="n">
        <v>0</v>
      </c>
      <c r="N12243" t="n">
        <v>0</v>
      </c>
      <c r="O12243" t="n">
        <v>0</v>
      </c>
      <c r="P12243" t="n">
        <v>0</v>
      </c>
      <c r="Q12243" t="n">
        <v>0</v>
      </c>
      <c r="R12243" s="2" t="inlineStr"/>
    </row>
    <row r="12244" ht="15" customHeight="1">
      <c r="A12244" t="inlineStr">
        <is>
          <t>A 32176-2025</t>
        </is>
      </c>
      <c r="B12244" s="1" t="n">
        <v>45835</v>
      </c>
      <c r="C12244" s="1" t="n">
        <v>45952</v>
      </c>
      <c r="D12244" t="inlineStr">
        <is>
          <t>VÄSTRA GÖTALANDS LÄN</t>
        </is>
      </c>
      <c r="E12244" t="inlineStr">
        <is>
          <t>ESSUNGA</t>
        </is>
      </c>
      <c r="G12244" t="n">
        <v>2.3</v>
      </c>
      <c r="H12244" t="n">
        <v>0</v>
      </c>
      <c r="I12244" t="n">
        <v>0</v>
      </c>
      <c r="J12244" t="n">
        <v>0</v>
      </c>
      <c r="K12244" t="n">
        <v>0</v>
      </c>
      <c r="L12244" t="n">
        <v>0</v>
      </c>
      <c r="M12244" t="n">
        <v>0</v>
      </c>
      <c r="N12244" t="n">
        <v>0</v>
      </c>
      <c r="O12244" t="n">
        <v>0</v>
      </c>
      <c r="P12244" t="n">
        <v>0</v>
      </c>
      <c r="Q12244" t="n">
        <v>0</v>
      </c>
      <c r="R12244" s="2" t="inlineStr"/>
    </row>
    <row r="12245" ht="15" customHeight="1">
      <c r="A12245" t="inlineStr">
        <is>
          <t>A 8983-2024</t>
        </is>
      </c>
      <c r="B12245" s="1" t="n">
        <v>45356</v>
      </c>
      <c r="C12245" s="1" t="n">
        <v>45952</v>
      </c>
      <c r="D12245" t="inlineStr">
        <is>
          <t>VÄSTRA GÖTALANDS LÄN</t>
        </is>
      </c>
      <c r="E12245" t="inlineStr">
        <is>
          <t>VÅRGÅRDA</t>
        </is>
      </c>
      <c r="G12245" t="n">
        <v>2.1</v>
      </c>
      <c r="H12245" t="n">
        <v>0</v>
      </c>
      <c r="I12245" t="n">
        <v>0</v>
      </c>
      <c r="J12245" t="n">
        <v>0</v>
      </c>
      <c r="K12245" t="n">
        <v>0</v>
      </c>
      <c r="L12245" t="n">
        <v>0</v>
      </c>
      <c r="M12245" t="n">
        <v>0</v>
      </c>
      <c r="N12245" t="n">
        <v>0</v>
      </c>
      <c r="O12245" t="n">
        <v>0</v>
      </c>
      <c r="P12245" t="n">
        <v>0</v>
      </c>
      <c r="Q12245" t="n">
        <v>0</v>
      </c>
      <c r="R12245" s="2" t="inlineStr"/>
    </row>
    <row r="12246" ht="15" customHeight="1">
      <c r="A12246" t="inlineStr">
        <is>
          <t>A 21904-2025</t>
        </is>
      </c>
      <c r="B12246" s="1" t="n">
        <v>45784.46083333333</v>
      </c>
      <c r="C12246" s="1" t="n">
        <v>45952</v>
      </c>
      <c r="D12246" t="inlineStr">
        <is>
          <t>VÄSTRA GÖTALANDS LÄN</t>
        </is>
      </c>
      <c r="E12246" t="inlineStr">
        <is>
          <t>TIDAHOLM</t>
        </is>
      </c>
      <c r="G12246" t="n">
        <v>2.7</v>
      </c>
      <c r="H12246" t="n">
        <v>0</v>
      </c>
      <c r="I12246" t="n">
        <v>0</v>
      </c>
      <c r="J12246" t="n">
        <v>0</v>
      </c>
      <c r="K12246" t="n">
        <v>0</v>
      </c>
      <c r="L12246" t="n">
        <v>0</v>
      </c>
      <c r="M12246" t="n">
        <v>0</v>
      </c>
      <c r="N12246" t="n">
        <v>0</v>
      </c>
      <c r="O12246" t="n">
        <v>0</v>
      </c>
      <c r="P12246" t="n">
        <v>0</v>
      </c>
      <c r="Q12246" t="n">
        <v>0</v>
      </c>
      <c r="R12246" s="2" t="inlineStr"/>
    </row>
    <row r="12247" ht="15" customHeight="1">
      <c r="A12247" t="inlineStr">
        <is>
          <t>A 31940-2025</t>
        </is>
      </c>
      <c r="B12247" s="1" t="n">
        <v>45835.29754629629</v>
      </c>
      <c r="C12247" s="1" t="n">
        <v>45952</v>
      </c>
      <c r="D12247" t="inlineStr">
        <is>
          <t>VÄSTRA GÖTALANDS LÄN</t>
        </is>
      </c>
      <c r="E12247" t="inlineStr">
        <is>
          <t>ULRICEHAMN</t>
        </is>
      </c>
      <c r="G12247" t="n">
        <v>1</v>
      </c>
      <c r="H12247" t="n">
        <v>0</v>
      </c>
      <c r="I12247" t="n">
        <v>0</v>
      </c>
      <c r="J12247" t="n">
        <v>0</v>
      </c>
      <c r="K12247" t="n">
        <v>0</v>
      </c>
      <c r="L12247" t="n">
        <v>0</v>
      </c>
      <c r="M12247" t="n">
        <v>0</v>
      </c>
      <c r="N12247" t="n">
        <v>0</v>
      </c>
      <c r="O12247" t="n">
        <v>0</v>
      </c>
      <c r="P12247" t="n">
        <v>0</v>
      </c>
      <c r="Q12247" t="n">
        <v>0</v>
      </c>
      <c r="R12247" s="2" t="inlineStr"/>
    </row>
    <row r="12248" ht="15" customHeight="1">
      <c r="A12248" t="inlineStr">
        <is>
          <t>A 5539-2025</t>
        </is>
      </c>
      <c r="B12248" s="1" t="n">
        <v>45693.45027777777</v>
      </c>
      <c r="C12248" s="1" t="n">
        <v>45952</v>
      </c>
      <c r="D12248" t="inlineStr">
        <is>
          <t>VÄSTRA GÖTALANDS LÄN</t>
        </is>
      </c>
      <c r="E12248" t="inlineStr">
        <is>
          <t>SVENLJUNGA</t>
        </is>
      </c>
      <c r="G12248" t="n">
        <v>0.9</v>
      </c>
      <c r="H12248" t="n">
        <v>0</v>
      </c>
      <c r="I12248" t="n">
        <v>0</v>
      </c>
      <c r="J12248" t="n">
        <v>0</v>
      </c>
      <c r="K12248" t="n">
        <v>0</v>
      </c>
      <c r="L12248" t="n">
        <v>0</v>
      </c>
      <c r="M12248" t="n">
        <v>0</v>
      </c>
      <c r="N12248" t="n">
        <v>0</v>
      </c>
      <c r="O12248" t="n">
        <v>0</v>
      </c>
      <c r="P12248" t="n">
        <v>0</v>
      </c>
      <c r="Q12248" t="n">
        <v>0</v>
      </c>
      <c r="R12248" s="2" t="inlineStr"/>
    </row>
    <row r="12249" ht="15" customHeight="1">
      <c r="A12249" t="inlineStr">
        <is>
          <t>A 54408-2021</t>
        </is>
      </c>
      <c r="B12249" s="1" t="n">
        <v>44473.40636574074</v>
      </c>
      <c r="C12249" s="1" t="n">
        <v>45952</v>
      </c>
      <c r="D12249" t="inlineStr">
        <is>
          <t>VÄSTRA GÖTALANDS LÄN</t>
        </is>
      </c>
      <c r="E12249" t="inlineStr">
        <is>
          <t>ESSUNGA</t>
        </is>
      </c>
      <c r="G12249" t="n">
        <v>0.9</v>
      </c>
      <c r="H12249" t="n">
        <v>0</v>
      </c>
      <c r="I12249" t="n">
        <v>0</v>
      </c>
      <c r="J12249" t="n">
        <v>0</v>
      </c>
      <c r="K12249" t="n">
        <v>0</v>
      </c>
      <c r="L12249" t="n">
        <v>0</v>
      </c>
      <c r="M12249" t="n">
        <v>0</v>
      </c>
      <c r="N12249" t="n">
        <v>0</v>
      </c>
      <c r="O12249" t="n">
        <v>0</v>
      </c>
      <c r="P12249" t="n">
        <v>0</v>
      </c>
      <c r="Q12249" t="n">
        <v>0</v>
      </c>
      <c r="R12249" s="2" t="inlineStr"/>
    </row>
    <row r="12250" ht="15" customHeight="1">
      <c r="A12250" t="inlineStr">
        <is>
          <t>A 32074-2025</t>
        </is>
      </c>
      <c r="B12250" s="1" t="n">
        <v>45835.44943287037</v>
      </c>
      <c r="C12250" s="1" t="n">
        <v>45952</v>
      </c>
      <c r="D12250" t="inlineStr">
        <is>
          <t>VÄSTRA GÖTALANDS LÄN</t>
        </is>
      </c>
      <c r="E12250" t="inlineStr">
        <is>
          <t>ALINGSÅS</t>
        </is>
      </c>
      <c r="G12250" t="n">
        <v>2.4</v>
      </c>
      <c r="H12250" t="n">
        <v>0</v>
      </c>
      <c r="I12250" t="n">
        <v>0</v>
      </c>
      <c r="J12250" t="n">
        <v>0</v>
      </c>
      <c r="K12250" t="n">
        <v>0</v>
      </c>
      <c r="L12250" t="n">
        <v>0</v>
      </c>
      <c r="M12250" t="n">
        <v>0</v>
      </c>
      <c r="N12250" t="n">
        <v>0</v>
      </c>
      <c r="O12250" t="n">
        <v>0</v>
      </c>
      <c r="P12250" t="n">
        <v>0</v>
      </c>
      <c r="Q12250" t="n">
        <v>0</v>
      </c>
      <c r="R12250" s="2" t="inlineStr"/>
    </row>
    <row r="12251" ht="15" customHeight="1">
      <c r="A12251" t="inlineStr">
        <is>
          <t>A 8771-2023</t>
        </is>
      </c>
      <c r="B12251" s="1" t="n">
        <v>44973</v>
      </c>
      <c r="C12251" s="1" t="n">
        <v>45952</v>
      </c>
      <c r="D12251" t="inlineStr">
        <is>
          <t>VÄSTRA GÖTALANDS LÄN</t>
        </is>
      </c>
      <c r="E12251" t="inlineStr">
        <is>
          <t>MARIESTAD</t>
        </is>
      </c>
      <c r="G12251" t="n">
        <v>2.5</v>
      </c>
      <c r="H12251" t="n">
        <v>0</v>
      </c>
      <c r="I12251" t="n">
        <v>0</v>
      </c>
      <c r="J12251" t="n">
        <v>0</v>
      </c>
      <c r="K12251" t="n">
        <v>0</v>
      </c>
      <c r="L12251" t="n">
        <v>0</v>
      </c>
      <c r="M12251" t="n">
        <v>0</v>
      </c>
      <c r="N12251" t="n">
        <v>0</v>
      </c>
      <c r="O12251" t="n">
        <v>0</v>
      </c>
      <c r="P12251" t="n">
        <v>0</v>
      </c>
      <c r="Q12251" t="n">
        <v>0</v>
      </c>
      <c r="R12251" s="2" t="inlineStr"/>
    </row>
    <row r="12252" ht="15" customHeight="1">
      <c r="A12252" t="inlineStr">
        <is>
          <t>A 31615-2025</t>
        </is>
      </c>
      <c r="B12252" s="1" t="n">
        <v>45833.8168287037</v>
      </c>
      <c r="C12252" s="1" t="n">
        <v>45952</v>
      </c>
      <c r="D12252" t="inlineStr">
        <is>
          <t>VÄSTRA GÖTALANDS LÄN</t>
        </is>
      </c>
      <c r="E12252" t="inlineStr">
        <is>
          <t>ULRICEHAMN</t>
        </is>
      </c>
      <c r="G12252" t="n">
        <v>0.6</v>
      </c>
      <c r="H12252" t="n">
        <v>0</v>
      </c>
      <c r="I12252" t="n">
        <v>0</v>
      </c>
      <c r="J12252" t="n">
        <v>0</v>
      </c>
      <c r="K12252" t="n">
        <v>0</v>
      </c>
      <c r="L12252" t="n">
        <v>0</v>
      </c>
      <c r="M12252" t="n">
        <v>0</v>
      </c>
      <c r="N12252" t="n">
        <v>0</v>
      </c>
      <c r="O12252" t="n">
        <v>0</v>
      </c>
      <c r="P12252" t="n">
        <v>0</v>
      </c>
      <c r="Q12252" t="n">
        <v>0</v>
      </c>
      <c r="R12252" s="2" t="inlineStr"/>
    </row>
    <row r="12253" ht="15" customHeight="1">
      <c r="A12253" t="inlineStr">
        <is>
          <t>A 31917-2025</t>
        </is>
      </c>
      <c r="B12253" s="1" t="n">
        <v>45834</v>
      </c>
      <c r="C12253" s="1" t="n">
        <v>45952</v>
      </c>
      <c r="D12253" t="inlineStr">
        <is>
          <t>VÄSTRA GÖTALANDS LÄN</t>
        </is>
      </c>
      <c r="E12253" t="inlineStr">
        <is>
          <t>STRÖMSTAD</t>
        </is>
      </c>
      <c r="G12253" t="n">
        <v>1.2</v>
      </c>
      <c r="H12253" t="n">
        <v>0</v>
      </c>
      <c r="I12253" t="n">
        <v>0</v>
      </c>
      <c r="J12253" t="n">
        <v>0</v>
      </c>
      <c r="K12253" t="n">
        <v>0</v>
      </c>
      <c r="L12253" t="n">
        <v>0</v>
      </c>
      <c r="M12253" t="n">
        <v>0</v>
      </c>
      <c r="N12253" t="n">
        <v>0</v>
      </c>
      <c r="O12253" t="n">
        <v>0</v>
      </c>
      <c r="P12253" t="n">
        <v>0</v>
      </c>
      <c r="Q12253" t="n">
        <v>0</v>
      </c>
      <c r="R12253" s="2" t="inlineStr"/>
    </row>
    <row r="12254" ht="15" customHeight="1">
      <c r="A12254" t="inlineStr">
        <is>
          <t>A 1388-2024</t>
        </is>
      </c>
      <c r="B12254" s="1" t="n">
        <v>45303</v>
      </c>
      <c r="C12254" s="1" t="n">
        <v>45952</v>
      </c>
      <c r="D12254" t="inlineStr">
        <is>
          <t>VÄSTRA GÖTALANDS LÄN</t>
        </is>
      </c>
      <c r="E12254" t="inlineStr">
        <is>
          <t>FALKÖPING</t>
        </is>
      </c>
      <c r="G12254" t="n">
        <v>1.3</v>
      </c>
      <c r="H12254" t="n">
        <v>0</v>
      </c>
      <c r="I12254" t="n">
        <v>0</v>
      </c>
      <c r="J12254" t="n">
        <v>0</v>
      </c>
      <c r="K12254" t="n">
        <v>0</v>
      </c>
      <c r="L12254" t="n">
        <v>0</v>
      </c>
      <c r="M12254" t="n">
        <v>0</v>
      </c>
      <c r="N12254" t="n">
        <v>0</v>
      </c>
      <c r="O12254" t="n">
        <v>0</v>
      </c>
      <c r="P12254" t="n">
        <v>0</v>
      </c>
      <c r="Q12254" t="n">
        <v>0</v>
      </c>
      <c r="R12254" s="2" t="inlineStr"/>
    </row>
    <row r="12255" ht="15" customHeight="1">
      <c r="A12255" t="inlineStr">
        <is>
          <t>A 6205-2023</t>
        </is>
      </c>
      <c r="B12255" s="1" t="n">
        <v>44964.75292824074</v>
      </c>
      <c r="C12255" s="1" t="n">
        <v>45952</v>
      </c>
      <c r="D12255" t="inlineStr">
        <is>
          <t>VÄSTRA GÖTALANDS LÄN</t>
        </is>
      </c>
      <c r="E12255" t="inlineStr">
        <is>
          <t>BENGTSFORS</t>
        </is>
      </c>
      <c r="G12255" t="n">
        <v>2.7</v>
      </c>
      <c r="H12255" t="n">
        <v>0</v>
      </c>
      <c r="I12255" t="n">
        <v>0</v>
      </c>
      <c r="J12255" t="n">
        <v>0</v>
      </c>
      <c r="K12255" t="n">
        <v>0</v>
      </c>
      <c r="L12255" t="n">
        <v>0</v>
      </c>
      <c r="M12255" t="n">
        <v>0</v>
      </c>
      <c r="N12255" t="n">
        <v>0</v>
      </c>
      <c r="O12255" t="n">
        <v>0</v>
      </c>
      <c r="P12255" t="n">
        <v>0</v>
      </c>
      <c r="Q12255" t="n">
        <v>0</v>
      </c>
      <c r="R12255" s="2" t="inlineStr"/>
    </row>
    <row r="12256" ht="15" customHeight="1">
      <c r="A12256" t="inlineStr">
        <is>
          <t>A 37000-2023</t>
        </is>
      </c>
      <c r="B12256" s="1" t="n">
        <v>45155.26925925926</v>
      </c>
      <c r="C12256" s="1" t="n">
        <v>45952</v>
      </c>
      <c r="D12256" t="inlineStr">
        <is>
          <t>VÄSTRA GÖTALANDS LÄN</t>
        </is>
      </c>
      <c r="E12256" t="inlineStr">
        <is>
          <t>ORUST</t>
        </is>
      </c>
      <c r="G12256" t="n">
        <v>10.7</v>
      </c>
      <c r="H12256" t="n">
        <v>0</v>
      </c>
      <c r="I12256" t="n">
        <v>0</v>
      </c>
      <c r="J12256" t="n">
        <v>0</v>
      </c>
      <c r="K12256" t="n">
        <v>0</v>
      </c>
      <c r="L12256" t="n">
        <v>0</v>
      </c>
      <c r="M12256" t="n">
        <v>0</v>
      </c>
      <c r="N12256" t="n">
        <v>0</v>
      </c>
      <c r="O12256" t="n">
        <v>0</v>
      </c>
      <c r="P12256" t="n">
        <v>0</v>
      </c>
      <c r="Q12256" t="n">
        <v>0</v>
      </c>
      <c r="R12256" s="2" t="inlineStr"/>
    </row>
    <row r="12257" ht="15" customHeight="1">
      <c r="A12257" t="inlineStr">
        <is>
          <t>A 8450-2023</t>
        </is>
      </c>
      <c r="B12257" s="1" t="n">
        <v>44977</v>
      </c>
      <c r="C12257" s="1" t="n">
        <v>45952</v>
      </c>
      <c r="D12257" t="inlineStr">
        <is>
          <t>VÄSTRA GÖTALANDS LÄN</t>
        </is>
      </c>
      <c r="E12257" t="inlineStr">
        <is>
          <t>FÄRGELANDA</t>
        </is>
      </c>
      <c r="G12257" t="n">
        <v>4.4</v>
      </c>
      <c r="H12257" t="n">
        <v>0</v>
      </c>
      <c r="I12257" t="n">
        <v>0</v>
      </c>
      <c r="J12257" t="n">
        <v>0</v>
      </c>
      <c r="K12257" t="n">
        <v>0</v>
      </c>
      <c r="L12257" t="n">
        <v>0</v>
      </c>
      <c r="M12257" t="n">
        <v>0</v>
      </c>
      <c r="N12257" t="n">
        <v>0</v>
      </c>
      <c r="O12257" t="n">
        <v>0</v>
      </c>
      <c r="P12257" t="n">
        <v>0</v>
      </c>
      <c r="Q12257" t="n">
        <v>0</v>
      </c>
      <c r="R12257" s="2" t="inlineStr"/>
    </row>
    <row r="12258" ht="15" customHeight="1">
      <c r="A12258" t="inlineStr">
        <is>
          <t>A 8469-2023</t>
        </is>
      </c>
      <c r="B12258" s="1" t="n">
        <v>44977.50028935185</v>
      </c>
      <c r="C12258" s="1" t="n">
        <v>45952</v>
      </c>
      <c r="D12258" t="inlineStr">
        <is>
          <t>VÄSTRA GÖTALANDS LÄN</t>
        </is>
      </c>
      <c r="E12258" t="inlineStr">
        <is>
          <t>LYSEKIL</t>
        </is>
      </c>
      <c r="G12258" t="n">
        <v>1.1</v>
      </c>
      <c r="H12258" t="n">
        <v>0</v>
      </c>
      <c r="I12258" t="n">
        <v>0</v>
      </c>
      <c r="J12258" t="n">
        <v>0</v>
      </c>
      <c r="K12258" t="n">
        <v>0</v>
      </c>
      <c r="L12258" t="n">
        <v>0</v>
      </c>
      <c r="M12258" t="n">
        <v>0</v>
      </c>
      <c r="N12258" t="n">
        <v>0</v>
      </c>
      <c r="O12258" t="n">
        <v>0</v>
      </c>
      <c r="P12258" t="n">
        <v>0</v>
      </c>
      <c r="Q12258" t="n">
        <v>0</v>
      </c>
      <c r="R12258" s="2" t="inlineStr"/>
    </row>
    <row r="12259" ht="15" customHeight="1">
      <c r="A12259" t="inlineStr">
        <is>
          <t>A 31816-2025</t>
        </is>
      </c>
      <c r="B12259" s="1" t="n">
        <v>45834.57234953704</v>
      </c>
      <c r="C12259" s="1" t="n">
        <v>45952</v>
      </c>
      <c r="D12259" t="inlineStr">
        <is>
          <t>VÄSTRA GÖTALANDS LÄN</t>
        </is>
      </c>
      <c r="E12259" t="inlineStr">
        <is>
          <t>BENGTSFORS</t>
        </is>
      </c>
      <c r="G12259" t="n">
        <v>1.4</v>
      </c>
      <c r="H12259" t="n">
        <v>0</v>
      </c>
      <c r="I12259" t="n">
        <v>0</v>
      </c>
      <c r="J12259" t="n">
        <v>0</v>
      </c>
      <c r="K12259" t="n">
        <v>0</v>
      </c>
      <c r="L12259" t="n">
        <v>0</v>
      </c>
      <c r="M12259" t="n">
        <v>0</v>
      </c>
      <c r="N12259" t="n">
        <v>0</v>
      </c>
      <c r="O12259" t="n">
        <v>0</v>
      </c>
      <c r="P12259" t="n">
        <v>0</v>
      </c>
      <c r="Q12259" t="n">
        <v>0</v>
      </c>
      <c r="R12259" s="2" t="inlineStr"/>
    </row>
    <row r="12260" ht="15" customHeight="1">
      <c r="A12260" t="inlineStr">
        <is>
          <t>A 31844-2025</t>
        </is>
      </c>
      <c r="B12260" s="1" t="n">
        <v>45834.60144675926</v>
      </c>
      <c r="C12260" s="1" t="n">
        <v>45952</v>
      </c>
      <c r="D12260" t="inlineStr">
        <is>
          <t>VÄSTRA GÖTALANDS LÄN</t>
        </is>
      </c>
      <c r="E12260" t="inlineStr">
        <is>
          <t>LIDKÖPING</t>
        </is>
      </c>
      <c r="G12260" t="n">
        <v>6.2</v>
      </c>
      <c r="H12260" t="n">
        <v>0</v>
      </c>
      <c r="I12260" t="n">
        <v>0</v>
      </c>
      <c r="J12260" t="n">
        <v>0</v>
      </c>
      <c r="K12260" t="n">
        <v>0</v>
      </c>
      <c r="L12260" t="n">
        <v>0</v>
      </c>
      <c r="M12260" t="n">
        <v>0</v>
      </c>
      <c r="N12260" t="n">
        <v>0</v>
      </c>
      <c r="O12260" t="n">
        <v>0</v>
      </c>
      <c r="P12260" t="n">
        <v>0</v>
      </c>
      <c r="Q12260" t="n">
        <v>0</v>
      </c>
      <c r="R12260" s="2" t="inlineStr"/>
    </row>
    <row r="12261" ht="15" customHeight="1">
      <c r="A12261" t="inlineStr">
        <is>
          <t>A 31856-2025</t>
        </is>
      </c>
      <c r="B12261" s="1" t="n">
        <v>45834.62601851852</v>
      </c>
      <c r="C12261" s="1" t="n">
        <v>45952</v>
      </c>
      <c r="D12261" t="inlineStr">
        <is>
          <t>VÄSTRA GÖTALANDS LÄN</t>
        </is>
      </c>
      <c r="E12261" t="inlineStr">
        <is>
          <t>MARK</t>
        </is>
      </c>
      <c r="G12261" t="n">
        <v>3.9</v>
      </c>
      <c r="H12261" t="n">
        <v>0</v>
      </c>
      <c r="I12261" t="n">
        <v>0</v>
      </c>
      <c r="J12261" t="n">
        <v>0</v>
      </c>
      <c r="K12261" t="n">
        <v>0</v>
      </c>
      <c r="L12261" t="n">
        <v>0</v>
      </c>
      <c r="M12261" t="n">
        <v>0</v>
      </c>
      <c r="N12261" t="n">
        <v>0</v>
      </c>
      <c r="O12261" t="n">
        <v>0</v>
      </c>
      <c r="P12261" t="n">
        <v>0</v>
      </c>
      <c r="Q12261" t="n">
        <v>0</v>
      </c>
      <c r="R12261" s="2" t="inlineStr"/>
    </row>
    <row r="12262" ht="15" customHeight="1">
      <c r="A12262" t="inlineStr">
        <is>
          <t>A 31871-2025</t>
        </is>
      </c>
      <c r="B12262" s="1" t="n">
        <v>45834.64814814815</v>
      </c>
      <c r="C12262" s="1" t="n">
        <v>45952</v>
      </c>
      <c r="D12262" t="inlineStr">
        <is>
          <t>VÄSTRA GÖTALANDS LÄN</t>
        </is>
      </c>
      <c r="E12262" t="inlineStr">
        <is>
          <t>DALS-ED</t>
        </is>
      </c>
      <c r="G12262" t="n">
        <v>7.1</v>
      </c>
      <c r="H12262" t="n">
        <v>0</v>
      </c>
      <c r="I12262" t="n">
        <v>0</v>
      </c>
      <c r="J12262" t="n">
        <v>0</v>
      </c>
      <c r="K12262" t="n">
        <v>0</v>
      </c>
      <c r="L12262" t="n">
        <v>0</v>
      </c>
      <c r="M12262" t="n">
        <v>0</v>
      </c>
      <c r="N12262" t="n">
        <v>0</v>
      </c>
      <c r="O12262" t="n">
        <v>0</v>
      </c>
      <c r="P12262" t="n">
        <v>0</v>
      </c>
      <c r="Q12262" t="n">
        <v>0</v>
      </c>
      <c r="R12262" s="2" t="inlineStr"/>
    </row>
    <row r="12263" ht="15" customHeight="1">
      <c r="A12263" t="inlineStr">
        <is>
          <t>A 32211-2025</t>
        </is>
      </c>
      <c r="B12263" s="1" t="n">
        <v>45835.58464120371</v>
      </c>
      <c r="C12263" s="1" t="n">
        <v>45952</v>
      </c>
      <c r="D12263" t="inlineStr">
        <is>
          <t>VÄSTRA GÖTALANDS LÄN</t>
        </is>
      </c>
      <c r="E12263" t="inlineStr">
        <is>
          <t>ULRICEHAMN</t>
        </is>
      </c>
      <c r="G12263" t="n">
        <v>0.6</v>
      </c>
      <c r="H12263" t="n">
        <v>0</v>
      </c>
      <c r="I12263" t="n">
        <v>0</v>
      </c>
      <c r="J12263" t="n">
        <v>0</v>
      </c>
      <c r="K12263" t="n">
        <v>0</v>
      </c>
      <c r="L12263" t="n">
        <v>0</v>
      </c>
      <c r="M12263" t="n">
        <v>0</v>
      </c>
      <c r="N12263" t="n">
        <v>0</v>
      </c>
      <c r="O12263" t="n">
        <v>0</v>
      </c>
      <c r="P12263" t="n">
        <v>0</v>
      </c>
      <c r="Q12263" t="n">
        <v>0</v>
      </c>
      <c r="R12263" s="2" t="inlineStr"/>
    </row>
    <row r="12264" ht="15" customHeight="1">
      <c r="A12264" t="inlineStr">
        <is>
          <t>A 32308-2025</t>
        </is>
      </c>
      <c r="B12264" s="1" t="n">
        <v>45835.73509259259</v>
      </c>
      <c r="C12264" s="1" t="n">
        <v>45952</v>
      </c>
      <c r="D12264" t="inlineStr">
        <is>
          <t>VÄSTRA GÖTALANDS LÄN</t>
        </is>
      </c>
      <c r="E12264" t="inlineStr">
        <is>
          <t>TÖREBODA</t>
        </is>
      </c>
      <c r="G12264" t="n">
        <v>6.7</v>
      </c>
      <c r="H12264" t="n">
        <v>0</v>
      </c>
      <c r="I12264" t="n">
        <v>0</v>
      </c>
      <c r="J12264" t="n">
        <v>0</v>
      </c>
      <c r="K12264" t="n">
        <v>0</v>
      </c>
      <c r="L12264" t="n">
        <v>0</v>
      </c>
      <c r="M12264" t="n">
        <v>0</v>
      </c>
      <c r="N12264" t="n">
        <v>0</v>
      </c>
      <c r="O12264" t="n">
        <v>0</v>
      </c>
      <c r="P12264" t="n">
        <v>0</v>
      </c>
      <c r="Q12264" t="n">
        <v>0</v>
      </c>
      <c r="R12264" s="2" t="inlineStr"/>
    </row>
    <row r="12265" ht="15" customHeight="1">
      <c r="A12265" t="inlineStr">
        <is>
          <t>A 1514-2025</t>
        </is>
      </c>
      <c r="B12265" s="1" t="n">
        <v>45670.45423611111</v>
      </c>
      <c r="C12265" s="1" t="n">
        <v>45952</v>
      </c>
      <c r="D12265" t="inlineStr">
        <is>
          <t>VÄSTRA GÖTALANDS LÄN</t>
        </is>
      </c>
      <c r="E12265" t="inlineStr">
        <is>
          <t>BORÅS</t>
        </is>
      </c>
      <c r="G12265" t="n">
        <v>1.2</v>
      </c>
      <c r="H12265" t="n">
        <v>0</v>
      </c>
      <c r="I12265" t="n">
        <v>0</v>
      </c>
      <c r="J12265" t="n">
        <v>0</v>
      </c>
      <c r="K12265" t="n">
        <v>0</v>
      </c>
      <c r="L12265" t="n">
        <v>0</v>
      </c>
      <c r="M12265" t="n">
        <v>0</v>
      </c>
      <c r="N12265" t="n">
        <v>0</v>
      </c>
      <c r="O12265" t="n">
        <v>0</v>
      </c>
      <c r="P12265" t="n">
        <v>0</v>
      </c>
      <c r="Q12265" t="n">
        <v>0</v>
      </c>
      <c r="R12265" s="2" t="inlineStr"/>
    </row>
    <row r="12266" ht="15" customHeight="1">
      <c r="A12266" t="inlineStr">
        <is>
          <t>A 31807-2025</t>
        </is>
      </c>
      <c r="B12266" s="1" t="n">
        <v>45834.55466435185</v>
      </c>
      <c r="C12266" s="1" t="n">
        <v>45952</v>
      </c>
      <c r="D12266" t="inlineStr">
        <is>
          <t>VÄSTRA GÖTALANDS LÄN</t>
        </is>
      </c>
      <c r="E12266" t="inlineStr">
        <is>
          <t>SVENLJUNGA</t>
        </is>
      </c>
      <c r="G12266" t="n">
        <v>1.4</v>
      </c>
      <c r="H12266" t="n">
        <v>0</v>
      </c>
      <c r="I12266" t="n">
        <v>0</v>
      </c>
      <c r="J12266" t="n">
        <v>0</v>
      </c>
      <c r="K12266" t="n">
        <v>0</v>
      </c>
      <c r="L12266" t="n">
        <v>0</v>
      </c>
      <c r="M12266" t="n">
        <v>0</v>
      </c>
      <c r="N12266" t="n">
        <v>0</v>
      </c>
      <c r="O12266" t="n">
        <v>0</v>
      </c>
      <c r="P12266" t="n">
        <v>0</v>
      </c>
      <c r="Q12266" t="n">
        <v>0</v>
      </c>
      <c r="R12266" s="2" t="inlineStr"/>
    </row>
    <row r="12267" ht="15" customHeight="1">
      <c r="A12267" t="inlineStr">
        <is>
          <t>A 32225-2025</t>
        </is>
      </c>
      <c r="B12267" s="1" t="n">
        <v>45835.59469907408</v>
      </c>
      <c r="C12267" s="1" t="n">
        <v>45952</v>
      </c>
      <c r="D12267" t="inlineStr">
        <is>
          <t>VÄSTRA GÖTALANDS LÄN</t>
        </is>
      </c>
      <c r="E12267" t="inlineStr">
        <is>
          <t>FÄRGELANDA</t>
        </is>
      </c>
      <c r="G12267" t="n">
        <v>2.9</v>
      </c>
      <c r="H12267" t="n">
        <v>0</v>
      </c>
      <c r="I12267" t="n">
        <v>0</v>
      </c>
      <c r="J12267" t="n">
        <v>0</v>
      </c>
      <c r="K12267" t="n">
        <v>0</v>
      </c>
      <c r="L12267" t="n">
        <v>0</v>
      </c>
      <c r="M12267" t="n">
        <v>0</v>
      </c>
      <c r="N12267" t="n">
        <v>0</v>
      </c>
      <c r="O12267" t="n">
        <v>0</v>
      </c>
      <c r="P12267" t="n">
        <v>0</v>
      </c>
      <c r="Q12267" t="n">
        <v>0</v>
      </c>
      <c r="R12267" s="2" t="inlineStr"/>
    </row>
    <row r="12268" ht="15" customHeight="1">
      <c r="A12268" t="inlineStr">
        <is>
          <t>A 45272-2023</t>
        </is>
      </c>
      <c r="B12268" s="1" t="n">
        <v>45191</v>
      </c>
      <c r="C12268" s="1" t="n">
        <v>45952</v>
      </c>
      <c r="D12268" t="inlineStr">
        <is>
          <t>VÄSTRA GÖTALANDS LÄN</t>
        </is>
      </c>
      <c r="E12268" t="inlineStr">
        <is>
          <t>SVENLJUNGA</t>
        </is>
      </c>
      <c r="G12268" t="n">
        <v>1.1</v>
      </c>
      <c r="H12268" t="n">
        <v>0</v>
      </c>
      <c r="I12268" t="n">
        <v>0</v>
      </c>
      <c r="J12268" t="n">
        <v>0</v>
      </c>
      <c r="K12268" t="n">
        <v>0</v>
      </c>
      <c r="L12268" t="n">
        <v>0</v>
      </c>
      <c r="M12268" t="n">
        <v>0</v>
      </c>
      <c r="N12268" t="n">
        <v>0</v>
      </c>
      <c r="O12268" t="n">
        <v>0</v>
      </c>
      <c r="P12268" t="n">
        <v>0</v>
      </c>
      <c r="Q12268" t="n">
        <v>0</v>
      </c>
      <c r="R12268" s="2" t="inlineStr"/>
    </row>
    <row r="12269" ht="15" customHeight="1">
      <c r="A12269" t="inlineStr">
        <is>
          <t>A 32270-2025</t>
        </is>
      </c>
      <c r="B12269" s="1" t="n">
        <v>45835.65546296296</v>
      </c>
      <c r="C12269" s="1" t="n">
        <v>45952</v>
      </c>
      <c r="D12269" t="inlineStr">
        <is>
          <t>VÄSTRA GÖTALANDS LÄN</t>
        </is>
      </c>
      <c r="E12269" t="inlineStr">
        <is>
          <t>FALKÖPING</t>
        </is>
      </c>
      <c r="G12269" t="n">
        <v>2</v>
      </c>
      <c r="H12269" t="n">
        <v>0</v>
      </c>
      <c r="I12269" t="n">
        <v>0</v>
      </c>
      <c r="J12269" t="n">
        <v>0</v>
      </c>
      <c r="K12269" t="n">
        <v>0</v>
      </c>
      <c r="L12269" t="n">
        <v>0</v>
      </c>
      <c r="M12269" t="n">
        <v>0</v>
      </c>
      <c r="N12269" t="n">
        <v>0</v>
      </c>
      <c r="O12269" t="n">
        <v>0</v>
      </c>
      <c r="P12269" t="n">
        <v>0</v>
      </c>
      <c r="Q12269" t="n">
        <v>0</v>
      </c>
      <c r="R12269" s="2" t="inlineStr"/>
    </row>
    <row r="12270" ht="15" customHeight="1">
      <c r="A12270" t="inlineStr">
        <is>
          <t>A 32294-2025</t>
        </is>
      </c>
      <c r="B12270" s="1" t="n">
        <v>45835</v>
      </c>
      <c r="C12270" s="1" t="n">
        <v>45952</v>
      </c>
      <c r="D12270" t="inlineStr">
        <is>
          <t>VÄSTRA GÖTALANDS LÄN</t>
        </is>
      </c>
      <c r="E12270" t="inlineStr">
        <is>
          <t>ULRICEHAMN</t>
        </is>
      </c>
      <c r="G12270" t="n">
        <v>2.5</v>
      </c>
      <c r="H12270" t="n">
        <v>0</v>
      </c>
      <c r="I12270" t="n">
        <v>0</v>
      </c>
      <c r="J12270" t="n">
        <v>0</v>
      </c>
      <c r="K12270" t="n">
        <v>0</v>
      </c>
      <c r="L12270" t="n">
        <v>0</v>
      </c>
      <c r="M12270" t="n">
        <v>0</v>
      </c>
      <c r="N12270" t="n">
        <v>0</v>
      </c>
      <c r="O12270" t="n">
        <v>0</v>
      </c>
      <c r="P12270" t="n">
        <v>0</v>
      </c>
      <c r="Q12270" t="n">
        <v>0</v>
      </c>
      <c r="R12270" s="2" t="inlineStr"/>
    </row>
    <row r="12271" ht="15" customHeight="1">
      <c r="A12271" t="inlineStr">
        <is>
          <t>A 31953-2025</t>
        </is>
      </c>
      <c r="B12271" s="1" t="n">
        <v>45835.33660879629</v>
      </c>
      <c r="C12271" s="1" t="n">
        <v>45952</v>
      </c>
      <c r="D12271" t="inlineStr">
        <is>
          <t>VÄSTRA GÖTALANDS LÄN</t>
        </is>
      </c>
      <c r="E12271" t="inlineStr">
        <is>
          <t>SVENLJUNGA</t>
        </is>
      </c>
      <c r="G12271" t="n">
        <v>1.1</v>
      </c>
      <c r="H12271" t="n">
        <v>0</v>
      </c>
      <c r="I12271" t="n">
        <v>0</v>
      </c>
      <c r="J12271" t="n">
        <v>0</v>
      </c>
      <c r="K12271" t="n">
        <v>0</v>
      </c>
      <c r="L12271" t="n">
        <v>0</v>
      </c>
      <c r="M12271" t="n">
        <v>0</v>
      </c>
      <c r="N12271" t="n">
        <v>0</v>
      </c>
      <c r="O12271" t="n">
        <v>0</v>
      </c>
      <c r="P12271" t="n">
        <v>0</v>
      </c>
      <c r="Q12271" t="n">
        <v>0</v>
      </c>
      <c r="R12271" s="2" t="inlineStr"/>
    </row>
    <row r="12272" ht="15" customHeight="1">
      <c r="A12272" t="inlineStr">
        <is>
          <t>A 31825-2025</t>
        </is>
      </c>
      <c r="B12272" s="1" t="n">
        <v>45834.58232638889</v>
      </c>
      <c r="C12272" s="1" t="n">
        <v>45952</v>
      </c>
      <c r="D12272" t="inlineStr">
        <is>
          <t>VÄSTRA GÖTALANDS LÄN</t>
        </is>
      </c>
      <c r="E12272" t="inlineStr">
        <is>
          <t>LIDKÖPING</t>
        </is>
      </c>
      <c r="G12272" t="n">
        <v>1.2</v>
      </c>
      <c r="H12272" t="n">
        <v>0</v>
      </c>
      <c r="I12272" t="n">
        <v>0</v>
      </c>
      <c r="J12272" t="n">
        <v>0</v>
      </c>
      <c r="K12272" t="n">
        <v>0</v>
      </c>
      <c r="L12272" t="n">
        <v>0</v>
      </c>
      <c r="M12272" t="n">
        <v>0</v>
      </c>
      <c r="N12272" t="n">
        <v>0</v>
      </c>
      <c r="O12272" t="n">
        <v>0</v>
      </c>
      <c r="P12272" t="n">
        <v>0</v>
      </c>
      <c r="Q12272" t="n">
        <v>0</v>
      </c>
      <c r="R12272" s="2" t="inlineStr"/>
    </row>
    <row r="12273" ht="15" customHeight="1">
      <c r="A12273" t="inlineStr">
        <is>
          <t>A 29192-2024</t>
        </is>
      </c>
      <c r="B12273" s="1" t="n">
        <v>45482</v>
      </c>
      <c r="C12273" s="1" t="n">
        <v>45952</v>
      </c>
      <c r="D12273" t="inlineStr">
        <is>
          <t>VÄSTRA GÖTALANDS LÄN</t>
        </is>
      </c>
      <c r="E12273" t="inlineStr">
        <is>
          <t>STRÖMSTAD</t>
        </is>
      </c>
      <c r="G12273" t="n">
        <v>4</v>
      </c>
      <c r="H12273" t="n">
        <v>0</v>
      </c>
      <c r="I12273" t="n">
        <v>0</v>
      </c>
      <c r="J12273" t="n">
        <v>0</v>
      </c>
      <c r="K12273" t="n">
        <v>0</v>
      </c>
      <c r="L12273" t="n">
        <v>0</v>
      </c>
      <c r="M12273" t="n">
        <v>0</v>
      </c>
      <c r="N12273" t="n">
        <v>0</v>
      </c>
      <c r="O12273" t="n">
        <v>0</v>
      </c>
      <c r="P12273" t="n">
        <v>0</v>
      </c>
      <c r="Q12273" t="n">
        <v>0</v>
      </c>
      <c r="R12273" s="2" t="inlineStr"/>
    </row>
    <row r="12274" ht="15" customHeight="1">
      <c r="A12274" t="inlineStr">
        <is>
          <t>A 12988-2022</t>
        </is>
      </c>
      <c r="B12274" s="1" t="n">
        <v>44643</v>
      </c>
      <c r="C12274" s="1" t="n">
        <v>45952</v>
      </c>
      <c r="D12274" t="inlineStr">
        <is>
          <t>VÄSTRA GÖTALANDS LÄN</t>
        </is>
      </c>
      <c r="E12274" t="inlineStr">
        <is>
          <t>DALS-ED</t>
        </is>
      </c>
      <c r="G12274" t="n">
        <v>3.6</v>
      </c>
      <c r="H12274" t="n">
        <v>0</v>
      </c>
      <c r="I12274" t="n">
        <v>0</v>
      </c>
      <c r="J12274" t="n">
        <v>0</v>
      </c>
      <c r="K12274" t="n">
        <v>0</v>
      </c>
      <c r="L12274" t="n">
        <v>0</v>
      </c>
      <c r="M12274" t="n">
        <v>0</v>
      </c>
      <c r="N12274" t="n">
        <v>0</v>
      </c>
      <c r="O12274" t="n">
        <v>0</v>
      </c>
      <c r="P12274" t="n">
        <v>0</v>
      </c>
      <c r="Q12274" t="n">
        <v>0</v>
      </c>
      <c r="R12274" s="2" t="inlineStr"/>
    </row>
    <row r="12275" ht="15" customHeight="1">
      <c r="A12275" t="inlineStr">
        <is>
          <t>A 32155-2025</t>
        </is>
      </c>
      <c r="B12275" s="1" t="n">
        <v>45835</v>
      </c>
      <c r="C12275" s="1" t="n">
        <v>45952</v>
      </c>
      <c r="D12275" t="inlineStr">
        <is>
          <t>VÄSTRA GÖTALANDS LÄN</t>
        </is>
      </c>
      <c r="E12275" t="inlineStr">
        <is>
          <t>TÖREBODA</t>
        </is>
      </c>
      <c r="G12275" t="n">
        <v>4.4</v>
      </c>
      <c r="H12275" t="n">
        <v>0</v>
      </c>
      <c r="I12275" t="n">
        <v>0</v>
      </c>
      <c r="J12275" t="n">
        <v>0</v>
      </c>
      <c r="K12275" t="n">
        <v>0</v>
      </c>
      <c r="L12275" t="n">
        <v>0</v>
      </c>
      <c r="M12275" t="n">
        <v>0</v>
      </c>
      <c r="N12275" t="n">
        <v>0</v>
      </c>
      <c r="O12275" t="n">
        <v>0</v>
      </c>
      <c r="P12275" t="n">
        <v>0</v>
      </c>
      <c r="Q12275" t="n">
        <v>0</v>
      </c>
      <c r="R12275" s="2" t="inlineStr"/>
    </row>
    <row r="12276" ht="15" customHeight="1">
      <c r="A12276" t="inlineStr">
        <is>
          <t>A 31621-2025</t>
        </is>
      </c>
      <c r="B12276" s="1" t="n">
        <v>45833.8891087963</v>
      </c>
      <c r="C12276" s="1" t="n">
        <v>45952</v>
      </c>
      <c r="D12276" t="inlineStr">
        <is>
          <t>VÄSTRA GÖTALANDS LÄN</t>
        </is>
      </c>
      <c r="E12276" t="inlineStr">
        <is>
          <t>ULRICEHAMN</t>
        </is>
      </c>
      <c r="G12276" t="n">
        <v>0.6</v>
      </c>
      <c r="H12276" t="n">
        <v>0</v>
      </c>
      <c r="I12276" t="n">
        <v>0</v>
      </c>
      <c r="J12276" t="n">
        <v>0</v>
      </c>
      <c r="K12276" t="n">
        <v>0</v>
      </c>
      <c r="L12276" t="n">
        <v>0</v>
      </c>
      <c r="M12276" t="n">
        <v>0</v>
      </c>
      <c r="N12276" t="n">
        <v>0</v>
      </c>
      <c r="O12276" t="n">
        <v>0</v>
      </c>
      <c r="P12276" t="n">
        <v>0</v>
      </c>
      <c r="Q12276" t="n">
        <v>0</v>
      </c>
      <c r="R12276" s="2" t="inlineStr"/>
    </row>
    <row r="12277" ht="15" customHeight="1">
      <c r="A12277" t="inlineStr">
        <is>
          <t>A 31629-2025</t>
        </is>
      </c>
      <c r="B12277" s="1" t="n">
        <v>45834.3266087963</v>
      </c>
      <c r="C12277" s="1" t="n">
        <v>45952</v>
      </c>
      <c r="D12277" t="inlineStr">
        <is>
          <t>VÄSTRA GÖTALANDS LÄN</t>
        </is>
      </c>
      <c r="E12277" t="inlineStr">
        <is>
          <t>VARA</t>
        </is>
      </c>
      <c r="G12277" t="n">
        <v>0.9</v>
      </c>
      <c r="H12277" t="n">
        <v>0</v>
      </c>
      <c r="I12277" t="n">
        <v>0</v>
      </c>
      <c r="J12277" t="n">
        <v>0</v>
      </c>
      <c r="K12277" t="n">
        <v>0</v>
      </c>
      <c r="L12277" t="n">
        <v>0</v>
      </c>
      <c r="M12277" t="n">
        <v>0</v>
      </c>
      <c r="N12277" t="n">
        <v>0</v>
      </c>
      <c r="O12277" t="n">
        <v>0</v>
      </c>
      <c r="P12277" t="n">
        <v>0</v>
      </c>
      <c r="Q12277" t="n">
        <v>0</v>
      </c>
      <c r="R12277" s="2" t="inlineStr"/>
    </row>
    <row r="12278" ht="15" customHeight="1">
      <c r="A12278" t="inlineStr">
        <is>
          <t>A 31683-2025</t>
        </is>
      </c>
      <c r="B12278" s="1" t="n">
        <v>45834.38971064815</v>
      </c>
      <c r="C12278" s="1" t="n">
        <v>45952</v>
      </c>
      <c r="D12278" t="inlineStr">
        <is>
          <t>VÄSTRA GÖTALANDS LÄN</t>
        </is>
      </c>
      <c r="E12278" t="inlineStr">
        <is>
          <t>TANUM</t>
        </is>
      </c>
      <c r="G12278" t="n">
        <v>4</v>
      </c>
      <c r="H12278" t="n">
        <v>0</v>
      </c>
      <c r="I12278" t="n">
        <v>0</v>
      </c>
      <c r="J12278" t="n">
        <v>0</v>
      </c>
      <c r="K12278" t="n">
        <v>0</v>
      </c>
      <c r="L12278" t="n">
        <v>0</v>
      </c>
      <c r="M12278" t="n">
        <v>0</v>
      </c>
      <c r="N12278" t="n">
        <v>0</v>
      </c>
      <c r="O12278" t="n">
        <v>0</v>
      </c>
      <c r="P12278" t="n">
        <v>0</v>
      </c>
      <c r="Q12278" t="n">
        <v>0</v>
      </c>
      <c r="R12278" s="2" t="inlineStr"/>
    </row>
    <row r="12279" ht="15" customHeight="1">
      <c r="A12279" t="inlineStr">
        <is>
          <t>A 50382-2022</t>
        </is>
      </c>
      <c r="B12279" s="1" t="n">
        <v>44866</v>
      </c>
      <c r="C12279" s="1" t="n">
        <v>45952</v>
      </c>
      <c r="D12279" t="inlineStr">
        <is>
          <t>VÄSTRA GÖTALANDS LÄN</t>
        </is>
      </c>
      <c r="E12279" t="inlineStr">
        <is>
          <t>BORÅS</t>
        </is>
      </c>
      <c r="G12279" t="n">
        <v>1.3</v>
      </c>
      <c r="H12279" t="n">
        <v>0</v>
      </c>
      <c r="I12279" t="n">
        <v>0</v>
      </c>
      <c r="J12279" t="n">
        <v>0</v>
      </c>
      <c r="K12279" t="n">
        <v>0</v>
      </c>
      <c r="L12279" t="n">
        <v>0</v>
      </c>
      <c r="M12279" t="n">
        <v>0</v>
      </c>
      <c r="N12279" t="n">
        <v>0</v>
      </c>
      <c r="O12279" t="n">
        <v>0</v>
      </c>
      <c r="P12279" t="n">
        <v>0</v>
      </c>
      <c r="Q12279" t="n">
        <v>0</v>
      </c>
      <c r="R12279" s="2" t="inlineStr"/>
    </row>
    <row r="12280" ht="15" customHeight="1">
      <c r="A12280" t="inlineStr">
        <is>
          <t>A 31996-2025</t>
        </is>
      </c>
      <c r="B12280" s="1" t="n">
        <v>45835.37305555555</v>
      </c>
      <c r="C12280" s="1" t="n">
        <v>45952</v>
      </c>
      <c r="D12280" t="inlineStr">
        <is>
          <t>VÄSTRA GÖTALANDS LÄN</t>
        </is>
      </c>
      <c r="E12280" t="inlineStr">
        <is>
          <t>FÄRGELANDA</t>
        </is>
      </c>
      <c r="G12280" t="n">
        <v>2.7</v>
      </c>
      <c r="H12280" t="n">
        <v>0</v>
      </c>
      <c r="I12280" t="n">
        <v>0</v>
      </c>
      <c r="J12280" t="n">
        <v>0</v>
      </c>
      <c r="K12280" t="n">
        <v>0</v>
      </c>
      <c r="L12280" t="n">
        <v>0</v>
      </c>
      <c r="M12280" t="n">
        <v>0</v>
      </c>
      <c r="N12280" t="n">
        <v>0</v>
      </c>
      <c r="O12280" t="n">
        <v>0</v>
      </c>
      <c r="P12280" t="n">
        <v>0</v>
      </c>
      <c r="Q12280" t="n">
        <v>0</v>
      </c>
      <c r="R12280" s="2" t="inlineStr"/>
    </row>
    <row r="12281" ht="15" customHeight="1">
      <c r="A12281" t="inlineStr">
        <is>
          <t>A 32238-2025</t>
        </is>
      </c>
      <c r="B12281" s="1" t="n">
        <v>45835.61480324074</v>
      </c>
      <c r="C12281" s="1" t="n">
        <v>45952</v>
      </c>
      <c r="D12281" t="inlineStr">
        <is>
          <t>VÄSTRA GÖTALANDS LÄN</t>
        </is>
      </c>
      <c r="E12281" t="inlineStr">
        <is>
          <t>HERRLJUNGA</t>
        </is>
      </c>
      <c r="G12281" t="n">
        <v>5.1</v>
      </c>
      <c r="H12281" t="n">
        <v>0</v>
      </c>
      <c r="I12281" t="n">
        <v>0</v>
      </c>
      <c r="J12281" t="n">
        <v>0</v>
      </c>
      <c r="K12281" t="n">
        <v>0</v>
      </c>
      <c r="L12281" t="n">
        <v>0</v>
      </c>
      <c r="M12281" t="n">
        <v>0</v>
      </c>
      <c r="N12281" t="n">
        <v>0</v>
      </c>
      <c r="O12281" t="n">
        <v>0</v>
      </c>
      <c r="P12281" t="n">
        <v>0</v>
      </c>
      <c r="Q12281" t="n">
        <v>0</v>
      </c>
      <c r="R12281" s="2" t="inlineStr"/>
    </row>
    <row r="12282" ht="15" customHeight="1">
      <c r="A12282" t="inlineStr">
        <is>
          <t>A 31867-2025</t>
        </is>
      </c>
      <c r="B12282" s="1" t="n">
        <v>45834.64337962963</v>
      </c>
      <c r="C12282" s="1" t="n">
        <v>45952</v>
      </c>
      <c r="D12282" t="inlineStr">
        <is>
          <t>VÄSTRA GÖTALANDS LÄN</t>
        </is>
      </c>
      <c r="E12282" t="inlineStr">
        <is>
          <t>DALS-ED</t>
        </is>
      </c>
      <c r="G12282" t="n">
        <v>3.6</v>
      </c>
      <c r="H12282" t="n">
        <v>0</v>
      </c>
      <c r="I12282" t="n">
        <v>0</v>
      </c>
      <c r="J12282" t="n">
        <v>0</v>
      </c>
      <c r="K12282" t="n">
        <v>0</v>
      </c>
      <c r="L12282" t="n">
        <v>0</v>
      </c>
      <c r="M12282" t="n">
        <v>0</v>
      </c>
      <c r="N12282" t="n">
        <v>0</v>
      </c>
      <c r="O12282" t="n">
        <v>0</v>
      </c>
      <c r="P12282" t="n">
        <v>0</v>
      </c>
      <c r="Q12282" t="n">
        <v>0</v>
      </c>
      <c r="R12282" s="2" t="inlineStr"/>
    </row>
    <row r="12283" ht="15" customHeight="1">
      <c r="A12283" t="inlineStr">
        <is>
          <t>A 31941-2025</t>
        </is>
      </c>
      <c r="B12283" s="1" t="n">
        <v>45835.30780092593</v>
      </c>
      <c r="C12283" s="1" t="n">
        <v>45952</v>
      </c>
      <c r="D12283" t="inlineStr">
        <is>
          <t>VÄSTRA GÖTALANDS LÄN</t>
        </is>
      </c>
      <c r="E12283" t="inlineStr">
        <is>
          <t>TRANEMO</t>
        </is>
      </c>
      <c r="G12283" t="n">
        <v>1.4</v>
      </c>
      <c r="H12283" t="n">
        <v>0</v>
      </c>
      <c r="I12283" t="n">
        <v>0</v>
      </c>
      <c r="J12283" t="n">
        <v>0</v>
      </c>
      <c r="K12283" t="n">
        <v>0</v>
      </c>
      <c r="L12283" t="n">
        <v>0</v>
      </c>
      <c r="M12283" t="n">
        <v>0</v>
      </c>
      <c r="N12283" t="n">
        <v>0</v>
      </c>
      <c r="O12283" t="n">
        <v>0</v>
      </c>
      <c r="P12283" t="n">
        <v>0</v>
      </c>
      <c r="Q12283" t="n">
        <v>0</v>
      </c>
      <c r="R12283" s="2" t="inlineStr"/>
    </row>
    <row r="12284" ht="15" customHeight="1">
      <c r="A12284" t="inlineStr">
        <is>
          <t>A 6369-2025</t>
        </is>
      </c>
      <c r="B12284" s="1" t="n">
        <v>45699.38993055555</v>
      </c>
      <c r="C12284" s="1" t="n">
        <v>45952</v>
      </c>
      <c r="D12284" t="inlineStr">
        <is>
          <t>VÄSTRA GÖTALANDS LÄN</t>
        </is>
      </c>
      <c r="E12284" t="inlineStr">
        <is>
          <t>HJO</t>
        </is>
      </c>
      <c r="G12284" t="n">
        <v>2.3</v>
      </c>
      <c r="H12284" t="n">
        <v>0</v>
      </c>
      <c r="I12284" t="n">
        <v>0</v>
      </c>
      <c r="J12284" t="n">
        <v>0</v>
      </c>
      <c r="K12284" t="n">
        <v>0</v>
      </c>
      <c r="L12284" t="n">
        <v>0</v>
      </c>
      <c r="M12284" t="n">
        <v>0</v>
      </c>
      <c r="N12284" t="n">
        <v>0</v>
      </c>
      <c r="O12284" t="n">
        <v>0</v>
      </c>
      <c r="P12284" t="n">
        <v>0</v>
      </c>
      <c r="Q12284" t="n">
        <v>0</v>
      </c>
      <c r="R12284" s="2" t="inlineStr"/>
    </row>
    <row r="12285" ht="15" customHeight="1">
      <c r="A12285" t="inlineStr">
        <is>
          <t>A 34129-2024</t>
        </is>
      </c>
      <c r="B12285" s="1" t="n">
        <v>45524.34608796296</v>
      </c>
      <c r="C12285" s="1" t="n">
        <v>45952</v>
      </c>
      <c r="D12285" t="inlineStr">
        <is>
          <t>VÄSTRA GÖTALANDS LÄN</t>
        </is>
      </c>
      <c r="E12285" t="inlineStr">
        <is>
          <t>BENGTSFORS</t>
        </is>
      </c>
      <c r="G12285" t="n">
        <v>10.6</v>
      </c>
      <c r="H12285" t="n">
        <v>0</v>
      </c>
      <c r="I12285" t="n">
        <v>0</v>
      </c>
      <c r="J12285" t="n">
        <v>0</v>
      </c>
      <c r="K12285" t="n">
        <v>0</v>
      </c>
      <c r="L12285" t="n">
        <v>0</v>
      </c>
      <c r="M12285" t="n">
        <v>0</v>
      </c>
      <c r="N12285" t="n">
        <v>0</v>
      </c>
      <c r="O12285" t="n">
        <v>0</v>
      </c>
      <c r="P12285" t="n">
        <v>0</v>
      </c>
      <c r="Q12285" t="n">
        <v>0</v>
      </c>
      <c r="R12285" s="2" t="inlineStr"/>
    </row>
    <row r="12286" ht="15" customHeight="1">
      <c r="A12286" t="inlineStr">
        <is>
          <t>A 7046-2025</t>
        </is>
      </c>
      <c r="B12286" s="1" t="n">
        <v>45701.6434375</v>
      </c>
      <c r="C12286" s="1" t="n">
        <v>45952</v>
      </c>
      <c r="D12286" t="inlineStr">
        <is>
          <t>VÄSTRA GÖTALANDS LÄN</t>
        </is>
      </c>
      <c r="E12286" t="inlineStr">
        <is>
          <t>BOLLEBYGD</t>
        </is>
      </c>
      <c r="G12286" t="n">
        <v>0.9</v>
      </c>
      <c r="H12286" t="n">
        <v>0</v>
      </c>
      <c r="I12286" t="n">
        <v>0</v>
      </c>
      <c r="J12286" t="n">
        <v>0</v>
      </c>
      <c r="K12286" t="n">
        <v>0</v>
      </c>
      <c r="L12286" t="n">
        <v>0</v>
      </c>
      <c r="M12286" t="n">
        <v>0</v>
      </c>
      <c r="N12286" t="n">
        <v>0</v>
      </c>
      <c r="O12286" t="n">
        <v>0</v>
      </c>
      <c r="P12286" t="n">
        <v>0</v>
      </c>
      <c r="Q12286" t="n">
        <v>0</v>
      </c>
      <c r="R12286" s="2" t="inlineStr"/>
    </row>
    <row r="12287" ht="15" customHeight="1">
      <c r="A12287" t="inlineStr">
        <is>
          <t>A 31606-2025</t>
        </is>
      </c>
      <c r="B12287" s="1" t="n">
        <v>45833.75311342593</v>
      </c>
      <c r="C12287" s="1" t="n">
        <v>45952</v>
      </c>
      <c r="D12287" t="inlineStr">
        <is>
          <t>VÄSTRA GÖTALANDS LÄN</t>
        </is>
      </c>
      <c r="E12287" t="inlineStr">
        <is>
          <t>VARA</t>
        </is>
      </c>
      <c r="G12287" t="n">
        <v>1.8</v>
      </c>
      <c r="H12287" t="n">
        <v>0</v>
      </c>
      <c r="I12287" t="n">
        <v>0</v>
      </c>
      <c r="J12287" t="n">
        <v>0</v>
      </c>
      <c r="K12287" t="n">
        <v>0</v>
      </c>
      <c r="L12287" t="n">
        <v>0</v>
      </c>
      <c r="M12287" t="n">
        <v>0</v>
      </c>
      <c r="N12287" t="n">
        <v>0</v>
      </c>
      <c r="O12287" t="n">
        <v>0</v>
      </c>
      <c r="P12287" t="n">
        <v>0</v>
      </c>
      <c r="Q12287" t="n">
        <v>0</v>
      </c>
      <c r="R12287" s="2" t="inlineStr"/>
    </row>
    <row r="12288" ht="15" customHeight="1">
      <c r="A12288" t="inlineStr">
        <is>
          <t>A 31687-2025</t>
        </is>
      </c>
      <c r="B12288" s="1" t="n">
        <v>45834.39827546296</v>
      </c>
      <c r="C12288" s="1" t="n">
        <v>45952</v>
      </c>
      <c r="D12288" t="inlineStr">
        <is>
          <t>VÄSTRA GÖTALANDS LÄN</t>
        </is>
      </c>
      <c r="E12288" t="inlineStr">
        <is>
          <t>LERUM</t>
        </is>
      </c>
      <c r="G12288" t="n">
        <v>1</v>
      </c>
      <c r="H12288" t="n">
        <v>0</v>
      </c>
      <c r="I12288" t="n">
        <v>0</v>
      </c>
      <c r="J12288" t="n">
        <v>0</v>
      </c>
      <c r="K12288" t="n">
        <v>0</v>
      </c>
      <c r="L12288" t="n">
        <v>0</v>
      </c>
      <c r="M12288" t="n">
        <v>0</v>
      </c>
      <c r="N12288" t="n">
        <v>0</v>
      </c>
      <c r="O12288" t="n">
        <v>0</v>
      </c>
      <c r="P12288" t="n">
        <v>0</v>
      </c>
      <c r="Q12288" t="n">
        <v>0</v>
      </c>
      <c r="R12288" s="2" t="inlineStr"/>
    </row>
    <row r="12289" ht="15" customHeight="1">
      <c r="A12289" t="inlineStr">
        <is>
          <t>A 31660-2025</t>
        </is>
      </c>
      <c r="B12289" s="1" t="n">
        <v>45834.35425925926</v>
      </c>
      <c r="C12289" s="1" t="n">
        <v>45952</v>
      </c>
      <c r="D12289" t="inlineStr">
        <is>
          <t>VÄSTRA GÖTALANDS LÄN</t>
        </is>
      </c>
      <c r="E12289" t="inlineStr">
        <is>
          <t>TÖREBODA</t>
        </is>
      </c>
      <c r="F12289" t="inlineStr">
        <is>
          <t>Sveaskog</t>
        </is>
      </c>
      <c r="G12289" t="n">
        <v>11.5</v>
      </c>
      <c r="H12289" t="n">
        <v>0</v>
      </c>
      <c r="I12289" t="n">
        <v>0</v>
      </c>
      <c r="J12289" t="n">
        <v>0</v>
      </c>
      <c r="K12289" t="n">
        <v>0</v>
      </c>
      <c r="L12289" t="n">
        <v>0</v>
      </c>
      <c r="M12289" t="n">
        <v>0</v>
      </c>
      <c r="N12289" t="n">
        <v>0</v>
      </c>
      <c r="O12289" t="n">
        <v>0</v>
      </c>
      <c r="P12289" t="n">
        <v>0</v>
      </c>
      <c r="Q12289" t="n">
        <v>0</v>
      </c>
      <c r="R12289" s="2" t="inlineStr"/>
    </row>
    <row r="12290" ht="15" customHeight="1">
      <c r="A12290" t="inlineStr">
        <is>
          <t>A 46876-2022</t>
        </is>
      </c>
      <c r="B12290" s="1" t="n">
        <v>44851.61994212963</v>
      </c>
      <c r="C12290" s="1" t="n">
        <v>45952</v>
      </c>
      <c r="D12290" t="inlineStr">
        <is>
          <t>VÄSTRA GÖTALANDS LÄN</t>
        </is>
      </c>
      <c r="E12290" t="inlineStr">
        <is>
          <t>LIDKÖPING</t>
        </is>
      </c>
      <c r="G12290" t="n">
        <v>7.5</v>
      </c>
      <c r="H12290" t="n">
        <v>0</v>
      </c>
      <c r="I12290" t="n">
        <v>0</v>
      </c>
      <c r="J12290" t="n">
        <v>0</v>
      </c>
      <c r="K12290" t="n">
        <v>0</v>
      </c>
      <c r="L12290" t="n">
        <v>0</v>
      </c>
      <c r="M12290" t="n">
        <v>0</v>
      </c>
      <c r="N12290" t="n">
        <v>0</v>
      </c>
      <c r="O12290" t="n">
        <v>0</v>
      </c>
      <c r="P12290" t="n">
        <v>0</v>
      </c>
      <c r="Q12290" t="n">
        <v>0</v>
      </c>
      <c r="R12290" s="2" t="inlineStr"/>
    </row>
    <row r="12291" ht="15" customHeight="1">
      <c r="A12291" t="inlineStr">
        <is>
          <t>A 4020-2023</t>
        </is>
      </c>
      <c r="B12291" s="1" t="n">
        <v>44952.54989583333</v>
      </c>
      <c r="C12291" s="1" t="n">
        <v>45952</v>
      </c>
      <c r="D12291" t="inlineStr">
        <is>
          <t>VÄSTRA GÖTALANDS LÄN</t>
        </is>
      </c>
      <c r="E12291" t="inlineStr">
        <is>
          <t>HERRLJUNGA</t>
        </is>
      </c>
      <c r="G12291" t="n">
        <v>2.5</v>
      </c>
      <c r="H12291" t="n">
        <v>0</v>
      </c>
      <c r="I12291" t="n">
        <v>0</v>
      </c>
      <c r="J12291" t="n">
        <v>0</v>
      </c>
      <c r="K12291" t="n">
        <v>0</v>
      </c>
      <c r="L12291" t="n">
        <v>0</v>
      </c>
      <c r="M12291" t="n">
        <v>0</v>
      </c>
      <c r="N12291" t="n">
        <v>0</v>
      </c>
      <c r="O12291" t="n">
        <v>0</v>
      </c>
      <c r="P12291" t="n">
        <v>0</v>
      </c>
      <c r="Q12291" t="n">
        <v>0</v>
      </c>
      <c r="R12291" s="2" t="inlineStr"/>
    </row>
    <row r="12292" ht="15" customHeight="1">
      <c r="A12292" t="inlineStr">
        <is>
          <t>A 31677-2025</t>
        </is>
      </c>
      <c r="B12292" s="1" t="n">
        <v>45834.37809027778</v>
      </c>
      <c r="C12292" s="1" t="n">
        <v>45952</v>
      </c>
      <c r="D12292" t="inlineStr">
        <is>
          <t>VÄSTRA GÖTALANDS LÄN</t>
        </is>
      </c>
      <c r="E12292" t="inlineStr">
        <is>
          <t>TIBRO</t>
        </is>
      </c>
      <c r="G12292" t="n">
        <v>1</v>
      </c>
      <c r="H12292" t="n">
        <v>0</v>
      </c>
      <c r="I12292" t="n">
        <v>0</v>
      </c>
      <c r="J12292" t="n">
        <v>0</v>
      </c>
      <c r="K12292" t="n">
        <v>0</v>
      </c>
      <c r="L12292" t="n">
        <v>0</v>
      </c>
      <c r="M12292" t="n">
        <v>0</v>
      </c>
      <c r="N12292" t="n">
        <v>0</v>
      </c>
      <c r="O12292" t="n">
        <v>0</v>
      </c>
      <c r="P12292" t="n">
        <v>0</v>
      </c>
      <c r="Q12292" t="n">
        <v>0</v>
      </c>
      <c r="R12292" s="2" t="inlineStr"/>
    </row>
    <row r="12293" ht="15" customHeight="1">
      <c r="A12293" t="inlineStr">
        <is>
          <t>A 31736-2025</t>
        </is>
      </c>
      <c r="B12293" s="1" t="n">
        <v>45834.47128472223</v>
      </c>
      <c r="C12293" s="1" t="n">
        <v>45952</v>
      </c>
      <c r="D12293" t="inlineStr">
        <is>
          <t>VÄSTRA GÖTALANDS LÄN</t>
        </is>
      </c>
      <c r="E12293" t="inlineStr">
        <is>
          <t>TANUM</t>
        </is>
      </c>
      <c r="G12293" t="n">
        <v>2.2</v>
      </c>
      <c r="H12293" t="n">
        <v>0</v>
      </c>
      <c r="I12293" t="n">
        <v>0</v>
      </c>
      <c r="J12293" t="n">
        <v>0</v>
      </c>
      <c r="K12293" t="n">
        <v>0</v>
      </c>
      <c r="L12293" t="n">
        <v>0</v>
      </c>
      <c r="M12293" t="n">
        <v>0</v>
      </c>
      <c r="N12293" t="n">
        <v>0</v>
      </c>
      <c r="O12293" t="n">
        <v>0</v>
      </c>
      <c r="P12293" t="n">
        <v>0</v>
      </c>
      <c r="Q12293" t="n">
        <v>0</v>
      </c>
      <c r="R12293" s="2" t="inlineStr"/>
    </row>
    <row r="12294" ht="15" customHeight="1">
      <c r="A12294" t="inlineStr">
        <is>
          <t>A 32261-2025</t>
        </is>
      </c>
      <c r="B12294" s="1" t="n">
        <v>45835.64762731481</v>
      </c>
      <c r="C12294" s="1" t="n">
        <v>45952</v>
      </c>
      <c r="D12294" t="inlineStr">
        <is>
          <t>VÄSTRA GÖTALANDS LÄN</t>
        </is>
      </c>
      <c r="E12294" t="inlineStr">
        <is>
          <t>FALKÖPING</t>
        </is>
      </c>
      <c r="G12294" t="n">
        <v>1.9</v>
      </c>
      <c r="H12294" t="n">
        <v>0</v>
      </c>
      <c r="I12294" t="n">
        <v>0</v>
      </c>
      <c r="J12294" t="n">
        <v>0</v>
      </c>
      <c r="K12294" t="n">
        <v>0</v>
      </c>
      <c r="L12294" t="n">
        <v>0</v>
      </c>
      <c r="M12294" t="n">
        <v>0</v>
      </c>
      <c r="N12294" t="n">
        <v>0</v>
      </c>
      <c r="O12294" t="n">
        <v>0</v>
      </c>
      <c r="P12294" t="n">
        <v>0</v>
      </c>
      <c r="Q12294" t="n">
        <v>0</v>
      </c>
      <c r="R12294" s="2" t="inlineStr"/>
    </row>
    <row r="12295" ht="15" customHeight="1">
      <c r="A12295" t="inlineStr">
        <is>
          <t>A 32276-2025</t>
        </is>
      </c>
      <c r="B12295" s="1" t="n">
        <v>45835.66128472222</v>
      </c>
      <c r="C12295" s="1" t="n">
        <v>45952</v>
      </c>
      <c r="D12295" t="inlineStr">
        <is>
          <t>VÄSTRA GÖTALANDS LÄN</t>
        </is>
      </c>
      <c r="E12295" t="inlineStr">
        <is>
          <t>FALKÖPING</t>
        </is>
      </c>
      <c r="G12295" t="n">
        <v>1.5</v>
      </c>
      <c r="H12295" t="n">
        <v>0</v>
      </c>
      <c r="I12295" t="n">
        <v>0</v>
      </c>
      <c r="J12295" t="n">
        <v>0</v>
      </c>
      <c r="K12295" t="n">
        <v>0</v>
      </c>
      <c r="L12295" t="n">
        <v>0</v>
      </c>
      <c r="M12295" t="n">
        <v>0</v>
      </c>
      <c r="N12295" t="n">
        <v>0</v>
      </c>
      <c r="O12295" t="n">
        <v>0</v>
      </c>
      <c r="P12295" t="n">
        <v>0</v>
      </c>
      <c r="Q12295" t="n">
        <v>0</v>
      </c>
      <c r="R12295" s="2" t="inlineStr"/>
    </row>
    <row r="12296" ht="15" customHeight="1">
      <c r="A12296" t="inlineStr">
        <is>
          <t>A 13353-2023</t>
        </is>
      </c>
      <c r="B12296" s="1" t="n">
        <v>45005</v>
      </c>
      <c r="C12296" s="1" t="n">
        <v>45952</v>
      </c>
      <c r="D12296" t="inlineStr">
        <is>
          <t>VÄSTRA GÖTALANDS LÄN</t>
        </is>
      </c>
      <c r="E12296" t="inlineStr">
        <is>
          <t>TRANEMO</t>
        </is>
      </c>
      <c r="G12296" t="n">
        <v>1.6</v>
      </c>
      <c r="H12296" t="n">
        <v>0</v>
      </c>
      <c r="I12296" t="n">
        <v>0</v>
      </c>
      <c r="J12296" t="n">
        <v>0</v>
      </c>
      <c r="K12296" t="n">
        <v>0</v>
      </c>
      <c r="L12296" t="n">
        <v>0</v>
      </c>
      <c r="M12296" t="n">
        <v>0</v>
      </c>
      <c r="N12296" t="n">
        <v>0</v>
      </c>
      <c r="O12296" t="n">
        <v>0</v>
      </c>
      <c r="P12296" t="n">
        <v>0</v>
      </c>
      <c r="Q12296" t="n">
        <v>0</v>
      </c>
      <c r="R12296" s="2" t="inlineStr"/>
    </row>
    <row r="12297" ht="15" customHeight="1">
      <c r="A12297" t="inlineStr">
        <is>
          <t>A 32093-2025</t>
        </is>
      </c>
      <c r="B12297" s="1" t="n">
        <v>45835.45971064815</v>
      </c>
      <c r="C12297" s="1" t="n">
        <v>45952</v>
      </c>
      <c r="D12297" t="inlineStr">
        <is>
          <t>VÄSTRA GÖTALANDS LÄN</t>
        </is>
      </c>
      <c r="E12297" t="inlineStr">
        <is>
          <t>LERUM</t>
        </is>
      </c>
      <c r="G12297" t="n">
        <v>2.3</v>
      </c>
      <c r="H12297" t="n">
        <v>0</v>
      </c>
      <c r="I12297" t="n">
        <v>0</v>
      </c>
      <c r="J12297" t="n">
        <v>0</v>
      </c>
      <c r="K12297" t="n">
        <v>0</v>
      </c>
      <c r="L12297" t="n">
        <v>0</v>
      </c>
      <c r="M12297" t="n">
        <v>0</v>
      </c>
      <c r="N12297" t="n">
        <v>0</v>
      </c>
      <c r="O12297" t="n">
        <v>0</v>
      </c>
      <c r="P12297" t="n">
        <v>0</v>
      </c>
      <c r="Q12297" t="n">
        <v>0</v>
      </c>
      <c r="R12297" s="2" t="inlineStr"/>
    </row>
    <row r="12298" ht="15" customHeight="1">
      <c r="A12298" t="inlineStr">
        <is>
          <t>A 13382-2023</t>
        </is>
      </c>
      <c r="B12298" s="1" t="n">
        <v>45005.50784722222</v>
      </c>
      <c r="C12298" s="1" t="n">
        <v>45952</v>
      </c>
      <c r="D12298" t="inlineStr">
        <is>
          <t>VÄSTRA GÖTALANDS LÄN</t>
        </is>
      </c>
      <c r="E12298" t="inlineStr">
        <is>
          <t>LILLA EDET</t>
        </is>
      </c>
      <c r="G12298" t="n">
        <v>3.4</v>
      </c>
      <c r="H12298" t="n">
        <v>0</v>
      </c>
      <c r="I12298" t="n">
        <v>0</v>
      </c>
      <c r="J12298" t="n">
        <v>0</v>
      </c>
      <c r="K12298" t="n">
        <v>0</v>
      </c>
      <c r="L12298" t="n">
        <v>0</v>
      </c>
      <c r="M12298" t="n">
        <v>0</v>
      </c>
      <c r="N12298" t="n">
        <v>0</v>
      </c>
      <c r="O12298" t="n">
        <v>0</v>
      </c>
      <c r="P12298" t="n">
        <v>0</v>
      </c>
      <c r="Q12298" t="n">
        <v>0</v>
      </c>
      <c r="R12298" s="2" t="inlineStr"/>
    </row>
    <row r="12299" ht="15" customHeight="1">
      <c r="A12299" t="inlineStr">
        <is>
          <t>A 13122-2025</t>
        </is>
      </c>
      <c r="B12299" s="1" t="n">
        <v>45734.80390046296</v>
      </c>
      <c r="C12299" s="1" t="n">
        <v>45952</v>
      </c>
      <c r="D12299" t="inlineStr">
        <is>
          <t>VÄSTRA GÖTALANDS LÄN</t>
        </is>
      </c>
      <c r="E12299" t="inlineStr">
        <is>
          <t>VÅRGÅRDA</t>
        </is>
      </c>
      <c r="G12299" t="n">
        <v>1</v>
      </c>
      <c r="H12299" t="n">
        <v>0</v>
      </c>
      <c r="I12299" t="n">
        <v>0</v>
      </c>
      <c r="J12299" t="n">
        <v>0</v>
      </c>
      <c r="K12299" t="n">
        <v>0</v>
      </c>
      <c r="L12299" t="n">
        <v>0</v>
      </c>
      <c r="M12299" t="n">
        <v>0</v>
      </c>
      <c r="N12299" t="n">
        <v>0</v>
      </c>
      <c r="O12299" t="n">
        <v>0</v>
      </c>
      <c r="P12299" t="n">
        <v>0</v>
      </c>
      <c r="Q12299" t="n">
        <v>0</v>
      </c>
      <c r="R12299" s="2" t="inlineStr"/>
    </row>
    <row r="12300" ht="15" customHeight="1">
      <c r="A12300" t="inlineStr">
        <is>
          <t>A 31879-2025</t>
        </is>
      </c>
      <c r="B12300" s="1" t="n">
        <v>45834.65471064814</v>
      </c>
      <c r="C12300" s="1" t="n">
        <v>45952</v>
      </c>
      <c r="D12300" t="inlineStr">
        <is>
          <t>VÄSTRA GÖTALANDS LÄN</t>
        </is>
      </c>
      <c r="E12300" t="inlineStr">
        <is>
          <t>DALS-ED</t>
        </is>
      </c>
      <c r="G12300" t="n">
        <v>4.3</v>
      </c>
      <c r="H12300" t="n">
        <v>0</v>
      </c>
      <c r="I12300" t="n">
        <v>0</v>
      </c>
      <c r="J12300" t="n">
        <v>0</v>
      </c>
      <c r="K12300" t="n">
        <v>0</v>
      </c>
      <c r="L12300" t="n">
        <v>0</v>
      </c>
      <c r="M12300" t="n">
        <v>0</v>
      </c>
      <c r="N12300" t="n">
        <v>0</v>
      </c>
      <c r="O12300" t="n">
        <v>0</v>
      </c>
      <c r="P12300" t="n">
        <v>0</v>
      </c>
      <c r="Q12300" t="n">
        <v>0</v>
      </c>
      <c r="R12300" s="2" t="inlineStr"/>
    </row>
    <row r="12301" ht="15" customHeight="1">
      <c r="A12301" t="inlineStr">
        <is>
          <t>A 32293-2025</t>
        </is>
      </c>
      <c r="B12301" s="1" t="n">
        <v>45835</v>
      </c>
      <c r="C12301" s="1" t="n">
        <v>45952</v>
      </c>
      <c r="D12301" t="inlineStr">
        <is>
          <t>VÄSTRA GÖTALANDS LÄN</t>
        </is>
      </c>
      <c r="E12301" t="inlineStr">
        <is>
          <t>ULRICEHAMN</t>
        </is>
      </c>
      <c r="G12301" t="n">
        <v>1.1</v>
      </c>
      <c r="H12301" t="n">
        <v>0</v>
      </c>
      <c r="I12301" t="n">
        <v>0</v>
      </c>
      <c r="J12301" t="n">
        <v>0</v>
      </c>
      <c r="K12301" t="n">
        <v>0</v>
      </c>
      <c r="L12301" t="n">
        <v>0</v>
      </c>
      <c r="M12301" t="n">
        <v>0</v>
      </c>
      <c r="N12301" t="n">
        <v>0</v>
      </c>
      <c r="O12301" t="n">
        <v>0</v>
      </c>
      <c r="P12301" t="n">
        <v>0</v>
      </c>
      <c r="Q12301" t="n">
        <v>0</v>
      </c>
      <c r="R12301" s="2" t="inlineStr"/>
    </row>
    <row r="12302" ht="15" customHeight="1">
      <c r="A12302" t="inlineStr">
        <is>
          <t>A 32295-2025</t>
        </is>
      </c>
      <c r="B12302" s="1" t="n">
        <v>45835.70679398148</v>
      </c>
      <c r="C12302" s="1" t="n">
        <v>45952</v>
      </c>
      <c r="D12302" t="inlineStr">
        <is>
          <t>VÄSTRA GÖTALANDS LÄN</t>
        </is>
      </c>
      <c r="E12302" t="inlineStr">
        <is>
          <t>TRANEMO</t>
        </is>
      </c>
      <c r="G12302" t="n">
        <v>6.9</v>
      </c>
      <c r="H12302" t="n">
        <v>0</v>
      </c>
      <c r="I12302" t="n">
        <v>0</v>
      </c>
      <c r="J12302" t="n">
        <v>0</v>
      </c>
      <c r="K12302" t="n">
        <v>0</v>
      </c>
      <c r="L12302" t="n">
        <v>0</v>
      </c>
      <c r="M12302" t="n">
        <v>0</v>
      </c>
      <c r="N12302" t="n">
        <v>0</v>
      </c>
      <c r="O12302" t="n">
        <v>0</v>
      </c>
      <c r="P12302" t="n">
        <v>0</v>
      </c>
      <c r="Q12302" t="n">
        <v>0</v>
      </c>
      <c r="R12302" s="2" t="inlineStr"/>
    </row>
    <row r="12303" ht="15" customHeight="1">
      <c r="A12303" t="inlineStr">
        <is>
          <t>A 31703-2025</t>
        </is>
      </c>
      <c r="B12303" s="1" t="n">
        <v>45834.41769675926</v>
      </c>
      <c r="C12303" s="1" t="n">
        <v>45952</v>
      </c>
      <c r="D12303" t="inlineStr">
        <is>
          <t>VÄSTRA GÖTALANDS LÄN</t>
        </is>
      </c>
      <c r="E12303" t="inlineStr">
        <is>
          <t>HERRLJUNGA</t>
        </is>
      </c>
      <c r="G12303" t="n">
        <v>0.4</v>
      </c>
      <c r="H12303" t="n">
        <v>0</v>
      </c>
      <c r="I12303" t="n">
        <v>0</v>
      </c>
      <c r="J12303" t="n">
        <v>0</v>
      </c>
      <c r="K12303" t="n">
        <v>0</v>
      </c>
      <c r="L12303" t="n">
        <v>0</v>
      </c>
      <c r="M12303" t="n">
        <v>0</v>
      </c>
      <c r="N12303" t="n">
        <v>0</v>
      </c>
      <c r="O12303" t="n">
        <v>0</v>
      </c>
      <c r="P12303" t="n">
        <v>0</v>
      </c>
      <c r="Q12303" t="n">
        <v>0</v>
      </c>
      <c r="R12303" s="2" t="inlineStr"/>
    </row>
    <row r="12304" ht="15" customHeight="1">
      <c r="A12304" t="inlineStr">
        <is>
          <t>A 31809-2025</t>
        </is>
      </c>
      <c r="B12304" s="1" t="n">
        <v>45834.55905092593</v>
      </c>
      <c r="C12304" s="1" t="n">
        <v>45952</v>
      </c>
      <c r="D12304" t="inlineStr">
        <is>
          <t>VÄSTRA GÖTALANDS LÄN</t>
        </is>
      </c>
      <c r="E12304" t="inlineStr">
        <is>
          <t>SVENLJUNGA</t>
        </is>
      </c>
      <c r="G12304" t="n">
        <v>1.4</v>
      </c>
      <c r="H12304" t="n">
        <v>0</v>
      </c>
      <c r="I12304" t="n">
        <v>0</v>
      </c>
      <c r="J12304" t="n">
        <v>0</v>
      </c>
      <c r="K12304" t="n">
        <v>0</v>
      </c>
      <c r="L12304" t="n">
        <v>0</v>
      </c>
      <c r="M12304" t="n">
        <v>0</v>
      </c>
      <c r="N12304" t="n">
        <v>0</v>
      </c>
      <c r="O12304" t="n">
        <v>0</v>
      </c>
      <c r="P12304" t="n">
        <v>0</v>
      </c>
      <c r="Q12304" t="n">
        <v>0</v>
      </c>
      <c r="R12304" s="2" t="inlineStr"/>
    </row>
    <row r="12305" ht="15" customHeight="1">
      <c r="A12305" t="inlineStr">
        <is>
          <t>A 26248-2024</t>
        </is>
      </c>
      <c r="B12305" s="1" t="n">
        <v>45468.64033564815</v>
      </c>
      <c r="C12305" s="1" t="n">
        <v>45952</v>
      </c>
      <c r="D12305" t="inlineStr">
        <is>
          <t>VÄSTRA GÖTALANDS LÄN</t>
        </is>
      </c>
      <c r="E12305" t="inlineStr">
        <is>
          <t>HJO</t>
        </is>
      </c>
      <c r="G12305" t="n">
        <v>3.1</v>
      </c>
      <c r="H12305" t="n">
        <v>0</v>
      </c>
      <c r="I12305" t="n">
        <v>0</v>
      </c>
      <c r="J12305" t="n">
        <v>0</v>
      </c>
      <c r="K12305" t="n">
        <v>0</v>
      </c>
      <c r="L12305" t="n">
        <v>0</v>
      </c>
      <c r="M12305" t="n">
        <v>0</v>
      </c>
      <c r="N12305" t="n">
        <v>0</v>
      </c>
      <c r="O12305" t="n">
        <v>0</v>
      </c>
      <c r="P12305" t="n">
        <v>0</v>
      </c>
      <c r="Q12305" t="n">
        <v>0</v>
      </c>
      <c r="R12305" s="2" t="inlineStr"/>
    </row>
    <row r="12306" ht="15" customHeight="1">
      <c r="A12306" t="inlineStr">
        <is>
          <t>A 23210-2023</t>
        </is>
      </c>
      <c r="B12306" s="1" t="n">
        <v>45071</v>
      </c>
      <c r="C12306" s="1" t="n">
        <v>45952</v>
      </c>
      <c r="D12306" t="inlineStr">
        <is>
          <t>VÄSTRA GÖTALANDS LÄN</t>
        </is>
      </c>
      <c r="E12306" t="inlineStr">
        <is>
          <t>UDDEVALLA</t>
        </is>
      </c>
      <c r="G12306" t="n">
        <v>4.8</v>
      </c>
      <c r="H12306" t="n">
        <v>0</v>
      </c>
      <c r="I12306" t="n">
        <v>0</v>
      </c>
      <c r="J12306" t="n">
        <v>0</v>
      </c>
      <c r="K12306" t="n">
        <v>0</v>
      </c>
      <c r="L12306" t="n">
        <v>0</v>
      </c>
      <c r="M12306" t="n">
        <v>0</v>
      </c>
      <c r="N12306" t="n">
        <v>0</v>
      </c>
      <c r="O12306" t="n">
        <v>0</v>
      </c>
      <c r="P12306" t="n">
        <v>0</v>
      </c>
      <c r="Q12306" t="n">
        <v>0</v>
      </c>
      <c r="R12306" s="2" t="inlineStr"/>
    </row>
    <row r="12307" ht="15" customHeight="1">
      <c r="A12307" t="inlineStr">
        <is>
          <t>A 31176-2025</t>
        </is>
      </c>
      <c r="B12307" s="1" t="n">
        <v>45831</v>
      </c>
      <c r="C12307" s="1" t="n">
        <v>45952</v>
      </c>
      <c r="D12307" t="inlineStr">
        <is>
          <t>VÄSTRA GÖTALANDS LÄN</t>
        </is>
      </c>
      <c r="E12307" t="inlineStr">
        <is>
          <t>MUNKEDAL</t>
        </is>
      </c>
      <c r="F12307" t="inlineStr">
        <is>
          <t>Övriga Aktiebolag</t>
        </is>
      </c>
      <c r="G12307" t="n">
        <v>1.3</v>
      </c>
      <c r="H12307" t="n">
        <v>0</v>
      </c>
      <c r="I12307" t="n">
        <v>0</v>
      </c>
      <c r="J12307" t="n">
        <v>0</v>
      </c>
      <c r="K12307" t="n">
        <v>0</v>
      </c>
      <c r="L12307" t="n">
        <v>0</v>
      </c>
      <c r="M12307" t="n">
        <v>0</v>
      </c>
      <c r="N12307" t="n">
        <v>0</v>
      </c>
      <c r="O12307" t="n">
        <v>0</v>
      </c>
      <c r="P12307" t="n">
        <v>0</v>
      </c>
      <c r="Q12307" t="n">
        <v>0</v>
      </c>
      <c r="R12307" s="2" t="inlineStr"/>
    </row>
    <row r="12308" ht="15" customHeight="1">
      <c r="A12308" t="inlineStr">
        <is>
          <t>A 32214-2025</t>
        </is>
      </c>
      <c r="B12308" s="1" t="n">
        <v>45835.58650462963</v>
      </c>
      <c r="C12308" s="1" t="n">
        <v>45952</v>
      </c>
      <c r="D12308" t="inlineStr">
        <is>
          <t>VÄSTRA GÖTALANDS LÄN</t>
        </is>
      </c>
      <c r="E12308" t="inlineStr">
        <is>
          <t>ULRICEHAMN</t>
        </is>
      </c>
      <c r="G12308" t="n">
        <v>3.8</v>
      </c>
      <c r="H12308" t="n">
        <v>0</v>
      </c>
      <c r="I12308" t="n">
        <v>0</v>
      </c>
      <c r="J12308" t="n">
        <v>0</v>
      </c>
      <c r="K12308" t="n">
        <v>0</v>
      </c>
      <c r="L12308" t="n">
        <v>0</v>
      </c>
      <c r="M12308" t="n">
        <v>0</v>
      </c>
      <c r="N12308" t="n">
        <v>0</v>
      </c>
      <c r="O12308" t="n">
        <v>0</v>
      </c>
      <c r="P12308" t="n">
        <v>0</v>
      </c>
      <c r="Q12308" t="n">
        <v>0</v>
      </c>
      <c r="R12308" s="2" t="inlineStr"/>
    </row>
    <row r="12309" ht="15" customHeight="1">
      <c r="A12309" t="inlineStr">
        <is>
          <t>A 31661-2025</t>
        </is>
      </c>
      <c r="B12309" s="1" t="n">
        <v>45834.35538194444</v>
      </c>
      <c r="C12309" s="1" t="n">
        <v>45952</v>
      </c>
      <c r="D12309" t="inlineStr">
        <is>
          <t>VÄSTRA GÖTALANDS LÄN</t>
        </is>
      </c>
      <c r="E12309" t="inlineStr">
        <is>
          <t>TÖREBODA</t>
        </is>
      </c>
      <c r="F12309" t="inlineStr">
        <is>
          <t>Sveaskog</t>
        </is>
      </c>
      <c r="G12309" t="n">
        <v>1</v>
      </c>
      <c r="H12309" t="n">
        <v>0</v>
      </c>
      <c r="I12309" t="n">
        <v>0</v>
      </c>
      <c r="J12309" t="n">
        <v>0</v>
      </c>
      <c r="K12309" t="n">
        <v>0</v>
      </c>
      <c r="L12309" t="n">
        <v>0</v>
      </c>
      <c r="M12309" t="n">
        <v>0</v>
      </c>
      <c r="N12309" t="n">
        <v>0</v>
      </c>
      <c r="O12309" t="n">
        <v>0</v>
      </c>
      <c r="P12309" t="n">
        <v>0</v>
      </c>
      <c r="Q12309" t="n">
        <v>0</v>
      </c>
      <c r="R12309" s="2" t="inlineStr"/>
    </row>
    <row r="12310" ht="15" customHeight="1">
      <c r="A12310" t="inlineStr">
        <is>
          <t>A 22942-2023</t>
        </is>
      </c>
      <c r="B12310" s="1" t="n">
        <v>45072</v>
      </c>
      <c r="C12310" s="1" t="n">
        <v>45952</v>
      </c>
      <c r="D12310" t="inlineStr">
        <is>
          <t>VÄSTRA GÖTALANDS LÄN</t>
        </is>
      </c>
      <c r="E12310" t="inlineStr">
        <is>
          <t>ULRICEHAMN</t>
        </is>
      </c>
      <c r="G12310" t="n">
        <v>1.5</v>
      </c>
      <c r="H12310" t="n">
        <v>0</v>
      </c>
      <c r="I12310" t="n">
        <v>0</v>
      </c>
      <c r="J12310" t="n">
        <v>0</v>
      </c>
      <c r="K12310" t="n">
        <v>0</v>
      </c>
      <c r="L12310" t="n">
        <v>0</v>
      </c>
      <c r="M12310" t="n">
        <v>0</v>
      </c>
      <c r="N12310" t="n">
        <v>0</v>
      </c>
      <c r="O12310" t="n">
        <v>0</v>
      </c>
      <c r="P12310" t="n">
        <v>0</v>
      </c>
      <c r="Q12310" t="n">
        <v>0</v>
      </c>
      <c r="R12310" s="2" t="inlineStr"/>
    </row>
    <row r="12311" ht="15" customHeight="1">
      <c r="A12311" t="inlineStr">
        <is>
          <t>A 3074-2023</t>
        </is>
      </c>
      <c r="B12311" s="1" t="n">
        <v>44946</v>
      </c>
      <c r="C12311" s="1" t="n">
        <v>45952</v>
      </c>
      <c r="D12311" t="inlineStr">
        <is>
          <t>VÄSTRA GÖTALANDS LÄN</t>
        </is>
      </c>
      <c r="E12311" t="inlineStr">
        <is>
          <t>TROLLHÄTTAN</t>
        </is>
      </c>
      <c r="G12311" t="n">
        <v>6.1</v>
      </c>
      <c r="H12311" t="n">
        <v>0</v>
      </c>
      <c r="I12311" t="n">
        <v>0</v>
      </c>
      <c r="J12311" t="n">
        <v>0</v>
      </c>
      <c r="K12311" t="n">
        <v>0</v>
      </c>
      <c r="L12311" t="n">
        <v>0</v>
      </c>
      <c r="M12311" t="n">
        <v>0</v>
      </c>
      <c r="N12311" t="n">
        <v>0</v>
      </c>
      <c r="O12311" t="n">
        <v>0</v>
      </c>
      <c r="P12311" t="n">
        <v>0</v>
      </c>
      <c r="Q12311" t="n">
        <v>0</v>
      </c>
      <c r="R12311" s="2" t="inlineStr"/>
    </row>
    <row r="12312" ht="15" customHeight="1">
      <c r="A12312" t="inlineStr">
        <is>
          <t>A 58497-2023</t>
        </is>
      </c>
      <c r="B12312" s="1" t="n">
        <v>45251</v>
      </c>
      <c r="C12312" s="1" t="n">
        <v>45952</v>
      </c>
      <c r="D12312" t="inlineStr">
        <is>
          <t>VÄSTRA GÖTALANDS LÄN</t>
        </is>
      </c>
      <c r="E12312" t="inlineStr">
        <is>
          <t>MARK</t>
        </is>
      </c>
      <c r="G12312" t="n">
        <v>3.1</v>
      </c>
      <c r="H12312" t="n">
        <v>0</v>
      </c>
      <c r="I12312" t="n">
        <v>0</v>
      </c>
      <c r="J12312" t="n">
        <v>0</v>
      </c>
      <c r="K12312" t="n">
        <v>0</v>
      </c>
      <c r="L12312" t="n">
        <v>0</v>
      </c>
      <c r="M12312" t="n">
        <v>0</v>
      </c>
      <c r="N12312" t="n">
        <v>0</v>
      </c>
      <c r="O12312" t="n">
        <v>0</v>
      </c>
      <c r="P12312" t="n">
        <v>0</v>
      </c>
      <c r="Q12312" t="n">
        <v>0</v>
      </c>
      <c r="R12312" s="2" t="inlineStr"/>
    </row>
    <row r="12313" ht="15" customHeight="1">
      <c r="A12313" t="inlineStr">
        <is>
          <t>A 38544-2024</t>
        </is>
      </c>
      <c r="B12313" s="1" t="n">
        <v>45546.60534722222</v>
      </c>
      <c r="C12313" s="1" t="n">
        <v>45952</v>
      </c>
      <c r="D12313" t="inlineStr">
        <is>
          <t>VÄSTRA GÖTALANDS LÄN</t>
        </is>
      </c>
      <c r="E12313" t="inlineStr">
        <is>
          <t>MUNKEDAL</t>
        </is>
      </c>
      <c r="G12313" t="n">
        <v>0.8</v>
      </c>
      <c r="H12313" t="n">
        <v>0</v>
      </c>
      <c r="I12313" t="n">
        <v>0</v>
      </c>
      <c r="J12313" t="n">
        <v>0</v>
      </c>
      <c r="K12313" t="n">
        <v>0</v>
      </c>
      <c r="L12313" t="n">
        <v>0</v>
      </c>
      <c r="M12313" t="n">
        <v>0</v>
      </c>
      <c r="N12313" t="n">
        <v>0</v>
      </c>
      <c r="O12313" t="n">
        <v>0</v>
      </c>
      <c r="P12313" t="n">
        <v>0</v>
      </c>
      <c r="Q12313" t="n">
        <v>0</v>
      </c>
      <c r="R12313" s="2" t="inlineStr"/>
    </row>
    <row r="12314" ht="15" customHeight="1">
      <c r="A12314" t="inlineStr">
        <is>
          <t>A 40972-2023</t>
        </is>
      </c>
      <c r="B12314" s="1" t="n">
        <v>45173.48878472222</v>
      </c>
      <c r="C12314" s="1" t="n">
        <v>45952</v>
      </c>
      <c r="D12314" t="inlineStr">
        <is>
          <t>VÄSTRA GÖTALANDS LÄN</t>
        </is>
      </c>
      <c r="E12314" t="inlineStr">
        <is>
          <t>DALS-ED</t>
        </is>
      </c>
      <c r="G12314" t="n">
        <v>4.7</v>
      </c>
      <c r="H12314" t="n">
        <v>0</v>
      </c>
      <c r="I12314" t="n">
        <v>0</v>
      </c>
      <c r="J12314" t="n">
        <v>0</v>
      </c>
      <c r="K12314" t="n">
        <v>0</v>
      </c>
      <c r="L12314" t="n">
        <v>0</v>
      </c>
      <c r="M12314" t="n">
        <v>0</v>
      </c>
      <c r="N12314" t="n">
        <v>0</v>
      </c>
      <c r="O12314" t="n">
        <v>0</v>
      </c>
      <c r="P12314" t="n">
        <v>0</v>
      </c>
      <c r="Q12314" t="n">
        <v>0</v>
      </c>
      <c r="R12314" s="2" t="inlineStr"/>
    </row>
    <row r="12315" ht="15" customHeight="1">
      <c r="A12315" t="inlineStr">
        <is>
          <t>A 13481-2023</t>
        </is>
      </c>
      <c r="B12315" s="1" t="n">
        <v>45005</v>
      </c>
      <c r="C12315" s="1" t="n">
        <v>45952</v>
      </c>
      <c r="D12315" t="inlineStr">
        <is>
          <t>VÄSTRA GÖTALANDS LÄN</t>
        </is>
      </c>
      <c r="E12315" t="inlineStr">
        <is>
          <t>VARA</t>
        </is>
      </c>
      <c r="G12315" t="n">
        <v>0.7</v>
      </c>
      <c r="H12315" t="n">
        <v>0</v>
      </c>
      <c r="I12315" t="n">
        <v>0</v>
      </c>
      <c r="J12315" t="n">
        <v>0</v>
      </c>
      <c r="K12315" t="n">
        <v>0</v>
      </c>
      <c r="L12315" t="n">
        <v>0</v>
      </c>
      <c r="M12315" t="n">
        <v>0</v>
      </c>
      <c r="N12315" t="n">
        <v>0</v>
      </c>
      <c r="O12315" t="n">
        <v>0</v>
      </c>
      <c r="P12315" t="n">
        <v>0</v>
      </c>
      <c r="Q12315" t="n">
        <v>0</v>
      </c>
      <c r="R12315" s="2" t="inlineStr"/>
    </row>
    <row r="12316" ht="15" customHeight="1">
      <c r="A12316" t="inlineStr">
        <is>
          <t>A 13522-2023</t>
        </is>
      </c>
      <c r="B12316" s="1" t="n">
        <v>45006.35238425926</v>
      </c>
      <c r="C12316" s="1" t="n">
        <v>45952</v>
      </c>
      <c r="D12316" t="inlineStr">
        <is>
          <t>VÄSTRA GÖTALANDS LÄN</t>
        </is>
      </c>
      <c r="E12316" t="inlineStr">
        <is>
          <t>LIDKÖPING</t>
        </is>
      </c>
      <c r="G12316" t="n">
        <v>2.4</v>
      </c>
      <c r="H12316" t="n">
        <v>0</v>
      </c>
      <c r="I12316" t="n">
        <v>0</v>
      </c>
      <c r="J12316" t="n">
        <v>0</v>
      </c>
      <c r="K12316" t="n">
        <v>0</v>
      </c>
      <c r="L12316" t="n">
        <v>0</v>
      </c>
      <c r="M12316" t="n">
        <v>0</v>
      </c>
      <c r="N12316" t="n">
        <v>0</v>
      </c>
      <c r="O12316" t="n">
        <v>0</v>
      </c>
      <c r="P12316" t="n">
        <v>0</v>
      </c>
      <c r="Q12316" t="n">
        <v>0</v>
      </c>
      <c r="R12316" s="2" t="inlineStr"/>
    </row>
    <row r="12317" ht="15" customHeight="1">
      <c r="A12317" t="inlineStr">
        <is>
          <t>A 59047-2023</t>
        </is>
      </c>
      <c r="B12317" s="1" t="n">
        <v>45252.73967592593</v>
      </c>
      <c r="C12317" s="1" t="n">
        <v>45952</v>
      </c>
      <c r="D12317" t="inlineStr">
        <is>
          <t>VÄSTRA GÖTALANDS LÄN</t>
        </is>
      </c>
      <c r="E12317" t="inlineStr">
        <is>
          <t>KARLSBORG</t>
        </is>
      </c>
      <c r="F12317" t="inlineStr">
        <is>
          <t>Övriga Aktiebolag</t>
        </is>
      </c>
      <c r="G12317" t="n">
        <v>7.4</v>
      </c>
      <c r="H12317" t="n">
        <v>0</v>
      </c>
      <c r="I12317" t="n">
        <v>0</v>
      </c>
      <c r="J12317" t="n">
        <v>0</v>
      </c>
      <c r="K12317" t="n">
        <v>0</v>
      </c>
      <c r="L12317" t="n">
        <v>0</v>
      </c>
      <c r="M12317" t="n">
        <v>0</v>
      </c>
      <c r="N12317" t="n">
        <v>0</v>
      </c>
      <c r="O12317" t="n">
        <v>0</v>
      </c>
      <c r="P12317" t="n">
        <v>0</v>
      </c>
      <c r="Q12317" t="n">
        <v>0</v>
      </c>
      <c r="R12317" s="2" t="inlineStr"/>
    </row>
    <row r="12318" ht="15" customHeight="1">
      <c r="A12318" t="inlineStr">
        <is>
          <t>A 18208-2022</t>
        </is>
      </c>
      <c r="B12318" s="1" t="n">
        <v>44684.94835648148</v>
      </c>
      <c r="C12318" s="1" t="n">
        <v>45952</v>
      </c>
      <c r="D12318" t="inlineStr">
        <is>
          <t>VÄSTRA GÖTALANDS LÄN</t>
        </is>
      </c>
      <c r="E12318" t="inlineStr">
        <is>
          <t>TRANEMO</t>
        </is>
      </c>
      <c r="G12318" t="n">
        <v>5.9</v>
      </c>
      <c r="H12318" t="n">
        <v>0</v>
      </c>
      <c r="I12318" t="n">
        <v>0</v>
      </c>
      <c r="J12318" t="n">
        <v>0</v>
      </c>
      <c r="K12318" t="n">
        <v>0</v>
      </c>
      <c r="L12318" t="n">
        <v>0</v>
      </c>
      <c r="M12318" t="n">
        <v>0</v>
      </c>
      <c r="N12318" t="n">
        <v>0</v>
      </c>
      <c r="O12318" t="n">
        <v>0</v>
      </c>
      <c r="P12318" t="n">
        <v>0</v>
      </c>
      <c r="Q12318" t="n">
        <v>0</v>
      </c>
      <c r="R12318" s="2" t="inlineStr"/>
    </row>
    <row r="12319" ht="15" customHeight="1">
      <c r="A12319" t="inlineStr">
        <is>
          <t>A 4279-2025</t>
        </is>
      </c>
      <c r="B12319" s="1" t="n">
        <v>45685.63891203704</v>
      </c>
      <c r="C12319" s="1" t="n">
        <v>45952</v>
      </c>
      <c r="D12319" t="inlineStr">
        <is>
          <t>VÄSTRA GÖTALANDS LÄN</t>
        </is>
      </c>
      <c r="E12319" t="inlineStr">
        <is>
          <t>BENGTSFORS</t>
        </is>
      </c>
      <c r="G12319" t="n">
        <v>1.2</v>
      </c>
      <c r="H12319" t="n">
        <v>0</v>
      </c>
      <c r="I12319" t="n">
        <v>0</v>
      </c>
      <c r="J12319" t="n">
        <v>0</v>
      </c>
      <c r="K12319" t="n">
        <v>0</v>
      </c>
      <c r="L12319" t="n">
        <v>0</v>
      </c>
      <c r="M12319" t="n">
        <v>0</v>
      </c>
      <c r="N12319" t="n">
        <v>0</v>
      </c>
      <c r="O12319" t="n">
        <v>0</v>
      </c>
      <c r="P12319" t="n">
        <v>0</v>
      </c>
      <c r="Q12319" t="n">
        <v>0</v>
      </c>
      <c r="R12319" s="2" t="inlineStr"/>
    </row>
    <row r="12320" ht="15" customHeight="1">
      <c r="A12320" t="inlineStr">
        <is>
          <t>A 4285-2025</t>
        </is>
      </c>
      <c r="B12320" s="1" t="n">
        <v>45685.64887731482</v>
      </c>
      <c r="C12320" s="1" t="n">
        <v>45952</v>
      </c>
      <c r="D12320" t="inlineStr">
        <is>
          <t>VÄSTRA GÖTALANDS LÄN</t>
        </is>
      </c>
      <c r="E12320" t="inlineStr">
        <is>
          <t>FÄRGELANDA</t>
        </is>
      </c>
      <c r="G12320" t="n">
        <v>0.5</v>
      </c>
      <c r="H12320" t="n">
        <v>0</v>
      </c>
      <c r="I12320" t="n">
        <v>0</v>
      </c>
      <c r="J12320" t="n">
        <v>0</v>
      </c>
      <c r="K12320" t="n">
        <v>0</v>
      </c>
      <c r="L12320" t="n">
        <v>0</v>
      </c>
      <c r="M12320" t="n">
        <v>0</v>
      </c>
      <c r="N12320" t="n">
        <v>0</v>
      </c>
      <c r="O12320" t="n">
        <v>0</v>
      </c>
      <c r="P12320" t="n">
        <v>0</v>
      </c>
      <c r="Q12320" t="n">
        <v>0</v>
      </c>
      <c r="R12320" s="2" t="inlineStr"/>
    </row>
    <row r="12321" ht="15" customHeight="1">
      <c r="A12321" t="inlineStr">
        <is>
          <t>A 67875-2021</t>
        </is>
      </c>
      <c r="B12321" s="1" t="n">
        <v>44525</v>
      </c>
      <c r="C12321" s="1" t="n">
        <v>45952</v>
      </c>
      <c r="D12321" t="inlineStr">
        <is>
          <t>VÄSTRA GÖTALANDS LÄN</t>
        </is>
      </c>
      <c r="E12321" t="inlineStr">
        <is>
          <t>STRÖMSTAD</t>
        </is>
      </c>
      <c r="G12321" t="n">
        <v>15.5</v>
      </c>
      <c r="H12321" t="n">
        <v>0</v>
      </c>
      <c r="I12321" t="n">
        <v>0</v>
      </c>
      <c r="J12321" t="n">
        <v>0</v>
      </c>
      <c r="K12321" t="n">
        <v>0</v>
      </c>
      <c r="L12321" t="n">
        <v>0</v>
      </c>
      <c r="M12321" t="n">
        <v>0</v>
      </c>
      <c r="N12321" t="n">
        <v>0</v>
      </c>
      <c r="O12321" t="n">
        <v>0</v>
      </c>
      <c r="P12321" t="n">
        <v>0</v>
      </c>
      <c r="Q12321" t="n">
        <v>0</v>
      </c>
      <c r="R12321" s="2" t="inlineStr"/>
    </row>
    <row r="12322" ht="15" customHeight="1">
      <c r="A12322" t="inlineStr">
        <is>
          <t>A 4316-2025</t>
        </is>
      </c>
      <c r="B12322" s="1" t="n">
        <v>45685.70467592592</v>
      </c>
      <c r="C12322" s="1" t="n">
        <v>45952</v>
      </c>
      <c r="D12322" t="inlineStr">
        <is>
          <t>VÄSTRA GÖTALANDS LÄN</t>
        </is>
      </c>
      <c r="E12322" t="inlineStr">
        <is>
          <t>SKÖVDE</t>
        </is>
      </c>
      <c r="G12322" t="n">
        <v>1.3</v>
      </c>
      <c r="H12322" t="n">
        <v>0</v>
      </c>
      <c r="I12322" t="n">
        <v>0</v>
      </c>
      <c r="J12322" t="n">
        <v>0</v>
      </c>
      <c r="K12322" t="n">
        <v>0</v>
      </c>
      <c r="L12322" t="n">
        <v>0</v>
      </c>
      <c r="M12322" t="n">
        <v>0</v>
      </c>
      <c r="N12322" t="n">
        <v>0</v>
      </c>
      <c r="O12322" t="n">
        <v>0</v>
      </c>
      <c r="P12322" t="n">
        <v>0</v>
      </c>
      <c r="Q12322" t="n">
        <v>0</v>
      </c>
      <c r="R12322" s="2" t="inlineStr"/>
    </row>
    <row r="12323" ht="15" customHeight="1">
      <c r="A12323" t="inlineStr">
        <is>
          <t>A 4378-2025</t>
        </is>
      </c>
      <c r="B12323" s="1" t="n">
        <v>45686.39112268519</v>
      </c>
      <c r="C12323" s="1" t="n">
        <v>45952</v>
      </c>
      <c r="D12323" t="inlineStr">
        <is>
          <t>VÄSTRA GÖTALANDS LÄN</t>
        </is>
      </c>
      <c r="E12323" t="inlineStr">
        <is>
          <t>MARK</t>
        </is>
      </c>
      <c r="G12323" t="n">
        <v>1.1</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31770-2025</t>
        </is>
      </c>
      <c r="B12324" s="1" t="n">
        <v>45834.50756944445</v>
      </c>
      <c r="C12324" s="1" t="n">
        <v>45952</v>
      </c>
      <c r="D12324" t="inlineStr">
        <is>
          <t>VÄSTRA GÖTALANDS LÄN</t>
        </is>
      </c>
      <c r="E12324" t="inlineStr">
        <is>
          <t>KARLSBORG</t>
        </is>
      </c>
      <c r="G12324" t="n">
        <v>1.3</v>
      </c>
      <c r="H12324" t="n">
        <v>0</v>
      </c>
      <c r="I12324" t="n">
        <v>0</v>
      </c>
      <c r="J12324" t="n">
        <v>0</v>
      </c>
      <c r="K12324" t="n">
        <v>0</v>
      </c>
      <c r="L12324" t="n">
        <v>0</v>
      </c>
      <c r="M12324" t="n">
        <v>0</v>
      </c>
      <c r="N12324" t="n">
        <v>0</v>
      </c>
      <c r="O12324" t="n">
        <v>0</v>
      </c>
      <c r="P12324" t="n">
        <v>0</v>
      </c>
      <c r="Q12324" t="n">
        <v>0</v>
      </c>
      <c r="R12324" s="2" t="inlineStr"/>
    </row>
    <row r="12325" ht="15" customHeight="1">
      <c r="A12325" t="inlineStr">
        <is>
          <t>A 31804-2025</t>
        </is>
      </c>
      <c r="B12325" s="1" t="n">
        <v>45834.55309027778</v>
      </c>
      <c r="C12325" s="1" t="n">
        <v>45952</v>
      </c>
      <c r="D12325" t="inlineStr">
        <is>
          <t>VÄSTRA GÖTALANDS LÄN</t>
        </is>
      </c>
      <c r="E12325" t="inlineStr">
        <is>
          <t>BOLLEBYGD</t>
        </is>
      </c>
      <c r="G12325" t="n">
        <v>1.2</v>
      </c>
      <c r="H12325" t="n">
        <v>0</v>
      </c>
      <c r="I12325" t="n">
        <v>0</v>
      </c>
      <c r="J12325" t="n">
        <v>0</v>
      </c>
      <c r="K12325" t="n">
        <v>0</v>
      </c>
      <c r="L12325" t="n">
        <v>0</v>
      </c>
      <c r="M12325" t="n">
        <v>0</v>
      </c>
      <c r="N12325" t="n">
        <v>0</v>
      </c>
      <c r="O12325" t="n">
        <v>0</v>
      </c>
      <c r="P12325" t="n">
        <v>0</v>
      </c>
      <c r="Q12325" t="n">
        <v>0</v>
      </c>
      <c r="R12325" s="2" t="inlineStr"/>
    </row>
    <row r="12326" ht="15" customHeight="1">
      <c r="A12326" t="inlineStr">
        <is>
          <t>A 31737-2025</t>
        </is>
      </c>
      <c r="B12326" s="1" t="n">
        <v>45834.47158564815</v>
      </c>
      <c r="C12326" s="1" t="n">
        <v>45952</v>
      </c>
      <c r="D12326" t="inlineStr">
        <is>
          <t>VÄSTRA GÖTALANDS LÄN</t>
        </is>
      </c>
      <c r="E12326" t="inlineStr">
        <is>
          <t>SVENLJUNGA</t>
        </is>
      </c>
      <c r="G12326" t="n">
        <v>1.7</v>
      </c>
      <c r="H12326" t="n">
        <v>0</v>
      </c>
      <c r="I12326" t="n">
        <v>0</v>
      </c>
      <c r="J12326" t="n">
        <v>0</v>
      </c>
      <c r="K12326" t="n">
        <v>0</v>
      </c>
      <c r="L12326" t="n">
        <v>0</v>
      </c>
      <c r="M12326" t="n">
        <v>0</v>
      </c>
      <c r="N12326" t="n">
        <v>0</v>
      </c>
      <c r="O12326" t="n">
        <v>0</v>
      </c>
      <c r="P12326" t="n">
        <v>0</v>
      </c>
      <c r="Q12326" t="n">
        <v>0</v>
      </c>
      <c r="R12326" s="2" t="inlineStr"/>
    </row>
    <row r="12327" ht="15" customHeight="1">
      <c r="A12327" t="inlineStr">
        <is>
          <t>A 31741-2025</t>
        </is>
      </c>
      <c r="B12327" s="1" t="n">
        <v>45834.47517361111</v>
      </c>
      <c r="C12327" s="1" t="n">
        <v>45952</v>
      </c>
      <c r="D12327" t="inlineStr">
        <is>
          <t>VÄSTRA GÖTALANDS LÄN</t>
        </is>
      </c>
      <c r="E12327" t="inlineStr">
        <is>
          <t>SVENLJUNGA</t>
        </is>
      </c>
      <c r="G12327" t="n">
        <v>1.2</v>
      </c>
      <c r="H12327" t="n">
        <v>0</v>
      </c>
      <c r="I12327" t="n">
        <v>0</v>
      </c>
      <c r="J12327" t="n">
        <v>0</v>
      </c>
      <c r="K12327" t="n">
        <v>0</v>
      </c>
      <c r="L12327" t="n">
        <v>0</v>
      </c>
      <c r="M12327" t="n">
        <v>0</v>
      </c>
      <c r="N12327" t="n">
        <v>0</v>
      </c>
      <c r="O12327" t="n">
        <v>0</v>
      </c>
      <c r="P12327" t="n">
        <v>0</v>
      </c>
      <c r="Q12327" t="n">
        <v>0</v>
      </c>
      <c r="R12327" s="2" t="inlineStr"/>
    </row>
    <row r="12328" ht="15" customHeight="1">
      <c r="A12328" t="inlineStr">
        <is>
          <t>A 15991-2023</t>
        </is>
      </c>
      <c r="B12328" s="1" t="n">
        <v>45023</v>
      </c>
      <c r="C12328" s="1" t="n">
        <v>45952</v>
      </c>
      <c r="D12328" t="inlineStr">
        <is>
          <t>VÄSTRA GÖTALANDS LÄN</t>
        </is>
      </c>
      <c r="E12328" t="inlineStr">
        <is>
          <t>TANUM</t>
        </is>
      </c>
      <c r="G12328" t="n">
        <v>7.1</v>
      </c>
      <c r="H12328" t="n">
        <v>0</v>
      </c>
      <c r="I12328" t="n">
        <v>0</v>
      </c>
      <c r="J12328" t="n">
        <v>0</v>
      </c>
      <c r="K12328" t="n">
        <v>0</v>
      </c>
      <c r="L12328" t="n">
        <v>0</v>
      </c>
      <c r="M12328" t="n">
        <v>0</v>
      </c>
      <c r="N12328" t="n">
        <v>0</v>
      </c>
      <c r="O12328" t="n">
        <v>0</v>
      </c>
      <c r="P12328" t="n">
        <v>0</v>
      </c>
      <c r="Q12328" t="n">
        <v>0</v>
      </c>
      <c r="R12328" s="2" t="inlineStr"/>
    </row>
    <row r="12329" ht="15" customHeight="1">
      <c r="A12329" t="inlineStr">
        <is>
          <t>A 32208-2025</t>
        </is>
      </c>
      <c r="B12329" s="1" t="n">
        <v>45835.58302083334</v>
      </c>
      <c r="C12329" s="1" t="n">
        <v>45952</v>
      </c>
      <c r="D12329" t="inlineStr">
        <is>
          <t>VÄSTRA GÖTALANDS LÄN</t>
        </is>
      </c>
      <c r="E12329" t="inlineStr">
        <is>
          <t>ULRICEHAMN</t>
        </is>
      </c>
      <c r="G12329" t="n">
        <v>1.6</v>
      </c>
      <c r="H12329" t="n">
        <v>0</v>
      </c>
      <c r="I12329" t="n">
        <v>0</v>
      </c>
      <c r="J12329" t="n">
        <v>0</v>
      </c>
      <c r="K12329" t="n">
        <v>0</v>
      </c>
      <c r="L12329" t="n">
        <v>0</v>
      </c>
      <c r="M12329" t="n">
        <v>0</v>
      </c>
      <c r="N12329" t="n">
        <v>0</v>
      </c>
      <c r="O12329" t="n">
        <v>0</v>
      </c>
      <c r="P12329" t="n">
        <v>0</v>
      </c>
      <c r="Q12329" t="n">
        <v>0</v>
      </c>
      <c r="R12329" s="2" t="inlineStr"/>
    </row>
    <row r="12330" ht="15" customHeight="1">
      <c r="A12330" t="inlineStr">
        <is>
          <t>A 32095-2025</t>
        </is>
      </c>
      <c r="B12330" s="1" t="n">
        <v>45835.46107638889</v>
      </c>
      <c r="C12330" s="1" t="n">
        <v>45952</v>
      </c>
      <c r="D12330" t="inlineStr">
        <is>
          <t>VÄSTRA GÖTALANDS LÄN</t>
        </is>
      </c>
      <c r="E12330" t="inlineStr">
        <is>
          <t>LERUM</t>
        </is>
      </c>
      <c r="G12330" t="n">
        <v>1</v>
      </c>
      <c r="H12330" t="n">
        <v>0</v>
      </c>
      <c r="I12330" t="n">
        <v>0</v>
      </c>
      <c r="J12330" t="n">
        <v>0</v>
      </c>
      <c r="K12330" t="n">
        <v>0</v>
      </c>
      <c r="L12330" t="n">
        <v>0</v>
      </c>
      <c r="M12330" t="n">
        <v>0</v>
      </c>
      <c r="N12330" t="n">
        <v>0</v>
      </c>
      <c r="O12330" t="n">
        <v>0</v>
      </c>
      <c r="P12330" t="n">
        <v>0</v>
      </c>
      <c r="Q12330" t="n">
        <v>0</v>
      </c>
      <c r="R12330" s="2" t="inlineStr"/>
    </row>
    <row r="12331" ht="15" customHeight="1">
      <c r="A12331" t="inlineStr">
        <is>
          <t>A 18228-2025</t>
        </is>
      </c>
      <c r="B12331" s="1" t="n">
        <v>45761.83359953704</v>
      </c>
      <c r="C12331" s="1" t="n">
        <v>45952</v>
      </c>
      <c r="D12331" t="inlineStr">
        <is>
          <t>VÄSTRA GÖTALANDS LÄN</t>
        </is>
      </c>
      <c r="E12331" t="inlineStr">
        <is>
          <t>DALS-ED</t>
        </is>
      </c>
      <c r="G12331" t="n">
        <v>1.5</v>
      </c>
      <c r="H12331" t="n">
        <v>0</v>
      </c>
      <c r="I12331" t="n">
        <v>0</v>
      </c>
      <c r="J12331" t="n">
        <v>0</v>
      </c>
      <c r="K12331" t="n">
        <v>0</v>
      </c>
      <c r="L12331" t="n">
        <v>0</v>
      </c>
      <c r="M12331" t="n">
        <v>0</v>
      </c>
      <c r="N12331" t="n">
        <v>0</v>
      </c>
      <c r="O12331" t="n">
        <v>0</v>
      </c>
      <c r="P12331" t="n">
        <v>0</v>
      </c>
      <c r="Q12331" t="n">
        <v>0</v>
      </c>
      <c r="R12331" s="2" t="inlineStr"/>
    </row>
    <row r="12332" ht="15" customHeight="1">
      <c r="A12332" t="inlineStr">
        <is>
          <t>A 47300-2022</t>
        </is>
      </c>
      <c r="B12332" s="1" t="n">
        <v>44853</v>
      </c>
      <c r="C12332" s="1" t="n">
        <v>45952</v>
      </c>
      <c r="D12332" t="inlineStr">
        <is>
          <t>VÄSTRA GÖTALANDS LÄN</t>
        </is>
      </c>
      <c r="E12332" t="inlineStr">
        <is>
          <t>HJO</t>
        </is>
      </c>
      <c r="G12332" t="n">
        <v>2.4</v>
      </c>
      <c r="H12332" t="n">
        <v>0</v>
      </c>
      <c r="I12332" t="n">
        <v>0</v>
      </c>
      <c r="J12332" t="n">
        <v>0</v>
      </c>
      <c r="K12332" t="n">
        <v>0</v>
      </c>
      <c r="L12332" t="n">
        <v>0</v>
      </c>
      <c r="M12332" t="n">
        <v>0</v>
      </c>
      <c r="N12332" t="n">
        <v>0</v>
      </c>
      <c r="O12332" t="n">
        <v>0</v>
      </c>
      <c r="P12332" t="n">
        <v>0</v>
      </c>
      <c r="Q12332" t="n">
        <v>0</v>
      </c>
      <c r="R12332" s="2" t="inlineStr"/>
    </row>
    <row r="12333" ht="15" customHeight="1">
      <c r="A12333" t="inlineStr">
        <is>
          <t>A 32128-2025</t>
        </is>
      </c>
      <c r="B12333" s="1" t="n">
        <v>45835.50236111111</v>
      </c>
      <c r="C12333" s="1" t="n">
        <v>45952</v>
      </c>
      <c r="D12333" t="inlineStr">
        <is>
          <t>VÄSTRA GÖTALANDS LÄN</t>
        </is>
      </c>
      <c r="E12333" t="inlineStr">
        <is>
          <t>KARLSBORG</t>
        </is>
      </c>
      <c r="F12333" t="inlineStr">
        <is>
          <t>Sveaskog</t>
        </is>
      </c>
      <c r="G12333" t="n">
        <v>3.6</v>
      </c>
      <c r="H12333" t="n">
        <v>0</v>
      </c>
      <c r="I12333" t="n">
        <v>0</v>
      </c>
      <c r="J12333" t="n">
        <v>0</v>
      </c>
      <c r="K12333" t="n">
        <v>0</v>
      </c>
      <c r="L12333" t="n">
        <v>0</v>
      </c>
      <c r="M12333" t="n">
        <v>0</v>
      </c>
      <c r="N12333" t="n">
        <v>0</v>
      </c>
      <c r="O12333" t="n">
        <v>0</v>
      </c>
      <c r="P12333" t="n">
        <v>0</v>
      </c>
      <c r="Q12333" t="n">
        <v>0</v>
      </c>
      <c r="R12333" s="2" t="inlineStr"/>
    </row>
    <row r="12334" ht="15" customHeight="1">
      <c r="A12334" t="inlineStr">
        <is>
          <t>A 31939-2025</t>
        </is>
      </c>
      <c r="B12334" s="1" t="n">
        <v>45835.29376157407</v>
      </c>
      <c r="C12334" s="1" t="n">
        <v>45952</v>
      </c>
      <c r="D12334" t="inlineStr">
        <is>
          <t>VÄSTRA GÖTALANDS LÄN</t>
        </is>
      </c>
      <c r="E12334" t="inlineStr">
        <is>
          <t>ULRICEHAMN</t>
        </is>
      </c>
      <c r="G12334" t="n">
        <v>3</v>
      </c>
      <c r="H12334" t="n">
        <v>0</v>
      </c>
      <c r="I12334" t="n">
        <v>0</v>
      </c>
      <c r="J12334" t="n">
        <v>0</v>
      </c>
      <c r="K12334" t="n">
        <v>0</v>
      </c>
      <c r="L12334" t="n">
        <v>0</v>
      </c>
      <c r="M12334" t="n">
        <v>0</v>
      </c>
      <c r="N12334" t="n">
        <v>0</v>
      </c>
      <c r="O12334" t="n">
        <v>0</v>
      </c>
      <c r="P12334" t="n">
        <v>0</v>
      </c>
      <c r="Q12334" t="n">
        <v>0</v>
      </c>
      <c r="R12334" s="2" t="inlineStr"/>
    </row>
    <row r="12335" ht="15" customHeight="1">
      <c r="A12335" t="inlineStr">
        <is>
          <t>A 30760-2023</t>
        </is>
      </c>
      <c r="B12335" s="1" t="n">
        <v>45112</v>
      </c>
      <c r="C12335" s="1" t="n">
        <v>45952</v>
      </c>
      <c r="D12335" t="inlineStr">
        <is>
          <t>VÄSTRA GÖTALANDS LÄN</t>
        </is>
      </c>
      <c r="E12335" t="inlineStr">
        <is>
          <t>BOLLEBYGD</t>
        </is>
      </c>
      <c r="G12335" t="n">
        <v>1.4</v>
      </c>
      <c r="H12335" t="n">
        <v>0</v>
      </c>
      <c r="I12335" t="n">
        <v>0</v>
      </c>
      <c r="J12335" t="n">
        <v>0</v>
      </c>
      <c r="K12335" t="n">
        <v>0</v>
      </c>
      <c r="L12335" t="n">
        <v>0</v>
      </c>
      <c r="M12335" t="n">
        <v>0</v>
      </c>
      <c r="N12335" t="n">
        <v>0</v>
      </c>
      <c r="O12335" t="n">
        <v>0</v>
      </c>
      <c r="P12335" t="n">
        <v>0</v>
      </c>
      <c r="Q12335" t="n">
        <v>0</v>
      </c>
      <c r="R12335" s="2" t="inlineStr"/>
    </row>
    <row r="12336" ht="15" customHeight="1">
      <c r="A12336" t="inlineStr">
        <is>
          <t>A 30762-2023</t>
        </is>
      </c>
      <c r="B12336" s="1" t="n">
        <v>45112</v>
      </c>
      <c r="C12336" s="1" t="n">
        <v>45952</v>
      </c>
      <c r="D12336" t="inlineStr">
        <is>
          <t>VÄSTRA GÖTALANDS LÄN</t>
        </is>
      </c>
      <c r="E12336" t="inlineStr">
        <is>
          <t>BOLLEBYGD</t>
        </is>
      </c>
      <c r="G12336" t="n">
        <v>1.9</v>
      </c>
      <c r="H12336" t="n">
        <v>0</v>
      </c>
      <c r="I12336" t="n">
        <v>0</v>
      </c>
      <c r="J12336" t="n">
        <v>0</v>
      </c>
      <c r="K12336" t="n">
        <v>0</v>
      </c>
      <c r="L12336" t="n">
        <v>0</v>
      </c>
      <c r="M12336" t="n">
        <v>0</v>
      </c>
      <c r="N12336" t="n">
        <v>0</v>
      </c>
      <c r="O12336" t="n">
        <v>0</v>
      </c>
      <c r="P12336" t="n">
        <v>0</v>
      </c>
      <c r="Q12336" t="n">
        <v>0</v>
      </c>
      <c r="R12336" s="2" t="inlineStr"/>
    </row>
    <row r="12337" ht="15" customHeight="1">
      <c r="A12337" t="inlineStr">
        <is>
          <t>A 16120-2022</t>
        </is>
      </c>
      <c r="B12337" s="1" t="n">
        <v>44665.67701388889</v>
      </c>
      <c r="C12337" s="1" t="n">
        <v>45952</v>
      </c>
      <c r="D12337" t="inlineStr">
        <is>
          <t>VÄSTRA GÖTALANDS LÄN</t>
        </is>
      </c>
      <c r="E12337" t="inlineStr">
        <is>
          <t>HERRLJUNGA</t>
        </is>
      </c>
      <c r="G12337" t="n">
        <v>5.2</v>
      </c>
      <c r="H12337" t="n">
        <v>0</v>
      </c>
      <c r="I12337" t="n">
        <v>0</v>
      </c>
      <c r="J12337" t="n">
        <v>0</v>
      </c>
      <c r="K12337" t="n">
        <v>0</v>
      </c>
      <c r="L12337" t="n">
        <v>0</v>
      </c>
      <c r="M12337" t="n">
        <v>0</v>
      </c>
      <c r="N12337" t="n">
        <v>0</v>
      </c>
      <c r="O12337" t="n">
        <v>0</v>
      </c>
      <c r="P12337" t="n">
        <v>0</v>
      </c>
      <c r="Q12337" t="n">
        <v>0</v>
      </c>
      <c r="R12337" s="2" t="inlineStr"/>
    </row>
    <row r="12338" ht="15" customHeight="1">
      <c r="A12338" t="inlineStr">
        <is>
          <t>A 31698-2025</t>
        </is>
      </c>
      <c r="B12338" s="1" t="n">
        <v>45834.40880787037</v>
      </c>
      <c r="C12338" s="1" t="n">
        <v>45952</v>
      </c>
      <c r="D12338" t="inlineStr">
        <is>
          <t>VÄSTRA GÖTALANDS LÄN</t>
        </is>
      </c>
      <c r="E12338" t="inlineStr">
        <is>
          <t>TROLLHÄTTAN</t>
        </is>
      </c>
      <c r="G12338" t="n">
        <v>1</v>
      </c>
      <c r="H12338" t="n">
        <v>0</v>
      </c>
      <c r="I12338" t="n">
        <v>0</v>
      </c>
      <c r="J12338" t="n">
        <v>0</v>
      </c>
      <c r="K12338" t="n">
        <v>0</v>
      </c>
      <c r="L12338" t="n">
        <v>0</v>
      </c>
      <c r="M12338" t="n">
        <v>0</v>
      </c>
      <c r="N12338" t="n">
        <v>0</v>
      </c>
      <c r="O12338" t="n">
        <v>0</v>
      </c>
      <c r="P12338" t="n">
        <v>0</v>
      </c>
      <c r="Q12338" t="n">
        <v>0</v>
      </c>
      <c r="R12338" s="2" t="inlineStr"/>
    </row>
    <row r="12339" ht="15" customHeight="1">
      <c r="A12339" t="inlineStr">
        <is>
          <t>A 31625-2025</t>
        </is>
      </c>
      <c r="B12339" s="1" t="n">
        <v>45834.29967592593</v>
      </c>
      <c r="C12339" s="1" t="n">
        <v>45952</v>
      </c>
      <c r="D12339" t="inlineStr">
        <is>
          <t>VÄSTRA GÖTALANDS LÄN</t>
        </is>
      </c>
      <c r="E12339" t="inlineStr">
        <is>
          <t>STENUNGSUND</t>
        </is>
      </c>
      <c r="G12339" t="n">
        <v>2.5</v>
      </c>
      <c r="H12339" t="n">
        <v>0</v>
      </c>
      <c r="I12339" t="n">
        <v>0</v>
      </c>
      <c r="J12339" t="n">
        <v>0</v>
      </c>
      <c r="K12339" t="n">
        <v>0</v>
      </c>
      <c r="L12339" t="n">
        <v>0</v>
      </c>
      <c r="M12339" t="n">
        <v>0</v>
      </c>
      <c r="N12339" t="n">
        <v>0</v>
      </c>
      <c r="O12339" t="n">
        <v>0</v>
      </c>
      <c r="P12339" t="n">
        <v>0</v>
      </c>
      <c r="Q12339" t="n">
        <v>0</v>
      </c>
      <c r="R12339" s="2" t="inlineStr"/>
    </row>
    <row r="12340" ht="15" customHeight="1">
      <c r="A12340" t="inlineStr">
        <is>
          <t>A 32184-2023</t>
        </is>
      </c>
      <c r="B12340" s="1" t="n">
        <v>45119</v>
      </c>
      <c r="C12340" s="1" t="n">
        <v>45952</v>
      </c>
      <c r="D12340" t="inlineStr">
        <is>
          <t>VÄSTRA GÖTALANDS LÄN</t>
        </is>
      </c>
      <c r="E12340" t="inlineStr">
        <is>
          <t>MARK</t>
        </is>
      </c>
      <c r="G12340" t="n">
        <v>1.6</v>
      </c>
      <c r="H12340" t="n">
        <v>0</v>
      </c>
      <c r="I12340" t="n">
        <v>0</v>
      </c>
      <c r="J12340" t="n">
        <v>0</v>
      </c>
      <c r="K12340" t="n">
        <v>0</v>
      </c>
      <c r="L12340" t="n">
        <v>0</v>
      </c>
      <c r="M12340" t="n">
        <v>0</v>
      </c>
      <c r="N12340" t="n">
        <v>0</v>
      </c>
      <c r="O12340" t="n">
        <v>0</v>
      </c>
      <c r="P12340" t="n">
        <v>0</v>
      </c>
      <c r="Q12340" t="n">
        <v>0</v>
      </c>
      <c r="R12340" s="2" t="inlineStr"/>
    </row>
    <row r="12341" ht="15" customHeight="1">
      <c r="A12341" t="inlineStr">
        <is>
          <t>A 37783-2023</t>
        </is>
      </c>
      <c r="B12341" s="1" t="n">
        <v>45159</v>
      </c>
      <c r="C12341" s="1" t="n">
        <v>45952</v>
      </c>
      <c r="D12341" t="inlineStr">
        <is>
          <t>VÄSTRA GÖTALANDS LÄN</t>
        </is>
      </c>
      <c r="E12341" t="inlineStr">
        <is>
          <t>FÄRGELANDA</t>
        </is>
      </c>
      <c r="G12341" t="n">
        <v>0.5</v>
      </c>
      <c r="H12341" t="n">
        <v>0</v>
      </c>
      <c r="I12341" t="n">
        <v>0</v>
      </c>
      <c r="J12341" t="n">
        <v>0</v>
      </c>
      <c r="K12341" t="n">
        <v>0</v>
      </c>
      <c r="L12341" t="n">
        <v>0</v>
      </c>
      <c r="M12341" t="n">
        <v>0</v>
      </c>
      <c r="N12341" t="n">
        <v>0</v>
      </c>
      <c r="O12341" t="n">
        <v>0</v>
      </c>
      <c r="P12341" t="n">
        <v>0</v>
      </c>
      <c r="Q12341" t="n">
        <v>0</v>
      </c>
      <c r="R12341" s="2" t="inlineStr"/>
    </row>
    <row r="12342" ht="15" customHeight="1">
      <c r="A12342" t="inlineStr">
        <is>
          <t>A 32268-2025</t>
        </is>
      </c>
      <c r="B12342" s="1" t="n">
        <v>45835.6525925926</v>
      </c>
      <c r="C12342" s="1" t="n">
        <v>45952</v>
      </c>
      <c r="D12342" t="inlineStr">
        <is>
          <t>VÄSTRA GÖTALANDS LÄN</t>
        </is>
      </c>
      <c r="E12342" t="inlineStr">
        <is>
          <t>BENGTSFORS</t>
        </is>
      </c>
      <c r="G12342" t="n">
        <v>1.4</v>
      </c>
      <c r="H12342" t="n">
        <v>0</v>
      </c>
      <c r="I12342" t="n">
        <v>0</v>
      </c>
      <c r="J12342" t="n">
        <v>0</v>
      </c>
      <c r="K12342" t="n">
        <v>0</v>
      </c>
      <c r="L12342" t="n">
        <v>0</v>
      </c>
      <c r="M12342" t="n">
        <v>0</v>
      </c>
      <c r="N12342" t="n">
        <v>0</v>
      </c>
      <c r="O12342" t="n">
        <v>0</v>
      </c>
      <c r="P12342" t="n">
        <v>0</v>
      </c>
      <c r="Q12342" t="n">
        <v>0</v>
      </c>
      <c r="R12342" s="2" t="inlineStr"/>
    </row>
    <row r="12343" ht="15" customHeight="1">
      <c r="A12343" t="inlineStr">
        <is>
          <t>A 31701-2025</t>
        </is>
      </c>
      <c r="B12343" s="1" t="n">
        <v>45834</v>
      </c>
      <c r="C12343" s="1" t="n">
        <v>45952</v>
      </c>
      <c r="D12343" t="inlineStr">
        <is>
          <t>VÄSTRA GÖTALANDS LÄN</t>
        </is>
      </c>
      <c r="E12343" t="inlineStr">
        <is>
          <t>KARLSBORG</t>
        </is>
      </c>
      <c r="G12343" t="n">
        <v>1.4</v>
      </c>
      <c r="H12343" t="n">
        <v>0</v>
      </c>
      <c r="I12343" t="n">
        <v>0</v>
      </c>
      <c r="J12343" t="n">
        <v>0</v>
      </c>
      <c r="K12343" t="n">
        <v>0</v>
      </c>
      <c r="L12343" t="n">
        <v>0</v>
      </c>
      <c r="M12343" t="n">
        <v>0</v>
      </c>
      <c r="N12343" t="n">
        <v>0</v>
      </c>
      <c r="O12343" t="n">
        <v>0</v>
      </c>
      <c r="P12343" t="n">
        <v>0</v>
      </c>
      <c r="Q12343" t="n">
        <v>0</v>
      </c>
      <c r="R12343" s="2" t="inlineStr"/>
    </row>
    <row r="12344" ht="15" customHeight="1">
      <c r="A12344" t="inlineStr">
        <is>
          <t>A 31984-2025</t>
        </is>
      </c>
      <c r="B12344" s="1" t="n">
        <v>45835.36079861111</v>
      </c>
      <c r="C12344" s="1" t="n">
        <v>45952</v>
      </c>
      <c r="D12344" t="inlineStr">
        <is>
          <t>VÄSTRA GÖTALANDS LÄN</t>
        </is>
      </c>
      <c r="E12344" t="inlineStr">
        <is>
          <t>FÄRGELANDA</t>
        </is>
      </c>
      <c r="G12344" t="n">
        <v>4.2</v>
      </c>
      <c r="H12344" t="n">
        <v>0</v>
      </c>
      <c r="I12344" t="n">
        <v>0</v>
      </c>
      <c r="J12344" t="n">
        <v>0</v>
      </c>
      <c r="K12344" t="n">
        <v>0</v>
      </c>
      <c r="L12344" t="n">
        <v>0</v>
      </c>
      <c r="M12344" t="n">
        <v>0</v>
      </c>
      <c r="N12344" t="n">
        <v>0</v>
      </c>
      <c r="O12344" t="n">
        <v>0</v>
      </c>
      <c r="P12344" t="n">
        <v>0</v>
      </c>
      <c r="Q12344" t="n">
        <v>0</v>
      </c>
      <c r="R12344" s="2" t="inlineStr"/>
    </row>
    <row r="12345" ht="15" customHeight="1">
      <c r="A12345" t="inlineStr">
        <is>
          <t>A 32013-2025</t>
        </is>
      </c>
      <c r="B12345" s="1" t="n">
        <v>45835.40056712963</v>
      </c>
      <c r="C12345" s="1" t="n">
        <v>45952</v>
      </c>
      <c r="D12345" t="inlineStr">
        <is>
          <t>VÄSTRA GÖTALANDS LÄN</t>
        </is>
      </c>
      <c r="E12345" t="inlineStr">
        <is>
          <t>FÄRGELANDA</t>
        </is>
      </c>
      <c r="G12345" t="n">
        <v>5.2</v>
      </c>
      <c r="H12345" t="n">
        <v>0</v>
      </c>
      <c r="I12345" t="n">
        <v>0</v>
      </c>
      <c r="J12345" t="n">
        <v>0</v>
      </c>
      <c r="K12345" t="n">
        <v>0</v>
      </c>
      <c r="L12345" t="n">
        <v>0</v>
      </c>
      <c r="M12345" t="n">
        <v>0</v>
      </c>
      <c r="N12345" t="n">
        <v>0</v>
      </c>
      <c r="O12345" t="n">
        <v>0</v>
      </c>
      <c r="P12345" t="n">
        <v>0</v>
      </c>
      <c r="Q12345" t="n">
        <v>0</v>
      </c>
      <c r="R12345" s="2" t="inlineStr"/>
    </row>
    <row r="12346" ht="15" customHeight="1">
      <c r="A12346" t="inlineStr">
        <is>
          <t>A 31959-2025</t>
        </is>
      </c>
      <c r="B12346" s="1" t="n">
        <v>45835.34372685185</v>
      </c>
      <c r="C12346" s="1" t="n">
        <v>45952</v>
      </c>
      <c r="D12346" t="inlineStr">
        <is>
          <t>VÄSTRA GÖTALANDS LÄN</t>
        </is>
      </c>
      <c r="E12346" t="inlineStr">
        <is>
          <t>SVENLJUNGA</t>
        </is>
      </c>
      <c r="G12346" t="n">
        <v>2.8</v>
      </c>
      <c r="H12346" t="n">
        <v>0</v>
      </c>
      <c r="I12346" t="n">
        <v>0</v>
      </c>
      <c r="J12346" t="n">
        <v>0</v>
      </c>
      <c r="K12346" t="n">
        <v>0</v>
      </c>
      <c r="L12346" t="n">
        <v>0</v>
      </c>
      <c r="M12346" t="n">
        <v>0</v>
      </c>
      <c r="N12346" t="n">
        <v>0</v>
      </c>
      <c r="O12346" t="n">
        <v>0</v>
      </c>
      <c r="P12346" t="n">
        <v>0</v>
      </c>
      <c r="Q12346" t="n">
        <v>0</v>
      </c>
      <c r="R12346" s="2" t="inlineStr"/>
    </row>
    <row r="12347" ht="15" customHeight="1">
      <c r="A12347" t="inlineStr">
        <is>
          <t>A 32561-2025</t>
        </is>
      </c>
      <c r="B12347" s="1" t="n">
        <v>45838.57253472223</v>
      </c>
      <c r="C12347" s="1" t="n">
        <v>45952</v>
      </c>
      <c r="D12347" t="inlineStr">
        <is>
          <t>VÄSTRA GÖTALANDS LÄN</t>
        </is>
      </c>
      <c r="E12347" t="inlineStr">
        <is>
          <t>TIDAHOLM</t>
        </is>
      </c>
      <c r="G12347" t="n">
        <v>2.5</v>
      </c>
      <c r="H12347" t="n">
        <v>0</v>
      </c>
      <c r="I12347" t="n">
        <v>0</v>
      </c>
      <c r="J12347" t="n">
        <v>0</v>
      </c>
      <c r="K12347" t="n">
        <v>0</v>
      </c>
      <c r="L12347" t="n">
        <v>0</v>
      </c>
      <c r="M12347" t="n">
        <v>0</v>
      </c>
      <c r="N12347" t="n">
        <v>0</v>
      </c>
      <c r="O12347" t="n">
        <v>0</v>
      </c>
      <c r="P12347" t="n">
        <v>0</v>
      </c>
      <c r="Q12347" t="n">
        <v>0</v>
      </c>
      <c r="R12347" s="2" t="inlineStr"/>
    </row>
    <row r="12348" ht="15" customHeight="1">
      <c r="A12348" t="inlineStr">
        <is>
          <t>A 15247-2024</t>
        </is>
      </c>
      <c r="B12348" s="1" t="n">
        <v>45400.51723379629</v>
      </c>
      <c r="C12348" s="1" t="n">
        <v>45952</v>
      </c>
      <c r="D12348" t="inlineStr">
        <is>
          <t>VÄSTRA GÖTALANDS LÄN</t>
        </is>
      </c>
      <c r="E12348" t="inlineStr">
        <is>
          <t>HERRLJUNGA</t>
        </is>
      </c>
      <c r="G12348" t="n">
        <v>0.7</v>
      </c>
      <c r="H12348" t="n">
        <v>0</v>
      </c>
      <c r="I12348" t="n">
        <v>0</v>
      </c>
      <c r="J12348" t="n">
        <v>0</v>
      </c>
      <c r="K12348" t="n">
        <v>0</v>
      </c>
      <c r="L12348" t="n">
        <v>0</v>
      </c>
      <c r="M12348" t="n">
        <v>0</v>
      </c>
      <c r="N12348" t="n">
        <v>0</v>
      </c>
      <c r="O12348" t="n">
        <v>0</v>
      </c>
      <c r="P12348" t="n">
        <v>0</v>
      </c>
      <c r="Q12348" t="n">
        <v>0</v>
      </c>
      <c r="R12348" s="2" t="inlineStr"/>
    </row>
    <row r="12349" ht="15" customHeight="1">
      <c r="A12349" t="inlineStr">
        <is>
          <t>A 32800-2025</t>
        </is>
      </c>
      <c r="B12349" s="1" t="n">
        <v>45839.49458333333</v>
      </c>
      <c r="C12349" s="1" t="n">
        <v>45952</v>
      </c>
      <c r="D12349" t="inlineStr">
        <is>
          <t>VÄSTRA GÖTALANDS LÄN</t>
        </is>
      </c>
      <c r="E12349" t="inlineStr">
        <is>
          <t>FÄRGELANDA</t>
        </is>
      </c>
      <c r="G12349" t="n">
        <v>8.4</v>
      </c>
      <c r="H12349" t="n">
        <v>0</v>
      </c>
      <c r="I12349" t="n">
        <v>0</v>
      </c>
      <c r="J12349" t="n">
        <v>0</v>
      </c>
      <c r="K12349" t="n">
        <v>0</v>
      </c>
      <c r="L12349" t="n">
        <v>0</v>
      </c>
      <c r="M12349" t="n">
        <v>0</v>
      </c>
      <c r="N12349" t="n">
        <v>0</v>
      </c>
      <c r="O12349" t="n">
        <v>0</v>
      </c>
      <c r="P12349" t="n">
        <v>0</v>
      </c>
      <c r="Q12349" t="n">
        <v>0</v>
      </c>
      <c r="R12349" s="2" t="inlineStr"/>
    </row>
    <row r="12350" ht="15" customHeight="1">
      <c r="A12350" t="inlineStr">
        <is>
          <t>A 32563-2025</t>
        </is>
      </c>
      <c r="B12350" s="1" t="n">
        <v>45838.57292824074</v>
      </c>
      <c r="C12350" s="1" t="n">
        <v>45952</v>
      </c>
      <c r="D12350" t="inlineStr">
        <is>
          <t>VÄSTRA GÖTALANDS LÄN</t>
        </is>
      </c>
      <c r="E12350" t="inlineStr">
        <is>
          <t>TIDAHOLM</t>
        </is>
      </c>
      <c r="G12350" t="n">
        <v>0.7</v>
      </c>
      <c r="H12350" t="n">
        <v>0</v>
      </c>
      <c r="I12350" t="n">
        <v>0</v>
      </c>
      <c r="J12350" t="n">
        <v>0</v>
      </c>
      <c r="K12350" t="n">
        <v>0</v>
      </c>
      <c r="L12350" t="n">
        <v>0</v>
      </c>
      <c r="M12350" t="n">
        <v>0</v>
      </c>
      <c r="N12350" t="n">
        <v>0</v>
      </c>
      <c r="O12350" t="n">
        <v>0</v>
      </c>
      <c r="P12350" t="n">
        <v>0</v>
      </c>
      <c r="Q12350" t="n">
        <v>0</v>
      </c>
      <c r="R12350" s="2" t="inlineStr"/>
    </row>
    <row r="12351" ht="15" customHeight="1">
      <c r="A12351" t="inlineStr">
        <is>
          <t>A 32610-2025</t>
        </is>
      </c>
      <c r="B12351" s="1" t="n">
        <v>45838.63467592592</v>
      </c>
      <c r="C12351" s="1" t="n">
        <v>45952</v>
      </c>
      <c r="D12351" t="inlineStr">
        <is>
          <t>VÄSTRA GÖTALANDS LÄN</t>
        </is>
      </c>
      <c r="E12351" t="inlineStr">
        <is>
          <t>ULRICEHAMN</t>
        </is>
      </c>
      <c r="F12351" t="inlineStr">
        <is>
          <t>Sveaskog</t>
        </is>
      </c>
      <c r="G12351" t="n">
        <v>8</v>
      </c>
      <c r="H12351" t="n">
        <v>0</v>
      </c>
      <c r="I12351" t="n">
        <v>0</v>
      </c>
      <c r="J12351" t="n">
        <v>0</v>
      </c>
      <c r="K12351" t="n">
        <v>0</v>
      </c>
      <c r="L12351" t="n">
        <v>0</v>
      </c>
      <c r="M12351" t="n">
        <v>0</v>
      </c>
      <c r="N12351" t="n">
        <v>0</v>
      </c>
      <c r="O12351" t="n">
        <v>0</v>
      </c>
      <c r="P12351" t="n">
        <v>0</v>
      </c>
      <c r="Q12351" t="n">
        <v>0</v>
      </c>
      <c r="R12351" s="2" t="inlineStr"/>
    </row>
    <row r="12352" ht="15" customHeight="1">
      <c r="A12352" t="inlineStr">
        <is>
          <t>A 32683-2025</t>
        </is>
      </c>
      <c r="B12352" s="1" t="n">
        <v>45838</v>
      </c>
      <c r="C12352" s="1" t="n">
        <v>45952</v>
      </c>
      <c r="D12352" t="inlineStr">
        <is>
          <t>VÄSTRA GÖTALANDS LÄN</t>
        </is>
      </c>
      <c r="E12352" t="inlineStr">
        <is>
          <t>TANUM</t>
        </is>
      </c>
      <c r="G12352" t="n">
        <v>2</v>
      </c>
      <c r="H12352" t="n">
        <v>0</v>
      </c>
      <c r="I12352" t="n">
        <v>0</v>
      </c>
      <c r="J12352" t="n">
        <v>0</v>
      </c>
      <c r="K12352" t="n">
        <v>0</v>
      </c>
      <c r="L12352" t="n">
        <v>0</v>
      </c>
      <c r="M12352" t="n">
        <v>0</v>
      </c>
      <c r="N12352" t="n">
        <v>0</v>
      </c>
      <c r="O12352" t="n">
        <v>0</v>
      </c>
      <c r="P12352" t="n">
        <v>0</v>
      </c>
      <c r="Q12352" t="n">
        <v>0</v>
      </c>
      <c r="R12352" s="2" t="inlineStr"/>
    </row>
    <row r="12353" ht="15" customHeight="1">
      <c r="A12353" t="inlineStr">
        <is>
          <t>A 20724-2023</t>
        </is>
      </c>
      <c r="B12353" s="1" t="n">
        <v>45058.47872685185</v>
      </c>
      <c r="C12353" s="1" t="n">
        <v>45952</v>
      </c>
      <c r="D12353" t="inlineStr">
        <is>
          <t>VÄSTRA GÖTALANDS LÄN</t>
        </is>
      </c>
      <c r="E12353" t="inlineStr">
        <is>
          <t>BORÅS</t>
        </is>
      </c>
      <c r="G12353" t="n">
        <v>0.5</v>
      </c>
      <c r="H12353" t="n">
        <v>0</v>
      </c>
      <c r="I12353" t="n">
        <v>0</v>
      </c>
      <c r="J12353" t="n">
        <v>0</v>
      </c>
      <c r="K12353" t="n">
        <v>0</v>
      </c>
      <c r="L12353" t="n">
        <v>0</v>
      </c>
      <c r="M12353" t="n">
        <v>0</v>
      </c>
      <c r="N12353" t="n">
        <v>0</v>
      </c>
      <c r="O12353" t="n">
        <v>0</v>
      </c>
      <c r="P12353" t="n">
        <v>0</v>
      </c>
      <c r="Q12353" t="n">
        <v>0</v>
      </c>
      <c r="R12353" s="2" t="inlineStr"/>
    </row>
    <row r="12354" ht="15" customHeight="1">
      <c r="A12354" t="inlineStr">
        <is>
          <t>A 50945-2023</t>
        </is>
      </c>
      <c r="B12354" s="1" t="n">
        <v>45210</v>
      </c>
      <c r="C12354" s="1" t="n">
        <v>45952</v>
      </c>
      <c r="D12354" t="inlineStr">
        <is>
          <t>VÄSTRA GÖTALANDS LÄN</t>
        </is>
      </c>
      <c r="E12354" t="inlineStr">
        <is>
          <t>VÅRGÅRDA</t>
        </is>
      </c>
      <c r="F12354" t="inlineStr">
        <is>
          <t>Allmännings- och besparingsskogar</t>
        </is>
      </c>
      <c r="G12354" t="n">
        <v>1.8</v>
      </c>
      <c r="H12354" t="n">
        <v>0</v>
      </c>
      <c r="I12354" t="n">
        <v>0</v>
      </c>
      <c r="J12354" t="n">
        <v>0</v>
      </c>
      <c r="K12354" t="n">
        <v>0</v>
      </c>
      <c r="L12354" t="n">
        <v>0</v>
      </c>
      <c r="M12354" t="n">
        <v>0</v>
      </c>
      <c r="N12354" t="n">
        <v>0</v>
      </c>
      <c r="O12354" t="n">
        <v>0</v>
      </c>
      <c r="P12354" t="n">
        <v>0</v>
      </c>
      <c r="Q12354" t="n">
        <v>0</v>
      </c>
      <c r="R12354" s="2" t="inlineStr"/>
    </row>
    <row r="12355" ht="15" customHeight="1">
      <c r="A12355" t="inlineStr">
        <is>
          <t>A 32684-2025</t>
        </is>
      </c>
      <c r="B12355" s="1" t="n">
        <v>45837</v>
      </c>
      <c r="C12355" s="1" t="n">
        <v>45952</v>
      </c>
      <c r="D12355" t="inlineStr">
        <is>
          <t>VÄSTRA GÖTALANDS LÄN</t>
        </is>
      </c>
      <c r="E12355" t="inlineStr">
        <is>
          <t>TANUM</t>
        </is>
      </c>
      <c r="G12355" t="n">
        <v>7.2</v>
      </c>
      <c r="H12355" t="n">
        <v>0</v>
      </c>
      <c r="I12355" t="n">
        <v>0</v>
      </c>
      <c r="J12355" t="n">
        <v>0</v>
      </c>
      <c r="K12355" t="n">
        <v>0</v>
      </c>
      <c r="L12355" t="n">
        <v>0</v>
      </c>
      <c r="M12355" t="n">
        <v>0</v>
      </c>
      <c r="N12355" t="n">
        <v>0</v>
      </c>
      <c r="O12355" t="n">
        <v>0</v>
      </c>
      <c r="P12355" t="n">
        <v>0</v>
      </c>
      <c r="Q12355" t="n">
        <v>0</v>
      </c>
      <c r="R12355" s="2" t="inlineStr"/>
    </row>
    <row r="12356" ht="15" customHeight="1">
      <c r="A12356" t="inlineStr">
        <is>
          <t>A 32785-2025</t>
        </is>
      </c>
      <c r="B12356" s="1" t="n">
        <v>45839.48150462963</v>
      </c>
      <c r="C12356" s="1" t="n">
        <v>45952</v>
      </c>
      <c r="D12356" t="inlineStr">
        <is>
          <t>VÄSTRA GÖTALANDS LÄN</t>
        </is>
      </c>
      <c r="E12356" t="inlineStr">
        <is>
          <t>FÄRGELANDA</t>
        </is>
      </c>
      <c r="G12356" t="n">
        <v>4.1</v>
      </c>
      <c r="H12356" t="n">
        <v>0</v>
      </c>
      <c r="I12356" t="n">
        <v>0</v>
      </c>
      <c r="J12356" t="n">
        <v>0</v>
      </c>
      <c r="K12356" t="n">
        <v>0</v>
      </c>
      <c r="L12356" t="n">
        <v>0</v>
      </c>
      <c r="M12356" t="n">
        <v>0</v>
      </c>
      <c r="N12356" t="n">
        <v>0</v>
      </c>
      <c r="O12356" t="n">
        <v>0</v>
      </c>
      <c r="P12356" t="n">
        <v>0</v>
      </c>
      <c r="Q12356" t="n">
        <v>0</v>
      </c>
      <c r="R12356" s="2" t="inlineStr"/>
    </row>
    <row r="12357" ht="15" customHeight="1">
      <c r="A12357" t="inlineStr">
        <is>
          <t>A 32665-2025</t>
        </is>
      </c>
      <c r="B12357" s="1" t="n">
        <v>45838</v>
      </c>
      <c r="C12357" s="1" t="n">
        <v>45952</v>
      </c>
      <c r="D12357" t="inlineStr">
        <is>
          <t>VÄSTRA GÖTALANDS LÄN</t>
        </is>
      </c>
      <c r="E12357" t="inlineStr">
        <is>
          <t>GRÄSTORP</t>
        </is>
      </c>
      <c r="G12357" t="n">
        <v>1.3</v>
      </c>
      <c r="H12357" t="n">
        <v>0</v>
      </c>
      <c r="I12357" t="n">
        <v>0</v>
      </c>
      <c r="J12357" t="n">
        <v>0</v>
      </c>
      <c r="K12357" t="n">
        <v>0</v>
      </c>
      <c r="L12357" t="n">
        <v>0</v>
      </c>
      <c r="M12357" t="n">
        <v>0</v>
      </c>
      <c r="N12357" t="n">
        <v>0</v>
      </c>
      <c r="O12357" t="n">
        <v>0</v>
      </c>
      <c r="P12357" t="n">
        <v>0</v>
      </c>
      <c r="Q12357" t="n">
        <v>0</v>
      </c>
      <c r="R12357" s="2" t="inlineStr"/>
    </row>
    <row r="12358" ht="15" customHeight="1">
      <c r="A12358" t="inlineStr">
        <is>
          <t>A 32842-2025</t>
        </is>
      </c>
      <c r="B12358" s="1" t="n">
        <v>45839.56862268518</v>
      </c>
      <c r="C12358" s="1" t="n">
        <v>45952</v>
      </c>
      <c r="D12358" t="inlineStr">
        <is>
          <t>VÄSTRA GÖTALANDS LÄN</t>
        </is>
      </c>
      <c r="E12358" t="inlineStr">
        <is>
          <t>MELLERUD</t>
        </is>
      </c>
      <c r="G12358" t="n">
        <v>6.1</v>
      </c>
      <c r="H12358" t="n">
        <v>0</v>
      </c>
      <c r="I12358" t="n">
        <v>0</v>
      </c>
      <c r="J12358" t="n">
        <v>0</v>
      </c>
      <c r="K12358" t="n">
        <v>0</v>
      </c>
      <c r="L12358" t="n">
        <v>0</v>
      </c>
      <c r="M12358" t="n">
        <v>0</v>
      </c>
      <c r="N12358" t="n">
        <v>0</v>
      </c>
      <c r="O12358" t="n">
        <v>0</v>
      </c>
      <c r="P12358" t="n">
        <v>0</v>
      </c>
      <c r="Q12358" t="n">
        <v>0</v>
      </c>
      <c r="R12358" s="2" t="inlineStr"/>
    </row>
    <row r="12359" ht="15" customHeight="1">
      <c r="A12359" t="inlineStr">
        <is>
          <t>A 32844-2025</t>
        </is>
      </c>
      <c r="B12359" s="1" t="n">
        <v>45839.57116898148</v>
      </c>
      <c r="C12359" s="1" t="n">
        <v>45952</v>
      </c>
      <c r="D12359" t="inlineStr">
        <is>
          <t>VÄSTRA GÖTALANDS LÄN</t>
        </is>
      </c>
      <c r="E12359" t="inlineStr">
        <is>
          <t>SKARA</t>
        </is>
      </c>
      <c r="G12359" t="n">
        <v>1.6</v>
      </c>
      <c r="H12359" t="n">
        <v>0</v>
      </c>
      <c r="I12359" t="n">
        <v>0</v>
      </c>
      <c r="J12359" t="n">
        <v>0</v>
      </c>
      <c r="K12359" t="n">
        <v>0</v>
      </c>
      <c r="L12359" t="n">
        <v>0</v>
      </c>
      <c r="M12359" t="n">
        <v>0</v>
      </c>
      <c r="N12359" t="n">
        <v>0</v>
      </c>
      <c r="O12359" t="n">
        <v>0</v>
      </c>
      <c r="P12359" t="n">
        <v>0</v>
      </c>
      <c r="Q12359" t="n">
        <v>0</v>
      </c>
      <c r="R12359" s="2" t="inlineStr"/>
    </row>
    <row r="12360" ht="15" customHeight="1">
      <c r="A12360" t="inlineStr">
        <is>
          <t>A 5022-2022</t>
        </is>
      </c>
      <c r="B12360" s="1" t="n">
        <v>44593.63106481481</v>
      </c>
      <c r="C12360" s="1" t="n">
        <v>45952</v>
      </c>
      <c r="D12360" t="inlineStr">
        <is>
          <t>VÄSTRA GÖTALANDS LÄN</t>
        </is>
      </c>
      <c r="E12360" t="inlineStr">
        <is>
          <t>TRANEMO</t>
        </is>
      </c>
      <c r="G12360" t="n">
        <v>4.3</v>
      </c>
      <c r="H12360" t="n">
        <v>0</v>
      </c>
      <c r="I12360" t="n">
        <v>0</v>
      </c>
      <c r="J12360" t="n">
        <v>0</v>
      </c>
      <c r="K12360" t="n">
        <v>0</v>
      </c>
      <c r="L12360" t="n">
        <v>0</v>
      </c>
      <c r="M12360" t="n">
        <v>0</v>
      </c>
      <c r="N12360" t="n">
        <v>0</v>
      </c>
      <c r="O12360" t="n">
        <v>0</v>
      </c>
      <c r="P12360" t="n">
        <v>0</v>
      </c>
      <c r="Q12360" t="n">
        <v>0</v>
      </c>
      <c r="R12360" s="2" t="inlineStr"/>
    </row>
    <row r="12361" ht="15" customHeight="1">
      <c r="A12361" t="inlineStr">
        <is>
          <t>A 32649-2025</t>
        </is>
      </c>
      <c r="B12361" s="1" t="n">
        <v>45838.67418981482</v>
      </c>
      <c r="C12361" s="1" t="n">
        <v>45952</v>
      </c>
      <c r="D12361" t="inlineStr">
        <is>
          <t>VÄSTRA GÖTALANDS LÄN</t>
        </is>
      </c>
      <c r="E12361" t="inlineStr">
        <is>
          <t>MARK</t>
        </is>
      </c>
      <c r="G12361" t="n">
        <v>2</v>
      </c>
      <c r="H12361" t="n">
        <v>0</v>
      </c>
      <c r="I12361" t="n">
        <v>0</v>
      </c>
      <c r="J12361" t="n">
        <v>0</v>
      </c>
      <c r="K12361" t="n">
        <v>0</v>
      </c>
      <c r="L12361" t="n">
        <v>0</v>
      </c>
      <c r="M12361" t="n">
        <v>0</v>
      </c>
      <c r="N12361" t="n">
        <v>0</v>
      </c>
      <c r="O12361" t="n">
        <v>0</v>
      </c>
      <c r="P12361" t="n">
        <v>0</v>
      </c>
      <c r="Q12361" t="n">
        <v>0</v>
      </c>
      <c r="R12361" s="2" t="inlineStr"/>
    </row>
    <row r="12362" ht="15" customHeight="1">
      <c r="A12362" t="inlineStr">
        <is>
          <t>A 32469-2025</t>
        </is>
      </c>
      <c r="B12362" s="1" t="n">
        <v>45838.42524305556</v>
      </c>
      <c r="C12362" s="1" t="n">
        <v>45952</v>
      </c>
      <c r="D12362" t="inlineStr">
        <is>
          <t>VÄSTRA GÖTALANDS LÄN</t>
        </is>
      </c>
      <c r="E12362" t="inlineStr">
        <is>
          <t>MARK</t>
        </is>
      </c>
      <c r="G12362" t="n">
        <v>3.4</v>
      </c>
      <c r="H12362" t="n">
        <v>0</v>
      </c>
      <c r="I12362" t="n">
        <v>0</v>
      </c>
      <c r="J12362" t="n">
        <v>0</v>
      </c>
      <c r="K12362" t="n">
        <v>0</v>
      </c>
      <c r="L12362" t="n">
        <v>0</v>
      </c>
      <c r="M12362" t="n">
        <v>0</v>
      </c>
      <c r="N12362" t="n">
        <v>0</v>
      </c>
      <c r="O12362" t="n">
        <v>0</v>
      </c>
      <c r="P12362" t="n">
        <v>0</v>
      </c>
      <c r="Q12362" t="n">
        <v>0</v>
      </c>
      <c r="R12362" s="2" t="inlineStr"/>
    </row>
    <row r="12363" ht="15" customHeight="1">
      <c r="A12363" t="inlineStr">
        <is>
          <t>A 8849-2022</t>
        </is>
      </c>
      <c r="B12363" s="1" t="n">
        <v>44614</v>
      </c>
      <c r="C12363" s="1" t="n">
        <v>45952</v>
      </c>
      <c r="D12363" t="inlineStr">
        <is>
          <t>VÄSTRA GÖTALANDS LÄN</t>
        </is>
      </c>
      <c r="E12363" t="inlineStr">
        <is>
          <t>MARIESTAD</t>
        </is>
      </c>
      <c r="F12363" t="inlineStr">
        <is>
          <t>Kyrkan</t>
        </is>
      </c>
      <c r="G12363" t="n">
        <v>3.3</v>
      </c>
      <c r="H12363" t="n">
        <v>0</v>
      </c>
      <c r="I12363" t="n">
        <v>0</v>
      </c>
      <c r="J12363" t="n">
        <v>0</v>
      </c>
      <c r="K12363" t="n">
        <v>0</v>
      </c>
      <c r="L12363" t="n">
        <v>0</v>
      </c>
      <c r="M12363" t="n">
        <v>0</v>
      </c>
      <c r="N12363" t="n">
        <v>0</v>
      </c>
      <c r="O12363" t="n">
        <v>0</v>
      </c>
      <c r="P12363" t="n">
        <v>0</v>
      </c>
      <c r="Q12363" t="n">
        <v>0</v>
      </c>
      <c r="R12363" s="2" t="inlineStr"/>
    </row>
    <row r="12364" ht="15" customHeight="1">
      <c r="A12364" t="inlineStr">
        <is>
          <t>A 32731-2025</t>
        </is>
      </c>
      <c r="B12364" s="1" t="n">
        <v>45839.40396990741</v>
      </c>
      <c r="C12364" s="1" t="n">
        <v>45952</v>
      </c>
      <c r="D12364" t="inlineStr">
        <is>
          <t>VÄSTRA GÖTALANDS LÄN</t>
        </is>
      </c>
      <c r="E12364" t="inlineStr">
        <is>
          <t>TANUM</t>
        </is>
      </c>
      <c r="G12364" t="n">
        <v>6.8</v>
      </c>
      <c r="H12364" t="n">
        <v>0</v>
      </c>
      <c r="I12364" t="n">
        <v>0</v>
      </c>
      <c r="J12364" t="n">
        <v>0</v>
      </c>
      <c r="K12364" t="n">
        <v>0</v>
      </c>
      <c r="L12364" t="n">
        <v>0</v>
      </c>
      <c r="M12364" t="n">
        <v>0</v>
      </c>
      <c r="N12364" t="n">
        <v>0</v>
      </c>
      <c r="O12364" t="n">
        <v>0</v>
      </c>
      <c r="P12364" t="n">
        <v>0</v>
      </c>
      <c r="Q12364" t="n">
        <v>0</v>
      </c>
      <c r="R12364" s="2" t="inlineStr"/>
    </row>
    <row r="12365" ht="15" customHeight="1">
      <c r="A12365" t="inlineStr">
        <is>
          <t>A 32509-2025</t>
        </is>
      </c>
      <c r="B12365" s="1" t="n">
        <v>45838.4722800926</v>
      </c>
      <c r="C12365" s="1" t="n">
        <v>45952</v>
      </c>
      <c r="D12365" t="inlineStr">
        <is>
          <t>VÄSTRA GÖTALANDS LÄN</t>
        </is>
      </c>
      <c r="E12365" t="inlineStr">
        <is>
          <t>BOLLEBYGD</t>
        </is>
      </c>
      <c r="G12365" t="n">
        <v>3.6</v>
      </c>
      <c r="H12365" t="n">
        <v>0</v>
      </c>
      <c r="I12365" t="n">
        <v>0</v>
      </c>
      <c r="J12365" t="n">
        <v>0</v>
      </c>
      <c r="K12365" t="n">
        <v>0</v>
      </c>
      <c r="L12365" t="n">
        <v>0</v>
      </c>
      <c r="M12365" t="n">
        <v>0</v>
      </c>
      <c r="N12365" t="n">
        <v>0</v>
      </c>
      <c r="O12365" t="n">
        <v>0</v>
      </c>
      <c r="P12365" t="n">
        <v>0</v>
      </c>
      <c r="Q12365" t="n">
        <v>0</v>
      </c>
      <c r="R12365" s="2" t="inlineStr"/>
    </row>
    <row r="12366" ht="15" customHeight="1">
      <c r="A12366" t="inlineStr">
        <is>
          <t>A 6550-2021</t>
        </is>
      </c>
      <c r="B12366" s="1" t="n">
        <v>44236</v>
      </c>
      <c r="C12366" s="1" t="n">
        <v>45952</v>
      </c>
      <c r="D12366" t="inlineStr">
        <is>
          <t>VÄSTRA GÖTALANDS LÄN</t>
        </is>
      </c>
      <c r="E12366" t="inlineStr">
        <is>
          <t>VÄNERSBORG</t>
        </is>
      </c>
      <c r="G12366" t="n">
        <v>2.1</v>
      </c>
      <c r="H12366" t="n">
        <v>0</v>
      </c>
      <c r="I12366" t="n">
        <v>0</v>
      </c>
      <c r="J12366" t="n">
        <v>0</v>
      </c>
      <c r="K12366" t="n">
        <v>0</v>
      </c>
      <c r="L12366" t="n">
        <v>0</v>
      </c>
      <c r="M12366" t="n">
        <v>0</v>
      </c>
      <c r="N12366" t="n">
        <v>0</v>
      </c>
      <c r="O12366" t="n">
        <v>0</v>
      </c>
      <c r="P12366" t="n">
        <v>0</v>
      </c>
      <c r="Q12366" t="n">
        <v>0</v>
      </c>
      <c r="R12366" s="2" t="inlineStr"/>
    </row>
    <row r="12367" ht="15" customHeight="1">
      <c r="A12367" t="inlineStr">
        <is>
          <t>A 41923-2024</t>
        </is>
      </c>
      <c r="B12367" s="1" t="n">
        <v>45561</v>
      </c>
      <c r="C12367" s="1" t="n">
        <v>45952</v>
      </c>
      <c r="D12367" t="inlineStr">
        <is>
          <t>VÄSTRA GÖTALANDS LÄN</t>
        </is>
      </c>
      <c r="E12367" t="inlineStr">
        <is>
          <t>KARLSBORG</t>
        </is>
      </c>
      <c r="G12367" t="n">
        <v>2.8</v>
      </c>
      <c r="H12367" t="n">
        <v>0</v>
      </c>
      <c r="I12367" t="n">
        <v>0</v>
      </c>
      <c r="J12367" t="n">
        <v>0</v>
      </c>
      <c r="K12367" t="n">
        <v>0</v>
      </c>
      <c r="L12367" t="n">
        <v>0</v>
      </c>
      <c r="M12367" t="n">
        <v>0</v>
      </c>
      <c r="N12367" t="n">
        <v>0</v>
      </c>
      <c r="O12367" t="n">
        <v>0</v>
      </c>
      <c r="P12367" t="n">
        <v>0</v>
      </c>
      <c r="Q12367" t="n">
        <v>0</v>
      </c>
      <c r="R12367" s="2" t="inlineStr"/>
    </row>
    <row r="12368" ht="15" customHeight="1">
      <c r="A12368" t="inlineStr">
        <is>
          <t>A 14397-2024</t>
        </is>
      </c>
      <c r="B12368" s="1" t="n">
        <v>45394.39236111111</v>
      </c>
      <c r="C12368" s="1" t="n">
        <v>45952</v>
      </c>
      <c r="D12368" t="inlineStr">
        <is>
          <t>VÄSTRA GÖTALANDS LÄN</t>
        </is>
      </c>
      <c r="E12368" t="inlineStr">
        <is>
          <t>BENGTSFORS</t>
        </is>
      </c>
      <c r="G12368" t="n">
        <v>1.4</v>
      </c>
      <c r="H12368" t="n">
        <v>0</v>
      </c>
      <c r="I12368" t="n">
        <v>0</v>
      </c>
      <c r="J12368" t="n">
        <v>0</v>
      </c>
      <c r="K12368" t="n">
        <v>0</v>
      </c>
      <c r="L12368" t="n">
        <v>0</v>
      </c>
      <c r="M12368" t="n">
        <v>0</v>
      </c>
      <c r="N12368" t="n">
        <v>0</v>
      </c>
      <c r="O12368" t="n">
        <v>0</v>
      </c>
      <c r="P12368" t="n">
        <v>0</v>
      </c>
      <c r="Q12368" t="n">
        <v>0</v>
      </c>
      <c r="R12368" s="2" t="inlineStr"/>
    </row>
    <row r="12369" ht="15" customHeight="1">
      <c r="A12369" t="inlineStr">
        <is>
          <t>A 7648-2023</t>
        </is>
      </c>
      <c r="B12369" s="1" t="n">
        <v>44972.59789351852</v>
      </c>
      <c r="C12369" s="1" t="n">
        <v>45952</v>
      </c>
      <c r="D12369" t="inlineStr">
        <is>
          <t>VÄSTRA GÖTALANDS LÄN</t>
        </is>
      </c>
      <c r="E12369" t="inlineStr">
        <is>
          <t>TIDAHOLM</t>
        </is>
      </c>
      <c r="G12369" t="n">
        <v>2.1</v>
      </c>
      <c r="H12369" t="n">
        <v>0</v>
      </c>
      <c r="I12369" t="n">
        <v>0</v>
      </c>
      <c r="J12369" t="n">
        <v>0</v>
      </c>
      <c r="K12369" t="n">
        <v>0</v>
      </c>
      <c r="L12369" t="n">
        <v>0</v>
      </c>
      <c r="M12369" t="n">
        <v>0</v>
      </c>
      <c r="N12369" t="n">
        <v>0</v>
      </c>
      <c r="O12369" t="n">
        <v>0</v>
      </c>
      <c r="P12369" t="n">
        <v>0</v>
      </c>
      <c r="Q12369" t="n">
        <v>0</v>
      </c>
      <c r="R12369" s="2" t="inlineStr"/>
    </row>
    <row r="12370" ht="15" customHeight="1">
      <c r="A12370" t="inlineStr">
        <is>
          <t>A 38103-2023</t>
        </is>
      </c>
      <c r="B12370" s="1" t="n">
        <v>45161</v>
      </c>
      <c r="C12370" s="1" t="n">
        <v>45952</v>
      </c>
      <c r="D12370" t="inlineStr">
        <is>
          <t>VÄSTRA GÖTALANDS LÄN</t>
        </is>
      </c>
      <c r="E12370" t="inlineStr">
        <is>
          <t>KARLSBORG</t>
        </is>
      </c>
      <c r="G12370" t="n">
        <v>1.5</v>
      </c>
      <c r="H12370" t="n">
        <v>0</v>
      </c>
      <c r="I12370" t="n">
        <v>0</v>
      </c>
      <c r="J12370" t="n">
        <v>0</v>
      </c>
      <c r="K12370" t="n">
        <v>0</v>
      </c>
      <c r="L12370" t="n">
        <v>0</v>
      </c>
      <c r="M12370" t="n">
        <v>0</v>
      </c>
      <c r="N12370" t="n">
        <v>0</v>
      </c>
      <c r="O12370" t="n">
        <v>0</v>
      </c>
      <c r="P12370" t="n">
        <v>0</v>
      </c>
      <c r="Q12370" t="n">
        <v>0</v>
      </c>
      <c r="R12370" s="2" t="inlineStr"/>
    </row>
    <row r="12371" ht="15" customHeight="1">
      <c r="A12371" t="inlineStr">
        <is>
          <t>A 25004-2023</t>
        </is>
      </c>
      <c r="B12371" s="1" t="n">
        <v>45085</v>
      </c>
      <c r="C12371" s="1" t="n">
        <v>45952</v>
      </c>
      <c r="D12371" t="inlineStr">
        <is>
          <t>VÄSTRA GÖTALANDS LÄN</t>
        </is>
      </c>
      <c r="E12371" t="inlineStr">
        <is>
          <t>TANUM</t>
        </is>
      </c>
      <c r="G12371" t="n">
        <v>1.1</v>
      </c>
      <c r="H12371" t="n">
        <v>0</v>
      </c>
      <c r="I12371" t="n">
        <v>0</v>
      </c>
      <c r="J12371" t="n">
        <v>0</v>
      </c>
      <c r="K12371" t="n">
        <v>0</v>
      </c>
      <c r="L12371" t="n">
        <v>0</v>
      </c>
      <c r="M12371" t="n">
        <v>0</v>
      </c>
      <c r="N12371" t="n">
        <v>0</v>
      </c>
      <c r="O12371" t="n">
        <v>0</v>
      </c>
      <c r="P12371" t="n">
        <v>0</v>
      </c>
      <c r="Q12371" t="n">
        <v>0</v>
      </c>
      <c r="R12371" s="2" t="inlineStr"/>
    </row>
    <row r="12372" ht="15" customHeight="1">
      <c r="A12372" t="inlineStr">
        <is>
          <t>A 46294-2023</t>
        </is>
      </c>
      <c r="B12372" s="1" t="n">
        <v>45197</v>
      </c>
      <c r="C12372" s="1" t="n">
        <v>45952</v>
      </c>
      <c r="D12372" t="inlineStr">
        <is>
          <t>VÄSTRA GÖTALANDS LÄN</t>
        </is>
      </c>
      <c r="E12372" t="inlineStr">
        <is>
          <t>TANUM</t>
        </is>
      </c>
      <c r="G12372" t="n">
        <v>1.1</v>
      </c>
      <c r="H12372" t="n">
        <v>0</v>
      </c>
      <c r="I12372" t="n">
        <v>0</v>
      </c>
      <c r="J12372" t="n">
        <v>0</v>
      </c>
      <c r="K12372" t="n">
        <v>0</v>
      </c>
      <c r="L12372" t="n">
        <v>0</v>
      </c>
      <c r="M12372" t="n">
        <v>0</v>
      </c>
      <c r="N12372" t="n">
        <v>0</v>
      </c>
      <c r="O12372" t="n">
        <v>0</v>
      </c>
      <c r="P12372" t="n">
        <v>0</v>
      </c>
      <c r="Q12372" t="n">
        <v>0</v>
      </c>
      <c r="R12372" s="2" t="inlineStr"/>
      <c r="U12372">
        <f>HYPERLINK("https://klasma.github.io/Logging_1435/knärot/A 46294-2023 karta knärot.png", "A 46294-2023")</f>
        <v/>
      </c>
      <c r="V12372">
        <f>HYPERLINK("https://klasma.github.io/Logging_1435/klagomål/A 46294-2023 FSC-klagomål.docx", "A 46294-2023")</f>
        <v/>
      </c>
      <c r="W12372">
        <f>HYPERLINK("https://klasma.github.io/Logging_1435/klagomålsmail/A 46294-2023 FSC-klagomål mail.docx", "A 46294-2023")</f>
        <v/>
      </c>
      <c r="X12372">
        <f>HYPERLINK("https://klasma.github.io/Logging_1435/tillsyn/A 46294-2023 tillsynsbegäran.docx", "A 46294-2023")</f>
        <v/>
      </c>
      <c r="Y12372">
        <f>HYPERLINK("https://klasma.github.io/Logging_1435/tillsynsmail/A 46294-2023 tillsynsbegäran mail.docx", "A 46294-2023")</f>
        <v/>
      </c>
    </row>
    <row r="12373" ht="15" customHeight="1">
      <c r="A12373" t="inlineStr">
        <is>
          <t>A 7730-2023</t>
        </is>
      </c>
      <c r="B12373" s="1" t="n">
        <v>44973.31143518518</v>
      </c>
      <c r="C12373" s="1" t="n">
        <v>45952</v>
      </c>
      <c r="D12373" t="inlineStr">
        <is>
          <t>VÄSTRA GÖTALANDS LÄN</t>
        </is>
      </c>
      <c r="E12373" t="inlineStr">
        <is>
          <t>TROLLHÄTTAN</t>
        </is>
      </c>
      <c r="G12373" t="n">
        <v>1.3</v>
      </c>
      <c r="H12373" t="n">
        <v>0</v>
      </c>
      <c r="I12373" t="n">
        <v>0</v>
      </c>
      <c r="J12373" t="n">
        <v>0</v>
      </c>
      <c r="K12373" t="n">
        <v>0</v>
      </c>
      <c r="L12373" t="n">
        <v>0</v>
      </c>
      <c r="M12373" t="n">
        <v>0</v>
      </c>
      <c r="N12373" t="n">
        <v>0</v>
      </c>
      <c r="O12373" t="n">
        <v>0</v>
      </c>
      <c r="P12373" t="n">
        <v>0</v>
      </c>
      <c r="Q12373" t="n">
        <v>0</v>
      </c>
      <c r="R12373" s="2" t="inlineStr"/>
    </row>
    <row r="12374" ht="15" customHeight="1">
      <c r="A12374" t="inlineStr">
        <is>
          <t>A 38799-2022</t>
        </is>
      </c>
      <c r="B12374" s="1" t="n">
        <v>44813</v>
      </c>
      <c r="C12374" s="1" t="n">
        <v>45952</v>
      </c>
      <c r="D12374" t="inlineStr">
        <is>
          <t>VÄSTRA GÖTALANDS LÄN</t>
        </is>
      </c>
      <c r="E12374" t="inlineStr">
        <is>
          <t>MARK</t>
        </is>
      </c>
      <c r="G12374" t="n">
        <v>3.8</v>
      </c>
      <c r="H12374" t="n">
        <v>0</v>
      </c>
      <c r="I12374" t="n">
        <v>0</v>
      </c>
      <c r="J12374" t="n">
        <v>0</v>
      </c>
      <c r="K12374" t="n">
        <v>0</v>
      </c>
      <c r="L12374" t="n">
        <v>0</v>
      </c>
      <c r="M12374" t="n">
        <v>0</v>
      </c>
      <c r="N12374" t="n">
        <v>0</v>
      </c>
      <c r="O12374" t="n">
        <v>0</v>
      </c>
      <c r="P12374" t="n">
        <v>0</v>
      </c>
      <c r="Q12374" t="n">
        <v>0</v>
      </c>
      <c r="R12374" s="2" t="inlineStr"/>
    </row>
    <row r="12375" ht="15" customHeight="1">
      <c r="A12375" t="inlineStr">
        <is>
          <t>A 38817-2022</t>
        </is>
      </c>
      <c r="B12375" s="1" t="n">
        <v>44816.47021990741</v>
      </c>
      <c r="C12375" s="1" t="n">
        <v>45952</v>
      </c>
      <c r="D12375" t="inlineStr">
        <is>
          <t>VÄSTRA GÖTALANDS LÄN</t>
        </is>
      </c>
      <c r="E12375" t="inlineStr">
        <is>
          <t>MARIESTAD</t>
        </is>
      </c>
      <c r="G12375" t="n">
        <v>3.4</v>
      </c>
      <c r="H12375" t="n">
        <v>0</v>
      </c>
      <c r="I12375" t="n">
        <v>0</v>
      </c>
      <c r="J12375" t="n">
        <v>0</v>
      </c>
      <c r="K12375" t="n">
        <v>0</v>
      </c>
      <c r="L12375" t="n">
        <v>0</v>
      </c>
      <c r="M12375" t="n">
        <v>0</v>
      </c>
      <c r="N12375" t="n">
        <v>0</v>
      </c>
      <c r="O12375" t="n">
        <v>0</v>
      </c>
      <c r="P12375" t="n">
        <v>0</v>
      </c>
      <c r="Q12375" t="n">
        <v>0</v>
      </c>
      <c r="R12375" s="2" t="inlineStr"/>
    </row>
    <row r="12376" ht="15" customHeight="1">
      <c r="A12376" t="inlineStr">
        <is>
          <t>A 46312-2023</t>
        </is>
      </c>
      <c r="B12376" s="1" t="n">
        <v>45197.36021990741</v>
      </c>
      <c r="C12376" s="1" t="n">
        <v>45952</v>
      </c>
      <c r="D12376" t="inlineStr">
        <is>
          <t>VÄSTRA GÖTALANDS LÄN</t>
        </is>
      </c>
      <c r="E12376" t="inlineStr">
        <is>
          <t>FALKÖPING</t>
        </is>
      </c>
      <c r="G12376" t="n">
        <v>1.9</v>
      </c>
      <c r="H12376" t="n">
        <v>0</v>
      </c>
      <c r="I12376" t="n">
        <v>0</v>
      </c>
      <c r="J12376" t="n">
        <v>0</v>
      </c>
      <c r="K12376" t="n">
        <v>0</v>
      </c>
      <c r="L12376" t="n">
        <v>0</v>
      </c>
      <c r="M12376" t="n">
        <v>0</v>
      </c>
      <c r="N12376" t="n">
        <v>0</v>
      </c>
      <c r="O12376" t="n">
        <v>0</v>
      </c>
      <c r="P12376" t="n">
        <v>0</v>
      </c>
      <c r="Q12376" t="n">
        <v>0</v>
      </c>
      <c r="R12376" s="2" t="inlineStr"/>
    </row>
    <row r="12377" ht="15" customHeight="1">
      <c r="A12377" t="inlineStr">
        <is>
          <t>A 38015-2024</t>
        </is>
      </c>
      <c r="B12377" s="1" t="n">
        <v>45544.62965277778</v>
      </c>
      <c r="C12377" s="1" t="n">
        <v>45952</v>
      </c>
      <c r="D12377" t="inlineStr">
        <is>
          <t>VÄSTRA GÖTALANDS LÄN</t>
        </is>
      </c>
      <c r="E12377" t="inlineStr">
        <is>
          <t>TRANEMO</t>
        </is>
      </c>
      <c r="G12377" t="n">
        <v>1.9</v>
      </c>
      <c r="H12377" t="n">
        <v>0</v>
      </c>
      <c r="I12377" t="n">
        <v>0</v>
      </c>
      <c r="J12377" t="n">
        <v>0</v>
      </c>
      <c r="K12377" t="n">
        <v>0</v>
      </c>
      <c r="L12377" t="n">
        <v>0</v>
      </c>
      <c r="M12377" t="n">
        <v>0</v>
      </c>
      <c r="N12377" t="n">
        <v>0</v>
      </c>
      <c r="O12377" t="n">
        <v>0</v>
      </c>
      <c r="P12377" t="n">
        <v>0</v>
      </c>
      <c r="Q12377" t="n">
        <v>0</v>
      </c>
      <c r="R12377" s="2" t="inlineStr"/>
    </row>
    <row r="12378" ht="15" customHeight="1">
      <c r="A12378" t="inlineStr">
        <is>
          <t>A 3719-2024</t>
        </is>
      </c>
      <c r="B12378" s="1" t="n">
        <v>45321</v>
      </c>
      <c r="C12378" s="1" t="n">
        <v>45952</v>
      </c>
      <c r="D12378" t="inlineStr">
        <is>
          <t>VÄSTRA GÖTALANDS LÄN</t>
        </is>
      </c>
      <c r="E12378" t="inlineStr">
        <is>
          <t>BORÅS</t>
        </is>
      </c>
      <c r="F12378" t="inlineStr">
        <is>
          <t>Kommuner</t>
        </is>
      </c>
      <c r="G12378" t="n">
        <v>5</v>
      </c>
      <c r="H12378" t="n">
        <v>0</v>
      </c>
      <c r="I12378" t="n">
        <v>0</v>
      </c>
      <c r="J12378" t="n">
        <v>0</v>
      </c>
      <c r="K12378" t="n">
        <v>0</v>
      </c>
      <c r="L12378" t="n">
        <v>0</v>
      </c>
      <c r="M12378" t="n">
        <v>0</v>
      </c>
      <c r="N12378" t="n">
        <v>0</v>
      </c>
      <c r="O12378" t="n">
        <v>0</v>
      </c>
      <c r="P12378" t="n">
        <v>0</v>
      </c>
      <c r="Q12378" t="n">
        <v>0</v>
      </c>
      <c r="R12378" s="2" t="inlineStr"/>
    </row>
    <row r="12379" ht="15" customHeight="1">
      <c r="A12379" t="inlineStr">
        <is>
          <t>A 47047-2021</t>
        </is>
      </c>
      <c r="B12379" s="1" t="n">
        <v>44446.62215277777</v>
      </c>
      <c r="C12379" s="1" t="n">
        <v>45952</v>
      </c>
      <c r="D12379" t="inlineStr">
        <is>
          <t>VÄSTRA GÖTALANDS LÄN</t>
        </is>
      </c>
      <c r="E12379" t="inlineStr">
        <is>
          <t>HJO</t>
        </is>
      </c>
      <c r="G12379" t="n">
        <v>2.8</v>
      </c>
      <c r="H12379" t="n">
        <v>0</v>
      </c>
      <c r="I12379" t="n">
        <v>0</v>
      </c>
      <c r="J12379" t="n">
        <v>0</v>
      </c>
      <c r="K12379" t="n">
        <v>0</v>
      </c>
      <c r="L12379" t="n">
        <v>0</v>
      </c>
      <c r="M12379" t="n">
        <v>0</v>
      </c>
      <c r="N12379" t="n">
        <v>0</v>
      </c>
      <c r="O12379" t="n">
        <v>0</v>
      </c>
      <c r="P12379" t="n">
        <v>0</v>
      </c>
      <c r="Q12379" t="n">
        <v>0</v>
      </c>
      <c r="R12379" s="2" t="inlineStr"/>
    </row>
    <row r="12380" ht="15" customHeight="1">
      <c r="A12380" t="inlineStr">
        <is>
          <t>A 12421-2024</t>
        </is>
      </c>
      <c r="B12380" s="1" t="n">
        <v>45379</v>
      </c>
      <c r="C12380" s="1" t="n">
        <v>45952</v>
      </c>
      <c r="D12380" t="inlineStr">
        <is>
          <t>VÄSTRA GÖTALANDS LÄN</t>
        </is>
      </c>
      <c r="E12380" t="inlineStr">
        <is>
          <t>ESSUNGA</t>
        </is>
      </c>
      <c r="F12380" t="inlineStr">
        <is>
          <t>Kyrkan</t>
        </is>
      </c>
      <c r="G12380" t="n">
        <v>1.9</v>
      </c>
      <c r="H12380" t="n">
        <v>0</v>
      </c>
      <c r="I12380" t="n">
        <v>0</v>
      </c>
      <c r="J12380" t="n">
        <v>0</v>
      </c>
      <c r="K12380" t="n">
        <v>0</v>
      </c>
      <c r="L12380" t="n">
        <v>0</v>
      </c>
      <c r="M12380" t="n">
        <v>0</v>
      </c>
      <c r="N12380" t="n">
        <v>0</v>
      </c>
      <c r="O12380" t="n">
        <v>0</v>
      </c>
      <c r="P12380" t="n">
        <v>0</v>
      </c>
      <c r="Q12380" t="n">
        <v>0</v>
      </c>
      <c r="R12380" s="2" t="inlineStr"/>
    </row>
    <row r="12381" ht="15" customHeight="1">
      <c r="A12381" t="inlineStr">
        <is>
          <t>A 32878-2025</t>
        </is>
      </c>
      <c r="B12381" s="1" t="n">
        <v>45839</v>
      </c>
      <c r="C12381" s="1" t="n">
        <v>45952</v>
      </c>
      <c r="D12381" t="inlineStr">
        <is>
          <t>VÄSTRA GÖTALANDS LÄN</t>
        </is>
      </c>
      <c r="E12381" t="inlineStr">
        <is>
          <t>MARK</t>
        </is>
      </c>
      <c r="F12381" t="inlineStr">
        <is>
          <t>Sveaskog</t>
        </is>
      </c>
      <c r="G12381" t="n">
        <v>1.3</v>
      </c>
      <c r="H12381" t="n">
        <v>0</v>
      </c>
      <c r="I12381" t="n">
        <v>0</v>
      </c>
      <c r="J12381" t="n">
        <v>0</v>
      </c>
      <c r="K12381" t="n">
        <v>0</v>
      </c>
      <c r="L12381" t="n">
        <v>0</v>
      </c>
      <c r="M12381" t="n">
        <v>0</v>
      </c>
      <c r="N12381" t="n">
        <v>0</v>
      </c>
      <c r="O12381" t="n">
        <v>0</v>
      </c>
      <c r="P12381" t="n">
        <v>0</v>
      </c>
      <c r="Q12381" t="n">
        <v>0</v>
      </c>
      <c r="R12381" s="2" t="inlineStr"/>
    </row>
    <row r="12382" ht="15" customHeight="1">
      <c r="A12382" t="inlineStr">
        <is>
          <t>A 32885-2025</t>
        </is>
      </c>
      <c r="B12382" s="1" t="n">
        <v>45839.59840277778</v>
      </c>
      <c r="C12382" s="1" t="n">
        <v>45952</v>
      </c>
      <c r="D12382" t="inlineStr">
        <is>
          <t>VÄSTRA GÖTALANDS LÄN</t>
        </is>
      </c>
      <c r="E12382" t="inlineStr">
        <is>
          <t>MARK</t>
        </is>
      </c>
      <c r="F12382" t="inlineStr">
        <is>
          <t>Sveaskog</t>
        </is>
      </c>
      <c r="G12382" t="n">
        <v>4.5</v>
      </c>
      <c r="H12382" t="n">
        <v>0</v>
      </c>
      <c r="I12382" t="n">
        <v>0</v>
      </c>
      <c r="J12382" t="n">
        <v>0</v>
      </c>
      <c r="K12382" t="n">
        <v>0</v>
      </c>
      <c r="L12382" t="n">
        <v>0</v>
      </c>
      <c r="M12382" t="n">
        <v>0</v>
      </c>
      <c r="N12382" t="n">
        <v>0</v>
      </c>
      <c r="O12382" t="n">
        <v>0</v>
      </c>
      <c r="P12382" t="n">
        <v>0</v>
      </c>
      <c r="Q12382" t="n">
        <v>0</v>
      </c>
      <c r="R12382" s="2" t="inlineStr"/>
    </row>
    <row r="12383" ht="15" customHeight="1">
      <c r="A12383" t="inlineStr">
        <is>
          <t>A 32770-2025</t>
        </is>
      </c>
      <c r="B12383" s="1" t="n">
        <v>45839.45863425926</v>
      </c>
      <c r="C12383" s="1" t="n">
        <v>45952</v>
      </c>
      <c r="D12383" t="inlineStr">
        <is>
          <t>VÄSTRA GÖTALANDS LÄN</t>
        </is>
      </c>
      <c r="E12383" t="inlineStr">
        <is>
          <t>DALS-ED</t>
        </is>
      </c>
      <c r="F12383" t="inlineStr">
        <is>
          <t>Övriga Aktiebolag</t>
        </is>
      </c>
      <c r="G12383" t="n">
        <v>6.3</v>
      </c>
      <c r="H12383" t="n">
        <v>0</v>
      </c>
      <c r="I12383" t="n">
        <v>0</v>
      </c>
      <c r="J12383" t="n">
        <v>0</v>
      </c>
      <c r="K12383" t="n">
        <v>0</v>
      </c>
      <c r="L12383" t="n">
        <v>0</v>
      </c>
      <c r="M12383" t="n">
        <v>0</v>
      </c>
      <c r="N12383" t="n">
        <v>0</v>
      </c>
      <c r="O12383" t="n">
        <v>0</v>
      </c>
      <c r="P12383" t="n">
        <v>0</v>
      </c>
      <c r="Q12383" t="n">
        <v>0</v>
      </c>
      <c r="R12383" s="2" t="inlineStr"/>
    </row>
    <row r="12384" ht="15" customHeight="1">
      <c r="A12384" t="inlineStr">
        <is>
          <t>A 5545-2025</t>
        </is>
      </c>
      <c r="B12384" s="1" t="n">
        <v>45693.46712962963</v>
      </c>
      <c r="C12384" s="1" t="n">
        <v>45952</v>
      </c>
      <c r="D12384" t="inlineStr">
        <is>
          <t>VÄSTRA GÖTALANDS LÄN</t>
        </is>
      </c>
      <c r="E12384" t="inlineStr">
        <is>
          <t>ÅMÅL</t>
        </is>
      </c>
      <c r="G12384" t="n">
        <v>5.5</v>
      </c>
      <c r="H12384" t="n">
        <v>0</v>
      </c>
      <c r="I12384" t="n">
        <v>0</v>
      </c>
      <c r="J12384" t="n">
        <v>0</v>
      </c>
      <c r="K12384" t="n">
        <v>0</v>
      </c>
      <c r="L12384" t="n">
        <v>0</v>
      </c>
      <c r="M12384" t="n">
        <v>0</v>
      </c>
      <c r="N12384" t="n">
        <v>0</v>
      </c>
      <c r="O12384" t="n">
        <v>0</v>
      </c>
      <c r="P12384" t="n">
        <v>0</v>
      </c>
      <c r="Q12384" t="n">
        <v>0</v>
      </c>
      <c r="R12384" s="2" t="inlineStr"/>
    </row>
    <row r="12385" ht="15" customHeight="1">
      <c r="A12385" t="inlineStr">
        <is>
          <t>A 36472-2023</t>
        </is>
      </c>
      <c r="B12385" s="1" t="n">
        <v>45152.68237268519</v>
      </c>
      <c r="C12385" s="1" t="n">
        <v>45952</v>
      </c>
      <c r="D12385" t="inlineStr">
        <is>
          <t>VÄSTRA GÖTALANDS LÄN</t>
        </is>
      </c>
      <c r="E12385" t="inlineStr">
        <is>
          <t>GÖTENE</t>
        </is>
      </c>
      <c r="G12385" t="n">
        <v>1.5</v>
      </c>
      <c r="H12385" t="n">
        <v>0</v>
      </c>
      <c r="I12385" t="n">
        <v>0</v>
      </c>
      <c r="J12385" t="n">
        <v>0</v>
      </c>
      <c r="K12385" t="n">
        <v>0</v>
      </c>
      <c r="L12385" t="n">
        <v>0</v>
      </c>
      <c r="M12385" t="n">
        <v>0</v>
      </c>
      <c r="N12385" t="n">
        <v>0</v>
      </c>
      <c r="O12385" t="n">
        <v>0</v>
      </c>
      <c r="P12385" t="n">
        <v>0</v>
      </c>
      <c r="Q12385" t="n">
        <v>0</v>
      </c>
      <c r="R12385" s="2" t="inlineStr"/>
    </row>
    <row r="12386" ht="15" customHeight="1">
      <c r="A12386" t="inlineStr">
        <is>
          <t>A 32553-2025</t>
        </is>
      </c>
      <c r="B12386" s="1" t="n">
        <v>45838.55416666667</v>
      </c>
      <c r="C12386" s="1" t="n">
        <v>45952</v>
      </c>
      <c r="D12386" t="inlineStr">
        <is>
          <t>VÄSTRA GÖTALANDS LÄN</t>
        </is>
      </c>
      <c r="E12386" t="inlineStr">
        <is>
          <t>MARK</t>
        </is>
      </c>
      <c r="G12386" t="n">
        <v>0.7</v>
      </c>
      <c r="H12386" t="n">
        <v>0</v>
      </c>
      <c r="I12386" t="n">
        <v>0</v>
      </c>
      <c r="J12386" t="n">
        <v>0</v>
      </c>
      <c r="K12386" t="n">
        <v>0</v>
      </c>
      <c r="L12386" t="n">
        <v>0</v>
      </c>
      <c r="M12386" t="n">
        <v>0</v>
      </c>
      <c r="N12386" t="n">
        <v>0</v>
      </c>
      <c r="O12386" t="n">
        <v>0</v>
      </c>
      <c r="P12386" t="n">
        <v>0</v>
      </c>
      <c r="Q12386" t="n">
        <v>0</v>
      </c>
      <c r="R12386" s="2" t="inlineStr"/>
    </row>
    <row r="12387" ht="15" customHeight="1">
      <c r="A12387" t="inlineStr">
        <is>
          <t>A 32909-2025</t>
        </is>
      </c>
      <c r="B12387" s="1" t="n">
        <v>45839.63256944445</v>
      </c>
      <c r="C12387" s="1" t="n">
        <v>45952</v>
      </c>
      <c r="D12387" t="inlineStr">
        <is>
          <t>VÄSTRA GÖTALANDS LÄN</t>
        </is>
      </c>
      <c r="E12387" t="inlineStr">
        <is>
          <t>GÖTENE</t>
        </is>
      </c>
      <c r="G12387" t="n">
        <v>1.1</v>
      </c>
      <c r="H12387" t="n">
        <v>0</v>
      </c>
      <c r="I12387" t="n">
        <v>0</v>
      </c>
      <c r="J12387" t="n">
        <v>0</v>
      </c>
      <c r="K12387" t="n">
        <v>0</v>
      </c>
      <c r="L12387" t="n">
        <v>0</v>
      </c>
      <c r="M12387" t="n">
        <v>0</v>
      </c>
      <c r="N12387" t="n">
        <v>0</v>
      </c>
      <c r="O12387" t="n">
        <v>0</v>
      </c>
      <c r="P12387" t="n">
        <v>0</v>
      </c>
      <c r="Q12387" t="n">
        <v>0</v>
      </c>
      <c r="R12387" s="2" t="inlineStr"/>
    </row>
    <row r="12388" ht="15" customHeight="1">
      <c r="A12388" t="inlineStr">
        <is>
          <t>A 1559-2025</t>
        </is>
      </c>
      <c r="B12388" s="1" t="n">
        <v>45667</v>
      </c>
      <c r="C12388" s="1" t="n">
        <v>45952</v>
      </c>
      <c r="D12388" t="inlineStr">
        <is>
          <t>VÄSTRA GÖTALANDS LÄN</t>
        </is>
      </c>
      <c r="E12388" t="inlineStr">
        <is>
          <t>MUNKEDAL</t>
        </is>
      </c>
      <c r="F12388" t="inlineStr">
        <is>
          <t>Övriga Aktiebolag</t>
        </is>
      </c>
      <c r="G12388" t="n">
        <v>4.5</v>
      </c>
      <c r="H12388" t="n">
        <v>0</v>
      </c>
      <c r="I12388" t="n">
        <v>0</v>
      </c>
      <c r="J12388" t="n">
        <v>0</v>
      </c>
      <c r="K12388" t="n">
        <v>0</v>
      </c>
      <c r="L12388" t="n">
        <v>0</v>
      </c>
      <c r="M12388" t="n">
        <v>0</v>
      </c>
      <c r="N12388" t="n">
        <v>0</v>
      </c>
      <c r="O12388" t="n">
        <v>0</v>
      </c>
      <c r="P12388" t="n">
        <v>0</v>
      </c>
      <c r="Q12388" t="n">
        <v>0</v>
      </c>
      <c r="R12388" s="2" t="inlineStr"/>
    </row>
    <row r="12389" ht="15" customHeight="1">
      <c r="A12389" t="inlineStr">
        <is>
          <t>A 550-2024</t>
        </is>
      </c>
      <c r="B12389" s="1" t="n">
        <v>45299</v>
      </c>
      <c r="C12389" s="1" t="n">
        <v>45952</v>
      </c>
      <c r="D12389" t="inlineStr">
        <is>
          <t>VÄSTRA GÖTALANDS LÄN</t>
        </is>
      </c>
      <c r="E12389" t="inlineStr">
        <is>
          <t>LILLA EDET</t>
        </is>
      </c>
      <c r="G12389" t="n">
        <v>2.3</v>
      </c>
      <c r="H12389" t="n">
        <v>0</v>
      </c>
      <c r="I12389" t="n">
        <v>0</v>
      </c>
      <c r="J12389" t="n">
        <v>0</v>
      </c>
      <c r="K12389" t="n">
        <v>0</v>
      </c>
      <c r="L12389" t="n">
        <v>0</v>
      </c>
      <c r="M12389" t="n">
        <v>0</v>
      </c>
      <c r="N12389" t="n">
        <v>0</v>
      </c>
      <c r="O12389" t="n">
        <v>0</v>
      </c>
      <c r="P12389" t="n">
        <v>0</v>
      </c>
      <c r="Q12389" t="n">
        <v>0</v>
      </c>
      <c r="R12389" s="2" t="inlineStr"/>
    </row>
    <row r="12390" ht="15" customHeight="1">
      <c r="A12390" t="inlineStr">
        <is>
          <t>A 62251-2023</t>
        </is>
      </c>
      <c r="B12390" s="1" t="n">
        <v>45267.61526620371</v>
      </c>
      <c r="C12390" s="1" t="n">
        <v>45952</v>
      </c>
      <c r="D12390" t="inlineStr">
        <is>
          <t>VÄSTRA GÖTALANDS LÄN</t>
        </is>
      </c>
      <c r="E12390" t="inlineStr">
        <is>
          <t>HJO</t>
        </is>
      </c>
      <c r="F12390" t="inlineStr">
        <is>
          <t>Sveaskog</t>
        </is>
      </c>
      <c r="G12390" t="n">
        <v>2.9</v>
      </c>
      <c r="H12390" t="n">
        <v>0</v>
      </c>
      <c r="I12390" t="n">
        <v>0</v>
      </c>
      <c r="J12390" t="n">
        <v>0</v>
      </c>
      <c r="K12390" t="n">
        <v>0</v>
      </c>
      <c r="L12390" t="n">
        <v>0</v>
      </c>
      <c r="M12390" t="n">
        <v>0</v>
      </c>
      <c r="N12390" t="n">
        <v>0</v>
      </c>
      <c r="O12390" t="n">
        <v>0</v>
      </c>
      <c r="P12390" t="n">
        <v>0</v>
      </c>
      <c r="Q12390" t="n">
        <v>0</v>
      </c>
      <c r="R12390" s="2" t="inlineStr"/>
    </row>
    <row r="12391" ht="15" customHeight="1">
      <c r="A12391" t="inlineStr">
        <is>
          <t>A 32354-2025</t>
        </is>
      </c>
      <c r="B12391" s="1" t="n">
        <v>45837.53755787037</v>
      </c>
      <c r="C12391" s="1" t="n">
        <v>45952</v>
      </c>
      <c r="D12391" t="inlineStr">
        <is>
          <t>VÄSTRA GÖTALANDS LÄN</t>
        </is>
      </c>
      <c r="E12391" t="inlineStr">
        <is>
          <t>LIDKÖPING</t>
        </is>
      </c>
      <c r="G12391" t="n">
        <v>2.2</v>
      </c>
      <c r="H12391" t="n">
        <v>0</v>
      </c>
      <c r="I12391" t="n">
        <v>0</v>
      </c>
      <c r="J12391" t="n">
        <v>0</v>
      </c>
      <c r="K12391" t="n">
        <v>0</v>
      </c>
      <c r="L12391" t="n">
        <v>0</v>
      </c>
      <c r="M12391" t="n">
        <v>0</v>
      </c>
      <c r="N12391" t="n">
        <v>0</v>
      </c>
      <c r="O12391" t="n">
        <v>0</v>
      </c>
      <c r="P12391" t="n">
        <v>0</v>
      </c>
      <c r="Q12391" t="n">
        <v>0</v>
      </c>
      <c r="R12391" s="2" t="inlineStr"/>
    </row>
    <row r="12392" ht="15" customHeight="1">
      <c r="A12392" t="inlineStr">
        <is>
          <t>A 62303-2023</t>
        </is>
      </c>
      <c r="B12392" s="1" t="n">
        <v>45267.68408564815</v>
      </c>
      <c r="C12392" s="1" t="n">
        <v>45952</v>
      </c>
      <c r="D12392" t="inlineStr">
        <is>
          <t>VÄSTRA GÖTALANDS LÄN</t>
        </is>
      </c>
      <c r="E12392" t="inlineStr">
        <is>
          <t>SVENLJUNGA</t>
        </is>
      </c>
      <c r="G12392" t="n">
        <v>2.2</v>
      </c>
      <c r="H12392" t="n">
        <v>0</v>
      </c>
      <c r="I12392" t="n">
        <v>0</v>
      </c>
      <c r="J12392" t="n">
        <v>0</v>
      </c>
      <c r="K12392" t="n">
        <v>0</v>
      </c>
      <c r="L12392" t="n">
        <v>0</v>
      </c>
      <c r="M12392" t="n">
        <v>0</v>
      </c>
      <c r="N12392" t="n">
        <v>0</v>
      </c>
      <c r="O12392" t="n">
        <v>0</v>
      </c>
      <c r="P12392" t="n">
        <v>0</v>
      </c>
      <c r="Q12392" t="n">
        <v>0</v>
      </c>
      <c r="R12392" s="2" t="inlineStr"/>
    </row>
    <row r="12393" ht="15" customHeight="1">
      <c r="A12393" t="inlineStr">
        <is>
          <t>A 32862-2025</t>
        </is>
      </c>
      <c r="B12393" s="1" t="n">
        <v>45839.5834837963</v>
      </c>
      <c r="C12393" s="1" t="n">
        <v>45952</v>
      </c>
      <c r="D12393" t="inlineStr">
        <is>
          <t>VÄSTRA GÖTALANDS LÄN</t>
        </is>
      </c>
      <c r="E12393" t="inlineStr">
        <is>
          <t>BOLLEBYGD</t>
        </is>
      </c>
      <c r="G12393" t="n">
        <v>2.1</v>
      </c>
      <c r="H12393" t="n">
        <v>0</v>
      </c>
      <c r="I12393" t="n">
        <v>0</v>
      </c>
      <c r="J12393" t="n">
        <v>0</v>
      </c>
      <c r="K12393" t="n">
        <v>0</v>
      </c>
      <c r="L12393" t="n">
        <v>0</v>
      </c>
      <c r="M12393" t="n">
        <v>0</v>
      </c>
      <c r="N12393" t="n">
        <v>0</v>
      </c>
      <c r="O12393" t="n">
        <v>0</v>
      </c>
      <c r="P12393" t="n">
        <v>0</v>
      </c>
      <c r="Q12393" t="n">
        <v>0</v>
      </c>
      <c r="R12393" s="2" t="inlineStr"/>
    </row>
    <row r="12394" ht="15" customHeight="1">
      <c r="A12394" t="inlineStr">
        <is>
          <t>A 32508-2025</t>
        </is>
      </c>
      <c r="B12394" s="1" t="n">
        <v>45838.47222222222</v>
      </c>
      <c r="C12394" s="1" t="n">
        <v>45952</v>
      </c>
      <c r="D12394" t="inlineStr">
        <is>
          <t>VÄSTRA GÖTALANDS LÄN</t>
        </is>
      </c>
      <c r="E12394" t="inlineStr">
        <is>
          <t>ULRICEHAMN</t>
        </is>
      </c>
      <c r="G12394" t="n">
        <v>1</v>
      </c>
      <c r="H12394" t="n">
        <v>0</v>
      </c>
      <c r="I12394" t="n">
        <v>0</v>
      </c>
      <c r="J12394" t="n">
        <v>0</v>
      </c>
      <c r="K12394" t="n">
        <v>0</v>
      </c>
      <c r="L12394" t="n">
        <v>0</v>
      </c>
      <c r="M12394" t="n">
        <v>0</v>
      </c>
      <c r="N12394" t="n">
        <v>0</v>
      </c>
      <c r="O12394" t="n">
        <v>0</v>
      </c>
      <c r="P12394" t="n">
        <v>0</v>
      </c>
      <c r="Q12394" t="n">
        <v>0</v>
      </c>
      <c r="R12394" s="2" t="inlineStr"/>
    </row>
    <row r="12395" ht="15" customHeight="1">
      <c r="A12395" t="inlineStr">
        <is>
          <t>A 32900-2025</t>
        </is>
      </c>
      <c r="B12395" s="1" t="n">
        <v>45839</v>
      </c>
      <c r="C12395" s="1" t="n">
        <v>45952</v>
      </c>
      <c r="D12395" t="inlineStr">
        <is>
          <t>VÄSTRA GÖTALANDS LÄN</t>
        </is>
      </c>
      <c r="E12395" t="inlineStr">
        <is>
          <t>BORÅS</t>
        </is>
      </c>
      <c r="G12395" t="n">
        <v>4</v>
      </c>
      <c r="H12395" t="n">
        <v>0</v>
      </c>
      <c r="I12395" t="n">
        <v>0</v>
      </c>
      <c r="J12395" t="n">
        <v>0</v>
      </c>
      <c r="K12395" t="n">
        <v>0</v>
      </c>
      <c r="L12395" t="n">
        <v>0</v>
      </c>
      <c r="M12395" t="n">
        <v>0</v>
      </c>
      <c r="N12395" t="n">
        <v>0</v>
      </c>
      <c r="O12395" t="n">
        <v>0</v>
      </c>
      <c r="P12395" t="n">
        <v>0</v>
      </c>
      <c r="Q12395" t="n">
        <v>0</v>
      </c>
      <c r="R12395" s="2" t="inlineStr"/>
    </row>
    <row r="12396" ht="15" customHeight="1">
      <c r="A12396" t="inlineStr">
        <is>
          <t>A 54758-2020</t>
        </is>
      </c>
      <c r="B12396" s="1" t="n">
        <v>44127</v>
      </c>
      <c r="C12396" s="1" t="n">
        <v>45952</v>
      </c>
      <c r="D12396" t="inlineStr">
        <is>
          <t>VÄSTRA GÖTALANDS LÄN</t>
        </is>
      </c>
      <c r="E12396" t="inlineStr">
        <is>
          <t>FÄRGELANDA</t>
        </is>
      </c>
      <c r="G12396" t="n">
        <v>1.1</v>
      </c>
      <c r="H12396" t="n">
        <v>0</v>
      </c>
      <c r="I12396" t="n">
        <v>0</v>
      </c>
      <c r="J12396" t="n">
        <v>0</v>
      </c>
      <c r="K12396" t="n">
        <v>0</v>
      </c>
      <c r="L12396" t="n">
        <v>0</v>
      </c>
      <c r="M12396" t="n">
        <v>0</v>
      </c>
      <c r="N12396" t="n">
        <v>0</v>
      </c>
      <c r="O12396" t="n">
        <v>0</v>
      </c>
      <c r="P12396" t="n">
        <v>0</v>
      </c>
      <c r="Q12396" t="n">
        <v>0</v>
      </c>
      <c r="R12396" s="2" t="inlineStr"/>
    </row>
    <row r="12397" ht="15" customHeight="1">
      <c r="A12397" t="inlineStr">
        <is>
          <t>A 32905-2025</t>
        </is>
      </c>
      <c r="B12397" s="1" t="n">
        <v>45839</v>
      </c>
      <c r="C12397" s="1" t="n">
        <v>45952</v>
      </c>
      <c r="D12397" t="inlineStr">
        <is>
          <t>VÄSTRA GÖTALANDS LÄN</t>
        </is>
      </c>
      <c r="E12397" t="inlineStr">
        <is>
          <t>BORÅS</t>
        </is>
      </c>
      <c r="G12397" t="n">
        <v>0.4</v>
      </c>
      <c r="H12397" t="n">
        <v>0</v>
      </c>
      <c r="I12397" t="n">
        <v>0</v>
      </c>
      <c r="J12397" t="n">
        <v>0</v>
      </c>
      <c r="K12397" t="n">
        <v>0</v>
      </c>
      <c r="L12397" t="n">
        <v>0</v>
      </c>
      <c r="M12397" t="n">
        <v>0</v>
      </c>
      <c r="N12397" t="n">
        <v>0</v>
      </c>
      <c r="O12397" t="n">
        <v>0</v>
      </c>
      <c r="P12397" t="n">
        <v>0</v>
      </c>
      <c r="Q12397" t="n">
        <v>0</v>
      </c>
      <c r="R12397" s="2" t="inlineStr"/>
    </row>
    <row r="12398" ht="15" customHeight="1">
      <c r="A12398" t="inlineStr">
        <is>
          <t>A 19051-2023</t>
        </is>
      </c>
      <c r="B12398" s="1" t="n">
        <v>45047</v>
      </c>
      <c r="C12398" s="1" t="n">
        <v>45952</v>
      </c>
      <c r="D12398" t="inlineStr">
        <is>
          <t>VÄSTRA GÖTALANDS LÄN</t>
        </is>
      </c>
      <c r="E12398" t="inlineStr">
        <is>
          <t>VÄNERSBORG</t>
        </is>
      </c>
      <c r="G12398" t="n">
        <v>6.6</v>
      </c>
      <c r="H12398" t="n">
        <v>0</v>
      </c>
      <c r="I12398" t="n">
        <v>0</v>
      </c>
      <c r="J12398" t="n">
        <v>0</v>
      </c>
      <c r="K12398" t="n">
        <v>0</v>
      </c>
      <c r="L12398" t="n">
        <v>0</v>
      </c>
      <c r="M12398" t="n">
        <v>0</v>
      </c>
      <c r="N12398" t="n">
        <v>0</v>
      </c>
      <c r="O12398" t="n">
        <v>0</v>
      </c>
      <c r="P12398" t="n">
        <v>0</v>
      </c>
      <c r="Q12398" t="n">
        <v>0</v>
      </c>
      <c r="R12398" s="2" t="inlineStr"/>
    </row>
    <row r="12399" ht="15" customHeight="1">
      <c r="A12399" t="inlineStr">
        <is>
          <t>A 19059-2023</t>
        </is>
      </c>
      <c r="B12399" s="1" t="n">
        <v>45048</v>
      </c>
      <c r="C12399" s="1" t="n">
        <v>45952</v>
      </c>
      <c r="D12399" t="inlineStr">
        <is>
          <t>VÄSTRA GÖTALANDS LÄN</t>
        </is>
      </c>
      <c r="E12399" t="inlineStr">
        <is>
          <t>STENUNGSUND</t>
        </is>
      </c>
      <c r="G12399" t="n">
        <v>0.7</v>
      </c>
      <c r="H12399" t="n">
        <v>0</v>
      </c>
      <c r="I12399" t="n">
        <v>0</v>
      </c>
      <c r="J12399" t="n">
        <v>0</v>
      </c>
      <c r="K12399" t="n">
        <v>0</v>
      </c>
      <c r="L12399" t="n">
        <v>0</v>
      </c>
      <c r="M12399" t="n">
        <v>0</v>
      </c>
      <c r="N12399" t="n">
        <v>0</v>
      </c>
      <c r="O12399" t="n">
        <v>0</v>
      </c>
      <c r="P12399" t="n">
        <v>0</v>
      </c>
      <c r="Q12399" t="n">
        <v>0</v>
      </c>
      <c r="R12399" s="2" t="inlineStr"/>
    </row>
    <row r="12400" ht="15" customHeight="1">
      <c r="A12400" t="inlineStr">
        <is>
          <t>A 32918-2025</t>
        </is>
      </c>
      <c r="B12400" s="1" t="n">
        <v>45839.64229166666</v>
      </c>
      <c r="C12400" s="1" t="n">
        <v>45952</v>
      </c>
      <c r="D12400" t="inlineStr">
        <is>
          <t>VÄSTRA GÖTALANDS LÄN</t>
        </is>
      </c>
      <c r="E12400" t="inlineStr">
        <is>
          <t>ÅMÅL</t>
        </is>
      </c>
      <c r="G12400" t="n">
        <v>1.4</v>
      </c>
      <c r="H12400" t="n">
        <v>0</v>
      </c>
      <c r="I12400" t="n">
        <v>0</v>
      </c>
      <c r="J12400" t="n">
        <v>0</v>
      </c>
      <c r="K12400" t="n">
        <v>0</v>
      </c>
      <c r="L12400" t="n">
        <v>0</v>
      </c>
      <c r="M12400" t="n">
        <v>0</v>
      </c>
      <c r="N12400" t="n">
        <v>0</v>
      </c>
      <c r="O12400" t="n">
        <v>0</v>
      </c>
      <c r="P12400" t="n">
        <v>0</v>
      </c>
      <c r="Q12400" t="n">
        <v>0</v>
      </c>
      <c r="R12400" s="2" t="inlineStr"/>
    </row>
    <row r="12401" ht="15" customHeight="1">
      <c r="A12401" t="inlineStr">
        <is>
          <t>A 32929-2025</t>
        </is>
      </c>
      <c r="B12401" s="1" t="n">
        <v>45839.66587962963</v>
      </c>
      <c r="C12401" s="1" t="n">
        <v>45952</v>
      </c>
      <c r="D12401" t="inlineStr">
        <is>
          <t>VÄSTRA GÖTALANDS LÄN</t>
        </is>
      </c>
      <c r="E12401" t="inlineStr">
        <is>
          <t>MARK</t>
        </is>
      </c>
      <c r="G12401" t="n">
        <v>1.3</v>
      </c>
      <c r="H12401" t="n">
        <v>0</v>
      </c>
      <c r="I12401" t="n">
        <v>0</v>
      </c>
      <c r="J12401" t="n">
        <v>0</v>
      </c>
      <c r="K12401" t="n">
        <v>0</v>
      </c>
      <c r="L12401" t="n">
        <v>0</v>
      </c>
      <c r="M12401" t="n">
        <v>0</v>
      </c>
      <c r="N12401" t="n">
        <v>0</v>
      </c>
      <c r="O12401" t="n">
        <v>0</v>
      </c>
      <c r="P12401" t="n">
        <v>0</v>
      </c>
      <c r="Q12401" t="n">
        <v>0</v>
      </c>
      <c r="R12401" s="2" t="inlineStr"/>
    </row>
    <row r="12402" ht="15" customHeight="1">
      <c r="A12402" t="inlineStr">
        <is>
          <t>A 32787-2025</t>
        </is>
      </c>
      <c r="B12402" s="1" t="n">
        <v>45839.48538194445</v>
      </c>
      <c r="C12402" s="1" t="n">
        <v>45952</v>
      </c>
      <c r="D12402" t="inlineStr">
        <is>
          <t>VÄSTRA GÖTALANDS LÄN</t>
        </is>
      </c>
      <c r="E12402" t="inlineStr">
        <is>
          <t>FÄRGELANDA</t>
        </is>
      </c>
      <c r="G12402" t="n">
        <v>2.3</v>
      </c>
      <c r="H12402" t="n">
        <v>0</v>
      </c>
      <c r="I12402" t="n">
        <v>0</v>
      </c>
      <c r="J12402" t="n">
        <v>0</v>
      </c>
      <c r="K12402" t="n">
        <v>0</v>
      </c>
      <c r="L12402" t="n">
        <v>0</v>
      </c>
      <c r="M12402" t="n">
        <v>0</v>
      </c>
      <c r="N12402" t="n">
        <v>0</v>
      </c>
      <c r="O12402" t="n">
        <v>0</v>
      </c>
      <c r="P12402" t="n">
        <v>0</v>
      </c>
      <c r="Q12402" t="n">
        <v>0</v>
      </c>
      <c r="R12402" s="2" t="inlineStr"/>
    </row>
    <row r="12403" ht="15" customHeight="1">
      <c r="A12403" t="inlineStr">
        <is>
          <t>A 32612-2025</t>
        </is>
      </c>
      <c r="B12403" s="1" t="n">
        <v>45838.63969907408</v>
      </c>
      <c r="C12403" s="1" t="n">
        <v>45952</v>
      </c>
      <c r="D12403" t="inlineStr">
        <is>
          <t>VÄSTRA GÖTALANDS LÄN</t>
        </is>
      </c>
      <c r="E12403" t="inlineStr">
        <is>
          <t>ULRICEHAMN</t>
        </is>
      </c>
      <c r="F12403" t="inlineStr">
        <is>
          <t>Sveaskog</t>
        </is>
      </c>
      <c r="G12403" t="n">
        <v>1.7</v>
      </c>
      <c r="H12403" t="n">
        <v>0</v>
      </c>
      <c r="I12403" t="n">
        <v>0</v>
      </c>
      <c r="J12403" t="n">
        <v>0</v>
      </c>
      <c r="K12403" t="n">
        <v>0</v>
      </c>
      <c r="L12403" t="n">
        <v>0</v>
      </c>
      <c r="M12403" t="n">
        <v>0</v>
      </c>
      <c r="N12403" t="n">
        <v>0</v>
      </c>
      <c r="O12403" t="n">
        <v>0</v>
      </c>
      <c r="P12403" t="n">
        <v>0</v>
      </c>
      <c r="Q12403" t="n">
        <v>0</v>
      </c>
      <c r="R12403" s="2" t="inlineStr"/>
    </row>
    <row r="12404" ht="15" customHeight="1">
      <c r="A12404" t="inlineStr">
        <is>
          <t>A 32617-2025</t>
        </is>
      </c>
      <c r="B12404" s="1" t="n">
        <v>45838.64310185185</v>
      </c>
      <c r="C12404" s="1" t="n">
        <v>45952</v>
      </c>
      <c r="D12404" t="inlineStr">
        <is>
          <t>VÄSTRA GÖTALANDS LÄN</t>
        </is>
      </c>
      <c r="E12404" t="inlineStr">
        <is>
          <t>MUNKEDAL</t>
        </is>
      </c>
      <c r="G12404" t="n">
        <v>2</v>
      </c>
      <c r="H12404" t="n">
        <v>0</v>
      </c>
      <c r="I12404" t="n">
        <v>0</v>
      </c>
      <c r="J12404" t="n">
        <v>0</v>
      </c>
      <c r="K12404" t="n">
        <v>0</v>
      </c>
      <c r="L12404" t="n">
        <v>0</v>
      </c>
      <c r="M12404" t="n">
        <v>0</v>
      </c>
      <c r="N12404" t="n">
        <v>0</v>
      </c>
      <c r="O12404" t="n">
        <v>0</v>
      </c>
      <c r="P12404" t="n">
        <v>0</v>
      </c>
      <c r="Q12404" t="n">
        <v>0</v>
      </c>
      <c r="R12404" s="2" t="inlineStr"/>
    </row>
    <row r="12405" ht="15" customHeight="1">
      <c r="A12405" t="inlineStr">
        <is>
          <t>A 33092-2024</t>
        </is>
      </c>
      <c r="B12405" s="1" t="n">
        <v>45517.68732638889</v>
      </c>
      <c r="C12405" s="1" t="n">
        <v>45952</v>
      </c>
      <c r="D12405" t="inlineStr">
        <is>
          <t>VÄSTRA GÖTALANDS LÄN</t>
        </is>
      </c>
      <c r="E12405" t="inlineStr">
        <is>
          <t>UDDEVALLA</t>
        </is>
      </c>
      <c r="G12405" t="n">
        <v>3.6</v>
      </c>
      <c r="H12405" t="n">
        <v>0</v>
      </c>
      <c r="I12405" t="n">
        <v>0</v>
      </c>
      <c r="J12405" t="n">
        <v>0</v>
      </c>
      <c r="K12405" t="n">
        <v>0</v>
      </c>
      <c r="L12405" t="n">
        <v>0</v>
      </c>
      <c r="M12405" t="n">
        <v>0</v>
      </c>
      <c r="N12405" t="n">
        <v>0</v>
      </c>
      <c r="O12405" t="n">
        <v>0</v>
      </c>
      <c r="P12405" t="n">
        <v>0</v>
      </c>
      <c r="Q12405" t="n">
        <v>0</v>
      </c>
      <c r="R12405" s="2" t="inlineStr"/>
    </row>
    <row r="12406" ht="15" customHeight="1">
      <c r="A12406" t="inlineStr">
        <is>
          <t>A 32355-2025</t>
        </is>
      </c>
      <c r="B12406" s="1" t="n">
        <v>45837.55134259259</v>
      </c>
      <c r="C12406" s="1" t="n">
        <v>45952</v>
      </c>
      <c r="D12406" t="inlineStr">
        <is>
          <t>VÄSTRA GÖTALANDS LÄN</t>
        </is>
      </c>
      <c r="E12406" t="inlineStr">
        <is>
          <t>LIDKÖPING</t>
        </is>
      </c>
      <c r="G12406" t="n">
        <v>2.3</v>
      </c>
      <c r="H12406" t="n">
        <v>0</v>
      </c>
      <c r="I12406" t="n">
        <v>0</v>
      </c>
      <c r="J12406" t="n">
        <v>0</v>
      </c>
      <c r="K12406" t="n">
        <v>0</v>
      </c>
      <c r="L12406" t="n">
        <v>0</v>
      </c>
      <c r="M12406" t="n">
        <v>0</v>
      </c>
      <c r="N12406" t="n">
        <v>0</v>
      </c>
      <c r="O12406" t="n">
        <v>0</v>
      </c>
      <c r="P12406" t="n">
        <v>0</v>
      </c>
      <c r="Q12406" t="n">
        <v>0</v>
      </c>
      <c r="R12406" s="2" t="inlineStr"/>
    </row>
    <row r="12407" ht="15" customHeight="1">
      <c r="A12407" t="inlineStr">
        <is>
          <t>A 25813-2022</t>
        </is>
      </c>
      <c r="B12407" s="1" t="n">
        <v>44733</v>
      </c>
      <c r="C12407" s="1" t="n">
        <v>45952</v>
      </c>
      <c r="D12407" t="inlineStr">
        <is>
          <t>VÄSTRA GÖTALANDS LÄN</t>
        </is>
      </c>
      <c r="E12407" t="inlineStr">
        <is>
          <t>UDDEVALLA</t>
        </is>
      </c>
      <c r="G12407" t="n">
        <v>7.2</v>
      </c>
      <c r="H12407" t="n">
        <v>0</v>
      </c>
      <c r="I12407" t="n">
        <v>0</v>
      </c>
      <c r="J12407" t="n">
        <v>0</v>
      </c>
      <c r="K12407" t="n">
        <v>0</v>
      </c>
      <c r="L12407" t="n">
        <v>0</v>
      </c>
      <c r="M12407" t="n">
        <v>0</v>
      </c>
      <c r="N12407" t="n">
        <v>0</v>
      </c>
      <c r="O12407" t="n">
        <v>0</v>
      </c>
      <c r="P12407" t="n">
        <v>0</v>
      </c>
      <c r="Q12407" t="n">
        <v>0</v>
      </c>
      <c r="R12407" s="2" t="inlineStr"/>
    </row>
    <row r="12408" ht="15" customHeight="1">
      <c r="A12408" t="inlineStr">
        <is>
          <t>A 54875-2024</t>
        </is>
      </c>
      <c r="B12408" s="1" t="n">
        <v>45618.60296296296</v>
      </c>
      <c r="C12408" s="1" t="n">
        <v>45952</v>
      </c>
      <c r="D12408" t="inlineStr">
        <is>
          <t>VÄSTRA GÖTALANDS LÄN</t>
        </is>
      </c>
      <c r="E12408" t="inlineStr">
        <is>
          <t>MUNKEDAL</t>
        </is>
      </c>
      <c r="G12408" t="n">
        <v>0.7</v>
      </c>
      <c r="H12408" t="n">
        <v>0</v>
      </c>
      <c r="I12408" t="n">
        <v>0</v>
      </c>
      <c r="J12408" t="n">
        <v>0</v>
      </c>
      <c r="K12408" t="n">
        <v>0</v>
      </c>
      <c r="L12408" t="n">
        <v>0</v>
      </c>
      <c r="M12408" t="n">
        <v>0</v>
      </c>
      <c r="N12408" t="n">
        <v>0</v>
      </c>
      <c r="O12408" t="n">
        <v>0</v>
      </c>
      <c r="P12408" t="n">
        <v>0</v>
      </c>
      <c r="Q12408" t="n">
        <v>0</v>
      </c>
      <c r="R12408" s="2" t="inlineStr"/>
    </row>
    <row r="12409" ht="15" customHeight="1">
      <c r="A12409" t="inlineStr">
        <is>
          <t>A 32323-2025</t>
        </is>
      </c>
      <c r="B12409" s="1" t="n">
        <v>45836.42394675926</v>
      </c>
      <c r="C12409" s="1" t="n">
        <v>45952</v>
      </c>
      <c r="D12409" t="inlineStr">
        <is>
          <t>VÄSTRA GÖTALANDS LÄN</t>
        </is>
      </c>
      <c r="E12409" t="inlineStr">
        <is>
          <t>BORÅS</t>
        </is>
      </c>
      <c r="G12409" t="n">
        <v>1.9</v>
      </c>
      <c r="H12409" t="n">
        <v>0</v>
      </c>
      <c r="I12409" t="n">
        <v>0</v>
      </c>
      <c r="J12409" t="n">
        <v>0</v>
      </c>
      <c r="K12409" t="n">
        <v>0</v>
      </c>
      <c r="L12409" t="n">
        <v>0</v>
      </c>
      <c r="M12409" t="n">
        <v>0</v>
      </c>
      <c r="N12409" t="n">
        <v>0</v>
      </c>
      <c r="O12409" t="n">
        <v>0</v>
      </c>
      <c r="P12409" t="n">
        <v>0</v>
      </c>
      <c r="Q12409" t="n">
        <v>0</v>
      </c>
      <c r="R12409" s="2" t="inlineStr"/>
    </row>
    <row r="12410" ht="15" customHeight="1">
      <c r="A12410" t="inlineStr">
        <is>
          <t>A 10494-2022</t>
        </is>
      </c>
      <c r="B12410" s="1" t="n">
        <v>44623.64945601852</v>
      </c>
      <c r="C12410" s="1" t="n">
        <v>45952</v>
      </c>
      <c r="D12410" t="inlineStr">
        <is>
          <t>VÄSTRA GÖTALANDS LÄN</t>
        </is>
      </c>
      <c r="E12410" t="inlineStr">
        <is>
          <t>TROLLHÄTTAN</t>
        </is>
      </c>
      <c r="G12410" t="n">
        <v>13.3</v>
      </c>
      <c r="H12410" t="n">
        <v>0</v>
      </c>
      <c r="I12410" t="n">
        <v>0</v>
      </c>
      <c r="J12410" t="n">
        <v>0</v>
      </c>
      <c r="K12410" t="n">
        <v>0</v>
      </c>
      <c r="L12410" t="n">
        <v>0</v>
      </c>
      <c r="M12410" t="n">
        <v>0</v>
      </c>
      <c r="N12410" t="n">
        <v>0</v>
      </c>
      <c r="O12410" t="n">
        <v>0</v>
      </c>
      <c r="P12410" t="n">
        <v>0</v>
      </c>
      <c r="Q12410" t="n">
        <v>0</v>
      </c>
      <c r="R12410" s="2" t="inlineStr"/>
    </row>
    <row r="12411" ht="15" customHeight="1">
      <c r="A12411" t="inlineStr">
        <is>
          <t>A 32558-2025</t>
        </is>
      </c>
      <c r="B12411" s="1" t="n">
        <v>45838.56883101852</v>
      </c>
      <c r="C12411" s="1" t="n">
        <v>45952</v>
      </c>
      <c r="D12411" t="inlineStr">
        <is>
          <t>VÄSTRA GÖTALANDS LÄN</t>
        </is>
      </c>
      <c r="E12411" t="inlineStr">
        <is>
          <t>SVENLJUNGA</t>
        </is>
      </c>
      <c r="G12411" t="n">
        <v>2.5</v>
      </c>
      <c r="H12411" t="n">
        <v>0</v>
      </c>
      <c r="I12411" t="n">
        <v>0</v>
      </c>
      <c r="J12411" t="n">
        <v>0</v>
      </c>
      <c r="K12411" t="n">
        <v>0</v>
      </c>
      <c r="L12411" t="n">
        <v>0</v>
      </c>
      <c r="M12411" t="n">
        <v>0</v>
      </c>
      <c r="N12411" t="n">
        <v>0</v>
      </c>
      <c r="O12411" t="n">
        <v>0</v>
      </c>
      <c r="P12411" t="n">
        <v>0</v>
      </c>
      <c r="Q12411" t="n">
        <v>0</v>
      </c>
      <c r="R12411" s="2" t="inlineStr"/>
    </row>
    <row r="12412" ht="15" customHeight="1">
      <c r="A12412" t="inlineStr">
        <is>
          <t>A 33189-2024</t>
        </is>
      </c>
      <c r="B12412" s="1" t="n">
        <v>45518.46695601852</v>
      </c>
      <c r="C12412" s="1" t="n">
        <v>45952</v>
      </c>
      <c r="D12412" t="inlineStr">
        <is>
          <t>VÄSTRA GÖTALANDS LÄN</t>
        </is>
      </c>
      <c r="E12412" t="inlineStr">
        <is>
          <t>MARK</t>
        </is>
      </c>
      <c r="F12412" t="inlineStr">
        <is>
          <t>Kyrkan</t>
        </is>
      </c>
      <c r="G12412" t="n">
        <v>0.5</v>
      </c>
      <c r="H12412" t="n">
        <v>0</v>
      </c>
      <c r="I12412" t="n">
        <v>0</v>
      </c>
      <c r="J12412" t="n">
        <v>0</v>
      </c>
      <c r="K12412" t="n">
        <v>0</v>
      </c>
      <c r="L12412" t="n">
        <v>0</v>
      </c>
      <c r="M12412" t="n">
        <v>0</v>
      </c>
      <c r="N12412" t="n">
        <v>0</v>
      </c>
      <c r="O12412" t="n">
        <v>0</v>
      </c>
      <c r="P12412" t="n">
        <v>0</v>
      </c>
      <c r="Q12412" t="n">
        <v>0</v>
      </c>
      <c r="R12412" s="2" t="inlineStr"/>
    </row>
    <row r="12413" ht="15" customHeight="1">
      <c r="A12413" t="inlineStr">
        <is>
          <t>A 32391-2025</t>
        </is>
      </c>
      <c r="B12413" s="1" t="n">
        <v>45837.90662037037</v>
      </c>
      <c r="C12413" s="1" t="n">
        <v>45952</v>
      </c>
      <c r="D12413" t="inlineStr">
        <is>
          <t>VÄSTRA GÖTALANDS LÄN</t>
        </is>
      </c>
      <c r="E12413" t="inlineStr">
        <is>
          <t>KUNGÄLV</t>
        </is>
      </c>
      <c r="G12413" t="n">
        <v>2.1</v>
      </c>
      <c r="H12413" t="n">
        <v>0</v>
      </c>
      <c r="I12413" t="n">
        <v>0</v>
      </c>
      <c r="J12413" t="n">
        <v>0</v>
      </c>
      <c r="K12413" t="n">
        <v>0</v>
      </c>
      <c r="L12413" t="n">
        <v>0</v>
      </c>
      <c r="M12413" t="n">
        <v>0</v>
      </c>
      <c r="N12413" t="n">
        <v>0</v>
      </c>
      <c r="O12413" t="n">
        <v>0</v>
      </c>
      <c r="P12413" t="n">
        <v>0</v>
      </c>
      <c r="Q12413" t="n">
        <v>0</v>
      </c>
      <c r="R12413" s="2" t="inlineStr"/>
    </row>
    <row r="12414" ht="15" customHeight="1">
      <c r="A12414" t="inlineStr">
        <is>
          <t>A 24218-2022</t>
        </is>
      </c>
      <c r="B12414" s="1" t="n">
        <v>44725</v>
      </c>
      <c r="C12414" s="1" t="n">
        <v>45952</v>
      </c>
      <c r="D12414" t="inlineStr">
        <is>
          <t>VÄSTRA GÖTALANDS LÄN</t>
        </is>
      </c>
      <c r="E12414" t="inlineStr">
        <is>
          <t>TRANEMO</t>
        </is>
      </c>
      <c r="G12414" t="n">
        <v>2.7</v>
      </c>
      <c r="H12414" t="n">
        <v>0</v>
      </c>
      <c r="I12414" t="n">
        <v>0</v>
      </c>
      <c r="J12414" t="n">
        <v>0</v>
      </c>
      <c r="K12414" t="n">
        <v>0</v>
      </c>
      <c r="L12414" t="n">
        <v>0</v>
      </c>
      <c r="M12414" t="n">
        <v>0</v>
      </c>
      <c r="N12414" t="n">
        <v>0</v>
      </c>
      <c r="O12414" t="n">
        <v>0</v>
      </c>
      <c r="P12414" t="n">
        <v>0</v>
      </c>
      <c r="Q12414" t="n">
        <v>0</v>
      </c>
      <c r="R12414" s="2" t="inlineStr"/>
    </row>
    <row r="12415" ht="15" customHeight="1">
      <c r="A12415" t="inlineStr">
        <is>
          <t>A 56331-2024</t>
        </is>
      </c>
      <c r="B12415" s="1" t="n">
        <v>45624.79915509259</v>
      </c>
      <c r="C12415" s="1" t="n">
        <v>45952</v>
      </c>
      <c r="D12415" t="inlineStr">
        <is>
          <t>VÄSTRA GÖTALANDS LÄN</t>
        </is>
      </c>
      <c r="E12415" t="inlineStr">
        <is>
          <t>BOLLEBYGD</t>
        </is>
      </c>
      <c r="G12415" t="n">
        <v>0.5</v>
      </c>
      <c r="H12415" t="n">
        <v>0</v>
      </c>
      <c r="I12415" t="n">
        <v>0</v>
      </c>
      <c r="J12415" t="n">
        <v>0</v>
      </c>
      <c r="K12415" t="n">
        <v>0</v>
      </c>
      <c r="L12415" t="n">
        <v>0</v>
      </c>
      <c r="M12415" t="n">
        <v>0</v>
      </c>
      <c r="N12415" t="n">
        <v>0</v>
      </c>
      <c r="O12415" t="n">
        <v>0</v>
      </c>
      <c r="P12415" t="n">
        <v>0</v>
      </c>
      <c r="Q12415" t="n">
        <v>0</v>
      </c>
      <c r="R12415" s="2" t="inlineStr"/>
    </row>
    <row r="12416" ht="15" customHeight="1">
      <c r="A12416" t="inlineStr">
        <is>
          <t>A 56341-2024</t>
        </is>
      </c>
      <c r="B12416" s="1" t="n">
        <v>45624.8387037037</v>
      </c>
      <c r="C12416" s="1" t="n">
        <v>45952</v>
      </c>
      <c r="D12416" t="inlineStr">
        <is>
          <t>VÄSTRA GÖTALANDS LÄN</t>
        </is>
      </c>
      <c r="E12416" t="inlineStr">
        <is>
          <t>DALS-ED</t>
        </is>
      </c>
      <c r="G12416" t="n">
        <v>3</v>
      </c>
      <c r="H12416" t="n">
        <v>0</v>
      </c>
      <c r="I12416" t="n">
        <v>0</v>
      </c>
      <c r="J12416" t="n">
        <v>0</v>
      </c>
      <c r="K12416" t="n">
        <v>0</v>
      </c>
      <c r="L12416" t="n">
        <v>0</v>
      </c>
      <c r="M12416" t="n">
        <v>0</v>
      </c>
      <c r="N12416" t="n">
        <v>0</v>
      </c>
      <c r="O12416" t="n">
        <v>0</v>
      </c>
      <c r="P12416" t="n">
        <v>0</v>
      </c>
      <c r="Q12416" t="n">
        <v>0</v>
      </c>
      <c r="R12416" s="2" t="inlineStr"/>
    </row>
    <row r="12417" ht="15" customHeight="1">
      <c r="A12417" t="inlineStr">
        <is>
          <t>A 32463-2025</t>
        </is>
      </c>
      <c r="B12417" s="1" t="n">
        <v>45838.41680555556</v>
      </c>
      <c r="C12417" s="1" t="n">
        <v>45952</v>
      </c>
      <c r="D12417" t="inlineStr">
        <is>
          <t>VÄSTRA GÖTALANDS LÄN</t>
        </is>
      </c>
      <c r="E12417" t="inlineStr">
        <is>
          <t>ALINGSÅS</t>
        </is>
      </c>
      <c r="G12417" t="n">
        <v>3.5</v>
      </c>
      <c r="H12417" t="n">
        <v>0</v>
      </c>
      <c r="I12417" t="n">
        <v>0</v>
      </c>
      <c r="J12417" t="n">
        <v>0</v>
      </c>
      <c r="K12417" t="n">
        <v>0</v>
      </c>
      <c r="L12417" t="n">
        <v>0</v>
      </c>
      <c r="M12417" t="n">
        <v>0</v>
      </c>
      <c r="N12417" t="n">
        <v>0</v>
      </c>
      <c r="O12417" t="n">
        <v>0</v>
      </c>
      <c r="P12417" t="n">
        <v>0</v>
      </c>
      <c r="Q12417" t="n">
        <v>0</v>
      </c>
      <c r="R12417" s="2" t="inlineStr"/>
    </row>
    <row r="12418" ht="15" customHeight="1">
      <c r="A12418" t="inlineStr">
        <is>
          <t>A 32837-2025</t>
        </is>
      </c>
      <c r="B12418" s="1" t="n">
        <v>45839.55925925926</v>
      </c>
      <c r="C12418" s="1" t="n">
        <v>45952</v>
      </c>
      <c r="D12418" t="inlineStr">
        <is>
          <t>VÄSTRA GÖTALANDS LÄN</t>
        </is>
      </c>
      <c r="E12418" t="inlineStr">
        <is>
          <t>SKÖVDE</t>
        </is>
      </c>
      <c r="G12418" t="n">
        <v>0.9</v>
      </c>
      <c r="H12418" t="n">
        <v>0</v>
      </c>
      <c r="I12418" t="n">
        <v>0</v>
      </c>
      <c r="J12418" t="n">
        <v>0</v>
      </c>
      <c r="K12418" t="n">
        <v>0</v>
      </c>
      <c r="L12418" t="n">
        <v>0</v>
      </c>
      <c r="M12418" t="n">
        <v>0</v>
      </c>
      <c r="N12418" t="n">
        <v>0</v>
      </c>
      <c r="O12418" t="n">
        <v>0</v>
      </c>
      <c r="P12418" t="n">
        <v>0</v>
      </c>
      <c r="Q12418" t="n">
        <v>0</v>
      </c>
      <c r="R12418" s="2" t="inlineStr"/>
    </row>
    <row r="12419" ht="15" customHeight="1">
      <c r="A12419" t="inlineStr">
        <is>
          <t>A 34952-2024</t>
        </is>
      </c>
      <c r="B12419" s="1" t="n">
        <v>45527.48158564815</v>
      </c>
      <c r="C12419" s="1" t="n">
        <v>45952</v>
      </c>
      <c r="D12419" t="inlineStr">
        <is>
          <t>VÄSTRA GÖTALANDS LÄN</t>
        </is>
      </c>
      <c r="E12419" t="inlineStr">
        <is>
          <t>HERRLJUNGA</t>
        </is>
      </c>
      <c r="G12419" t="n">
        <v>0.8</v>
      </c>
      <c r="H12419" t="n">
        <v>0</v>
      </c>
      <c r="I12419" t="n">
        <v>0</v>
      </c>
      <c r="J12419" t="n">
        <v>0</v>
      </c>
      <c r="K12419" t="n">
        <v>0</v>
      </c>
      <c r="L12419" t="n">
        <v>0</v>
      </c>
      <c r="M12419" t="n">
        <v>0</v>
      </c>
      <c r="N12419" t="n">
        <v>0</v>
      </c>
      <c r="O12419" t="n">
        <v>0</v>
      </c>
      <c r="P12419" t="n">
        <v>0</v>
      </c>
      <c r="Q12419" t="n">
        <v>0</v>
      </c>
      <c r="R12419" s="2" t="inlineStr"/>
    </row>
    <row r="12420" ht="15" customHeight="1">
      <c r="A12420" t="inlineStr">
        <is>
          <t>A 58797-2022</t>
        </is>
      </c>
      <c r="B12420" s="1" t="n">
        <v>44903.42677083334</v>
      </c>
      <c r="C12420" s="1" t="n">
        <v>45952</v>
      </c>
      <c r="D12420" t="inlineStr">
        <is>
          <t>VÄSTRA GÖTALANDS LÄN</t>
        </is>
      </c>
      <c r="E12420" t="inlineStr">
        <is>
          <t>BENGTSFORS</t>
        </is>
      </c>
      <c r="G12420" t="n">
        <v>1.4</v>
      </c>
      <c r="H12420" t="n">
        <v>0</v>
      </c>
      <c r="I12420" t="n">
        <v>0</v>
      </c>
      <c r="J12420" t="n">
        <v>0</v>
      </c>
      <c r="K12420" t="n">
        <v>0</v>
      </c>
      <c r="L12420" t="n">
        <v>0</v>
      </c>
      <c r="M12420" t="n">
        <v>0</v>
      </c>
      <c r="N12420" t="n">
        <v>0</v>
      </c>
      <c r="O12420" t="n">
        <v>0</v>
      </c>
      <c r="P12420" t="n">
        <v>0</v>
      </c>
      <c r="Q12420" t="n">
        <v>0</v>
      </c>
      <c r="R12420" s="2" t="inlineStr"/>
    </row>
    <row r="12421" ht="15" customHeight="1">
      <c r="A12421" t="inlineStr">
        <is>
          <t>A 54560-2023</t>
        </is>
      </c>
      <c r="B12421" s="1" t="n">
        <v>45233</v>
      </c>
      <c r="C12421" s="1" t="n">
        <v>45952</v>
      </c>
      <c r="D12421" t="inlineStr">
        <is>
          <t>VÄSTRA GÖTALANDS LÄN</t>
        </is>
      </c>
      <c r="E12421" t="inlineStr">
        <is>
          <t>BENGTSFORS</t>
        </is>
      </c>
      <c r="G12421" t="n">
        <v>0.8</v>
      </c>
      <c r="H12421" t="n">
        <v>0</v>
      </c>
      <c r="I12421" t="n">
        <v>0</v>
      </c>
      <c r="J12421" t="n">
        <v>0</v>
      </c>
      <c r="K12421" t="n">
        <v>0</v>
      </c>
      <c r="L12421" t="n">
        <v>0</v>
      </c>
      <c r="M12421" t="n">
        <v>0</v>
      </c>
      <c r="N12421" t="n">
        <v>0</v>
      </c>
      <c r="O12421" t="n">
        <v>0</v>
      </c>
      <c r="P12421" t="n">
        <v>0</v>
      </c>
      <c r="Q12421" t="n">
        <v>0</v>
      </c>
      <c r="R12421" s="2" t="inlineStr"/>
    </row>
    <row r="12422" ht="15" customHeight="1">
      <c r="A12422" t="inlineStr">
        <is>
          <t>A 32850-2025</t>
        </is>
      </c>
      <c r="B12422" s="1" t="n">
        <v>45839.57383101852</v>
      </c>
      <c r="C12422" s="1" t="n">
        <v>45952</v>
      </c>
      <c r="D12422" t="inlineStr">
        <is>
          <t>VÄSTRA GÖTALANDS LÄN</t>
        </is>
      </c>
      <c r="E12422" t="inlineStr">
        <is>
          <t>SKARA</t>
        </is>
      </c>
      <c r="G12422" t="n">
        <v>0.8</v>
      </c>
      <c r="H12422" t="n">
        <v>0</v>
      </c>
      <c r="I12422" t="n">
        <v>0</v>
      </c>
      <c r="J12422" t="n">
        <v>0</v>
      </c>
      <c r="K12422" t="n">
        <v>0</v>
      </c>
      <c r="L12422" t="n">
        <v>0</v>
      </c>
      <c r="M12422" t="n">
        <v>0</v>
      </c>
      <c r="N12422" t="n">
        <v>0</v>
      </c>
      <c r="O12422" t="n">
        <v>0</v>
      </c>
      <c r="P12422" t="n">
        <v>0</v>
      </c>
      <c r="Q12422" t="n">
        <v>0</v>
      </c>
      <c r="R12422" s="2" t="inlineStr"/>
    </row>
    <row r="12423" ht="15" customHeight="1">
      <c r="A12423" t="inlineStr">
        <is>
          <t>A 4703-2024</t>
        </is>
      </c>
      <c r="B12423" s="1" t="n">
        <v>45328</v>
      </c>
      <c r="C12423" s="1" t="n">
        <v>45952</v>
      </c>
      <c r="D12423" t="inlineStr">
        <is>
          <t>VÄSTRA GÖTALANDS LÄN</t>
        </is>
      </c>
      <c r="E12423" t="inlineStr">
        <is>
          <t>TRANEMO</t>
        </is>
      </c>
      <c r="F12423" t="inlineStr">
        <is>
          <t>Sveaskog</t>
        </is>
      </c>
      <c r="G12423" t="n">
        <v>2.9</v>
      </c>
      <c r="H12423" t="n">
        <v>0</v>
      </c>
      <c r="I12423" t="n">
        <v>0</v>
      </c>
      <c r="J12423" t="n">
        <v>0</v>
      </c>
      <c r="K12423" t="n">
        <v>0</v>
      </c>
      <c r="L12423" t="n">
        <v>0</v>
      </c>
      <c r="M12423" t="n">
        <v>0</v>
      </c>
      <c r="N12423" t="n">
        <v>0</v>
      </c>
      <c r="O12423" t="n">
        <v>0</v>
      </c>
      <c r="P12423" t="n">
        <v>0</v>
      </c>
      <c r="Q12423" t="n">
        <v>0</v>
      </c>
      <c r="R12423" s="2" t="inlineStr"/>
    </row>
    <row r="12424" ht="15" customHeight="1">
      <c r="A12424" t="inlineStr">
        <is>
          <t>A 4706-2024</t>
        </is>
      </c>
      <c r="B12424" s="1" t="n">
        <v>45328</v>
      </c>
      <c r="C12424" s="1" t="n">
        <v>45952</v>
      </c>
      <c r="D12424" t="inlineStr">
        <is>
          <t>VÄSTRA GÖTALANDS LÄN</t>
        </is>
      </c>
      <c r="E12424" t="inlineStr">
        <is>
          <t>TRANEMO</t>
        </is>
      </c>
      <c r="F12424" t="inlineStr">
        <is>
          <t>Sveaskog</t>
        </is>
      </c>
      <c r="G12424" t="n">
        <v>1.1</v>
      </c>
      <c r="H12424" t="n">
        <v>0</v>
      </c>
      <c r="I12424" t="n">
        <v>0</v>
      </c>
      <c r="J12424" t="n">
        <v>0</v>
      </c>
      <c r="K12424" t="n">
        <v>0</v>
      </c>
      <c r="L12424" t="n">
        <v>0</v>
      </c>
      <c r="M12424" t="n">
        <v>0</v>
      </c>
      <c r="N12424" t="n">
        <v>0</v>
      </c>
      <c r="O12424" t="n">
        <v>0</v>
      </c>
      <c r="P12424" t="n">
        <v>0</v>
      </c>
      <c r="Q12424" t="n">
        <v>0</v>
      </c>
      <c r="R12424" s="2" t="inlineStr"/>
    </row>
    <row r="12425" ht="15" customHeight="1">
      <c r="A12425" t="inlineStr">
        <is>
          <t>A 56419-2024</t>
        </is>
      </c>
      <c r="B12425" s="1" t="n">
        <v>45623</v>
      </c>
      <c r="C12425" s="1" t="n">
        <v>45952</v>
      </c>
      <c r="D12425" t="inlineStr">
        <is>
          <t>VÄSTRA GÖTALANDS LÄN</t>
        </is>
      </c>
      <c r="E12425" t="inlineStr">
        <is>
          <t>LIDKÖPING</t>
        </is>
      </c>
      <c r="G12425" t="n">
        <v>5.6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54563-2023</t>
        </is>
      </c>
      <c r="B12426" s="1" t="n">
        <v>45233.64104166667</v>
      </c>
      <c r="C12426" s="1" t="n">
        <v>45952</v>
      </c>
      <c r="D12426" t="inlineStr">
        <is>
          <t>VÄSTRA GÖTALANDS LÄN</t>
        </is>
      </c>
      <c r="E12426" t="inlineStr">
        <is>
          <t>HERRLJUNGA</t>
        </is>
      </c>
      <c r="G12426" t="n">
        <v>1.3</v>
      </c>
      <c r="H12426" t="n">
        <v>0</v>
      </c>
      <c r="I12426" t="n">
        <v>0</v>
      </c>
      <c r="J12426" t="n">
        <v>0</v>
      </c>
      <c r="K12426" t="n">
        <v>0</v>
      </c>
      <c r="L12426" t="n">
        <v>0</v>
      </c>
      <c r="M12426" t="n">
        <v>0</v>
      </c>
      <c r="N12426" t="n">
        <v>0</v>
      </c>
      <c r="O12426" t="n">
        <v>0</v>
      </c>
      <c r="P12426" t="n">
        <v>0</v>
      </c>
      <c r="Q12426" t="n">
        <v>0</v>
      </c>
      <c r="R12426" s="2" t="inlineStr"/>
    </row>
    <row r="12427" ht="15" customHeight="1">
      <c r="A12427" t="inlineStr">
        <is>
          <t>A 32408-2025</t>
        </is>
      </c>
      <c r="B12427" s="1" t="n">
        <v>45838.32111111111</v>
      </c>
      <c r="C12427" s="1" t="n">
        <v>45952</v>
      </c>
      <c r="D12427" t="inlineStr">
        <is>
          <t>VÄSTRA GÖTALANDS LÄN</t>
        </is>
      </c>
      <c r="E12427" t="inlineStr">
        <is>
          <t>HERRLJUNGA</t>
        </is>
      </c>
      <c r="G12427" t="n">
        <v>7.2</v>
      </c>
      <c r="H12427" t="n">
        <v>0</v>
      </c>
      <c r="I12427" t="n">
        <v>0</v>
      </c>
      <c r="J12427" t="n">
        <v>0</v>
      </c>
      <c r="K12427" t="n">
        <v>0</v>
      </c>
      <c r="L12427" t="n">
        <v>0</v>
      </c>
      <c r="M12427" t="n">
        <v>0</v>
      </c>
      <c r="N12427" t="n">
        <v>0</v>
      </c>
      <c r="O12427" t="n">
        <v>0</v>
      </c>
      <c r="P12427" t="n">
        <v>0</v>
      </c>
      <c r="Q12427" t="n">
        <v>0</v>
      </c>
      <c r="R12427" s="2" t="inlineStr"/>
    </row>
    <row r="12428" ht="15" customHeight="1">
      <c r="A12428" t="inlineStr">
        <is>
          <t>A 32526-2025</t>
        </is>
      </c>
      <c r="B12428" s="1" t="n">
        <v>45838.48921296297</v>
      </c>
      <c r="C12428" s="1" t="n">
        <v>45952</v>
      </c>
      <c r="D12428" t="inlineStr">
        <is>
          <t>VÄSTRA GÖTALANDS LÄN</t>
        </is>
      </c>
      <c r="E12428" t="inlineStr">
        <is>
          <t>ULRICEHAMN</t>
        </is>
      </c>
      <c r="G12428" t="n">
        <v>2.5</v>
      </c>
      <c r="H12428" t="n">
        <v>0</v>
      </c>
      <c r="I12428" t="n">
        <v>0</v>
      </c>
      <c r="J12428" t="n">
        <v>0</v>
      </c>
      <c r="K12428" t="n">
        <v>0</v>
      </c>
      <c r="L12428" t="n">
        <v>0</v>
      </c>
      <c r="M12428" t="n">
        <v>0</v>
      </c>
      <c r="N12428" t="n">
        <v>0</v>
      </c>
      <c r="O12428" t="n">
        <v>0</v>
      </c>
      <c r="P12428" t="n">
        <v>0</v>
      </c>
      <c r="Q12428" t="n">
        <v>0</v>
      </c>
      <c r="R12428" s="2" t="inlineStr"/>
    </row>
    <row r="12429" ht="15" customHeight="1">
      <c r="A12429" t="inlineStr">
        <is>
          <t>A 32832-2025</t>
        </is>
      </c>
      <c r="B12429" s="1" t="n">
        <v>45839.55377314815</v>
      </c>
      <c r="C12429" s="1" t="n">
        <v>45952</v>
      </c>
      <c r="D12429" t="inlineStr">
        <is>
          <t>VÄSTRA GÖTALANDS LÄN</t>
        </is>
      </c>
      <c r="E12429" t="inlineStr">
        <is>
          <t>MELLERUD</t>
        </is>
      </c>
      <c r="G12429" t="n">
        <v>2.1</v>
      </c>
      <c r="H12429" t="n">
        <v>0</v>
      </c>
      <c r="I12429" t="n">
        <v>0</v>
      </c>
      <c r="J12429" t="n">
        <v>0</v>
      </c>
      <c r="K12429" t="n">
        <v>0</v>
      </c>
      <c r="L12429" t="n">
        <v>0</v>
      </c>
      <c r="M12429" t="n">
        <v>0</v>
      </c>
      <c r="N12429" t="n">
        <v>0</v>
      </c>
      <c r="O12429" t="n">
        <v>0</v>
      </c>
      <c r="P12429" t="n">
        <v>0</v>
      </c>
      <c r="Q12429" t="n">
        <v>0</v>
      </c>
      <c r="R12429" s="2" t="inlineStr"/>
    </row>
    <row r="12430" ht="15" customHeight="1">
      <c r="A12430" t="inlineStr">
        <is>
          <t>A 32602-2025</t>
        </is>
      </c>
      <c r="B12430" s="1" t="n">
        <v>45838.62430555555</v>
      </c>
      <c r="C12430" s="1" t="n">
        <v>45952</v>
      </c>
      <c r="D12430" t="inlineStr">
        <is>
          <t>VÄSTRA GÖTALANDS LÄN</t>
        </is>
      </c>
      <c r="E12430" t="inlineStr">
        <is>
          <t>ULRICEHAMN</t>
        </is>
      </c>
      <c r="F12430" t="inlineStr">
        <is>
          <t>Sveaskog</t>
        </is>
      </c>
      <c r="G12430" t="n">
        <v>8</v>
      </c>
      <c r="H12430" t="n">
        <v>0</v>
      </c>
      <c r="I12430" t="n">
        <v>0</v>
      </c>
      <c r="J12430" t="n">
        <v>0</v>
      </c>
      <c r="K12430" t="n">
        <v>0</v>
      </c>
      <c r="L12430" t="n">
        <v>0</v>
      </c>
      <c r="M12430" t="n">
        <v>0</v>
      </c>
      <c r="N12430" t="n">
        <v>0</v>
      </c>
      <c r="O12430" t="n">
        <v>0</v>
      </c>
      <c r="P12430" t="n">
        <v>0</v>
      </c>
      <c r="Q12430" t="n">
        <v>0</v>
      </c>
      <c r="R12430" s="2" t="inlineStr"/>
    </row>
    <row r="12431" ht="15" customHeight="1">
      <c r="A12431" t="inlineStr">
        <is>
          <t>A 7392-2022</t>
        </is>
      </c>
      <c r="B12431" s="1" t="n">
        <v>44606.63405092592</v>
      </c>
      <c r="C12431" s="1" t="n">
        <v>45952</v>
      </c>
      <c r="D12431" t="inlineStr">
        <is>
          <t>VÄSTRA GÖTALANDS LÄN</t>
        </is>
      </c>
      <c r="E12431" t="inlineStr">
        <is>
          <t>HJO</t>
        </is>
      </c>
      <c r="G12431" t="n">
        <v>5.2</v>
      </c>
      <c r="H12431" t="n">
        <v>0</v>
      </c>
      <c r="I12431" t="n">
        <v>0</v>
      </c>
      <c r="J12431" t="n">
        <v>0</v>
      </c>
      <c r="K12431" t="n">
        <v>0</v>
      </c>
      <c r="L12431" t="n">
        <v>0</v>
      </c>
      <c r="M12431" t="n">
        <v>0</v>
      </c>
      <c r="N12431" t="n">
        <v>0</v>
      </c>
      <c r="O12431" t="n">
        <v>0</v>
      </c>
      <c r="P12431" t="n">
        <v>0</v>
      </c>
      <c r="Q12431" t="n">
        <v>0</v>
      </c>
      <c r="R12431" s="2" t="inlineStr"/>
    </row>
    <row r="12432" ht="15" customHeight="1">
      <c r="A12432" t="inlineStr">
        <is>
          <t>A 32621-2025</t>
        </is>
      </c>
      <c r="B12432" s="1" t="n">
        <v>45838.64636574074</v>
      </c>
      <c r="C12432" s="1" t="n">
        <v>45952</v>
      </c>
      <c r="D12432" t="inlineStr">
        <is>
          <t>VÄSTRA GÖTALANDS LÄN</t>
        </is>
      </c>
      <c r="E12432" t="inlineStr">
        <is>
          <t>ULRICEHAMN</t>
        </is>
      </c>
      <c r="F12432" t="inlineStr">
        <is>
          <t>Sveaskog</t>
        </is>
      </c>
      <c r="G12432" t="n">
        <v>2.7</v>
      </c>
      <c r="H12432" t="n">
        <v>0</v>
      </c>
      <c r="I12432" t="n">
        <v>0</v>
      </c>
      <c r="J12432" t="n">
        <v>0</v>
      </c>
      <c r="K12432" t="n">
        <v>0</v>
      </c>
      <c r="L12432" t="n">
        <v>0</v>
      </c>
      <c r="M12432" t="n">
        <v>0</v>
      </c>
      <c r="N12432" t="n">
        <v>0</v>
      </c>
      <c r="O12432" t="n">
        <v>0</v>
      </c>
      <c r="P12432" t="n">
        <v>0</v>
      </c>
      <c r="Q12432" t="n">
        <v>0</v>
      </c>
      <c r="R12432" s="2" t="inlineStr"/>
    </row>
    <row r="12433" ht="15" customHeight="1">
      <c r="A12433" t="inlineStr">
        <is>
          <t>A 32967-2025</t>
        </is>
      </c>
      <c r="B12433" s="1" t="n">
        <v>45839.72451388889</v>
      </c>
      <c r="C12433" s="1" t="n">
        <v>45952</v>
      </c>
      <c r="D12433" t="inlineStr">
        <is>
          <t>VÄSTRA GÖTALANDS LÄN</t>
        </is>
      </c>
      <c r="E12433" t="inlineStr">
        <is>
          <t>GÖTENE</t>
        </is>
      </c>
      <c r="G12433" t="n">
        <v>0.9</v>
      </c>
      <c r="H12433" t="n">
        <v>0</v>
      </c>
      <c r="I12433" t="n">
        <v>0</v>
      </c>
      <c r="J12433" t="n">
        <v>0</v>
      </c>
      <c r="K12433" t="n">
        <v>0</v>
      </c>
      <c r="L12433" t="n">
        <v>0</v>
      </c>
      <c r="M12433" t="n">
        <v>0</v>
      </c>
      <c r="N12433" t="n">
        <v>0</v>
      </c>
      <c r="O12433" t="n">
        <v>0</v>
      </c>
      <c r="P12433" t="n">
        <v>0</v>
      </c>
      <c r="Q12433" t="n">
        <v>0</v>
      </c>
      <c r="R12433" s="2" t="inlineStr"/>
    </row>
    <row r="12434" ht="15" customHeight="1">
      <c r="A12434" t="inlineStr">
        <is>
          <t>A 32728-2025</t>
        </is>
      </c>
      <c r="B12434" s="1" t="n">
        <v>45839</v>
      </c>
      <c r="C12434" s="1" t="n">
        <v>45952</v>
      </c>
      <c r="D12434" t="inlineStr">
        <is>
          <t>VÄSTRA GÖTALANDS LÄN</t>
        </is>
      </c>
      <c r="E12434" t="inlineStr">
        <is>
          <t>TANUM</t>
        </is>
      </c>
      <c r="G12434" t="n">
        <v>0.6</v>
      </c>
      <c r="H12434" t="n">
        <v>0</v>
      </c>
      <c r="I12434" t="n">
        <v>0</v>
      </c>
      <c r="J12434" t="n">
        <v>0</v>
      </c>
      <c r="K12434" t="n">
        <v>0</v>
      </c>
      <c r="L12434" t="n">
        <v>0</v>
      </c>
      <c r="M12434" t="n">
        <v>0</v>
      </c>
      <c r="N12434" t="n">
        <v>0</v>
      </c>
      <c r="O12434" t="n">
        <v>0</v>
      </c>
      <c r="P12434" t="n">
        <v>0</v>
      </c>
      <c r="Q12434" t="n">
        <v>0</v>
      </c>
      <c r="R12434" s="2" t="inlineStr"/>
    </row>
    <row r="12435" ht="15" customHeight="1">
      <c r="A12435" t="inlineStr">
        <is>
          <t>A 32392-2025</t>
        </is>
      </c>
      <c r="B12435" s="1" t="n">
        <v>45837.9102199074</v>
      </c>
      <c r="C12435" s="1" t="n">
        <v>45952</v>
      </c>
      <c r="D12435" t="inlineStr">
        <is>
          <t>VÄSTRA GÖTALANDS LÄN</t>
        </is>
      </c>
      <c r="E12435" t="inlineStr">
        <is>
          <t>KUNGÄLV</t>
        </is>
      </c>
      <c r="G12435" t="n">
        <v>0.7</v>
      </c>
      <c r="H12435" t="n">
        <v>0</v>
      </c>
      <c r="I12435" t="n">
        <v>0</v>
      </c>
      <c r="J12435" t="n">
        <v>0</v>
      </c>
      <c r="K12435" t="n">
        <v>0</v>
      </c>
      <c r="L12435" t="n">
        <v>0</v>
      </c>
      <c r="M12435" t="n">
        <v>0</v>
      </c>
      <c r="N12435" t="n">
        <v>0</v>
      </c>
      <c r="O12435" t="n">
        <v>0</v>
      </c>
      <c r="P12435" t="n">
        <v>0</v>
      </c>
      <c r="Q12435" t="n">
        <v>0</v>
      </c>
      <c r="R12435" s="2" t="inlineStr"/>
    </row>
    <row r="12436" ht="15" customHeight="1">
      <c r="A12436" t="inlineStr">
        <is>
          <t>A 32461-2025</t>
        </is>
      </c>
      <c r="B12436" s="1" t="n">
        <v>45838.41554398148</v>
      </c>
      <c r="C12436" s="1" t="n">
        <v>45952</v>
      </c>
      <c r="D12436" t="inlineStr">
        <is>
          <t>VÄSTRA GÖTALANDS LÄN</t>
        </is>
      </c>
      <c r="E12436" t="inlineStr">
        <is>
          <t>ULRICEHAMN</t>
        </is>
      </c>
      <c r="G12436" t="n">
        <v>2.1</v>
      </c>
      <c r="H12436" t="n">
        <v>0</v>
      </c>
      <c r="I12436" t="n">
        <v>0</v>
      </c>
      <c r="J12436" t="n">
        <v>0</v>
      </c>
      <c r="K12436" t="n">
        <v>0</v>
      </c>
      <c r="L12436" t="n">
        <v>0</v>
      </c>
      <c r="M12436" t="n">
        <v>0</v>
      </c>
      <c r="N12436" t="n">
        <v>0</v>
      </c>
      <c r="O12436" t="n">
        <v>0</v>
      </c>
      <c r="P12436" t="n">
        <v>0</v>
      </c>
      <c r="Q12436" t="n">
        <v>0</v>
      </c>
      <c r="R12436" s="2" t="inlineStr"/>
    </row>
    <row r="12437" ht="15" customHeight="1">
      <c r="A12437" t="inlineStr">
        <is>
          <t>A 46364-2024</t>
        </is>
      </c>
      <c r="B12437" s="1" t="n">
        <v>45582.3631712963</v>
      </c>
      <c r="C12437" s="1" t="n">
        <v>45952</v>
      </c>
      <c r="D12437" t="inlineStr">
        <is>
          <t>VÄSTRA GÖTALANDS LÄN</t>
        </is>
      </c>
      <c r="E12437" t="inlineStr">
        <is>
          <t>TROLLHÄTTAN</t>
        </is>
      </c>
      <c r="G12437" t="n">
        <v>1.4</v>
      </c>
      <c r="H12437" t="n">
        <v>0</v>
      </c>
      <c r="I12437" t="n">
        <v>0</v>
      </c>
      <c r="J12437" t="n">
        <v>0</v>
      </c>
      <c r="K12437" t="n">
        <v>0</v>
      </c>
      <c r="L12437" t="n">
        <v>0</v>
      </c>
      <c r="M12437" t="n">
        <v>0</v>
      </c>
      <c r="N12437" t="n">
        <v>0</v>
      </c>
      <c r="O12437" t="n">
        <v>0</v>
      </c>
      <c r="P12437" t="n">
        <v>0</v>
      </c>
      <c r="Q12437" t="n">
        <v>0</v>
      </c>
      <c r="R12437" s="2" t="inlineStr"/>
    </row>
    <row r="12438" ht="15" customHeight="1">
      <c r="A12438" t="inlineStr">
        <is>
          <t>A 32789-2025</t>
        </is>
      </c>
      <c r="B12438" s="1" t="n">
        <v>45839.48761574074</v>
      </c>
      <c r="C12438" s="1" t="n">
        <v>45952</v>
      </c>
      <c r="D12438" t="inlineStr">
        <is>
          <t>VÄSTRA GÖTALANDS LÄN</t>
        </is>
      </c>
      <c r="E12438" t="inlineStr">
        <is>
          <t>FÄRGELANDA</t>
        </is>
      </c>
      <c r="G12438" t="n">
        <v>20.6</v>
      </c>
      <c r="H12438" t="n">
        <v>0</v>
      </c>
      <c r="I12438" t="n">
        <v>0</v>
      </c>
      <c r="J12438" t="n">
        <v>0</v>
      </c>
      <c r="K12438" t="n">
        <v>0</v>
      </c>
      <c r="L12438" t="n">
        <v>0</v>
      </c>
      <c r="M12438" t="n">
        <v>0</v>
      </c>
      <c r="N12438" t="n">
        <v>0</v>
      </c>
      <c r="O12438" t="n">
        <v>0</v>
      </c>
      <c r="P12438" t="n">
        <v>0</v>
      </c>
      <c r="Q12438" t="n">
        <v>0</v>
      </c>
      <c r="R12438" s="2" t="inlineStr"/>
    </row>
    <row r="12439" ht="15" customHeight="1">
      <c r="A12439" t="inlineStr">
        <is>
          <t>A 32532-2025</t>
        </is>
      </c>
      <c r="B12439" s="1" t="n">
        <v>45838.49251157408</v>
      </c>
      <c r="C12439" s="1" t="n">
        <v>45952</v>
      </c>
      <c r="D12439" t="inlineStr">
        <is>
          <t>VÄSTRA GÖTALANDS LÄN</t>
        </is>
      </c>
      <c r="E12439" t="inlineStr">
        <is>
          <t>ULRICEHAMN</t>
        </is>
      </c>
      <c r="G12439" t="n">
        <v>1.1</v>
      </c>
      <c r="H12439" t="n">
        <v>0</v>
      </c>
      <c r="I12439" t="n">
        <v>0</v>
      </c>
      <c r="J12439" t="n">
        <v>0</v>
      </c>
      <c r="K12439" t="n">
        <v>0</v>
      </c>
      <c r="L12439" t="n">
        <v>0</v>
      </c>
      <c r="M12439" t="n">
        <v>0</v>
      </c>
      <c r="N12439" t="n">
        <v>0</v>
      </c>
      <c r="O12439" t="n">
        <v>0</v>
      </c>
      <c r="P12439" t="n">
        <v>0</v>
      </c>
      <c r="Q12439" t="n">
        <v>0</v>
      </c>
      <c r="R12439" s="2" t="inlineStr"/>
    </row>
    <row r="12440" ht="15" customHeight="1">
      <c r="A12440" t="inlineStr">
        <is>
          <t>A 32559-2025</t>
        </is>
      </c>
      <c r="B12440" s="1" t="n">
        <v>45838.57185185186</v>
      </c>
      <c r="C12440" s="1" t="n">
        <v>45952</v>
      </c>
      <c r="D12440" t="inlineStr">
        <is>
          <t>VÄSTRA GÖTALANDS LÄN</t>
        </is>
      </c>
      <c r="E12440" t="inlineStr">
        <is>
          <t>TIDAHOLM</t>
        </is>
      </c>
      <c r="G12440" t="n">
        <v>3.4</v>
      </c>
      <c r="H12440" t="n">
        <v>0</v>
      </c>
      <c r="I12440" t="n">
        <v>0</v>
      </c>
      <c r="J12440" t="n">
        <v>0</v>
      </c>
      <c r="K12440" t="n">
        <v>0</v>
      </c>
      <c r="L12440" t="n">
        <v>0</v>
      </c>
      <c r="M12440" t="n">
        <v>0</v>
      </c>
      <c r="N12440" t="n">
        <v>0</v>
      </c>
      <c r="O12440" t="n">
        <v>0</v>
      </c>
      <c r="P12440" t="n">
        <v>0</v>
      </c>
      <c r="Q12440" t="n">
        <v>0</v>
      </c>
      <c r="R12440" s="2" t="inlineStr"/>
    </row>
    <row r="12441" ht="15" customHeight="1">
      <c r="A12441" t="inlineStr">
        <is>
          <t>A 19049-2021</t>
        </is>
      </c>
      <c r="B12441" s="1" t="n">
        <v>44308</v>
      </c>
      <c r="C12441" s="1" t="n">
        <v>45952</v>
      </c>
      <c r="D12441" t="inlineStr">
        <is>
          <t>VÄSTRA GÖTALANDS LÄN</t>
        </is>
      </c>
      <c r="E12441" t="inlineStr">
        <is>
          <t>TROLLHÄTTAN</t>
        </is>
      </c>
      <c r="G12441" t="n">
        <v>1.4</v>
      </c>
      <c r="H12441" t="n">
        <v>0</v>
      </c>
      <c r="I12441" t="n">
        <v>0</v>
      </c>
      <c r="J12441" t="n">
        <v>0</v>
      </c>
      <c r="K12441" t="n">
        <v>0</v>
      </c>
      <c r="L12441" t="n">
        <v>0</v>
      </c>
      <c r="M12441" t="n">
        <v>0</v>
      </c>
      <c r="N12441" t="n">
        <v>0</v>
      </c>
      <c r="O12441" t="n">
        <v>0</v>
      </c>
      <c r="P12441" t="n">
        <v>0</v>
      </c>
      <c r="Q12441" t="n">
        <v>0</v>
      </c>
      <c r="R12441" s="2" t="inlineStr"/>
    </row>
    <row r="12442" ht="15" customHeight="1">
      <c r="A12442" t="inlineStr">
        <is>
          <t>A 45647-2022</t>
        </is>
      </c>
      <c r="B12442" s="1" t="n">
        <v>44845</v>
      </c>
      <c r="C12442" s="1" t="n">
        <v>45952</v>
      </c>
      <c r="D12442" t="inlineStr">
        <is>
          <t>VÄSTRA GÖTALANDS LÄN</t>
        </is>
      </c>
      <c r="E12442" t="inlineStr">
        <is>
          <t>ULRICEHAMN</t>
        </is>
      </c>
      <c r="G12442" t="n">
        <v>1.8</v>
      </c>
      <c r="H12442" t="n">
        <v>0</v>
      </c>
      <c r="I12442" t="n">
        <v>0</v>
      </c>
      <c r="J12442" t="n">
        <v>0</v>
      </c>
      <c r="K12442" t="n">
        <v>0</v>
      </c>
      <c r="L12442" t="n">
        <v>0</v>
      </c>
      <c r="M12442" t="n">
        <v>0</v>
      </c>
      <c r="N12442" t="n">
        <v>0</v>
      </c>
      <c r="O12442" t="n">
        <v>0</v>
      </c>
      <c r="P12442" t="n">
        <v>0</v>
      </c>
      <c r="Q12442" t="n">
        <v>0</v>
      </c>
      <c r="R12442" s="2" t="inlineStr"/>
    </row>
    <row r="12443" ht="15" customHeight="1">
      <c r="A12443" t="inlineStr">
        <is>
          <t>A 32560-2025</t>
        </is>
      </c>
      <c r="B12443" s="1" t="n">
        <v>45838.57230324074</v>
      </c>
      <c r="C12443" s="1" t="n">
        <v>45952</v>
      </c>
      <c r="D12443" t="inlineStr">
        <is>
          <t>VÄSTRA GÖTALANDS LÄN</t>
        </is>
      </c>
      <c r="E12443" t="inlineStr">
        <is>
          <t>TIDAHOLM</t>
        </is>
      </c>
      <c r="G12443" t="n">
        <v>0.6</v>
      </c>
      <c r="H12443" t="n">
        <v>0</v>
      </c>
      <c r="I12443" t="n">
        <v>0</v>
      </c>
      <c r="J12443" t="n">
        <v>0</v>
      </c>
      <c r="K12443" t="n">
        <v>0</v>
      </c>
      <c r="L12443" t="n">
        <v>0</v>
      </c>
      <c r="M12443" t="n">
        <v>0</v>
      </c>
      <c r="N12443" t="n">
        <v>0</v>
      </c>
      <c r="O12443" t="n">
        <v>0</v>
      </c>
      <c r="P12443" t="n">
        <v>0</v>
      </c>
      <c r="Q12443" t="n">
        <v>0</v>
      </c>
      <c r="R12443" s="2" t="inlineStr"/>
    </row>
    <row r="12444" ht="15" customHeight="1">
      <c r="A12444" t="inlineStr">
        <is>
          <t>A 6438-2024</t>
        </is>
      </c>
      <c r="B12444" s="1" t="n">
        <v>45338</v>
      </c>
      <c r="C12444" s="1" t="n">
        <v>45952</v>
      </c>
      <c r="D12444" t="inlineStr">
        <is>
          <t>VÄSTRA GÖTALANDS LÄN</t>
        </is>
      </c>
      <c r="E12444" t="inlineStr">
        <is>
          <t>ULRICEHAMN</t>
        </is>
      </c>
      <c r="G12444" t="n">
        <v>3.9</v>
      </c>
      <c r="H12444" t="n">
        <v>0</v>
      </c>
      <c r="I12444" t="n">
        <v>0</v>
      </c>
      <c r="J12444" t="n">
        <v>0</v>
      </c>
      <c r="K12444" t="n">
        <v>0</v>
      </c>
      <c r="L12444" t="n">
        <v>0</v>
      </c>
      <c r="M12444" t="n">
        <v>0</v>
      </c>
      <c r="N12444" t="n">
        <v>0</v>
      </c>
      <c r="O12444" t="n">
        <v>0</v>
      </c>
      <c r="P12444" t="n">
        <v>0</v>
      </c>
      <c r="Q12444" t="n">
        <v>0</v>
      </c>
      <c r="R12444" s="2" t="inlineStr"/>
    </row>
    <row r="12445" ht="15" customHeight="1">
      <c r="A12445" t="inlineStr">
        <is>
          <t>A 32498-2024</t>
        </is>
      </c>
      <c r="B12445" s="1" t="n">
        <v>45513.42944444445</v>
      </c>
      <c r="C12445" s="1" t="n">
        <v>45952</v>
      </c>
      <c r="D12445" t="inlineStr">
        <is>
          <t>VÄSTRA GÖTALANDS LÄN</t>
        </is>
      </c>
      <c r="E12445" t="inlineStr">
        <is>
          <t>MELLERUD</t>
        </is>
      </c>
      <c r="G12445" t="n">
        <v>1.3</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32735-2025</t>
        </is>
      </c>
      <c r="B12446" s="1" t="n">
        <v>45839.40773148148</v>
      </c>
      <c r="C12446" s="1" t="n">
        <v>45952</v>
      </c>
      <c r="D12446" t="inlineStr">
        <is>
          <t>VÄSTRA GÖTALANDS LÄN</t>
        </is>
      </c>
      <c r="E12446" t="inlineStr">
        <is>
          <t>TANUM</t>
        </is>
      </c>
      <c r="G12446" t="n">
        <v>7.4</v>
      </c>
      <c r="H12446" t="n">
        <v>0</v>
      </c>
      <c r="I12446" t="n">
        <v>0</v>
      </c>
      <c r="J12446" t="n">
        <v>0</v>
      </c>
      <c r="K12446" t="n">
        <v>0</v>
      </c>
      <c r="L12446" t="n">
        <v>0</v>
      </c>
      <c r="M12446" t="n">
        <v>0</v>
      </c>
      <c r="N12446" t="n">
        <v>0</v>
      </c>
      <c r="O12446" t="n">
        <v>0</v>
      </c>
      <c r="P12446" t="n">
        <v>0</v>
      </c>
      <c r="Q12446" t="n">
        <v>0</v>
      </c>
      <c r="R12446" s="2" t="inlineStr"/>
    </row>
    <row r="12447" ht="15" customHeight="1">
      <c r="A12447" t="inlineStr">
        <is>
          <t>A 6453-2024</t>
        </is>
      </c>
      <c r="B12447" s="1" t="n">
        <v>45338.67915509259</v>
      </c>
      <c r="C12447" s="1" t="n">
        <v>45952</v>
      </c>
      <c r="D12447" t="inlineStr">
        <is>
          <t>VÄSTRA GÖTALANDS LÄN</t>
        </is>
      </c>
      <c r="E12447" t="inlineStr">
        <is>
          <t>VARA</t>
        </is>
      </c>
      <c r="F12447" t="inlineStr">
        <is>
          <t>Kyrkan</t>
        </is>
      </c>
      <c r="G12447" t="n">
        <v>3.7</v>
      </c>
      <c r="H12447" t="n">
        <v>0</v>
      </c>
      <c r="I12447" t="n">
        <v>0</v>
      </c>
      <c r="J12447" t="n">
        <v>0</v>
      </c>
      <c r="K12447" t="n">
        <v>0</v>
      </c>
      <c r="L12447" t="n">
        <v>0</v>
      </c>
      <c r="M12447" t="n">
        <v>0</v>
      </c>
      <c r="N12447" t="n">
        <v>0</v>
      </c>
      <c r="O12447" t="n">
        <v>0</v>
      </c>
      <c r="P12447" t="n">
        <v>0</v>
      </c>
      <c r="Q12447" t="n">
        <v>0</v>
      </c>
      <c r="R12447" s="2" t="inlineStr"/>
    </row>
    <row r="12448" ht="15" customHeight="1">
      <c r="A12448" t="inlineStr">
        <is>
          <t>A 43349-2024</t>
        </is>
      </c>
      <c r="B12448" s="1" t="n">
        <v>45568.55829861111</v>
      </c>
      <c r="C12448" s="1" t="n">
        <v>45952</v>
      </c>
      <c r="D12448" t="inlineStr">
        <is>
          <t>VÄSTRA GÖTALANDS LÄN</t>
        </is>
      </c>
      <c r="E12448" t="inlineStr">
        <is>
          <t>MELLERUD</t>
        </is>
      </c>
      <c r="G12448" t="n">
        <v>4.1</v>
      </c>
      <c r="H12448" t="n">
        <v>0</v>
      </c>
      <c r="I12448" t="n">
        <v>0</v>
      </c>
      <c r="J12448" t="n">
        <v>0</v>
      </c>
      <c r="K12448" t="n">
        <v>0</v>
      </c>
      <c r="L12448" t="n">
        <v>0</v>
      </c>
      <c r="M12448" t="n">
        <v>0</v>
      </c>
      <c r="N12448" t="n">
        <v>0</v>
      </c>
      <c r="O12448" t="n">
        <v>0</v>
      </c>
      <c r="P12448" t="n">
        <v>0</v>
      </c>
      <c r="Q12448" t="n">
        <v>0</v>
      </c>
      <c r="R12448" s="2" t="inlineStr"/>
    </row>
    <row r="12449" ht="15" customHeight="1">
      <c r="A12449" t="inlineStr">
        <is>
          <t>A 43353-2024</t>
        </is>
      </c>
      <c r="B12449" s="1" t="n">
        <v>45568.56689814815</v>
      </c>
      <c r="C12449" s="1" t="n">
        <v>45952</v>
      </c>
      <c r="D12449" t="inlineStr">
        <is>
          <t>VÄSTRA GÖTALANDS LÄN</t>
        </is>
      </c>
      <c r="E12449" t="inlineStr">
        <is>
          <t>MELLERUD</t>
        </is>
      </c>
      <c r="G12449" t="n">
        <v>1.2</v>
      </c>
      <c r="H12449" t="n">
        <v>0</v>
      </c>
      <c r="I12449" t="n">
        <v>0</v>
      </c>
      <c r="J12449" t="n">
        <v>0</v>
      </c>
      <c r="K12449" t="n">
        <v>0</v>
      </c>
      <c r="L12449" t="n">
        <v>0</v>
      </c>
      <c r="M12449" t="n">
        <v>0</v>
      </c>
      <c r="N12449" t="n">
        <v>0</v>
      </c>
      <c r="O12449" t="n">
        <v>0</v>
      </c>
      <c r="P12449" t="n">
        <v>0</v>
      </c>
      <c r="Q12449" t="n">
        <v>0</v>
      </c>
      <c r="R12449" s="2" t="inlineStr"/>
    </row>
    <row r="12450" ht="15" customHeight="1">
      <c r="A12450" t="inlineStr">
        <is>
          <t>A 6485-2024</t>
        </is>
      </c>
      <c r="B12450" s="1" t="n">
        <v>45339.40619212963</v>
      </c>
      <c r="C12450" s="1" t="n">
        <v>45952</v>
      </c>
      <c r="D12450" t="inlineStr">
        <is>
          <t>VÄSTRA GÖTALANDS LÄN</t>
        </is>
      </c>
      <c r="E12450" t="inlineStr">
        <is>
          <t>ORUST</t>
        </is>
      </c>
      <c r="G12450" t="n">
        <v>0.9</v>
      </c>
      <c r="H12450" t="n">
        <v>0</v>
      </c>
      <c r="I12450" t="n">
        <v>0</v>
      </c>
      <c r="J12450" t="n">
        <v>0</v>
      </c>
      <c r="K12450" t="n">
        <v>0</v>
      </c>
      <c r="L12450" t="n">
        <v>0</v>
      </c>
      <c r="M12450" t="n">
        <v>0</v>
      </c>
      <c r="N12450" t="n">
        <v>0</v>
      </c>
      <c r="O12450" t="n">
        <v>0</v>
      </c>
      <c r="P12450" t="n">
        <v>0</v>
      </c>
      <c r="Q12450" t="n">
        <v>0</v>
      </c>
      <c r="R12450" s="2" t="inlineStr"/>
    </row>
    <row r="12451" ht="15" customHeight="1">
      <c r="A12451" t="inlineStr">
        <is>
          <t>A 32527-2024</t>
        </is>
      </c>
      <c r="B12451" s="1" t="n">
        <v>45513.47659722222</v>
      </c>
      <c r="C12451" s="1" t="n">
        <v>45952</v>
      </c>
      <c r="D12451" t="inlineStr">
        <is>
          <t>VÄSTRA GÖTALANDS LÄN</t>
        </is>
      </c>
      <c r="E12451" t="inlineStr">
        <is>
          <t>TROLLHÄTTAN</t>
        </is>
      </c>
      <c r="F12451" t="inlineStr">
        <is>
          <t>Kyrkan</t>
        </is>
      </c>
      <c r="G12451" t="n">
        <v>8.699999999999999</v>
      </c>
      <c r="H12451" t="n">
        <v>0</v>
      </c>
      <c r="I12451" t="n">
        <v>0</v>
      </c>
      <c r="J12451" t="n">
        <v>0</v>
      </c>
      <c r="K12451" t="n">
        <v>0</v>
      </c>
      <c r="L12451" t="n">
        <v>0</v>
      </c>
      <c r="M12451" t="n">
        <v>0</v>
      </c>
      <c r="N12451" t="n">
        <v>0</v>
      </c>
      <c r="O12451" t="n">
        <v>0</v>
      </c>
      <c r="P12451" t="n">
        <v>0</v>
      </c>
      <c r="Q12451" t="n">
        <v>0</v>
      </c>
      <c r="R12451" s="2" t="inlineStr"/>
    </row>
    <row r="12452" ht="15" customHeight="1">
      <c r="A12452" t="inlineStr">
        <is>
          <t>A 32322-2025</t>
        </is>
      </c>
      <c r="B12452" s="1" t="n">
        <v>45836.41789351852</v>
      </c>
      <c r="C12452" s="1" t="n">
        <v>45952</v>
      </c>
      <c r="D12452" t="inlineStr">
        <is>
          <t>VÄSTRA GÖTALANDS LÄN</t>
        </is>
      </c>
      <c r="E12452" t="inlineStr">
        <is>
          <t>BORÅS</t>
        </is>
      </c>
      <c r="G12452" t="n">
        <v>4.6</v>
      </c>
      <c r="H12452" t="n">
        <v>0</v>
      </c>
      <c r="I12452" t="n">
        <v>0</v>
      </c>
      <c r="J12452" t="n">
        <v>0</v>
      </c>
      <c r="K12452" t="n">
        <v>0</v>
      </c>
      <c r="L12452" t="n">
        <v>0</v>
      </c>
      <c r="M12452" t="n">
        <v>0</v>
      </c>
      <c r="N12452" t="n">
        <v>0</v>
      </c>
      <c r="O12452" t="n">
        <v>0</v>
      </c>
      <c r="P12452" t="n">
        <v>0</v>
      </c>
      <c r="Q12452" t="n">
        <v>0</v>
      </c>
      <c r="R12452" s="2" t="inlineStr"/>
    </row>
    <row r="12453" ht="15" customHeight="1">
      <c r="A12453" t="inlineStr">
        <is>
          <t>A 32597-2025</t>
        </is>
      </c>
      <c r="B12453" s="1" t="n">
        <v>45838.61827546296</v>
      </c>
      <c r="C12453" s="1" t="n">
        <v>45952</v>
      </c>
      <c r="D12453" t="inlineStr">
        <is>
          <t>VÄSTRA GÖTALANDS LÄN</t>
        </is>
      </c>
      <c r="E12453" t="inlineStr">
        <is>
          <t>ULRICEHAMN</t>
        </is>
      </c>
      <c r="F12453" t="inlineStr">
        <is>
          <t>Sveaskog</t>
        </is>
      </c>
      <c r="G12453" t="n">
        <v>0.7</v>
      </c>
      <c r="H12453" t="n">
        <v>0</v>
      </c>
      <c r="I12453" t="n">
        <v>0</v>
      </c>
      <c r="J12453" t="n">
        <v>0</v>
      </c>
      <c r="K12453" t="n">
        <v>0</v>
      </c>
      <c r="L12453" t="n">
        <v>0</v>
      </c>
      <c r="M12453" t="n">
        <v>0</v>
      </c>
      <c r="N12453" t="n">
        <v>0</v>
      </c>
      <c r="O12453" t="n">
        <v>0</v>
      </c>
      <c r="P12453" t="n">
        <v>0</v>
      </c>
      <c r="Q12453" t="n">
        <v>0</v>
      </c>
      <c r="R12453" s="2" t="inlineStr"/>
    </row>
    <row r="12454" ht="15" customHeight="1">
      <c r="A12454" t="inlineStr">
        <is>
          <t>A 32615-2025</t>
        </is>
      </c>
      <c r="B12454" s="1" t="n">
        <v>45838.64232638889</v>
      </c>
      <c r="C12454" s="1" t="n">
        <v>45952</v>
      </c>
      <c r="D12454" t="inlineStr">
        <is>
          <t>VÄSTRA GÖTALANDS LÄN</t>
        </is>
      </c>
      <c r="E12454" t="inlineStr">
        <is>
          <t>ESSUNGA</t>
        </is>
      </c>
      <c r="G12454" t="n">
        <v>2.9</v>
      </c>
      <c r="H12454" t="n">
        <v>0</v>
      </c>
      <c r="I12454" t="n">
        <v>0</v>
      </c>
      <c r="J12454" t="n">
        <v>0</v>
      </c>
      <c r="K12454" t="n">
        <v>0</v>
      </c>
      <c r="L12454" t="n">
        <v>0</v>
      </c>
      <c r="M12454" t="n">
        <v>0</v>
      </c>
      <c r="N12454" t="n">
        <v>0</v>
      </c>
      <c r="O12454" t="n">
        <v>0</v>
      </c>
      <c r="P12454" t="n">
        <v>0</v>
      </c>
      <c r="Q12454" t="n">
        <v>0</v>
      </c>
      <c r="R12454" s="2" t="inlineStr"/>
    </row>
    <row r="12455" ht="15" customHeight="1">
      <c r="A12455" t="inlineStr">
        <is>
          <t>A 32799-2025</t>
        </is>
      </c>
      <c r="B12455" s="1" t="n">
        <v>45839.49334490741</v>
      </c>
      <c r="C12455" s="1" t="n">
        <v>45952</v>
      </c>
      <c r="D12455" t="inlineStr">
        <is>
          <t>VÄSTRA GÖTALANDS LÄN</t>
        </is>
      </c>
      <c r="E12455" t="inlineStr">
        <is>
          <t>FÄRGELANDA</t>
        </is>
      </c>
      <c r="G12455" t="n">
        <v>11.8</v>
      </c>
      <c r="H12455" t="n">
        <v>0</v>
      </c>
      <c r="I12455" t="n">
        <v>0</v>
      </c>
      <c r="J12455" t="n">
        <v>0</v>
      </c>
      <c r="K12455" t="n">
        <v>0</v>
      </c>
      <c r="L12455" t="n">
        <v>0</v>
      </c>
      <c r="M12455" t="n">
        <v>0</v>
      </c>
      <c r="N12455" t="n">
        <v>0</v>
      </c>
      <c r="O12455" t="n">
        <v>0</v>
      </c>
      <c r="P12455" t="n">
        <v>0</v>
      </c>
      <c r="Q12455" t="n">
        <v>0</v>
      </c>
      <c r="R12455" s="2" t="inlineStr"/>
    </row>
    <row r="12456" ht="15" customHeight="1">
      <c r="A12456" t="inlineStr">
        <is>
          <t>A 32320-2025</t>
        </is>
      </c>
      <c r="B12456" s="1" t="n">
        <v>45836.4041087963</v>
      </c>
      <c r="C12456" s="1" t="n">
        <v>45952</v>
      </c>
      <c r="D12456" t="inlineStr">
        <is>
          <t>VÄSTRA GÖTALANDS LÄN</t>
        </is>
      </c>
      <c r="E12456" t="inlineStr">
        <is>
          <t>BOLLEBYGD</t>
        </is>
      </c>
      <c r="G12456" t="n">
        <v>11.7</v>
      </c>
      <c r="H12456" t="n">
        <v>0</v>
      </c>
      <c r="I12456" t="n">
        <v>0</v>
      </c>
      <c r="J12456" t="n">
        <v>0</v>
      </c>
      <c r="K12456" t="n">
        <v>0</v>
      </c>
      <c r="L12456" t="n">
        <v>0</v>
      </c>
      <c r="M12456" t="n">
        <v>0</v>
      </c>
      <c r="N12456" t="n">
        <v>0</v>
      </c>
      <c r="O12456" t="n">
        <v>0</v>
      </c>
      <c r="P12456" t="n">
        <v>0</v>
      </c>
      <c r="Q12456" t="n">
        <v>0</v>
      </c>
      <c r="R12456" s="2" t="inlineStr"/>
    </row>
    <row r="12457" ht="15" customHeight="1">
      <c r="A12457" t="inlineStr">
        <is>
          <t>A 32803-2025</t>
        </is>
      </c>
      <c r="B12457" s="1" t="n">
        <v>45839.49835648148</v>
      </c>
      <c r="C12457" s="1" t="n">
        <v>45952</v>
      </c>
      <c r="D12457" t="inlineStr">
        <is>
          <t>VÄSTRA GÖTALANDS LÄN</t>
        </is>
      </c>
      <c r="E12457" t="inlineStr">
        <is>
          <t>FÄRGELANDA</t>
        </is>
      </c>
      <c r="G12457" t="n">
        <v>2.3</v>
      </c>
      <c r="H12457" t="n">
        <v>0</v>
      </c>
      <c r="I12457" t="n">
        <v>0</v>
      </c>
      <c r="J12457" t="n">
        <v>0</v>
      </c>
      <c r="K12457" t="n">
        <v>0</v>
      </c>
      <c r="L12457" t="n">
        <v>0</v>
      </c>
      <c r="M12457" t="n">
        <v>0</v>
      </c>
      <c r="N12457" t="n">
        <v>0</v>
      </c>
      <c r="O12457" t="n">
        <v>0</v>
      </c>
      <c r="P12457" t="n">
        <v>0</v>
      </c>
      <c r="Q12457" t="n">
        <v>0</v>
      </c>
      <c r="R12457" s="2" t="inlineStr"/>
    </row>
    <row r="12458" ht="15" customHeight="1">
      <c r="A12458" t="inlineStr">
        <is>
          <t>A 45710-2024</t>
        </is>
      </c>
      <c r="B12458" s="1" t="n">
        <v>45579.58155092593</v>
      </c>
      <c r="C12458" s="1" t="n">
        <v>45952</v>
      </c>
      <c r="D12458" t="inlineStr">
        <is>
          <t>VÄSTRA GÖTALANDS LÄN</t>
        </is>
      </c>
      <c r="E12458" t="inlineStr">
        <is>
          <t>FÄRGELANDA</t>
        </is>
      </c>
      <c r="G12458" t="n">
        <v>3.3</v>
      </c>
      <c r="H12458" t="n">
        <v>0</v>
      </c>
      <c r="I12458" t="n">
        <v>0</v>
      </c>
      <c r="J12458" t="n">
        <v>0</v>
      </c>
      <c r="K12458" t="n">
        <v>0</v>
      </c>
      <c r="L12458" t="n">
        <v>0</v>
      </c>
      <c r="M12458" t="n">
        <v>0</v>
      </c>
      <c r="N12458" t="n">
        <v>0</v>
      </c>
      <c r="O12458" t="n">
        <v>0</v>
      </c>
      <c r="P12458" t="n">
        <v>0</v>
      </c>
      <c r="Q12458" t="n">
        <v>0</v>
      </c>
      <c r="R12458" s="2" t="inlineStr"/>
    </row>
    <row r="12459" ht="15" customHeight="1">
      <c r="A12459" t="inlineStr">
        <is>
          <t>A 32506-2025</t>
        </is>
      </c>
      <c r="B12459" s="1" t="n">
        <v>45838.4687037037</v>
      </c>
      <c r="C12459" s="1" t="n">
        <v>45952</v>
      </c>
      <c r="D12459" t="inlineStr">
        <is>
          <t>VÄSTRA GÖTALANDS LÄN</t>
        </is>
      </c>
      <c r="E12459" t="inlineStr">
        <is>
          <t>BOLLEBYGD</t>
        </is>
      </c>
      <c r="G12459" t="n">
        <v>0.5</v>
      </c>
      <c r="H12459" t="n">
        <v>0</v>
      </c>
      <c r="I12459" t="n">
        <v>0</v>
      </c>
      <c r="J12459" t="n">
        <v>0</v>
      </c>
      <c r="K12459" t="n">
        <v>0</v>
      </c>
      <c r="L12459" t="n">
        <v>0</v>
      </c>
      <c r="M12459" t="n">
        <v>0</v>
      </c>
      <c r="N12459" t="n">
        <v>0</v>
      </c>
      <c r="O12459" t="n">
        <v>0</v>
      </c>
      <c r="P12459" t="n">
        <v>0</v>
      </c>
      <c r="Q12459" t="n">
        <v>0</v>
      </c>
      <c r="R12459" s="2" t="inlineStr"/>
    </row>
    <row r="12460" ht="15" customHeight="1">
      <c r="A12460" t="inlineStr">
        <is>
          <t>A 17477-2024</t>
        </is>
      </c>
      <c r="B12460" s="1" t="n">
        <v>45415.4722800926</v>
      </c>
      <c r="C12460" s="1" t="n">
        <v>45952</v>
      </c>
      <c r="D12460" t="inlineStr">
        <is>
          <t>VÄSTRA GÖTALANDS LÄN</t>
        </is>
      </c>
      <c r="E12460" t="inlineStr">
        <is>
          <t>BENGTSFORS</t>
        </is>
      </c>
      <c r="G12460" t="n">
        <v>0.9</v>
      </c>
      <c r="H12460" t="n">
        <v>0</v>
      </c>
      <c r="I12460" t="n">
        <v>0</v>
      </c>
      <c r="J12460" t="n">
        <v>0</v>
      </c>
      <c r="K12460" t="n">
        <v>0</v>
      </c>
      <c r="L12460" t="n">
        <v>0</v>
      </c>
      <c r="M12460" t="n">
        <v>0</v>
      </c>
      <c r="N12460" t="n">
        <v>0</v>
      </c>
      <c r="O12460" t="n">
        <v>0</v>
      </c>
      <c r="P12460" t="n">
        <v>0</v>
      </c>
      <c r="Q12460" t="n">
        <v>0</v>
      </c>
      <c r="R12460" s="2" t="inlineStr"/>
    </row>
    <row r="12461" ht="15" customHeight="1">
      <c r="A12461" t="inlineStr">
        <is>
          <t>A 27561-2024</t>
        </is>
      </c>
      <c r="B12461" s="1" t="n">
        <v>45474.63335648148</v>
      </c>
      <c r="C12461" s="1" t="n">
        <v>45952</v>
      </c>
      <c r="D12461" t="inlineStr">
        <is>
          <t>VÄSTRA GÖTALANDS LÄN</t>
        </is>
      </c>
      <c r="E12461" t="inlineStr">
        <is>
          <t>BORÅS</t>
        </is>
      </c>
      <c r="G12461" t="n">
        <v>1.6</v>
      </c>
      <c r="H12461" t="n">
        <v>0</v>
      </c>
      <c r="I12461" t="n">
        <v>0</v>
      </c>
      <c r="J12461" t="n">
        <v>0</v>
      </c>
      <c r="K12461" t="n">
        <v>0</v>
      </c>
      <c r="L12461" t="n">
        <v>0</v>
      </c>
      <c r="M12461" t="n">
        <v>0</v>
      </c>
      <c r="N12461" t="n">
        <v>0</v>
      </c>
      <c r="O12461" t="n">
        <v>0</v>
      </c>
      <c r="P12461" t="n">
        <v>0</v>
      </c>
      <c r="Q12461" t="n">
        <v>0</v>
      </c>
      <c r="R12461" s="2" t="inlineStr"/>
    </row>
    <row r="12462" ht="15" customHeight="1">
      <c r="A12462" t="inlineStr">
        <is>
          <t>A 32512-2025</t>
        </is>
      </c>
      <c r="B12462" s="1" t="n">
        <v>45838.47398148148</v>
      </c>
      <c r="C12462" s="1" t="n">
        <v>45952</v>
      </c>
      <c r="D12462" t="inlineStr">
        <is>
          <t>VÄSTRA GÖTALANDS LÄN</t>
        </is>
      </c>
      <c r="E12462" t="inlineStr">
        <is>
          <t>ULRICEHAMN</t>
        </is>
      </c>
      <c r="G12462" t="n">
        <v>2.5</v>
      </c>
      <c r="H12462" t="n">
        <v>0</v>
      </c>
      <c r="I12462" t="n">
        <v>0</v>
      </c>
      <c r="J12462" t="n">
        <v>0</v>
      </c>
      <c r="K12462" t="n">
        <v>0</v>
      </c>
      <c r="L12462" t="n">
        <v>0</v>
      </c>
      <c r="M12462" t="n">
        <v>0</v>
      </c>
      <c r="N12462" t="n">
        <v>0</v>
      </c>
      <c r="O12462" t="n">
        <v>0</v>
      </c>
      <c r="P12462" t="n">
        <v>0</v>
      </c>
      <c r="Q12462" t="n">
        <v>0</v>
      </c>
      <c r="R12462" s="2" t="inlineStr"/>
    </row>
    <row r="12463" ht="15" customHeight="1">
      <c r="A12463" t="inlineStr">
        <is>
          <t>A 33489-2025</t>
        </is>
      </c>
      <c r="B12463" s="1" t="n">
        <v>45841.50584490741</v>
      </c>
      <c r="C12463" s="1" t="n">
        <v>45952</v>
      </c>
      <c r="D12463" t="inlineStr">
        <is>
          <t>VÄSTRA GÖTALANDS LÄN</t>
        </is>
      </c>
      <c r="E12463" t="inlineStr">
        <is>
          <t>TÖREBODA</t>
        </is>
      </c>
      <c r="F12463" t="inlineStr">
        <is>
          <t>Övriga statliga verk och myndigheter</t>
        </is>
      </c>
      <c r="G12463" t="n">
        <v>4.2</v>
      </c>
      <c r="H12463" t="n">
        <v>0</v>
      </c>
      <c r="I12463" t="n">
        <v>0</v>
      </c>
      <c r="J12463" t="n">
        <v>0</v>
      </c>
      <c r="K12463" t="n">
        <v>0</v>
      </c>
      <c r="L12463" t="n">
        <v>0</v>
      </c>
      <c r="M12463" t="n">
        <v>0</v>
      </c>
      <c r="N12463" t="n">
        <v>0</v>
      </c>
      <c r="O12463" t="n">
        <v>0</v>
      </c>
      <c r="P12463" t="n">
        <v>0</v>
      </c>
      <c r="Q12463" t="n">
        <v>0</v>
      </c>
      <c r="R12463" s="2" t="inlineStr"/>
    </row>
    <row r="12464" ht="15" customHeight="1">
      <c r="A12464" t="inlineStr">
        <is>
          <t>A 33492-2025</t>
        </is>
      </c>
      <c r="B12464" s="1" t="n">
        <v>45841.50793981482</v>
      </c>
      <c r="C12464" s="1" t="n">
        <v>45952</v>
      </c>
      <c r="D12464" t="inlineStr">
        <is>
          <t>VÄSTRA GÖTALANDS LÄN</t>
        </is>
      </c>
      <c r="E12464" t="inlineStr">
        <is>
          <t>MARIESTAD</t>
        </is>
      </c>
      <c r="F12464" t="inlineStr">
        <is>
          <t>Kyrkan</t>
        </is>
      </c>
      <c r="G12464" t="n">
        <v>1.4</v>
      </c>
      <c r="H12464" t="n">
        <v>0</v>
      </c>
      <c r="I12464" t="n">
        <v>0</v>
      </c>
      <c r="J12464" t="n">
        <v>0</v>
      </c>
      <c r="K12464" t="n">
        <v>0</v>
      </c>
      <c r="L12464" t="n">
        <v>0</v>
      </c>
      <c r="M12464" t="n">
        <v>0</v>
      </c>
      <c r="N12464" t="n">
        <v>0</v>
      </c>
      <c r="O12464" t="n">
        <v>0</v>
      </c>
      <c r="P12464" t="n">
        <v>0</v>
      </c>
      <c r="Q12464" t="n">
        <v>0</v>
      </c>
      <c r="R12464" s="2" t="inlineStr"/>
    </row>
    <row r="12465" ht="15" customHeight="1">
      <c r="A12465" t="inlineStr">
        <is>
          <t>A 33528-2025</t>
        </is>
      </c>
      <c r="B12465" s="1" t="n">
        <v>45841.55050925926</v>
      </c>
      <c r="C12465" s="1" t="n">
        <v>45952</v>
      </c>
      <c r="D12465" t="inlineStr">
        <is>
          <t>VÄSTRA GÖTALANDS LÄN</t>
        </is>
      </c>
      <c r="E12465" t="inlineStr">
        <is>
          <t>TÖREBODA</t>
        </is>
      </c>
      <c r="F12465" t="inlineStr">
        <is>
          <t>Övriga statliga verk och myndigheter</t>
        </is>
      </c>
      <c r="G12465" t="n">
        <v>3.5</v>
      </c>
      <c r="H12465" t="n">
        <v>0</v>
      </c>
      <c r="I12465" t="n">
        <v>0</v>
      </c>
      <c r="J12465" t="n">
        <v>0</v>
      </c>
      <c r="K12465" t="n">
        <v>0</v>
      </c>
      <c r="L12465" t="n">
        <v>0</v>
      </c>
      <c r="M12465" t="n">
        <v>0</v>
      </c>
      <c r="N12465" t="n">
        <v>0</v>
      </c>
      <c r="O12465" t="n">
        <v>0</v>
      </c>
      <c r="P12465" t="n">
        <v>0</v>
      </c>
      <c r="Q12465" t="n">
        <v>0</v>
      </c>
      <c r="R12465" s="2" t="inlineStr"/>
    </row>
    <row r="12466" ht="15" customHeight="1">
      <c r="A12466" t="inlineStr">
        <is>
          <t>A 33559-2025</t>
        </is>
      </c>
      <c r="B12466" s="1" t="n">
        <v>45841.57549768518</v>
      </c>
      <c r="C12466" s="1" t="n">
        <v>45952</v>
      </c>
      <c r="D12466" t="inlineStr">
        <is>
          <t>VÄSTRA GÖTALANDS LÄN</t>
        </is>
      </c>
      <c r="E12466" t="inlineStr">
        <is>
          <t>STRÖMSTAD</t>
        </is>
      </c>
      <c r="G12466" t="n">
        <v>1.1</v>
      </c>
      <c r="H12466" t="n">
        <v>0</v>
      </c>
      <c r="I12466" t="n">
        <v>0</v>
      </c>
      <c r="J12466" t="n">
        <v>0</v>
      </c>
      <c r="K12466" t="n">
        <v>0</v>
      </c>
      <c r="L12466" t="n">
        <v>0</v>
      </c>
      <c r="M12466" t="n">
        <v>0</v>
      </c>
      <c r="N12466" t="n">
        <v>0</v>
      </c>
      <c r="O12466" t="n">
        <v>0</v>
      </c>
      <c r="P12466" t="n">
        <v>0</v>
      </c>
      <c r="Q12466" t="n">
        <v>0</v>
      </c>
      <c r="R12466" s="2" t="inlineStr"/>
    </row>
    <row r="12467" ht="15" customHeight="1">
      <c r="A12467" t="inlineStr">
        <is>
          <t>A 19056-2022</t>
        </is>
      </c>
      <c r="B12467" s="1" t="n">
        <v>44691</v>
      </c>
      <c r="C12467" s="1" t="n">
        <v>45952</v>
      </c>
      <c r="D12467" t="inlineStr">
        <is>
          <t>VÄSTRA GÖTALANDS LÄN</t>
        </is>
      </c>
      <c r="E12467" t="inlineStr">
        <is>
          <t>HERRLJUNGA</t>
        </is>
      </c>
      <c r="G12467" t="n">
        <v>4.2</v>
      </c>
      <c r="H12467" t="n">
        <v>0</v>
      </c>
      <c r="I12467" t="n">
        <v>0</v>
      </c>
      <c r="J12467" t="n">
        <v>0</v>
      </c>
      <c r="K12467" t="n">
        <v>0</v>
      </c>
      <c r="L12467" t="n">
        <v>0</v>
      </c>
      <c r="M12467" t="n">
        <v>0</v>
      </c>
      <c r="N12467" t="n">
        <v>0</v>
      </c>
      <c r="O12467" t="n">
        <v>0</v>
      </c>
      <c r="P12467" t="n">
        <v>0</v>
      </c>
      <c r="Q12467" t="n">
        <v>0</v>
      </c>
      <c r="R12467" s="2" t="inlineStr"/>
    </row>
    <row r="12468" ht="15" customHeight="1">
      <c r="A12468" t="inlineStr">
        <is>
          <t>A 8621-2024</t>
        </is>
      </c>
      <c r="B12468" s="1" t="n">
        <v>45355.76253472222</v>
      </c>
      <c r="C12468" s="1" t="n">
        <v>45952</v>
      </c>
      <c r="D12468" t="inlineStr">
        <is>
          <t>VÄSTRA GÖTALANDS LÄN</t>
        </is>
      </c>
      <c r="E12468" t="inlineStr">
        <is>
          <t>DALS-ED</t>
        </is>
      </c>
      <c r="G12468" t="n">
        <v>1.4</v>
      </c>
      <c r="H12468" t="n">
        <v>0</v>
      </c>
      <c r="I12468" t="n">
        <v>0</v>
      </c>
      <c r="J12468" t="n">
        <v>0</v>
      </c>
      <c r="K12468" t="n">
        <v>0</v>
      </c>
      <c r="L12468" t="n">
        <v>0</v>
      </c>
      <c r="M12468" t="n">
        <v>0</v>
      </c>
      <c r="N12468" t="n">
        <v>0</v>
      </c>
      <c r="O12468" t="n">
        <v>0</v>
      </c>
      <c r="P12468" t="n">
        <v>0</v>
      </c>
      <c r="Q12468" t="n">
        <v>0</v>
      </c>
      <c r="R12468" s="2" t="inlineStr"/>
    </row>
    <row r="12469" ht="15" customHeight="1">
      <c r="A12469" t="inlineStr">
        <is>
          <t>A 8626-2024</t>
        </is>
      </c>
      <c r="B12469" s="1" t="n">
        <v>45355</v>
      </c>
      <c r="C12469" s="1" t="n">
        <v>45952</v>
      </c>
      <c r="D12469" t="inlineStr">
        <is>
          <t>VÄSTRA GÖTALANDS LÄN</t>
        </is>
      </c>
      <c r="E12469" t="inlineStr">
        <is>
          <t>LIDKÖPING</t>
        </is>
      </c>
      <c r="G12469" t="n">
        <v>6.4</v>
      </c>
      <c r="H12469" t="n">
        <v>0</v>
      </c>
      <c r="I12469" t="n">
        <v>0</v>
      </c>
      <c r="J12469" t="n">
        <v>0</v>
      </c>
      <c r="K12469" t="n">
        <v>0</v>
      </c>
      <c r="L12469" t="n">
        <v>0</v>
      </c>
      <c r="M12469" t="n">
        <v>0</v>
      </c>
      <c r="N12469" t="n">
        <v>0</v>
      </c>
      <c r="O12469" t="n">
        <v>0</v>
      </c>
      <c r="P12469" t="n">
        <v>0</v>
      </c>
      <c r="Q12469" t="n">
        <v>0</v>
      </c>
      <c r="R12469" s="2" t="inlineStr"/>
    </row>
    <row r="12470" ht="15" customHeight="1">
      <c r="A12470" t="inlineStr">
        <is>
          <t>A 20555-2022</t>
        </is>
      </c>
      <c r="B12470" s="1" t="n">
        <v>44700.36916666666</v>
      </c>
      <c r="C12470" s="1" t="n">
        <v>45952</v>
      </c>
      <c r="D12470" t="inlineStr">
        <is>
          <t>VÄSTRA GÖTALANDS LÄN</t>
        </is>
      </c>
      <c r="E12470" t="inlineStr">
        <is>
          <t>ESSUNGA</t>
        </is>
      </c>
      <c r="G12470" t="n">
        <v>0.9</v>
      </c>
      <c r="H12470" t="n">
        <v>0</v>
      </c>
      <c r="I12470" t="n">
        <v>0</v>
      </c>
      <c r="J12470" t="n">
        <v>0</v>
      </c>
      <c r="K12470" t="n">
        <v>0</v>
      </c>
      <c r="L12470" t="n">
        <v>0</v>
      </c>
      <c r="M12470" t="n">
        <v>0</v>
      </c>
      <c r="N12470" t="n">
        <v>0</v>
      </c>
      <c r="O12470" t="n">
        <v>0</v>
      </c>
      <c r="P12470" t="n">
        <v>0</v>
      </c>
      <c r="Q12470" t="n">
        <v>0</v>
      </c>
      <c r="R12470" s="2" t="inlineStr"/>
    </row>
    <row r="12471" ht="15" customHeight="1">
      <c r="A12471" t="inlineStr">
        <is>
          <t>A 33172-2025</t>
        </is>
      </c>
      <c r="B12471" s="1" t="n">
        <v>45840.58383101852</v>
      </c>
      <c r="C12471" s="1" t="n">
        <v>45952</v>
      </c>
      <c r="D12471" t="inlineStr">
        <is>
          <t>VÄSTRA GÖTALANDS LÄN</t>
        </is>
      </c>
      <c r="E12471" t="inlineStr">
        <is>
          <t>DALS-ED</t>
        </is>
      </c>
      <c r="G12471" t="n">
        <v>2</v>
      </c>
      <c r="H12471" t="n">
        <v>0</v>
      </c>
      <c r="I12471" t="n">
        <v>0</v>
      </c>
      <c r="J12471" t="n">
        <v>0</v>
      </c>
      <c r="K12471" t="n">
        <v>0</v>
      </c>
      <c r="L12471" t="n">
        <v>0</v>
      </c>
      <c r="M12471" t="n">
        <v>0</v>
      </c>
      <c r="N12471" t="n">
        <v>0</v>
      </c>
      <c r="O12471" t="n">
        <v>0</v>
      </c>
      <c r="P12471" t="n">
        <v>0</v>
      </c>
      <c r="Q12471" t="n">
        <v>0</v>
      </c>
      <c r="R12471" s="2" t="inlineStr"/>
    </row>
    <row r="12472" ht="15" customHeight="1">
      <c r="A12472" t="inlineStr">
        <is>
          <t>A 33566-2025</t>
        </is>
      </c>
      <c r="B12472" s="1" t="n">
        <v>45841.58208333333</v>
      </c>
      <c r="C12472" s="1" t="n">
        <v>45952</v>
      </c>
      <c r="D12472" t="inlineStr">
        <is>
          <t>VÄSTRA GÖTALANDS LÄN</t>
        </is>
      </c>
      <c r="E12472" t="inlineStr">
        <is>
          <t>STRÖMSTAD</t>
        </is>
      </c>
      <c r="G12472" t="n">
        <v>1.3</v>
      </c>
      <c r="H12472" t="n">
        <v>0</v>
      </c>
      <c r="I12472" t="n">
        <v>0</v>
      </c>
      <c r="J12472" t="n">
        <v>0</v>
      </c>
      <c r="K12472" t="n">
        <v>0</v>
      </c>
      <c r="L12472" t="n">
        <v>0</v>
      </c>
      <c r="M12472" t="n">
        <v>0</v>
      </c>
      <c r="N12472" t="n">
        <v>0</v>
      </c>
      <c r="O12472" t="n">
        <v>0</v>
      </c>
      <c r="P12472" t="n">
        <v>0</v>
      </c>
      <c r="Q12472" t="n">
        <v>0</v>
      </c>
      <c r="R12472" s="2" t="inlineStr"/>
    </row>
    <row r="12473" ht="15" customHeight="1">
      <c r="A12473" t="inlineStr">
        <is>
          <t>A 33618-2025</t>
        </is>
      </c>
      <c r="B12473" s="1" t="n">
        <v>45841</v>
      </c>
      <c r="C12473" s="1" t="n">
        <v>45952</v>
      </c>
      <c r="D12473" t="inlineStr">
        <is>
          <t>VÄSTRA GÖTALANDS LÄN</t>
        </is>
      </c>
      <c r="E12473" t="inlineStr">
        <is>
          <t>ULRICEHAMN</t>
        </is>
      </c>
      <c r="G12473" t="n">
        <v>16.7</v>
      </c>
      <c r="H12473" t="n">
        <v>0</v>
      </c>
      <c r="I12473" t="n">
        <v>0</v>
      </c>
      <c r="J12473" t="n">
        <v>0</v>
      </c>
      <c r="K12473" t="n">
        <v>0</v>
      </c>
      <c r="L12473" t="n">
        <v>0</v>
      </c>
      <c r="M12473" t="n">
        <v>0</v>
      </c>
      <c r="N12473" t="n">
        <v>0</v>
      </c>
      <c r="O12473" t="n">
        <v>0</v>
      </c>
      <c r="P12473" t="n">
        <v>0</v>
      </c>
      <c r="Q12473" t="n">
        <v>0</v>
      </c>
      <c r="R12473" s="2" t="inlineStr"/>
    </row>
    <row r="12474" ht="15" customHeight="1">
      <c r="A12474" t="inlineStr">
        <is>
          <t>A 33472-2025</t>
        </is>
      </c>
      <c r="B12474" s="1" t="n">
        <v>45841.48960648148</v>
      </c>
      <c r="C12474" s="1" t="n">
        <v>45952</v>
      </c>
      <c r="D12474" t="inlineStr">
        <is>
          <t>VÄSTRA GÖTALANDS LÄN</t>
        </is>
      </c>
      <c r="E12474" t="inlineStr">
        <is>
          <t>UDDEVALLA</t>
        </is>
      </c>
      <c r="G12474" t="n">
        <v>4.7</v>
      </c>
      <c r="H12474" t="n">
        <v>0</v>
      </c>
      <c r="I12474" t="n">
        <v>0</v>
      </c>
      <c r="J12474" t="n">
        <v>0</v>
      </c>
      <c r="K12474" t="n">
        <v>0</v>
      </c>
      <c r="L12474" t="n">
        <v>0</v>
      </c>
      <c r="M12474" t="n">
        <v>0</v>
      </c>
      <c r="N12474" t="n">
        <v>0</v>
      </c>
      <c r="O12474" t="n">
        <v>0</v>
      </c>
      <c r="P12474" t="n">
        <v>0</v>
      </c>
      <c r="Q12474" t="n">
        <v>0</v>
      </c>
      <c r="R12474" s="2" t="inlineStr"/>
    </row>
    <row r="12475" ht="15" customHeight="1">
      <c r="A12475" t="inlineStr">
        <is>
          <t>A 33468-2025</t>
        </is>
      </c>
      <c r="B12475" s="1" t="n">
        <v>45841.48537037037</v>
      </c>
      <c r="C12475" s="1" t="n">
        <v>45952</v>
      </c>
      <c r="D12475" t="inlineStr">
        <is>
          <t>VÄSTRA GÖTALANDS LÄN</t>
        </is>
      </c>
      <c r="E12475" t="inlineStr">
        <is>
          <t>MARK</t>
        </is>
      </c>
      <c r="G12475" t="n">
        <v>4.1</v>
      </c>
      <c r="H12475" t="n">
        <v>0</v>
      </c>
      <c r="I12475" t="n">
        <v>0</v>
      </c>
      <c r="J12475" t="n">
        <v>0</v>
      </c>
      <c r="K12475" t="n">
        <v>0</v>
      </c>
      <c r="L12475" t="n">
        <v>0</v>
      </c>
      <c r="M12475" t="n">
        <v>0</v>
      </c>
      <c r="N12475" t="n">
        <v>0</v>
      </c>
      <c r="O12475" t="n">
        <v>0</v>
      </c>
      <c r="P12475" t="n">
        <v>0</v>
      </c>
      <c r="Q12475" t="n">
        <v>0</v>
      </c>
      <c r="R12475" s="2" t="inlineStr"/>
    </row>
    <row r="12476" ht="15" customHeight="1">
      <c r="A12476" t="inlineStr">
        <is>
          <t>A 22532-2025</t>
        </is>
      </c>
      <c r="B12476" s="1" t="n">
        <v>45786</v>
      </c>
      <c r="C12476" s="1" t="n">
        <v>45952</v>
      </c>
      <c r="D12476" t="inlineStr">
        <is>
          <t>VÄSTRA GÖTALANDS LÄN</t>
        </is>
      </c>
      <c r="E12476" t="inlineStr">
        <is>
          <t>VARA</t>
        </is>
      </c>
      <c r="G12476" t="n">
        <v>0.4</v>
      </c>
      <c r="H12476" t="n">
        <v>0</v>
      </c>
      <c r="I12476" t="n">
        <v>0</v>
      </c>
      <c r="J12476" t="n">
        <v>0</v>
      </c>
      <c r="K12476" t="n">
        <v>0</v>
      </c>
      <c r="L12476" t="n">
        <v>0</v>
      </c>
      <c r="M12476" t="n">
        <v>0</v>
      </c>
      <c r="N12476" t="n">
        <v>0</v>
      </c>
      <c r="O12476" t="n">
        <v>0</v>
      </c>
      <c r="P12476" t="n">
        <v>0</v>
      </c>
      <c r="Q12476" t="n">
        <v>0</v>
      </c>
      <c r="R12476" s="2" t="inlineStr"/>
    </row>
    <row r="12477" ht="15" customHeight="1">
      <c r="A12477" t="inlineStr">
        <is>
          <t>A 33270-2025</t>
        </is>
      </c>
      <c r="B12477" s="1" t="n">
        <v>45840.68247685185</v>
      </c>
      <c r="C12477" s="1" t="n">
        <v>45952</v>
      </c>
      <c r="D12477" t="inlineStr">
        <is>
          <t>VÄSTRA GÖTALANDS LÄN</t>
        </is>
      </c>
      <c r="E12477" t="inlineStr">
        <is>
          <t>MARK</t>
        </is>
      </c>
      <c r="G12477" t="n">
        <v>0.6</v>
      </c>
      <c r="H12477" t="n">
        <v>0</v>
      </c>
      <c r="I12477" t="n">
        <v>0</v>
      </c>
      <c r="J12477" t="n">
        <v>0</v>
      </c>
      <c r="K12477" t="n">
        <v>0</v>
      </c>
      <c r="L12477" t="n">
        <v>0</v>
      </c>
      <c r="M12477" t="n">
        <v>0</v>
      </c>
      <c r="N12477" t="n">
        <v>0</v>
      </c>
      <c r="O12477" t="n">
        <v>0</v>
      </c>
      <c r="P12477" t="n">
        <v>0</v>
      </c>
      <c r="Q12477" t="n">
        <v>0</v>
      </c>
      <c r="R12477" s="2" t="inlineStr"/>
    </row>
    <row r="12478" ht="15" customHeight="1">
      <c r="A12478" t="inlineStr">
        <is>
          <t>A 33300-2025</t>
        </is>
      </c>
      <c r="B12478" s="1" t="n">
        <v>45840.93423611111</v>
      </c>
      <c r="C12478" s="1" t="n">
        <v>45952</v>
      </c>
      <c r="D12478" t="inlineStr">
        <is>
          <t>VÄSTRA GÖTALANDS LÄN</t>
        </is>
      </c>
      <c r="E12478" t="inlineStr">
        <is>
          <t>ORUST</t>
        </is>
      </c>
      <c r="G12478" t="n">
        <v>6.4</v>
      </c>
      <c r="H12478" t="n">
        <v>0</v>
      </c>
      <c r="I12478" t="n">
        <v>0</v>
      </c>
      <c r="J12478" t="n">
        <v>0</v>
      </c>
      <c r="K12478" t="n">
        <v>0</v>
      </c>
      <c r="L12478" t="n">
        <v>0</v>
      </c>
      <c r="M12478" t="n">
        <v>0</v>
      </c>
      <c r="N12478" t="n">
        <v>0</v>
      </c>
      <c r="O12478" t="n">
        <v>0</v>
      </c>
      <c r="P12478" t="n">
        <v>0</v>
      </c>
      <c r="Q12478" t="n">
        <v>0</v>
      </c>
      <c r="R12478" s="2" t="inlineStr"/>
    </row>
    <row r="12479" ht="15" customHeight="1">
      <c r="A12479" t="inlineStr">
        <is>
          <t>A 33408-2025</t>
        </is>
      </c>
      <c r="B12479" s="1" t="n">
        <v>45841.43224537037</v>
      </c>
      <c r="C12479" s="1" t="n">
        <v>45952</v>
      </c>
      <c r="D12479" t="inlineStr">
        <is>
          <t>VÄSTRA GÖTALANDS LÄN</t>
        </is>
      </c>
      <c r="E12479" t="inlineStr">
        <is>
          <t>TÖREBODA</t>
        </is>
      </c>
      <c r="F12479" t="inlineStr">
        <is>
          <t>Övriga statliga verk och myndigheter</t>
        </is>
      </c>
      <c r="G12479" t="n">
        <v>2.9</v>
      </c>
      <c r="H12479" t="n">
        <v>0</v>
      </c>
      <c r="I12479" t="n">
        <v>0</v>
      </c>
      <c r="J12479" t="n">
        <v>0</v>
      </c>
      <c r="K12479" t="n">
        <v>0</v>
      </c>
      <c r="L12479" t="n">
        <v>0</v>
      </c>
      <c r="M12479" t="n">
        <v>0</v>
      </c>
      <c r="N12479" t="n">
        <v>0</v>
      </c>
      <c r="O12479" t="n">
        <v>0</v>
      </c>
      <c r="P12479" t="n">
        <v>0</v>
      </c>
      <c r="Q12479" t="n">
        <v>0</v>
      </c>
      <c r="R12479" s="2" t="inlineStr"/>
    </row>
    <row r="12480" ht="15" customHeight="1">
      <c r="A12480" t="inlineStr">
        <is>
          <t>A 33658-2025</t>
        </is>
      </c>
      <c r="B12480" s="1" t="n">
        <v>45841</v>
      </c>
      <c r="C12480" s="1" t="n">
        <v>45952</v>
      </c>
      <c r="D12480" t="inlineStr">
        <is>
          <t>VÄSTRA GÖTALANDS LÄN</t>
        </is>
      </c>
      <c r="E12480" t="inlineStr">
        <is>
          <t>ULRICEHAMN</t>
        </is>
      </c>
      <c r="G12480" t="n">
        <v>0.5</v>
      </c>
      <c r="H12480" t="n">
        <v>0</v>
      </c>
      <c r="I12480" t="n">
        <v>0</v>
      </c>
      <c r="J12480" t="n">
        <v>0</v>
      </c>
      <c r="K12480" t="n">
        <v>0</v>
      </c>
      <c r="L12480" t="n">
        <v>0</v>
      </c>
      <c r="M12480" t="n">
        <v>0</v>
      </c>
      <c r="N12480" t="n">
        <v>0</v>
      </c>
      <c r="O12480" t="n">
        <v>0</v>
      </c>
      <c r="P12480" t="n">
        <v>0</v>
      </c>
      <c r="Q12480" t="n">
        <v>0</v>
      </c>
      <c r="R12480" s="2" t="inlineStr"/>
    </row>
    <row r="12481" ht="15" customHeight="1">
      <c r="A12481" t="inlineStr">
        <is>
          <t>A 55317-2024</t>
        </is>
      </c>
      <c r="B12481" s="1" t="n">
        <v>45621.66334490741</v>
      </c>
      <c r="C12481" s="1" t="n">
        <v>45952</v>
      </c>
      <c r="D12481" t="inlineStr">
        <is>
          <t>VÄSTRA GÖTALANDS LÄN</t>
        </is>
      </c>
      <c r="E12481" t="inlineStr">
        <is>
          <t>ÅMÅL</t>
        </is>
      </c>
      <c r="G12481" t="n">
        <v>5.7</v>
      </c>
      <c r="H12481" t="n">
        <v>0</v>
      </c>
      <c r="I12481" t="n">
        <v>0</v>
      </c>
      <c r="J12481" t="n">
        <v>0</v>
      </c>
      <c r="K12481" t="n">
        <v>0</v>
      </c>
      <c r="L12481" t="n">
        <v>0</v>
      </c>
      <c r="M12481" t="n">
        <v>0</v>
      </c>
      <c r="N12481" t="n">
        <v>0</v>
      </c>
      <c r="O12481" t="n">
        <v>0</v>
      </c>
      <c r="P12481" t="n">
        <v>0</v>
      </c>
      <c r="Q12481" t="n">
        <v>0</v>
      </c>
      <c r="R12481" s="2" t="inlineStr"/>
    </row>
    <row r="12482" ht="15" customHeight="1">
      <c r="A12482" t="inlineStr">
        <is>
          <t>A 21493-2021</t>
        </is>
      </c>
      <c r="B12482" s="1" t="n">
        <v>44321.53975694445</v>
      </c>
      <c r="C12482" s="1" t="n">
        <v>45952</v>
      </c>
      <c r="D12482" t="inlineStr">
        <is>
          <t>VÄSTRA GÖTALANDS LÄN</t>
        </is>
      </c>
      <c r="E12482" t="inlineStr">
        <is>
          <t>SKÖVDE</t>
        </is>
      </c>
      <c r="G12482" t="n">
        <v>2.3</v>
      </c>
      <c r="H12482" t="n">
        <v>0</v>
      </c>
      <c r="I12482" t="n">
        <v>0</v>
      </c>
      <c r="J12482" t="n">
        <v>0</v>
      </c>
      <c r="K12482" t="n">
        <v>0</v>
      </c>
      <c r="L12482" t="n">
        <v>0</v>
      </c>
      <c r="M12482" t="n">
        <v>0</v>
      </c>
      <c r="N12482" t="n">
        <v>0</v>
      </c>
      <c r="O12482" t="n">
        <v>0</v>
      </c>
      <c r="P12482" t="n">
        <v>0</v>
      </c>
      <c r="Q12482" t="n">
        <v>0</v>
      </c>
      <c r="R12482" s="2" t="inlineStr"/>
    </row>
    <row r="12483" ht="15" customHeight="1">
      <c r="A12483" t="inlineStr">
        <is>
          <t>A 59926-2022</t>
        </is>
      </c>
      <c r="B12483" s="1" t="n">
        <v>44909.33916666666</v>
      </c>
      <c r="C12483" s="1" t="n">
        <v>45952</v>
      </c>
      <c r="D12483" t="inlineStr">
        <is>
          <t>VÄSTRA GÖTALANDS LÄN</t>
        </is>
      </c>
      <c r="E12483" t="inlineStr">
        <is>
          <t>MARK</t>
        </is>
      </c>
      <c r="G12483" t="n">
        <v>1.3</v>
      </c>
      <c r="H12483" t="n">
        <v>0</v>
      </c>
      <c r="I12483" t="n">
        <v>0</v>
      </c>
      <c r="J12483" t="n">
        <v>0</v>
      </c>
      <c r="K12483" t="n">
        <v>0</v>
      </c>
      <c r="L12483" t="n">
        <v>0</v>
      </c>
      <c r="M12483" t="n">
        <v>0</v>
      </c>
      <c r="N12483" t="n">
        <v>0</v>
      </c>
      <c r="O12483" t="n">
        <v>0</v>
      </c>
      <c r="P12483" t="n">
        <v>0</v>
      </c>
      <c r="Q12483" t="n">
        <v>0</v>
      </c>
      <c r="R12483" s="2" t="inlineStr"/>
    </row>
    <row r="12484" ht="15" customHeight="1">
      <c r="A12484" t="inlineStr">
        <is>
          <t>A 20196-2024</t>
        </is>
      </c>
      <c r="B12484" s="1" t="n">
        <v>45434.63688657407</v>
      </c>
      <c r="C12484" s="1" t="n">
        <v>45952</v>
      </c>
      <c r="D12484" t="inlineStr">
        <is>
          <t>VÄSTRA GÖTALANDS LÄN</t>
        </is>
      </c>
      <c r="E12484" t="inlineStr">
        <is>
          <t>VARA</t>
        </is>
      </c>
      <c r="G12484" t="n">
        <v>0.7</v>
      </c>
      <c r="H12484" t="n">
        <v>0</v>
      </c>
      <c r="I12484" t="n">
        <v>0</v>
      </c>
      <c r="J12484" t="n">
        <v>0</v>
      </c>
      <c r="K12484" t="n">
        <v>0</v>
      </c>
      <c r="L12484" t="n">
        <v>0</v>
      </c>
      <c r="M12484" t="n">
        <v>0</v>
      </c>
      <c r="N12484" t="n">
        <v>0</v>
      </c>
      <c r="O12484" t="n">
        <v>0</v>
      </c>
      <c r="P12484" t="n">
        <v>0</v>
      </c>
      <c r="Q12484" t="n">
        <v>0</v>
      </c>
      <c r="R12484" s="2" t="inlineStr"/>
    </row>
    <row r="12485" ht="15" customHeight="1">
      <c r="A12485" t="inlineStr">
        <is>
          <t>A 33560-2025</t>
        </is>
      </c>
      <c r="B12485" s="1" t="n">
        <v>45841.57739583333</v>
      </c>
      <c r="C12485" s="1" t="n">
        <v>45952</v>
      </c>
      <c r="D12485" t="inlineStr">
        <is>
          <t>VÄSTRA GÖTALANDS LÄN</t>
        </is>
      </c>
      <c r="E12485" t="inlineStr">
        <is>
          <t>STRÖMSTAD</t>
        </is>
      </c>
      <c r="G12485" t="n">
        <v>1.4</v>
      </c>
      <c r="H12485" t="n">
        <v>0</v>
      </c>
      <c r="I12485" t="n">
        <v>0</v>
      </c>
      <c r="J12485" t="n">
        <v>0</v>
      </c>
      <c r="K12485" t="n">
        <v>0</v>
      </c>
      <c r="L12485" t="n">
        <v>0</v>
      </c>
      <c r="M12485" t="n">
        <v>0</v>
      </c>
      <c r="N12485" t="n">
        <v>0</v>
      </c>
      <c r="O12485" t="n">
        <v>0</v>
      </c>
      <c r="P12485" t="n">
        <v>0</v>
      </c>
      <c r="Q12485" t="n">
        <v>0</v>
      </c>
      <c r="R12485" s="2" t="inlineStr"/>
    </row>
    <row r="12486" ht="15" customHeight="1">
      <c r="A12486" t="inlineStr">
        <is>
          <t>A 59692-2023</t>
        </is>
      </c>
      <c r="B12486" s="1" t="n">
        <v>45256</v>
      </c>
      <c r="C12486" s="1" t="n">
        <v>45952</v>
      </c>
      <c r="D12486" t="inlineStr">
        <is>
          <t>VÄSTRA GÖTALANDS LÄN</t>
        </is>
      </c>
      <c r="E12486" t="inlineStr">
        <is>
          <t>VÄNERSBORG</t>
        </is>
      </c>
      <c r="G12486" t="n">
        <v>0.5</v>
      </c>
      <c r="H12486" t="n">
        <v>0</v>
      </c>
      <c r="I12486" t="n">
        <v>0</v>
      </c>
      <c r="J12486" t="n">
        <v>0</v>
      </c>
      <c r="K12486" t="n">
        <v>0</v>
      </c>
      <c r="L12486" t="n">
        <v>0</v>
      </c>
      <c r="M12486" t="n">
        <v>0</v>
      </c>
      <c r="N12486" t="n">
        <v>0</v>
      </c>
      <c r="O12486" t="n">
        <v>0</v>
      </c>
      <c r="P12486" t="n">
        <v>0</v>
      </c>
      <c r="Q12486" t="n">
        <v>0</v>
      </c>
      <c r="R12486" s="2" t="inlineStr"/>
    </row>
    <row r="12487" ht="15" customHeight="1">
      <c r="A12487" t="inlineStr">
        <is>
          <t>A 33309-2025</t>
        </is>
      </c>
      <c r="B12487" s="1" t="n">
        <v>45841.32841435185</v>
      </c>
      <c r="C12487" s="1" t="n">
        <v>45952</v>
      </c>
      <c r="D12487" t="inlineStr">
        <is>
          <t>VÄSTRA GÖTALANDS LÄN</t>
        </is>
      </c>
      <c r="E12487" t="inlineStr">
        <is>
          <t>TÖREBODA</t>
        </is>
      </c>
      <c r="F12487" t="inlineStr">
        <is>
          <t>Övriga statliga verk och myndigheter</t>
        </is>
      </c>
      <c r="G12487" t="n">
        <v>1.8</v>
      </c>
      <c r="H12487" t="n">
        <v>0</v>
      </c>
      <c r="I12487" t="n">
        <v>0</v>
      </c>
      <c r="J12487" t="n">
        <v>0</v>
      </c>
      <c r="K12487" t="n">
        <v>0</v>
      </c>
      <c r="L12487" t="n">
        <v>0</v>
      </c>
      <c r="M12487" t="n">
        <v>0</v>
      </c>
      <c r="N12487" t="n">
        <v>0</v>
      </c>
      <c r="O12487" t="n">
        <v>0</v>
      </c>
      <c r="P12487" t="n">
        <v>0</v>
      </c>
      <c r="Q12487" t="n">
        <v>0</v>
      </c>
      <c r="R12487" s="2" t="inlineStr"/>
    </row>
    <row r="12488" ht="15" customHeight="1">
      <c r="A12488" t="inlineStr">
        <is>
          <t>A 4306-2023</t>
        </is>
      </c>
      <c r="B12488" s="1" t="n">
        <v>44953</v>
      </c>
      <c r="C12488" s="1" t="n">
        <v>45952</v>
      </c>
      <c r="D12488" t="inlineStr">
        <is>
          <t>VÄSTRA GÖTALANDS LÄN</t>
        </is>
      </c>
      <c r="E12488" t="inlineStr">
        <is>
          <t>SKARA</t>
        </is>
      </c>
      <c r="G12488" t="n">
        <v>3.7</v>
      </c>
      <c r="H12488" t="n">
        <v>0</v>
      </c>
      <c r="I12488" t="n">
        <v>0</v>
      </c>
      <c r="J12488" t="n">
        <v>0</v>
      </c>
      <c r="K12488" t="n">
        <v>0</v>
      </c>
      <c r="L12488" t="n">
        <v>0</v>
      </c>
      <c r="M12488" t="n">
        <v>0</v>
      </c>
      <c r="N12488" t="n">
        <v>0</v>
      </c>
      <c r="O12488" t="n">
        <v>0</v>
      </c>
      <c r="P12488" t="n">
        <v>0</v>
      </c>
      <c r="Q12488" t="n">
        <v>0</v>
      </c>
      <c r="R12488" s="2" t="inlineStr"/>
    </row>
    <row r="12489" ht="15" customHeight="1">
      <c r="A12489" t="inlineStr">
        <is>
          <t>A 1440-2022</t>
        </is>
      </c>
      <c r="B12489" s="1" t="n">
        <v>44573</v>
      </c>
      <c r="C12489" s="1" t="n">
        <v>45952</v>
      </c>
      <c r="D12489" t="inlineStr">
        <is>
          <t>VÄSTRA GÖTALANDS LÄN</t>
        </is>
      </c>
      <c r="E12489" t="inlineStr">
        <is>
          <t>TANUM</t>
        </is>
      </c>
      <c r="G12489" t="n">
        <v>4</v>
      </c>
      <c r="H12489" t="n">
        <v>0</v>
      </c>
      <c r="I12489" t="n">
        <v>0</v>
      </c>
      <c r="J12489" t="n">
        <v>0</v>
      </c>
      <c r="K12489" t="n">
        <v>0</v>
      </c>
      <c r="L12489" t="n">
        <v>0</v>
      </c>
      <c r="M12489" t="n">
        <v>0</v>
      </c>
      <c r="N12489" t="n">
        <v>0</v>
      </c>
      <c r="O12489" t="n">
        <v>0</v>
      </c>
      <c r="P12489" t="n">
        <v>0</v>
      </c>
      <c r="Q12489" t="n">
        <v>0</v>
      </c>
      <c r="R12489" s="2" t="inlineStr"/>
    </row>
    <row r="12490" ht="15" customHeight="1">
      <c r="A12490" t="inlineStr">
        <is>
          <t>A 33444-2025</t>
        </is>
      </c>
      <c r="B12490" s="1" t="n">
        <v>45841.46166666667</v>
      </c>
      <c r="C12490" s="1" t="n">
        <v>45952</v>
      </c>
      <c r="D12490" t="inlineStr">
        <is>
          <t>VÄSTRA GÖTALANDS LÄN</t>
        </is>
      </c>
      <c r="E12490" t="inlineStr">
        <is>
          <t>MARK</t>
        </is>
      </c>
      <c r="G12490" t="n">
        <v>2.1</v>
      </c>
      <c r="H12490" t="n">
        <v>0</v>
      </c>
      <c r="I12490" t="n">
        <v>0</v>
      </c>
      <c r="J12490" t="n">
        <v>0</v>
      </c>
      <c r="K12490" t="n">
        <v>0</v>
      </c>
      <c r="L12490" t="n">
        <v>0</v>
      </c>
      <c r="M12490" t="n">
        <v>0</v>
      </c>
      <c r="N12490" t="n">
        <v>0</v>
      </c>
      <c r="O12490" t="n">
        <v>0</v>
      </c>
      <c r="P12490" t="n">
        <v>0</v>
      </c>
      <c r="Q12490" t="n">
        <v>0</v>
      </c>
      <c r="R12490" s="2" t="inlineStr"/>
    </row>
    <row r="12491" ht="15" customHeight="1">
      <c r="A12491" t="inlineStr">
        <is>
          <t>A 33053-2025</t>
        </is>
      </c>
      <c r="B12491" s="1" t="n">
        <v>45840.42666666667</v>
      </c>
      <c r="C12491" s="1" t="n">
        <v>45952</v>
      </c>
      <c r="D12491" t="inlineStr">
        <is>
          <t>VÄSTRA GÖTALANDS LÄN</t>
        </is>
      </c>
      <c r="E12491" t="inlineStr">
        <is>
          <t>SKÖVDE</t>
        </is>
      </c>
      <c r="G12491" t="n">
        <v>4.2</v>
      </c>
      <c r="H12491" t="n">
        <v>0</v>
      </c>
      <c r="I12491" t="n">
        <v>0</v>
      </c>
      <c r="J12491" t="n">
        <v>0</v>
      </c>
      <c r="K12491" t="n">
        <v>0</v>
      </c>
      <c r="L12491" t="n">
        <v>0</v>
      </c>
      <c r="M12491" t="n">
        <v>0</v>
      </c>
      <c r="N12491" t="n">
        <v>0</v>
      </c>
      <c r="O12491" t="n">
        <v>0</v>
      </c>
      <c r="P12491" t="n">
        <v>0</v>
      </c>
      <c r="Q12491" t="n">
        <v>0</v>
      </c>
      <c r="R12491" s="2" t="inlineStr"/>
    </row>
    <row r="12492" ht="15" customHeight="1">
      <c r="A12492" t="inlineStr">
        <is>
          <t>A 33095-2025</t>
        </is>
      </c>
      <c r="B12492" s="1" t="n">
        <v>45840.47387731481</v>
      </c>
      <c r="C12492" s="1" t="n">
        <v>45952</v>
      </c>
      <c r="D12492" t="inlineStr">
        <is>
          <t>VÄSTRA GÖTALANDS LÄN</t>
        </is>
      </c>
      <c r="E12492" t="inlineStr">
        <is>
          <t>SKARA</t>
        </is>
      </c>
      <c r="G12492" t="n">
        <v>0.6</v>
      </c>
      <c r="H12492" t="n">
        <v>0</v>
      </c>
      <c r="I12492" t="n">
        <v>0</v>
      </c>
      <c r="J12492" t="n">
        <v>0</v>
      </c>
      <c r="K12492" t="n">
        <v>0</v>
      </c>
      <c r="L12492" t="n">
        <v>0</v>
      </c>
      <c r="M12492" t="n">
        <v>0</v>
      </c>
      <c r="N12492" t="n">
        <v>0</v>
      </c>
      <c r="O12492" t="n">
        <v>0</v>
      </c>
      <c r="P12492" t="n">
        <v>0</v>
      </c>
      <c r="Q12492" t="n">
        <v>0</v>
      </c>
      <c r="R12492" s="2" t="inlineStr"/>
    </row>
    <row r="12493" ht="15" customHeight="1">
      <c r="A12493" t="inlineStr">
        <is>
          <t>A 60112-2024</t>
        </is>
      </c>
      <c r="B12493" s="1" t="n">
        <v>45642.57456018519</v>
      </c>
      <c r="C12493" s="1" t="n">
        <v>45952</v>
      </c>
      <c r="D12493" t="inlineStr">
        <is>
          <t>VÄSTRA GÖTALANDS LÄN</t>
        </is>
      </c>
      <c r="E12493" t="inlineStr">
        <is>
          <t>LIDKÖPING</t>
        </is>
      </c>
      <c r="G12493" t="n">
        <v>0.5</v>
      </c>
      <c r="H12493" t="n">
        <v>0</v>
      </c>
      <c r="I12493" t="n">
        <v>0</v>
      </c>
      <c r="J12493" t="n">
        <v>0</v>
      </c>
      <c r="K12493" t="n">
        <v>0</v>
      </c>
      <c r="L12493" t="n">
        <v>0</v>
      </c>
      <c r="M12493" t="n">
        <v>0</v>
      </c>
      <c r="N12493" t="n">
        <v>0</v>
      </c>
      <c r="O12493" t="n">
        <v>0</v>
      </c>
      <c r="P12493" t="n">
        <v>0</v>
      </c>
      <c r="Q12493" t="n">
        <v>0</v>
      </c>
      <c r="R12493" s="2" t="inlineStr"/>
    </row>
    <row r="12494" ht="15" customHeight="1">
      <c r="A12494" t="inlineStr">
        <is>
          <t>A 33488-2025</t>
        </is>
      </c>
      <c r="B12494" s="1" t="n">
        <v>45841.50565972222</v>
      </c>
      <c r="C12494" s="1" t="n">
        <v>45952</v>
      </c>
      <c r="D12494" t="inlineStr">
        <is>
          <t>VÄSTRA GÖTALANDS LÄN</t>
        </is>
      </c>
      <c r="E12494" t="inlineStr">
        <is>
          <t>BORÅS</t>
        </is>
      </c>
      <c r="G12494" t="n">
        <v>3.9</v>
      </c>
      <c r="H12494" t="n">
        <v>0</v>
      </c>
      <c r="I12494" t="n">
        <v>0</v>
      </c>
      <c r="J12494" t="n">
        <v>0</v>
      </c>
      <c r="K12494" t="n">
        <v>0</v>
      </c>
      <c r="L12494" t="n">
        <v>0</v>
      </c>
      <c r="M12494" t="n">
        <v>0</v>
      </c>
      <c r="N12494" t="n">
        <v>0</v>
      </c>
      <c r="O12494" t="n">
        <v>0</v>
      </c>
      <c r="P12494" t="n">
        <v>0</v>
      </c>
      <c r="Q12494" t="n">
        <v>0</v>
      </c>
      <c r="R12494" s="2" t="inlineStr"/>
    </row>
    <row r="12495" ht="15" customHeight="1">
      <c r="A12495" t="inlineStr">
        <is>
          <t>A 33490-2025</t>
        </is>
      </c>
      <c r="B12495" s="1" t="n">
        <v>45841.50623842593</v>
      </c>
      <c r="C12495" s="1" t="n">
        <v>45952</v>
      </c>
      <c r="D12495" t="inlineStr">
        <is>
          <t>VÄSTRA GÖTALANDS LÄN</t>
        </is>
      </c>
      <c r="E12495" t="inlineStr">
        <is>
          <t>ALINGSÅS</t>
        </is>
      </c>
      <c r="G12495" t="n">
        <v>7.9</v>
      </c>
      <c r="H12495" t="n">
        <v>0</v>
      </c>
      <c r="I12495" t="n">
        <v>0</v>
      </c>
      <c r="J12495" t="n">
        <v>0</v>
      </c>
      <c r="K12495" t="n">
        <v>0</v>
      </c>
      <c r="L12495" t="n">
        <v>0</v>
      </c>
      <c r="M12495" t="n">
        <v>0</v>
      </c>
      <c r="N12495" t="n">
        <v>0</v>
      </c>
      <c r="O12495" t="n">
        <v>0</v>
      </c>
      <c r="P12495" t="n">
        <v>0</v>
      </c>
      <c r="Q12495" t="n">
        <v>0</v>
      </c>
      <c r="R12495" s="2" t="inlineStr"/>
    </row>
    <row r="12496" ht="15" customHeight="1">
      <c r="A12496" t="inlineStr">
        <is>
          <t>A 33506-2025</t>
        </is>
      </c>
      <c r="B12496" s="1" t="n">
        <v>45841.51304398148</v>
      </c>
      <c r="C12496" s="1" t="n">
        <v>45952</v>
      </c>
      <c r="D12496" t="inlineStr">
        <is>
          <t>VÄSTRA GÖTALANDS LÄN</t>
        </is>
      </c>
      <c r="E12496" t="inlineStr">
        <is>
          <t>TIDAHOLM</t>
        </is>
      </c>
      <c r="G12496" t="n">
        <v>1.7</v>
      </c>
      <c r="H12496" t="n">
        <v>0</v>
      </c>
      <c r="I12496" t="n">
        <v>0</v>
      </c>
      <c r="J12496" t="n">
        <v>0</v>
      </c>
      <c r="K12496" t="n">
        <v>0</v>
      </c>
      <c r="L12496" t="n">
        <v>0</v>
      </c>
      <c r="M12496" t="n">
        <v>0</v>
      </c>
      <c r="N12496" t="n">
        <v>0</v>
      </c>
      <c r="O12496" t="n">
        <v>0</v>
      </c>
      <c r="P12496" t="n">
        <v>0</v>
      </c>
      <c r="Q12496" t="n">
        <v>0</v>
      </c>
      <c r="R12496" s="2" t="inlineStr"/>
    </row>
    <row r="12497" ht="15" customHeight="1">
      <c r="A12497" t="inlineStr">
        <is>
          <t>A 33517-2025</t>
        </is>
      </c>
      <c r="B12497" s="1" t="n">
        <v>45841</v>
      </c>
      <c r="C12497" s="1" t="n">
        <v>45952</v>
      </c>
      <c r="D12497" t="inlineStr">
        <is>
          <t>VÄSTRA GÖTALANDS LÄN</t>
        </is>
      </c>
      <c r="E12497" t="inlineStr">
        <is>
          <t>HERRLJUNGA</t>
        </is>
      </c>
      <c r="G12497" t="n">
        <v>1.8</v>
      </c>
      <c r="H12497" t="n">
        <v>0</v>
      </c>
      <c r="I12497" t="n">
        <v>0</v>
      </c>
      <c r="J12497" t="n">
        <v>0</v>
      </c>
      <c r="K12497" t="n">
        <v>0</v>
      </c>
      <c r="L12497" t="n">
        <v>0</v>
      </c>
      <c r="M12497" t="n">
        <v>0</v>
      </c>
      <c r="N12497" t="n">
        <v>0</v>
      </c>
      <c r="O12497" t="n">
        <v>0</v>
      </c>
      <c r="P12497" t="n">
        <v>0</v>
      </c>
      <c r="Q12497" t="n">
        <v>0</v>
      </c>
      <c r="R12497" s="2" t="inlineStr"/>
    </row>
    <row r="12498" ht="15" customHeight="1">
      <c r="A12498" t="inlineStr">
        <is>
          <t>A 33531-2025</t>
        </is>
      </c>
      <c r="B12498" s="1" t="n">
        <v>45841.55440972222</v>
      </c>
      <c r="C12498" s="1" t="n">
        <v>45952</v>
      </c>
      <c r="D12498" t="inlineStr">
        <is>
          <t>VÄSTRA GÖTALANDS LÄN</t>
        </is>
      </c>
      <c r="E12498" t="inlineStr">
        <is>
          <t>MARK</t>
        </is>
      </c>
      <c r="G12498" t="n">
        <v>5.4</v>
      </c>
      <c r="H12498" t="n">
        <v>0</v>
      </c>
      <c r="I12498" t="n">
        <v>0</v>
      </c>
      <c r="J12498" t="n">
        <v>0</v>
      </c>
      <c r="K12498" t="n">
        <v>0</v>
      </c>
      <c r="L12498" t="n">
        <v>0</v>
      </c>
      <c r="M12498" t="n">
        <v>0</v>
      </c>
      <c r="N12498" t="n">
        <v>0</v>
      </c>
      <c r="O12498" t="n">
        <v>0</v>
      </c>
      <c r="P12498" t="n">
        <v>0</v>
      </c>
      <c r="Q12498" t="n">
        <v>0</v>
      </c>
      <c r="R12498" s="2" t="inlineStr"/>
    </row>
    <row r="12499" ht="15" customHeight="1">
      <c r="A12499" t="inlineStr">
        <is>
          <t>A 33564-2025</t>
        </is>
      </c>
      <c r="B12499" s="1" t="n">
        <v>45841.57973379629</v>
      </c>
      <c r="C12499" s="1" t="n">
        <v>45952</v>
      </c>
      <c r="D12499" t="inlineStr">
        <is>
          <t>VÄSTRA GÖTALANDS LÄN</t>
        </is>
      </c>
      <c r="E12499" t="inlineStr">
        <is>
          <t>STRÖMSTAD</t>
        </is>
      </c>
      <c r="G12499" t="n">
        <v>2.6</v>
      </c>
      <c r="H12499" t="n">
        <v>0</v>
      </c>
      <c r="I12499" t="n">
        <v>0</v>
      </c>
      <c r="J12499" t="n">
        <v>0</v>
      </c>
      <c r="K12499" t="n">
        <v>0</v>
      </c>
      <c r="L12499" t="n">
        <v>0</v>
      </c>
      <c r="M12499" t="n">
        <v>0</v>
      </c>
      <c r="N12499" t="n">
        <v>0</v>
      </c>
      <c r="O12499" t="n">
        <v>0</v>
      </c>
      <c r="P12499" t="n">
        <v>0</v>
      </c>
      <c r="Q12499" t="n">
        <v>0</v>
      </c>
      <c r="R12499" s="2" t="inlineStr"/>
    </row>
    <row r="12500" ht="15" customHeight="1">
      <c r="A12500" t="inlineStr">
        <is>
          <t>A 33569-2025</t>
        </is>
      </c>
      <c r="B12500" s="1" t="n">
        <v>45841.58334490741</v>
      </c>
      <c r="C12500" s="1" t="n">
        <v>45952</v>
      </c>
      <c r="D12500" t="inlineStr">
        <is>
          <t>VÄSTRA GÖTALANDS LÄN</t>
        </is>
      </c>
      <c r="E12500" t="inlineStr">
        <is>
          <t>STRÖMSTAD</t>
        </is>
      </c>
      <c r="G12500" t="n">
        <v>0.5</v>
      </c>
      <c r="H12500" t="n">
        <v>0</v>
      </c>
      <c r="I12500" t="n">
        <v>0</v>
      </c>
      <c r="J12500" t="n">
        <v>0</v>
      </c>
      <c r="K12500" t="n">
        <v>0</v>
      </c>
      <c r="L12500" t="n">
        <v>0</v>
      </c>
      <c r="M12500" t="n">
        <v>0</v>
      </c>
      <c r="N12500" t="n">
        <v>0</v>
      </c>
      <c r="O12500" t="n">
        <v>0</v>
      </c>
      <c r="P12500" t="n">
        <v>0</v>
      </c>
      <c r="Q12500" t="n">
        <v>0</v>
      </c>
      <c r="R12500" s="2" t="inlineStr"/>
    </row>
    <row r="12501" ht="15" customHeight="1">
      <c r="A12501" t="inlineStr">
        <is>
          <t>A 33586-2025</t>
        </is>
      </c>
      <c r="B12501" s="1" t="n">
        <v>45841.59465277778</v>
      </c>
      <c r="C12501" s="1" t="n">
        <v>45952</v>
      </c>
      <c r="D12501" t="inlineStr">
        <is>
          <t>VÄSTRA GÖTALANDS LÄN</t>
        </is>
      </c>
      <c r="E12501" t="inlineStr">
        <is>
          <t>STRÖMSTAD</t>
        </is>
      </c>
      <c r="G12501" t="n">
        <v>0.5</v>
      </c>
      <c r="H12501" t="n">
        <v>0</v>
      </c>
      <c r="I12501" t="n">
        <v>0</v>
      </c>
      <c r="J12501" t="n">
        <v>0</v>
      </c>
      <c r="K12501" t="n">
        <v>0</v>
      </c>
      <c r="L12501" t="n">
        <v>0</v>
      </c>
      <c r="M12501" t="n">
        <v>0</v>
      </c>
      <c r="N12501" t="n">
        <v>0</v>
      </c>
      <c r="O12501" t="n">
        <v>0</v>
      </c>
      <c r="P12501" t="n">
        <v>0</v>
      </c>
      <c r="Q12501" t="n">
        <v>0</v>
      </c>
      <c r="R12501" s="2" t="inlineStr"/>
    </row>
    <row r="12502" ht="15" customHeight="1">
      <c r="A12502" t="inlineStr">
        <is>
          <t>A 33342-2025</t>
        </is>
      </c>
      <c r="B12502" s="1" t="n">
        <v>45841.36143518519</v>
      </c>
      <c r="C12502" s="1" t="n">
        <v>45952</v>
      </c>
      <c r="D12502" t="inlineStr">
        <is>
          <t>VÄSTRA GÖTALANDS LÄN</t>
        </is>
      </c>
      <c r="E12502" t="inlineStr">
        <is>
          <t>MELLERUD</t>
        </is>
      </c>
      <c r="G12502" t="n">
        <v>1.9</v>
      </c>
      <c r="H12502" t="n">
        <v>0</v>
      </c>
      <c r="I12502" t="n">
        <v>0</v>
      </c>
      <c r="J12502" t="n">
        <v>0</v>
      </c>
      <c r="K12502" t="n">
        <v>0</v>
      </c>
      <c r="L12502" t="n">
        <v>0</v>
      </c>
      <c r="M12502" t="n">
        <v>0</v>
      </c>
      <c r="N12502" t="n">
        <v>0</v>
      </c>
      <c r="O12502" t="n">
        <v>0</v>
      </c>
      <c r="P12502" t="n">
        <v>0</v>
      </c>
      <c r="Q12502" t="n">
        <v>0</v>
      </c>
      <c r="R12502" s="2" t="inlineStr"/>
    </row>
    <row r="12503" ht="15" customHeight="1">
      <c r="A12503" t="inlineStr">
        <is>
          <t>A 33352-2025</t>
        </is>
      </c>
      <c r="B12503" s="1" t="n">
        <v>45841.37438657408</v>
      </c>
      <c r="C12503" s="1" t="n">
        <v>45952</v>
      </c>
      <c r="D12503" t="inlineStr">
        <is>
          <t>VÄSTRA GÖTALANDS LÄN</t>
        </is>
      </c>
      <c r="E12503" t="inlineStr">
        <is>
          <t>MARK</t>
        </is>
      </c>
      <c r="G12503" t="n">
        <v>0.5</v>
      </c>
      <c r="H12503" t="n">
        <v>0</v>
      </c>
      <c r="I12503" t="n">
        <v>0</v>
      </c>
      <c r="J12503" t="n">
        <v>0</v>
      </c>
      <c r="K12503" t="n">
        <v>0</v>
      </c>
      <c r="L12503" t="n">
        <v>0</v>
      </c>
      <c r="M12503" t="n">
        <v>0</v>
      </c>
      <c r="N12503" t="n">
        <v>0</v>
      </c>
      <c r="O12503" t="n">
        <v>0</v>
      </c>
      <c r="P12503" t="n">
        <v>0</v>
      </c>
      <c r="Q12503" t="n">
        <v>0</v>
      </c>
      <c r="R12503" s="2" t="inlineStr"/>
    </row>
    <row r="12504" ht="15" customHeight="1">
      <c r="A12504" t="inlineStr">
        <is>
          <t>A 33356-2025</t>
        </is>
      </c>
      <c r="B12504" s="1" t="n">
        <v>45841.37721064815</v>
      </c>
      <c r="C12504" s="1" t="n">
        <v>45952</v>
      </c>
      <c r="D12504" t="inlineStr">
        <is>
          <t>VÄSTRA GÖTALANDS LÄN</t>
        </is>
      </c>
      <c r="E12504" t="inlineStr">
        <is>
          <t>MARK</t>
        </is>
      </c>
      <c r="G12504" t="n">
        <v>6.2</v>
      </c>
      <c r="H12504" t="n">
        <v>0</v>
      </c>
      <c r="I12504" t="n">
        <v>0</v>
      </c>
      <c r="J12504" t="n">
        <v>0</v>
      </c>
      <c r="K12504" t="n">
        <v>0</v>
      </c>
      <c r="L12504" t="n">
        <v>0</v>
      </c>
      <c r="M12504" t="n">
        <v>0</v>
      </c>
      <c r="N12504" t="n">
        <v>0</v>
      </c>
      <c r="O12504" t="n">
        <v>0</v>
      </c>
      <c r="P12504" t="n">
        <v>0</v>
      </c>
      <c r="Q12504" t="n">
        <v>0</v>
      </c>
      <c r="R12504" s="2" t="inlineStr"/>
    </row>
    <row r="12505" ht="15" customHeight="1">
      <c r="A12505" t="inlineStr">
        <is>
          <t>A 33074-2025</t>
        </is>
      </c>
      <c r="B12505" s="1" t="n">
        <v>45840.45519675926</v>
      </c>
      <c r="C12505" s="1" t="n">
        <v>45952</v>
      </c>
      <c r="D12505" t="inlineStr">
        <is>
          <t>VÄSTRA GÖTALANDS LÄN</t>
        </is>
      </c>
      <c r="E12505" t="inlineStr">
        <is>
          <t>MUNKEDAL</t>
        </is>
      </c>
      <c r="G12505" t="n">
        <v>2.3</v>
      </c>
      <c r="H12505" t="n">
        <v>0</v>
      </c>
      <c r="I12505" t="n">
        <v>0</v>
      </c>
      <c r="J12505" t="n">
        <v>0</v>
      </c>
      <c r="K12505" t="n">
        <v>0</v>
      </c>
      <c r="L12505" t="n">
        <v>0</v>
      </c>
      <c r="M12505" t="n">
        <v>0</v>
      </c>
      <c r="N12505" t="n">
        <v>0</v>
      </c>
      <c r="O12505" t="n">
        <v>0</v>
      </c>
      <c r="P12505" t="n">
        <v>0</v>
      </c>
      <c r="Q12505" t="n">
        <v>0</v>
      </c>
      <c r="R12505" s="2" t="inlineStr"/>
    </row>
    <row r="12506" ht="15" customHeight="1">
      <c r="A12506" t="inlineStr">
        <is>
          <t>A 33076-2025</t>
        </is>
      </c>
      <c r="B12506" s="1" t="n">
        <v>45840.45832175926</v>
      </c>
      <c r="C12506" s="1" t="n">
        <v>45952</v>
      </c>
      <c r="D12506" t="inlineStr">
        <is>
          <t>VÄSTRA GÖTALANDS LÄN</t>
        </is>
      </c>
      <c r="E12506" t="inlineStr">
        <is>
          <t>MUNKEDAL</t>
        </is>
      </c>
      <c r="G12506" t="n">
        <v>1</v>
      </c>
      <c r="H12506" t="n">
        <v>0</v>
      </c>
      <c r="I12506" t="n">
        <v>0</v>
      </c>
      <c r="J12506" t="n">
        <v>0</v>
      </c>
      <c r="K12506" t="n">
        <v>0</v>
      </c>
      <c r="L12506" t="n">
        <v>0</v>
      </c>
      <c r="M12506" t="n">
        <v>0</v>
      </c>
      <c r="N12506" t="n">
        <v>0</v>
      </c>
      <c r="O12506" t="n">
        <v>0</v>
      </c>
      <c r="P12506" t="n">
        <v>0</v>
      </c>
      <c r="Q12506" t="n">
        <v>0</v>
      </c>
      <c r="R12506" s="2" t="inlineStr"/>
    </row>
    <row r="12507" ht="15" customHeight="1">
      <c r="A12507" t="inlineStr">
        <is>
          <t>A 60654-2021</t>
        </is>
      </c>
      <c r="B12507" s="1" t="n">
        <v>44496</v>
      </c>
      <c r="C12507" s="1" t="n">
        <v>45952</v>
      </c>
      <c r="D12507" t="inlineStr">
        <is>
          <t>VÄSTRA GÖTALANDS LÄN</t>
        </is>
      </c>
      <c r="E12507" t="inlineStr">
        <is>
          <t>SKARA</t>
        </is>
      </c>
      <c r="G12507" t="n">
        <v>0.6</v>
      </c>
      <c r="H12507" t="n">
        <v>0</v>
      </c>
      <c r="I12507" t="n">
        <v>0</v>
      </c>
      <c r="J12507" t="n">
        <v>0</v>
      </c>
      <c r="K12507" t="n">
        <v>0</v>
      </c>
      <c r="L12507" t="n">
        <v>0</v>
      </c>
      <c r="M12507" t="n">
        <v>0</v>
      </c>
      <c r="N12507" t="n">
        <v>0</v>
      </c>
      <c r="O12507" t="n">
        <v>0</v>
      </c>
      <c r="P12507" t="n">
        <v>0</v>
      </c>
      <c r="Q12507" t="n">
        <v>0</v>
      </c>
      <c r="R12507" s="2" t="inlineStr"/>
    </row>
    <row r="12508" ht="15" customHeight="1">
      <c r="A12508" t="inlineStr">
        <is>
          <t>A 61985-2024</t>
        </is>
      </c>
      <c r="B12508" s="1" t="n">
        <v>45653.67324074074</v>
      </c>
      <c r="C12508" s="1" t="n">
        <v>45952</v>
      </c>
      <c r="D12508" t="inlineStr">
        <is>
          <t>VÄSTRA GÖTALANDS LÄN</t>
        </is>
      </c>
      <c r="E12508" t="inlineStr">
        <is>
          <t>LYSEKIL</t>
        </is>
      </c>
      <c r="G12508" t="n">
        <v>1.8</v>
      </c>
      <c r="H12508" t="n">
        <v>0</v>
      </c>
      <c r="I12508" t="n">
        <v>0</v>
      </c>
      <c r="J12508" t="n">
        <v>0</v>
      </c>
      <c r="K12508" t="n">
        <v>0</v>
      </c>
      <c r="L12508" t="n">
        <v>0</v>
      </c>
      <c r="M12508" t="n">
        <v>0</v>
      </c>
      <c r="N12508" t="n">
        <v>0</v>
      </c>
      <c r="O12508" t="n">
        <v>0</v>
      </c>
      <c r="P12508" t="n">
        <v>0</v>
      </c>
      <c r="Q12508" t="n">
        <v>0</v>
      </c>
      <c r="R12508" s="2" t="inlineStr"/>
    </row>
    <row r="12509" ht="15" customHeight="1">
      <c r="A12509" t="inlineStr">
        <is>
          <t>A 62053-2024</t>
        </is>
      </c>
      <c r="B12509" s="1" t="n">
        <v>45656.36848379629</v>
      </c>
      <c r="C12509" s="1" t="n">
        <v>45952</v>
      </c>
      <c r="D12509" t="inlineStr">
        <is>
          <t>VÄSTRA GÖTALANDS LÄN</t>
        </is>
      </c>
      <c r="E12509" t="inlineStr">
        <is>
          <t>UDDEVALLA</t>
        </is>
      </c>
      <c r="F12509" t="inlineStr">
        <is>
          <t>Kommuner</t>
        </is>
      </c>
      <c r="G12509" t="n">
        <v>0.7</v>
      </c>
      <c r="H12509" t="n">
        <v>0</v>
      </c>
      <c r="I12509" t="n">
        <v>0</v>
      </c>
      <c r="J12509" t="n">
        <v>0</v>
      </c>
      <c r="K12509" t="n">
        <v>0</v>
      </c>
      <c r="L12509" t="n">
        <v>0</v>
      </c>
      <c r="M12509" t="n">
        <v>0</v>
      </c>
      <c r="N12509" t="n">
        <v>0</v>
      </c>
      <c r="O12509" t="n">
        <v>0</v>
      </c>
      <c r="P12509" t="n">
        <v>0</v>
      </c>
      <c r="Q12509" t="n">
        <v>0</v>
      </c>
      <c r="R12509" s="2" t="inlineStr"/>
    </row>
    <row r="12510" ht="15" customHeight="1">
      <c r="A12510" t="inlineStr">
        <is>
          <t>A 45747-2021</t>
        </is>
      </c>
      <c r="B12510" s="1" t="n">
        <v>44441</v>
      </c>
      <c r="C12510" s="1" t="n">
        <v>45952</v>
      </c>
      <c r="D12510" t="inlineStr">
        <is>
          <t>VÄSTRA GÖTALANDS LÄN</t>
        </is>
      </c>
      <c r="E12510" t="inlineStr">
        <is>
          <t>TANUM</t>
        </is>
      </c>
      <c r="G12510" t="n">
        <v>1.5</v>
      </c>
      <c r="H12510" t="n">
        <v>0</v>
      </c>
      <c r="I12510" t="n">
        <v>0</v>
      </c>
      <c r="J12510" t="n">
        <v>0</v>
      </c>
      <c r="K12510" t="n">
        <v>0</v>
      </c>
      <c r="L12510" t="n">
        <v>0</v>
      </c>
      <c r="M12510" t="n">
        <v>0</v>
      </c>
      <c r="N12510" t="n">
        <v>0</v>
      </c>
      <c r="O12510" t="n">
        <v>0</v>
      </c>
      <c r="P12510" t="n">
        <v>0</v>
      </c>
      <c r="Q12510" t="n">
        <v>0</v>
      </c>
      <c r="R12510" s="2" t="inlineStr"/>
    </row>
    <row r="12511" ht="15" customHeight="1">
      <c r="A12511" t="inlineStr">
        <is>
          <t>A 33424-2025</t>
        </is>
      </c>
      <c r="B12511" s="1" t="n">
        <v>45841.44478009259</v>
      </c>
      <c r="C12511" s="1" t="n">
        <v>45952</v>
      </c>
      <c r="D12511" t="inlineStr">
        <is>
          <t>VÄSTRA GÖTALANDS LÄN</t>
        </is>
      </c>
      <c r="E12511" t="inlineStr">
        <is>
          <t>TÖREBODA</t>
        </is>
      </c>
      <c r="F12511" t="inlineStr">
        <is>
          <t>Övriga statliga verk och myndigheter</t>
        </is>
      </c>
      <c r="G12511" t="n">
        <v>1.3</v>
      </c>
      <c r="H12511" t="n">
        <v>0</v>
      </c>
      <c r="I12511" t="n">
        <v>0</v>
      </c>
      <c r="J12511" t="n">
        <v>0</v>
      </c>
      <c r="K12511" t="n">
        <v>0</v>
      </c>
      <c r="L12511" t="n">
        <v>0</v>
      </c>
      <c r="M12511" t="n">
        <v>0</v>
      </c>
      <c r="N12511" t="n">
        <v>0</v>
      </c>
      <c r="O12511" t="n">
        <v>0</v>
      </c>
      <c r="P12511" t="n">
        <v>0</v>
      </c>
      <c r="Q12511" t="n">
        <v>0</v>
      </c>
      <c r="R12511" s="2" t="inlineStr"/>
    </row>
    <row r="12512" ht="15" customHeight="1">
      <c r="A12512" t="inlineStr">
        <is>
          <t>A 33915-2023</t>
        </is>
      </c>
      <c r="B12512" s="1" t="n">
        <v>45134.43918981482</v>
      </c>
      <c r="C12512" s="1" t="n">
        <v>45952</v>
      </c>
      <c r="D12512" t="inlineStr">
        <is>
          <t>VÄSTRA GÖTALANDS LÄN</t>
        </is>
      </c>
      <c r="E12512" t="inlineStr">
        <is>
          <t>VÄNERSBORG</t>
        </is>
      </c>
      <c r="G12512" t="n">
        <v>1.7</v>
      </c>
      <c r="H12512" t="n">
        <v>0</v>
      </c>
      <c r="I12512" t="n">
        <v>0</v>
      </c>
      <c r="J12512" t="n">
        <v>0</v>
      </c>
      <c r="K12512" t="n">
        <v>0</v>
      </c>
      <c r="L12512" t="n">
        <v>0</v>
      </c>
      <c r="M12512" t="n">
        <v>0</v>
      </c>
      <c r="N12512" t="n">
        <v>0</v>
      </c>
      <c r="O12512" t="n">
        <v>0</v>
      </c>
      <c r="P12512" t="n">
        <v>0</v>
      </c>
      <c r="Q12512" t="n">
        <v>0</v>
      </c>
      <c r="R12512" s="2" t="inlineStr"/>
    </row>
    <row r="12513" ht="15" customHeight="1">
      <c r="A12513" t="inlineStr">
        <is>
          <t>A 33541-2025</t>
        </is>
      </c>
      <c r="B12513" s="1" t="n">
        <v>45841</v>
      </c>
      <c r="C12513" s="1" t="n">
        <v>45952</v>
      </c>
      <c r="D12513" t="inlineStr">
        <is>
          <t>VÄSTRA GÖTALANDS LÄN</t>
        </is>
      </c>
      <c r="E12513" t="inlineStr">
        <is>
          <t>TÖREBODA</t>
        </is>
      </c>
      <c r="F12513" t="inlineStr">
        <is>
          <t>Övriga statliga verk och myndigheter</t>
        </is>
      </c>
      <c r="G12513" t="n">
        <v>1.4</v>
      </c>
      <c r="H12513" t="n">
        <v>0</v>
      </c>
      <c r="I12513" t="n">
        <v>0</v>
      </c>
      <c r="J12513" t="n">
        <v>0</v>
      </c>
      <c r="K12513" t="n">
        <v>0</v>
      </c>
      <c r="L12513" t="n">
        <v>0</v>
      </c>
      <c r="M12513" t="n">
        <v>0</v>
      </c>
      <c r="N12513" t="n">
        <v>0</v>
      </c>
      <c r="O12513" t="n">
        <v>0</v>
      </c>
      <c r="P12513" t="n">
        <v>0</v>
      </c>
      <c r="Q12513" t="n">
        <v>0</v>
      </c>
      <c r="R12513" s="2" t="inlineStr"/>
    </row>
    <row r="12514" ht="15" customHeight="1">
      <c r="A12514" t="inlineStr">
        <is>
          <t>A 33530-2025</t>
        </is>
      </c>
      <c r="B12514" s="1" t="n">
        <v>45841.55305555555</v>
      </c>
      <c r="C12514" s="1" t="n">
        <v>45952</v>
      </c>
      <c r="D12514" t="inlineStr">
        <is>
          <t>VÄSTRA GÖTALANDS LÄN</t>
        </is>
      </c>
      <c r="E12514" t="inlineStr">
        <is>
          <t>TÖREBODA</t>
        </is>
      </c>
      <c r="F12514" t="inlineStr">
        <is>
          <t>Övriga statliga verk och myndigheter</t>
        </is>
      </c>
      <c r="G12514" t="n">
        <v>1.2</v>
      </c>
      <c r="H12514" t="n">
        <v>0</v>
      </c>
      <c r="I12514" t="n">
        <v>0</v>
      </c>
      <c r="J12514" t="n">
        <v>0</v>
      </c>
      <c r="K12514" t="n">
        <v>0</v>
      </c>
      <c r="L12514" t="n">
        <v>0</v>
      </c>
      <c r="M12514" t="n">
        <v>0</v>
      </c>
      <c r="N12514" t="n">
        <v>0</v>
      </c>
      <c r="O12514" t="n">
        <v>0</v>
      </c>
      <c r="P12514" t="n">
        <v>0</v>
      </c>
      <c r="Q12514" t="n">
        <v>0</v>
      </c>
      <c r="R12514" s="2" t="inlineStr"/>
    </row>
    <row r="12515" ht="15" customHeight="1">
      <c r="A12515" t="inlineStr">
        <is>
          <t>A 33330-2025</t>
        </is>
      </c>
      <c r="B12515" s="1" t="n">
        <v>45841.35094907408</v>
      </c>
      <c r="C12515" s="1" t="n">
        <v>45952</v>
      </c>
      <c r="D12515" t="inlineStr">
        <is>
          <t>VÄSTRA GÖTALANDS LÄN</t>
        </is>
      </c>
      <c r="E12515" t="inlineStr">
        <is>
          <t>MARK</t>
        </is>
      </c>
      <c r="G12515" t="n">
        <v>0.6</v>
      </c>
      <c r="H12515" t="n">
        <v>0</v>
      </c>
      <c r="I12515" t="n">
        <v>0</v>
      </c>
      <c r="J12515" t="n">
        <v>0</v>
      </c>
      <c r="K12515" t="n">
        <v>0</v>
      </c>
      <c r="L12515" t="n">
        <v>0</v>
      </c>
      <c r="M12515" t="n">
        <v>0</v>
      </c>
      <c r="N12515" t="n">
        <v>0</v>
      </c>
      <c r="O12515" t="n">
        <v>0</v>
      </c>
      <c r="P12515" t="n">
        <v>0</v>
      </c>
      <c r="Q12515" t="n">
        <v>0</v>
      </c>
      <c r="R12515" s="2" t="inlineStr"/>
    </row>
    <row r="12516" ht="15" customHeight="1">
      <c r="A12516" t="inlineStr">
        <is>
          <t>A 33061-2025</t>
        </is>
      </c>
      <c r="B12516" s="1" t="n">
        <v>45840.43393518519</v>
      </c>
      <c r="C12516" s="1" t="n">
        <v>45952</v>
      </c>
      <c r="D12516" t="inlineStr">
        <is>
          <t>VÄSTRA GÖTALANDS LÄN</t>
        </is>
      </c>
      <c r="E12516" t="inlineStr">
        <is>
          <t>SVENLJUNGA</t>
        </is>
      </c>
      <c r="G12516" t="n">
        <v>0.6</v>
      </c>
      <c r="H12516" t="n">
        <v>0</v>
      </c>
      <c r="I12516" t="n">
        <v>0</v>
      </c>
      <c r="J12516" t="n">
        <v>0</v>
      </c>
      <c r="K12516" t="n">
        <v>0</v>
      </c>
      <c r="L12516" t="n">
        <v>0</v>
      </c>
      <c r="M12516" t="n">
        <v>0</v>
      </c>
      <c r="N12516" t="n">
        <v>0</v>
      </c>
      <c r="O12516" t="n">
        <v>0</v>
      </c>
      <c r="P12516" t="n">
        <v>0</v>
      </c>
      <c r="Q12516" t="n">
        <v>0</v>
      </c>
      <c r="R12516" s="2" t="inlineStr"/>
    </row>
    <row r="12517" ht="15" customHeight="1">
      <c r="A12517" t="inlineStr">
        <is>
          <t>A 33070-2025</t>
        </is>
      </c>
      <c r="B12517" s="1" t="n">
        <v>45840.45005787037</v>
      </c>
      <c r="C12517" s="1" t="n">
        <v>45952</v>
      </c>
      <c r="D12517" t="inlineStr">
        <is>
          <t>VÄSTRA GÖTALANDS LÄN</t>
        </is>
      </c>
      <c r="E12517" t="inlineStr">
        <is>
          <t>MUNKEDAL</t>
        </is>
      </c>
      <c r="G12517" t="n">
        <v>2.6</v>
      </c>
      <c r="H12517" t="n">
        <v>0</v>
      </c>
      <c r="I12517" t="n">
        <v>0</v>
      </c>
      <c r="J12517" t="n">
        <v>0</v>
      </c>
      <c r="K12517" t="n">
        <v>0</v>
      </c>
      <c r="L12517" t="n">
        <v>0</v>
      </c>
      <c r="M12517" t="n">
        <v>0</v>
      </c>
      <c r="N12517" t="n">
        <v>0</v>
      </c>
      <c r="O12517" t="n">
        <v>0</v>
      </c>
      <c r="P12517" t="n">
        <v>0</v>
      </c>
      <c r="Q12517" t="n">
        <v>0</v>
      </c>
      <c r="R12517" s="2" t="inlineStr"/>
    </row>
    <row r="12518" ht="15" customHeight="1">
      <c r="A12518" t="inlineStr">
        <is>
          <t>A 33331-2025</t>
        </is>
      </c>
      <c r="B12518" s="1" t="n">
        <v>45841.35288194445</v>
      </c>
      <c r="C12518" s="1" t="n">
        <v>45952</v>
      </c>
      <c r="D12518" t="inlineStr">
        <is>
          <t>VÄSTRA GÖTALANDS LÄN</t>
        </is>
      </c>
      <c r="E12518" t="inlineStr">
        <is>
          <t>TÖREBODA</t>
        </is>
      </c>
      <c r="F12518" t="inlineStr">
        <is>
          <t>Övriga statliga verk och myndigheter</t>
        </is>
      </c>
      <c r="G12518" t="n">
        <v>1.5</v>
      </c>
      <c r="H12518" t="n">
        <v>0</v>
      </c>
      <c r="I12518" t="n">
        <v>0</v>
      </c>
      <c r="J12518" t="n">
        <v>0</v>
      </c>
      <c r="K12518" t="n">
        <v>0</v>
      </c>
      <c r="L12518" t="n">
        <v>0</v>
      </c>
      <c r="M12518" t="n">
        <v>0</v>
      </c>
      <c r="N12518" t="n">
        <v>0</v>
      </c>
      <c r="O12518" t="n">
        <v>0</v>
      </c>
      <c r="P12518" t="n">
        <v>0</v>
      </c>
      <c r="Q12518" t="n">
        <v>0</v>
      </c>
      <c r="R12518" s="2" t="inlineStr"/>
    </row>
    <row r="12519" ht="15" customHeight="1">
      <c r="A12519" t="inlineStr">
        <is>
          <t>A 33534-2025</t>
        </is>
      </c>
      <c r="B12519" s="1" t="n">
        <v>45841</v>
      </c>
      <c r="C12519" s="1" t="n">
        <v>45952</v>
      </c>
      <c r="D12519" t="inlineStr">
        <is>
          <t>VÄSTRA GÖTALANDS LÄN</t>
        </is>
      </c>
      <c r="E12519" t="inlineStr">
        <is>
          <t>TÖREBODA</t>
        </is>
      </c>
      <c r="F12519" t="inlineStr">
        <is>
          <t>Övriga statliga verk och myndigheter</t>
        </is>
      </c>
      <c r="G12519" t="n">
        <v>3</v>
      </c>
      <c r="H12519" t="n">
        <v>0</v>
      </c>
      <c r="I12519" t="n">
        <v>0</v>
      </c>
      <c r="J12519" t="n">
        <v>0</v>
      </c>
      <c r="K12519" t="n">
        <v>0</v>
      </c>
      <c r="L12519" t="n">
        <v>0</v>
      </c>
      <c r="M12519" t="n">
        <v>0</v>
      </c>
      <c r="N12519" t="n">
        <v>0</v>
      </c>
      <c r="O12519" t="n">
        <v>0</v>
      </c>
      <c r="P12519" t="n">
        <v>0</v>
      </c>
      <c r="Q12519" t="n">
        <v>0</v>
      </c>
      <c r="R12519" s="2" t="inlineStr"/>
    </row>
    <row r="12520" ht="15" customHeight="1">
      <c r="A12520" t="inlineStr">
        <is>
          <t>A 33644-2025</t>
        </is>
      </c>
      <c r="B12520" s="1" t="n">
        <v>45841</v>
      </c>
      <c r="C12520" s="1" t="n">
        <v>45952</v>
      </c>
      <c r="D12520" t="inlineStr">
        <is>
          <t>VÄSTRA GÖTALANDS LÄN</t>
        </is>
      </c>
      <c r="E12520" t="inlineStr">
        <is>
          <t>ULRICEHAMN</t>
        </is>
      </c>
      <c r="G12520" t="n">
        <v>1.5</v>
      </c>
      <c r="H12520" t="n">
        <v>0</v>
      </c>
      <c r="I12520" t="n">
        <v>0</v>
      </c>
      <c r="J12520" t="n">
        <v>0</v>
      </c>
      <c r="K12520" t="n">
        <v>0</v>
      </c>
      <c r="L12520" t="n">
        <v>0</v>
      </c>
      <c r="M12520" t="n">
        <v>0</v>
      </c>
      <c r="N12520" t="n">
        <v>0</v>
      </c>
      <c r="O12520" t="n">
        <v>0</v>
      </c>
      <c r="P12520" t="n">
        <v>0</v>
      </c>
      <c r="Q12520" t="n">
        <v>0</v>
      </c>
      <c r="R12520" s="2" t="inlineStr"/>
    </row>
    <row r="12521" ht="15" customHeight="1">
      <c r="A12521" t="inlineStr">
        <is>
          <t>A 33060-2025</t>
        </is>
      </c>
      <c r="B12521" s="1" t="n">
        <v>45840.43331018519</v>
      </c>
      <c r="C12521" s="1" t="n">
        <v>45952</v>
      </c>
      <c r="D12521" t="inlineStr">
        <is>
          <t>VÄSTRA GÖTALANDS LÄN</t>
        </is>
      </c>
      <c r="E12521" t="inlineStr">
        <is>
          <t>SVENLJUNGA</t>
        </is>
      </c>
      <c r="G12521" t="n">
        <v>1.3</v>
      </c>
      <c r="H12521" t="n">
        <v>0</v>
      </c>
      <c r="I12521" t="n">
        <v>0</v>
      </c>
      <c r="J12521" t="n">
        <v>0</v>
      </c>
      <c r="K12521" t="n">
        <v>0</v>
      </c>
      <c r="L12521" t="n">
        <v>0</v>
      </c>
      <c r="M12521" t="n">
        <v>0</v>
      </c>
      <c r="N12521" t="n">
        <v>0</v>
      </c>
      <c r="O12521" t="n">
        <v>0</v>
      </c>
      <c r="P12521" t="n">
        <v>0</v>
      </c>
      <c r="Q12521" t="n">
        <v>0</v>
      </c>
      <c r="R12521" s="2" t="inlineStr"/>
    </row>
    <row r="12522" ht="15" customHeight="1">
      <c r="A12522" t="inlineStr">
        <is>
          <t>A 33365-2025</t>
        </is>
      </c>
      <c r="B12522" s="1" t="n">
        <v>45841.38503472223</v>
      </c>
      <c r="C12522" s="1" t="n">
        <v>45952</v>
      </c>
      <c r="D12522" t="inlineStr">
        <is>
          <t>VÄSTRA GÖTALANDS LÄN</t>
        </is>
      </c>
      <c r="E12522" t="inlineStr">
        <is>
          <t>MARK</t>
        </is>
      </c>
      <c r="G12522" t="n">
        <v>5.5</v>
      </c>
      <c r="H12522" t="n">
        <v>0</v>
      </c>
      <c r="I12522" t="n">
        <v>0</v>
      </c>
      <c r="J12522" t="n">
        <v>0</v>
      </c>
      <c r="K12522" t="n">
        <v>0</v>
      </c>
      <c r="L12522" t="n">
        <v>0</v>
      </c>
      <c r="M12522" t="n">
        <v>0</v>
      </c>
      <c r="N12522" t="n">
        <v>0</v>
      </c>
      <c r="O12522" t="n">
        <v>0</v>
      </c>
      <c r="P12522" t="n">
        <v>0</v>
      </c>
      <c r="Q12522" t="n">
        <v>0</v>
      </c>
      <c r="R12522" s="2" t="inlineStr"/>
    </row>
    <row r="12523" ht="15" customHeight="1">
      <c r="A12523" t="inlineStr">
        <is>
          <t>A 32998-2025</t>
        </is>
      </c>
      <c r="B12523" s="1" t="n">
        <v>45840.33878472223</v>
      </c>
      <c r="C12523" s="1" t="n">
        <v>45952</v>
      </c>
      <c r="D12523" t="inlineStr">
        <is>
          <t>VÄSTRA GÖTALANDS LÄN</t>
        </is>
      </c>
      <c r="E12523" t="inlineStr">
        <is>
          <t>FALKÖPING</t>
        </is>
      </c>
      <c r="G12523" t="n">
        <v>2.5</v>
      </c>
      <c r="H12523" t="n">
        <v>0</v>
      </c>
      <c r="I12523" t="n">
        <v>0</v>
      </c>
      <c r="J12523" t="n">
        <v>0</v>
      </c>
      <c r="K12523" t="n">
        <v>0</v>
      </c>
      <c r="L12523" t="n">
        <v>0</v>
      </c>
      <c r="M12523" t="n">
        <v>0</v>
      </c>
      <c r="N12523" t="n">
        <v>0</v>
      </c>
      <c r="O12523" t="n">
        <v>0</v>
      </c>
      <c r="P12523" t="n">
        <v>0</v>
      </c>
      <c r="Q12523" t="n">
        <v>0</v>
      </c>
      <c r="R12523" s="2" t="inlineStr"/>
    </row>
    <row r="12524" ht="15" customHeight="1">
      <c r="A12524" t="inlineStr">
        <is>
          <t>A 33544-2025</t>
        </is>
      </c>
      <c r="B12524" s="1" t="n">
        <v>45841.56569444444</v>
      </c>
      <c r="C12524" s="1" t="n">
        <v>45952</v>
      </c>
      <c r="D12524" t="inlineStr">
        <is>
          <t>VÄSTRA GÖTALANDS LÄN</t>
        </is>
      </c>
      <c r="E12524" t="inlineStr">
        <is>
          <t>TÖREBODA</t>
        </is>
      </c>
      <c r="G12524" t="n">
        <v>1.6</v>
      </c>
      <c r="H12524" t="n">
        <v>0</v>
      </c>
      <c r="I12524" t="n">
        <v>0</v>
      </c>
      <c r="J12524" t="n">
        <v>0</v>
      </c>
      <c r="K12524" t="n">
        <v>0</v>
      </c>
      <c r="L12524" t="n">
        <v>0</v>
      </c>
      <c r="M12524" t="n">
        <v>0</v>
      </c>
      <c r="N12524" t="n">
        <v>0</v>
      </c>
      <c r="O12524" t="n">
        <v>0</v>
      </c>
      <c r="P12524" t="n">
        <v>0</v>
      </c>
      <c r="Q12524" t="n">
        <v>0</v>
      </c>
      <c r="R12524" s="2" t="inlineStr"/>
    </row>
    <row r="12525" ht="15" customHeight="1">
      <c r="A12525" t="inlineStr">
        <is>
          <t>A 33672-2025</t>
        </is>
      </c>
      <c r="B12525" s="1" t="n">
        <v>45841</v>
      </c>
      <c r="C12525" s="1" t="n">
        <v>45952</v>
      </c>
      <c r="D12525" t="inlineStr">
        <is>
          <t>VÄSTRA GÖTALANDS LÄN</t>
        </is>
      </c>
      <c r="E12525" t="inlineStr">
        <is>
          <t>VARA</t>
        </is>
      </c>
      <c r="G12525" t="n">
        <v>2.3</v>
      </c>
      <c r="H12525" t="n">
        <v>0</v>
      </c>
      <c r="I12525" t="n">
        <v>0</v>
      </c>
      <c r="J12525" t="n">
        <v>0</v>
      </c>
      <c r="K12525" t="n">
        <v>0</v>
      </c>
      <c r="L12525" t="n">
        <v>0</v>
      </c>
      <c r="M12525" t="n">
        <v>0</v>
      </c>
      <c r="N12525" t="n">
        <v>0</v>
      </c>
      <c r="O12525" t="n">
        <v>0</v>
      </c>
      <c r="P12525" t="n">
        <v>0</v>
      </c>
      <c r="Q12525" t="n">
        <v>0</v>
      </c>
      <c r="R12525" s="2" t="inlineStr"/>
    </row>
    <row r="12526" ht="15" customHeight="1">
      <c r="A12526" t="inlineStr">
        <is>
          <t>A 33555-2025</t>
        </is>
      </c>
      <c r="B12526" s="1" t="n">
        <v>45841.57423611111</v>
      </c>
      <c r="C12526" s="1" t="n">
        <v>45952</v>
      </c>
      <c r="D12526" t="inlineStr">
        <is>
          <t>VÄSTRA GÖTALANDS LÄN</t>
        </is>
      </c>
      <c r="E12526" t="inlineStr">
        <is>
          <t>STRÖMSTAD</t>
        </is>
      </c>
      <c r="G12526" t="n">
        <v>1.1</v>
      </c>
      <c r="H12526" t="n">
        <v>0</v>
      </c>
      <c r="I12526" t="n">
        <v>0</v>
      </c>
      <c r="J12526" t="n">
        <v>0</v>
      </c>
      <c r="K12526" t="n">
        <v>0</v>
      </c>
      <c r="L12526" t="n">
        <v>0</v>
      </c>
      <c r="M12526" t="n">
        <v>0</v>
      </c>
      <c r="N12526" t="n">
        <v>0</v>
      </c>
      <c r="O12526" t="n">
        <v>0</v>
      </c>
      <c r="P12526" t="n">
        <v>0</v>
      </c>
      <c r="Q12526" t="n">
        <v>0</v>
      </c>
      <c r="R12526" s="2" t="inlineStr"/>
    </row>
    <row r="12527" ht="15" customHeight="1">
      <c r="A12527" t="inlineStr">
        <is>
          <t>A 33312-2025</t>
        </is>
      </c>
      <c r="B12527" s="1" t="n">
        <v>45841.33291666667</v>
      </c>
      <c r="C12527" s="1" t="n">
        <v>45952</v>
      </c>
      <c r="D12527" t="inlineStr">
        <is>
          <t>VÄSTRA GÖTALANDS LÄN</t>
        </is>
      </c>
      <c r="E12527" t="inlineStr">
        <is>
          <t>MELLERUD</t>
        </is>
      </c>
      <c r="G12527" t="n">
        <v>3.6</v>
      </c>
      <c r="H12527" t="n">
        <v>0</v>
      </c>
      <c r="I12527" t="n">
        <v>0</v>
      </c>
      <c r="J12527" t="n">
        <v>0</v>
      </c>
      <c r="K12527" t="n">
        <v>0</v>
      </c>
      <c r="L12527" t="n">
        <v>0</v>
      </c>
      <c r="M12527" t="n">
        <v>0</v>
      </c>
      <c r="N12527" t="n">
        <v>0</v>
      </c>
      <c r="O12527" t="n">
        <v>0</v>
      </c>
      <c r="P12527" t="n">
        <v>0</v>
      </c>
      <c r="Q12527" t="n">
        <v>0</v>
      </c>
      <c r="R12527" s="2" t="inlineStr"/>
    </row>
    <row r="12528" ht="15" customHeight="1">
      <c r="A12528" t="inlineStr">
        <is>
          <t>A 33295-2025</t>
        </is>
      </c>
      <c r="B12528" s="1" t="n">
        <v>45840.92070601852</v>
      </c>
      <c r="C12528" s="1" t="n">
        <v>45952</v>
      </c>
      <c r="D12528" t="inlineStr">
        <is>
          <t>VÄSTRA GÖTALANDS LÄN</t>
        </is>
      </c>
      <c r="E12528" t="inlineStr">
        <is>
          <t>ORUST</t>
        </is>
      </c>
      <c r="G12528" t="n">
        <v>0.4</v>
      </c>
      <c r="H12528" t="n">
        <v>0</v>
      </c>
      <c r="I12528" t="n">
        <v>0</v>
      </c>
      <c r="J12528" t="n">
        <v>0</v>
      </c>
      <c r="K12528" t="n">
        <v>0</v>
      </c>
      <c r="L12528" t="n">
        <v>0</v>
      </c>
      <c r="M12528" t="n">
        <v>0</v>
      </c>
      <c r="N12528" t="n">
        <v>0</v>
      </c>
      <c r="O12528" t="n">
        <v>0</v>
      </c>
      <c r="P12528" t="n">
        <v>0</v>
      </c>
      <c r="Q12528" t="n">
        <v>0</v>
      </c>
      <c r="R12528" s="2" t="inlineStr"/>
    </row>
    <row r="12529" ht="15" customHeight="1">
      <c r="A12529" t="inlineStr">
        <is>
          <t>A 33631-2025</t>
        </is>
      </c>
      <c r="B12529" s="1" t="n">
        <v>45841</v>
      </c>
      <c r="C12529" s="1" t="n">
        <v>45952</v>
      </c>
      <c r="D12529" t="inlineStr">
        <is>
          <t>VÄSTRA GÖTALANDS LÄN</t>
        </is>
      </c>
      <c r="E12529" t="inlineStr">
        <is>
          <t>ULRICEHAMN</t>
        </is>
      </c>
      <c r="G12529" t="n">
        <v>0.3</v>
      </c>
      <c r="H12529" t="n">
        <v>0</v>
      </c>
      <c r="I12529" t="n">
        <v>0</v>
      </c>
      <c r="J12529" t="n">
        <v>0</v>
      </c>
      <c r="K12529" t="n">
        <v>0</v>
      </c>
      <c r="L12529" t="n">
        <v>0</v>
      </c>
      <c r="M12529" t="n">
        <v>0</v>
      </c>
      <c r="N12529" t="n">
        <v>0</v>
      </c>
      <c r="O12529" t="n">
        <v>0</v>
      </c>
      <c r="P12529" t="n">
        <v>0</v>
      </c>
      <c r="Q12529" t="n">
        <v>0</v>
      </c>
      <c r="R12529" s="2" t="inlineStr"/>
    </row>
    <row r="12530" ht="15" customHeight="1">
      <c r="A12530" t="inlineStr">
        <is>
          <t>A 32908-2025</t>
        </is>
      </c>
      <c r="B12530" s="1" t="n">
        <v>45839</v>
      </c>
      <c r="C12530" s="1" t="n">
        <v>45952</v>
      </c>
      <c r="D12530" t="inlineStr">
        <is>
          <t>VÄSTRA GÖTALANDS LÄN</t>
        </is>
      </c>
      <c r="E12530" t="inlineStr">
        <is>
          <t>SVENLJUNGA</t>
        </is>
      </c>
      <c r="G12530" t="n">
        <v>3.9</v>
      </c>
      <c r="H12530" t="n">
        <v>0</v>
      </c>
      <c r="I12530" t="n">
        <v>0</v>
      </c>
      <c r="J12530" t="n">
        <v>0</v>
      </c>
      <c r="K12530" t="n">
        <v>0</v>
      </c>
      <c r="L12530" t="n">
        <v>0</v>
      </c>
      <c r="M12530" t="n">
        <v>0</v>
      </c>
      <c r="N12530" t="n">
        <v>0</v>
      </c>
      <c r="O12530" t="n">
        <v>0</v>
      </c>
      <c r="P12530" t="n">
        <v>0</v>
      </c>
      <c r="Q12530" t="n">
        <v>0</v>
      </c>
      <c r="R12530" s="2" t="inlineStr"/>
    </row>
    <row r="12531" ht="15" customHeight="1">
      <c r="A12531" t="inlineStr">
        <is>
          <t>A 50605-2022</t>
        </is>
      </c>
      <c r="B12531" s="1" t="n">
        <v>44866</v>
      </c>
      <c r="C12531" s="1" t="n">
        <v>45952</v>
      </c>
      <c r="D12531" t="inlineStr">
        <is>
          <t>VÄSTRA GÖTALANDS LÄN</t>
        </is>
      </c>
      <c r="E12531" t="inlineStr">
        <is>
          <t>BORÅS</t>
        </is>
      </c>
      <c r="G12531" t="n">
        <v>0.5</v>
      </c>
      <c r="H12531" t="n">
        <v>0</v>
      </c>
      <c r="I12531" t="n">
        <v>0</v>
      </c>
      <c r="J12531" t="n">
        <v>0</v>
      </c>
      <c r="K12531" t="n">
        <v>0</v>
      </c>
      <c r="L12531" t="n">
        <v>0</v>
      </c>
      <c r="M12531" t="n">
        <v>0</v>
      </c>
      <c r="N12531" t="n">
        <v>0</v>
      </c>
      <c r="O12531" t="n">
        <v>0</v>
      </c>
      <c r="P12531" t="n">
        <v>0</v>
      </c>
      <c r="Q12531" t="n">
        <v>0</v>
      </c>
      <c r="R12531" s="2" t="inlineStr"/>
    </row>
    <row r="12532" ht="15" customHeight="1">
      <c r="A12532" t="inlineStr">
        <is>
          <t>A 33202-2025</t>
        </is>
      </c>
      <c r="B12532" s="1" t="n">
        <v>45840</v>
      </c>
      <c r="C12532" s="1" t="n">
        <v>45952</v>
      </c>
      <c r="D12532" t="inlineStr">
        <is>
          <t>VÄSTRA GÖTALANDS LÄN</t>
        </is>
      </c>
      <c r="E12532" t="inlineStr">
        <is>
          <t>MARIESTAD</t>
        </is>
      </c>
      <c r="G12532" t="n">
        <v>0.8</v>
      </c>
      <c r="H12532" t="n">
        <v>0</v>
      </c>
      <c r="I12532" t="n">
        <v>0</v>
      </c>
      <c r="J12532" t="n">
        <v>0</v>
      </c>
      <c r="K12532" t="n">
        <v>0</v>
      </c>
      <c r="L12532" t="n">
        <v>0</v>
      </c>
      <c r="M12532" t="n">
        <v>0</v>
      </c>
      <c r="N12532" t="n">
        <v>0</v>
      </c>
      <c r="O12532" t="n">
        <v>0</v>
      </c>
      <c r="P12532" t="n">
        <v>0</v>
      </c>
      <c r="Q12532" t="n">
        <v>0</v>
      </c>
      <c r="R12532" s="2" t="inlineStr"/>
    </row>
    <row r="12533" ht="15" customHeight="1">
      <c r="A12533" t="inlineStr">
        <is>
          <t>A 68173-2021</t>
        </is>
      </c>
      <c r="B12533" s="1" t="n">
        <v>44526</v>
      </c>
      <c r="C12533" s="1" t="n">
        <v>45952</v>
      </c>
      <c r="D12533" t="inlineStr">
        <is>
          <t>VÄSTRA GÖTALANDS LÄN</t>
        </is>
      </c>
      <c r="E12533" t="inlineStr">
        <is>
          <t>MUNKEDAL</t>
        </is>
      </c>
      <c r="G12533" t="n">
        <v>10.8</v>
      </c>
      <c r="H12533" t="n">
        <v>0</v>
      </c>
      <c r="I12533" t="n">
        <v>0</v>
      </c>
      <c r="J12533" t="n">
        <v>0</v>
      </c>
      <c r="K12533" t="n">
        <v>0</v>
      </c>
      <c r="L12533" t="n">
        <v>0</v>
      </c>
      <c r="M12533" t="n">
        <v>0</v>
      </c>
      <c r="N12533" t="n">
        <v>0</v>
      </c>
      <c r="O12533" t="n">
        <v>0</v>
      </c>
      <c r="P12533" t="n">
        <v>0</v>
      </c>
      <c r="Q12533" t="n">
        <v>0</v>
      </c>
      <c r="R12533" s="2" t="inlineStr"/>
    </row>
    <row r="12534" ht="15" customHeight="1">
      <c r="A12534" t="inlineStr">
        <is>
          <t>A 64066-2023</t>
        </is>
      </c>
      <c r="B12534" s="1" t="n">
        <v>45279</v>
      </c>
      <c r="C12534" s="1" t="n">
        <v>45952</v>
      </c>
      <c r="D12534" t="inlineStr">
        <is>
          <t>VÄSTRA GÖTALANDS LÄN</t>
        </is>
      </c>
      <c r="E12534" t="inlineStr">
        <is>
          <t>TANUM</t>
        </is>
      </c>
      <c r="G12534" t="n">
        <v>4.2</v>
      </c>
      <c r="H12534" t="n">
        <v>0</v>
      </c>
      <c r="I12534" t="n">
        <v>0</v>
      </c>
      <c r="J12534" t="n">
        <v>0</v>
      </c>
      <c r="K12534" t="n">
        <v>0</v>
      </c>
      <c r="L12534" t="n">
        <v>0</v>
      </c>
      <c r="M12534" t="n">
        <v>0</v>
      </c>
      <c r="N12534" t="n">
        <v>0</v>
      </c>
      <c r="O12534" t="n">
        <v>0</v>
      </c>
      <c r="P12534" t="n">
        <v>0</v>
      </c>
      <c r="Q12534" t="n">
        <v>0</v>
      </c>
      <c r="R12534" s="2" t="inlineStr"/>
    </row>
    <row r="12535" ht="15" customHeight="1">
      <c r="A12535" t="inlineStr">
        <is>
          <t>A 33519-2025</t>
        </is>
      </c>
      <c r="B12535" s="1" t="n">
        <v>45841</v>
      </c>
      <c r="C12535" s="1" t="n">
        <v>45952</v>
      </c>
      <c r="D12535" t="inlineStr">
        <is>
          <t>VÄSTRA GÖTALANDS LÄN</t>
        </is>
      </c>
      <c r="E12535" t="inlineStr">
        <is>
          <t>HERRLJUNGA</t>
        </is>
      </c>
      <c r="G12535" t="n">
        <v>1.8</v>
      </c>
      <c r="H12535" t="n">
        <v>0</v>
      </c>
      <c r="I12535" t="n">
        <v>0</v>
      </c>
      <c r="J12535" t="n">
        <v>0</v>
      </c>
      <c r="K12535" t="n">
        <v>0</v>
      </c>
      <c r="L12535" t="n">
        <v>0</v>
      </c>
      <c r="M12535" t="n">
        <v>0</v>
      </c>
      <c r="N12535" t="n">
        <v>0</v>
      </c>
      <c r="O12535" t="n">
        <v>0</v>
      </c>
      <c r="P12535" t="n">
        <v>0</v>
      </c>
      <c r="Q12535" t="n">
        <v>0</v>
      </c>
      <c r="R12535" s="2" t="inlineStr"/>
    </row>
    <row r="12536" ht="15" customHeight="1">
      <c r="A12536" t="inlineStr">
        <is>
          <t>A 38450-2024</t>
        </is>
      </c>
      <c r="B12536" s="1" t="n">
        <v>45546.43820601852</v>
      </c>
      <c r="C12536" s="1" t="n">
        <v>45952</v>
      </c>
      <c r="D12536" t="inlineStr">
        <is>
          <t>VÄSTRA GÖTALANDS LÄN</t>
        </is>
      </c>
      <c r="E12536" t="inlineStr">
        <is>
          <t>ULRICEHAMN</t>
        </is>
      </c>
      <c r="F12536" t="inlineStr">
        <is>
          <t>Sveaskog</t>
        </is>
      </c>
      <c r="G12536" t="n">
        <v>3.8</v>
      </c>
      <c r="H12536" t="n">
        <v>0</v>
      </c>
      <c r="I12536" t="n">
        <v>0</v>
      </c>
      <c r="J12536" t="n">
        <v>0</v>
      </c>
      <c r="K12536" t="n">
        <v>0</v>
      </c>
      <c r="L12536" t="n">
        <v>0</v>
      </c>
      <c r="M12536" t="n">
        <v>0</v>
      </c>
      <c r="N12536" t="n">
        <v>0</v>
      </c>
      <c r="O12536" t="n">
        <v>0</v>
      </c>
      <c r="P12536" t="n">
        <v>0</v>
      </c>
      <c r="Q12536" t="n">
        <v>0</v>
      </c>
      <c r="R12536" s="2" t="inlineStr"/>
    </row>
    <row r="12537" ht="15" customHeight="1">
      <c r="A12537" t="inlineStr">
        <is>
          <t>A 1878-2022</t>
        </is>
      </c>
      <c r="B12537" s="1" t="n">
        <v>44574</v>
      </c>
      <c r="C12537" s="1" t="n">
        <v>45952</v>
      </c>
      <c r="D12537" t="inlineStr">
        <is>
          <t>VÄSTRA GÖTALANDS LÄN</t>
        </is>
      </c>
      <c r="E12537" t="inlineStr">
        <is>
          <t>TIBRO</t>
        </is>
      </c>
      <c r="G12537" t="n">
        <v>4</v>
      </c>
      <c r="H12537" t="n">
        <v>0</v>
      </c>
      <c r="I12537" t="n">
        <v>0</v>
      </c>
      <c r="J12537" t="n">
        <v>0</v>
      </c>
      <c r="K12537" t="n">
        <v>0</v>
      </c>
      <c r="L12537" t="n">
        <v>0</v>
      </c>
      <c r="M12537" t="n">
        <v>0</v>
      </c>
      <c r="N12537" t="n">
        <v>0</v>
      </c>
      <c r="O12537" t="n">
        <v>0</v>
      </c>
      <c r="P12537" t="n">
        <v>0</v>
      </c>
      <c r="Q12537" t="n">
        <v>0</v>
      </c>
      <c r="R12537" s="2" t="inlineStr"/>
    </row>
    <row r="12538" ht="15" customHeight="1">
      <c r="A12538" t="inlineStr">
        <is>
          <t>A 33169-2025</t>
        </is>
      </c>
      <c r="B12538" s="1" t="n">
        <v>45840.58173611111</v>
      </c>
      <c r="C12538" s="1" t="n">
        <v>45952</v>
      </c>
      <c r="D12538" t="inlineStr">
        <is>
          <t>VÄSTRA GÖTALANDS LÄN</t>
        </is>
      </c>
      <c r="E12538" t="inlineStr">
        <is>
          <t>DALS-ED</t>
        </is>
      </c>
      <c r="G12538" t="n">
        <v>4.4</v>
      </c>
      <c r="H12538" t="n">
        <v>0</v>
      </c>
      <c r="I12538" t="n">
        <v>0</v>
      </c>
      <c r="J12538" t="n">
        <v>0</v>
      </c>
      <c r="K12538" t="n">
        <v>0</v>
      </c>
      <c r="L12538" t="n">
        <v>0</v>
      </c>
      <c r="M12538" t="n">
        <v>0</v>
      </c>
      <c r="N12538" t="n">
        <v>0</v>
      </c>
      <c r="O12538" t="n">
        <v>0</v>
      </c>
      <c r="P12538" t="n">
        <v>0</v>
      </c>
      <c r="Q12538" t="n">
        <v>0</v>
      </c>
      <c r="R12538" s="2" t="inlineStr"/>
    </row>
    <row r="12539" ht="15" customHeight="1">
      <c r="A12539" t="inlineStr">
        <is>
          <t>A 33493-2021</t>
        </is>
      </c>
      <c r="B12539" s="1" t="n">
        <v>44377</v>
      </c>
      <c r="C12539" s="1" t="n">
        <v>45952</v>
      </c>
      <c r="D12539" t="inlineStr">
        <is>
          <t>VÄSTRA GÖTALANDS LÄN</t>
        </is>
      </c>
      <c r="E12539" t="inlineStr">
        <is>
          <t>KUNGÄLV</t>
        </is>
      </c>
      <c r="G12539" t="n">
        <v>1.3</v>
      </c>
      <c r="H12539" t="n">
        <v>0</v>
      </c>
      <c r="I12539" t="n">
        <v>0</v>
      </c>
      <c r="J12539" t="n">
        <v>0</v>
      </c>
      <c r="K12539" t="n">
        <v>0</v>
      </c>
      <c r="L12539" t="n">
        <v>0</v>
      </c>
      <c r="M12539" t="n">
        <v>0</v>
      </c>
      <c r="N12539" t="n">
        <v>0</v>
      </c>
      <c r="O12539" t="n">
        <v>0</v>
      </c>
      <c r="P12539" t="n">
        <v>0</v>
      </c>
      <c r="Q12539" t="n">
        <v>0</v>
      </c>
      <c r="R12539" s="2" t="inlineStr"/>
    </row>
    <row r="12540" ht="15" customHeight="1">
      <c r="A12540" t="inlineStr">
        <is>
          <t>A 33296-2025</t>
        </is>
      </c>
      <c r="B12540" s="1" t="n">
        <v>45840.92538194444</v>
      </c>
      <c r="C12540" s="1" t="n">
        <v>45952</v>
      </c>
      <c r="D12540" t="inlineStr">
        <is>
          <t>VÄSTRA GÖTALANDS LÄN</t>
        </is>
      </c>
      <c r="E12540" t="inlineStr">
        <is>
          <t>ORUST</t>
        </is>
      </c>
      <c r="G12540" t="n">
        <v>1</v>
      </c>
      <c r="H12540" t="n">
        <v>0</v>
      </c>
      <c r="I12540" t="n">
        <v>0</v>
      </c>
      <c r="J12540" t="n">
        <v>0</v>
      </c>
      <c r="K12540" t="n">
        <v>0</v>
      </c>
      <c r="L12540" t="n">
        <v>0</v>
      </c>
      <c r="M12540" t="n">
        <v>0</v>
      </c>
      <c r="N12540" t="n">
        <v>0</v>
      </c>
      <c r="O12540" t="n">
        <v>0</v>
      </c>
      <c r="P12540" t="n">
        <v>0</v>
      </c>
      <c r="Q12540" t="n">
        <v>0</v>
      </c>
      <c r="R12540" s="2" t="inlineStr"/>
    </row>
    <row r="12541" ht="15" customHeight="1">
      <c r="A12541" t="inlineStr">
        <is>
          <t>A 33299-2025</t>
        </is>
      </c>
      <c r="B12541" s="1" t="n">
        <v>45840.93229166666</v>
      </c>
      <c r="C12541" s="1" t="n">
        <v>45952</v>
      </c>
      <c r="D12541" t="inlineStr">
        <is>
          <t>VÄSTRA GÖTALANDS LÄN</t>
        </is>
      </c>
      <c r="E12541" t="inlineStr">
        <is>
          <t>ORUST</t>
        </is>
      </c>
      <c r="G12541" t="n">
        <v>0.4</v>
      </c>
      <c r="H12541" t="n">
        <v>0</v>
      </c>
      <c r="I12541" t="n">
        <v>0</v>
      </c>
      <c r="J12541" t="n">
        <v>0</v>
      </c>
      <c r="K12541" t="n">
        <v>0</v>
      </c>
      <c r="L12541" t="n">
        <v>0</v>
      </c>
      <c r="M12541" t="n">
        <v>0</v>
      </c>
      <c r="N12541" t="n">
        <v>0</v>
      </c>
      <c r="O12541" t="n">
        <v>0</v>
      </c>
      <c r="P12541" t="n">
        <v>0</v>
      </c>
      <c r="Q12541" t="n">
        <v>0</v>
      </c>
      <c r="R12541" s="2" t="inlineStr"/>
    </row>
    <row r="12542" ht="15" customHeight="1">
      <c r="A12542" t="inlineStr">
        <is>
          <t>A 22479-2022</t>
        </is>
      </c>
      <c r="B12542" s="1" t="n">
        <v>44713</v>
      </c>
      <c r="C12542" s="1" t="n">
        <v>45952</v>
      </c>
      <c r="D12542" t="inlineStr">
        <is>
          <t>VÄSTRA GÖTALANDS LÄN</t>
        </is>
      </c>
      <c r="E12542" t="inlineStr">
        <is>
          <t>FALKÖPING</t>
        </is>
      </c>
      <c r="G12542" t="n">
        <v>3.5</v>
      </c>
      <c r="H12542" t="n">
        <v>0</v>
      </c>
      <c r="I12542" t="n">
        <v>0</v>
      </c>
      <c r="J12542" t="n">
        <v>0</v>
      </c>
      <c r="K12542" t="n">
        <v>0</v>
      </c>
      <c r="L12542" t="n">
        <v>0</v>
      </c>
      <c r="M12542" t="n">
        <v>0</v>
      </c>
      <c r="N12542" t="n">
        <v>0</v>
      </c>
      <c r="O12542" t="n">
        <v>0</v>
      </c>
      <c r="P12542" t="n">
        <v>0</v>
      </c>
      <c r="Q12542" t="n">
        <v>0</v>
      </c>
      <c r="R12542" s="2" t="inlineStr"/>
    </row>
    <row r="12543" ht="15" customHeight="1">
      <c r="A12543" t="inlineStr">
        <is>
          <t>A 7583-2025</t>
        </is>
      </c>
      <c r="B12543" s="1" t="n">
        <v>45705.62212962963</v>
      </c>
      <c r="C12543" s="1" t="n">
        <v>45952</v>
      </c>
      <c r="D12543" t="inlineStr">
        <is>
          <t>VÄSTRA GÖTALANDS LÄN</t>
        </is>
      </c>
      <c r="E12543" t="inlineStr">
        <is>
          <t>UDDEVALLA</t>
        </is>
      </c>
      <c r="G12543" t="n">
        <v>3.6</v>
      </c>
      <c r="H12543" t="n">
        <v>0</v>
      </c>
      <c r="I12543" t="n">
        <v>0</v>
      </c>
      <c r="J12543" t="n">
        <v>0</v>
      </c>
      <c r="K12543" t="n">
        <v>0</v>
      </c>
      <c r="L12543" t="n">
        <v>0</v>
      </c>
      <c r="M12543" t="n">
        <v>0</v>
      </c>
      <c r="N12543" t="n">
        <v>0</v>
      </c>
      <c r="O12543" t="n">
        <v>0</v>
      </c>
      <c r="P12543" t="n">
        <v>0</v>
      </c>
      <c r="Q12543" t="n">
        <v>0</v>
      </c>
      <c r="R12543" s="2" t="inlineStr"/>
    </row>
    <row r="12544" ht="15" customHeight="1">
      <c r="A12544" t="inlineStr">
        <is>
          <t>A 7592-2025</t>
        </is>
      </c>
      <c r="B12544" s="1" t="n">
        <v>45705.64513888889</v>
      </c>
      <c r="C12544" s="1" t="n">
        <v>45952</v>
      </c>
      <c r="D12544" t="inlineStr">
        <is>
          <t>VÄSTRA GÖTALANDS LÄN</t>
        </is>
      </c>
      <c r="E12544" t="inlineStr">
        <is>
          <t>FALKÖPING</t>
        </is>
      </c>
      <c r="G12544" t="n">
        <v>1.5</v>
      </c>
      <c r="H12544" t="n">
        <v>0</v>
      </c>
      <c r="I12544" t="n">
        <v>0</v>
      </c>
      <c r="J12544" t="n">
        <v>0</v>
      </c>
      <c r="K12544" t="n">
        <v>0</v>
      </c>
      <c r="L12544" t="n">
        <v>0</v>
      </c>
      <c r="M12544" t="n">
        <v>0</v>
      </c>
      <c r="N12544" t="n">
        <v>0</v>
      </c>
      <c r="O12544" t="n">
        <v>0</v>
      </c>
      <c r="P12544" t="n">
        <v>0</v>
      </c>
      <c r="Q12544" t="n">
        <v>0</v>
      </c>
      <c r="R12544" s="2" t="inlineStr"/>
    </row>
    <row r="12545" ht="15" customHeight="1">
      <c r="A12545" t="inlineStr">
        <is>
          <t>A 33316-2025</t>
        </is>
      </c>
      <c r="B12545" s="1" t="n">
        <v>45841.34233796296</v>
      </c>
      <c r="C12545" s="1" t="n">
        <v>45952</v>
      </c>
      <c r="D12545" t="inlineStr">
        <is>
          <t>VÄSTRA GÖTALANDS LÄN</t>
        </is>
      </c>
      <c r="E12545" t="inlineStr">
        <is>
          <t>TÖREBODA</t>
        </is>
      </c>
      <c r="F12545" t="inlineStr">
        <is>
          <t>Övriga statliga verk och myndigheter</t>
        </is>
      </c>
      <c r="G12545" t="n">
        <v>1.4</v>
      </c>
      <c r="H12545" t="n">
        <v>0</v>
      </c>
      <c r="I12545" t="n">
        <v>0</v>
      </c>
      <c r="J12545" t="n">
        <v>0</v>
      </c>
      <c r="K12545" t="n">
        <v>0</v>
      </c>
      <c r="L12545" t="n">
        <v>0</v>
      </c>
      <c r="M12545" t="n">
        <v>0</v>
      </c>
      <c r="N12545" t="n">
        <v>0</v>
      </c>
      <c r="O12545" t="n">
        <v>0</v>
      </c>
      <c r="P12545" t="n">
        <v>0</v>
      </c>
      <c r="Q12545" t="n">
        <v>0</v>
      </c>
      <c r="R12545" s="2" t="inlineStr"/>
    </row>
    <row r="12546" ht="15" customHeight="1">
      <c r="A12546" t="inlineStr">
        <is>
          <t>A 33396-2025</t>
        </is>
      </c>
      <c r="B12546" s="1" t="n">
        <v>45841.41972222222</v>
      </c>
      <c r="C12546" s="1" t="n">
        <v>45952</v>
      </c>
      <c r="D12546" t="inlineStr">
        <is>
          <t>VÄSTRA GÖTALANDS LÄN</t>
        </is>
      </c>
      <c r="E12546" t="inlineStr">
        <is>
          <t>TÖREBODA</t>
        </is>
      </c>
      <c r="F12546" t="inlineStr">
        <is>
          <t>Övriga statliga verk och myndigheter</t>
        </is>
      </c>
      <c r="G12546" t="n">
        <v>3.3</v>
      </c>
      <c r="H12546" t="n">
        <v>0</v>
      </c>
      <c r="I12546" t="n">
        <v>0</v>
      </c>
      <c r="J12546" t="n">
        <v>0</v>
      </c>
      <c r="K12546" t="n">
        <v>0</v>
      </c>
      <c r="L12546" t="n">
        <v>0</v>
      </c>
      <c r="M12546" t="n">
        <v>0</v>
      </c>
      <c r="N12546" t="n">
        <v>0</v>
      </c>
      <c r="O12546" t="n">
        <v>0</v>
      </c>
      <c r="P12546" t="n">
        <v>0</v>
      </c>
      <c r="Q12546" t="n">
        <v>0</v>
      </c>
      <c r="R12546" s="2" t="inlineStr"/>
    </row>
    <row r="12547" ht="15" customHeight="1">
      <c r="A12547" t="inlineStr">
        <is>
          <t>A 33400-2025</t>
        </is>
      </c>
      <c r="B12547" s="1" t="n">
        <v>45841.42353009259</v>
      </c>
      <c r="C12547" s="1" t="n">
        <v>45952</v>
      </c>
      <c r="D12547" t="inlineStr">
        <is>
          <t>VÄSTRA GÖTALANDS LÄN</t>
        </is>
      </c>
      <c r="E12547" t="inlineStr">
        <is>
          <t>MARIESTAD</t>
        </is>
      </c>
      <c r="F12547" t="inlineStr">
        <is>
          <t>Kyrkan</t>
        </is>
      </c>
      <c r="G12547" t="n">
        <v>1.4</v>
      </c>
      <c r="H12547" t="n">
        <v>0</v>
      </c>
      <c r="I12547" t="n">
        <v>0</v>
      </c>
      <c r="J12547" t="n">
        <v>0</v>
      </c>
      <c r="K12547" t="n">
        <v>0</v>
      </c>
      <c r="L12547" t="n">
        <v>0</v>
      </c>
      <c r="M12547" t="n">
        <v>0</v>
      </c>
      <c r="N12547" t="n">
        <v>0</v>
      </c>
      <c r="O12547" t="n">
        <v>0</v>
      </c>
      <c r="P12547" t="n">
        <v>0</v>
      </c>
      <c r="Q12547" t="n">
        <v>0</v>
      </c>
      <c r="R12547" s="2" t="inlineStr"/>
    </row>
    <row r="12548" ht="15" customHeight="1">
      <c r="A12548" t="inlineStr">
        <is>
          <t>A 22515-2022</t>
        </is>
      </c>
      <c r="B12548" s="1" t="n">
        <v>44713.68042824074</v>
      </c>
      <c r="C12548" s="1" t="n">
        <v>45952</v>
      </c>
      <c r="D12548" t="inlineStr">
        <is>
          <t>VÄSTRA GÖTALANDS LÄN</t>
        </is>
      </c>
      <c r="E12548" t="inlineStr">
        <is>
          <t>VÅRGÅRDA</t>
        </is>
      </c>
      <c r="G12548" t="n">
        <v>1</v>
      </c>
      <c r="H12548" t="n">
        <v>0</v>
      </c>
      <c r="I12548" t="n">
        <v>0</v>
      </c>
      <c r="J12548" t="n">
        <v>0</v>
      </c>
      <c r="K12548" t="n">
        <v>0</v>
      </c>
      <c r="L12548" t="n">
        <v>0</v>
      </c>
      <c r="M12548" t="n">
        <v>0</v>
      </c>
      <c r="N12548" t="n">
        <v>0</v>
      </c>
      <c r="O12548" t="n">
        <v>0</v>
      </c>
      <c r="P12548" t="n">
        <v>0</v>
      </c>
      <c r="Q12548" t="n">
        <v>0</v>
      </c>
      <c r="R12548" s="2" t="inlineStr"/>
    </row>
    <row r="12549" ht="15" customHeight="1">
      <c r="A12549" t="inlineStr">
        <is>
          <t>A 22517-2022</t>
        </is>
      </c>
      <c r="B12549" s="1" t="n">
        <v>44713.68208333333</v>
      </c>
      <c r="C12549" s="1" t="n">
        <v>45952</v>
      </c>
      <c r="D12549" t="inlineStr">
        <is>
          <t>VÄSTRA GÖTALANDS LÄN</t>
        </is>
      </c>
      <c r="E12549" t="inlineStr">
        <is>
          <t>VÅRGÅRDA</t>
        </is>
      </c>
      <c r="G12549" t="n">
        <v>2.3</v>
      </c>
      <c r="H12549" t="n">
        <v>0</v>
      </c>
      <c r="I12549" t="n">
        <v>0</v>
      </c>
      <c r="J12549" t="n">
        <v>0</v>
      </c>
      <c r="K12549" t="n">
        <v>0</v>
      </c>
      <c r="L12549" t="n">
        <v>0</v>
      </c>
      <c r="M12549" t="n">
        <v>0</v>
      </c>
      <c r="N12549" t="n">
        <v>0</v>
      </c>
      <c r="O12549" t="n">
        <v>0</v>
      </c>
      <c r="P12549" t="n">
        <v>0</v>
      </c>
      <c r="Q12549" t="n">
        <v>0</v>
      </c>
      <c r="R12549" s="2" t="inlineStr"/>
    </row>
    <row r="12550" ht="15" customHeight="1">
      <c r="A12550" t="inlineStr">
        <is>
          <t>A 33664-2025</t>
        </is>
      </c>
      <c r="B12550" s="1" t="n">
        <v>45841.66825231481</v>
      </c>
      <c r="C12550" s="1" t="n">
        <v>45952</v>
      </c>
      <c r="D12550" t="inlineStr">
        <is>
          <t>VÄSTRA GÖTALANDS LÄN</t>
        </is>
      </c>
      <c r="E12550" t="inlineStr">
        <is>
          <t>VARA</t>
        </is>
      </c>
      <c r="G12550" t="n">
        <v>4.7</v>
      </c>
      <c r="H12550" t="n">
        <v>0</v>
      </c>
      <c r="I12550" t="n">
        <v>0</v>
      </c>
      <c r="J12550" t="n">
        <v>0</v>
      </c>
      <c r="K12550" t="n">
        <v>0</v>
      </c>
      <c r="L12550" t="n">
        <v>0</v>
      </c>
      <c r="M12550" t="n">
        <v>0</v>
      </c>
      <c r="N12550" t="n">
        <v>0</v>
      </c>
      <c r="O12550" t="n">
        <v>0</v>
      </c>
      <c r="P12550" t="n">
        <v>0</v>
      </c>
      <c r="Q12550" t="n">
        <v>0</v>
      </c>
      <c r="R12550" s="2" t="inlineStr"/>
    </row>
    <row r="12551" ht="15" customHeight="1">
      <c r="A12551" t="inlineStr">
        <is>
          <t>A 33840-2025</t>
        </is>
      </c>
      <c r="B12551" s="1" t="n">
        <v>45842.47947916666</v>
      </c>
      <c r="C12551" s="1" t="n">
        <v>45952</v>
      </c>
      <c r="D12551" t="inlineStr">
        <is>
          <t>VÄSTRA GÖTALANDS LÄN</t>
        </is>
      </c>
      <c r="E12551" t="inlineStr">
        <is>
          <t>TANUM</t>
        </is>
      </c>
      <c r="G12551" t="n">
        <v>1.1</v>
      </c>
      <c r="H12551" t="n">
        <v>0</v>
      </c>
      <c r="I12551" t="n">
        <v>0</v>
      </c>
      <c r="J12551" t="n">
        <v>0</v>
      </c>
      <c r="K12551" t="n">
        <v>0</v>
      </c>
      <c r="L12551" t="n">
        <v>0</v>
      </c>
      <c r="M12551" t="n">
        <v>0</v>
      </c>
      <c r="N12551" t="n">
        <v>0</v>
      </c>
      <c r="O12551" t="n">
        <v>0</v>
      </c>
      <c r="P12551" t="n">
        <v>0</v>
      </c>
      <c r="Q12551" t="n">
        <v>0</v>
      </c>
      <c r="R12551" s="2" t="inlineStr"/>
    </row>
    <row r="12552" ht="15" customHeight="1">
      <c r="A12552" t="inlineStr">
        <is>
          <t>A 28760-2025</t>
        </is>
      </c>
      <c r="B12552" s="1" t="n">
        <v>45820.41474537037</v>
      </c>
      <c r="C12552" s="1" t="n">
        <v>45952</v>
      </c>
      <c r="D12552" t="inlineStr">
        <is>
          <t>VÄSTRA GÖTALANDS LÄN</t>
        </is>
      </c>
      <c r="E12552" t="inlineStr">
        <is>
          <t>TANUM</t>
        </is>
      </c>
      <c r="G12552" t="n">
        <v>2.1</v>
      </c>
      <c r="H12552" t="n">
        <v>0</v>
      </c>
      <c r="I12552" t="n">
        <v>0</v>
      </c>
      <c r="J12552" t="n">
        <v>0</v>
      </c>
      <c r="K12552" t="n">
        <v>0</v>
      </c>
      <c r="L12552" t="n">
        <v>0</v>
      </c>
      <c r="M12552" t="n">
        <v>0</v>
      </c>
      <c r="N12552" t="n">
        <v>0</v>
      </c>
      <c r="O12552" t="n">
        <v>0</v>
      </c>
      <c r="P12552" t="n">
        <v>0</v>
      </c>
      <c r="Q12552" t="n">
        <v>0</v>
      </c>
      <c r="R12552" s="2" t="inlineStr"/>
    </row>
    <row r="12553" ht="15" customHeight="1">
      <c r="A12553" t="inlineStr">
        <is>
          <t>A 34232-2025</t>
        </is>
      </c>
      <c r="B12553" s="1" t="n">
        <v>45845.65972222222</v>
      </c>
      <c r="C12553" s="1" t="n">
        <v>45952</v>
      </c>
      <c r="D12553" t="inlineStr">
        <is>
          <t>VÄSTRA GÖTALANDS LÄN</t>
        </is>
      </c>
      <c r="E12553" t="inlineStr">
        <is>
          <t>ULRICEHAMN</t>
        </is>
      </c>
      <c r="G12553" t="n">
        <v>4.5</v>
      </c>
      <c r="H12553" t="n">
        <v>0</v>
      </c>
      <c r="I12553" t="n">
        <v>0</v>
      </c>
      <c r="J12553" t="n">
        <v>0</v>
      </c>
      <c r="K12553" t="n">
        <v>0</v>
      </c>
      <c r="L12553" t="n">
        <v>0</v>
      </c>
      <c r="M12553" t="n">
        <v>0</v>
      </c>
      <c r="N12553" t="n">
        <v>0</v>
      </c>
      <c r="O12553" t="n">
        <v>0</v>
      </c>
      <c r="P12553" t="n">
        <v>0</v>
      </c>
      <c r="Q12553" t="n">
        <v>0</v>
      </c>
      <c r="R12553" s="2" t="inlineStr"/>
    </row>
    <row r="12554" ht="15" customHeight="1">
      <c r="A12554" t="inlineStr">
        <is>
          <t>A 9991-2024</t>
        </is>
      </c>
      <c r="B12554" s="1" t="n">
        <v>45363</v>
      </c>
      <c r="C12554" s="1" t="n">
        <v>45952</v>
      </c>
      <c r="D12554" t="inlineStr">
        <is>
          <t>VÄSTRA GÖTALANDS LÄN</t>
        </is>
      </c>
      <c r="E12554" t="inlineStr">
        <is>
          <t>TRANEMO</t>
        </is>
      </c>
      <c r="F12554" t="inlineStr">
        <is>
          <t>Kyrkan</t>
        </is>
      </c>
      <c r="G12554" t="n">
        <v>1.9</v>
      </c>
      <c r="H12554" t="n">
        <v>0</v>
      </c>
      <c r="I12554" t="n">
        <v>0</v>
      </c>
      <c r="J12554" t="n">
        <v>0</v>
      </c>
      <c r="K12554" t="n">
        <v>0</v>
      </c>
      <c r="L12554" t="n">
        <v>0</v>
      </c>
      <c r="M12554" t="n">
        <v>0</v>
      </c>
      <c r="N12554" t="n">
        <v>0</v>
      </c>
      <c r="O12554" t="n">
        <v>0</v>
      </c>
      <c r="P12554" t="n">
        <v>0</v>
      </c>
      <c r="Q12554" t="n">
        <v>0</v>
      </c>
      <c r="R12554" s="2" t="inlineStr"/>
    </row>
    <row r="12555" ht="15" customHeight="1">
      <c r="A12555" t="inlineStr">
        <is>
          <t>A 64737-2023</t>
        </is>
      </c>
      <c r="B12555" s="1" t="n">
        <v>45281</v>
      </c>
      <c r="C12555" s="1" t="n">
        <v>45952</v>
      </c>
      <c r="D12555" t="inlineStr">
        <is>
          <t>VÄSTRA GÖTALANDS LÄN</t>
        </is>
      </c>
      <c r="E12555" t="inlineStr">
        <is>
          <t>MARK</t>
        </is>
      </c>
      <c r="G12555" t="n">
        <v>2.5</v>
      </c>
      <c r="H12555" t="n">
        <v>0</v>
      </c>
      <c r="I12555" t="n">
        <v>0</v>
      </c>
      <c r="J12555" t="n">
        <v>0</v>
      </c>
      <c r="K12555" t="n">
        <v>0</v>
      </c>
      <c r="L12555" t="n">
        <v>0</v>
      </c>
      <c r="M12555" t="n">
        <v>0</v>
      </c>
      <c r="N12555" t="n">
        <v>0</v>
      </c>
      <c r="O12555" t="n">
        <v>0</v>
      </c>
      <c r="P12555" t="n">
        <v>0</v>
      </c>
      <c r="Q12555" t="n">
        <v>0</v>
      </c>
      <c r="R12555" s="2" t="inlineStr"/>
    </row>
    <row r="12556" ht="15" customHeight="1">
      <c r="A12556" t="inlineStr">
        <is>
          <t>A 59069-2023</t>
        </is>
      </c>
      <c r="B12556" s="1" t="n">
        <v>45252</v>
      </c>
      <c r="C12556" s="1" t="n">
        <v>45952</v>
      </c>
      <c r="D12556" t="inlineStr">
        <is>
          <t>VÄSTRA GÖTALANDS LÄN</t>
        </is>
      </c>
      <c r="E12556" t="inlineStr">
        <is>
          <t>LIDKÖPING</t>
        </is>
      </c>
      <c r="G12556" t="n">
        <v>4.9</v>
      </c>
      <c r="H12556" t="n">
        <v>0</v>
      </c>
      <c r="I12556" t="n">
        <v>0</v>
      </c>
      <c r="J12556" t="n">
        <v>0</v>
      </c>
      <c r="K12556" t="n">
        <v>0</v>
      </c>
      <c r="L12556" t="n">
        <v>0</v>
      </c>
      <c r="M12556" t="n">
        <v>0</v>
      </c>
      <c r="N12556" t="n">
        <v>0</v>
      </c>
      <c r="O12556" t="n">
        <v>0</v>
      </c>
      <c r="P12556" t="n">
        <v>0</v>
      </c>
      <c r="Q12556" t="n">
        <v>0</v>
      </c>
      <c r="R12556" s="2" t="inlineStr"/>
    </row>
    <row r="12557" ht="15" customHeight="1">
      <c r="A12557" t="inlineStr">
        <is>
          <t>A 44211-2023</t>
        </is>
      </c>
      <c r="B12557" s="1" t="n">
        <v>45188</v>
      </c>
      <c r="C12557" s="1" t="n">
        <v>45952</v>
      </c>
      <c r="D12557" t="inlineStr">
        <is>
          <t>VÄSTRA GÖTALANDS LÄN</t>
        </is>
      </c>
      <c r="E12557" t="inlineStr">
        <is>
          <t>MARK</t>
        </is>
      </c>
      <c r="G12557" t="n">
        <v>1.2</v>
      </c>
      <c r="H12557" t="n">
        <v>0</v>
      </c>
      <c r="I12557" t="n">
        <v>0</v>
      </c>
      <c r="J12557" t="n">
        <v>0</v>
      </c>
      <c r="K12557" t="n">
        <v>0</v>
      </c>
      <c r="L12557" t="n">
        <v>0</v>
      </c>
      <c r="M12557" t="n">
        <v>0</v>
      </c>
      <c r="N12557" t="n">
        <v>0</v>
      </c>
      <c r="O12557" t="n">
        <v>0</v>
      </c>
      <c r="P12557" t="n">
        <v>0</v>
      </c>
      <c r="Q12557" t="n">
        <v>0</v>
      </c>
      <c r="R12557" s="2" t="inlineStr"/>
    </row>
    <row r="12558" ht="15" customHeight="1">
      <c r="A12558" t="inlineStr">
        <is>
          <t>A 34021-2025</t>
        </is>
      </c>
      <c r="B12558" s="1" t="n">
        <v>45845.34789351852</v>
      </c>
      <c r="C12558" s="1" t="n">
        <v>45952</v>
      </c>
      <c r="D12558" t="inlineStr">
        <is>
          <t>VÄSTRA GÖTALANDS LÄN</t>
        </is>
      </c>
      <c r="E12558" t="inlineStr">
        <is>
          <t>MARK</t>
        </is>
      </c>
      <c r="G12558" t="n">
        <v>3.2</v>
      </c>
      <c r="H12558" t="n">
        <v>0</v>
      </c>
      <c r="I12558" t="n">
        <v>0</v>
      </c>
      <c r="J12558" t="n">
        <v>0</v>
      </c>
      <c r="K12558" t="n">
        <v>0</v>
      </c>
      <c r="L12558" t="n">
        <v>0</v>
      </c>
      <c r="M12558" t="n">
        <v>0</v>
      </c>
      <c r="N12558" t="n">
        <v>0</v>
      </c>
      <c r="O12558" t="n">
        <v>0</v>
      </c>
      <c r="P12558" t="n">
        <v>0</v>
      </c>
      <c r="Q12558" t="n">
        <v>0</v>
      </c>
      <c r="R12558" s="2" t="inlineStr"/>
    </row>
    <row r="12559" ht="15" customHeight="1">
      <c r="A12559" t="inlineStr">
        <is>
          <t>A 53533-2022</t>
        </is>
      </c>
      <c r="B12559" s="1" t="n">
        <v>44879</v>
      </c>
      <c r="C12559" s="1" t="n">
        <v>45952</v>
      </c>
      <c r="D12559" t="inlineStr">
        <is>
          <t>VÄSTRA GÖTALANDS LÄN</t>
        </is>
      </c>
      <c r="E12559" t="inlineStr">
        <is>
          <t>BORÅS</t>
        </is>
      </c>
      <c r="G12559" t="n">
        <v>1.7</v>
      </c>
      <c r="H12559" t="n">
        <v>0</v>
      </c>
      <c r="I12559" t="n">
        <v>0</v>
      </c>
      <c r="J12559" t="n">
        <v>0</v>
      </c>
      <c r="K12559" t="n">
        <v>0</v>
      </c>
      <c r="L12559" t="n">
        <v>0</v>
      </c>
      <c r="M12559" t="n">
        <v>0</v>
      </c>
      <c r="N12559" t="n">
        <v>0</v>
      </c>
      <c r="O12559" t="n">
        <v>0</v>
      </c>
      <c r="P12559" t="n">
        <v>0</v>
      </c>
      <c r="Q12559" t="n">
        <v>0</v>
      </c>
      <c r="R12559" s="2" t="inlineStr"/>
    </row>
    <row r="12560" ht="15" customHeight="1">
      <c r="A12560" t="inlineStr">
        <is>
          <t>A 34083-2025</t>
        </is>
      </c>
      <c r="B12560" s="1" t="n">
        <v>45845.46209490741</v>
      </c>
      <c r="C12560" s="1" t="n">
        <v>45952</v>
      </c>
      <c r="D12560" t="inlineStr">
        <is>
          <t>VÄSTRA GÖTALANDS LÄN</t>
        </is>
      </c>
      <c r="E12560" t="inlineStr">
        <is>
          <t>MUNKEDAL</t>
        </is>
      </c>
      <c r="G12560" t="n">
        <v>1</v>
      </c>
      <c r="H12560" t="n">
        <v>0</v>
      </c>
      <c r="I12560" t="n">
        <v>0</v>
      </c>
      <c r="J12560" t="n">
        <v>0</v>
      </c>
      <c r="K12560" t="n">
        <v>0</v>
      </c>
      <c r="L12560" t="n">
        <v>0</v>
      </c>
      <c r="M12560" t="n">
        <v>0</v>
      </c>
      <c r="N12560" t="n">
        <v>0</v>
      </c>
      <c r="O12560" t="n">
        <v>0</v>
      </c>
      <c r="P12560" t="n">
        <v>0</v>
      </c>
      <c r="Q12560" t="n">
        <v>0</v>
      </c>
      <c r="R12560" s="2" t="inlineStr"/>
    </row>
    <row r="12561" ht="15" customHeight="1">
      <c r="A12561" t="inlineStr">
        <is>
          <t>A 59711-2022</t>
        </is>
      </c>
      <c r="B12561" s="1" t="n">
        <v>44908.40974537037</v>
      </c>
      <c r="C12561" s="1" t="n">
        <v>45952</v>
      </c>
      <c r="D12561" t="inlineStr">
        <is>
          <t>VÄSTRA GÖTALANDS LÄN</t>
        </is>
      </c>
      <c r="E12561" t="inlineStr">
        <is>
          <t>HÄRRYDA</t>
        </is>
      </c>
      <c r="G12561" t="n">
        <v>0.9</v>
      </c>
      <c r="H12561" t="n">
        <v>0</v>
      </c>
      <c r="I12561" t="n">
        <v>0</v>
      </c>
      <c r="J12561" t="n">
        <v>0</v>
      </c>
      <c r="K12561" t="n">
        <v>0</v>
      </c>
      <c r="L12561" t="n">
        <v>0</v>
      </c>
      <c r="M12561" t="n">
        <v>0</v>
      </c>
      <c r="N12561" t="n">
        <v>0</v>
      </c>
      <c r="O12561" t="n">
        <v>0</v>
      </c>
      <c r="P12561" t="n">
        <v>0</v>
      </c>
      <c r="Q12561" t="n">
        <v>0</v>
      </c>
      <c r="R12561" s="2" t="inlineStr"/>
    </row>
    <row r="12562" ht="15" customHeight="1">
      <c r="A12562" t="inlineStr">
        <is>
          <t>A 51916-2022</t>
        </is>
      </c>
      <c r="B12562" s="1" t="n">
        <v>44868</v>
      </c>
      <c r="C12562" s="1" t="n">
        <v>45952</v>
      </c>
      <c r="D12562" t="inlineStr">
        <is>
          <t>VÄSTRA GÖTALANDS LÄN</t>
        </is>
      </c>
      <c r="E12562" t="inlineStr">
        <is>
          <t>MELLERUD</t>
        </is>
      </c>
      <c r="G12562" t="n">
        <v>4.5</v>
      </c>
      <c r="H12562" t="n">
        <v>0</v>
      </c>
      <c r="I12562" t="n">
        <v>0</v>
      </c>
      <c r="J12562" t="n">
        <v>0</v>
      </c>
      <c r="K12562" t="n">
        <v>0</v>
      </c>
      <c r="L12562" t="n">
        <v>0</v>
      </c>
      <c r="M12562" t="n">
        <v>0</v>
      </c>
      <c r="N12562" t="n">
        <v>0</v>
      </c>
      <c r="O12562" t="n">
        <v>0</v>
      </c>
      <c r="P12562" t="n">
        <v>0</v>
      </c>
      <c r="Q12562" t="n">
        <v>0</v>
      </c>
      <c r="R12562" s="2" t="inlineStr"/>
    </row>
    <row r="12563" ht="15" customHeight="1">
      <c r="A12563" t="inlineStr">
        <is>
          <t>A 34234-2025</t>
        </is>
      </c>
      <c r="B12563" s="1" t="n">
        <v>45845.66188657407</v>
      </c>
      <c r="C12563" s="1" t="n">
        <v>45952</v>
      </c>
      <c r="D12563" t="inlineStr">
        <is>
          <t>VÄSTRA GÖTALANDS LÄN</t>
        </is>
      </c>
      <c r="E12563" t="inlineStr">
        <is>
          <t>ULRICEHAMN</t>
        </is>
      </c>
      <c r="G12563" t="n">
        <v>0.9</v>
      </c>
      <c r="H12563" t="n">
        <v>0</v>
      </c>
      <c r="I12563" t="n">
        <v>0</v>
      </c>
      <c r="J12563" t="n">
        <v>0</v>
      </c>
      <c r="K12563" t="n">
        <v>0</v>
      </c>
      <c r="L12563" t="n">
        <v>0</v>
      </c>
      <c r="M12563" t="n">
        <v>0</v>
      </c>
      <c r="N12563" t="n">
        <v>0</v>
      </c>
      <c r="O12563" t="n">
        <v>0</v>
      </c>
      <c r="P12563" t="n">
        <v>0</v>
      </c>
      <c r="Q12563" t="n">
        <v>0</v>
      </c>
      <c r="R12563" s="2" t="inlineStr"/>
    </row>
    <row r="12564" ht="15" customHeight="1">
      <c r="A12564" t="inlineStr">
        <is>
          <t>A 34242-2025</t>
        </is>
      </c>
      <c r="B12564" s="1" t="n">
        <v>45845.67605324074</v>
      </c>
      <c r="C12564" s="1" t="n">
        <v>45952</v>
      </c>
      <c r="D12564" t="inlineStr">
        <is>
          <t>VÄSTRA GÖTALANDS LÄN</t>
        </is>
      </c>
      <c r="E12564" t="inlineStr">
        <is>
          <t>BENGTSFORS</t>
        </is>
      </c>
      <c r="G12564" t="n">
        <v>2.2</v>
      </c>
      <c r="H12564" t="n">
        <v>0</v>
      </c>
      <c r="I12564" t="n">
        <v>0</v>
      </c>
      <c r="J12564" t="n">
        <v>0</v>
      </c>
      <c r="K12564" t="n">
        <v>0</v>
      </c>
      <c r="L12564" t="n">
        <v>0</v>
      </c>
      <c r="M12564" t="n">
        <v>0</v>
      </c>
      <c r="N12564" t="n">
        <v>0</v>
      </c>
      <c r="O12564" t="n">
        <v>0</v>
      </c>
      <c r="P12564" t="n">
        <v>0</v>
      </c>
      <c r="Q12564" t="n">
        <v>0</v>
      </c>
      <c r="R12564" s="2" t="inlineStr"/>
    </row>
    <row r="12565" ht="15" customHeight="1">
      <c r="A12565" t="inlineStr">
        <is>
          <t>A 59786-2022</t>
        </is>
      </c>
      <c r="B12565" s="1" t="n">
        <v>44900</v>
      </c>
      <c r="C12565" s="1" t="n">
        <v>45952</v>
      </c>
      <c r="D12565" t="inlineStr">
        <is>
          <t>VÄSTRA GÖTALANDS LÄN</t>
        </is>
      </c>
      <c r="E12565" t="inlineStr">
        <is>
          <t>VARA</t>
        </is>
      </c>
      <c r="G12565" t="n">
        <v>1.4</v>
      </c>
      <c r="H12565" t="n">
        <v>0</v>
      </c>
      <c r="I12565" t="n">
        <v>0</v>
      </c>
      <c r="J12565" t="n">
        <v>0</v>
      </c>
      <c r="K12565" t="n">
        <v>0</v>
      </c>
      <c r="L12565" t="n">
        <v>0</v>
      </c>
      <c r="M12565" t="n">
        <v>0</v>
      </c>
      <c r="N12565" t="n">
        <v>0</v>
      </c>
      <c r="O12565" t="n">
        <v>0</v>
      </c>
      <c r="P12565" t="n">
        <v>0</v>
      </c>
      <c r="Q12565" t="n">
        <v>0</v>
      </c>
      <c r="R12565" s="2" t="inlineStr"/>
    </row>
    <row r="12566" ht="15" customHeight="1">
      <c r="A12566" t="inlineStr">
        <is>
          <t>A 33536-2025</t>
        </is>
      </c>
      <c r="B12566" s="1" t="n">
        <v>45841.55890046297</v>
      </c>
      <c r="C12566" s="1" t="n">
        <v>45952</v>
      </c>
      <c r="D12566" t="inlineStr">
        <is>
          <t>VÄSTRA GÖTALANDS LÄN</t>
        </is>
      </c>
      <c r="E12566" t="inlineStr">
        <is>
          <t>STRÖMSTAD</t>
        </is>
      </c>
      <c r="G12566" t="n">
        <v>6.3</v>
      </c>
      <c r="H12566" t="n">
        <v>0</v>
      </c>
      <c r="I12566" t="n">
        <v>0</v>
      </c>
      <c r="J12566" t="n">
        <v>0</v>
      </c>
      <c r="K12566" t="n">
        <v>0</v>
      </c>
      <c r="L12566" t="n">
        <v>0</v>
      </c>
      <c r="M12566" t="n">
        <v>0</v>
      </c>
      <c r="N12566" t="n">
        <v>0</v>
      </c>
      <c r="O12566" t="n">
        <v>0</v>
      </c>
      <c r="P12566" t="n">
        <v>0</v>
      </c>
      <c r="Q12566" t="n">
        <v>0</v>
      </c>
      <c r="R12566" s="2" t="inlineStr"/>
    </row>
    <row r="12567" ht="15" customHeight="1">
      <c r="A12567" t="inlineStr">
        <is>
          <t>A 14599-2024</t>
        </is>
      </c>
      <c r="B12567" s="1" t="n">
        <v>45395</v>
      </c>
      <c r="C12567" s="1" t="n">
        <v>45952</v>
      </c>
      <c r="D12567" t="inlineStr">
        <is>
          <t>VÄSTRA GÖTALANDS LÄN</t>
        </is>
      </c>
      <c r="E12567" t="inlineStr">
        <is>
          <t>ULRICEHAMN</t>
        </is>
      </c>
      <c r="G12567" t="n">
        <v>0.8</v>
      </c>
      <c r="H12567" t="n">
        <v>0</v>
      </c>
      <c r="I12567" t="n">
        <v>0</v>
      </c>
      <c r="J12567" t="n">
        <v>0</v>
      </c>
      <c r="K12567" t="n">
        <v>0</v>
      </c>
      <c r="L12567" t="n">
        <v>0</v>
      </c>
      <c r="M12567" t="n">
        <v>0</v>
      </c>
      <c r="N12567" t="n">
        <v>0</v>
      </c>
      <c r="O12567" t="n">
        <v>0</v>
      </c>
      <c r="P12567" t="n">
        <v>0</v>
      </c>
      <c r="Q12567" t="n">
        <v>0</v>
      </c>
      <c r="R12567" s="2" t="inlineStr"/>
    </row>
    <row r="12568" ht="15" customHeight="1">
      <c r="A12568" t="inlineStr">
        <is>
          <t>A 34211-2025</t>
        </is>
      </c>
      <c r="B12568" s="1" t="n">
        <v>45845.6409375</v>
      </c>
      <c r="C12568" s="1" t="n">
        <v>45952</v>
      </c>
      <c r="D12568" t="inlineStr">
        <is>
          <t>VÄSTRA GÖTALANDS LÄN</t>
        </is>
      </c>
      <c r="E12568" t="inlineStr">
        <is>
          <t>ÅMÅL</t>
        </is>
      </c>
      <c r="G12568" t="n">
        <v>0.9</v>
      </c>
      <c r="H12568" t="n">
        <v>0</v>
      </c>
      <c r="I12568" t="n">
        <v>0</v>
      </c>
      <c r="J12568" t="n">
        <v>0</v>
      </c>
      <c r="K12568" t="n">
        <v>0</v>
      </c>
      <c r="L12568" t="n">
        <v>0</v>
      </c>
      <c r="M12568" t="n">
        <v>0</v>
      </c>
      <c r="N12568" t="n">
        <v>0</v>
      </c>
      <c r="O12568" t="n">
        <v>0</v>
      </c>
      <c r="P12568" t="n">
        <v>0</v>
      </c>
      <c r="Q12568" t="n">
        <v>0</v>
      </c>
      <c r="R12568" s="2" t="inlineStr"/>
    </row>
    <row r="12569" ht="15" customHeight="1">
      <c r="A12569" t="inlineStr">
        <is>
          <t>A 34218-2025</t>
        </is>
      </c>
      <c r="B12569" s="1" t="n">
        <v>45845.6490162037</v>
      </c>
      <c r="C12569" s="1" t="n">
        <v>45952</v>
      </c>
      <c r="D12569" t="inlineStr">
        <is>
          <t>VÄSTRA GÖTALANDS LÄN</t>
        </is>
      </c>
      <c r="E12569" t="inlineStr">
        <is>
          <t>ÅMÅL</t>
        </is>
      </c>
      <c r="G12569" t="n">
        <v>2.2</v>
      </c>
      <c r="H12569" t="n">
        <v>0</v>
      </c>
      <c r="I12569" t="n">
        <v>0</v>
      </c>
      <c r="J12569" t="n">
        <v>0</v>
      </c>
      <c r="K12569" t="n">
        <v>0</v>
      </c>
      <c r="L12569" t="n">
        <v>0</v>
      </c>
      <c r="M12569" t="n">
        <v>0</v>
      </c>
      <c r="N12569" t="n">
        <v>0</v>
      </c>
      <c r="O12569" t="n">
        <v>0</v>
      </c>
      <c r="P12569" t="n">
        <v>0</v>
      </c>
      <c r="Q12569" t="n">
        <v>0</v>
      </c>
      <c r="R12569" s="2" t="inlineStr"/>
    </row>
    <row r="12570" ht="15" customHeight="1">
      <c r="A12570" t="inlineStr">
        <is>
          <t>A 58129-2024</t>
        </is>
      </c>
      <c r="B12570" s="1" t="n">
        <v>45632.40585648148</v>
      </c>
      <c r="C12570" s="1" t="n">
        <v>45952</v>
      </c>
      <c r="D12570" t="inlineStr">
        <is>
          <t>VÄSTRA GÖTALANDS LÄN</t>
        </is>
      </c>
      <c r="E12570" t="inlineStr">
        <is>
          <t>KARLSBORG</t>
        </is>
      </c>
      <c r="F12570" t="inlineStr">
        <is>
          <t>Sveaskog</t>
        </is>
      </c>
      <c r="G12570" t="n">
        <v>1.1</v>
      </c>
      <c r="H12570" t="n">
        <v>0</v>
      </c>
      <c r="I12570" t="n">
        <v>0</v>
      </c>
      <c r="J12570" t="n">
        <v>0</v>
      </c>
      <c r="K12570" t="n">
        <v>0</v>
      </c>
      <c r="L12570" t="n">
        <v>0</v>
      </c>
      <c r="M12570" t="n">
        <v>0</v>
      </c>
      <c r="N12570" t="n">
        <v>0</v>
      </c>
      <c r="O12570" t="n">
        <v>0</v>
      </c>
      <c r="P12570" t="n">
        <v>0</v>
      </c>
      <c r="Q12570" t="n">
        <v>0</v>
      </c>
      <c r="R12570" s="2" t="inlineStr"/>
    </row>
    <row r="12571" ht="15" customHeight="1">
      <c r="A12571" t="inlineStr">
        <is>
          <t>A 13075-2025</t>
        </is>
      </c>
      <c r="B12571" s="1" t="n">
        <v>45734.61987268519</v>
      </c>
      <c r="C12571" s="1" t="n">
        <v>45952</v>
      </c>
      <c r="D12571" t="inlineStr">
        <is>
          <t>VÄSTRA GÖTALANDS LÄN</t>
        </is>
      </c>
      <c r="E12571" t="inlineStr">
        <is>
          <t>MELLERUD</t>
        </is>
      </c>
      <c r="G12571" t="n">
        <v>1.5</v>
      </c>
      <c r="H12571" t="n">
        <v>0</v>
      </c>
      <c r="I12571" t="n">
        <v>0</v>
      </c>
      <c r="J12571" t="n">
        <v>0</v>
      </c>
      <c r="K12571" t="n">
        <v>0</v>
      </c>
      <c r="L12571" t="n">
        <v>0</v>
      </c>
      <c r="M12571" t="n">
        <v>0</v>
      </c>
      <c r="N12571" t="n">
        <v>0</v>
      </c>
      <c r="O12571" t="n">
        <v>0</v>
      </c>
      <c r="P12571" t="n">
        <v>0</v>
      </c>
      <c r="Q12571" t="n">
        <v>0</v>
      </c>
      <c r="R12571" s="2" t="inlineStr"/>
    </row>
    <row r="12572" ht="15" customHeight="1">
      <c r="A12572" t="inlineStr">
        <is>
          <t>A 46108-2021</t>
        </is>
      </c>
      <c r="B12572" s="1" t="n">
        <v>44442.36792824074</v>
      </c>
      <c r="C12572" s="1" t="n">
        <v>45952</v>
      </c>
      <c r="D12572" t="inlineStr">
        <is>
          <t>VÄSTRA GÖTALANDS LÄN</t>
        </is>
      </c>
      <c r="E12572" t="inlineStr">
        <is>
          <t>VÅRGÅRDA</t>
        </is>
      </c>
      <c r="G12572" t="n">
        <v>0.3</v>
      </c>
      <c r="H12572" t="n">
        <v>0</v>
      </c>
      <c r="I12572" t="n">
        <v>0</v>
      </c>
      <c r="J12572" t="n">
        <v>0</v>
      </c>
      <c r="K12572" t="n">
        <v>0</v>
      </c>
      <c r="L12572" t="n">
        <v>0</v>
      </c>
      <c r="M12572" t="n">
        <v>0</v>
      </c>
      <c r="N12572" t="n">
        <v>0</v>
      </c>
      <c r="O12572" t="n">
        <v>0</v>
      </c>
      <c r="P12572" t="n">
        <v>0</v>
      </c>
      <c r="Q12572" t="n">
        <v>0</v>
      </c>
      <c r="R12572" s="2" t="inlineStr"/>
    </row>
    <row r="12573" ht="15" customHeight="1">
      <c r="A12573" t="inlineStr">
        <is>
          <t>A 46883-2021</t>
        </is>
      </c>
      <c r="B12573" s="1" t="n">
        <v>44446</v>
      </c>
      <c r="C12573" s="1" t="n">
        <v>45952</v>
      </c>
      <c r="D12573" t="inlineStr">
        <is>
          <t>VÄSTRA GÖTALANDS LÄN</t>
        </is>
      </c>
      <c r="E12573" t="inlineStr">
        <is>
          <t>ALINGSÅS</t>
        </is>
      </c>
      <c r="G12573" t="n">
        <v>6.3</v>
      </c>
      <c r="H12573" t="n">
        <v>0</v>
      </c>
      <c r="I12573" t="n">
        <v>0</v>
      </c>
      <c r="J12573" t="n">
        <v>0</v>
      </c>
      <c r="K12573" t="n">
        <v>0</v>
      </c>
      <c r="L12573" t="n">
        <v>0</v>
      </c>
      <c r="M12573" t="n">
        <v>0</v>
      </c>
      <c r="N12573" t="n">
        <v>0</v>
      </c>
      <c r="O12573" t="n">
        <v>0</v>
      </c>
      <c r="P12573" t="n">
        <v>0</v>
      </c>
      <c r="Q12573" t="n">
        <v>0</v>
      </c>
      <c r="R12573" s="2" t="inlineStr"/>
    </row>
    <row r="12574" ht="15" customHeight="1">
      <c r="A12574" t="inlineStr">
        <is>
          <t>A 33864-2025</t>
        </is>
      </c>
      <c r="B12574" s="1" t="n">
        <v>45842.53192129629</v>
      </c>
      <c r="C12574" s="1" t="n">
        <v>45952</v>
      </c>
      <c r="D12574" t="inlineStr">
        <is>
          <t>VÄSTRA GÖTALANDS LÄN</t>
        </is>
      </c>
      <c r="E12574" t="inlineStr">
        <is>
          <t>TANUM</t>
        </is>
      </c>
      <c r="G12574" t="n">
        <v>0.3</v>
      </c>
      <c r="H12574" t="n">
        <v>0</v>
      </c>
      <c r="I12574" t="n">
        <v>0</v>
      </c>
      <c r="J12574" t="n">
        <v>0</v>
      </c>
      <c r="K12574" t="n">
        <v>0</v>
      </c>
      <c r="L12574" t="n">
        <v>0</v>
      </c>
      <c r="M12574" t="n">
        <v>0</v>
      </c>
      <c r="N12574" t="n">
        <v>0</v>
      </c>
      <c r="O12574" t="n">
        <v>0</v>
      </c>
      <c r="P12574" t="n">
        <v>0</v>
      </c>
      <c r="Q12574" t="n">
        <v>0</v>
      </c>
      <c r="R12574" s="2" t="inlineStr"/>
    </row>
    <row r="12575" ht="15" customHeight="1">
      <c r="A12575" t="inlineStr">
        <is>
          <t>A 11345-2024</t>
        </is>
      </c>
      <c r="B12575" s="1" t="n">
        <v>45372.315625</v>
      </c>
      <c r="C12575" s="1" t="n">
        <v>45952</v>
      </c>
      <c r="D12575" t="inlineStr">
        <is>
          <t>VÄSTRA GÖTALANDS LÄN</t>
        </is>
      </c>
      <c r="E12575" t="inlineStr">
        <is>
          <t>GRÄSTORP</t>
        </is>
      </c>
      <c r="G12575" t="n">
        <v>2.5</v>
      </c>
      <c r="H12575" t="n">
        <v>0</v>
      </c>
      <c r="I12575" t="n">
        <v>0</v>
      </c>
      <c r="J12575" t="n">
        <v>0</v>
      </c>
      <c r="K12575" t="n">
        <v>0</v>
      </c>
      <c r="L12575" t="n">
        <v>0</v>
      </c>
      <c r="M12575" t="n">
        <v>0</v>
      </c>
      <c r="N12575" t="n">
        <v>0</v>
      </c>
      <c r="O12575" t="n">
        <v>0</v>
      </c>
      <c r="P12575" t="n">
        <v>0</v>
      </c>
      <c r="Q12575" t="n">
        <v>0</v>
      </c>
      <c r="R12575" s="2" t="inlineStr"/>
    </row>
    <row r="12576" ht="15" customHeight="1">
      <c r="A12576" t="inlineStr">
        <is>
          <t>A 33910-2025</t>
        </is>
      </c>
      <c r="B12576" s="1" t="n">
        <v>45842.60122685185</v>
      </c>
      <c r="C12576" s="1" t="n">
        <v>45952</v>
      </c>
      <c r="D12576" t="inlineStr">
        <is>
          <t>VÄSTRA GÖTALANDS LÄN</t>
        </is>
      </c>
      <c r="E12576" t="inlineStr">
        <is>
          <t>VARA</t>
        </is>
      </c>
      <c r="G12576" t="n">
        <v>3.6</v>
      </c>
      <c r="H12576" t="n">
        <v>0</v>
      </c>
      <c r="I12576" t="n">
        <v>0</v>
      </c>
      <c r="J12576" t="n">
        <v>0</v>
      </c>
      <c r="K12576" t="n">
        <v>0</v>
      </c>
      <c r="L12576" t="n">
        <v>0</v>
      </c>
      <c r="M12576" t="n">
        <v>0</v>
      </c>
      <c r="N12576" t="n">
        <v>0</v>
      </c>
      <c r="O12576" t="n">
        <v>0</v>
      </c>
      <c r="P12576" t="n">
        <v>0</v>
      </c>
      <c r="Q12576" t="n">
        <v>0</v>
      </c>
      <c r="R12576" s="2" t="inlineStr"/>
    </row>
    <row r="12577" ht="15" customHeight="1">
      <c r="A12577" t="inlineStr">
        <is>
          <t>A 20703-2023</t>
        </is>
      </c>
      <c r="B12577" s="1" t="n">
        <v>45058</v>
      </c>
      <c r="C12577" s="1" t="n">
        <v>45952</v>
      </c>
      <c r="D12577" t="inlineStr">
        <is>
          <t>VÄSTRA GÖTALANDS LÄN</t>
        </is>
      </c>
      <c r="E12577" t="inlineStr">
        <is>
          <t>UDDEVALLA</t>
        </is>
      </c>
      <c r="G12577" t="n">
        <v>10.7</v>
      </c>
      <c r="H12577" t="n">
        <v>0</v>
      </c>
      <c r="I12577" t="n">
        <v>0</v>
      </c>
      <c r="J12577" t="n">
        <v>0</v>
      </c>
      <c r="K12577" t="n">
        <v>0</v>
      </c>
      <c r="L12577" t="n">
        <v>0</v>
      </c>
      <c r="M12577" t="n">
        <v>0</v>
      </c>
      <c r="N12577" t="n">
        <v>0</v>
      </c>
      <c r="O12577" t="n">
        <v>0</v>
      </c>
      <c r="P12577" t="n">
        <v>0</v>
      </c>
      <c r="Q12577" t="n">
        <v>0</v>
      </c>
      <c r="R12577" s="2" t="inlineStr"/>
    </row>
    <row r="12578" ht="15" customHeight="1">
      <c r="A12578" t="inlineStr">
        <is>
          <t>A 33996-2025</t>
        </is>
      </c>
      <c r="B12578" s="1" t="n">
        <v>45843.84158564815</v>
      </c>
      <c r="C12578" s="1" t="n">
        <v>45952</v>
      </c>
      <c r="D12578" t="inlineStr">
        <is>
          <t>VÄSTRA GÖTALANDS LÄN</t>
        </is>
      </c>
      <c r="E12578" t="inlineStr">
        <is>
          <t>UDDEVALLA</t>
        </is>
      </c>
      <c r="G12578" t="n">
        <v>0.5</v>
      </c>
      <c r="H12578" t="n">
        <v>0</v>
      </c>
      <c r="I12578" t="n">
        <v>0</v>
      </c>
      <c r="J12578" t="n">
        <v>0</v>
      </c>
      <c r="K12578" t="n">
        <v>0</v>
      </c>
      <c r="L12578" t="n">
        <v>0</v>
      </c>
      <c r="M12578" t="n">
        <v>0</v>
      </c>
      <c r="N12578" t="n">
        <v>0</v>
      </c>
      <c r="O12578" t="n">
        <v>0</v>
      </c>
      <c r="P12578" t="n">
        <v>0</v>
      </c>
      <c r="Q12578" t="n">
        <v>0</v>
      </c>
      <c r="R12578" s="2" t="inlineStr"/>
    </row>
    <row r="12579" ht="15" customHeight="1">
      <c r="A12579" t="inlineStr">
        <is>
          <t>A 47009-2024</t>
        </is>
      </c>
      <c r="B12579" s="1" t="n">
        <v>45583</v>
      </c>
      <c r="C12579" s="1" t="n">
        <v>45952</v>
      </c>
      <c r="D12579" t="inlineStr">
        <is>
          <t>VÄSTRA GÖTALANDS LÄN</t>
        </is>
      </c>
      <c r="E12579" t="inlineStr">
        <is>
          <t>MARIESTAD</t>
        </is>
      </c>
      <c r="G12579" t="n">
        <v>0.5</v>
      </c>
      <c r="H12579" t="n">
        <v>0</v>
      </c>
      <c r="I12579" t="n">
        <v>0</v>
      </c>
      <c r="J12579" t="n">
        <v>0</v>
      </c>
      <c r="K12579" t="n">
        <v>0</v>
      </c>
      <c r="L12579" t="n">
        <v>0</v>
      </c>
      <c r="M12579" t="n">
        <v>0</v>
      </c>
      <c r="N12579" t="n">
        <v>0</v>
      </c>
      <c r="O12579" t="n">
        <v>0</v>
      </c>
      <c r="P12579" t="n">
        <v>0</v>
      </c>
      <c r="Q12579" t="n">
        <v>0</v>
      </c>
      <c r="R12579" s="2" t="inlineStr"/>
    </row>
    <row r="12580" ht="15" customHeight="1">
      <c r="A12580" t="inlineStr">
        <is>
          <t>A 33725-2025</t>
        </is>
      </c>
      <c r="B12580" s="1" t="n">
        <v>45841.9329050926</v>
      </c>
      <c r="C12580" s="1" t="n">
        <v>45952</v>
      </c>
      <c r="D12580" t="inlineStr">
        <is>
          <t>VÄSTRA GÖTALANDS LÄN</t>
        </is>
      </c>
      <c r="E12580" t="inlineStr">
        <is>
          <t>BORÅS</t>
        </is>
      </c>
      <c r="G12580" t="n">
        <v>0.2</v>
      </c>
      <c r="H12580" t="n">
        <v>0</v>
      </c>
      <c r="I12580" t="n">
        <v>0</v>
      </c>
      <c r="J12580" t="n">
        <v>0</v>
      </c>
      <c r="K12580" t="n">
        <v>0</v>
      </c>
      <c r="L12580" t="n">
        <v>0</v>
      </c>
      <c r="M12580" t="n">
        <v>0</v>
      </c>
      <c r="N12580" t="n">
        <v>0</v>
      </c>
      <c r="O12580" t="n">
        <v>0</v>
      </c>
      <c r="P12580" t="n">
        <v>0</v>
      </c>
      <c r="Q12580" t="n">
        <v>0</v>
      </c>
      <c r="R12580" s="2" t="inlineStr"/>
    </row>
    <row r="12581" ht="15" customHeight="1">
      <c r="A12581" t="inlineStr">
        <is>
          <t>A 22251-2025</t>
        </is>
      </c>
      <c r="B12581" s="1" t="n">
        <v>45785.70070601852</v>
      </c>
      <c r="C12581" s="1" t="n">
        <v>45952</v>
      </c>
      <c r="D12581" t="inlineStr">
        <is>
          <t>VÄSTRA GÖTALANDS LÄN</t>
        </is>
      </c>
      <c r="E12581" t="inlineStr">
        <is>
          <t>SVENLJUNGA</t>
        </is>
      </c>
      <c r="G12581" t="n">
        <v>1</v>
      </c>
      <c r="H12581" t="n">
        <v>0</v>
      </c>
      <c r="I12581" t="n">
        <v>0</v>
      </c>
      <c r="J12581" t="n">
        <v>0</v>
      </c>
      <c r="K12581" t="n">
        <v>0</v>
      </c>
      <c r="L12581" t="n">
        <v>0</v>
      </c>
      <c r="M12581" t="n">
        <v>0</v>
      </c>
      <c r="N12581" t="n">
        <v>0</v>
      </c>
      <c r="O12581" t="n">
        <v>0</v>
      </c>
      <c r="P12581" t="n">
        <v>0</v>
      </c>
      <c r="Q12581" t="n">
        <v>0</v>
      </c>
      <c r="R12581" s="2" t="inlineStr"/>
    </row>
    <row r="12582" ht="15" customHeight="1">
      <c r="A12582" t="inlineStr">
        <is>
          <t>A 33580-2025</t>
        </is>
      </c>
      <c r="B12582" s="1" t="n">
        <v>45841.59407407408</v>
      </c>
      <c r="C12582" s="1" t="n">
        <v>45952</v>
      </c>
      <c r="D12582" t="inlineStr">
        <is>
          <t>VÄSTRA GÖTALANDS LÄN</t>
        </is>
      </c>
      <c r="E12582" t="inlineStr">
        <is>
          <t>STRÖMSTAD</t>
        </is>
      </c>
      <c r="G12582" t="n">
        <v>2.5</v>
      </c>
      <c r="H12582" t="n">
        <v>0</v>
      </c>
      <c r="I12582" t="n">
        <v>0</v>
      </c>
      <c r="J12582" t="n">
        <v>0</v>
      </c>
      <c r="K12582" t="n">
        <v>0</v>
      </c>
      <c r="L12582" t="n">
        <v>0</v>
      </c>
      <c r="M12582" t="n">
        <v>0</v>
      </c>
      <c r="N12582" t="n">
        <v>0</v>
      </c>
      <c r="O12582" t="n">
        <v>0</v>
      </c>
      <c r="P12582" t="n">
        <v>0</v>
      </c>
      <c r="Q12582" t="n">
        <v>0</v>
      </c>
      <c r="R12582" s="2" t="inlineStr"/>
    </row>
    <row r="12583" ht="15" customHeight="1">
      <c r="A12583" t="inlineStr">
        <is>
          <t>A 34195-2025</t>
        </is>
      </c>
      <c r="B12583" s="1" t="n">
        <v>45845</v>
      </c>
      <c r="C12583" s="1" t="n">
        <v>45952</v>
      </c>
      <c r="D12583" t="inlineStr">
        <is>
          <t>VÄSTRA GÖTALANDS LÄN</t>
        </is>
      </c>
      <c r="E12583" t="inlineStr">
        <is>
          <t>BORÅS</t>
        </is>
      </c>
      <c r="G12583" t="n">
        <v>3.2</v>
      </c>
      <c r="H12583" t="n">
        <v>0</v>
      </c>
      <c r="I12583" t="n">
        <v>0</v>
      </c>
      <c r="J12583" t="n">
        <v>0</v>
      </c>
      <c r="K12583" t="n">
        <v>0</v>
      </c>
      <c r="L12583" t="n">
        <v>0</v>
      </c>
      <c r="M12583" t="n">
        <v>0</v>
      </c>
      <c r="N12583" t="n">
        <v>0</v>
      </c>
      <c r="O12583" t="n">
        <v>0</v>
      </c>
      <c r="P12583" t="n">
        <v>0</v>
      </c>
      <c r="Q12583" t="n">
        <v>0</v>
      </c>
      <c r="R12583" s="2" t="inlineStr"/>
    </row>
    <row r="12584" ht="15" customHeight="1">
      <c r="A12584" t="inlineStr">
        <is>
          <t>A 34198-2025</t>
        </is>
      </c>
      <c r="B12584" s="1" t="n">
        <v>45845.63146990741</v>
      </c>
      <c r="C12584" s="1" t="n">
        <v>45952</v>
      </c>
      <c r="D12584" t="inlineStr">
        <is>
          <t>VÄSTRA GÖTALANDS LÄN</t>
        </is>
      </c>
      <c r="E12584" t="inlineStr">
        <is>
          <t>FALKÖPING</t>
        </is>
      </c>
      <c r="G12584" t="n">
        <v>0.9</v>
      </c>
      <c r="H12584" t="n">
        <v>0</v>
      </c>
      <c r="I12584" t="n">
        <v>0</v>
      </c>
      <c r="J12584" t="n">
        <v>0</v>
      </c>
      <c r="K12584" t="n">
        <v>0</v>
      </c>
      <c r="L12584" t="n">
        <v>0</v>
      </c>
      <c r="M12584" t="n">
        <v>0</v>
      </c>
      <c r="N12584" t="n">
        <v>0</v>
      </c>
      <c r="O12584" t="n">
        <v>0</v>
      </c>
      <c r="P12584" t="n">
        <v>0</v>
      </c>
      <c r="Q12584" t="n">
        <v>0</v>
      </c>
      <c r="R12584" s="2" t="inlineStr"/>
    </row>
    <row r="12585" ht="15" customHeight="1">
      <c r="A12585" t="inlineStr">
        <is>
          <t>A 40205-2022</t>
        </is>
      </c>
      <c r="B12585" s="1" t="n">
        <v>44820</v>
      </c>
      <c r="C12585" s="1" t="n">
        <v>45952</v>
      </c>
      <c r="D12585" t="inlineStr">
        <is>
          <t>VÄSTRA GÖTALANDS LÄN</t>
        </is>
      </c>
      <c r="E12585" t="inlineStr">
        <is>
          <t>SKÖVDE</t>
        </is>
      </c>
      <c r="G12585" t="n">
        <v>5.3</v>
      </c>
      <c r="H12585" t="n">
        <v>0</v>
      </c>
      <c r="I12585" t="n">
        <v>0</v>
      </c>
      <c r="J12585" t="n">
        <v>0</v>
      </c>
      <c r="K12585" t="n">
        <v>0</v>
      </c>
      <c r="L12585" t="n">
        <v>0</v>
      </c>
      <c r="M12585" t="n">
        <v>0</v>
      </c>
      <c r="N12585" t="n">
        <v>0</v>
      </c>
      <c r="O12585" t="n">
        <v>0</v>
      </c>
      <c r="P12585" t="n">
        <v>0</v>
      </c>
      <c r="Q12585" t="n">
        <v>0</v>
      </c>
      <c r="R12585" s="2" t="inlineStr"/>
    </row>
    <row r="12586" ht="15" customHeight="1">
      <c r="A12586" t="inlineStr">
        <is>
          <t>A 34080-2025</t>
        </is>
      </c>
      <c r="B12586" s="1" t="n">
        <v>45845.45950231481</v>
      </c>
      <c r="C12586" s="1" t="n">
        <v>45952</v>
      </c>
      <c r="D12586" t="inlineStr">
        <is>
          <t>VÄSTRA GÖTALANDS LÄN</t>
        </is>
      </c>
      <c r="E12586" t="inlineStr">
        <is>
          <t>MUNKEDAL</t>
        </is>
      </c>
      <c r="G12586" t="n">
        <v>3.4</v>
      </c>
      <c r="H12586" t="n">
        <v>0</v>
      </c>
      <c r="I12586" t="n">
        <v>0</v>
      </c>
      <c r="J12586" t="n">
        <v>0</v>
      </c>
      <c r="K12586" t="n">
        <v>0</v>
      </c>
      <c r="L12586" t="n">
        <v>0</v>
      </c>
      <c r="M12586" t="n">
        <v>0</v>
      </c>
      <c r="N12586" t="n">
        <v>0</v>
      </c>
      <c r="O12586" t="n">
        <v>0</v>
      </c>
      <c r="P12586" t="n">
        <v>0</v>
      </c>
      <c r="Q12586" t="n">
        <v>0</v>
      </c>
      <c r="R12586" s="2" t="inlineStr"/>
    </row>
    <row r="12587" ht="15" customHeight="1">
      <c r="A12587" t="inlineStr">
        <is>
          <t>A 13955-2024</t>
        </is>
      </c>
      <c r="B12587" s="1" t="n">
        <v>45392.32388888889</v>
      </c>
      <c r="C12587" s="1" t="n">
        <v>45952</v>
      </c>
      <c r="D12587" t="inlineStr">
        <is>
          <t>VÄSTRA GÖTALANDS LÄN</t>
        </is>
      </c>
      <c r="E12587" t="inlineStr">
        <is>
          <t>BORÅS</t>
        </is>
      </c>
      <c r="G12587" t="n">
        <v>1.4</v>
      </c>
      <c r="H12587" t="n">
        <v>0</v>
      </c>
      <c r="I12587" t="n">
        <v>0</v>
      </c>
      <c r="J12587" t="n">
        <v>0</v>
      </c>
      <c r="K12587" t="n">
        <v>0</v>
      </c>
      <c r="L12587" t="n">
        <v>0</v>
      </c>
      <c r="M12587" t="n">
        <v>0</v>
      </c>
      <c r="N12587" t="n">
        <v>0</v>
      </c>
      <c r="O12587" t="n">
        <v>0</v>
      </c>
      <c r="P12587" t="n">
        <v>0</v>
      </c>
      <c r="Q12587" t="n">
        <v>0</v>
      </c>
      <c r="R12587" s="2" t="inlineStr"/>
    </row>
    <row r="12588" ht="15" customHeight="1">
      <c r="A12588" t="inlineStr">
        <is>
          <t>A 30819-2022</t>
        </is>
      </c>
      <c r="B12588" s="1" t="n">
        <v>44766.54820601852</v>
      </c>
      <c r="C12588" s="1" t="n">
        <v>45952</v>
      </c>
      <c r="D12588" t="inlineStr">
        <is>
          <t>VÄSTRA GÖTALANDS LÄN</t>
        </is>
      </c>
      <c r="E12588" t="inlineStr">
        <is>
          <t>TIDAHOLM</t>
        </is>
      </c>
      <c r="G12588" t="n">
        <v>3.1</v>
      </c>
      <c r="H12588" t="n">
        <v>0</v>
      </c>
      <c r="I12588" t="n">
        <v>0</v>
      </c>
      <c r="J12588" t="n">
        <v>0</v>
      </c>
      <c r="K12588" t="n">
        <v>0</v>
      </c>
      <c r="L12588" t="n">
        <v>0</v>
      </c>
      <c r="M12588" t="n">
        <v>0</v>
      </c>
      <c r="N12588" t="n">
        <v>0</v>
      </c>
      <c r="O12588" t="n">
        <v>0</v>
      </c>
      <c r="P12588" t="n">
        <v>0</v>
      </c>
      <c r="Q12588" t="n">
        <v>0</v>
      </c>
      <c r="R12588" s="2" t="inlineStr"/>
    </row>
    <row r="12589" ht="15" customHeight="1">
      <c r="A12589" t="inlineStr">
        <is>
          <t>A 33745-2025</t>
        </is>
      </c>
      <c r="B12589" s="1" t="n">
        <v>45842.35321759259</v>
      </c>
      <c r="C12589" s="1" t="n">
        <v>45952</v>
      </c>
      <c r="D12589" t="inlineStr">
        <is>
          <t>VÄSTRA GÖTALANDS LÄN</t>
        </is>
      </c>
      <c r="E12589" t="inlineStr">
        <is>
          <t>TRANEMO</t>
        </is>
      </c>
      <c r="G12589" t="n">
        <v>6.9</v>
      </c>
      <c r="H12589" t="n">
        <v>0</v>
      </c>
      <c r="I12589" t="n">
        <v>0</v>
      </c>
      <c r="J12589" t="n">
        <v>0</v>
      </c>
      <c r="K12589" t="n">
        <v>0</v>
      </c>
      <c r="L12589" t="n">
        <v>0</v>
      </c>
      <c r="M12589" t="n">
        <v>0</v>
      </c>
      <c r="N12589" t="n">
        <v>0</v>
      </c>
      <c r="O12589" t="n">
        <v>0</v>
      </c>
      <c r="P12589" t="n">
        <v>0</v>
      </c>
      <c r="Q12589" t="n">
        <v>0</v>
      </c>
      <c r="R12589" s="2" t="inlineStr"/>
    </row>
    <row r="12590" ht="15" customHeight="1">
      <c r="A12590" t="inlineStr">
        <is>
          <t>A 33723-2025</t>
        </is>
      </c>
      <c r="B12590" s="1" t="n">
        <v>45841.92826388889</v>
      </c>
      <c r="C12590" s="1" t="n">
        <v>45952</v>
      </c>
      <c r="D12590" t="inlineStr">
        <is>
          <t>VÄSTRA GÖTALANDS LÄN</t>
        </is>
      </c>
      <c r="E12590" t="inlineStr">
        <is>
          <t>BORÅS</t>
        </is>
      </c>
      <c r="G12590" t="n">
        <v>0.9</v>
      </c>
      <c r="H12590" t="n">
        <v>0</v>
      </c>
      <c r="I12590" t="n">
        <v>0</v>
      </c>
      <c r="J12590" t="n">
        <v>0</v>
      </c>
      <c r="K12590" t="n">
        <v>0</v>
      </c>
      <c r="L12590" t="n">
        <v>0</v>
      </c>
      <c r="M12590" t="n">
        <v>0</v>
      </c>
      <c r="N12590" t="n">
        <v>0</v>
      </c>
      <c r="O12590" t="n">
        <v>0</v>
      </c>
      <c r="P12590" t="n">
        <v>0</v>
      </c>
      <c r="Q12590" t="n">
        <v>0</v>
      </c>
      <c r="R12590" s="2" t="inlineStr"/>
    </row>
    <row r="12591" ht="15" customHeight="1">
      <c r="A12591" t="inlineStr">
        <is>
          <t>A 26356-2025</t>
        </is>
      </c>
      <c r="B12591" s="1" t="n">
        <v>45805.8687037037</v>
      </c>
      <c r="C12591" s="1" t="n">
        <v>45952</v>
      </c>
      <c r="D12591" t="inlineStr">
        <is>
          <t>VÄSTRA GÖTALANDS LÄN</t>
        </is>
      </c>
      <c r="E12591" t="inlineStr">
        <is>
          <t>LIDKÖPING</t>
        </is>
      </c>
      <c r="G12591" t="n">
        <v>0.4</v>
      </c>
      <c r="H12591" t="n">
        <v>0</v>
      </c>
      <c r="I12591" t="n">
        <v>0</v>
      </c>
      <c r="J12591" t="n">
        <v>0</v>
      </c>
      <c r="K12591" t="n">
        <v>0</v>
      </c>
      <c r="L12591" t="n">
        <v>0</v>
      </c>
      <c r="M12591" t="n">
        <v>0</v>
      </c>
      <c r="N12591" t="n">
        <v>0</v>
      </c>
      <c r="O12591" t="n">
        <v>0</v>
      </c>
      <c r="P12591" t="n">
        <v>0</v>
      </c>
      <c r="Q12591" t="n">
        <v>0</v>
      </c>
      <c r="R12591" s="2" t="inlineStr"/>
    </row>
    <row r="12592" ht="15" customHeight="1">
      <c r="A12592" t="inlineStr">
        <is>
          <t>A 27265-2023</t>
        </is>
      </c>
      <c r="B12592" s="1" t="n">
        <v>45096.62655092592</v>
      </c>
      <c r="C12592" s="1" t="n">
        <v>45952</v>
      </c>
      <c r="D12592" t="inlineStr">
        <is>
          <t>VÄSTRA GÖTALANDS LÄN</t>
        </is>
      </c>
      <c r="E12592" t="inlineStr">
        <is>
          <t>SKARA</t>
        </is>
      </c>
      <c r="G12592" t="n">
        <v>3.7</v>
      </c>
      <c r="H12592" t="n">
        <v>0</v>
      </c>
      <c r="I12592" t="n">
        <v>0</v>
      </c>
      <c r="J12592" t="n">
        <v>0</v>
      </c>
      <c r="K12592" t="n">
        <v>0</v>
      </c>
      <c r="L12592" t="n">
        <v>0</v>
      </c>
      <c r="M12592" t="n">
        <v>0</v>
      </c>
      <c r="N12592" t="n">
        <v>0</v>
      </c>
      <c r="O12592" t="n">
        <v>0</v>
      </c>
      <c r="P12592" t="n">
        <v>0</v>
      </c>
      <c r="Q12592" t="n">
        <v>0</v>
      </c>
      <c r="R12592" s="2" t="inlineStr"/>
    </row>
    <row r="12593" ht="15" customHeight="1">
      <c r="A12593" t="inlineStr">
        <is>
          <t>A 7605-2022</t>
        </is>
      </c>
      <c r="B12593" s="1" t="n">
        <v>44606</v>
      </c>
      <c r="C12593" s="1" t="n">
        <v>45952</v>
      </c>
      <c r="D12593" t="inlineStr">
        <is>
          <t>VÄSTRA GÖTALANDS LÄN</t>
        </is>
      </c>
      <c r="E12593" t="inlineStr">
        <is>
          <t>VÄNERSBORG</t>
        </is>
      </c>
      <c r="G12593" t="n">
        <v>7.1</v>
      </c>
      <c r="H12593" t="n">
        <v>0</v>
      </c>
      <c r="I12593" t="n">
        <v>0</v>
      </c>
      <c r="J12593" t="n">
        <v>0</v>
      </c>
      <c r="K12593" t="n">
        <v>0</v>
      </c>
      <c r="L12593" t="n">
        <v>0</v>
      </c>
      <c r="M12593" t="n">
        <v>0</v>
      </c>
      <c r="N12593" t="n">
        <v>0</v>
      </c>
      <c r="O12593" t="n">
        <v>0</v>
      </c>
      <c r="P12593" t="n">
        <v>0</v>
      </c>
      <c r="Q12593" t="n">
        <v>0</v>
      </c>
      <c r="R12593" s="2" t="inlineStr"/>
    </row>
    <row r="12594" ht="15" customHeight="1">
      <c r="A12594" t="inlineStr">
        <is>
          <t>A 33967-2025</t>
        </is>
      </c>
      <c r="B12594" s="1" t="n">
        <v>45842.81519675926</v>
      </c>
      <c r="C12594" s="1" t="n">
        <v>45952</v>
      </c>
      <c r="D12594" t="inlineStr">
        <is>
          <t>VÄSTRA GÖTALANDS LÄN</t>
        </is>
      </c>
      <c r="E12594" t="inlineStr">
        <is>
          <t>DALS-ED</t>
        </is>
      </c>
      <c r="G12594" t="n">
        <v>3.5</v>
      </c>
      <c r="H12594" t="n">
        <v>0</v>
      </c>
      <c r="I12594" t="n">
        <v>0</v>
      </c>
      <c r="J12594" t="n">
        <v>0</v>
      </c>
      <c r="K12594" t="n">
        <v>0</v>
      </c>
      <c r="L12594" t="n">
        <v>0</v>
      </c>
      <c r="M12594" t="n">
        <v>0</v>
      </c>
      <c r="N12594" t="n">
        <v>0</v>
      </c>
      <c r="O12594" t="n">
        <v>0</v>
      </c>
      <c r="P12594" t="n">
        <v>0</v>
      </c>
      <c r="Q12594" t="n">
        <v>0</v>
      </c>
      <c r="R12594" s="2" t="inlineStr"/>
    </row>
    <row r="12595" ht="15" customHeight="1">
      <c r="A12595" t="inlineStr">
        <is>
          <t>A 34024-2025</t>
        </is>
      </c>
      <c r="B12595" s="1" t="n">
        <v>45845.35418981482</v>
      </c>
      <c r="C12595" s="1" t="n">
        <v>45952</v>
      </c>
      <c r="D12595" t="inlineStr">
        <is>
          <t>VÄSTRA GÖTALANDS LÄN</t>
        </is>
      </c>
      <c r="E12595" t="inlineStr">
        <is>
          <t>MARK</t>
        </is>
      </c>
      <c r="G12595" t="n">
        <v>0.7</v>
      </c>
      <c r="H12595" t="n">
        <v>0</v>
      </c>
      <c r="I12595" t="n">
        <v>0</v>
      </c>
      <c r="J12595" t="n">
        <v>0</v>
      </c>
      <c r="K12595" t="n">
        <v>0</v>
      </c>
      <c r="L12595" t="n">
        <v>0</v>
      </c>
      <c r="M12595" t="n">
        <v>0</v>
      </c>
      <c r="N12595" t="n">
        <v>0</v>
      </c>
      <c r="O12595" t="n">
        <v>0</v>
      </c>
      <c r="P12595" t="n">
        <v>0</v>
      </c>
      <c r="Q12595" t="n">
        <v>0</v>
      </c>
      <c r="R12595" s="2" t="inlineStr"/>
    </row>
    <row r="12596" ht="15" customHeight="1">
      <c r="A12596" t="inlineStr">
        <is>
          <t>A 35961-2021</t>
        </is>
      </c>
      <c r="B12596" s="1" t="n">
        <v>44385</v>
      </c>
      <c r="C12596" s="1" t="n">
        <v>45952</v>
      </c>
      <c r="D12596" t="inlineStr">
        <is>
          <t>VÄSTRA GÖTALANDS LÄN</t>
        </is>
      </c>
      <c r="E12596" t="inlineStr">
        <is>
          <t>TROLLHÄTTAN</t>
        </is>
      </c>
      <c r="G12596" t="n">
        <v>3</v>
      </c>
      <c r="H12596" t="n">
        <v>0</v>
      </c>
      <c r="I12596" t="n">
        <v>0</v>
      </c>
      <c r="J12596" t="n">
        <v>0</v>
      </c>
      <c r="K12596" t="n">
        <v>0</v>
      </c>
      <c r="L12596" t="n">
        <v>0</v>
      </c>
      <c r="M12596" t="n">
        <v>0</v>
      </c>
      <c r="N12596" t="n">
        <v>0</v>
      </c>
      <c r="O12596" t="n">
        <v>0</v>
      </c>
      <c r="P12596" t="n">
        <v>0</v>
      </c>
      <c r="Q12596" t="n">
        <v>0</v>
      </c>
      <c r="R12596" s="2" t="inlineStr"/>
    </row>
    <row r="12597" ht="15" customHeight="1">
      <c r="A12597" t="inlineStr">
        <is>
          <t>A 43741-2024</t>
        </is>
      </c>
      <c r="B12597" s="1" t="n">
        <v>45569.65767361111</v>
      </c>
      <c r="C12597" s="1" t="n">
        <v>45952</v>
      </c>
      <c r="D12597" t="inlineStr">
        <is>
          <t>VÄSTRA GÖTALANDS LÄN</t>
        </is>
      </c>
      <c r="E12597" t="inlineStr">
        <is>
          <t>ALINGSÅS</t>
        </is>
      </c>
      <c r="G12597" t="n">
        <v>0.7</v>
      </c>
      <c r="H12597" t="n">
        <v>0</v>
      </c>
      <c r="I12597" t="n">
        <v>0</v>
      </c>
      <c r="J12597" t="n">
        <v>0</v>
      </c>
      <c r="K12597" t="n">
        <v>0</v>
      </c>
      <c r="L12597" t="n">
        <v>0</v>
      </c>
      <c r="M12597" t="n">
        <v>0</v>
      </c>
      <c r="N12597" t="n">
        <v>0</v>
      </c>
      <c r="O12597" t="n">
        <v>0</v>
      </c>
      <c r="P12597" t="n">
        <v>0</v>
      </c>
      <c r="Q12597" t="n">
        <v>0</v>
      </c>
      <c r="R12597" s="2" t="inlineStr"/>
    </row>
    <row r="12598" ht="15" customHeight="1">
      <c r="A12598" t="inlineStr">
        <is>
          <t>A 57410-2022</t>
        </is>
      </c>
      <c r="B12598" s="1" t="n">
        <v>44896</v>
      </c>
      <c r="C12598" s="1" t="n">
        <v>45952</v>
      </c>
      <c r="D12598" t="inlineStr">
        <is>
          <t>VÄSTRA GÖTALANDS LÄN</t>
        </is>
      </c>
      <c r="E12598" t="inlineStr">
        <is>
          <t>TJÖRN</t>
        </is>
      </c>
      <c r="G12598" t="n">
        <v>7.5</v>
      </c>
      <c r="H12598" t="n">
        <v>0</v>
      </c>
      <c r="I12598" t="n">
        <v>0</v>
      </c>
      <c r="J12598" t="n">
        <v>0</v>
      </c>
      <c r="K12598" t="n">
        <v>0</v>
      </c>
      <c r="L12598" t="n">
        <v>0</v>
      </c>
      <c r="M12598" t="n">
        <v>0</v>
      </c>
      <c r="N12598" t="n">
        <v>0</v>
      </c>
      <c r="O12598" t="n">
        <v>0</v>
      </c>
      <c r="P12598" t="n">
        <v>0</v>
      </c>
      <c r="Q12598" t="n">
        <v>0</v>
      </c>
      <c r="R12598" s="2" t="inlineStr"/>
    </row>
    <row r="12599" ht="15" customHeight="1">
      <c r="A12599" t="inlineStr">
        <is>
          <t>A 56007-2023</t>
        </is>
      </c>
      <c r="B12599" s="1" t="n">
        <v>45240.40667824074</v>
      </c>
      <c r="C12599" s="1" t="n">
        <v>45952</v>
      </c>
      <c r="D12599" t="inlineStr">
        <is>
          <t>VÄSTRA GÖTALANDS LÄN</t>
        </is>
      </c>
      <c r="E12599" t="inlineStr">
        <is>
          <t>BORÅS</t>
        </is>
      </c>
      <c r="G12599" t="n">
        <v>2.1</v>
      </c>
      <c r="H12599" t="n">
        <v>0</v>
      </c>
      <c r="I12599" t="n">
        <v>0</v>
      </c>
      <c r="J12599" t="n">
        <v>0</v>
      </c>
      <c r="K12599" t="n">
        <v>0</v>
      </c>
      <c r="L12599" t="n">
        <v>0</v>
      </c>
      <c r="M12599" t="n">
        <v>0</v>
      </c>
      <c r="N12599" t="n">
        <v>0</v>
      </c>
      <c r="O12599" t="n">
        <v>0</v>
      </c>
      <c r="P12599" t="n">
        <v>0</v>
      </c>
      <c r="Q12599" t="n">
        <v>0</v>
      </c>
      <c r="R12599" s="2" t="inlineStr"/>
    </row>
    <row r="12600" ht="15" customHeight="1">
      <c r="A12600" t="inlineStr">
        <is>
          <t>A 56023-2023</t>
        </is>
      </c>
      <c r="B12600" s="1" t="n">
        <v>45240.42798611111</v>
      </c>
      <c r="C12600" s="1" t="n">
        <v>45952</v>
      </c>
      <c r="D12600" t="inlineStr">
        <is>
          <t>VÄSTRA GÖTALANDS LÄN</t>
        </is>
      </c>
      <c r="E12600" t="inlineStr">
        <is>
          <t>BORÅS</t>
        </is>
      </c>
      <c r="G12600" t="n">
        <v>4.5</v>
      </c>
      <c r="H12600" t="n">
        <v>0</v>
      </c>
      <c r="I12600" t="n">
        <v>0</v>
      </c>
      <c r="J12600" t="n">
        <v>0</v>
      </c>
      <c r="K12600" t="n">
        <v>0</v>
      </c>
      <c r="L12600" t="n">
        <v>0</v>
      </c>
      <c r="M12600" t="n">
        <v>0</v>
      </c>
      <c r="N12600" t="n">
        <v>0</v>
      </c>
      <c r="O12600" t="n">
        <v>0</v>
      </c>
      <c r="P12600" t="n">
        <v>0</v>
      </c>
      <c r="Q12600" t="n">
        <v>0</v>
      </c>
      <c r="R12600" s="2" t="inlineStr"/>
    </row>
    <row r="12601" ht="15" customHeight="1">
      <c r="A12601" t="inlineStr">
        <is>
          <t>A 48302-2022</t>
        </is>
      </c>
      <c r="B12601" s="1" t="n">
        <v>44858.52567129629</v>
      </c>
      <c r="C12601" s="1" t="n">
        <v>45952</v>
      </c>
      <c r="D12601" t="inlineStr">
        <is>
          <t>VÄSTRA GÖTALANDS LÄN</t>
        </is>
      </c>
      <c r="E12601" t="inlineStr">
        <is>
          <t>TANUM</t>
        </is>
      </c>
      <c r="G12601" t="n">
        <v>3.5</v>
      </c>
      <c r="H12601" t="n">
        <v>0</v>
      </c>
      <c r="I12601" t="n">
        <v>0</v>
      </c>
      <c r="J12601" t="n">
        <v>0</v>
      </c>
      <c r="K12601" t="n">
        <v>0</v>
      </c>
      <c r="L12601" t="n">
        <v>0</v>
      </c>
      <c r="M12601" t="n">
        <v>0</v>
      </c>
      <c r="N12601" t="n">
        <v>0</v>
      </c>
      <c r="O12601" t="n">
        <v>0</v>
      </c>
      <c r="P12601" t="n">
        <v>0</v>
      </c>
      <c r="Q12601" t="n">
        <v>0</v>
      </c>
      <c r="R12601" s="2" t="inlineStr"/>
    </row>
    <row r="12602" ht="15" customHeight="1">
      <c r="A12602" t="inlineStr">
        <is>
          <t>A 6525-2025</t>
        </is>
      </c>
      <c r="B12602" s="1" t="n">
        <v>45699.66690972223</v>
      </c>
      <c r="C12602" s="1" t="n">
        <v>45952</v>
      </c>
      <c r="D12602" t="inlineStr">
        <is>
          <t>VÄSTRA GÖTALANDS LÄN</t>
        </is>
      </c>
      <c r="E12602" t="inlineStr">
        <is>
          <t>VÅRGÅRDA</t>
        </is>
      </c>
      <c r="G12602" t="n">
        <v>1.9</v>
      </c>
      <c r="H12602" t="n">
        <v>0</v>
      </c>
      <c r="I12602" t="n">
        <v>0</v>
      </c>
      <c r="J12602" t="n">
        <v>0</v>
      </c>
      <c r="K12602" t="n">
        <v>0</v>
      </c>
      <c r="L12602" t="n">
        <v>0</v>
      </c>
      <c r="M12602" t="n">
        <v>0</v>
      </c>
      <c r="N12602" t="n">
        <v>0</v>
      </c>
      <c r="O12602" t="n">
        <v>0</v>
      </c>
      <c r="P12602" t="n">
        <v>0</v>
      </c>
      <c r="Q12602" t="n">
        <v>0</v>
      </c>
      <c r="R12602" s="2" t="inlineStr"/>
    </row>
    <row r="12603" ht="15" customHeight="1">
      <c r="A12603" t="inlineStr">
        <is>
          <t>A 4304-2024</t>
        </is>
      </c>
      <c r="B12603" s="1" t="n">
        <v>45324</v>
      </c>
      <c r="C12603" s="1" t="n">
        <v>45952</v>
      </c>
      <c r="D12603" t="inlineStr">
        <is>
          <t>VÄSTRA GÖTALANDS LÄN</t>
        </is>
      </c>
      <c r="E12603" t="inlineStr">
        <is>
          <t>MARK</t>
        </is>
      </c>
      <c r="G12603" t="n">
        <v>1.6</v>
      </c>
      <c r="H12603" t="n">
        <v>0</v>
      </c>
      <c r="I12603" t="n">
        <v>0</v>
      </c>
      <c r="J12603" t="n">
        <v>0</v>
      </c>
      <c r="K12603" t="n">
        <v>0</v>
      </c>
      <c r="L12603" t="n">
        <v>0</v>
      </c>
      <c r="M12603" t="n">
        <v>0</v>
      </c>
      <c r="N12603" t="n">
        <v>0</v>
      </c>
      <c r="O12603" t="n">
        <v>0</v>
      </c>
      <c r="P12603" t="n">
        <v>0</v>
      </c>
      <c r="Q12603" t="n">
        <v>0</v>
      </c>
      <c r="R12603" s="2" t="inlineStr"/>
    </row>
    <row r="12604" ht="15" customHeight="1">
      <c r="A12604" t="inlineStr">
        <is>
          <t>A 32666-2025</t>
        </is>
      </c>
      <c r="B12604" s="1" t="n">
        <v>45838</v>
      </c>
      <c r="C12604" s="1" t="n">
        <v>45952</v>
      </c>
      <c r="D12604" t="inlineStr">
        <is>
          <t>VÄSTRA GÖTALANDS LÄN</t>
        </is>
      </c>
      <c r="E12604" t="inlineStr">
        <is>
          <t>VÄNERSBORG</t>
        </is>
      </c>
      <c r="G12604" t="n">
        <v>0.4</v>
      </c>
      <c r="H12604" t="n">
        <v>0</v>
      </c>
      <c r="I12604" t="n">
        <v>0</v>
      </c>
      <c r="J12604" t="n">
        <v>0</v>
      </c>
      <c r="K12604" t="n">
        <v>0</v>
      </c>
      <c r="L12604" t="n">
        <v>0</v>
      </c>
      <c r="M12604" t="n">
        <v>0</v>
      </c>
      <c r="N12604" t="n">
        <v>0</v>
      </c>
      <c r="O12604" t="n">
        <v>0</v>
      </c>
      <c r="P12604" t="n">
        <v>0</v>
      </c>
      <c r="Q12604" t="n">
        <v>0</v>
      </c>
      <c r="R12604" s="2" t="inlineStr"/>
    </row>
    <row r="12605" ht="15" customHeight="1">
      <c r="A12605" t="inlineStr">
        <is>
          <t>A 2130-2025</t>
        </is>
      </c>
      <c r="B12605" s="1" t="n">
        <v>45672.6562037037</v>
      </c>
      <c r="C12605" s="1" t="n">
        <v>45952</v>
      </c>
      <c r="D12605" t="inlineStr">
        <is>
          <t>VÄSTRA GÖTALANDS LÄN</t>
        </is>
      </c>
      <c r="E12605" t="inlineStr">
        <is>
          <t>MARK</t>
        </is>
      </c>
      <c r="G12605" t="n">
        <v>1</v>
      </c>
      <c r="H12605" t="n">
        <v>0</v>
      </c>
      <c r="I12605" t="n">
        <v>0</v>
      </c>
      <c r="J12605" t="n">
        <v>0</v>
      </c>
      <c r="K12605" t="n">
        <v>0</v>
      </c>
      <c r="L12605" t="n">
        <v>0</v>
      </c>
      <c r="M12605" t="n">
        <v>0</v>
      </c>
      <c r="N12605" t="n">
        <v>0</v>
      </c>
      <c r="O12605" t="n">
        <v>0</v>
      </c>
      <c r="P12605" t="n">
        <v>0</v>
      </c>
      <c r="Q12605" t="n">
        <v>0</v>
      </c>
      <c r="R12605" s="2" t="inlineStr"/>
    </row>
    <row r="12606" ht="15" customHeight="1">
      <c r="A12606" t="inlineStr">
        <is>
          <t>A 2135-2025</t>
        </is>
      </c>
      <c r="B12606" s="1" t="n">
        <v>45672.66568287037</v>
      </c>
      <c r="C12606" s="1" t="n">
        <v>45952</v>
      </c>
      <c r="D12606" t="inlineStr">
        <is>
          <t>VÄSTRA GÖTALANDS LÄN</t>
        </is>
      </c>
      <c r="E12606" t="inlineStr">
        <is>
          <t>MARK</t>
        </is>
      </c>
      <c r="G12606" t="n">
        <v>2.8</v>
      </c>
      <c r="H12606" t="n">
        <v>0</v>
      </c>
      <c r="I12606" t="n">
        <v>0</v>
      </c>
      <c r="J12606" t="n">
        <v>0</v>
      </c>
      <c r="K12606" t="n">
        <v>0</v>
      </c>
      <c r="L12606" t="n">
        <v>0</v>
      </c>
      <c r="M12606" t="n">
        <v>0</v>
      </c>
      <c r="N12606" t="n">
        <v>0</v>
      </c>
      <c r="O12606" t="n">
        <v>0</v>
      </c>
      <c r="P12606" t="n">
        <v>0</v>
      </c>
      <c r="Q12606" t="n">
        <v>0</v>
      </c>
      <c r="R12606" s="2" t="inlineStr"/>
    </row>
    <row r="12607" ht="15" customHeight="1">
      <c r="A12607" t="inlineStr">
        <is>
          <t>A 33546-2022</t>
        </is>
      </c>
      <c r="B12607" s="1" t="n">
        <v>44789.37229166667</v>
      </c>
      <c r="C12607" s="1" t="n">
        <v>45952</v>
      </c>
      <c r="D12607" t="inlineStr">
        <is>
          <t>VÄSTRA GÖTALANDS LÄN</t>
        </is>
      </c>
      <c r="E12607" t="inlineStr">
        <is>
          <t>TROLLHÄTTAN</t>
        </is>
      </c>
      <c r="G12607" t="n">
        <v>0.5</v>
      </c>
      <c r="H12607" t="n">
        <v>0</v>
      </c>
      <c r="I12607" t="n">
        <v>0</v>
      </c>
      <c r="J12607" t="n">
        <v>0</v>
      </c>
      <c r="K12607" t="n">
        <v>0</v>
      </c>
      <c r="L12607" t="n">
        <v>0</v>
      </c>
      <c r="M12607" t="n">
        <v>0</v>
      </c>
      <c r="N12607" t="n">
        <v>0</v>
      </c>
      <c r="O12607" t="n">
        <v>0</v>
      </c>
      <c r="P12607" t="n">
        <v>0</v>
      </c>
      <c r="Q12607" t="n">
        <v>0</v>
      </c>
      <c r="R12607" s="2" t="inlineStr"/>
    </row>
    <row r="12608" ht="15" customHeight="1">
      <c r="A12608" t="inlineStr">
        <is>
          <t>A 35035-2023</t>
        </is>
      </c>
      <c r="B12608" s="1" t="n">
        <v>45142</v>
      </c>
      <c r="C12608" s="1" t="n">
        <v>45952</v>
      </c>
      <c r="D12608" t="inlineStr">
        <is>
          <t>VÄSTRA GÖTALANDS LÄN</t>
        </is>
      </c>
      <c r="E12608" t="inlineStr">
        <is>
          <t>VARA</t>
        </is>
      </c>
      <c r="G12608" t="n">
        <v>1.1</v>
      </c>
      <c r="H12608" t="n">
        <v>0</v>
      </c>
      <c r="I12608" t="n">
        <v>0</v>
      </c>
      <c r="J12608" t="n">
        <v>0</v>
      </c>
      <c r="K12608" t="n">
        <v>0</v>
      </c>
      <c r="L12608" t="n">
        <v>0</v>
      </c>
      <c r="M12608" t="n">
        <v>0</v>
      </c>
      <c r="N12608" t="n">
        <v>0</v>
      </c>
      <c r="O12608" t="n">
        <v>0</v>
      </c>
      <c r="P12608" t="n">
        <v>0</v>
      </c>
      <c r="Q12608" t="n">
        <v>0</v>
      </c>
      <c r="R12608" s="2" t="inlineStr"/>
    </row>
    <row r="12609" ht="15" customHeight="1">
      <c r="A12609" t="inlineStr">
        <is>
          <t>A 31605-2024</t>
        </is>
      </c>
      <c r="B12609" s="1" t="n">
        <v>45506.42094907408</v>
      </c>
      <c r="C12609" s="1" t="n">
        <v>45952</v>
      </c>
      <c r="D12609" t="inlineStr">
        <is>
          <t>VÄSTRA GÖTALANDS LÄN</t>
        </is>
      </c>
      <c r="E12609" t="inlineStr">
        <is>
          <t>LIDKÖPING</t>
        </is>
      </c>
      <c r="F12609" t="inlineStr">
        <is>
          <t>Kommuner</t>
        </is>
      </c>
      <c r="G12609" t="n">
        <v>2.7</v>
      </c>
      <c r="H12609" t="n">
        <v>0</v>
      </c>
      <c r="I12609" t="n">
        <v>0</v>
      </c>
      <c r="J12609" t="n">
        <v>0</v>
      </c>
      <c r="K12609" t="n">
        <v>0</v>
      </c>
      <c r="L12609" t="n">
        <v>0</v>
      </c>
      <c r="M12609" t="n">
        <v>0</v>
      </c>
      <c r="N12609" t="n">
        <v>0</v>
      </c>
      <c r="O12609" t="n">
        <v>0</v>
      </c>
      <c r="P12609" t="n">
        <v>0</v>
      </c>
      <c r="Q12609" t="n">
        <v>0</v>
      </c>
      <c r="R12609" s="2" t="inlineStr"/>
    </row>
    <row r="12610" ht="15" customHeight="1">
      <c r="A12610" t="inlineStr">
        <is>
          <t>A 53823-2022</t>
        </is>
      </c>
      <c r="B12610" s="1" t="n">
        <v>44880</v>
      </c>
      <c r="C12610" s="1" t="n">
        <v>45952</v>
      </c>
      <c r="D12610" t="inlineStr">
        <is>
          <t>VÄSTRA GÖTALANDS LÄN</t>
        </is>
      </c>
      <c r="E12610" t="inlineStr">
        <is>
          <t>GULLSPÅNG</t>
        </is>
      </c>
      <c r="G12610" t="n">
        <v>0</v>
      </c>
      <c r="H12610" t="n">
        <v>0</v>
      </c>
      <c r="I12610" t="n">
        <v>0</v>
      </c>
      <c r="J12610" t="n">
        <v>0</v>
      </c>
      <c r="K12610" t="n">
        <v>0</v>
      </c>
      <c r="L12610" t="n">
        <v>0</v>
      </c>
      <c r="M12610" t="n">
        <v>0</v>
      </c>
      <c r="N12610" t="n">
        <v>0</v>
      </c>
      <c r="O12610" t="n">
        <v>0</v>
      </c>
      <c r="P12610" t="n">
        <v>0</v>
      </c>
      <c r="Q12610" t="n">
        <v>0</v>
      </c>
      <c r="R12610" s="2" t="inlineStr"/>
    </row>
    <row r="12611" ht="15" customHeight="1">
      <c r="A12611" t="inlineStr">
        <is>
          <t>A 3200-2025</t>
        </is>
      </c>
      <c r="B12611" s="1" t="n">
        <v>45679.44023148148</v>
      </c>
      <c r="C12611" s="1" t="n">
        <v>45952</v>
      </c>
      <c r="D12611" t="inlineStr">
        <is>
          <t>VÄSTRA GÖTALANDS LÄN</t>
        </is>
      </c>
      <c r="E12611" t="inlineStr">
        <is>
          <t>FALKÖPING</t>
        </is>
      </c>
      <c r="G12611" t="n">
        <v>1.8</v>
      </c>
      <c r="H12611" t="n">
        <v>0</v>
      </c>
      <c r="I12611" t="n">
        <v>0</v>
      </c>
      <c r="J12611" t="n">
        <v>0</v>
      </c>
      <c r="K12611" t="n">
        <v>0</v>
      </c>
      <c r="L12611" t="n">
        <v>0</v>
      </c>
      <c r="M12611" t="n">
        <v>0</v>
      </c>
      <c r="N12611" t="n">
        <v>0</v>
      </c>
      <c r="O12611" t="n">
        <v>0</v>
      </c>
      <c r="P12611" t="n">
        <v>0</v>
      </c>
      <c r="Q12611" t="n">
        <v>0</v>
      </c>
      <c r="R12611" s="2" t="inlineStr"/>
    </row>
    <row r="12612" ht="15" customHeight="1">
      <c r="A12612" t="inlineStr">
        <is>
          <t>A 44812-2021</t>
        </is>
      </c>
      <c r="B12612" s="1" t="n">
        <v>44438</v>
      </c>
      <c r="C12612" s="1" t="n">
        <v>45952</v>
      </c>
      <c r="D12612" t="inlineStr">
        <is>
          <t>VÄSTRA GÖTALANDS LÄN</t>
        </is>
      </c>
      <c r="E12612" t="inlineStr">
        <is>
          <t>TANUM</t>
        </is>
      </c>
      <c r="G12612" t="n">
        <v>3.9</v>
      </c>
      <c r="H12612" t="n">
        <v>0</v>
      </c>
      <c r="I12612" t="n">
        <v>0</v>
      </c>
      <c r="J12612" t="n">
        <v>0</v>
      </c>
      <c r="K12612" t="n">
        <v>0</v>
      </c>
      <c r="L12612" t="n">
        <v>0</v>
      </c>
      <c r="M12612" t="n">
        <v>0</v>
      </c>
      <c r="N12612" t="n">
        <v>0</v>
      </c>
      <c r="O12612" t="n">
        <v>0</v>
      </c>
      <c r="P12612" t="n">
        <v>0</v>
      </c>
      <c r="Q12612" t="n">
        <v>0</v>
      </c>
      <c r="R12612" s="2" t="inlineStr"/>
    </row>
    <row r="12613" ht="15" customHeight="1">
      <c r="A12613" t="inlineStr">
        <is>
          <t>A 4415-2023</t>
        </is>
      </c>
      <c r="B12613" s="1" t="n">
        <v>44952</v>
      </c>
      <c r="C12613" s="1" t="n">
        <v>45952</v>
      </c>
      <c r="D12613" t="inlineStr">
        <is>
          <t>VÄSTRA GÖTALANDS LÄN</t>
        </is>
      </c>
      <c r="E12613" t="inlineStr">
        <is>
          <t>FALKÖPING</t>
        </is>
      </c>
      <c r="G12613" t="n">
        <v>17.8</v>
      </c>
      <c r="H12613" t="n">
        <v>0</v>
      </c>
      <c r="I12613" t="n">
        <v>0</v>
      </c>
      <c r="J12613" t="n">
        <v>0</v>
      </c>
      <c r="K12613" t="n">
        <v>0</v>
      </c>
      <c r="L12613" t="n">
        <v>0</v>
      </c>
      <c r="M12613" t="n">
        <v>0</v>
      </c>
      <c r="N12613" t="n">
        <v>0</v>
      </c>
      <c r="O12613" t="n">
        <v>0</v>
      </c>
      <c r="P12613" t="n">
        <v>0</v>
      </c>
      <c r="Q12613" t="n">
        <v>0</v>
      </c>
      <c r="R12613" s="2" t="inlineStr"/>
    </row>
    <row r="12614" ht="15" customHeight="1">
      <c r="A12614" t="inlineStr">
        <is>
          <t>A 33666-2023</t>
        </is>
      </c>
      <c r="B12614" s="1" t="n">
        <v>45132</v>
      </c>
      <c r="C12614" s="1" t="n">
        <v>45952</v>
      </c>
      <c r="D12614" t="inlineStr">
        <is>
          <t>VÄSTRA GÖTALANDS LÄN</t>
        </is>
      </c>
      <c r="E12614" t="inlineStr">
        <is>
          <t>MELLERUD</t>
        </is>
      </c>
      <c r="G12614" t="n">
        <v>0.4</v>
      </c>
      <c r="H12614" t="n">
        <v>0</v>
      </c>
      <c r="I12614" t="n">
        <v>0</v>
      </c>
      <c r="J12614" t="n">
        <v>0</v>
      </c>
      <c r="K12614" t="n">
        <v>0</v>
      </c>
      <c r="L12614" t="n">
        <v>0</v>
      </c>
      <c r="M12614" t="n">
        <v>0</v>
      </c>
      <c r="N12614" t="n">
        <v>0</v>
      </c>
      <c r="O12614" t="n">
        <v>0</v>
      </c>
      <c r="P12614" t="n">
        <v>0</v>
      </c>
      <c r="Q12614" t="n">
        <v>0</v>
      </c>
      <c r="R12614" s="2" t="inlineStr"/>
    </row>
    <row r="12615" ht="15" customHeight="1">
      <c r="A12615" t="inlineStr">
        <is>
          <t>A 49041-2022</t>
        </is>
      </c>
      <c r="B12615" s="1" t="n">
        <v>44858</v>
      </c>
      <c r="C12615" s="1" t="n">
        <v>45952</v>
      </c>
      <c r="D12615" t="inlineStr">
        <is>
          <t>VÄSTRA GÖTALANDS LÄN</t>
        </is>
      </c>
      <c r="E12615" t="inlineStr">
        <is>
          <t>VARA</t>
        </is>
      </c>
      <c r="G12615" t="n">
        <v>5.3</v>
      </c>
      <c r="H12615" t="n">
        <v>0</v>
      </c>
      <c r="I12615" t="n">
        <v>0</v>
      </c>
      <c r="J12615" t="n">
        <v>0</v>
      </c>
      <c r="K12615" t="n">
        <v>0</v>
      </c>
      <c r="L12615" t="n">
        <v>0</v>
      </c>
      <c r="M12615" t="n">
        <v>0</v>
      </c>
      <c r="N12615" t="n">
        <v>0</v>
      </c>
      <c r="O12615" t="n">
        <v>0</v>
      </c>
      <c r="P12615" t="n">
        <v>0</v>
      </c>
      <c r="Q12615" t="n">
        <v>0</v>
      </c>
      <c r="R12615" s="2" t="inlineStr"/>
    </row>
    <row r="12616" ht="15" customHeight="1">
      <c r="A12616" t="inlineStr">
        <is>
          <t>A 49131-2024</t>
        </is>
      </c>
      <c r="B12616" s="1" t="n">
        <v>45594.68315972222</v>
      </c>
      <c r="C12616" s="1" t="n">
        <v>45952</v>
      </c>
      <c r="D12616" t="inlineStr">
        <is>
          <t>VÄSTRA GÖTALANDS LÄN</t>
        </is>
      </c>
      <c r="E12616" t="inlineStr">
        <is>
          <t>VÄNERSBORG</t>
        </is>
      </c>
      <c r="G12616" t="n">
        <v>0.5</v>
      </c>
      <c r="H12616" t="n">
        <v>0</v>
      </c>
      <c r="I12616" t="n">
        <v>0</v>
      </c>
      <c r="J12616" t="n">
        <v>0</v>
      </c>
      <c r="K12616" t="n">
        <v>0</v>
      </c>
      <c r="L12616" t="n">
        <v>0</v>
      </c>
      <c r="M12616" t="n">
        <v>0</v>
      </c>
      <c r="N12616" t="n">
        <v>0</v>
      </c>
      <c r="O12616" t="n">
        <v>0</v>
      </c>
      <c r="P12616" t="n">
        <v>0</v>
      </c>
      <c r="Q12616" t="n">
        <v>0</v>
      </c>
      <c r="R12616" s="2" t="inlineStr"/>
    </row>
    <row r="12617" ht="15" customHeight="1">
      <c r="A12617" t="inlineStr">
        <is>
          <t>A 49155-2024</t>
        </is>
      </c>
      <c r="B12617" s="1" t="n">
        <v>45594.82305555556</v>
      </c>
      <c r="C12617" s="1" t="n">
        <v>45952</v>
      </c>
      <c r="D12617" t="inlineStr">
        <is>
          <t>VÄSTRA GÖTALANDS LÄN</t>
        </is>
      </c>
      <c r="E12617" t="inlineStr">
        <is>
          <t>TIDAHOLM</t>
        </is>
      </c>
      <c r="G12617" t="n">
        <v>8.800000000000001</v>
      </c>
      <c r="H12617" t="n">
        <v>0</v>
      </c>
      <c r="I12617" t="n">
        <v>0</v>
      </c>
      <c r="J12617" t="n">
        <v>0</v>
      </c>
      <c r="K12617" t="n">
        <v>0</v>
      </c>
      <c r="L12617" t="n">
        <v>0</v>
      </c>
      <c r="M12617" t="n">
        <v>0</v>
      </c>
      <c r="N12617" t="n">
        <v>0</v>
      </c>
      <c r="O12617" t="n">
        <v>0</v>
      </c>
      <c r="P12617" t="n">
        <v>0</v>
      </c>
      <c r="Q12617" t="n">
        <v>0</v>
      </c>
      <c r="R12617" s="2" t="inlineStr"/>
    </row>
    <row r="12618" ht="15" customHeight="1">
      <c r="A12618" t="inlineStr">
        <is>
          <t>A 3932-2022</t>
        </is>
      </c>
      <c r="B12618" s="1" t="n">
        <v>44587.54376157407</v>
      </c>
      <c r="C12618" s="1" t="n">
        <v>45952</v>
      </c>
      <c r="D12618" t="inlineStr">
        <is>
          <t>VÄSTRA GÖTALANDS LÄN</t>
        </is>
      </c>
      <c r="E12618" t="inlineStr">
        <is>
          <t>GÖTENE</t>
        </is>
      </c>
      <c r="G12618" t="n">
        <v>1.7</v>
      </c>
      <c r="H12618" t="n">
        <v>0</v>
      </c>
      <c r="I12618" t="n">
        <v>0</v>
      </c>
      <c r="J12618" t="n">
        <v>0</v>
      </c>
      <c r="K12618" t="n">
        <v>0</v>
      </c>
      <c r="L12618" t="n">
        <v>0</v>
      </c>
      <c r="M12618" t="n">
        <v>0</v>
      </c>
      <c r="N12618" t="n">
        <v>0</v>
      </c>
      <c r="O12618" t="n">
        <v>0</v>
      </c>
      <c r="P12618" t="n">
        <v>0</v>
      </c>
      <c r="Q12618" t="n">
        <v>0</v>
      </c>
      <c r="R12618" s="2" t="inlineStr"/>
    </row>
    <row r="12619" ht="15" customHeight="1">
      <c r="A12619" t="inlineStr">
        <is>
          <t>A 26277-2025</t>
        </is>
      </c>
      <c r="B12619" s="1" t="n">
        <v>45805.60436342593</v>
      </c>
      <c r="C12619" s="1" t="n">
        <v>45952</v>
      </c>
      <c r="D12619" t="inlineStr">
        <is>
          <t>VÄSTRA GÖTALANDS LÄN</t>
        </is>
      </c>
      <c r="E12619" t="inlineStr">
        <is>
          <t>STRÖMSTAD</t>
        </is>
      </c>
      <c r="G12619" t="n">
        <v>1.7</v>
      </c>
      <c r="H12619" t="n">
        <v>0</v>
      </c>
      <c r="I12619" t="n">
        <v>0</v>
      </c>
      <c r="J12619" t="n">
        <v>0</v>
      </c>
      <c r="K12619" t="n">
        <v>0</v>
      </c>
      <c r="L12619" t="n">
        <v>0</v>
      </c>
      <c r="M12619" t="n">
        <v>0</v>
      </c>
      <c r="N12619" t="n">
        <v>0</v>
      </c>
      <c r="O12619" t="n">
        <v>0</v>
      </c>
      <c r="P12619" t="n">
        <v>0</v>
      </c>
      <c r="Q12619" t="n">
        <v>0</v>
      </c>
      <c r="R12619" s="2" t="inlineStr"/>
    </row>
    <row r="12620" ht="15" customHeight="1">
      <c r="A12620" t="inlineStr">
        <is>
          <t>A 50178-2024</t>
        </is>
      </c>
      <c r="B12620" s="1" t="n">
        <v>45600</v>
      </c>
      <c r="C12620" s="1" t="n">
        <v>45952</v>
      </c>
      <c r="D12620" t="inlineStr">
        <is>
          <t>VÄSTRA GÖTALANDS LÄN</t>
        </is>
      </c>
      <c r="E12620" t="inlineStr">
        <is>
          <t>FALKÖPING</t>
        </is>
      </c>
      <c r="G12620" t="n">
        <v>2</v>
      </c>
      <c r="H12620" t="n">
        <v>0</v>
      </c>
      <c r="I12620" t="n">
        <v>0</v>
      </c>
      <c r="J12620" t="n">
        <v>0</v>
      </c>
      <c r="K12620" t="n">
        <v>0</v>
      </c>
      <c r="L12620" t="n">
        <v>0</v>
      </c>
      <c r="M12620" t="n">
        <v>0</v>
      </c>
      <c r="N12620" t="n">
        <v>0</v>
      </c>
      <c r="O12620" t="n">
        <v>0</v>
      </c>
      <c r="P12620" t="n">
        <v>0</v>
      </c>
      <c r="Q12620" t="n">
        <v>0</v>
      </c>
      <c r="R12620" s="2" t="inlineStr"/>
    </row>
    <row r="12621" ht="15" customHeight="1">
      <c r="A12621" t="inlineStr">
        <is>
          <t>A 34026-2025</t>
        </is>
      </c>
      <c r="B12621" s="1" t="n">
        <v>45845.35856481481</v>
      </c>
      <c r="C12621" s="1" t="n">
        <v>45952</v>
      </c>
      <c r="D12621" t="inlineStr">
        <is>
          <t>VÄSTRA GÖTALANDS LÄN</t>
        </is>
      </c>
      <c r="E12621" t="inlineStr">
        <is>
          <t>DALS-ED</t>
        </is>
      </c>
      <c r="G12621" t="n">
        <v>3.1</v>
      </c>
      <c r="H12621" t="n">
        <v>0</v>
      </c>
      <c r="I12621" t="n">
        <v>0</v>
      </c>
      <c r="J12621" t="n">
        <v>0</v>
      </c>
      <c r="K12621" t="n">
        <v>0</v>
      </c>
      <c r="L12621" t="n">
        <v>0</v>
      </c>
      <c r="M12621" t="n">
        <v>0</v>
      </c>
      <c r="N12621" t="n">
        <v>0</v>
      </c>
      <c r="O12621" t="n">
        <v>0</v>
      </c>
      <c r="P12621" t="n">
        <v>0</v>
      </c>
      <c r="Q12621" t="n">
        <v>0</v>
      </c>
      <c r="R12621" s="2" t="inlineStr"/>
    </row>
    <row r="12622" ht="15" customHeight="1">
      <c r="A12622" t="inlineStr">
        <is>
          <t>A 13010-2025</t>
        </is>
      </c>
      <c r="B12622" s="1" t="n">
        <v>45734.52155092593</v>
      </c>
      <c r="C12622" s="1" t="n">
        <v>45952</v>
      </c>
      <c r="D12622" t="inlineStr">
        <is>
          <t>VÄSTRA GÖTALANDS LÄN</t>
        </is>
      </c>
      <c r="E12622" t="inlineStr">
        <is>
          <t>KARLSBORG</t>
        </is>
      </c>
      <c r="G12622" t="n">
        <v>1.7</v>
      </c>
      <c r="H12622" t="n">
        <v>0</v>
      </c>
      <c r="I12622" t="n">
        <v>0</v>
      </c>
      <c r="J12622" t="n">
        <v>0</v>
      </c>
      <c r="K12622" t="n">
        <v>0</v>
      </c>
      <c r="L12622" t="n">
        <v>0</v>
      </c>
      <c r="M12622" t="n">
        <v>0</v>
      </c>
      <c r="N12622" t="n">
        <v>0</v>
      </c>
      <c r="O12622" t="n">
        <v>0</v>
      </c>
      <c r="P12622" t="n">
        <v>0</v>
      </c>
      <c r="Q12622" t="n">
        <v>0</v>
      </c>
      <c r="R12622" s="2" t="inlineStr"/>
    </row>
    <row r="12623" ht="15" customHeight="1">
      <c r="A12623" t="inlineStr">
        <is>
          <t>A 1094-2025</t>
        </is>
      </c>
      <c r="B12623" s="1" t="n">
        <v>45665</v>
      </c>
      <c r="C12623" s="1" t="n">
        <v>45952</v>
      </c>
      <c r="D12623" t="inlineStr">
        <is>
          <t>VÄSTRA GÖTALANDS LÄN</t>
        </is>
      </c>
      <c r="E12623" t="inlineStr">
        <is>
          <t>HJO</t>
        </is>
      </c>
      <c r="G12623" t="n">
        <v>0.8</v>
      </c>
      <c r="H12623" t="n">
        <v>0</v>
      </c>
      <c r="I12623" t="n">
        <v>0</v>
      </c>
      <c r="J12623" t="n">
        <v>0</v>
      </c>
      <c r="K12623" t="n">
        <v>0</v>
      </c>
      <c r="L12623" t="n">
        <v>0</v>
      </c>
      <c r="M12623" t="n">
        <v>0</v>
      </c>
      <c r="N12623" t="n">
        <v>0</v>
      </c>
      <c r="O12623" t="n">
        <v>0</v>
      </c>
      <c r="P12623" t="n">
        <v>0</v>
      </c>
      <c r="Q12623" t="n">
        <v>0</v>
      </c>
      <c r="R12623" s="2" t="inlineStr"/>
    </row>
    <row r="12624" ht="15" customHeight="1">
      <c r="A12624" t="inlineStr">
        <is>
          <t>A 34081-2025</t>
        </is>
      </c>
      <c r="B12624" s="1" t="n">
        <v>45845.45954861111</v>
      </c>
      <c r="C12624" s="1" t="n">
        <v>45952</v>
      </c>
      <c r="D12624" t="inlineStr">
        <is>
          <t>VÄSTRA GÖTALANDS LÄN</t>
        </is>
      </c>
      <c r="E12624" t="inlineStr">
        <is>
          <t>MARK</t>
        </is>
      </c>
      <c r="G12624" t="n">
        <v>2.4</v>
      </c>
      <c r="H12624" t="n">
        <v>0</v>
      </c>
      <c r="I12624" t="n">
        <v>0</v>
      </c>
      <c r="J12624" t="n">
        <v>0</v>
      </c>
      <c r="K12624" t="n">
        <v>0</v>
      </c>
      <c r="L12624" t="n">
        <v>0</v>
      </c>
      <c r="M12624" t="n">
        <v>0</v>
      </c>
      <c r="N12624" t="n">
        <v>0</v>
      </c>
      <c r="O12624" t="n">
        <v>0</v>
      </c>
      <c r="P12624" t="n">
        <v>0</v>
      </c>
      <c r="Q12624" t="n">
        <v>0</v>
      </c>
      <c r="R12624" s="2" t="inlineStr"/>
    </row>
    <row r="12625" ht="15" customHeight="1">
      <c r="A12625" t="inlineStr">
        <is>
          <t>A 33814-2025</t>
        </is>
      </c>
      <c r="B12625" s="1" t="n">
        <v>45842.45538194444</v>
      </c>
      <c r="C12625" s="1" t="n">
        <v>45952</v>
      </c>
      <c r="D12625" t="inlineStr">
        <is>
          <t>VÄSTRA GÖTALANDS LÄN</t>
        </is>
      </c>
      <c r="E12625" t="inlineStr">
        <is>
          <t>BORÅS</t>
        </is>
      </c>
      <c r="G12625" t="n">
        <v>0.8</v>
      </c>
      <c r="H12625" t="n">
        <v>0</v>
      </c>
      <c r="I12625" t="n">
        <v>0</v>
      </c>
      <c r="J12625" t="n">
        <v>0</v>
      </c>
      <c r="K12625" t="n">
        <v>0</v>
      </c>
      <c r="L12625" t="n">
        <v>0</v>
      </c>
      <c r="M12625" t="n">
        <v>0</v>
      </c>
      <c r="N12625" t="n">
        <v>0</v>
      </c>
      <c r="O12625" t="n">
        <v>0</v>
      </c>
      <c r="P12625" t="n">
        <v>0</v>
      </c>
      <c r="Q12625" t="n">
        <v>0</v>
      </c>
      <c r="R12625" s="2" t="inlineStr"/>
    </row>
    <row r="12626" ht="15" customHeight="1">
      <c r="A12626" t="inlineStr">
        <is>
          <t>A 33837-2025</t>
        </is>
      </c>
      <c r="B12626" s="1" t="n">
        <v>45842.47792824074</v>
      </c>
      <c r="C12626" s="1" t="n">
        <v>45952</v>
      </c>
      <c r="D12626" t="inlineStr">
        <is>
          <t>VÄSTRA GÖTALANDS LÄN</t>
        </is>
      </c>
      <c r="E12626" t="inlineStr">
        <is>
          <t>BORÅS</t>
        </is>
      </c>
      <c r="G12626" t="n">
        <v>0.8</v>
      </c>
      <c r="H12626" t="n">
        <v>0</v>
      </c>
      <c r="I12626" t="n">
        <v>0</v>
      </c>
      <c r="J12626" t="n">
        <v>0</v>
      </c>
      <c r="K12626" t="n">
        <v>0</v>
      </c>
      <c r="L12626" t="n">
        <v>0</v>
      </c>
      <c r="M12626" t="n">
        <v>0</v>
      </c>
      <c r="N12626" t="n">
        <v>0</v>
      </c>
      <c r="O12626" t="n">
        <v>0</v>
      </c>
      <c r="P12626" t="n">
        <v>0</v>
      </c>
      <c r="Q12626" t="n">
        <v>0</v>
      </c>
      <c r="R12626" s="2" t="inlineStr"/>
    </row>
    <row r="12627" ht="15" customHeight="1">
      <c r="A12627" t="inlineStr">
        <is>
          <t>A 30069-2023</t>
        </is>
      </c>
      <c r="B12627" s="1" t="n">
        <v>45110.42650462963</v>
      </c>
      <c r="C12627" s="1" t="n">
        <v>45952</v>
      </c>
      <c r="D12627" t="inlineStr">
        <is>
          <t>VÄSTRA GÖTALANDS LÄN</t>
        </is>
      </c>
      <c r="E12627" t="inlineStr">
        <is>
          <t>SKARA</t>
        </is>
      </c>
      <c r="G12627" t="n">
        <v>1.3</v>
      </c>
      <c r="H12627" t="n">
        <v>0</v>
      </c>
      <c r="I12627" t="n">
        <v>0</v>
      </c>
      <c r="J12627" t="n">
        <v>0</v>
      </c>
      <c r="K12627" t="n">
        <v>0</v>
      </c>
      <c r="L12627" t="n">
        <v>0</v>
      </c>
      <c r="M12627" t="n">
        <v>0</v>
      </c>
      <c r="N12627" t="n">
        <v>0</v>
      </c>
      <c r="O12627" t="n">
        <v>0</v>
      </c>
      <c r="P12627" t="n">
        <v>0</v>
      </c>
      <c r="Q12627" t="n">
        <v>0</v>
      </c>
      <c r="R12627" s="2" t="inlineStr"/>
    </row>
    <row r="12628" ht="15" customHeight="1">
      <c r="A12628" t="inlineStr">
        <is>
          <t>A 33861-2025</t>
        </is>
      </c>
      <c r="B12628" s="1" t="n">
        <v>45842.52964120371</v>
      </c>
      <c r="C12628" s="1" t="n">
        <v>45952</v>
      </c>
      <c r="D12628" t="inlineStr">
        <is>
          <t>VÄSTRA GÖTALANDS LÄN</t>
        </is>
      </c>
      <c r="E12628" t="inlineStr">
        <is>
          <t>SKÖVDE</t>
        </is>
      </c>
      <c r="G12628" t="n">
        <v>3</v>
      </c>
      <c r="H12628" t="n">
        <v>0</v>
      </c>
      <c r="I12628" t="n">
        <v>0</v>
      </c>
      <c r="J12628" t="n">
        <v>0</v>
      </c>
      <c r="K12628" t="n">
        <v>0</v>
      </c>
      <c r="L12628" t="n">
        <v>0</v>
      </c>
      <c r="M12628" t="n">
        <v>0</v>
      </c>
      <c r="N12628" t="n">
        <v>0</v>
      </c>
      <c r="O12628" t="n">
        <v>0</v>
      </c>
      <c r="P12628" t="n">
        <v>0</v>
      </c>
      <c r="Q12628" t="n">
        <v>0</v>
      </c>
      <c r="R12628" s="2" t="inlineStr"/>
    </row>
    <row r="12629" ht="15" customHeight="1">
      <c r="A12629" t="inlineStr">
        <is>
          <t>A 33869-2025</t>
        </is>
      </c>
      <c r="B12629" s="1" t="n">
        <v>45842.54001157408</v>
      </c>
      <c r="C12629" s="1" t="n">
        <v>45952</v>
      </c>
      <c r="D12629" t="inlineStr">
        <is>
          <t>VÄSTRA GÖTALANDS LÄN</t>
        </is>
      </c>
      <c r="E12629" t="inlineStr">
        <is>
          <t>TANUM</t>
        </is>
      </c>
      <c r="G12629" t="n">
        <v>1</v>
      </c>
      <c r="H12629" t="n">
        <v>0</v>
      </c>
      <c r="I12629" t="n">
        <v>0</v>
      </c>
      <c r="J12629" t="n">
        <v>0</v>
      </c>
      <c r="K12629" t="n">
        <v>0</v>
      </c>
      <c r="L12629" t="n">
        <v>0</v>
      </c>
      <c r="M12629" t="n">
        <v>0</v>
      </c>
      <c r="N12629" t="n">
        <v>0</v>
      </c>
      <c r="O12629" t="n">
        <v>0</v>
      </c>
      <c r="P12629" t="n">
        <v>0</v>
      </c>
      <c r="Q12629" t="n">
        <v>0</v>
      </c>
      <c r="R12629" s="2" t="inlineStr"/>
    </row>
    <row r="12630" ht="15" customHeight="1">
      <c r="A12630" t="inlineStr">
        <is>
          <t>A 14945-2025</t>
        </is>
      </c>
      <c r="B12630" s="1" t="n">
        <v>45743.57135416667</v>
      </c>
      <c r="C12630" s="1" t="n">
        <v>45952</v>
      </c>
      <c r="D12630" t="inlineStr">
        <is>
          <t>VÄSTRA GÖTALANDS LÄN</t>
        </is>
      </c>
      <c r="E12630" t="inlineStr">
        <is>
          <t>ULRICEHAMN</t>
        </is>
      </c>
      <c r="G12630" t="n">
        <v>0.8</v>
      </c>
      <c r="H12630" t="n">
        <v>0</v>
      </c>
      <c r="I12630" t="n">
        <v>0</v>
      </c>
      <c r="J12630" t="n">
        <v>0</v>
      </c>
      <c r="K12630" t="n">
        <v>0</v>
      </c>
      <c r="L12630" t="n">
        <v>0</v>
      </c>
      <c r="M12630" t="n">
        <v>0</v>
      </c>
      <c r="N12630" t="n">
        <v>0</v>
      </c>
      <c r="O12630" t="n">
        <v>0</v>
      </c>
      <c r="P12630" t="n">
        <v>0</v>
      </c>
      <c r="Q12630" t="n">
        <v>0</v>
      </c>
      <c r="R12630" s="2" t="inlineStr"/>
    </row>
    <row r="12631" ht="15" customHeight="1">
      <c r="A12631" t="inlineStr">
        <is>
          <t>A 30079-2023</t>
        </is>
      </c>
      <c r="B12631" s="1" t="n">
        <v>45110.43378472222</v>
      </c>
      <c r="C12631" s="1" t="n">
        <v>45952</v>
      </c>
      <c r="D12631" t="inlineStr">
        <is>
          <t>VÄSTRA GÖTALANDS LÄN</t>
        </is>
      </c>
      <c r="E12631" t="inlineStr">
        <is>
          <t>SKARA</t>
        </is>
      </c>
      <c r="G12631" t="n">
        <v>0.7</v>
      </c>
      <c r="H12631" t="n">
        <v>0</v>
      </c>
      <c r="I12631" t="n">
        <v>0</v>
      </c>
      <c r="J12631" t="n">
        <v>0</v>
      </c>
      <c r="K12631" t="n">
        <v>0</v>
      </c>
      <c r="L12631" t="n">
        <v>0</v>
      </c>
      <c r="M12631" t="n">
        <v>0</v>
      </c>
      <c r="N12631" t="n">
        <v>0</v>
      </c>
      <c r="O12631" t="n">
        <v>0</v>
      </c>
      <c r="P12631" t="n">
        <v>0</v>
      </c>
      <c r="Q12631" t="n">
        <v>0</v>
      </c>
      <c r="R12631" s="2" t="inlineStr"/>
    </row>
    <row r="12632" ht="15" customHeight="1">
      <c r="A12632" t="inlineStr">
        <is>
          <t>A 2664-2025</t>
        </is>
      </c>
      <c r="B12632" s="1" t="n">
        <v>45676.88591435185</v>
      </c>
      <c r="C12632" s="1" t="n">
        <v>45952</v>
      </c>
      <c r="D12632" t="inlineStr">
        <is>
          <t>VÄSTRA GÖTALANDS LÄN</t>
        </is>
      </c>
      <c r="E12632" t="inlineStr">
        <is>
          <t>ULRICEHAMN</t>
        </is>
      </c>
      <c r="G12632" t="n">
        <v>0.9</v>
      </c>
      <c r="H12632" t="n">
        <v>0</v>
      </c>
      <c r="I12632" t="n">
        <v>0</v>
      </c>
      <c r="J12632" t="n">
        <v>0</v>
      </c>
      <c r="K12632" t="n">
        <v>0</v>
      </c>
      <c r="L12632" t="n">
        <v>0</v>
      </c>
      <c r="M12632" t="n">
        <v>0</v>
      </c>
      <c r="N12632" t="n">
        <v>0</v>
      </c>
      <c r="O12632" t="n">
        <v>0</v>
      </c>
      <c r="P12632" t="n">
        <v>0</v>
      </c>
      <c r="Q12632" t="n">
        <v>0</v>
      </c>
      <c r="R12632" s="2" t="inlineStr"/>
    </row>
    <row r="12633" ht="15" customHeight="1">
      <c r="A12633" t="inlineStr">
        <is>
          <t>A 50891-2021</t>
        </is>
      </c>
      <c r="B12633" s="1" t="n">
        <v>44460</v>
      </c>
      <c r="C12633" s="1" t="n">
        <v>45952</v>
      </c>
      <c r="D12633" t="inlineStr">
        <is>
          <t>VÄSTRA GÖTALANDS LÄN</t>
        </is>
      </c>
      <c r="E12633" t="inlineStr">
        <is>
          <t>TANUM</t>
        </is>
      </c>
      <c r="G12633" t="n">
        <v>3.5</v>
      </c>
      <c r="H12633" t="n">
        <v>0</v>
      </c>
      <c r="I12633" t="n">
        <v>0</v>
      </c>
      <c r="J12633" t="n">
        <v>0</v>
      </c>
      <c r="K12633" t="n">
        <v>0</v>
      </c>
      <c r="L12633" t="n">
        <v>0</v>
      </c>
      <c r="M12633" t="n">
        <v>0</v>
      </c>
      <c r="N12633" t="n">
        <v>0</v>
      </c>
      <c r="O12633" t="n">
        <v>0</v>
      </c>
      <c r="P12633" t="n">
        <v>0</v>
      </c>
      <c r="Q12633" t="n">
        <v>0</v>
      </c>
      <c r="R12633" s="2" t="inlineStr"/>
    </row>
    <row r="12634" ht="15" customHeight="1">
      <c r="A12634" t="inlineStr">
        <is>
          <t>A 50932-2021</t>
        </is>
      </c>
      <c r="B12634" s="1" t="n">
        <v>44459</v>
      </c>
      <c r="C12634" s="1" t="n">
        <v>45952</v>
      </c>
      <c r="D12634" t="inlineStr">
        <is>
          <t>VÄSTRA GÖTALANDS LÄN</t>
        </is>
      </c>
      <c r="E12634" t="inlineStr">
        <is>
          <t>HERRLJUNGA</t>
        </is>
      </c>
      <c r="G12634" t="n">
        <v>1.5</v>
      </c>
      <c r="H12634" t="n">
        <v>0</v>
      </c>
      <c r="I12634" t="n">
        <v>0</v>
      </c>
      <c r="J12634" t="n">
        <v>0</v>
      </c>
      <c r="K12634" t="n">
        <v>0</v>
      </c>
      <c r="L12634" t="n">
        <v>0</v>
      </c>
      <c r="M12634" t="n">
        <v>0</v>
      </c>
      <c r="N12634" t="n">
        <v>0</v>
      </c>
      <c r="O12634" t="n">
        <v>0</v>
      </c>
      <c r="P12634" t="n">
        <v>0</v>
      </c>
      <c r="Q12634" t="n">
        <v>0</v>
      </c>
      <c r="R12634" s="2" t="inlineStr"/>
    </row>
    <row r="12635" ht="15" customHeight="1">
      <c r="A12635" t="inlineStr">
        <is>
          <t>A 455-2024</t>
        </is>
      </c>
      <c r="B12635" s="1" t="n">
        <v>45296</v>
      </c>
      <c r="C12635" s="1" t="n">
        <v>45952</v>
      </c>
      <c r="D12635" t="inlineStr">
        <is>
          <t>VÄSTRA GÖTALANDS LÄN</t>
        </is>
      </c>
      <c r="E12635" t="inlineStr">
        <is>
          <t>GULLSPÅNG</t>
        </is>
      </c>
      <c r="G12635" t="n">
        <v>0.8</v>
      </c>
      <c r="H12635" t="n">
        <v>0</v>
      </c>
      <c r="I12635" t="n">
        <v>0</v>
      </c>
      <c r="J12635" t="n">
        <v>0</v>
      </c>
      <c r="K12635" t="n">
        <v>0</v>
      </c>
      <c r="L12635" t="n">
        <v>0</v>
      </c>
      <c r="M12635" t="n">
        <v>0</v>
      </c>
      <c r="N12635" t="n">
        <v>0</v>
      </c>
      <c r="O12635" t="n">
        <v>0</v>
      </c>
      <c r="P12635" t="n">
        <v>0</v>
      </c>
      <c r="Q12635" t="n">
        <v>0</v>
      </c>
      <c r="R12635" s="2" t="inlineStr"/>
    </row>
    <row r="12636" ht="15" customHeight="1">
      <c r="A12636" t="inlineStr">
        <is>
          <t>A 13061-2024</t>
        </is>
      </c>
      <c r="B12636" s="1" t="n">
        <v>45385.62458333333</v>
      </c>
      <c r="C12636" s="1" t="n">
        <v>45952</v>
      </c>
      <c r="D12636" t="inlineStr">
        <is>
          <t>VÄSTRA GÖTALANDS LÄN</t>
        </is>
      </c>
      <c r="E12636" t="inlineStr">
        <is>
          <t>ULRICEHAMN</t>
        </is>
      </c>
      <c r="G12636" t="n">
        <v>1.1</v>
      </c>
      <c r="H12636" t="n">
        <v>0</v>
      </c>
      <c r="I12636" t="n">
        <v>0</v>
      </c>
      <c r="J12636" t="n">
        <v>0</v>
      </c>
      <c r="K12636" t="n">
        <v>0</v>
      </c>
      <c r="L12636" t="n">
        <v>0</v>
      </c>
      <c r="M12636" t="n">
        <v>0</v>
      </c>
      <c r="N12636" t="n">
        <v>0</v>
      </c>
      <c r="O12636" t="n">
        <v>0</v>
      </c>
      <c r="P12636" t="n">
        <v>0</v>
      </c>
      <c r="Q12636" t="n">
        <v>0</v>
      </c>
      <c r="R12636" s="2" t="inlineStr"/>
    </row>
    <row r="12637" ht="15" customHeight="1">
      <c r="A12637" t="inlineStr">
        <is>
          <t>A 37917-2023</t>
        </is>
      </c>
      <c r="B12637" s="1" t="n">
        <v>45160.48486111111</v>
      </c>
      <c r="C12637" s="1" t="n">
        <v>45952</v>
      </c>
      <c r="D12637" t="inlineStr">
        <is>
          <t>VÄSTRA GÖTALANDS LÄN</t>
        </is>
      </c>
      <c r="E12637" t="inlineStr">
        <is>
          <t>VARA</t>
        </is>
      </c>
      <c r="G12637" t="n">
        <v>5.3</v>
      </c>
      <c r="H12637" t="n">
        <v>0</v>
      </c>
      <c r="I12637" t="n">
        <v>0</v>
      </c>
      <c r="J12637" t="n">
        <v>0</v>
      </c>
      <c r="K12637" t="n">
        <v>0</v>
      </c>
      <c r="L12637" t="n">
        <v>0</v>
      </c>
      <c r="M12637" t="n">
        <v>0</v>
      </c>
      <c r="N12637" t="n">
        <v>0</v>
      </c>
      <c r="O12637" t="n">
        <v>0</v>
      </c>
      <c r="P12637" t="n">
        <v>0</v>
      </c>
      <c r="Q12637" t="n">
        <v>0</v>
      </c>
      <c r="R12637" s="2" t="inlineStr"/>
    </row>
    <row r="12638" ht="15" customHeight="1">
      <c r="A12638" t="inlineStr">
        <is>
          <t>A 37939-2023</t>
        </is>
      </c>
      <c r="B12638" s="1" t="n">
        <v>45160.54199074074</v>
      </c>
      <c r="C12638" s="1" t="n">
        <v>45952</v>
      </c>
      <c r="D12638" t="inlineStr">
        <is>
          <t>VÄSTRA GÖTALANDS LÄN</t>
        </is>
      </c>
      <c r="E12638" t="inlineStr">
        <is>
          <t>SVENLJUNGA</t>
        </is>
      </c>
      <c r="G12638" t="n">
        <v>0.6</v>
      </c>
      <c r="H12638" t="n">
        <v>0</v>
      </c>
      <c r="I12638" t="n">
        <v>0</v>
      </c>
      <c r="J12638" t="n">
        <v>0</v>
      </c>
      <c r="K12638" t="n">
        <v>0</v>
      </c>
      <c r="L12638" t="n">
        <v>0</v>
      </c>
      <c r="M12638" t="n">
        <v>0</v>
      </c>
      <c r="N12638" t="n">
        <v>0</v>
      </c>
      <c r="O12638" t="n">
        <v>0</v>
      </c>
      <c r="P12638" t="n">
        <v>0</v>
      </c>
      <c r="Q12638" t="n">
        <v>0</v>
      </c>
      <c r="R12638" s="2" t="inlineStr"/>
    </row>
    <row r="12639" ht="15" customHeight="1">
      <c r="A12639" t="inlineStr">
        <is>
          <t>A 13131-2024</t>
        </is>
      </c>
      <c r="B12639" s="1" t="n">
        <v>45386</v>
      </c>
      <c r="C12639" s="1" t="n">
        <v>45952</v>
      </c>
      <c r="D12639" t="inlineStr">
        <is>
          <t>VÄSTRA GÖTALANDS LÄN</t>
        </is>
      </c>
      <c r="E12639" t="inlineStr">
        <is>
          <t>TROLLHÄTTAN</t>
        </is>
      </c>
      <c r="F12639" t="inlineStr">
        <is>
          <t>Kommuner</t>
        </is>
      </c>
      <c r="G12639" t="n">
        <v>5.9</v>
      </c>
      <c r="H12639" t="n">
        <v>0</v>
      </c>
      <c r="I12639" t="n">
        <v>0</v>
      </c>
      <c r="J12639" t="n">
        <v>0</v>
      </c>
      <c r="K12639" t="n">
        <v>0</v>
      </c>
      <c r="L12639" t="n">
        <v>0</v>
      </c>
      <c r="M12639" t="n">
        <v>0</v>
      </c>
      <c r="N12639" t="n">
        <v>0</v>
      </c>
      <c r="O12639" t="n">
        <v>0</v>
      </c>
      <c r="P12639" t="n">
        <v>0</v>
      </c>
      <c r="Q12639" t="n">
        <v>0</v>
      </c>
      <c r="R12639" s="2" t="inlineStr"/>
    </row>
    <row r="12640" ht="15" customHeight="1">
      <c r="A12640" t="inlineStr">
        <is>
          <t>A 20110-2025</t>
        </is>
      </c>
      <c r="B12640" s="1" t="n">
        <v>45772.47270833333</v>
      </c>
      <c r="C12640" s="1" t="n">
        <v>45952</v>
      </c>
      <c r="D12640" t="inlineStr">
        <is>
          <t>VÄSTRA GÖTALANDS LÄN</t>
        </is>
      </c>
      <c r="E12640" t="inlineStr">
        <is>
          <t>BENGTSFORS</t>
        </is>
      </c>
      <c r="G12640" t="n">
        <v>3</v>
      </c>
      <c r="H12640" t="n">
        <v>0</v>
      </c>
      <c r="I12640" t="n">
        <v>0</v>
      </c>
      <c r="J12640" t="n">
        <v>0</v>
      </c>
      <c r="K12640" t="n">
        <v>0</v>
      </c>
      <c r="L12640" t="n">
        <v>0</v>
      </c>
      <c r="M12640" t="n">
        <v>0</v>
      </c>
      <c r="N12640" t="n">
        <v>0</v>
      </c>
      <c r="O12640" t="n">
        <v>0</v>
      </c>
      <c r="P12640" t="n">
        <v>0</v>
      </c>
      <c r="Q12640" t="n">
        <v>0</v>
      </c>
      <c r="R12640" s="2" t="inlineStr"/>
    </row>
    <row r="12641" ht="15" customHeight="1">
      <c r="A12641" t="inlineStr">
        <is>
          <t>A 20130-2025</t>
        </is>
      </c>
      <c r="B12641" s="1" t="n">
        <v>45772.50458333334</v>
      </c>
      <c r="C12641" s="1" t="n">
        <v>45952</v>
      </c>
      <c r="D12641" t="inlineStr">
        <is>
          <t>VÄSTRA GÖTALANDS LÄN</t>
        </is>
      </c>
      <c r="E12641" t="inlineStr">
        <is>
          <t>TANUM</t>
        </is>
      </c>
      <c r="G12641" t="n">
        <v>4.5</v>
      </c>
      <c r="H12641" t="n">
        <v>0</v>
      </c>
      <c r="I12641" t="n">
        <v>0</v>
      </c>
      <c r="J12641" t="n">
        <v>0</v>
      </c>
      <c r="K12641" t="n">
        <v>0</v>
      </c>
      <c r="L12641" t="n">
        <v>0</v>
      </c>
      <c r="M12641" t="n">
        <v>0</v>
      </c>
      <c r="N12641" t="n">
        <v>0</v>
      </c>
      <c r="O12641" t="n">
        <v>0</v>
      </c>
      <c r="P12641" t="n">
        <v>0</v>
      </c>
      <c r="Q12641" t="n">
        <v>0</v>
      </c>
      <c r="R12641" s="2" t="inlineStr"/>
    </row>
    <row r="12642" ht="15" customHeight="1">
      <c r="A12642" t="inlineStr">
        <is>
          <t>A 68680-2021</t>
        </is>
      </c>
      <c r="B12642" s="1" t="n">
        <v>44529</v>
      </c>
      <c r="C12642" s="1" t="n">
        <v>45952</v>
      </c>
      <c r="D12642" t="inlineStr">
        <is>
          <t>VÄSTRA GÖTALANDS LÄN</t>
        </is>
      </c>
      <c r="E12642" t="inlineStr">
        <is>
          <t>GÖTENE</t>
        </is>
      </c>
      <c r="G12642" t="n">
        <v>4.9</v>
      </c>
      <c r="H12642" t="n">
        <v>0</v>
      </c>
      <c r="I12642" t="n">
        <v>0</v>
      </c>
      <c r="J12642" t="n">
        <v>0</v>
      </c>
      <c r="K12642" t="n">
        <v>0</v>
      </c>
      <c r="L12642" t="n">
        <v>0</v>
      </c>
      <c r="M12642" t="n">
        <v>0</v>
      </c>
      <c r="N12642" t="n">
        <v>0</v>
      </c>
      <c r="O12642" t="n">
        <v>0</v>
      </c>
      <c r="P12642" t="n">
        <v>0</v>
      </c>
      <c r="Q12642" t="n">
        <v>0</v>
      </c>
      <c r="R12642" s="2" t="inlineStr"/>
    </row>
    <row r="12643" ht="15" customHeight="1">
      <c r="A12643" t="inlineStr">
        <is>
          <t>A 16480-2023</t>
        </is>
      </c>
      <c r="B12643" s="1" t="n">
        <v>45026</v>
      </c>
      <c r="C12643" s="1" t="n">
        <v>45952</v>
      </c>
      <c r="D12643" t="inlineStr">
        <is>
          <t>VÄSTRA GÖTALANDS LÄN</t>
        </is>
      </c>
      <c r="E12643" t="inlineStr">
        <is>
          <t>TANUM</t>
        </is>
      </c>
      <c r="G12643" t="n">
        <v>1</v>
      </c>
      <c r="H12643" t="n">
        <v>0</v>
      </c>
      <c r="I12643" t="n">
        <v>0</v>
      </c>
      <c r="J12643" t="n">
        <v>0</v>
      </c>
      <c r="K12643" t="n">
        <v>0</v>
      </c>
      <c r="L12643" t="n">
        <v>0</v>
      </c>
      <c r="M12643" t="n">
        <v>0</v>
      </c>
      <c r="N12643" t="n">
        <v>0</v>
      </c>
      <c r="O12643" t="n">
        <v>0</v>
      </c>
      <c r="P12643" t="n">
        <v>0</v>
      </c>
      <c r="Q12643" t="n">
        <v>0</v>
      </c>
      <c r="R12643" s="2" t="inlineStr"/>
    </row>
    <row r="12644" ht="15" customHeight="1">
      <c r="A12644" t="inlineStr">
        <is>
          <t>A 55277-2020</t>
        </is>
      </c>
      <c r="B12644" s="1" t="n">
        <v>44130</v>
      </c>
      <c r="C12644" s="1" t="n">
        <v>45952</v>
      </c>
      <c r="D12644" t="inlineStr">
        <is>
          <t>VÄSTRA GÖTALANDS LÄN</t>
        </is>
      </c>
      <c r="E12644" t="inlineStr">
        <is>
          <t>LILLA EDET</t>
        </is>
      </c>
      <c r="G12644" t="n">
        <v>4.2</v>
      </c>
      <c r="H12644" t="n">
        <v>0</v>
      </c>
      <c r="I12644" t="n">
        <v>0</v>
      </c>
      <c r="J12644" t="n">
        <v>0</v>
      </c>
      <c r="K12644" t="n">
        <v>0</v>
      </c>
      <c r="L12644" t="n">
        <v>0</v>
      </c>
      <c r="M12644" t="n">
        <v>0</v>
      </c>
      <c r="N12644" t="n">
        <v>0</v>
      </c>
      <c r="O12644" t="n">
        <v>0</v>
      </c>
      <c r="P12644" t="n">
        <v>0</v>
      </c>
      <c r="Q12644" t="n">
        <v>0</v>
      </c>
      <c r="R12644" s="2" t="inlineStr"/>
    </row>
    <row r="12645" ht="15" customHeight="1">
      <c r="A12645" t="inlineStr">
        <is>
          <t>A 9821-2022</t>
        </is>
      </c>
      <c r="B12645" s="1" t="n">
        <v>44620.44008101852</v>
      </c>
      <c r="C12645" s="1" t="n">
        <v>45952</v>
      </c>
      <c r="D12645" t="inlineStr">
        <is>
          <t>VÄSTRA GÖTALANDS LÄN</t>
        </is>
      </c>
      <c r="E12645" t="inlineStr">
        <is>
          <t>TROLLHÄTTAN</t>
        </is>
      </c>
      <c r="G12645" t="n">
        <v>2.5</v>
      </c>
      <c r="H12645" t="n">
        <v>0</v>
      </c>
      <c r="I12645" t="n">
        <v>0</v>
      </c>
      <c r="J12645" t="n">
        <v>0</v>
      </c>
      <c r="K12645" t="n">
        <v>0</v>
      </c>
      <c r="L12645" t="n">
        <v>0</v>
      </c>
      <c r="M12645" t="n">
        <v>0</v>
      </c>
      <c r="N12645" t="n">
        <v>0</v>
      </c>
      <c r="O12645" t="n">
        <v>0</v>
      </c>
      <c r="P12645" t="n">
        <v>0</v>
      </c>
      <c r="Q12645" t="n">
        <v>0</v>
      </c>
      <c r="R12645" s="2" t="inlineStr"/>
    </row>
    <row r="12646" ht="15" customHeight="1">
      <c r="A12646" t="inlineStr">
        <is>
          <t>A 29092-2021</t>
        </is>
      </c>
      <c r="B12646" s="1" t="n">
        <v>44358.56871527778</v>
      </c>
      <c r="C12646" s="1" t="n">
        <v>45952</v>
      </c>
      <c r="D12646" t="inlineStr">
        <is>
          <t>VÄSTRA GÖTALANDS LÄN</t>
        </is>
      </c>
      <c r="E12646" t="inlineStr">
        <is>
          <t>MARK</t>
        </is>
      </c>
      <c r="G12646" t="n">
        <v>9.199999999999999</v>
      </c>
      <c r="H12646" t="n">
        <v>0</v>
      </c>
      <c r="I12646" t="n">
        <v>0</v>
      </c>
      <c r="J12646" t="n">
        <v>0</v>
      </c>
      <c r="K12646" t="n">
        <v>0</v>
      </c>
      <c r="L12646" t="n">
        <v>0</v>
      </c>
      <c r="M12646" t="n">
        <v>0</v>
      </c>
      <c r="N12646" t="n">
        <v>0</v>
      </c>
      <c r="O12646" t="n">
        <v>0</v>
      </c>
      <c r="P12646" t="n">
        <v>0</v>
      </c>
      <c r="Q12646" t="n">
        <v>0</v>
      </c>
      <c r="R12646" s="2" t="inlineStr"/>
    </row>
    <row r="12647" ht="15" customHeight="1">
      <c r="A12647" t="inlineStr">
        <is>
          <t>A 33874-2025</t>
        </is>
      </c>
      <c r="B12647" s="1" t="n">
        <v>45842.55113425926</v>
      </c>
      <c r="C12647" s="1" t="n">
        <v>45952</v>
      </c>
      <c r="D12647" t="inlineStr">
        <is>
          <t>VÄSTRA GÖTALANDS LÄN</t>
        </is>
      </c>
      <c r="E12647" t="inlineStr">
        <is>
          <t>TANUM</t>
        </is>
      </c>
      <c r="G12647" t="n">
        <v>0.7</v>
      </c>
      <c r="H12647" t="n">
        <v>0</v>
      </c>
      <c r="I12647" t="n">
        <v>0</v>
      </c>
      <c r="J12647" t="n">
        <v>0</v>
      </c>
      <c r="K12647" t="n">
        <v>0</v>
      </c>
      <c r="L12647" t="n">
        <v>0</v>
      </c>
      <c r="M12647" t="n">
        <v>0</v>
      </c>
      <c r="N12647" t="n">
        <v>0</v>
      </c>
      <c r="O12647" t="n">
        <v>0</v>
      </c>
      <c r="P12647" t="n">
        <v>0</v>
      </c>
      <c r="Q12647" t="n">
        <v>0</v>
      </c>
      <c r="R12647" s="2" t="inlineStr"/>
    </row>
    <row r="12648" ht="15" customHeight="1">
      <c r="A12648" t="inlineStr">
        <is>
          <t>A 45088-2021</t>
        </is>
      </c>
      <c r="B12648" s="1" t="n">
        <v>44439.391875</v>
      </c>
      <c r="C12648" s="1" t="n">
        <v>45952</v>
      </c>
      <c r="D12648" t="inlineStr">
        <is>
          <t>VÄSTRA GÖTALANDS LÄN</t>
        </is>
      </c>
      <c r="E12648" t="inlineStr">
        <is>
          <t>ORUST</t>
        </is>
      </c>
      <c r="G12648" t="n">
        <v>1.8</v>
      </c>
      <c r="H12648" t="n">
        <v>0</v>
      </c>
      <c r="I12648" t="n">
        <v>0</v>
      </c>
      <c r="J12648" t="n">
        <v>0</v>
      </c>
      <c r="K12648" t="n">
        <v>0</v>
      </c>
      <c r="L12648" t="n">
        <v>0</v>
      </c>
      <c r="M12648" t="n">
        <v>0</v>
      </c>
      <c r="N12648" t="n">
        <v>0</v>
      </c>
      <c r="O12648" t="n">
        <v>0</v>
      </c>
      <c r="P12648" t="n">
        <v>0</v>
      </c>
      <c r="Q12648" t="n">
        <v>0</v>
      </c>
      <c r="R12648" s="2" t="inlineStr"/>
    </row>
    <row r="12649" ht="15" customHeight="1">
      <c r="A12649" t="inlineStr">
        <is>
          <t>A 34250-2025</t>
        </is>
      </c>
      <c r="B12649" s="1" t="n">
        <v>45844</v>
      </c>
      <c r="C12649" s="1" t="n">
        <v>45952</v>
      </c>
      <c r="D12649" t="inlineStr">
        <is>
          <t>VÄSTRA GÖTALANDS LÄN</t>
        </is>
      </c>
      <c r="E12649" t="inlineStr">
        <is>
          <t>KUNGÄLV</t>
        </is>
      </c>
      <c r="G12649" t="n">
        <v>1.2</v>
      </c>
      <c r="H12649" t="n">
        <v>0</v>
      </c>
      <c r="I12649" t="n">
        <v>0</v>
      </c>
      <c r="J12649" t="n">
        <v>0</v>
      </c>
      <c r="K12649" t="n">
        <v>0</v>
      </c>
      <c r="L12649" t="n">
        <v>0</v>
      </c>
      <c r="M12649" t="n">
        <v>0</v>
      </c>
      <c r="N12649" t="n">
        <v>0</v>
      </c>
      <c r="O12649" t="n">
        <v>0</v>
      </c>
      <c r="P12649" t="n">
        <v>0</v>
      </c>
      <c r="Q12649" t="n">
        <v>0</v>
      </c>
      <c r="R12649" s="2" t="inlineStr"/>
    </row>
    <row r="12650" ht="15" customHeight="1">
      <c r="A12650" t="inlineStr">
        <is>
          <t>A 34251-2025</t>
        </is>
      </c>
      <c r="B12650" s="1" t="n">
        <v>45845.68589120371</v>
      </c>
      <c r="C12650" s="1" t="n">
        <v>45952</v>
      </c>
      <c r="D12650" t="inlineStr">
        <is>
          <t>VÄSTRA GÖTALANDS LÄN</t>
        </is>
      </c>
      <c r="E12650" t="inlineStr">
        <is>
          <t>ULRICEHAMN</t>
        </is>
      </c>
      <c r="G12650" t="n">
        <v>2.2</v>
      </c>
      <c r="H12650" t="n">
        <v>0</v>
      </c>
      <c r="I12650" t="n">
        <v>0</v>
      </c>
      <c r="J12650" t="n">
        <v>0</v>
      </c>
      <c r="K12650" t="n">
        <v>0</v>
      </c>
      <c r="L12650" t="n">
        <v>0</v>
      </c>
      <c r="M12650" t="n">
        <v>0</v>
      </c>
      <c r="N12650" t="n">
        <v>0</v>
      </c>
      <c r="O12650" t="n">
        <v>0</v>
      </c>
      <c r="P12650" t="n">
        <v>0</v>
      </c>
      <c r="Q12650" t="n">
        <v>0</v>
      </c>
      <c r="R12650" s="2" t="inlineStr"/>
    </row>
    <row r="12651" ht="15" customHeight="1">
      <c r="A12651" t="inlineStr">
        <is>
          <t>A 7225-2023</t>
        </is>
      </c>
      <c r="B12651" s="1" t="n">
        <v>44970.59268518518</v>
      </c>
      <c r="C12651" s="1" t="n">
        <v>45952</v>
      </c>
      <c r="D12651" t="inlineStr">
        <is>
          <t>VÄSTRA GÖTALANDS LÄN</t>
        </is>
      </c>
      <c r="E12651" t="inlineStr">
        <is>
          <t>GÖTENE</t>
        </is>
      </c>
      <c r="G12651" t="n">
        <v>1.4</v>
      </c>
      <c r="H12651" t="n">
        <v>0</v>
      </c>
      <c r="I12651" t="n">
        <v>0</v>
      </c>
      <c r="J12651" t="n">
        <v>0</v>
      </c>
      <c r="K12651" t="n">
        <v>0</v>
      </c>
      <c r="L12651" t="n">
        <v>0</v>
      </c>
      <c r="M12651" t="n">
        <v>0</v>
      </c>
      <c r="N12651" t="n">
        <v>0</v>
      </c>
      <c r="O12651" t="n">
        <v>0</v>
      </c>
      <c r="P12651" t="n">
        <v>0</v>
      </c>
      <c r="Q12651" t="n">
        <v>0</v>
      </c>
      <c r="R12651" s="2" t="inlineStr"/>
    </row>
    <row r="12652" ht="15" customHeight="1">
      <c r="A12652" t="inlineStr">
        <is>
          <t>A 52349-2024</t>
        </is>
      </c>
      <c r="B12652" s="1" t="n">
        <v>45609.34872685185</v>
      </c>
      <c r="C12652" s="1" t="n">
        <v>45952</v>
      </c>
      <c r="D12652" t="inlineStr">
        <is>
          <t>VÄSTRA GÖTALANDS LÄN</t>
        </is>
      </c>
      <c r="E12652" t="inlineStr">
        <is>
          <t>DALS-ED</t>
        </is>
      </c>
      <c r="G12652" t="n">
        <v>6.1</v>
      </c>
      <c r="H12652" t="n">
        <v>0</v>
      </c>
      <c r="I12652" t="n">
        <v>0</v>
      </c>
      <c r="J12652" t="n">
        <v>0</v>
      </c>
      <c r="K12652" t="n">
        <v>0</v>
      </c>
      <c r="L12652" t="n">
        <v>0</v>
      </c>
      <c r="M12652" t="n">
        <v>0</v>
      </c>
      <c r="N12652" t="n">
        <v>0</v>
      </c>
      <c r="O12652" t="n">
        <v>0</v>
      </c>
      <c r="P12652" t="n">
        <v>0</v>
      </c>
      <c r="Q12652" t="n">
        <v>0</v>
      </c>
      <c r="R12652" s="2" t="inlineStr"/>
    </row>
    <row r="12653" ht="15" customHeight="1">
      <c r="A12653" t="inlineStr">
        <is>
          <t>A 52373-2024</t>
        </is>
      </c>
      <c r="B12653" s="1" t="n">
        <v>45609.39646990741</v>
      </c>
      <c r="C12653" s="1" t="n">
        <v>45952</v>
      </c>
      <c r="D12653" t="inlineStr">
        <is>
          <t>VÄSTRA GÖTALANDS LÄN</t>
        </is>
      </c>
      <c r="E12653" t="inlineStr">
        <is>
          <t>DALS-ED</t>
        </is>
      </c>
      <c r="G12653" t="n">
        <v>4.5</v>
      </c>
      <c r="H12653" t="n">
        <v>0</v>
      </c>
      <c r="I12653" t="n">
        <v>0</v>
      </c>
      <c r="J12653" t="n">
        <v>0</v>
      </c>
      <c r="K12653" t="n">
        <v>0</v>
      </c>
      <c r="L12653" t="n">
        <v>0</v>
      </c>
      <c r="M12653" t="n">
        <v>0</v>
      </c>
      <c r="N12653" t="n">
        <v>0</v>
      </c>
      <c r="O12653" t="n">
        <v>0</v>
      </c>
      <c r="P12653" t="n">
        <v>0</v>
      </c>
      <c r="Q12653" t="n">
        <v>0</v>
      </c>
      <c r="R12653" s="2" t="inlineStr"/>
    </row>
    <row r="12654" ht="15" customHeight="1">
      <c r="A12654" t="inlineStr">
        <is>
          <t>A 9157-2025</t>
        </is>
      </c>
      <c r="B12654" s="1" t="n">
        <v>45714.35208333333</v>
      </c>
      <c r="C12654" s="1" t="n">
        <v>45952</v>
      </c>
      <c r="D12654" t="inlineStr">
        <is>
          <t>VÄSTRA GÖTALANDS LÄN</t>
        </is>
      </c>
      <c r="E12654" t="inlineStr">
        <is>
          <t>BORÅS</t>
        </is>
      </c>
      <c r="G12654" t="n">
        <v>0.9</v>
      </c>
      <c r="H12654" t="n">
        <v>0</v>
      </c>
      <c r="I12654" t="n">
        <v>0</v>
      </c>
      <c r="J12654" t="n">
        <v>0</v>
      </c>
      <c r="K12654" t="n">
        <v>0</v>
      </c>
      <c r="L12654" t="n">
        <v>0</v>
      </c>
      <c r="M12654" t="n">
        <v>0</v>
      </c>
      <c r="N12654" t="n">
        <v>0</v>
      </c>
      <c r="O12654" t="n">
        <v>0</v>
      </c>
      <c r="P12654" t="n">
        <v>0</v>
      </c>
      <c r="Q12654" t="n">
        <v>0</v>
      </c>
      <c r="R12654" s="2" t="inlineStr"/>
    </row>
    <row r="12655" ht="15" customHeight="1">
      <c r="A12655" t="inlineStr">
        <is>
          <t>A 20248-2022</t>
        </is>
      </c>
      <c r="B12655" s="1" t="n">
        <v>44698.6441087963</v>
      </c>
      <c r="C12655" s="1" t="n">
        <v>45952</v>
      </c>
      <c r="D12655" t="inlineStr">
        <is>
          <t>VÄSTRA GÖTALANDS LÄN</t>
        </is>
      </c>
      <c r="E12655" t="inlineStr">
        <is>
          <t>SVENLJUNGA</t>
        </is>
      </c>
      <c r="G12655" t="n">
        <v>0.7</v>
      </c>
      <c r="H12655" t="n">
        <v>0</v>
      </c>
      <c r="I12655" t="n">
        <v>0</v>
      </c>
      <c r="J12655" t="n">
        <v>0</v>
      </c>
      <c r="K12655" t="n">
        <v>0</v>
      </c>
      <c r="L12655" t="n">
        <v>0</v>
      </c>
      <c r="M12655" t="n">
        <v>0</v>
      </c>
      <c r="N12655" t="n">
        <v>0</v>
      </c>
      <c r="O12655" t="n">
        <v>0</v>
      </c>
      <c r="P12655" t="n">
        <v>0</v>
      </c>
      <c r="Q12655" t="n">
        <v>0</v>
      </c>
      <c r="R12655" s="2" t="inlineStr"/>
    </row>
    <row r="12656" ht="15" customHeight="1">
      <c r="A12656" t="inlineStr">
        <is>
          <t>A 28065-2025</t>
        </is>
      </c>
      <c r="B12656" s="1" t="n">
        <v>45817</v>
      </c>
      <c r="C12656" s="1" t="n">
        <v>45952</v>
      </c>
      <c r="D12656" t="inlineStr">
        <is>
          <t>VÄSTRA GÖTALANDS LÄN</t>
        </is>
      </c>
      <c r="E12656" t="inlineStr">
        <is>
          <t>BORÅS</t>
        </is>
      </c>
      <c r="G12656" t="n">
        <v>1.3</v>
      </c>
      <c r="H12656" t="n">
        <v>0</v>
      </c>
      <c r="I12656" t="n">
        <v>0</v>
      </c>
      <c r="J12656" t="n">
        <v>0</v>
      </c>
      <c r="K12656" t="n">
        <v>0</v>
      </c>
      <c r="L12656" t="n">
        <v>0</v>
      </c>
      <c r="M12656" t="n">
        <v>0</v>
      </c>
      <c r="N12656" t="n">
        <v>0</v>
      </c>
      <c r="O12656" t="n">
        <v>0</v>
      </c>
      <c r="P12656" t="n">
        <v>0</v>
      </c>
      <c r="Q12656" t="n">
        <v>0</v>
      </c>
      <c r="R12656" s="2" t="inlineStr"/>
    </row>
    <row r="12657" ht="15" customHeight="1">
      <c r="A12657" t="inlineStr">
        <is>
          <t>A 34161-2025</t>
        </is>
      </c>
      <c r="B12657" s="1" t="n">
        <v>45845.57840277778</v>
      </c>
      <c r="C12657" s="1" t="n">
        <v>45952</v>
      </c>
      <c r="D12657" t="inlineStr">
        <is>
          <t>VÄSTRA GÖTALANDS LÄN</t>
        </is>
      </c>
      <c r="E12657" t="inlineStr">
        <is>
          <t>GÖTENE</t>
        </is>
      </c>
      <c r="G12657" t="n">
        <v>4.7</v>
      </c>
      <c r="H12657" t="n">
        <v>0</v>
      </c>
      <c r="I12657" t="n">
        <v>0</v>
      </c>
      <c r="J12657" t="n">
        <v>0</v>
      </c>
      <c r="K12657" t="n">
        <v>0</v>
      </c>
      <c r="L12657" t="n">
        <v>0</v>
      </c>
      <c r="M12657" t="n">
        <v>0</v>
      </c>
      <c r="N12657" t="n">
        <v>0</v>
      </c>
      <c r="O12657" t="n">
        <v>0</v>
      </c>
      <c r="P12657" t="n">
        <v>0</v>
      </c>
      <c r="Q12657" t="n">
        <v>0</v>
      </c>
      <c r="R12657" s="2" t="inlineStr"/>
    </row>
    <row r="12658" ht="15" customHeight="1">
      <c r="A12658" t="inlineStr">
        <is>
          <t>A 12368-2022</t>
        </is>
      </c>
      <c r="B12658" s="1" t="n">
        <v>44637</v>
      </c>
      <c r="C12658" s="1" t="n">
        <v>45952</v>
      </c>
      <c r="D12658" t="inlineStr">
        <is>
          <t>VÄSTRA GÖTALANDS LÄN</t>
        </is>
      </c>
      <c r="E12658" t="inlineStr">
        <is>
          <t>MARK</t>
        </is>
      </c>
      <c r="G12658" t="n">
        <v>1</v>
      </c>
      <c r="H12658" t="n">
        <v>0</v>
      </c>
      <c r="I12658" t="n">
        <v>0</v>
      </c>
      <c r="J12658" t="n">
        <v>0</v>
      </c>
      <c r="K12658" t="n">
        <v>0</v>
      </c>
      <c r="L12658" t="n">
        <v>0</v>
      </c>
      <c r="M12658" t="n">
        <v>0</v>
      </c>
      <c r="N12658" t="n">
        <v>0</v>
      </c>
      <c r="O12658" t="n">
        <v>0</v>
      </c>
      <c r="P12658" t="n">
        <v>0</v>
      </c>
      <c r="Q12658" t="n">
        <v>0</v>
      </c>
      <c r="R12658" s="2" t="inlineStr"/>
    </row>
    <row r="12659" ht="15" customHeight="1">
      <c r="A12659" t="inlineStr">
        <is>
          <t>A 34085-2025</t>
        </is>
      </c>
      <c r="B12659" s="1" t="n">
        <v>45845.46462962963</v>
      </c>
      <c r="C12659" s="1" t="n">
        <v>45952</v>
      </c>
      <c r="D12659" t="inlineStr">
        <is>
          <t>VÄSTRA GÖTALANDS LÄN</t>
        </is>
      </c>
      <c r="E12659" t="inlineStr">
        <is>
          <t>MARK</t>
        </is>
      </c>
      <c r="G12659" t="n">
        <v>3.2</v>
      </c>
      <c r="H12659" t="n">
        <v>0</v>
      </c>
      <c r="I12659" t="n">
        <v>0</v>
      </c>
      <c r="J12659" t="n">
        <v>0</v>
      </c>
      <c r="K12659" t="n">
        <v>0</v>
      </c>
      <c r="L12659" t="n">
        <v>0</v>
      </c>
      <c r="M12659" t="n">
        <v>0</v>
      </c>
      <c r="N12659" t="n">
        <v>0</v>
      </c>
      <c r="O12659" t="n">
        <v>0</v>
      </c>
      <c r="P12659" t="n">
        <v>0</v>
      </c>
      <c r="Q12659" t="n">
        <v>0</v>
      </c>
      <c r="R12659" s="2" t="inlineStr"/>
    </row>
    <row r="12660" ht="15" customHeight="1">
      <c r="A12660" t="inlineStr">
        <is>
          <t>A 9777-2024</t>
        </is>
      </c>
      <c r="B12660" s="1" t="n">
        <v>45362.65149305556</v>
      </c>
      <c r="C12660" s="1" t="n">
        <v>45952</v>
      </c>
      <c r="D12660" t="inlineStr">
        <is>
          <t>VÄSTRA GÖTALANDS LÄN</t>
        </is>
      </c>
      <c r="E12660" t="inlineStr">
        <is>
          <t>TRANEMO</t>
        </is>
      </c>
      <c r="G12660" t="n">
        <v>2.4</v>
      </c>
      <c r="H12660" t="n">
        <v>0</v>
      </c>
      <c r="I12660" t="n">
        <v>0</v>
      </c>
      <c r="J12660" t="n">
        <v>0</v>
      </c>
      <c r="K12660" t="n">
        <v>0</v>
      </c>
      <c r="L12660" t="n">
        <v>0</v>
      </c>
      <c r="M12660" t="n">
        <v>0</v>
      </c>
      <c r="N12660" t="n">
        <v>0</v>
      </c>
      <c r="O12660" t="n">
        <v>0</v>
      </c>
      <c r="P12660" t="n">
        <v>0</v>
      </c>
      <c r="Q12660" t="n">
        <v>0</v>
      </c>
      <c r="R12660" s="2" t="inlineStr"/>
    </row>
    <row r="12661" ht="15" customHeight="1">
      <c r="A12661" t="inlineStr">
        <is>
          <t>A 51314-2023</t>
        </is>
      </c>
      <c r="B12661" s="1" t="n">
        <v>45219</v>
      </c>
      <c r="C12661" s="1" t="n">
        <v>45952</v>
      </c>
      <c r="D12661" t="inlineStr">
        <is>
          <t>VÄSTRA GÖTALANDS LÄN</t>
        </is>
      </c>
      <c r="E12661" t="inlineStr">
        <is>
          <t>BOLLEBYGD</t>
        </is>
      </c>
      <c r="G12661" t="n">
        <v>1.1</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33724-2025</t>
        </is>
      </c>
      <c r="B12662" s="1" t="n">
        <v>45841.92988425926</v>
      </c>
      <c r="C12662" s="1" t="n">
        <v>45952</v>
      </c>
      <c r="D12662" t="inlineStr">
        <is>
          <t>VÄSTRA GÖTALANDS LÄN</t>
        </is>
      </c>
      <c r="E12662" t="inlineStr">
        <is>
          <t>BORÅS</t>
        </is>
      </c>
      <c r="G12662" t="n">
        <v>0.7</v>
      </c>
      <c r="H12662" t="n">
        <v>0</v>
      </c>
      <c r="I12662" t="n">
        <v>0</v>
      </c>
      <c r="J12662" t="n">
        <v>0</v>
      </c>
      <c r="K12662" t="n">
        <v>0</v>
      </c>
      <c r="L12662" t="n">
        <v>0</v>
      </c>
      <c r="M12662" t="n">
        <v>0</v>
      </c>
      <c r="N12662" t="n">
        <v>0</v>
      </c>
      <c r="O12662" t="n">
        <v>0</v>
      </c>
      <c r="P12662" t="n">
        <v>0</v>
      </c>
      <c r="Q12662" t="n">
        <v>0</v>
      </c>
      <c r="R12662" s="2" t="inlineStr"/>
    </row>
    <row r="12663" ht="15" customHeight="1">
      <c r="A12663" t="inlineStr">
        <is>
          <t>A 31239-2025</t>
        </is>
      </c>
      <c r="B12663" s="1" t="n">
        <v>45832.85302083333</v>
      </c>
      <c r="C12663" s="1" t="n">
        <v>45952</v>
      </c>
      <c r="D12663" t="inlineStr">
        <is>
          <t>VÄSTRA GÖTALANDS LÄN</t>
        </is>
      </c>
      <c r="E12663" t="inlineStr">
        <is>
          <t>MARIESTAD</t>
        </is>
      </c>
      <c r="G12663" t="n">
        <v>1.6</v>
      </c>
      <c r="H12663" t="n">
        <v>0</v>
      </c>
      <c r="I12663" t="n">
        <v>0</v>
      </c>
      <c r="J12663" t="n">
        <v>0</v>
      </c>
      <c r="K12663" t="n">
        <v>0</v>
      </c>
      <c r="L12663" t="n">
        <v>0</v>
      </c>
      <c r="M12663" t="n">
        <v>0</v>
      </c>
      <c r="N12663" t="n">
        <v>0</v>
      </c>
      <c r="O12663" t="n">
        <v>0</v>
      </c>
      <c r="P12663" t="n">
        <v>0</v>
      </c>
      <c r="Q12663" t="n">
        <v>0</v>
      </c>
      <c r="R12663" s="2" t="inlineStr"/>
    </row>
    <row r="12664" ht="15" customHeight="1">
      <c r="A12664" t="inlineStr">
        <is>
          <t>A 42526-2024</t>
        </is>
      </c>
      <c r="B12664" s="1" t="n">
        <v>45565.56991898148</v>
      </c>
      <c r="C12664" s="1" t="n">
        <v>45952</v>
      </c>
      <c r="D12664" t="inlineStr">
        <is>
          <t>VÄSTRA GÖTALANDS LÄN</t>
        </is>
      </c>
      <c r="E12664" t="inlineStr">
        <is>
          <t>LERUM</t>
        </is>
      </c>
      <c r="F12664" t="inlineStr">
        <is>
          <t>Kyrkan</t>
        </is>
      </c>
      <c r="G12664" t="n">
        <v>0.7</v>
      </c>
      <c r="H12664" t="n">
        <v>0</v>
      </c>
      <c r="I12664" t="n">
        <v>0</v>
      </c>
      <c r="J12664" t="n">
        <v>0</v>
      </c>
      <c r="K12664" t="n">
        <v>0</v>
      </c>
      <c r="L12664" t="n">
        <v>0</v>
      </c>
      <c r="M12664" t="n">
        <v>0</v>
      </c>
      <c r="N12664" t="n">
        <v>0</v>
      </c>
      <c r="O12664" t="n">
        <v>0</v>
      </c>
      <c r="P12664" t="n">
        <v>0</v>
      </c>
      <c r="Q12664" t="n">
        <v>0</v>
      </c>
      <c r="R12664" s="2" t="inlineStr"/>
    </row>
    <row r="12665" ht="15" customHeight="1">
      <c r="A12665" t="inlineStr">
        <is>
          <t>A 12322-2024</t>
        </is>
      </c>
      <c r="B12665" s="1" t="n">
        <v>45378.65465277778</v>
      </c>
      <c r="C12665" s="1" t="n">
        <v>45952</v>
      </c>
      <c r="D12665" t="inlineStr">
        <is>
          <t>VÄSTRA GÖTALANDS LÄN</t>
        </is>
      </c>
      <c r="E12665" t="inlineStr">
        <is>
          <t>ALINGSÅS</t>
        </is>
      </c>
      <c r="G12665" t="n">
        <v>2.5</v>
      </c>
      <c r="H12665" t="n">
        <v>0</v>
      </c>
      <c r="I12665" t="n">
        <v>0</v>
      </c>
      <c r="J12665" t="n">
        <v>0</v>
      </c>
      <c r="K12665" t="n">
        <v>0</v>
      </c>
      <c r="L12665" t="n">
        <v>0</v>
      </c>
      <c r="M12665" t="n">
        <v>0</v>
      </c>
      <c r="N12665" t="n">
        <v>0</v>
      </c>
      <c r="O12665" t="n">
        <v>0</v>
      </c>
      <c r="P12665" t="n">
        <v>0</v>
      </c>
      <c r="Q12665" t="n">
        <v>0</v>
      </c>
      <c r="R12665" s="2" t="inlineStr"/>
    </row>
    <row r="12666" ht="15" customHeight="1">
      <c r="A12666" t="inlineStr">
        <is>
          <t>A 53553-2024</t>
        </is>
      </c>
      <c r="B12666" s="1" t="n">
        <v>45614.6421875</v>
      </c>
      <c r="C12666" s="1" t="n">
        <v>45952</v>
      </c>
      <c r="D12666" t="inlineStr">
        <is>
          <t>VÄSTRA GÖTALANDS LÄN</t>
        </is>
      </c>
      <c r="E12666" t="inlineStr">
        <is>
          <t>HERRLJUNGA</t>
        </is>
      </c>
      <c r="G12666" t="n">
        <v>0.7</v>
      </c>
      <c r="H12666" t="n">
        <v>0</v>
      </c>
      <c r="I12666" t="n">
        <v>0</v>
      </c>
      <c r="J12666" t="n">
        <v>0</v>
      </c>
      <c r="K12666" t="n">
        <v>0</v>
      </c>
      <c r="L12666" t="n">
        <v>0</v>
      </c>
      <c r="M12666" t="n">
        <v>0</v>
      </c>
      <c r="N12666" t="n">
        <v>0</v>
      </c>
      <c r="O12666" t="n">
        <v>0</v>
      </c>
      <c r="P12666" t="n">
        <v>0</v>
      </c>
      <c r="Q12666" t="n">
        <v>0</v>
      </c>
      <c r="R12666" s="2" t="inlineStr"/>
    </row>
    <row r="12667" ht="15" customHeight="1">
      <c r="A12667" t="inlineStr">
        <is>
          <t>A 54183-2024</t>
        </is>
      </c>
      <c r="B12667" s="1" t="n">
        <v>45616.63967592592</v>
      </c>
      <c r="C12667" s="1" t="n">
        <v>45952</v>
      </c>
      <c r="D12667" t="inlineStr">
        <is>
          <t>VÄSTRA GÖTALANDS LÄN</t>
        </is>
      </c>
      <c r="E12667" t="inlineStr">
        <is>
          <t>DALS-ED</t>
        </is>
      </c>
      <c r="G12667" t="n">
        <v>1.6</v>
      </c>
      <c r="H12667" t="n">
        <v>0</v>
      </c>
      <c r="I12667" t="n">
        <v>0</v>
      </c>
      <c r="J12667" t="n">
        <v>0</v>
      </c>
      <c r="K12667" t="n">
        <v>0</v>
      </c>
      <c r="L12667" t="n">
        <v>0</v>
      </c>
      <c r="M12667" t="n">
        <v>0</v>
      </c>
      <c r="N12667" t="n">
        <v>0</v>
      </c>
      <c r="O12667" t="n">
        <v>0</v>
      </c>
      <c r="P12667" t="n">
        <v>0</v>
      </c>
      <c r="Q12667" t="n">
        <v>0</v>
      </c>
      <c r="R12667" s="2" t="inlineStr"/>
    </row>
    <row r="12668" ht="15" customHeight="1">
      <c r="A12668" t="inlineStr">
        <is>
          <t>A 56090-2022</t>
        </is>
      </c>
      <c r="B12668" s="1" t="n">
        <v>44887</v>
      </c>
      <c r="C12668" s="1" t="n">
        <v>45952</v>
      </c>
      <c r="D12668" t="inlineStr">
        <is>
          <t>VÄSTRA GÖTALANDS LÄN</t>
        </is>
      </c>
      <c r="E12668" t="inlineStr">
        <is>
          <t>BENGTSFORS</t>
        </is>
      </c>
      <c r="F12668" t="inlineStr">
        <is>
          <t>Kyrkan</t>
        </is>
      </c>
      <c r="G12668" t="n">
        <v>12.8</v>
      </c>
      <c r="H12668" t="n">
        <v>0</v>
      </c>
      <c r="I12668" t="n">
        <v>0</v>
      </c>
      <c r="J12668" t="n">
        <v>0</v>
      </c>
      <c r="K12668" t="n">
        <v>0</v>
      </c>
      <c r="L12668" t="n">
        <v>0</v>
      </c>
      <c r="M12668" t="n">
        <v>0</v>
      </c>
      <c r="N12668" t="n">
        <v>0</v>
      </c>
      <c r="O12668" t="n">
        <v>0</v>
      </c>
      <c r="P12668" t="n">
        <v>0</v>
      </c>
      <c r="Q12668" t="n">
        <v>0</v>
      </c>
      <c r="R12668" s="2" t="inlineStr"/>
    </row>
    <row r="12669" ht="15" customHeight="1">
      <c r="A12669" t="inlineStr">
        <is>
          <t>A 33925-2024</t>
        </is>
      </c>
      <c r="B12669" s="1" t="n">
        <v>45522</v>
      </c>
      <c r="C12669" s="1" t="n">
        <v>45952</v>
      </c>
      <c r="D12669" t="inlineStr">
        <is>
          <t>VÄSTRA GÖTALANDS LÄN</t>
        </is>
      </c>
      <c r="E12669" t="inlineStr">
        <is>
          <t>MUNKEDAL</t>
        </is>
      </c>
      <c r="G12669" t="n">
        <v>0.6</v>
      </c>
      <c r="H12669" t="n">
        <v>0</v>
      </c>
      <c r="I12669" t="n">
        <v>0</v>
      </c>
      <c r="J12669" t="n">
        <v>0</v>
      </c>
      <c r="K12669" t="n">
        <v>0</v>
      </c>
      <c r="L12669" t="n">
        <v>0</v>
      </c>
      <c r="M12669" t="n">
        <v>0</v>
      </c>
      <c r="N12669" t="n">
        <v>0</v>
      </c>
      <c r="O12669" t="n">
        <v>0</v>
      </c>
      <c r="P12669" t="n">
        <v>0</v>
      </c>
      <c r="Q12669" t="n">
        <v>0</v>
      </c>
      <c r="R12669" s="2" t="inlineStr"/>
    </row>
    <row r="12670" ht="15" customHeight="1">
      <c r="A12670" t="inlineStr">
        <is>
          <t>A 56670-2024</t>
        </is>
      </c>
      <c r="B12670" s="1" t="n">
        <v>45626.62587962963</v>
      </c>
      <c r="C12670" s="1" t="n">
        <v>45952</v>
      </c>
      <c r="D12670" t="inlineStr">
        <is>
          <t>VÄSTRA GÖTALANDS LÄN</t>
        </is>
      </c>
      <c r="E12670" t="inlineStr">
        <is>
          <t>ULRICEHAMN</t>
        </is>
      </c>
      <c r="G12670" t="n">
        <v>0.8</v>
      </c>
      <c r="H12670" t="n">
        <v>0</v>
      </c>
      <c r="I12670" t="n">
        <v>0</v>
      </c>
      <c r="J12670" t="n">
        <v>0</v>
      </c>
      <c r="K12670" t="n">
        <v>0</v>
      </c>
      <c r="L12670" t="n">
        <v>0</v>
      </c>
      <c r="M12670" t="n">
        <v>0</v>
      </c>
      <c r="N12670" t="n">
        <v>0</v>
      </c>
      <c r="O12670" t="n">
        <v>0</v>
      </c>
      <c r="P12670" t="n">
        <v>0</v>
      </c>
      <c r="Q12670" t="n">
        <v>0</v>
      </c>
      <c r="R12670" s="2" t="inlineStr"/>
    </row>
    <row r="12671" ht="15" customHeight="1">
      <c r="A12671" t="inlineStr">
        <is>
          <t>A 56672-2024</t>
        </is>
      </c>
      <c r="B12671" s="1" t="n">
        <v>45626.75635416667</v>
      </c>
      <c r="C12671" s="1" t="n">
        <v>45952</v>
      </c>
      <c r="D12671" t="inlineStr">
        <is>
          <t>VÄSTRA GÖTALANDS LÄN</t>
        </is>
      </c>
      <c r="E12671" t="inlineStr">
        <is>
          <t>ULRICEHAMN</t>
        </is>
      </c>
      <c r="G12671" t="n">
        <v>4.6</v>
      </c>
      <c r="H12671" t="n">
        <v>0</v>
      </c>
      <c r="I12671" t="n">
        <v>0</v>
      </c>
      <c r="J12671" t="n">
        <v>0</v>
      </c>
      <c r="K12671" t="n">
        <v>0</v>
      </c>
      <c r="L12671" t="n">
        <v>0</v>
      </c>
      <c r="M12671" t="n">
        <v>0</v>
      </c>
      <c r="N12671" t="n">
        <v>0</v>
      </c>
      <c r="O12671" t="n">
        <v>0</v>
      </c>
      <c r="P12671" t="n">
        <v>0</v>
      </c>
      <c r="Q12671" t="n">
        <v>0</v>
      </c>
      <c r="R12671" s="2" t="inlineStr"/>
    </row>
    <row r="12672" ht="15" customHeight="1">
      <c r="A12672" t="inlineStr">
        <is>
          <t>A 56676-2024</t>
        </is>
      </c>
      <c r="B12672" s="1" t="n">
        <v>45626.8178125</v>
      </c>
      <c r="C12672" s="1" t="n">
        <v>45952</v>
      </c>
      <c r="D12672" t="inlineStr">
        <is>
          <t>VÄSTRA GÖTALANDS LÄN</t>
        </is>
      </c>
      <c r="E12672" t="inlineStr">
        <is>
          <t>ULRICEHAMN</t>
        </is>
      </c>
      <c r="G12672" t="n">
        <v>1.3</v>
      </c>
      <c r="H12672" t="n">
        <v>0</v>
      </c>
      <c r="I12672" t="n">
        <v>0</v>
      </c>
      <c r="J12672" t="n">
        <v>0</v>
      </c>
      <c r="K12672" t="n">
        <v>0</v>
      </c>
      <c r="L12672" t="n">
        <v>0</v>
      </c>
      <c r="M12672" t="n">
        <v>0</v>
      </c>
      <c r="N12672" t="n">
        <v>0</v>
      </c>
      <c r="O12672" t="n">
        <v>0</v>
      </c>
      <c r="P12672" t="n">
        <v>0</v>
      </c>
      <c r="Q12672" t="n">
        <v>0</v>
      </c>
      <c r="R12672" s="2" t="inlineStr"/>
    </row>
    <row r="12673" ht="15" customHeight="1">
      <c r="A12673" t="inlineStr">
        <is>
          <t>A 10440-2025</t>
        </is>
      </c>
      <c r="B12673" s="1" t="n">
        <v>45720.68186342593</v>
      </c>
      <c r="C12673" s="1" t="n">
        <v>45952</v>
      </c>
      <c r="D12673" t="inlineStr">
        <is>
          <t>VÄSTRA GÖTALANDS LÄN</t>
        </is>
      </c>
      <c r="E12673" t="inlineStr">
        <is>
          <t>TRANEMO</t>
        </is>
      </c>
      <c r="G12673" t="n">
        <v>1.9</v>
      </c>
      <c r="H12673" t="n">
        <v>0</v>
      </c>
      <c r="I12673" t="n">
        <v>0</v>
      </c>
      <c r="J12673" t="n">
        <v>0</v>
      </c>
      <c r="K12673" t="n">
        <v>0</v>
      </c>
      <c r="L12673" t="n">
        <v>0</v>
      </c>
      <c r="M12673" t="n">
        <v>0</v>
      </c>
      <c r="N12673" t="n">
        <v>0</v>
      </c>
      <c r="O12673" t="n">
        <v>0</v>
      </c>
      <c r="P12673" t="n">
        <v>0</v>
      </c>
      <c r="Q12673" t="n">
        <v>0</v>
      </c>
      <c r="R12673" s="2" t="inlineStr"/>
    </row>
    <row r="12674" ht="15" customHeight="1">
      <c r="A12674" t="inlineStr">
        <is>
          <t>A 26701-2024</t>
        </is>
      </c>
      <c r="B12674" s="1" t="n">
        <v>45469</v>
      </c>
      <c r="C12674" s="1" t="n">
        <v>45952</v>
      </c>
      <c r="D12674" t="inlineStr">
        <is>
          <t>VÄSTRA GÖTALANDS LÄN</t>
        </is>
      </c>
      <c r="E12674" t="inlineStr">
        <is>
          <t>TIDAHOLM</t>
        </is>
      </c>
      <c r="G12674" t="n">
        <v>1</v>
      </c>
      <c r="H12674" t="n">
        <v>0</v>
      </c>
      <c r="I12674" t="n">
        <v>0</v>
      </c>
      <c r="J12674" t="n">
        <v>0</v>
      </c>
      <c r="K12674" t="n">
        <v>0</v>
      </c>
      <c r="L12674" t="n">
        <v>0</v>
      </c>
      <c r="M12674" t="n">
        <v>0</v>
      </c>
      <c r="N12674" t="n">
        <v>0</v>
      </c>
      <c r="O12674" t="n">
        <v>0</v>
      </c>
      <c r="P12674" t="n">
        <v>0</v>
      </c>
      <c r="Q12674" t="n">
        <v>0</v>
      </c>
      <c r="R12674" s="2" t="inlineStr"/>
    </row>
    <row r="12675" ht="15" customHeight="1">
      <c r="A12675" t="inlineStr">
        <is>
          <t>A 33709-2025</t>
        </is>
      </c>
      <c r="B12675" s="1" t="n">
        <v>45841.83203703703</v>
      </c>
      <c r="C12675" s="1" t="n">
        <v>45952</v>
      </c>
      <c r="D12675" t="inlineStr">
        <is>
          <t>VÄSTRA GÖTALANDS LÄN</t>
        </is>
      </c>
      <c r="E12675" t="inlineStr">
        <is>
          <t>TIDAHOLM</t>
        </is>
      </c>
      <c r="G12675" t="n">
        <v>6.6</v>
      </c>
      <c r="H12675" t="n">
        <v>0</v>
      </c>
      <c r="I12675" t="n">
        <v>0</v>
      </c>
      <c r="J12675" t="n">
        <v>0</v>
      </c>
      <c r="K12675" t="n">
        <v>0</v>
      </c>
      <c r="L12675" t="n">
        <v>0</v>
      </c>
      <c r="M12675" t="n">
        <v>0</v>
      </c>
      <c r="N12675" t="n">
        <v>0</v>
      </c>
      <c r="O12675" t="n">
        <v>0</v>
      </c>
      <c r="P12675" t="n">
        <v>0</v>
      </c>
      <c r="Q12675" t="n">
        <v>0</v>
      </c>
      <c r="R12675" s="2" t="inlineStr"/>
    </row>
    <row r="12676" ht="15" customHeight="1">
      <c r="A12676" t="inlineStr">
        <is>
          <t>A 53529-2023</t>
        </is>
      </c>
      <c r="B12676" s="1" t="n">
        <v>45230</v>
      </c>
      <c r="C12676" s="1" t="n">
        <v>45952</v>
      </c>
      <c r="D12676" t="inlineStr">
        <is>
          <t>VÄSTRA GÖTALANDS LÄN</t>
        </is>
      </c>
      <c r="E12676" t="inlineStr">
        <is>
          <t>MARK</t>
        </is>
      </c>
      <c r="G12676" t="n">
        <v>7.5</v>
      </c>
      <c r="H12676" t="n">
        <v>0</v>
      </c>
      <c r="I12676" t="n">
        <v>0</v>
      </c>
      <c r="J12676" t="n">
        <v>0</v>
      </c>
      <c r="K12676" t="n">
        <v>0</v>
      </c>
      <c r="L12676" t="n">
        <v>0</v>
      </c>
      <c r="M12676" t="n">
        <v>0</v>
      </c>
      <c r="N12676" t="n">
        <v>0</v>
      </c>
      <c r="O12676" t="n">
        <v>0</v>
      </c>
      <c r="P12676" t="n">
        <v>0</v>
      </c>
      <c r="Q12676" t="n">
        <v>0</v>
      </c>
      <c r="R12676" s="2" t="inlineStr"/>
    </row>
    <row r="12677" ht="15" customHeight="1">
      <c r="A12677" t="inlineStr">
        <is>
          <t>A 53531-2023</t>
        </is>
      </c>
      <c r="B12677" s="1" t="n">
        <v>45230</v>
      </c>
      <c r="C12677" s="1" t="n">
        <v>45952</v>
      </c>
      <c r="D12677" t="inlineStr">
        <is>
          <t>VÄSTRA GÖTALANDS LÄN</t>
        </is>
      </c>
      <c r="E12677" t="inlineStr">
        <is>
          <t>BENGTSFORS</t>
        </is>
      </c>
      <c r="G12677" t="n">
        <v>0.3</v>
      </c>
      <c r="H12677" t="n">
        <v>0</v>
      </c>
      <c r="I12677" t="n">
        <v>0</v>
      </c>
      <c r="J12677" t="n">
        <v>0</v>
      </c>
      <c r="K12677" t="n">
        <v>0</v>
      </c>
      <c r="L12677" t="n">
        <v>0</v>
      </c>
      <c r="M12677" t="n">
        <v>0</v>
      </c>
      <c r="N12677" t="n">
        <v>0</v>
      </c>
      <c r="O12677" t="n">
        <v>0</v>
      </c>
      <c r="P12677" t="n">
        <v>0</v>
      </c>
      <c r="Q12677" t="n">
        <v>0</v>
      </c>
      <c r="R12677" s="2" t="inlineStr"/>
    </row>
    <row r="12678" ht="15" customHeight="1">
      <c r="A12678" t="inlineStr">
        <is>
          <t>A 3948-2023</t>
        </is>
      </c>
      <c r="B12678" s="1" t="n">
        <v>44952</v>
      </c>
      <c r="C12678" s="1" t="n">
        <v>45952</v>
      </c>
      <c r="D12678" t="inlineStr">
        <is>
          <t>VÄSTRA GÖTALANDS LÄN</t>
        </is>
      </c>
      <c r="E12678" t="inlineStr">
        <is>
          <t>FALKÖPING</t>
        </is>
      </c>
      <c r="G12678" t="n">
        <v>1.3</v>
      </c>
      <c r="H12678" t="n">
        <v>0</v>
      </c>
      <c r="I12678" t="n">
        <v>0</v>
      </c>
      <c r="J12678" t="n">
        <v>0</v>
      </c>
      <c r="K12678" t="n">
        <v>0</v>
      </c>
      <c r="L12678" t="n">
        <v>0</v>
      </c>
      <c r="M12678" t="n">
        <v>0</v>
      </c>
      <c r="N12678" t="n">
        <v>0</v>
      </c>
      <c r="O12678" t="n">
        <v>0</v>
      </c>
      <c r="P12678" t="n">
        <v>0</v>
      </c>
      <c r="Q12678" t="n">
        <v>0</v>
      </c>
      <c r="R12678" s="2" t="inlineStr"/>
    </row>
    <row r="12679" ht="15" customHeight="1">
      <c r="A12679" t="inlineStr">
        <is>
          <t>A 33830-2025</t>
        </is>
      </c>
      <c r="B12679" s="1" t="n">
        <v>45842</v>
      </c>
      <c r="C12679" s="1" t="n">
        <v>45952</v>
      </c>
      <c r="D12679" t="inlineStr">
        <is>
          <t>VÄSTRA GÖTALANDS LÄN</t>
        </is>
      </c>
      <c r="E12679" t="inlineStr">
        <is>
          <t>ULRICEHAMN</t>
        </is>
      </c>
      <c r="G12679" t="n">
        <v>2.1</v>
      </c>
      <c r="H12679" t="n">
        <v>0</v>
      </c>
      <c r="I12679" t="n">
        <v>0</v>
      </c>
      <c r="J12679" t="n">
        <v>0</v>
      </c>
      <c r="K12679" t="n">
        <v>0</v>
      </c>
      <c r="L12679" t="n">
        <v>0</v>
      </c>
      <c r="M12679" t="n">
        <v>0</v>
      </c>
      <c r="N12679" t="n">
        <v>0</v>
      </c>
      <c r="O12679" t="n">
        <v>0</v>
      </c>
      <c r="P12679" t="n">
        <v>0</v>
      </c>
      <c r="Q12679" t="n">
        <v>0</v>
      </c>
      <c r="R12679" s="2" t="inlineStr"/>
    </row>
    <row r="12680" ht="15" customHeight="1">
      <c r="A12680" t="inlineStr">
        <is>
          <t>A 2577-2023</t>
        </is>
      </c>
      <c r="B12680" s="1" t="n">
        <v>44943.78166666667</v>
      </c>
      <c r="C12680" s="1" t="n">
        <v>45952</v>
      </c>
      <c r="D12680" t="inlineStr">
        <is>
          <t>VÄSTRA GÖTALANDS LÄN</t>
        </is>
      </c>
      <c r="E12680" t="inlineStr">
        <is>
          <t>MARIESTAD</t>
        </is>
      </c>
      <c r="G12680" t="n">
        <v>0.8</v>
      </c>
      <c r="H12680" t="n">
        <v>0</v>
      </c>
      <c r="I12680" t="n">
        <v>0</v>
      </c>
      <c r="J12680" t="n">
        <v>0</v>
      </c>
      <c r="K12680" t="n">
        <v>0</v>
      </c>
      <c r="L12680" t="n">
        <v>0</v>
      </c>
      <c r="M12680" t="n">
        <v>0</v>
      </c>
      <c r="N12680" t="n">
        <v>0</v>
      </c>
      <c r="O12680" t="n">
        <v>0</v>
      </c>
      <c r="P12680" t="n">
        <v>0</v>
      </c>
      <c r="Q12680" t="n">
        <v>0</v>
      </c>
      <c r="R12680" s="2" t="inlineStr"/>
    </row>
    <row r="12681" ht="15" customHeight="1">
      <c r="A12681" t="inlineStr">
        <is>
          <t>A 34415-2025</t>
        </is>
      </c>
      <c r="B12681" s="1" t="n">
        <v>45846.65206018519</v>
      </c>
      <c r="C12681" s="1" t="n">
        <v>45952</v>
      </c>
      <c r="D12681" t="inlineStr">
        <is>
          <t>VÄSTRA GÖTALANDS LÄN</t>
        </is>
      </c>
      <c r="E12681" t="inlineStr">
        <is>
          <t>BORÅS</t>
        </is>
      </c>
      <c r="G12681" t="n">
        <v>4.6</v>
      </c>
      <c r="H12681" t="n">
        <v>0</v>
      </c>
      <c r="I12681" t="n">
        <v>0</v>
      </c>
      <c r="J12681" t="n">
        <v>0</v>
      </c>
      <c r="K12681" t="n">
        <v>0</v>
      </c>
      <c r="L12681" t="n">
        <v>0</v>
      </c>
      <c r="M12681" t="n">
        <v>0</v>
      </c>
      <c r="N12681" t="n">
        <v>0</v>
      </c>
      <c r="O12681" t="n">
        <v>0</v>
      </c>
      <c r="P12681" t="n">
        <v>0</v>
      </c>
      <c r="Q12681" t="n">
        <v>0</v>
      </c>
      <c r="R12681" s="2" t="inlineStr"/>
    </row>
    <row r="12682" ht="15" customHeight="1">
      <c r="A12682" t="inlineStr">
        <is>
          <t>A 34416-2025</t>
        </is>
      </c>
      <c r="B12682" s="1" t="n">
        <v>45846.6525462963</v>
      </c>
      <c r="C12682" s="1" t="n">
        <v>45952</v>
      </c>
      <c r="D12682" t="inlineStr">
        <is>
          <t>VÄSTRA GÖTALANDS LÄN</t>
        </is>
      </c>
      <c r="E12682" t="inlineStr">
        <is>
          <t>SKÖVDE</t>
        </is>
      </c>
      <c r="G12682" t="n">
        <v>4.9</v>
      </c>
      <c r="H12682" t="n">
        <v>0</v>
      </c>
      <c r="I12682" t="n">
        <v>0</v>
      </c>
      <c r="J12682" t="n">
        <v>0</v>
      </c>
      <c r="K12682" t="n">
        <v>0</v>
      </c>
      <c r="L12682" t="n">
        <v>0</v>
      </c>
      <c r="M12682" t="n">
        <v>0</v>
      </c>
      <c r="N12682" t="n">
        <v>0</v>
      </c>
      <c r="O12682" t="n">
        <v>0</v>
      </c>
      <c r="P12682" t="n">
        <v>0</v>
      </c>
      <c r="Q12682" t="n">
        <v>0</v>
      </c>
      <c r="R12682" s="2" t="inlineStr"/>
    </row>
    <row r="12683" ht="15" customHeight="1">
      <c r="A12683" t="inlineStr">
        <is>
          <t>A 3238-2023</t>
        </is>
      </c>
      <c r="B12683" s="1" t="n">
        <v>44946.84815972222</v>
      </c>
      <c r="C12683" s="1" t="n">
        <v>45952</v>
      </c>
      <c r="D12683" t="inlineStr">
        <is>
          <t>VÄSTRA GÖTALANDS LÄN</t>
        </is>
      </c>
      <c r="E12683" t="inlineStr">
        <is>
          <t>BOLLEBYGD</t>
        </is>
      </c>
      <c r="G12683" t="n">
        <v>0.5</v>
      </c>
      <c r="H12683" t="n">
        <v>0</v>
      </c>
      <c r="I12683" t="n">
        <v>0</v>
      </c>
      <c r="J12683" t="n">
        <v>0</v>
      </c>
      <c r="K12683" t="n">
        <v>0</v>
      </c>
      <c r="L12683" t="n">
        <v>0</v>
      </c>
      <c r="M12683" t="n">
        <v>0</v>
      </c>
      <c r="N12683" t="n">
        <v>0</v>
      </c>
      <c r="O12683" t="n">
        <v>0</v>
      </c>
      <c r="P12683" t="n">
        <v>0</v>
      </c>
      <c r="Q12683" t="n">
        <v>0</v>
      </c>
      <c r="R12683" s="2" t="inlineStr"/>
    </row>
    <row r="12684" ht="15" customHeight="1">
      <c r="A12684" t="inlineStr">
        <is>
          <t>A 18845-2025</t>
        </is>
      </c>
      <c r="B12684" s="1" t="n">
        <v>45764.41078703704</v>
      </c>
      <c r="C12684" s="1" t="n">
        <v>45952</v>
      </c>
      <c r="D12684" t="inlineStr">
        <is>
          <t>VÄSTRA GÖTALANDS LÄN</t>
        </is>
      </c>
      <c r="E12684" t="inlineStr">
        <is>
          <t>TÖREBODA</t>
        </is>
      </c>
      <c r="G12684" t="n">
        <v>2.1</v>
      </c>
      <c r="H12684" t="n">
        <v>0</v>
      </c>
      <c r="I12684" t="n">
        <v>0</v>
      </c>
      <c r="J12684" t="n">
        <v>0</v>
      </c>
      <c r="K12684" t="n">
        <v>0</v>
      </c>
      <c r="L12684" t="n">
        <v>0</v>
      </c>
      <c r="M12684" t="n">
        <v>0</v>
      </c>
      <c r="N12684" t="n">
        <v>0</v>
      </c>
      <c r="O12684" t="n">
        <v>0</v>
      </c>
      <c r="P12684" t="n">
        <v>0</v>
      </c>
      <c r="Q12684" t="n">
        <v>0</v>
      </c>
      <c r="R12684" s="2" t="inlineStr"/>
    </row>
    <row r="12685" ht="15" customHeight="1">
      <c r="A12685" t="inlineStr">
        <is>
          <t>A 22641-2025</t>
        </is>
      </c>
      <c r="B12685" s="1" t="n">
        <v>45789.45480324074</v>
      </c>
      <c r="C12685" s="1" t="n">
        <v>45952</v>
      </c>
      <c r="D12685" t="inlineStr">
        <is>
          <t>VÄSTRA GÖTALANDS LÄN</t>
        </is>
      </c>
      <c r="E12685" t="inlineStr">
        <is>
          <t>MARK</t>
        </is>
      </c>
      <c r="G12685" t="n">
        <v>1.1</v>
      </c>
      <c r="H12685" t="n">
        <v>0</v>
      </c>
      <c r="I12685" t="n">
        <v>0</v>
      </c>
      <c r="J12685" t="n">
        <v>0</v>
      </c>
      <c r="K12685" t="n">
        <v>0</v>
      </c>
      <c r="L12685" t="n">
        <v>0</v>
      </c>
      <c r="M12685" t="n">
        <v>0</v>
      </c>
      <c r="N12685" t="n">
        <v>0</v>
      </c>
      <c r="O12685" t="n">
        <v>0</v>
      </c>
      <c r="P12685" t="n">
        <v>0</v>
      </c>
      <c r="Q12685" t="n">
        <v>0</v>
      </c>
      <c r="R12685" s="2" t="inlineStr"/>
    </row>
    <row r="12686" ht="15" customHeight="1">
      <c r="A12686" t="inlineStr">
        <is>
          <t>A 21170-2025</t>
        </is>
      </c>
      <c r="B12686" s="1" t="n">
        <v>45779.42442129629</v>
      </c>
      <c r="C12686" s="1" t="n">
        <v>45952</v>
      </c>
      <c r="D12686" t="inlineStr">
        <is>
          <t>VÄSTRA GÖTALANDS LÄN</t>
        </is>
      </c>
      <c r="E12686" t="inlineStr">
        <is>
          <t>TIDAHOLM</t>
        </is>
      </c>
      <c r="G12686" t="n">
        <v>1.2</v>
      </c>
      <c r="H12686" t="n">
        <v>0</v>
      </c>
      <c r="I12686" t="n">
        <v>0</v>
      </c>
      <c r="J12686" t="n">
        <v>0</v>
      </c>
      <c r="K12686" t="n">
        <v>0</v>
      </c>
      <c r="L12686" t="n">
        <v>0</v>
      </c>
      <c r="M12686" t="n">
        <v>0</v>
      </c>
      <c r="N12686" t="n">
        <v>0</v>
      </c>
      <c r="O12686" t="n">
        <v>0</v>
      </c>
      <c r="P12686" t="n">
        <v>0</v>
      </c>
      <c r="Q12686" t="n">
        <v>0</v>
      </c>
      <c r="R12686" s="2" t="inlineStr"/>
    </row>
    <row r="12687" ht="15" customHeight="1">
      <c r="A12687" t="inlineStr">
        <is>
          <t>A 33731-2025</t>
        </is>
      </c>
      <c r="B12687" s="1" t="n">
        <v>45842</v>
      </c>
      <c r="C12687" s="1" t="n">
        <v>45952</v>
      </c>
      <c r="D12687" t="inlineStr">
        <is>
          <t>VÄSTRA GÖTALANDS LÄN</t>
        </is>
      </c>
      <c r="E12687" t="inlineStr">
        <is>
          <t>ULRICEHAMN</t>
        </is>
      </c>
      <c r="G12687" t="n">
        <v>10.6</v>
      </c>
      <c r="H12687" t="n">
        <v>0</v>
      </c>
      <c r="I12687" t="n">
        <v>0</v>
      </c>
      <c r="J12687" t="n">
        <v>0</v>
      </c>
      <c r="K12687" t="n">
        <v>0</v>
      </c>
      <c r="L12687" t="n">
        <v>0</v>
      </c>
      <c r="M12687" t="n">
        <v>0</v>
      </c>
      <c r="N12687" t="n">
        <v>0</v>
      </c>
      <c r="O12687" t="n">
        <v>0</v>
      </c>
      <c r="P12687" t="n">
        <v>0</v>
      </c>
      <c r="Q12687" t="n">
        <v>0</v>
      </c>
      <c r="R12687" s="2" t="inlineStr"/>
    </row>
    <row r="12688" ht="15" customHeight="1">
      <c r="A12688" t="inlineStr">
        <is>
          <t>A 34332-2025</t>
        </is>
      </c>
      <c r="B12688" s="1" t="n">
        <v>45846.44829861111</v>
      </c>
      <c r="C12688" s="1" t="n">
        <v>45952</v>
      </c>
      <c r="D12688" t="inlineStr">
        <is>
          <t>VÄSTRA GÖTALANDS LÄN</t>
        </is>
      </c>
      <c r="E12688" t="inlineStr">
        <is>
          <t>LIDKÖPING</t>
        </is>
      </c>
      <c r="G12688" t="n">
        <v>2.1</v>
      </c>
      <c r="H12688" t="n">
        <v>0</v>
      </c>
      <c r="I12688" t="n">
        <v>0</v>
      </c>
      <c r="J12688" t="n">
        <v>0</v>
      </c>
      <c r="K12688" t="n">
        <v>0</v>
      </c>
      <c r="L12688" t="n">
        <v>0</v>
      </c>
      <c r="M12688" t="n">
        <v>0</v>
      </c>
      <c r="N12688" t="n">
        <v>0</v>
      </c>
      <c r="O12688" t="n">
        <v>0</v>
      </c>
      <c r="P12688" t="n">
        <v>0</v>
      </c>
      <c r="Q12688" t="n">
        <v>0</v>
      </c>
      <c r="R12688" s="2" t="inlineStr"/>
    </row>
    <row r="12689" ht="15" customHeight="1">
      <c r="A12689" t="inlineStr">
        <is>
          <t>A 38941-2023</t>
        </is>
      </c>
      <c r="B12689" s="1" t="n">
        <v>45163</v>
      </c>
      <c r="C12689" s="1" t="n">
        <v>45952</v>
      </c>
      <c r="D12689" t="inlineStr">
        <is>
          <t>VÄSTRA GÖTALANDS LÄN</t>
        </is>
      </c>
      <c r="E12689" t="inlineStr">
        <is>
          <t>TROLLHÄTTAN</t>
        </is>
      </c>
      <c r="G12689" t="n">
        <v>1.7</v>
      </c>
      <c r="H12689" t="n">
        <v>0</v>
      </c>
      <c r="I12689" t="n">
        <v>0</v>
      </c>
      <c r="J12689" t="n">
        <v>0</v>
      </c>
      <c r="K12689" t="n">
        <v>0</v>
      </c>
      <c r="L12689" t="n">
        <v>0</v>
      </c>
      <c r="M12689" t="n">
        <v>0</v>
      </c>
      <c r="N12689" t="n">
        <v>0</v>
      </c>
      <c r="O12689" t="n">
        <v>0</v>
      </c>
      <c r="P12689" t="n">
        <v>0</v>
      </c>
      <c r="Q12689" t="n">
        <v>0</v>
      </c>
      <c r="R12689" s="2" t="inlineStr"/>
    </row>
    <row r="12690" ht="15" customHeight="1">
      <c r="A12690" t="inlineStr">
        <is>
          <t>A 39000-2023</t>
        </is>
      </c>
      <c r="B12690" s="1" t="n">
        <v>45163.67079861111</v>
      </c>
      <c r="C12690" s="1" t="n">
        <v>45952</v>
      </c>
      <c r="D12690" t="inlineStr">
        <is>
          <t>VÄSTRA GÖTALANDS LÄN</t>
        </is>
      </c>
      <c r="E12690" t="inlineStr">
        <is>
          <t>VÅRGÅRDA</t>
        </is>
      </c>
      <c r="G12690" t="n">
        <v>0.9</v>
      </c>
      <c r="H12690" t="n">
        <v>0</v>
      </c>
      <c r="I12690" t="n">
        <v>0</v>
      </c>
      <c r="J12690" t="n">
        <v>0</v>
      </c>
      <c r="K12690" t="n">
        <v>0</v>
      </c>
      <c r="L12690" t="n">
        <v>0</v>
      </c>
      <c r="M12690" t="n">
        <v>0</v>
      </c>
      <c r="N12690" t="n">
        <v>0</v>
      </c>
      <c r="O12690" t="n">
        <v>0</v>
      </c>
      <c r="P12690" t="n">
        <v>0</v>
      </c>
      <c r="Q12690" t="n">
        <v>0</v>
      </c>
      <c r="R12690" s="2" t="inlineStr"/>
    </row>
    <row r="12691" ht="15" customHeight="1">
      <c r="A12691" t="inlineStr">
        <is>
          <t>A 34380-2025</t>
        </is>
      </c>
      <c r="B12691" s="1" t="n">
        <v>45846.5428587963</v>
      </c>
      <c r="C12691" s="1" t="n">
        <v>45952</v>
      </c>
      <c r="D12691" t="inlineStr">
        <is>
          <t>VÄSTRA GÖTALANDS LÄN</t>
        </is>
      </c>
      <c r="E12691" t="inlineStr">
        <is>
          <t>DALS-ED</t>
        </is>
      </c>
      <c r="G12691" t="n">
        <v>0.6</v>
      </c>
      <c r="H12691" t="n">
        <v>0</v>
      </c>
      <c r="I12691" t="n">
        <v>0</v>
      </c>
      <c r="J12691" t="n">
        <v>0</v>
      </c>
      <c r="K12691" t="n">
        <v>0</v>
      </c>
      <c r="L12691" t="n">
        <v>0</v>
      </c>
      <c r="M12691" t="n">
        <v>0</v>
      </c>
      <c r="N12691" t="n">
        <v>0</v>
      </c>
      <c r="O12691" t="n">
        <v>0</v>
      </c>
      <c r="P12691" t="n">
        <v>0</v>
      </c>
      <c r="Q12691" t="n">
        <v>0</v>
      </c>
      <c r="R12691" s="2" t="inlineStr"/>
    </row>
    <row r="12692" ht="15" customHeight="1">
      <c r="A12692" t="inlineStr">
        <is>
          <t>A 34393-2025</t>
        </is>
      </c>
      <c r="B12692" s="1" t="n">
        <v>45846.58597222222</v>
      </c>
      <c r="C12692" s="1" t="n">
        <v>45952</v>
      </c>
      <c r="D12692" t="inlineStr">
        <is>
          <t>VÄSTRA GÖTALANDS LÄN</t>
        </is>
      </c>
      <c r="E12692" t="inlineStr">
        <is>
          <t>BENGTSFORS</t>
        </is>
      </c>
      <c r="G12692" t="n">
        <v>1.4</v>
      </c>
      <c r="H12692" t="n">
        <v>0</v>
      </c>
      <c r="I12692" t="n">
        <v>0</v>
      </c>
      <c r="J12692" t="n">
        <v>0</v>
      </c>
      <c r="K12692" t="n">
        <v>0</v>
      </c>
      <c r="L12692" t="n">
        <v>0</v>
      </c>
      <c r="M12692" t="n">
        <v>0</v>
      </c>
      <c r="N12692" t="n">
        <v>0</v>
      </c>
      <c r="O12692" t="n">
        <v>0</v>
      </c>
      <c r="P12692" t="n">
        <v>0</v>
      </c>
      <c r="Q12692" t="n">
        <v>0</v>
      </c>
      <c r="R12692" s="2" t="inlineStr"/>
    </row>
    <row r="12693" ht="15" customHeight="1">
      <c r="A12693" t="inlineStr">
        <is>
          <t>A 60118-2024</t>
        </is>
      </c>
      <c r="B12693" s="1" t="n">
        <v>45642.58109953703</v>
      </c>
      <c r="C12693" s="1" t="n">
        <v>45952</v>
      </c>
      <c r="D12693" t="inlineStr">
        <is>
          <t>VÄSTRA GÖTALANDS LÄN</t>
        </is>
      </c>
      <c r="E12693" t="inlineStr">
        <is>
          <t>LIDKÖPING</t>
        </is>
      </c>
      <c r="G12693" t="n">
        <v>0.6</v>
      </c>
      <c r="H12693" t="n">
        <v>0</v>
      </c>
      <c r="I12693" t="n">
        <v>0</v>
      </c>
      <c r="J12693" t="n">
        <v>0</v>
      </c>
      <c r="K12693" t="n">
        <v>0</v>
      </c>
      <c r="L12693" t="n">
        <v>0</v>
      </c>
      <c r="M12693" t="n">
        <v>0</v>
      </c>
      <c r="N12693" t="n">
        <v>0</v>
      </c>
      <c r="O12693" t="n">
        <v>0</v>
      </c>
      <c r="P12693" t="n">
        <v>0</v>
      </c>
      <c r="Q12693" t="n">
        <v>0</v>
      </c>
      <c r="R12693" s="2" t="inlineStr"/>
    </row>
    <row r="12694" ht="15" customHeight="1">
      <c r="A12694" t="inlineStr">
        <is>
          <t>A 34419-2025</t>
        </is>
      </c>
      <c r="B12694" s="1" t="n">
        <v>45846.66137731481</v>
      </c>
      <c r="C12694" s="1" t="n">
        <v>45952</v>
      </c>
      <c r="D12694" t="inlineStr">
        <is>
          <t>VÄSTRA GÖTALANDS LÄN</t>
        </is>
      </c>
      <c r="E12694" t="inlineStr">
        <is>
          <t>TIBRO</t>
        </is>
      </c>
      <c r="G12694" t="n">
        <v>1</v>
      </c>
      <c r="H12694" t="n">
        <v>0</v>
      </c>
      <c r="I12694" t="n">
        <v>0</v>
      </c>
      <c r="J12694" t="n">
        <v>0</v>
      </c>
      <c r="K12694" t="n">
        <v>0</v>
      </c>
      <c r="L12694" t="n">
        <v>0</v>
      </c>
      <c r="M12694" t="n">
        <v>0</v>
      </c>
      <c r="N12694" t="n">
        <v>0</v>
      </c>
      <c r="O12694" t="n">
        <v>0</v>
      </c>
      <c r="P12694" t="n">
        <v>0</v>
      </c>
      <c r="Q12694" t="n">
        <v>0</v>
      </c>
      <c r="R12694" s="2" t="inlineStr"/>
    </row>
    <row r="12695" ht="15" customHeight="1">
      <c r="A12695" t="inlineStr">
        <is>
          <t>A 30909-2025</t>
        </is>
      </c>
      <c r="B12695" s="1" t="n">
        <v>45832.36733796296</v>
      </c>
      <c r="C12695" s="1" t="n">
        <v>45952</v>
      </c>
      <c r="D12695" t="inlineStr">
        <is>
          <t>VÄSTRA GÖTALANDS LÄN</t>
        </is>
      </c>
      <c r="E12695" t="inlineStr">
        <is>
          <t>TRANEMO</t>
        </is>
      </c>
      <c r="G12695" t="n">
        <v>1.5</v>
      </c>
      <c r="H12695" t="n">
        <v>0</v>
      </c>
      <c r="I12695" t="n">
        <v>0</v>
      </c>
      <c r="J12695" t="n">
        <v>0</v>
      </c>
      <c r="K12695" t="n">
        <v>0</v>
      </c>
      <c r="L12695" t="n">
        <v>0</v>
      </c>
      <c r="M12695" t="n">
        <v>0</v>
      </c>
      <c r="N12695" t="n">
        <v>0</v>
      </c>
      <c r="O12695" t="n">
        <v>0</v>
      </c>
      <c r="P12695" t="n">
        <v>0</v>
      </c>
      <c r="Q12695" t="n">
        <v>0</v>
      </c>
      <c r="R12695" s="2" t="inlineStr"/>
    </row>
    <row r="12696" ht="15" customHeight="1">
      <c r="A12696" t="inlineStr">
        <is>
          <t>A 22188-2023</t>
        </is>
      </c>
      <c r="B12696" s="1" t="n">
        <v>45069.71425925926</v>
      </c>
      <c r="C12696" s="1" t="n">
        <v>45952</v>
      </c>
      <c r="D12696" t="inlineStr">
        <is>
          <t>VÄSTRA GÖTALANDS LÄN</t>
        </is>
      </c>
      <c r="E12696" t="inlineStr">
        <is>
          <t>SVENLJUNGA</t>
        </is>
      </c>
      <c r="G12696" t="n">
        <v>1</v>
      </c>
      <c r="H12696" t="n">
        <v>0</v>
      </c>
      <c r="I12696" t="n">
        <v>0</v>
      </c>
      <c r="J12696" t="n">
        <v>0</v>
      </c>
      <c r="K12696" t="n">
        <v>0</v>
      </c>
      <c r="L12696" t="n">
        <v>0</v>
      </c>
      <c r="M12696" t="n">
        <v>0</v>
      </c>
      <c r="N12696" t="n">
        <v>0</v>
      </c>
      <c r="O12696" t="n">
        <v>0</v>
      </c>
      <c r="P12696" t="n">
        <v>0</v>
      </c>
      <c r="Q12696" t="n">
        <v>0</v>
      </c>
      <c r="R12696" s="2" t="inlineStr"/>
    </row>
    <row r="12697" ht="15" customHeight="1">
      <c r="A12697" t="inlineStr">
        <is>
          <t>A 35959-2022</t>
        </is>
      </c>
      <c r="B12697" s="1" t="n">
        <v>44802.57002314815</v>
      </c>
      <c r="C12697" s="1" t="n">
        <v>45952</v>
      </c>
      <c r="D12697" t="inlineStr">
        <is>
          <t>VÄSTRA GÖTALANDS LÄN</t>
        </is>
      </c>
      <c r="E12697" t="inlineStr">
        <is>
          <t>ALE</t>
        </is>
      </c>
      <c r="G12697" t="n">
        <v>1</v>
      </c>
      <c r="H12697" t="n">
        <v>0</v>
      </c>
      <c r="I12697" t="n">
        <v>0</v>
      </c>
      <c r="J12697" t="n">
        <v>0</v>
      </c>
      <c r="K12697" t="n">
        <v>0</v>
      </c>
      <c r="L12697" t="n">
        <v>0</v>
      </c>
      <c r="M12697" t="n">
        <v>0</v>
      </c>
      <c r="N12697" t="n">
        <v>0</v>
      </c>
      <c r="O12697" t="n">
        <v>0</v>
      </c>
      <c r="P12697" t="n">
        <v>0</v>
      </c>
      <c r="Q12697" t="n">
        <v>0</v>
      </c>
      <c r="R12697" s="2" t="inlineStr"/>
    </row>
    <row r="12698" ht="15" customHeight="1">
      <c r="A12698" t="inlineStr">
        <is>
          <t>A 64250-2020</t>
        </is>
      </c>
      <c r="B12698" s="1" t="n">
        <v>44166</v>
      </c>
      <c r="C12698" s="1" t="n">
        <v>45952</v>
      </c>
      <c r="D12698" t="inlineStr">
        <is>
          <t>VÄSTRA GÖTALANDS LÄN</t>
        </is>
      </c>
      <c r="E12698" t="inlineStr">
        <is>
          <t>BORÅS</t>
        </is>
      </c>
      <c r="G12698" t="n">
        <v>1.3</v>
      </c>
      <c r="H12698" t="n">
        <v>0</v>
      </c>
      <c r="I12698" t="n">
        <v>0</v>
      </c>
      <c r="J12698" t="n">
        <v>0</v>
      </c>
      <c r="K12698" t="n">
        <v>0</v>
      </c>
      <c r="L12698" t="n">
        <v>0</v>
      </c>
      <c r="M12698" t="n">
        <v>0</v>
      </c>
      <c r="N12698" t="n">
        <v>0</v>
      </c>
      <c r="O12698" t="n">
        <v>0</v>
      </c>
      <c r="P12698" t="n">
        <v>0</v>
      </c>
      <c r="Q12698" t="n">
        <v>0</v>
      </c>
      <c r="R12698" s="2" t="inlineStr"/>
    </row>
    <row r="12699" ht="15" customHeight="1">
      <c r="A12699" t="inlineStr">
        <is>
          <t>A 34508-2025</t>
        </is>
      </c>
      <c r="B12699" s="1" t="n">
        <v>45847.44315972222</v>
      </c>
      <c r="C12699" s="1" t="n">
        <v>45952</v>
      </c>
      <c r="D12699" t="inlineStr">
        <is>
          <t>VÄSTRA GÖTALANDS LÄN</t>
        </is>
      </c>
      <c r="E12699" t="inlineStr">
        <is>
          <t>TJÖRN</t>
        </is>
      </c>
      <c r="G12699" t="n">
        <v>2</v>
      </c>
      <c r="H12699" t="n">
        <v>0</v>
      </c>
      <c r="I12699" t="n">
        <v>0</v>
      </c>
      <c r="J12699" t="n">
        <v>0</v>
      </c>
      <c r="K12699" t="n">
        <v>0</v>
      </c>
      <c r="L12699" t="n">
        <v>0</v>
      </c>
      <c r="M12699" t="n">
        <v>0</v>
      </c>
      <c r="N12699" t="n">
        <v>0</v>
      </c>
      <c r="O12699" t="n">
        <v>0</v>
      </c>
      <c r="P12699" t="n">
        <v>0</v>
      </c>
      <c r="Q12699" t="n">
        <v>0</v>
      </c>
      <c r="R12699" s="2" t="inlineStr"/>
    </row>
    <row r="12700" ht="15" customHeight="1">
      <c r="A12700" t="inlineStr">
        <is>
          <t>A 29385-2025</t>
        </is>
      </c>
      <c r="B12700" s="1" t="n">
        <v>45824.60089120371</v>
      </c>
      <c r="C12700" s="1" t="n">
        <v>45952</v>
      </c>
      <c r="D12700" t="inlineStr">
        <is>
          <t>VÄSTRA GÖTALANDS LÄN</t>
        </is>
      </c>
      <c r="E12700" t="inlineStr">
        <is>
          <t>TRANEMO</t>
        </is>
      </c>
      <c r="G12700" t="n">
        <v>3.4</v>
      </c>
      <c r="H12700" t="n">
        <v>0</v>
      </c>
      <c r="I12700" t="n">
        <v>0</v>
      </c>
      <c r="J12700" t="n">
        <v>0</v>
      </c>
      <c r="K12700" t="n">
        <v>0</v>
      </c>
      <c r="L12700" t="n">
        <v>0</v>
      </c>
      <c r="M12700" t="n">
        <v>0</v>
      </c>
      <c r="N12700" t="n">
        <v>0</v>
      </c>
      <c r="O12700" t="n">
        <v>0</v>
      </c>
      <c r="P12700" t="n">
        <v>0</v>
      </c>
      <c r="Q12700" t="n">
        <v>0</v>
      </c>
      <c r="R12700" s="2" t="inlineStr"/>
    </row>
    <row r="12701" ht="15" customHeight="1">
      <c r="A12701" t="inlineStr">
        <is>
          <t>A 23450-2025</t>
        </is>
      </c>
      <c r="B12701" s="1" t="n">
        <v>45792.40715277778</v>
      </c>
      <c r="C12701" s="1" t="n">
        <v>45952</v>
      </c>
      <c r="D12701" t="inlineStr">
        <is>
          <t>VÄSTRA GÖTALANDS LÄN</t>
        </is>
      </c>
      <c r="E12701" t="inlineStr">
        <is>
          <t>MELLERUD</t>
        </is>
      </c>
      <c r="G12701" t="n">
        <v>2.6</v>
      </c>
      <c r="H12701" t="n">
        <v>0</v>
      </c>
      <c r="I12701" t="n">
        <v>0</v>
      </c>
      <c r="J12701" t="n">
        <v>0</v>
      </c>
      <c r="K12701" t="n">
        <v>0</v>
      </c>
      <c r="L12701" t="n">
        <v>0</v>
      </c>
      <c r="M12701" t="n">
        <v>0</v>
      </c>
      <c r="N12701" t="n">
        <v>0</v>
      </c>
      <c r="O12701" t="n">
        <v>0</v>
      </c>
      <c r="P12701" t="n">
        <v>0</v>
      </c>
      <c r="Q12701" t="n">
        <v>0</v>
      </c>
      <c r="R12701" s="2" t="inlineStr"/>
    </row>
    <row r="12702" ht="15" customHeight="1">
      <c r="A12702" t="inlineStr">
        <is>
          <t>A 34502-2025</t>
        </is>
      </c>
      <c r="B12702" s="1" t="n">
        <v>45847.43163194445</v>
      </c>
      <c r="C12702" s="1" t="n">
        <v>45952</v>
      </c>
      <c r="D12702" t="inlineStr">
        <is>
          <t>VÄSTRA GÖTALANDS LÄN</t>
        </is>
      </c>
      <c r="E12702" t="inlineStr">
        <is>
          <t>ORUST</t>
        </is>
      </c>
      <c r="G12702" t="n">
        <v>0.6</v>
      </c>
      <c r="H12702" t="n">
        <v>0</v>
      </c>
      <c r="I12702" t="n">
        <v>0</v>
      </c>
      <c r="J12702" t="n">
        <v>0</v>
      </c>
      <c r="K12702" t="n">
        <v>0</v>
      </c>
      <c r="L12702" t="n">
        <v>0</v>
      </c>
      <c r="M12702" t="n">
        <v>0</v>
      </c>
      <c r="N12702" t="n">
        <v>0</v>
      </c>
      <c r="O12702" t="n">
        <v>0</v>
      </c>
      <c r="P12702" t="n">
        <v>0</v>
      </c>
      <c r="Q12702" t="n">
        <v>0</v>
      </c>
      <c r="R12702" s="2" t="inlineStr"/>
    </row>
    <row r="12703" ht="15" customHeight="1">
      <c r="A12703" t="inlineStr">
        <is>
          <t>A 1443-2025</t>
        </is>
      </c>
      <c r="B12703" s="1" t="n">
        <v>45669</v>
      </c>
      <c r="C12703" s="1" t="n">
        <v>45952</v>
      </c>
      <c r="D12703" t="inlineStr">
        <is>
          <t>VÄSTRA GÖTALANDS LÄN</t>
        </is>
      </c>
      <c r="E12703" t="inlineStr">
        <is>
          <t>TIDAHOLM</t>
        </is>
      </c>
      <c r="G12703" t="n">
        <v>2.7</v>
      </c>
      <c r="H12703" t="n">
        <v>0</v>
      </c>
      <c r="I12703" t="n">
        <v>0</v>
      </c>
      <c r="J12703" t="n">
        <v>0</v>
      </c>
      <c r="K12703" t="n">
        <v>0</v>
      </c>
      <c r="L12703" t="n">
        <v>0</v>
      </c>
      <c r="M12703" t="n">
        <v>0</v>
      </c>
      <c r="N12703" t="n">
        <v>0</v>
      </c>
      <c r="O12703" t="n">
        <v>0</v>
      </c>
      <c r="P12703" t="n">
        <v>0</v>
      </c>
      <c r="Q12703" t="n">
        <v>0</v>
      </c>
      <c r="R12703" s="2" t="inlineStr"/>
    </row>
    <row r="12704" ht="15" customHeight="1">
      <c r="A12704" t="inlineStr">
        <is>
          <t>A 65018-2020</t>
        </is>
      </c>
      <c r="B12704" s="1" t="n">
        <v>44172</v>
      </c>
      <c r="C12704" s="1" t="n">
        <v>45952</v>
      </c>
      <c r="D12704" t="inlineStr">
        <is>
          <t>VÄSTRA GÖTALANDS LÄN</t>
        </is>
      </c>
      <c r="E12704" t="inlineStr">
        <is>
          <t>BENGTSFORS</t>
        </is>
      </c>
      <c r="G12704" t="n">
        <v>0.9</v>
      </c>
      <c r="H12704" t="n">
        <v>0</v>
      </c>
      <c r="I12704" t="n">
        <v>0</v>
      </c>
      <c r="J12704" t="n">
        <v>0</v>
      </c>
      <c r="K12704" t="n">
        <v>0</v>
      </c>
      <c r="L12704" t="n">
        <v>0</v>
      </c>
      <c r="M12704" t="n">
        <v>0</v>
      </c>
      <c r="N12704" t="n">
        <v>0</v>
      </c>
      <c r="O12704" t="n">
        <v>0</v>
      </c>
      <c r="P12704" t="n">
        <v>0</v>
      </c>
      <c r="Q12704" t="n">
        <v>0</v>
      </c>
      <c r="R12704" s="2" t="inlineStr"/>
    </row>
    <row r="12705" ht="15" customHeight="1">
      <c r="A12705" t="inlineStr">
        <is>
          <t>A 34394-2025</t>
        </is>
      </c>
      <c r="B12705" s="1" t="n">
        <v>45846.58854166666</v>
      </c>
      <c r="C12705" s="1" t="n">
        <v>45952</v>
      </c>
      <c r="D12705" t="inlineStr">
        <is>
          <t>VÄSTRA GÖTALANDS LÄN</t>
        </is>
      </c>
      <c r="E12705" t="inlineStr">
        <is>
          <t>TJÖRN</t>
        </is>
      </c>
      <c r="G12705" t="n">
        <v>3.9</v>
      </c>
      <c r="H12705" t="n">
        <v>0</v>
      </c>
      <c r="I12705" t="n">
        <v>0</v>
      </c>
      <c r="J12705" t="n">
        <v>0</v>
      </c>
      <c r="K12705" t="n">
        <v>0</v>
      </c>
      <c r="L12705" t="n">
        <v>0</v>
      </c>
      <c r="M12705" t="n">
        <v>0</v>
      </c>
      <c r="N12705" t="n">
        <v>0</v>
      </c>
      <c r="O12705" t="n">
        <v>0</v>
      </c>
      <c r="P12705" t="n">
        <v>0</v>
      </c>
      <c r="Q12705" t="n">
        <v>0</v>
      </c>
      <c r="R12705" s="2" t="inlineStr"/>
    </row>
    <row r="12706" ht="15" customHeight="1">
      <c r="A12706" t="inlineStr">
        <is>
          <t>A 50400-2024</t>
        </is>
      </c>
      <c r="B12706" s="1" t="n">
        <v>45601</v>
      </c>
      <c r="C12706" s="1" t="n">
        <v>45952</v>
      </c>
      <c r="D12706" t="inlineStr">
        <is>
          <t>VÄSTRA GÖTALANDS LÄN</t>
        </is>
      </c>
      <c r="E12706" t="inlineStr">
        <is>
          <t>FALKÖPING</t>
        </is>
      </c>
      <c r="G12706" t="n">
        <v>3.1</v>
      </c>
      <c r="H12706" t="n">
        <v>0</v>
      </c>
      <c r="I12706" t="n">
        <v>0</v>
      </c>
      <c r="J12706" t="n">
        <v>0</v>
      </c>
      <c r="K12706" t="n">
        <v>0</v>
      </c>
      <c r="L12706" t="n">
        <v>0</v>
      </c>
      <c r="M12706" t="n">
        <v>0</v>
      </c>
      <c r="N12706" t="n">
        <v>0</v>
      </c>
      <c r="O12706" t="n">
        <v>0</v>
      </c>
      <c r="P12706" t="n">
        <v>0</v>
      </c>
      <c r="Q12706" t="n">
        <v>0</v>
      </c>
      <c r="R12706" s="2" t="inlineStr"/>
    </row>
    <row r="12707" ht="15" customHeight="1">
      <c r="A12707" t="inlineStr">
        <is>
          <t>A 34282-2025</t>
        </is>
      </c>
      <c r="B12707" s="1" t="n">
        <v>45846.31435185186</v>
      </c>
      <c r="C12707" s="1" t="n">
        <v>45952</v>
      </c>
      <c r="D12707" t="inlineStr">
        <is>
          <t>VÄSTRA GÖTALANDS LÄN</t>
        </is>
      </c>
      <c r="E12707" t="inlineStr">
        <is>
          <t>ULRICEHAMN</t>
        </is>
      </c>
      <c r="G12707" t="n">
        <v>0.9</v>
      </c>
      <c r="H12707" t="n">
        <v>0</v>
      </c>
      <c r="I12707" t="n">
        <v>0</v>
      </c>
      <c r="J12707" t="n">
        <v>0</v>
      </c>
      <c r="K12707" t="n">
        <v>0</v>
      </c>
      <c r="L12707" t="n">
        <v>0</v>
      </c>
      <c r="M12707" t="n">
        <v>0</v>
      </c>
      <c r="N12707" t="n">
        <v>0</v>
      </c>
      <c r="O12707" t="n">
        <v>0</v>
      </c>
      <c r="P12707" t="n">
        <v>0</v>
      </c>
      <c r="Q12707" t="n">
        <v>0</v>
      </c>
      <c r="R12707" s="2" t="inlineStr"/>
    </row>
    <row r="12708" ht="15" customHeight="1">
      <c r="A12708" t="inlineStr">
        <is>
          <t>A 33844-2025</t>
        </is>
      </c>
      <c r="B12708" s="1" t="n">
        <v>45842</v>
      </c>
      <c r="C12708" s="1" t="n">
        <v>45952</v>
      </c>
      <c r="D12708" t="inlineStr">
        <is>
          <t>VÄSTRA GÖTALANDS LÄN</t>
        </is>
      </c>
      <c r="E12708" t="inlineStr">
        <is>
          <t>ULRICEHAMN</t>
        </is>
      </c>
      <c r="G12708" t="n">
        <v>5.7</v>
      </c>
      <c r="H12708" t="n">
        <v>0</v>
      </c>
      <c r="I12708" t="n">
        <v>0</v>
      </c>
      <c r="J12708" t="n">
        <v>0</v>
      </c>
      <c r="K12708" t="n">
        <v>0</v>
      </c>
      <c r="L12708" t="n">
        <v>0</v>
      </c>
      <c r="M12708" t="n">
        <v>0</v>
      </c>
      <c r="N12708" t="n">
        <v>0</v>
      </c>
      <c r="O12708" t="n">
        <v>0</v>
      </c>
      <c r="P12708" t="n">
        <v>0</v>
      </c>
      <c r="Q12708" t="n">
        <v>0</v>
      </c>
      <c r="R12708" s="2" t="inlineStr"/>
    </row>
    <row r="12709" ht="15" customHeight="1">
      <c r="A12709" t="inlineStr">
        <is>
          <t>A 34493-2025</t>
        </is>
      </c>
      <c r="B12709" s="1" t="n">
        <v>45847.42376157407</v>
      </c>
      <c r="C12709" s="1" t="n">
        <v>45952</v>
      </c>
      <c r="D12709" t="inlineStr">
        <is>
          <t>VÄSTRA GÖTALANDS LÄN</t>
        </is>
      </c>
      <c r="E12709" t="inlineStr">
        <is>
          <t>UDDEVALLA</t>
        </is>
      </c>
      <c r="G12709" t="n">
        <v>3.7</v>
      </c>
      <c r="H12709" t="n">
        <v>0</v>
      </c>
      <c r="I12709" t="n">
        <v>0</v>
      </c>
      <c r="J12709" t="n">
        <v>0</v>
      </c>
      <c r="K12709" t="n">
        <v>0</v>
      </c>
      <c r="L12709" t="n">
        <v>0</v>
      </c>
      <c r="M12709" t="n">
        <v>0</v>
      </c>
      <c r="N12709" t="n">
        <v>0</v>
      </c>
      <c r="O12709" t="n">
        <v>0</v>
      </c>
      <c r="P12709" t="n">
        <v>0</v>
      </c>
      <c r="Q12709" t="n">
        <v>0</v>
      </c>
      <c r="R12709" s="2" t="inlineStr"/>
    </row>
    <row r="12710" ht="15" customHeight="1">
      <c r="A12710" t="inlineStr">
        <is>
          <t>A 34500-2025</t>
        </is>
      </c>
      <c r="B12710" s="1" t="n">
        <v>45847.43075231482</v>
      </c>
      <c r="C12710" s="1" t="n">
        <v>45952</v>
      </c>
      <c r="D12710" t="inlineStr">
        <is>
          <t>VÄSTRA GÖTALANDS LÄN</t>
        </is>
      </c>
      <c r="E12710" t="inlineStr">
        <is>
          <t>ORUST</t>
        </is>
      </c>
      <c r="G12710" t="n">
        <v>7.4</v>
      </c>
      <c r="H12710" t="n">
        <v>0</v>
      </c>
      <c r="I12710" t="n">
        <v>0</v>
      </c>
      <c r="J12710" t="n">
        <v>0</v>
      </c>
      <c r="K12710" t="n">
        <v>0</v>
      </c>
      <c r="L12710" t="n">
        <v>0</v>
      </c>
      <c r="M12710" t="n">
        <v>0</v>
      </c>
      <c r="N12710" t="n">
        <v>0</v>
      </c>
      <c r="O12710" t="n">
        <v>0</v>
      </c>
      <c r="P12710" t="n">
        <v>0</v>
      </c>
      <c r="Q12710" t="n">
        <v>0</v>
      </c>
      <c r="R12710" s="2" t="inlineStr"/>
    </row>
    <row r="12711" ht="15" customHeight="1">
      <c r="A12711" t="inlineStr">
        <is>
          <t>A 34308-2025</t>
        </is>
      </c>
      <c r="B12711" s="1" t="n">
        <v>45846.3706712963</v>
      </c>
      <c r="C12711" s="1" t="n">
        <v>45952</v>
      </c>
      <c r="D12711" t="inlineStr">
        <is>
          <t>VÄSTRA GÖTALANDS LÄN</t>
        </is>
      </c>
      <c r="E12711" t="inlineStr">
        <is>
          <t>SVENLJUNGA</t>
        </is>
      </c>
      <c r="G12711" t="n">
        <v>1</v>
      </c>
      <c r="H12711" t="n">
        <v>0</v>
      </c>
      <c r="I12711" t="n">
        <v>0</v>
      </c>
      <c r="J12711" t="n">
        <v>0</v>
      </c>
      <c r="K12711" t="n">
        <v>0</v>
      </c>
      <c r="L12711" t="n">
        <v>0</v>
      </c>
      <c r="M12711" t="n">
        <v>0</v>
      </c>
      <c r="N12711" t="n">
        <v>0</v>
      </c>
      <c r="O12711" t="n">
        <v>0</v>
      </c>
      <c r="P12711" t="n">
        <v>0</v>
      </c>
      <c r="Q12711" t="n">
        <v>0</v>
      </c>
      <c r="R12711" s="2" t="inlineStr"/>
    </row>
    <row r="12712" ht="15" customHeight="1">
      <c r="A12712" t="inlineStr">
        <is>
          <t>A 47960-2022</t>
        </is>
      </c>
      <c r="B12712" s="1" t="n">
        <v>44855</v>
      </c>
      <c r="C12712" s="1" t="n">
        <v>45952</v>
      </c>
      <c r="D12712" t="inlineStr">
        <is>
          <t>VÄSTRA GÖTALANDS LÄN</t>
        </is>
      </c>
      <c r="E12712" t="inlineStr">
        <is>
          <t>ALINGSÅS</t>
        </is>
      </c>
      <c r="G12712" t="n">
        <v>2.3</v>
      </c>
      <c r="H12712" t="n">
        <v>0</v>
      </c>
      <c r="I12712" t="n">
        <v>0</v>
      </c>
      <c r="J12712" t="n">
        <v>0</v>
      </c>
      <c r="K12712" t="n">
        <v>0</v>
      </c>
      <c r="L12712" t="n">
        <v>0</v>
      </c>
      <c r="M12712" t="n">
        <v>0</v>
      </c>
      <c r="N12712" t="n">
        <v>0</v>
      </c>
      <c r="O12712" t="n">
        <v>0</v>
      </c>
      <c r="P12712" t="n">
        <v>0</v>
      </c>
      <c r="Q12712" t="n">
        <v>0</v>
      </c>
      <c r="R12712" s="2" t="inlineStr"/>
    </row>
    <row r="12713" ht="15" customHeight="1">
      <c r="A12713" t="inlineStr">
        <is>
          <t>A 56442-2023</t>
        </is>
      </c>
      <c r="B12713" s="1" t="n">
        <v>45237</v>
      </c>
      <c r="C12713" s="1" t="n">
        <v>45952</v>
      </c>
      <c r="D12713" t="inlineStr">
        <is>
          <t>VÄSTRA GÖTALANDS LÄN</t>
        </is>
      </c>
      <c r="E12713" t="inlineStr">
        <is>
          <t>DALS-ED</t>
        </is>
      </c>
      <c r="F12713" t="inlineStr">
        <is>
          <t>Kyrkan</t>
        </is>
      </c>
      <c r="G12713" t="n">
        <v>8.300000000000001</v>
      </c>
      <c r="H12713" t="n">
        <v>0</v>
      </c>
      <c r="I12713" t="n">
        <v>0</v>
      </c>
      <c r="J12713" t="n">
        <v>0</v>
      </c>
      <c r="K12713" t="n">
        <v>0</v>
      </c>
      <c r="L12713" t="n">
        <v>0</v>
      </c>
      <c r="M12713" t="n">
        <v>0</v>
      </c>
      <c r="N12713" t="n">
        <v>0</v>
      </c>
      <c r="O12713" t="n">
        <v>0</v>
      </c>
      <c r="P12713" t="n">
        <v>0</v>
      </c>
      <c r="Q12713" t="n">
        <v>0</v>
      </c>
      <c r="R12713" s="2" t="inlineStr"/>
    </row>
    <row r="12714" ht="15" customHeight="1">
      <c r="A12714" t="inlineStr">
        <is>
          <t>A 34623-2025</t>
        </is>
      </c>
      <c r="B12714" s="1" t="n">
        <v>45847.73258101852</v>
      </c>
      <c r="C12714" s="1" t="n">
        <v>45952</v>
      </c>
      <c r="D12714" t="inlineStr">
        <is>
          <t>VÄSTRA GÖTALANDS LÄN</t>
        </is>
      </c>
      <c r="E12714" t="inlineStr">
        <is>
          <t>LYSEKIL</t>
        </is>
      </c>
      <c r="G12714" t="n">
        <v>3.4</v>
      </c>
      <c r="H12714" t="n">
        <v>0</v>
      </c>
      <c r="I12714" t="n">
        <v>0</v>
      </c>
      <c r="J12714" t="n">
        <v>0</v>
      </c>
      <c r="K12714" t="n">
        <v>0</v>
      </c>
      <c r="L12714" t="n">
        <v>0</v>
      </c>
      <c r="M12714" t="n">
        <v>0</v>
      </c>
      <c r="N12714" t="n">
        <v>0</v>
      </c>
      <c r="O12714" t="n">
        <v>0</v>
      </c>
      <c r="P12714" t="n">
        <v>0</v>
      </c>
      <c r="Q12714" t="n">
        <v>0</v>
      </c>
      <c r="R12714" s="2" t="inlineStr"/>
    </row>
    <row r="12715" ht="15" customHeight="1">
      <c r="A12715" t="inlineStr">
        <is>
          <t>A 34402-2025</t>
        </is>
      </c>
      <c r="B12715" s="1" t="n">
        <v>45846.61403935185</v>
      </c>
      <c r="C12715" s="1" t="n">
        <v>45952</v>
      </c>
      <c r="D12715" t="inlineStr">
        <is>
          <t>VÄSTRA GÖTALANDS LÄN</t>
        </is>
      </c>
      <c r="E12715" t="inlineStr">
        <is>
          <t>TIBRO</t>
        </is>
      </c>
      <c r="G12715" t="n">
        <v>5.3</v>
      </c>
      <c r="H12715" t="n">
        <v>0</v>
      </c>
      <c r="I12715" t="n">
        <v>0</v>
      </c>
      <c r="J12715" t="n">
        <v>0</v>
      </c>
      <c r="K12715" t="n">
        <v>0</v>
      </c>
      <c r="L12715" t="n">
        <v>0</v>
      </c>
      <c r="M12715" t="n">
        <v>0</v>
      </c>
      <c r="N12715" t="n">
        <v>0</v>
      </c>
      <c r="O12715" t="n">
        <v>0</v>
      </c>
      <c r="P12715" t="n">
        <v>0</v>
      </c>
      <c r="Q12715" t="n">
        <v>0</v>
      </c>
      <c r="R12715" s="2" t="inlineStr"/>
    </row>
    <row r="12716" ht="15" customHeight="1">
      <c r="A12716" t="inlineStr">
        <is>
          <t>A 34410-2025</t>
        </is>
      </c>
      <c r="B12716" s="1" t="n">
        <v>45846.64479166667</v>
      </c>
      <c r="C12716" s="1" t="n">
        <v>45952</v>
      </c>
      <c r="D12716" t="inlineStr">
        <is>
          <t>VÄSTRA GÖTALANDS LÄN</t>
        </is>
      </c>
      <c r="E12716" t="inlineStr">
        <is>
          <t>SKÖVDE</t>
        </is>
      </c>
      <c r="G12716" t="n">
        <v>1.2</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34414-2025</t>
        </is>
      </c>
      <c r="B12717" s="1" t="n">
        <v>45846</v>
      </c>
      <c r="C12717" s="1" t="n">
        <v>45952</v>
      </c>
      <c r="D12717" t="inlineStr">
        <is>
          <t>VÄSTRA GÖTALANDS LÄN</t>
        </is>
      </c>
      <c r="E12717" t="inlineStr">
        <is>
          <t>SKÖVDE</t>
        </is>
      </c>
      <c r="G12717" t="n">
        <v>1.6</v>
      </c>
      <c r="H12717" t="n">
        <v>0</v>
      </c>
      <c r="I12717" t="n">
        <v>0</v>
      </c>
      <c r="J12717" t="n">
        <v>0</v>
      </c>
      <c r="K12717" t="n">
        <v>0</v>
      </c>
      <c r="L12717" t="n">
        <v>0</v>
      </c>
      <c r="M12717" t="n">
        <v>0</v>
      </c>
      <c r="N12717" t="n">
        <v>0</v>
      </c>
      <c r="O12717" t="n">
        <v>0</v>
      </c>
      <c r="P12717" t="n">
        <v>0</v>
      </c>
      <c r="Q12717" t="n">
        <v>0</v>
      </c>
      <c r="R12717" s="2" t="inlineStr"/>
    </row>
    <row r="12718" ht="15" customHeight="1">
      <c r="A12718" t="inlineStr">
        <is>
          <t>A 19553-2024</t>
        </is>
      </c>
      <c r="B12718" s="1" t="n">
        <v>45429</v>
      </c>
      <c r="C12718" s="1" t="n">
        <v>45952</v>
      </c>
      <c r="D12718" t="inlineStr">
        <is>
          <t>VÄSTRA GÖTALANDS LÄN</t>
        </is>
      </c>
      <c r="E12718" t="inlineStr">
        <is>
          <t>ALINGSÅS</t>
        </is>
      </c>
      <c r="G12718" t="n">
        <v>1.7</v>
      </c>
      <c r="H12718" t="n">
        <v>0</v>
      </c>
      <c r="I12718" t="n">
        <v>0</v>
      </c>
      <c r="J12718" t="n">
        <v>0</v>
      </c>
      <c r="K12718" t="n">
        <v>0</v>
      </c>
      <c r="L12718" t="n">
        <v>0</v>
      </c>
      <c r="M12718" t="n">
        <v>0</v>
      </c>
      <c r="N12718" t="n">
        <v>0</v>
      </c>
      <c r="O12718" t="n">
        <v>0</v>
      </c>
      <c r="P12718" t="n">
        <v>0</v>
      </c>
      <c r="Q12718" t="n">
        <v>0</v>
      </c>
      <c r="R12718" s="2" t="inlineStr"/>
    </row>
    <row r="12719" ht="15" customHeight="1">
      <c r="A12719" t="inlineStr">
        <is>
          <t>A 57805-2024</t>
        </is>
      </c>
      <c r="B12719" s="1" t="n">
        <v>45631.34956018518</v>
      </c>
      <c r="C12719" s="1" t="n">
        <v>45952</v>
      </c>
      <c r="D12719" t="inlineStr">
        <is>
          <t>VÄSTRA GÖTALANDS LÄN</t>
        </is>
      </c>
      <c r="E12719" t="inlineStr">
        <is>
          <t>MARK</t>
        </is>
      </c>
      <c r="G12719" t="n">
        <v>0.9</v>
      </c>
      <c r="H12719" t="n">
        <v>0</v>
      </c>
      <c r="I12719" t="n">
        <v>0</v>
      </c>
      <c r="J12719" t="n">
        <v>0</v>
      </c>
      <c r="K12719" t="n">
        <v>0</v>
      </c>
      <c r="L12719" t="n">
        <v>0</v>
      </c>
      <c r="M12719" t="n">
        <v>0</v>
      </c>
      <c r="N12719" t="n">
        <v>0</v>
      </c>
      <c r="O12719" t="n">
        <v>0</v>
      </c>
      <c r="P12719" t="n">
        <v>0</v>
      </c>
      <c r="Q12719" t="n">
        <v>0</v>
      </c>
      <c r="R12719" s="2" t="inlineStr"/>
    </row>
    <row r="12720" ht="15" customHeight="1">
      <c r="A12720" t="inlineStr">
        <is>
          <t>A 21918-2025</t>
        </is>
      </c>
      <c r="B12720" s="1" t="n">
        <v>45784.50868055555</v>
      </c>
      <c r="C12720" s="1" t="n">
        <v>45952</v>
      </c>
      <c r="D12720" t="inlineStr">
        <is>
          <t>VÄSTRA GÖTALANDS LÄN</t>
        </is>
      </c>
      <c r="E12720" t="inlineStr">
        <is>
          <t>ULRICEHAMN</t>
        </is>
      </c>
      <c r="G12720" t="n">
        <v>1.9</v>
      </c>
      <c r="H12720" t="n">
        <v>0</v>
      </c>
      <c r="I12720" t="n">
        <v>0</v>
      </c>
      <c r="J12720" t="n">
        <v>0</v>
      </c>
      <c r="K12720" t="n">
        <v>0</v>
      </c>
      <c r="L12720" t="n">
        <v>0</v>
      </c>
      <c r="M12720" t="n">
        <v>0</v>
      </c>
      <c r="N12720" t="n">
        <v>0</v>
      </c>
      <c r="O12720" t="n">
        <v>0</v>
      </c>
      <c r="P12720" t="n">
        <v>0</v>
      </c>
      <c r="Q12720" t="n">
        <v>0</v>
      </c>
      <c r="R12720" s="2" t="inlineStr"/>
    </row>
    <row r="12721" ht="15" customHeight="1">
      <c r="A12721" t="inlineStr">
        <is>
          <t>A 49985-2023</t>
        </is>
      </c>
      <c r="B12721" s="1" t="n">
        <v>45215</v>
      </c>
      <c r="C12721" s="1" t="n">
        <v>45952</v>
      </c>
      <c r="D12721" t="inlineStr">
        <is>
          <t>VÄSTRA GÖTALANDS LÄN</t>
        </is>
      </c>
      <c r="E12721" t="inlineStr">
        <is>
          <t>KUNGÄLV</t>
        </is>
      </c>
      <c r="G12721" t="n">
        <v>8.199999999999999</v>
      </c>
      <c r="H12721" t="n">
        <v>0</v>
      </c>
      <c r="I12721" t="n">
        <v>0</v>
      </c>
      <c r="J12721" t="n">
        <v>0</v>
      </c>
      <c r="K12721" t="n">
        <v>0</v>
      </c>
      <c r="L12721" t="n">
        <v>0</v>
      </c>
      <c r="M12721" t="n">
        <v>0</v>
      </c>
      <c r="N12721" t="n">
        <v>0</v>
      </c>
      <c r="O12721" t="n">
        <v>0</v>
      </c>
      <c r="P12721" t="n">
        <v>0</v>
      </c>
      <c r="Q12721" t="n">
        <v>0</v>
      </c>
      <c r="R12721" s="2" t="inlineStr"/>
    </row>
    <row r="12722" ht="15" customHeight="1">
      <c r="A12722" t="inlineStr">
        <is>
          <t>A 34379-2025</t>
        </is>
      </c>
      <c r="B12722" s="1" t="n">
        <v>45846.54078703704</v>
      </c>
      <c r="C12722" s="1" t="n">
        <v>45952</v>
      </c>
      <c r="D12722" t="inlineStr">
        <is>
          <t>VÄSTRA GÖTALANDS LÄN</t>
        </is>
      </c>
      <c r="E12722" t="inlineStr">
        <is>
          <t>FÄRGELANDA</t>
        </is>
      </c>
      <c r="G12722" t="n">
        <v>0.5</v>
      </c>
      <c r="H12722" t="n">
        <v>0</v>
      </c>
      <c r="I12722" t="n">
        <v>0</v>
      </c>
      <c r="J12722" t="n">
        <v>0</v>
      </c>
      <c r="K12722" t="n">
        <v>0</v>
      </c>
      <c r="L12722" t="n">
        <v>0</v>
      </c>
      <c r="M12722" t="n">
        <v>0</v>
      </c>
      <c r="N12722" t="n">
        <v>0</v>
      </c>
      <c r="O12722" t="n">
        <v>0</v>
      </c>
      <c r="P12722" t="n">
        <v>0</v>
      </c>
      <c r="Q12722" t="n">
        <v>0</v>
      </c>
      <c r="R12722" s="2" t="inlineStr"/>
    </row>
    <row r="12723" ht="15" customHeight="1">
      <c r="A12723" t="inlineStr">
        <is>
          <t>A 10500-2023</t>
        </is>
      </c>
      <c r="B12723" s="1" t="n">
        <v>44981</v>
      </c>
      <c r="C12723" s="1" t="n">
        <v>45952</v>
      </c>
      <c r="D12723" t="inlineStr">
        <is>
          <t>VÄSTRA GÖTALANDS LÄN</t>
        </is>
      </c>
      <c r="E12723" t="inlineStr">
        <is>
          <t>MARIESTAD</t>
        </is>
      </c>
      <c r="G12723" t="n">
        <v>0.6</v>
      </c>
      <c r="H12723" t="n">
        <v>0</v>
      </c>
      <c r="I12723" t="n">
        <v>0</v>
      </c>
      <c r="J12723" t="n">
        <v>0</v>
      </c>
      <c r="K12723" t="n">
        <v>0</v>
      </c>
      <c r="L12723" t="n">
        <v>0</v>
      </c>
      <c r="M12723" t="n">
        <v>0</v>
      </c>
      <c r="N12723" t="n">
        <v>0</v>
      </c>
      <c r="O12723" t="n">
        <v>0</v>
      </c>
      <c r="P12723" t="n">
        <v>0</v>
      </c>
      <c r="Q12723" t="n">
        <v>0</v>
      </c>
      <c r="R12723" s="2" t="inlineStr"/>
    </row>
    <row r="12724" ht="15" customHeight="1">
      <c r="A12724" t="inlineStr">
        <is>
          <t>A 10516-2023</t>
        </is>
      </c>
      <c r="B12724" s="1" t="n">
        <v>44987</v>
      </c>
      <c r="C12724" s="1" t="n">
        <v>45952</v>
      </c>
      <c r="D12724" t="inlineStr">
        <is>
          <t>VÄSTRA GÖTALANDS LÄN</t>
        </is>
      </c>
      <c r="E12724" t="inlineStr">
        <is>
          <t>SVENLJUNGA</t>
        </is>
      </c>
      <c r="G12724" t="n">
        <v>5.4</v>
      </c>
      <c r="H12724" t="n">
        <v>0</v>
      </c>
      <c r="I12724" t="n">
        <v>0</v>
      </c>
      <c r="J12724" t="n">
        <v>0</v>
      </c>
      <c r="K12724" t="n">
        <v>0</v>
      </c>
      <c r="L12724" t="n">
        <v>0</v>
      </c>
      <c r="M12724" t="n">
        <v>0</v>
      </c>
      <c r="N12724" t="n">
        <v>0</v>
      </c>
      <c r="O12724" t="n">
        <v>0</v>
      </c>
      <c r="P12724" t="n">
        <v>0</v>
      </c>
      <c r="Q12724" t="n">
        <v>0</v>
      </c>
      <c r="R12724" s="2" t="inlineStr"/>
    </row>
    <row r="12725" ht="15" customHeight="1">
      <c r="A12725" t="inlineStr">
        <is>
          <t>A 58325-2024</t>
        </is>
      </c>
      <c r="B12725" s="1" t="n">
        <v>45632.62700231482</v>
      </c>
      <c r="C12725" s="1" t="n">
        <v>45952</v>
      </c>
      <c r="D12725" t="inlineStr">
        <is>
          <t>VÄSTRA GÖTALANDS LÄN</t>
        </is>
      </c>
      <c r="E12725" t="inlineStr">
        <is>
          <t>MUNKEDAL</t>
        </is>
      </c>
      <c r="G12725" t="n">
        <v>1.8</v>
      </c>
      <c r="H12725" t="n">
        <v>0</v>
      </c>
      <c r="I12725" t="n">
        <v>0</v>
      </c>
      <c r="J12725" t="n">
        <v>0</v>
      </c>
      <c r="K12725" t="n">
        <v>0</v>
      </c>
      <c r="L12725" t="n">
        <v>0</v>
      </c>
      <c r="M12725" t="n">
        <v>0</v>
      </c>
      <c r="N12725" t="n">
        <v>0</v>
      </c>
      <c r="O12725" t="n">
        <v>0</v>
      </c>
      <c r="P12725" t="n">
        <v>0</v>
      </c>
      <c r="Q12725" t="n">
        <v>0</v>
      </c>
      <c r="R12725" s="2" t="inlineStr"/>
    </row>
    <row r="12726" ht="15" customHeight="1">
      <c r="A12726" t="inlineStr">
        <is>
          <t>A 60287-2023</t>
        </is>
      </c>
      <c r="B12726" s="1" t="n">
        <v>45258.70438657407</v>
      </c>
      <c r="C12726" s="1" t="n">
        <v>45952</v>
      </c>
      <c r="D12726" t="inlineStr">
        <is>
          <t>VÄSTRA GÖTALANDS LÄN</t>
        </is>
      </c>
      <c r="E12726" t="inlineStr">
        <is>
          <t>TIDAHOLM</t>
        </is>
      </c>
      <c r="G12726" t="n">
        <v>6.7</v>
      </c>
      <c r="H12726" t="n">
        <v>0</v>
      </c>
      <c r="I12726" t="n">
        <v>0</v>
      </c>
      <c r="J12726" t="n">
        <v>0</v>
      </c>
      <c r="K12726" t="n">
        <v>0</v>
      </c>
      <c r="L12726" t="n">
        <v>0</v>
      </c>
      <c r="M12726" t="n">
        <v>0</v>
      </c>
      <c r="N12726" t="n">
        <v>0</v>
      </c>
      <c r="O12726" t="n">
        <v>0</v>
      </c>
      <c r="P12726" t="n">
        <v>0</v>
      </c>
      <c r="Q12726" t="n">
        <v>0</v>
      </c>
      <c r="R12726" s="2" t="inlineStr"/>
    </row>
    <row r="12727" ht="15" customHeight="1">
      <c r="A12727" t="inlineStr">
        <is>
          <t>A 34391-2025</t>
        </is>
      </c>
      <c r="B12727" s="1" t="n">
        <v>45846.58006944445</v>
      </c>
      <c r="C12727" s="1" t="n">
        <v>45952</v>
      </c>
      <c r="D12727" t="inlineStr">
        <is>
          <t>VÄSTRA GÖTALANDS LÄN</t>
        </is>
      </c>
      <c r="E12727" t="inlineStr">
        <is>
          <t>TIDAHOLM</t>
        </is>
      </c>
      <c r="G12727" t="n">
        <v>3.5</v>
      </c>
      <c r="H12727" t="n">
        <v>0</v>
      </c>
      <c r="I12727" t="n">
        <v>0</v>
      </c>
      <c r="J12727" t="n">
        <v>0</v>
      </c>
      <c r="K12727" t="n">
        <v>0</v>
      </c>
      <c r="L12727" t="n">
        <v>0</v>
      </c>
      <c r="M12727" t="n">
        <v>0</v>
      </c>
      <c r="N12727" t="n">
        <v>0</v>
      </c>
      <c r="O12727" t="n">
        <v>0</v>
      </c>
      <c r="P12727" t="n">
        <v>0</v>
      </c>
      <c r="Q12727" t="n">
        <v>0</v>
      </c>
      <c r="R12727" s="2" t="inlineStr"/>
    </row>
    <row r="12728" ht="15" customHeight="1">
      <c r="A12728" t="inlineStr">
        <is>
          <t>A 34411-2025</t>
        </is>
      </c>
      <c r="B12728" s="1" t="n">
        <v>45846.64509259259</v>
      </c>
      <c r="C12728" s="1" t="n">
        <v>45952</v>
      </c>
      <c r="D12728" t="inlineStr">
        <is>
          <t>VÄSTRA GÖTALANDS LÄN</t>
        </is>
      </c>
      <c r="E12728" t="inlineStr">
        <is>
          <t>TIBRO</t>
        </is>
      </c>
      <c r="G12728" t="n">
        <v>0.6</v>
      </c>
      <c r="H12728" t="n">
        <v>0</v>
      </c>
      <c r="I12728" t="n">
        <v>0</v>
      </c>
      <c r="J12728" t="n">
        <v>0</v>
      </c>
      <c r="K12728" t="n">
        <v>0</v>
      </c>
      <c r="L12728" t="n">
        <v>0</v>
      </c>
      <c r="M12728" t="n">
        <v>0</v>
      </c>
      <c r="N12728" t="n">
        <v>0</v>
      </c>
      <c r="O12728" t="n">
        <v>0</v>
      </c>
      <c r="P12728" t="n">
        <v>0</v>
      </c>
      <c r="Q12728" t="n">
        <v>0</v>
      </c>
      <c r="R12728" s="2" t="inlineStr"/>
    </row>
    <row r="12729" ht="15" customHeight="1">
      <c r="A12729" t="inlineStr">
        <is>
          <t>A 34412-2025</t>
        </is>
      </c>
      <c r="B12729" s="1" t="n">
        <v>45846.64696759259</v>
      </c>
      <c r="C12729" s="1" t="n">
        <v>45952</v>
      </c>
      <c r="D12729" t="inlineStr">
        <is>
          <t>VÄSTRA GÖTALANDS LÄN</t>
        </is>
      </c>
      <c r="E12729" t="inlineStr">
        <is>
          <t>SKÖVDE</t>
        </is>
      </c>
      <c r="G12729" t="n">
        <v>2.7</v>
      </c>
      <c r="H12729" t="n">
        <v>0</v>
      </c>
      <c r="I12729" t="n">
        <v>0</v>
      </c>
      <c r="J12729" t="n">
        <v>0</v>
      </c>
      <c r="K12729" t="n">
        <v>0</v>
      </c>
      <c r="L12729" t="n">
        <v>0</v>
      </c>
      <c r="M12729" t="n">
        <v>0</v>
      </c>
      <c r="N12729" t="n">
        <v>0</v>
      </c>
      <c r="O12729" t="n">
        <v>0</v>
      </c>
      <c r="P12729" t="n">
        <v>0</v>
      </c>
      <c r="Q12729" t="n">
        <v>0</v>
      </c>
      <c r="R12729" s="2" t="inlineStr"/>
    </row>
    <row r="12730" ht="15" customHeight="1">
      <c r="A12730" t="inlineStr">
        <is>
          <t>A 544-2024</t>
        </is>
      </c>
      <c r="B12730" s="1" t="n">
        <v>45299</v>
      </c>
      <c r="C12730" s="1" t="n">
        <v>45952</v>
      </c>
      <c r="D12730" t="inlineStr">
        <is>
          <t>VÄSTRA GÖTALANDS LÄN</t>
        </is>
      </c>
      <c r="E12730" t="inlineStr">
        <is>
          <t>ULRICEHAMN</t>
        </is>
      </c>
      <c r="G12730" t="n">
        <v>9.699999999999999</v>
      </c>
      <c r="H12730" t="n">
        <v>0</v>
      </c>
      <c r="I12730" t="n">
        <v>0</v>
      </c>
      <c r="J12730" t="n">
        <v>0</v>
      </c>
      <c r="K12730" t="n">
        <v>0</v>
      </c>
      <c r="L12730" t="n">
        <v>0</v>
      </c>
      <c r="M12730" t="n">
        <v>0</v>
      </c>
      <c r="N12730" t="n">
        <v>0</v>
      </c>
      <c r="O12730" t="n">
        <v>0</v>
      </c>
      <c r="P12730" t="n">
        <v>0</v>
      </c>
      <c r="Q12730" t="n">
        <v>0</v>
      </c>
      <c r="R12730" s="2" t="inlineStr"/>
    </row>
    <row r="12731" ht="15" customHeight="1">
      <c r="A12731" t="inlineStr">
        <is>
          <t>A 45056-2021</t>
        </is>
      </c>
      <c r="B12731" s="1" t="n">
        <v>44439.34355324074</v>
      </c>
      <c r="C12731" s="1" t="n">
        <v>45952</v>
      </c>
      <c r="D12731" t="inlineStr">
        <is>
          <t>VÄSTRA GÖTALANDS LÄN</t>
        </is>
      </c>
      <c r="E12731" t="inlineStr">
        <is>
          <t>GULLSPÅNG</t>
        </is>
      </c>
      <c r="G12731" t="n">
        <v>1.5</v>
      </c>
      <c r="H12731" t="n">
        <v>0</v>
      </c>
      <c r="I12731" t="n">
        <v>0</v>
      </c>
      <c r="J12731" t="n">
        <v>0</v>
      </c>
      <c r="K12731" t="n">
        <v>0</v>
      </c>
      <c r="L12731" t="n">
        <v>0</v>
      </c>
      <c r="M12731" t="n">
        <v>0</v>
      </c>
      <c r="N12731" t="n">
        <v>0</v>
      </c>
      <c r="O12731" t="n">
        <v>0</v>
      </c>
      <c r="P12731" t="n">
        <v>0</v>
      </c>
      <c r="Q12731" t="n">
        <v>0</v>
      </c>
      <c r="R12731" s="2" t="inlineStr"/>
    </row>
    <row r="12732" ht="15" customHeight="1">
      <c r="A12732" t="inlineStr">
        <is>
          <t>A 34501-2025</t>
        </is>
      </c>
      <c r="B12732" s="1" t="n">
        <v>45847.43148148148</v>
      </c>
      <c r="C12732" s="1" t="n">
        <v>45952</v>
      </c>
      <c r="D12732" t="inlineStr">
        <is>
          <t>VÄSTRA GÖTALANDS LÄN</t>
        </is>
      </c>
      <c r="E12732" t="inlineStr">
        <is>
          <t>MARK</t>
        </is>
      </c>
      <c r="G12732" t="n">
        <v>3.2</v>
      </c>
      <c r="H12732" t="n">
        <v>0</v>
      </c>
      <c r="I12732" t="n">
        <v>0</v>
      </c>
      <c r="J12732" t="n">
        <v>0</v>
      </c>
      <c r="K12732" t="n">
        <v>0</v>
      </c>
      <c r="L12732" t="n">
        <v>0</v>
      </c>
      <c r="M12732" t="n">
        <v>0</v>
      </c>
      <c r="N12732" t="n">
        <v>0</v>
      </c>
      <c r="O12732" t="n">
        <v>0</v>
      </c>
      <c r="P12732" t="n">
        <v>0</v>
      </c>
      <c r="Q12732" t="n">
        <v>0</v>
      </c>
      <c r="R12732" s="2" t="inlineStr"/>
    </row>
    <row r="12733" ht="15" customHeight="1">
      <c r="A12733" t="inlineStr">
        <is>
          <t>A 565-2024</t>
        </is>
      </c>
      <c r="B12733" s="1" t="n">
        <v>45299</v>
      </c>
      <c r="C12733" s="1" t="n">
        <v>45952</v>
      </c>
      <c r="D12733" t="inlineStr">
        <is>
          <t>VÄSTRA GÖTALANDS LÄN</t>
        </is>
      </c>
      <c r="E12733" t="inlineStr">
        <is>
          <t>SKÖVDE</t>
        </is>
      </c>
      <c r="G12733" t="n">
        <v>3.2</v>
      </c>
      <c r="H12733" t="n">
        <v>0</v>
      </c>
      <c r="I12733" t="n">
        <v>0</v>
      </c>
      <c r="J12733" t="n">
        <v>0</v>
      </c>
      <c r="K12733" t="n">
        <v>0</v>
      </c>
      <c r="L12733" t="n">
        <v>0</v>
      </c>
      <c r="M12733" t="n">
        <v>0</v>
      </c>
      <c r="N12733" t="n">
        <v>0</v>
      </c>
      <c r="O12733" t="n">
        <v>0</v>
      </c>
      <c r="P12733" t="n">
        <v>0</v>
      </c>
      <c r="Q12733" t="n">
        <v>0</v>
      </c>
      <c r="R12733" s="2" t="inlineStr"/>
    </row>
    <row r="12734" ht="15" customHeight="1">
      <c r="A12734" t="inlineStr">
        <is>
          <t>A 42677-2023</t>
        </is>
      </c>
      <c r="B12734" s="1" t="n">
        <v>45181</v>
      </c>
      <c r="C12734" s="1" t="n">
        <v>45952</v>
      </c>
      <c r="D12734" t="inlineStr">
        <is>
          <t>VÄSTRA GÖTALANDS LÄN</t>
        </is>
      </c>
      <c r="E12734" t="inlineStr">
        <is>
          <t>ULRICEHAMN</t>
        </is>
      </c>
      <c r="G12734" t="n">
        <v>0.3</v>
      </c>
      <c r="H12734" t="n">
        <v>0</v>
      </c>
      <c r="I12734" t="n">
        <v>0</v>
      </c>
      <c r="J12734" t="n">
        <v>0</v>
      </c>
      <c r="K12734" t="n">
        <v>0</v>
      </c>
      <c r="L12734" t="n">
        <v>0</v>
      </c>
      <c r="M12734" t="n">
        <v>0</v>
      </c>
      <c r="N12734" t="n">
        <v>0</v>
      </c>
      <c r="O12734" t="n">
        <v>0</v>
      </c>
      <c r="P12734" t="n">
        <v>0</v>
      </c>
      <c r="Q12734" t="n">
        <v>0</v>
      </c>
      <c r="R12734" s="2" t="inlineStr"/>
    </row>
    <row r="12735" ht="15" customHeight="1">
      <c r="A12735" t="inlineStr">
        <is>
          <t>A 42703-2023</t>
        </is>
      </c>
      <c r="B12735" s="1" t="n">
        <v>45181.60784722222</v>
      </c>
      <c r="C12735" s="1" t="n">
        <v>45952</v>
      </c>
      <c r="D12735" t="inlineStr">
        <is>
          <t>VÄSTRA GÖTALANDS LÄN</t>
        </is>
      </c>
      <c r="E12735" t="inlineStr">
        <is>
          <t>SVENLJUNGA</t>
        </is>
      </c>
      <c r="G12735" t="n">
        <v>0.7</v>
      </c>
      <c r="H12735" t="n">
        <v>0</v>
      </c>
      <c r="I12735" t="n">
        <v>0</v>
      </c>
      <c r="J12735" t="n">
        <v>0</v>
      </c>
      <c r="K12735" t="n">
        <v>0</v>
      </c>
      <c r="L12735" t="n">
        <v>0</v>
      </c>
      <c r="M12735" t="n">
        <v>0</v>
      </c>
      <c r="N12735" t="n">
        <v>0</v>
      </c>
      <c r="O12735" t="n">
        <v>0</v>
      </c>
      <c r="P12735" t="n">
        <v>0</v>
      </c>
      <c r="Q12735" t="n">
        <v>0</v>
      </c>
      <c r="R12735" s="2" t="inlineStr"/>
    </row>
    <row r="12736" ht="15" customHeight="1">
      <c r="A12736" t="inlineStr">
        <is>
          <t>A 34592-2025</t>
        </is>
      </c>
      <c r="B12736" s="1" t="n">
        <v>45847.63085648148</v>
      </c>
      <c r="C12736" s="1" t="n">
        <v>45952</v>
      </c>
      <c r="D12736" t="inlineStr">
        <is>
          <t>VÄSTRA GÖTALANDS LÄN</t>
        </is>
      </c>
      <c r="E12736" t="inlineStr">
        <is>
          <t>SKÖVDE</t>
        </is>
      </c>
      <c r="G12736" t="n">
        <v>2</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34621-2025</t>
        </is>
      </c>
      <c r="B12737" s="1" t="n">
        <v>45847</v>
      </c>
      <c r="C12737" s="1" t="n">
        <v>45952</v>
      </c>
      <c r="D12737" t="inlineStr">
        <is>
          <t>VÄSTRA GÖTALANDS LÄN</t>
        </is>
      </c>
      <c r="E12737" t="inlineStr">
        <is>
          <t>TIDAHOLM</t>
        </is>
      </c>
      <c r="G12737" t="n">
        <v>1.3</v>
      </c>
      <c r="H12737" t="n">
        <v>0</v>
      </c>
      <c r="I12737" t="n">
        <v>0</v>
      </c>
      <c r="J12737" t="n">
        <v>0</v>
      </c>
      <c r="K12737" t="n">
        <v>0</v>
      </c>
      <c r="L12737" t="n">
        <v>0</v>
      </c>
      <c r="M12737" t="n">
        <v>0</v>
      </c>
      <c r="N12737" t="n">
        <v>0</v>
      </c>
      <c r="O12737" t="n">
        <v>0</v>
      </c>
      <c r="P12737" t="n">
        <v>0</v>
      </c>
      <c r="Q12737" t="n">
        <v>0</v>
      </c>
      <c r="R12737" s="2" t="inlineStr"/>
    </row>
    <row r="12738" ht="15" customHeight="1">
      <c r="A12738" t="inlineStr">
        <is>
          <t>A 3457-2024</t>
        </is>
      </c>
      <c r="B12738" s="1" t="n">
        <v>45320.39425925926</v>
      </c>
      <c r="C12738" s="1" t="n">
        <v>45952</v>
      </c>
      <c r="D12738" t="inlineStr">
        <is>
          <t>VÄSTRA GÖTALANDS LÄN</t>
        </is>
      </c>
      <c r="E12738" t="inlineStr">
        <is>
          <t>ULRICEHAMN</t>
        </is>
      </c>
      <c r="G12738" t="n">
        <v>0.8</v>
      </c>
      <c r="H12738" t="n">
        <v>0</v>
      </c>
      <c r="I12738" t="n">
        <v>0</v>
      </c>
      <c r="J12738" t="n">
        <v>0</v>
      </c>
      <c r="K12738" t="n">
        <v>0</v>
      </c>
      <c r="L12738" t="n">
        <v>0</v>
      </c>
      <c r="M12738" t="n">
        <v>0</v>
      </c>
      <c r="N12738" t="n">
        <v>0</v>
      </c>
      <c r="O12738" t="n">
        <v>0</v>
      </c>
      <c r="P12738" t="n">
        <v>0</v>
      </c>
      <c r="Q12738" t="n">
        <v>0</v>
      </c>
      <c r="R12738" s="2" t="inlineStr"/>
    </row>
    <row r="12739" ht="15" customHeight="1">
      <c r="A12739" t="inlineStr">
        <is>
          <t>A 17260-2024</t>
        </is>
      </c>
      <c r="B12739" s="1" t="n">
        <v>45414</v>
      </c>
      <c r="C12739" s="1" t="n">
        <v>45952</v>
      </c>
      <c r="D12739" t="inlineStr">
        <is>
          <t>VÄSTRA GÖTALANDS LÄN</t>
        </is>
      </c>
      <c r="E12739" t="inlineStr">
        <is>
          <t>FALKÖPING</t>
        </is>
      </c>
      <c r="G12739" t="n">
        <v>1.5</v>
      </c>
      <c r="H12739" t="n">
        <v>0</v>
      </c>
      <c r="I12739" t="n">
        <v>0</v>
      </c>
      <c r="J12739" t="n">
        <v>0</v>
      </c>
      <c r="K12739" t="n">
        <v>0</v>
      </c>
      <c r="L12739" t="n">
        <v>0</v>
      </c>
      <c r="M12739" t="n">
        <v>0</v>
      </c>
      <c r="N12739" t="n">
        <v>0</v>
      </c>
      <c r="O12739" t="n">
        <v>0</v>
      </c>
      <c r="P12739" t="n">
        <v>0</v>
      </c>
      <c r="Q12739" t="n">
        <v>0</v>
      </c>
      <c r="R12739" s="2" t="inlineStr"/>
    </row>
    <row r="12740" ht="15" customHeight="1">
      <c r="A12740" t="inlineStr">
        <is>
          <t>A 27989-2022</t>
        </is>
      </c>
      <c r="B12740" s="1" t="n">
        <v>44745</v>
      </c>
      <c r="C12740" s="1" t="n">
        <v>45952</v>
      </c>
      <c r="D12740" t="inlineStr">
        <is>
          <t>VÄSTRA GÖTALANDS LÄN</t>
        </is>
      </c>
      <c r="E12740" t="inlineStr">
        <is>
          <t>HJO</t>
        </is>
      </c>
      <c r="G12740" t="n">
        <v>2.5</v>
      </c>
      <c r="H12740" t="n">
        <v>0</v>
      </c>
      <c r="I12740" t="n">
        <v>0</v>
      </c>
      <c r="J12740" t="n">
        <v>0</v>
      </c>
      <c r="K12740" t="n">
        <v>0</v>
      </c>
      <c r="L12740" t="n">
        <v>0</v>
      </c>
      <c r="M12740" t="n">
        <v>0</v>
      </c>
      <c r="N12740" t="n">
        <v>0</v>
      </c>
      <c r="O12740" t="n">
        <v>0</v>
      </c>
      <c r="P12740" t="n">
        <v>0</v>
      </c>
      <c r="Q12740" t="n">
        <v>0</v>
      </c>
      <c r="R12740" s="2" t="inlineStr"/>
    </row>
    <row r="12741" ht="15" customHeight="1">
      <c r="A12741" t="inlineStr">
        <is>
          <t>A 20433-2024</t>
        </is>
      </c>
      <c r="B12741" s="1" t="n">
        <v>45435.61200231482</v>
      </c>
      <c r="C12741" s="1" t="n">
        <v>45952</v>
      </c>
      <c r="D12741" t="inlineStr">
        <is>
          <t>VÄSTRA GÖTALANDS LÄN</t>
        </is>
      </c>
      <c r="E12741" t="inlineStr">
        <is>
          <t>VARA</t>
        </is>
      </c>
      <c r="G12741" t="n">
        <v>0.5</v>
      </c>
      <c r="H12741" t="n">
        <v>0</v>
      </c>
      <c r="I12741" t="n">
        <v>0</v>
      </c>
      <c r="J12741" t="n">
        <v>0</v>
      </c>
      <c r="K12741" t="n">
        <v>0</v>
      </c>
      <c r="L12741" t="n">
        <v>0</v>
      </c>
      <c r="M12741" t="n">
        <v>0</v>
      </c>
      <c r="N12741" t="n">
        <v>0</v>
      </c>
      <c r="O12741" t="n">
        <v>0</v>
      </c>
      <c r="P12741" t="n">
        <v>0</v>
      </c>
      <c r="Q12741" t="n">
        <v>0</v>
      </c>
      <c r="R12741" s="2" t="inlineStr"/>
    </row>
    <row r="12742" ht="15" customHeight="1">
      <c r="A12742" t="inlineStr">
        <is>
          <t>A 20439-2024</t>
        </is>
      </c>
      <c r="B12742" s="1" t="n">
        <v>45435</v>
      </c>
      <c r="C12742" s="1" t="n">
        <v>45952</v>
      </c>
      <c r="D12742" t="inlineStr">
        <is>
          <t>VÄSTRA GÖTALANDS LÄN</t>
        </is>
      </c>
      <c r="E12742" t="inlineStr">
        <is>
          <t>VARA</t>
        </is>
      </c>
      <c r="G12742" t="n">
        <v>0.2</v>
      </c>
      <c r="H12742" t="n">
        <v>0</v>
      </c>
      <c r="I12742" t="n">
        <v>0</v>
      </c>
      <c r="J12742" t="n">
        <v>0</v>
      </c>
      <c r="K12742" t="n">
        <v>0</v>
      </c>
      <c r="L12742" t="n">
        <v>0</v>
      </c>
      <c r="M12742" t="n">
        <v>0</v>
      </c>
      <c r="N12742" t="n">
        <v>0</v>
      </c>
      <c r="O12742" t="n">
        <v>0</v>
      </c>
      <c r="P12742" t="n">
        <v>0</v>
      </c>
      <c r="Q12742" t="n">
        <v>0</v>
      </c>
      <c r="R12742" s="2" t="inlineStr"/>
    </row>
    <row r="12743" ht="15" customHeight="1">
      <c r="A12743" t="inlineStr">
        <is>
          <t>A 34671-2025</t>
        </is>
      </c>
      <c r="B12743" s="1" t="n">
        <v>45847</v>
      </c>
      <c r="C12743" s="1" t="n">
        <v>45952</v>
      </c>
      <c r="D12743" t="inlineStr">
        <is>
          <t>VÄSTRA GÖTALANDS LÄN</t>
        </is>
      </c>
      <c r="E12743" t="inlineStr">
        <is>
          <t>TROLLHÄTTAN</t>
        </is>
      </c>
      <c r="F12743" t="inlineStr">
        <is>
          <t>Kyrkan</t>
        </is>
      </c>
      <c r="G12743" t="n">
        <v>2.6</v>
      </c>
      <c r="H12743" t="n">
        <v>0</v>
      </c>
      <c r="I12743" t="n">
        <v>0</v>
      </c>
      <c r="J12743" t="n">
        <v>0</v>
      </c>
      <c r="K12743" t="n">
        <v>0</v>
      </c>
      <c r="L12743" t="n">
        <v>0</v>
      </c>
      <c r="M12743" t="n">
        <v>0</v>
      </c>
      <c r="N12743" t="n">
        <v>0</v>
      </c>
      <c r="O12743" t="n">
        <v>0</v>
      </c>
      <c r="P12743" t="n">
        <v>0</v>
      </c>
      <c r="Q12743" t="n">
        <v>0</v>
      </c>
      <c r="R12743" s="2" t="inlineStr"/>
    </row>
    <row r="12744" ht="15" customHeight="1">
      <c r="A12744" t="inlineStr">
        <is>
          <t>A 14334-2025</t>
        </is>
      </c>
      <c r="B12744" s="1" t="n">
        <v>45740</v>
      </c>
      <c r="C12744" s="1" t="n">
        <v>45952</v>
      </c>
      <c r="D12744" t="inlineStr">
        <is>
          <t>VÄSTRA GÖTALANDS LÄN</t>
        </is>
      </c>
      <c r="E12744" t="inlineStr">
        <is>
          <t>TIDAHOLM</t>
        </is>
      </c>
      <c r="G12744" t="n">
        <v>3.2</v>
      </c>
      <c r="H12744" t="n">
        <v>0</v>
      </c>
      <c r="I12744" t="n">
        <v>0</v>
      </c>
      <c r="J12744" t="n">
        <v>0</v>
      </c>
      <c r="K12744" t="n">
        <v>0</v>
      </c>
      <c r="L12744" t="n">
        <v>0</v>
      </c>
      <c r="M12744" t="n">
        <v>0</v>
      </c>
      <c r="N12744" t="n">
        <v>0</v>
      </c>
      <c r="O12744" t="n">
        <v>0</v>
      </c>
      <c r="P12744" t="n">
        <v>0</v>
      </c>
      <c r="Q12744" t="n">
        <v>0</v>
      </c>
      <c r="R12744" s="2" t="inlineStr"/>
    </row>
    <row r="12745" ht="15" customHeight="1">
      <c r="A12745" t="inlineStr">
        <is>
          <t>A 28957-2025</t>
        </is>
      </c>
      <c r="B12745" s="1" t="n">
        <v>45821.30648148148</v>
      </c>
      <c r="C12745" s="1" t="n">
        <v>45952</v>
      </c>
      <c r="D12745" t="inlineStr">
        <is>
          <t>VÄSTRA GÖTALANDS LÄN</t>
        </is>
      </c>
      <c r="E12745" t="inlineStr">
        <is>
          <t>TIDAHOLM</t>
        </is>
      </c>
      <c r="G12745" t="n">
        <v>1.1</v>
      </c>
      <c r="H12745" t="n">
        <v>0</v>
      </c>
      <c r="I12745" t="n">
        <v>0</v>
      </c>
      <c r="J12745" t="n">
        <v>0</v>
      </c>
      <c r="K12745" t="n">
        <v>0</v>
      </c>
      <c r="L12745" t="n">
        <v>0</v>
      </c>
      <c r="M12745" t="n">
        <v>0</v>
      </c>
      <c r="N12745" t="n">
        <v>0</v>
      </c>
      <c r="O12745" t="n">
        <v>0</v>
      </c>
      <c r="P12745" t="n">
        <v>0</v>
      </c>
      <c r="Q12745" t="n">
        <v>0</v>
      </c>
      <c r="R12745" s="2" t="inlineStr"/>
    </row>
    <row r="12746" ht="15" customHeight="1">
      <c r="A12746" t="inlineStr">
        <is>
          <t>A 34507-2025</t>
        </is>
      </c>
      <c r="B12746" s="1" t="n">
        <v>45847.44287037037</v>
      </c>
      <c r="C12746" s="1" t="n">
        <v>45952</v>
      </c>
      <c r="D12746" t="inlineStr">
        <is>
          <t>VÄSTRA GÖTALANDS LÄN</t>
        </is>
      </c>
      <c r="E12746" t="inlineStr">
        <is>
          <t>MARK</t>
        </is>
      </c>
      <c r="G12746" t="n">
        <v>4.3</v>
      </c>
      <c r="H12746" t="n">
        <v>0</v>
      </c>
      <c r="I12746" t="n">
        <v>0</v>
      </c>
      <c r="J12746" t="n">
        <v>0</v>
      </c>
      <c r="K12746" t="n">
        <v>0</v>
      </c>
      <c r="L12746" t="n">
        <v>0</v>
      </c>
      <c r="M12746" t="n">
        <v>0</v>
      </c>
      <c r="N12746" t="n">
        <v>0</v>
      </c>
      <c r="O12746" t="n">
        <v>0</v>
      </c>
      <c r="P12746" t="n">
        <v>0</v>
      </c>
      <c r="Q12746" t="n">
        <v>0</v>
      </c>
      <c r="R12746" s="2" t="inlineStr"/>
    </row>
    <row r="12747" ht="15" customHeight="1">
      <c r="A12747" t="inlineStr">
        <is>
          <t>A 20461-2024</t>
        </is>
      </c>
      <c r="B12747" s="1" t="n">
        <v>45435.65636574074</v>
      </c>
      <c r="C12747" s="1" t="n">
        <v>45952</v>
      </c>
      <c r="D12747" t="inlineStr">
        <is>
          <t>VÄSTRA GÖTALANDS LÄN</t>
        </is>
      </c>
      <c r="E12747" t="inlineStr">
        <is>
          <t>VARA</t>
        </is>
      </c>
      <c r="G12747" t="n">
        <v>2.9</v>
      </c>
      <c r="H12747" t="n">
        <v>0</v>
      </c>
      <c r="I12747" t="n">
        <v>0</v>
      </c>
      <c r="J12747" t="n">
        <v>0</v>
      </c>
      <c r="K12747" t="n">
        <v>0</v>
      </c>
      <c r="L12747" t="n">
        <v>0</v>
      </c>
      <c r="M12747" t="n">
        <v>0</v>
      </c>
      <c r="N12747" t="n">
        <v>0</v>
      </c>
      <c r="O12747" t="n">
        <v>0</v>
      </c>
      <c r="P12747" t="n">
        <v>0</v>
      </c>
      <c r="Q12747" t="n">
        <v>0</v>
      </c>
      <c r="R12747" s="2" t="inlineStr"/>
    </row>
    <row r="12748" ht="15" customHeight="1">
      <c r="A12748" t="inlineStr">
        <is>
          <t>A 7682-2025</t>
        </is>
      </c>
      <c r="B12748" s="1" t="n">
        <v>45706.36872685186</v>
      </c>
      <c r="C12748" s="1" t="n">
        <v>45952</v>
      </c>
      <c r="D12748" t="inlineStr">
        <is>
          <t>VÄSTRA GÖTALANDS LÄN</t>
        </is>
      </c>
      <c r="E12748" t="inlineStr">
        <is>
          <t>BENGTSFORS</t>
        </is>
      </c>
      <c r="G12748" t="n">
        <v>2.6</v>
      </c>
      <c r="H12748" t="n">
        <v>0</v>
      </c>
      <c r="I12748" t="n">
        <v>0</v>
      </c>
      <c r="J12748" t="n">
        <v>0</v>
      </c>
      <c r="K12748" t="n">
        <v>0</v>
      </c>
      <c r="L12748" t="n">
        <v>0</v>
      </c>
      <c r="M12748" t="n">
        <v>0</v>
      </c>
      <c r="N12748" t="n">
        <v>0</v>
      </c>
      <c r="O12748" t="n">
        <v>0</v>
      </c>
      <c r="P12748" t="n">
        <v>0</v>
      </c>
      <c r="Q12748" t="n">
        <v>0</v>
      </c>
      <c r="R12748" s="2" t="inlineStr"/>
    </row>
    <row r="12749" ht="15" customHeight="1">
      <c r="A12749" t="inlineStr">
        <is>
          <t>A 27582-2025</t>
        </is>
      </c>
      <c r="B12749" s="1" t="n">
        <v>45813.49745370371</v>
      </c>
      <c r="C12749" s="1" t="n">
        <v>45952</v>
      </c>
      <c r="D12749" t="inlineStr">
        <is>
          <t>VÄSTRA GÖTALANDS LÄN</t>
        </is>
      </c>
      <c r="E12749" t="inlineStr">
        <is>
          <t>TRANEMO</t>
        </is>
      </c>
      <c r="G12749" t="n">
        <v>5.1</v>
      </c>
      <c r="H12749" t="n">
        <v>0</v>
      </c>
      <c r="I12749" t="n">
        <v>0</v>
      </c>
      <c r="J12749" t="n">
        <v>0</v>
      </c>
      <c r="K12749" t="n">
        <v>0</v>
      </c>
      <c r="L12749" t="n">
        <v>0</v>
      </c>
      <c r="M12749" t="n">
        <v>0</v>
      </c>
      <c r="N12749" t="n">
        <v>0</v>
      </c>
      <c r="O12749" t="n">
        <v>0</v>
      </c>
      <c r="P12749" t="n">
        <v>0</v>
      </c>
      <c r="Q12749" t="n">
        <v>0</v>
      </c>
      <c r="R12749" s="2" t="inlineStr"/>
    </row>
    <row r="12750" ht="15" customHeight="1">
      <c r="A12750" t="inlineStr">
        <is>
          <t>A 32577-2025</t>
        </is>
      </c>
      <c r="B12750" s="1" t="n">
        <v>45838</v>
      </c>
      <c r="C12750" s="1" t="n">
        <v>45952</v>
      </c>
      <c r="D12750" t="inlineStr">
        <is>
          <t>VÄSTRA GÖTALANDS LÄN</t>
        </is>
      </c>
      <c r="E12750" t="inlineStr">
        <is>
          <t>TJÖRN</t>
        </is>
      </c>
      <c r="G12750" t="n">
        <v>5.3</v>
      </c>
      <c r="H12750" t="n">
        <v>0</v>
      </c>
      <c r="I12750" t="n">
        <v>0</v>
      </c>
      <c r="J12750" t="n">
        <v>0</v>
      </c>
      <c r="K12750" t="n">
        <v>0</v>
      </c>
      <c r="L12750" t="n">
        <v>0</v>
      </c>
      <c r="M12750" t="n">
        <v>0</v>
      </c>
      <c r="N12750" t="n">
        <v>0</v>
      </c>
      <c r="O12750" t="n">
        <v>0</v>
      </c>
      <c r="P12750" t="n">
        <v>0</v>
      </c>
      <c r="Q12750" t="n">
        <v>0</v>
      </c>
      <c r="R12750" s="2" t="inlineStr"/>
    </row>
    <row r="12751" ht="15" customHeight="1">
      <c r="A12751" t="inlineStr">
        <is>
          <t>A 34624-2025</t>
        </is>
      </c>
      <c r="B12751" s="1" t="n">
        <v>45847.73737268519</v>
      </c>
      <c r="C12751" s="1" t="n">
        <v>45952</v>
      </c>
      <c r="D12751" t="inlineStr">
        <is>
          <t>VÄSTRA GÖTALANDS LÄN</t>
        </is>
      </c>
      <c r="E12751" t="inlineStr">
        <is>
          <t>MUNKEDAL</t>
        </is>
      </c>
      <c r="G12751" t="n">
        <v>3.8</v>
      </c>
      <c r="H12751" t="n">
        <v>0</v>
      </c>
      <c r="I12751" t="n">
        <v>0</v>
      </c>
      <c r="J12751" t="n">
        <v>0</v>
      </c>
      <c r="K12751" t="n">
        <v>0</v>
      </c>
      <c r="L12751" t="n">
        <v>0</v>
      </c>
      <c r="M12751" t="n">
        <v>0</v>
      </c>
      <c r="N12751" t="n">
        <v>0</v>
      </c>
      <c r="O12751" t="n">
        <v>0</v>
      </c>
      <c r="P12751" t="n">
        <v>0</v>
      </c>
      <c r="Q12751" t="n">
        <v>0</v>
      </c>
      <c r="R12751" s="2" t="inlineStr"/>
    </row>
    <row r="12752" ht="15" customHeight="1">
      <c r="A12752" t="inlineStr">
        <is>
          <t>A 34269-2025</t>
        </is>
      </c>
      <c r="B12752" s="1" t="n">
        <v>45845.7765162037</v>
      </c>
      <c r="C12752" s="1" t="n">
        <v>45952</v>
      </c>
      <c r="D12752" t="inlineStr">
        <is>
          <t>VÄSTRA GÖTALANDS LÄN</t>
        </is>
      </c>
      <c r="E12752" t="inlineStr">
        <is>
          <t>UDDEVALLA</t>
        </is>
      </c>
      <c r="G12752" t="n">
        <v>2.1</v>
      </c>
      <c r="H12752" t="n">
        <v>0</v>
      </c>
      <c r="I12752" t="n">
        <v>0</v>
      </c>
      <c r="J12752" t="n">
        <v>0</v>
      </c>
      <c r="K12752" t="n">
        <v>0</v>
      </c>
      <c r="L12752" t="n">
        <v>0</v>
      </c>
      <c r="M12752" t="n">
        <v>0</v>
      </c>
      <c r="N12752" t="n">
        <v>0</v>
      </c>
      <c r="O12752" t="n">
        <v>0</v>
      </c>
      <c r="P12752" t="n">
        <v>0</v>
      </c>
      <c r="Q12752" t="n">
        <v>0</v>
      </c>
      <c r="R12752" s="2" t="inlineStr"/>
    </row>
    <row r="12753" ht="15" customHeight="1">
      <c r="A12753" t="inlineStr">
        <is>
          <t>A 34277-2025</t>
        </is>
      </c>
      <c r="B12753" s="1" t="n">
        <v>45845.94069444444</v>
      </c>
      <c r="C12753" s="1" t="n">
        <v>45952</v>
      </c>
      <c r="D12753" t="inlineStr">
        <is>
          <t>VÄSTRA GÖTALANDS LÄN</t>
        </is>
      </c>
      <c r="E12753" t="inlineStr">
        <is>
          <t>MARK</t>
        </is>
      </c>
      <c r="G12753" t="n">
        <v>1.4</v>
      </c>
      <c r="H12753" t="n">
        <v>0</v>
      </c>
      <c r="I12753" t="n">
        <v>0</v>
      </c>
      <c r="J12753" t="n">
        <v>0</v>
      </c>
      <c r="K12753" t="n">
        <v>0</v>
      </c>
      <c r="L12753" t="n">
        <v>0</v>
      </c>
      <c r="M12753" t="n">
        <v>0</v>
      </c>
      <c r="N12753" t="n">
        <v>0</v>
      </c>
      <c r="O12753" t="n">
        <v>0</v>
      </c>
      <c r="P12753" t="n">
        <v>0</v>
      </c>
      <c r="Q12753" t="n">
        <v>0</v>
      </c>
      <c r="R12753" s="2" t="inlineStr"/>
    </row>
    <row r="12754" ht="15" customHeight="1">
      <c r="A12754" t="inlineStr">
        <is>
          <t>A 44643-2021</t>
        </is>
      </c>
      <c r="B12754" s="1" t="n">
        <v>44437.70806712963</v>
      </c>
      <c r="C12754" s="1" t="n">
        <v>45952</v>
      </c>
      <c r="D12754" t="inlineStr">
        <is>
          <t>VÄSTRA GÖTALANDS LÄN</t>
        </is>
      </c>
      <c r="E12754" t="inlineStr">
        <is>
          <t>GULLSPÅNG</t>
        </is>
      </c>
      <c r="G12754" t="n">
        <v>4.7</v>
      </c>
      <c r="H12754" t="n">
        <v>0</v>
      </c>
      <c r="I12754" t="n">
        <v>0</v>
      </c>
      <c r="J12754" t="n">
        <v>0</v>
      </c>
      <c r="K12754" t="n">
        <v>0</v>
      </c>
      <c r="L12754" t="n">
        <v>0</v>
      </c>
      <c r="M12754" t="n">
        <v>0</v>
      </c>
      <c r="N12754" t="n">
        <v>0</v>
      </c>
      <c r="O12754" t="n">
        <v>0</v>
      </c>
      <c r="P12754" t="n">
        <v>0</v>
      </c>
      <c r="Q12754" t="n">
        <v>0</v>
      </c>
      <c r="R12754" s="2" t="inlineStr"/>
    </row>
    <row r="12755" ht="15" customHeight="1">
      <c r="A12755" t="inlineStr">
        <is>
          <t>A 60127-2024</t>
        </is>
      </c>
      <c r="B12755" s="1" t="n">
        <v>45642.59199074074</v>
      </c>
      <c r="C12755" s="1" t="n">
        <v>45952</v>
      </c>
      <c r="D12755" t="inlineStr">
        <is>
          <t>VÄSTRA GÖTALANDS LÄN</t>
        </is>
      </c>
      <c r="E12755" t="inlineStr">
        <is>
          <t>MARK</t>
        </is>
      </c>
      <c r="G12755" t="n">
        <v>3.9</v>
      </c>
      <c r="H12755" t="n">
        <v>0</v>
      </c>
      <c r="I12755" t="n">
        <v>0</v>
      </c>
      <c r="J12755" t="n">
        <v>0</v>
      </c>
      <c r="K12755" t="n">
        <v>0</v>
      </c>
      <c r="L12755" t="n">
        <v>0</v>
      </c>
      <c r="M12755" t="n">
        <v>0</v>
      </c>
      <c r="N12755" t="n">
        <v>0</v>
      </c>
      <c r="O12755" t="n">
        <v>0</v>
      </c>
      <c r="P12755" t="n">
        <v>0</v>
      </c>
      <c r="Q12755" t="n">
        <v>0</v>
      </c>
      <c r="R12755" s="2" t="inlineStr"/>
    </row>
    <row r="12756" ht="15" customHeight="1">
      <c r="A12756" t="inlineStr">
        <is>
          <t>A 43621-2021</t>
        </is>
      </c>
      <c r="B12756" s="1" t="n">
        <v>44433</v>
      </c>
      <c r="C12756" s="1" t="n">
        <v>45952</v>
      </c>
      <c r="D12756" t="inlineStr">
        <is>
          <t>VÄSTRA GÖTALANDS LÄN</t>
        </is>
      </c>
      <c r="E12756" t="inlineStr">
        <is>
          <t>VÄNERSBORG</t>
        </is>
      </c>
      <c r="G12756" t="n">
        <v>0.7</v>
      </c>
      <c r="H12756" t="n">
        <v>0</v>
      </c>
      <c r="I12756" t="n">
        <v>0</v>
      </c>
      <c r="J12756" t="n">
        <v>0</v>
      </c>
      <c r="K12756" t="n">
        <v>0</v>
      </c>
      <c r="L12756" t="n">
        <v>0</v>
      </c>
      <c r="M12756" t="n">
        <v>0</v>
      </c>
      <c r="N12756" t="n">
        <v>0</v>
      </c>
      <c r="O12756" t="n">
        <v>0</v>
      </c>
      <c r="P12756" t="n">
        <v>0</v>
      </c>
      <c r="Q12756" t="n">
        <v>0</v>
      </c>
      <c r="R12756" s="2" t="inlineStr"/>
    </row>
    <row r="12757" ht="15" customHeight="1">
      <c r="A12757" t="inlineStr">
        <is>
          <t>A 34902-2025</t>
        </is>
      </c>
      <c r="B12757" s="1" t="n">
        <v>45849.50798611111</v>
      </c>
      <c r="C12757" s="1" t="n">
        <v>45952</v>
      </c>
      <c r="D12757" t="inlineStr">
        <is>
          <t>VÄSTRA GÖTALANDS LÄN</t>
        </is>
      </c>
      <c r="E12757" t="inlineStr">
        <is>
          <t>MARK</t>
        </is>
      </c>
      <c r="G12757" t="n">
        <v>0.9</v>
      </c>
      <c r="H12757" t="n">
        <v>0</v>
      </c>
      <c r="I12757" t="n">
        <v>0</v>
      </c>
      <c r="J12757" t="n">
        <v>0</v>
      </c>
      <c r="K12757" t="n">
        <v>0</v>
      </c>
      <c r="L12757" t="n">
        <v>0</v>
      </c>
      <c r="M12757" t="n">
        <v>0</v>
      </c>
      <c r="N12757" t="n">
        <v>0</v>
      </c>
      <c r="O12757" t="n">
        <v>0</v>
      </c>
      <c r="P12757" t="n">
        <v>0</v>
      </c>
      <c r="Q12757" t="n">
        <v>0</v>
      </c>
      <c r="R12757" s="2" t="inlineStr"/>
    </row>
    <row r="12758" ht="15" customHeight="1">
      <c r="A12758" t="inlineStr">
        <is>
          <t>A 24424-2023</t>
        </is>
      </c>
      <c r="B12758" s="1" t="n">
        <v>45082.480625</v>
      </c>
      <c r="C12758" s="1" t="n">
        <v>45952</v>
      </c>
      <c r="D12758" t="inlineStr">
        <is>
          <t>VÄSTRA GÖTALANDS LÄN</t>
        </is>
      </c>
      <c r="E12758" t="inlineStr">
        <is>
          <t>ÅMÅL</t>
        </is>
      </c>
      <c r="G12758" t="n">
        <v>2.9</v>
      </c>
      <c r="H12758" t="n">
        <v>0</v>
      </c>
      <c r="I12758" t="n">
        <v>0</v>
      </c>
      <c r="J12758" t="n">
        <v>0</v>
      </c>
      <c r="K12758" t="n">
        <v>0</v>
      </c>
      <c r="L12758" t="n">
        <v>0</v>
      </c>
      <c r="M12758" t="n">
        <v>0</v>
      </c>
      <c r="N12758" t="n">
        <v>0</v>
      </c>
      <c r="O12758" t="n">
        <v>0</v>
      </c>
      <c r="P12758" t="n">
        <v>0</v>
      </c>
      <c r="Q12758" t="n">
        <v>0</v>
      </c>
      <c r="R12758" s="2" t="inlineStr"/>
    </row>
    <row r="12759" ht="15" customHeight="1">
      <c r="A12759" t="inlineStr">
        <is>
          <t>A 34650-2025</t>
        </is>
      </c>
      <c r="B12759" s="1" t="n">
        <v>45848.34980324074</v>
      </c>
      <c r="C12759" s="1" t="n">
        <v>45952</v>
      </c>
      <c r="D12759" t="inlineStr">
        <is>
          <t>VÄSTRA GÖTALANDS LÄN</t>
        </is>
      </c>
      <c r="E12759" t="inlineStr">
        <is>
          <t>TRANEMO</t>
        </is>
      </c>
      <c r="G12759" t="n">
        <v>4.6</v>
      </c>
      <c r="H12759" t="n">
        <v>0</v>
      </c>
      <c r="I12759" t="n">
        <v>0</v>
      </c>
      <c r="J12759" t="n">
        <v>0</v>
      </c>
      <c r="K12759" t="n">
        <v>0</v>
      </c>
      <c r="L12759" t="n">
        <v>0</v>
      </c>
      <c r="M12759" t="n">
        <v>0</v>
      </c>
      <c r="N12759" t="n">
        <v>0</v>
      </c>
      <c r="O12759" t="n">
        <v>0</v>
      </c>
      <c r="P12759" t="n">
        <v>0</v>
      </c>
      <c r="Q12759" t="n">
        <v>0</v>
      </c>
      <c r="R12759" s="2" t="inlineStr"/>
    </row>
    <row r="12760" ht="15" customHeight="1">
      <c r="A12760" t="inlineStr">
        <is>
          <t>A 34695-2025</t>
        </is>
      </c>
      <c r="B12760" s="1" t="n">
        <v>45848.46100694445</v>
      </c>
      <c r="C12760" s="1" t="n">
        <v>45952</v>
      </c>
      <c r="D12760" t="inlineStr">
        <is>
          <t>VÄSTRA GÖTALANDS LÄN</t>
        </is>
      </c>
      <c r="E12760" t="inlineStr">
        <is>
          <t>BORÅS</t>
        </is>
      </c>
      <c r="G12760" t="n">
        <v>1.4</v>
      </c>
      <c r="H12760" t="n">
        <v>0</v>
      </c>
      <c r="I12760" t="n">
        <v>0</v>
      </c>
      <c r="J12760" t="n">
        <v>0</v>
      </c>
      <c r="K12760" t="n">
        <v>0</v>
      </c>
      <c r="L12760" t="n">
        <v>0</v>
      </c>
      <c r="M12760" t="n">
        <v>0</v>
      </c>
      <c r="N12760" t="n">
        <v>0</v>
      </c>
      <c r="O12760" t="n">
        <v>0</v>
      </c>
      <c r="P12760" t="n">
        <v>0</v>
      </c>
      <c r="Q12760" t="n">
        <v>0</v>
      </c>
      <c r="R12760" s="2" t="inlineStr"/>
    </row>
    <row r="12761" ht="15" customHeight="1">
      <c r="A12761" t="inlineStr">
        <is>
          <t>A 52172-2023</t>
        </is>
      </c>
      <c r="B12761" s="1" t="n">
        <v>45224.35410879629</v>
      </c>
      <c r="C12761" s="1" t="n">
        <v>45952</v>
      </c>
      <c r="D12761" t="inlineStr">
        <is>
          <t>VÄSTRA GÖTALANDS LÄN</t>
        </is>
      </c>
      <c r="E12761" t="inlineStr">
        <is>
          <t>ULRICEHAMN</t>
        </is>
      </c>
      <c r="G12761" t="n">
        <v>1.5</v>
      </c>
      <c r="H12761" t="n">
        <v>0</v>
      </c>
      <c r="I12761" t="n">
        <v>0</v>
      </c>
      <c r="J12761" t="n">
        <v>0</v>
      </c>
      <c r="K12761" t="n">
        <v>0</v>
      </c>
      <c r="L12761" t="n">
        <v>0</v>
      </c>
      <c r="M12761" t="n">
        <v>0</v>
      </c>
      <c r="N12761" t="n">
        <v>0</v>
      </c>
      <c r="O12761" t="n">
        <v>0</v>
      </c>
      <c r="P12761" t="n">
        <v>0</v>
      </c>
      <c r="Q12761" t="n">
        <v>0</v>
      </c>
      <c r="R12761" s="2" t="inlineStr"/>
    </row>
    <row r="12762" ht="15" customHeight="1">
      <c r="A12762" t="inlineStr">
        <is>
          <t>A 49108-2023</t>
        </is>
      </c>
      <c r="B12762" s="1" t="n">
        <v>45210.44365740741</v>
      </c>
      <c r="C12762" s="1" t="n">
        <v>45952</v>
      </c>
      <c r="D12762" t="inlineStr">
        <is>
          <t>VÄSTRA GÖTALANDS LÄN</t>
        </is>
      </c>
      <c r="E12762" t="inlineStr">
        <is>
          <t>MARK</t>
        </is>
      </c>
      <c r="G12762" t="n">
        <v>1.3</v>
      </c>
      <c r="H12762" t="n">
        <v>0</v>
      </c>
      <c r="I12762" t="n">
        <v>0</v>
      </c>
      <c r="J12762" t="n">
        <v>0</v>
      </c>
      <c r="K12762" t="n">
        <v>0</v>
      </c>
      <c r="L12762" t="n">
        <v>0</v>
      </c>
      <c r="M12762" t="n">
        <v>0</v>
      </c>
      <c r="N12762" t="n">
        <v>0</v>
      </c>
      <c r="O12762" t="n">
        <v>0</v>
      </c>
      <c r="P12762" t="n">
        <v>0</v>
      </c>
      <c r="Q12762" t="n">
        <v>0</v>
      </c>
      <c r="R12762" s="2" t="inlineStr"/>
    </row>
    <row r="12763" ht="15" customHeight="1">
      <c r="A12763" t="inlineStr">
        <is>
          <t>A 49163-2023</t>
        </is>
      </c>
      <c r="B12763" s="1" t="n">
        <v>45210.5324537037</v>
      </c>
      <c r="C12763" s="1" t="n">
        <v>45952</v>
      </c>
      <c r="D12763" t="inlineStr">
        <is>
          <t>VÄSTRA GÖTALANDS LÄN</t>
        </is>
      </c>
      <c r="E12763" t="inlineStr">
        <is>
          <t>MARIESTAD</t>
        </is>
      </c>
      <c r="G12763" t="n">
        <v>0.8</v>
      </c>
      <c r="H12763" t="n">
        <v>0</v>
      </c>
      <c r="I12763" t="n">
        <v>0</v>
      </c>
      <c r="J12763" t="n">
        <v>0</v>
      </c>
      <c r="K12763" t="n">
        <v>0</v>
      </c>
      <c r="L12763" t="n">
        <v>0</v>
      </c>
      <c r="M12763" t="n">
        <v>0</v>
      </c>
      <c r="N12763" t="n">
        <v>0</v>
      </c>
      <c r="O12763" t="n">
        <v>0</v>
      </c>
      <c r="P12763" t="n">
        <v>0</v>
      </c>
      <c r="Q12763" t="n">
        <v>0</v>
      </c>
      <c r="R12763" s="2" t="inlineStr"/>
    </row>
    <row r="12764" ht="15" customHeight="1">
      <c r="A12764" t="inlineStr">
        <is>
          <t>A 55479-2023</t>
        </is>
      </c>
      <c r="B12764" s="1" t="n">
        <v>45238.50130787037</v>
      </c>
      <c r="C12764" s="1" t="n">
        <v>45952</v>
      </c>
      <c r="D12764" t="inlineStr">
        <is>
          <t>VÄSTRA GÖTALANDS LÄN</t>
        </is>
      </c>
      <c r="E12764" t="inlineStr">
        <is>
          <t>TIDAHOLM</t>
        </is>
      </c>
      <c r="G12764" t="n">
        <v>0.7</v>
      </c>
      <c r="H12764" t="n">
        <v>0</v>
      </c>
      <c r="I12764" t="n">
        <v>0</v>
      </c>
      <c r="J12764" t="n">
        <v>0</v>
      </c>
      <c r="K12764" t="n">
        <v>0</v>
      </c>
      <c r="L12764" t="n">
        <v>0</v>
      </c>
      <c r="M12764" t="n">
        <v>0</v>
      </c>
      <c r="N12764" t="n">
        <v>0</v>
      </c>
      <c r="O12764" t="n">
        <v>0</v>
      </c>
      <c r="P12764" t="n">
        <v>0</v>
      </c>
      <c r="Q12764" t="n">
        <v>0</v>
      </c>
      <c r="R12764" s="2" t="inlineStr"/>
    </row>
    <row r="12765" ht="15" customHeight="1">
      <c r="A12765" t="inlineStr">
        <is>
          <t>A 51019-2023</t>
        </is>
      </c>
      <c r="B12765" s="1" t="n">
        <v>45218.5928587963</v>
      </c>
      <c r="C12765" s="1" t="n">
        <v>45952</v>
      </c>
      <c r="D12765" t="inlineStr">
        <is>
          <t>VÄSTRA GÖTALANDS LÄN</t>
        </is>
      </c>
      <c r="E12765" t="inlineStr">
        <is>
          <t>FÄRGELANDA</t>
        </is>
      </c>
      <c r="G12765" t="n">
        <v>1.6</v>
      </c>
      <c r="H12765" t="n">
        <v>0</v>
      </c>
      <c r="I12765" t="n">
        <v>0</v>
      </c>
      <c r="J12765" t="n">
        <v>0</v>
      </c>
      <c r="K12765" t="n">
        <v>0</v>
      </c>
      <c r="L12765" t="n">
        <v>0</v>
      </c>
      <c r="M12765" t="n">
        <v>0</v>
      </c>
      <c r="N12765" t="n">
        <v>0</v>
      </c>
      <c r="O12765" t="n">
        <v>0</v>
      </c>
      <c r="P12765" t="n">
        <v>0</v>
      </c>
      <c r="Q12765" t="n">
        <v>0</v>
      </c>
      <c r="R12765" s="2" t="inlineStr"/>
    </row>
    <row r="12766" ht="15" customHeight="1">
      <c r="A12766" t="inlineStr">
        <is>
          <t>A 51041-2023</t>
        </is>
      </c>
      <c r="B12766" s="1" t="n">
        <v>45218</v>
      </c>
      <c r="C12766" s="1" t="n">
        <v>45952</v>
      </c>
      <c r="D12766" t="inlineStr">
        <is>
          <t>VÄSTRA GÖTALANDS LÄN</t>
        </is>
      </c>
      <c r="E12766" t="inlineStr">
        <is>
          <t>MARK</t>
        </is>
      </c>
      <c r="G12766" t="n">
        <v>0.9</v>
      </c>
      <c r="H12766" t="n">
        <v>0</v>
      </c>
      <c r="I12766" t="n">
        <v>0</v>
      </c>
      <c r="J12766" t="n">
        <v>0</v>
      </c>
      <c r="K12766" t="n">
        <v>0</v>
      </c>
      <c r="L12766" t="n">
        <v>0</v>
      </c>
      <c r="M12766" t="n">
        <v>0</v>
      </c>
      <c r="N12766" t="n">
        <v>0</v>
      </c>
      <c r="O12766" t="n">
        <v>0</v>
      </c>
      <c r="P12766" t="n">
        <v>0</v>
      </c>
      <c r="Q12766" t="n">
        <v>0</v>
      </c>
      <c r="R12766" s="2" t="inlineStr"/>
    </row>
    <row r="12767" ht="15" customHeight="1">
      <c r="A12767" t="inlineStr">
        <is>
          <t>A 41865-2023</t>
        </is>
      </c>
      <c r="B12767" s="1" t="n">
        <v>45176.6408912037</v>
      </c>
      <c r="C12767" s="1" t="n">
        <v>45952</v>
      </c>
      <c r="D12767" t="inlineStr">
        <is>
          <t>VÄSTRA GÖTALANDS LÄN</t>
        </is>
      </c>
      <c r="E12767" t="inlineStr">
        <is>
          <t>BENGTSFORS</t>
        </is>
      </c>
      <c r="G12767" t="n">
        <v>1.2</v>
      </c>
      <c r="H12767" t="n">
        <v>0</v>
      </c>
      <c r="I12767" t="n">
        <v>0</v>
      </c>
      <c r="J12767" t="n">
        <v>0</v>
      </c>
      <c r="K12767" t="n">
        <v>0</v>
      </c>
      <c r="L12767" t="n">
        <v>0</v>
      </c>
      <c r="M12767" t="n">
        <v>0</v>
      </c>
      <c r="N12767" t="n">
        <v>0</v>
      </c>
      <c r="O12767" t="n">
        <v>0</v>
      </c>
      <c r="P12767" t="n">
        <v>0</v>
      </c>
      <c r="Q12767" t="n">
        <v>0</v>
      </c>
      <c r="R12767" s="2" t="inlineStr"/>
    </row>
    <row r="12768" ht="15" customHeight="1">
      <c r="A12768" t="inlineStr">
        <is>
          <t>A 11696-2024</t>
        </is>
      </c>
      <c r="B12768" s="1" t="n">
        <v>45373.60101851852</v>
      </c>
      <c r="C12768" s="1" t="n">
        <v>45952</v>
      </c>
      <c r="D12768" t="inlineStr">
        <is>
          <t>VÄSTRA GÖTALANDS LÄN</t>
        </is>
      </c>
      <c r="E12768" t="inlineStr">
        <is>
          <t>TIDAHOLM</t>
        </is>
      </c>
      <c r="G12768" t="n">
        <v>0.8</v>
      </c>
      <c r="H12768" t="n">
        <v>0</v>
      </c>
      <c r="I12768" t="n">
        <v>0</v>
      </c>
      <c r="J12768" t="n">
        <v>0</v>
      </c>
      <c r="K12768" t="n">
        <v>0</v>
      </c>
      <c r="L12768" t="n">
        <v>0</v>
      </c>
      <c r="M12768" t="n">
        <v>0</v>
      </c>
      <c r="N12768" t="n">
        <v>0</v>
      </c>
      <c r="O12768" t="n">
        <v>0</v>
      </c>
      <c r="P12768" t="n">
        <v>0</v>
      </c>
      <c r="Q12768" t="n">
        <v>0</v>
      </c>
      <c r="R12768" s="2" t="inlineStr"/>
    </row>
    <row r="12769" ht="15" customHeight="1">
      <c r="A12769" t="inlineStr">
        <is>
          <t>A 36035-2022</t>
        </is>
      </c>
      <c r="B12769" s="1" t="n">
        <v>44802.67622685185</v>
      </c>
      <c r="C12769" s="1" t="n">
        <v>45952</v>
      </c>
      <c r="D12769" t="inlineStr">
        <is>
          <t>VÄSTRA GÖTALANDS LÄN</t>
        </is>
      </c>
      <c r="E12769" t="inlineStr">
        <is>
          <t>TRANEMO</t>
        </is>
      </c>
      <c r="G12769" t="n">
        <v>2.5</v>
      </c>
      <c r="H12769" t="n">
        <v>0</v>
      </c>
      <c r="I12769" t="n">
        <v>0</v>
      </c>
      <c r="J12769" t="n">
        <v>0</v>
      </c>
      <c r="K12769" t="n">
        <v>0</v>
      </c>
      <c r="L12769" t="n">
        <v>0</v>
      </c>
      <c r="M12769" t="n">
        <v>0</v>
      </c>
      <c r="N12769" t="n">
        <v>0</v>
      </c>
      <c r="O12769" t="n">
        <v>0</v>
      </c>
      <c r="P12769" t="n">
        <v>0</v>
      </c>
      <c r="Q12769" t="n">
        <v>0</v>
      </c>
      <c r="R12769" s="2" t="inlineStr"/>
    </row>
    <row r="12770" ht="15" customHeight="1">
      <c r="A12770" t="inlineStr">
        <is>
          <t>A 47973-2023</t>
        </is>
      </c>
      <c r="B12770" s="1" t="n">
        <v>45204.60971064815</v>
      </c>
      <c r="C12770" s="1" t="n">
        <v>45952</v>
      </c>
      <c r="D12770" t="inlineStr">
        <is>
          <t>VÄSTRA GÖTALANDS LÄN</t>
        </is>
      </c>
      <c r="E12770" t="inlineStr">
        <is>
          <t>MARK</t>
        </is>
      </c>
      <c r="G12770" t="n">
        <v>0.5</v>
      </c>
      <c r="H12770" t="n">
        <v>0</v>
      </c>
      <c r="I12770" t="n">
        <v>0</v>
      </c>
      <c r="J12770" t="n">
        <v>0</v>
      </c>
      <c r="K12770" t="n">
        <v>0</v>
      </c>
      <c r="L12770" t="n">
        <v>0</v>
      </c>
      <c r="M12770" t="n">
        <v>0</v>
      </c>
      <c r="N12770" t="n">
        <v>0</v>
      </c>
      <c r="O12770" t="n">
        <v>0</v>
      </c>
      <c r="P12770" t="n">
        <v>0</v>
      </c>
      <c r="Q12770" t="n">
        <v>0</v>
      </c>
      <c r="R12770" s="2" t="inlineStr"/>
    </row>
    <row r="12771" ht="15" customHeight="1">
      <c r="A12771" t="inlineStr">
        <is>
          <t>A 34874-2025</t>
        </is>
      </c>
      <c r="B12771" s="1" t="n">
        <v>45849.45528935185</v>
      </c>
      <c r="C12771" s="1" t="n">
        <v>45952</v>
      </c>
      <c r="D12771" t="inlineStr">
        <is>
          <t>VÄSTRA GÖTALANDS LÄN</t>
        </is>
      </c>
      <c r="E12771" t="inlineStr">
        <is>
          <t>DALS-ED</t>
        </is>
      </c>
      <c r="G12771" t="n">
        <v>1.2</v>
      </c>
      <c r="H12771" t="n">
        <v>0</v>
      </c>
      <c r="I12771" t="n">
        <v>0</v>
      </c>
      <c r="J12771" t="n">
        <v>0</v>
      </c>
      <c r="K12771" t="n">
        <v>0</v>
      </c>
      <c r="L12771" t="n">
        <v>0</v>
      </c>
      <c r="M12771" t="n">
        <v>0</v>
      </c>
      <c r="N12771" t="n">
        <v>0</v>
      </c>
      <c r="O12771" t="n">
        <v>0</v>
      </c>
      <c r="P12771" t="n">
        <v>0</v>
      </c>
      <c r="Q12771" t="n">
        <v>0</v>
      </c>
      <c r="R12771" s="2" t="inlineStr"/>
    </row>
    <row r="12772" ht="15" customHeight="1">
      <c r="A12772" t="inlineStr">
        <is>
          <t>A 34693-2025</t>
        </is>
      </c>
      <c r="B12772" s="1" t="n">
        <v>45848.45915509259</v>
      </c>
      <c r="C12772" s="1" t="n">
        <v>45952</v>
      </c>
      <c r="D12772" t="inlineStr">
        <is>
          <t>VÄSTRA GÖTALANDS LÄN</t>
        </is>
      </c>
      <c r="E12772" t="inlineStr">
        <is>
          <t>BORÅS</t>
        </is>
      </c>
      <c r="G12772" t="n">
        <v>1</v>
      </c>
      <c r="H12772" t="n">
        <v>0</v>
      </c>
      <c r="I12772" t="n">
        <v>0</v>
      </c>
      <c r="J12772" t="n">
        <v>0</v>
      </c>
      <c r="K12772" t="n">
        <v>0</v>
      </c>
      <c r="L12772" t="n">
        <v>0</v>
      </c>
      <c r="M12772" t="n">
        <v>0</v>
      </c>
      <c r="N12772" t="n">
        <v>0</v>
      </c>
      <c r="O12772" t="n">
        <v>0</v>
      </c>
      <c r="P12772" t="n">
        <v>0</v>
      </c>
      <c r="Q12772" t="n">
        <v>0</v>
      </c>
      <c r="R12772" s="2" t="inlineStr"/>
    </row>
    <row r="12773" ht="15" customHeight="1">
      <c r="A12773" t="inlineStr">
        <is>
          <t>A 50261-2023</t>
        </is>
      </c>
      <c r="B12773" s="1" t="n">
        <v>45216.37878472222</v>
      </c>
      <c r="C12773" s="1" t="n">
        <v>45952</v>
      </c>
      <c r="D12773" t="inlineStr">
        <is>
          <t>VÄSTRA GÖTALANDS LÄN</t>
        </is>
      </c>
      <c r="E12773" t="inlineStr">
        <is>
          <t>STRÖMSTAD</t>
        </is>
      </c>
      <c r="G12773" t="n">
        <v>0.6</v>
      </c>
      <c r="H12773" t="n">
        <v>0</v>
      </c>
      <c r="I12773" t="n">
        <v>0</v>
      </c>
      <c r="J12773" t="n">
        <v>0</v>
      </c>
      <c r="K12773" t="n">
        <v>0</v>
      </c>
      <c r="L12773" t="n">
        <v>0</v>
      </c>
      <c r="M12773" t="n">
        <v>0</v>
      </c>
      <c r="N12773" t="n">
        <v>0</v>
      </c>
      <c r="O12773" t="n">
        <v>0</v>
      </c>
      <c r="P12773" t="n">
        <v>0</v>
      </c>
      <c r="Q12773" t="n">
        <v>0</v>
      </c>
      <c r="R12773" s="2" t="inlineStr"/>
    </row>
    <row r="12774" ht="15" customHeight="1">
      <c r="A12774" t="inlineStr">
        <is>
          <t>A 43732-2021</t>
        </is>
      </c>
      <c r="B12774" s="1" t="n">
        <v>44433.63525462963</v>
      </c>
      <c r="C12774" s="1" t="n">
        <v>45952</v>
      </c>
      <c r="D12774" t="inlineStr">
        <is>
          <t>VÄSTRA GÖTALANDS LÄN</t>
        </is>
      </c>
      <c r="E12774" t="inlineStr">
        <is>
          <t>FALKÖPING</t>
        </is>
      </c>
      <c r="G12774" t="n">
        <v>3.7</v>
      </c>
      <c r="H12774" t="n">
        <v>0</v>
      </c>
      <c r="I12774" t="n">
        <v>0</v>
      </c>
      <c r="J12774" t="n">
        <v>0</v>
      </c>
      <c r="K12774" t="n">
        <v>0</v>
      </c>
      <c r="L12774" t="n">
        <v>0</v>
      </c>
      <c r="M12774" t="n">
        <v>0</v>
      </c>
      <c r="N12774" t="n">
        <v>0</v>
      </c>
      <c r="O12774" t="n">
        <v>0</v>
      </c>
      <c r="P12774" t="n">
        <v>0</v>
      </c>
      <c r="Q12774" t="n">
        <v>0</v>
      </c>
      <c r="R12774" s="2" t="inlineStr"/>
    </row>
    <row r="12775" ht="15" customHeight="1">
      <c r="A12775" t="inlineStr">
        <is>
          <t>A 9039-2025</t>
        </is>
      </c>
      <c r="B12775" s="1" t="n">
        <v>45713.62387731481</v>
      </c>
      <c r="C12775" s="1" t="n">
        <v>45952</v>
      </c>
      <c r="D12775" t="inlineStr">
        <is>
          <t>VÄSTRA GÖTALANDS LÄN</t>
        </is>
      </c>
      <c r="E12775" t="inlineStr">
        <is>
          <t>DALS-ED</t>
        </is>
      </c>
      <c r="G12775" t="n">
        <v>5.5</v>
      </c>
      <c r="H12775" t="n">
        <v>0</v>
      </c>
      <c r="I12775" t="n">
        <v>0</v>
      </c>
      <c r="J12775" t="n">
        <v>0</v>
      </c>
      <c r="K12775" t="n">
        <v>0</v>
      </c>
      <c r="L12775" t="n">
        <v>0</v>
      </c>
      <c r="M12775" t="n">
        <v>0</v>
      </c>
      <c r="N12775" t="n">
        <v>0</v>
      </c>
      <c r="O12775" t="n">
        <v>0</v>
      </c>
      <c r="P12775" t="n">
        <v>0</v>
      </c>
      <c r="Q12775" t="n">
        <v>0</v>
      </c>
      <c r="R12775" s="2" t="inlineStr"/>
    </row>
    <row r="12776" ht="15" customHeight="1">
      <c r="A12776" t="inlineStr">
        <is>
          <t>A 20526-2025</t>
        </is>
      </c>
      <c r="B12776" s="1" t="n">
        <v>45775.60614583334</v>
      </c>
      <c r="C12776" s="1" t="n">
        <v>45952</v>
      </c>
      <c r="D12776" t="inlineStr">
        <is>
          <t>VÄSTRA GÖTALANDS LÄN</t>
        </is>
      </c>
      <c r="E12776" t="inlineStr">
        <is>
          <t>BENGTSFORS</t>
        </is>
      </c>
      <c r="G12776" t="n">
        <v>2.7</v>
      </c>
      <c r="H12776" t="n">
        <v>0</v>
      </c>
      <c r="I12776" t="n">
        <v>0</v>
      </c>
      <c r="J12776" t="n">
        <v>0</v>
      </c>
      <c r="K12776" t="n">
        <v>0</v>
      </c>
      <c r="L12776" t="n">
        <v>0</v>
      </c>
      <c r="M12776" t="n">
        <v>0</v>
      </c>
      <c r="N12776" t="n">
        <v>0</v>
      </c>
      <c r="O12776" t="n">
        <v>0</v>
      </c>
      <c r="P12776" t="n">
        <v>0</v>
      </c>
      <c r="Q12776" t="n">
        <v>0</v>
      </c>
      <c r="R12776" s="2" t="inlineStr"/>
    </row>
    <row r="12777" ht="15" customHeight="1">
      <c r="A12777" t="inlineStr">
        <is>
          <t>A 12668-2021</t>
        </is>
      </c>
      <c r="B12777" s="1" t="n">
        <v>44270</v>
      </c>
      <c r="C12777" s="1" t="n">
        <v>45952</v>
      </c>
      <c r="D12777" t="inlineStr">
        <is>
          <t>VÄSTRA GÖTALANDS LÄN</t>
        </is>
      </c>
      <c r="E12777" t="inlineStr">
        <is>
          <t>VARA</t>
        </is>
      </c>
      <c r="G12777" t="n">
        <v>0.7</v>
      </c>
      <c r="H12777" t="n">
        <v>0</v>
      </c>
      <c r="I12777" t="n">
        <v>0</v>
      </c>
      <c r="J12777" t="n">
        <v>0</v>
      </c>
      <c r="K12777" t="n">
        <v>0</v>
      </c>
      <c r="L12777" t="n">
        <v>0</v>
      </c>
      <c r="M12777" t="n">
        <v>0</v>
      </c>
      <c r="N12777" t="n">
        <v>0</v>
      </c>
      <c r="O12777" t="n">
        <v>0</v>
      </c>
      <c r="P12777" t="n">
        <v>0</v>
      </c>
      <c r="Q12777" t="n">
        <v>0</v>
      </c>
      <c r="R12777" s="2" t="inlineStr"/>
    </row>
    <row r="12778" ht="15" customHeight="1">
      <c r="A12778" t="inlineStr">
        <is>
          <t>A 30441-2023</t>
        </is>
      </c>
      <c r="B12778" s="1" t="n">
        <v>45111.56012731481</v>
      </c>
      <c r="C12778" s="1" t="n">
        <v>45952</v>
      </c>
      <c r="D12778" t="inlineStr">
        <is>
          <t>VÄSTRA GÖTALANDS LÄN</t>
        </is>
      </c>
      <c r="E12778" t="inlineStr">
        <is>
          <t>FALKÖPING</t>
        </is>
      </c>
      <c r="G12778" t="n">
        <v>5.1</v>
      </c>
      <c r="H12778" t="n">
        <v>0</v>
      </c>
      <c r="I12778" t="n">
        <v>0</v>
      </c>
      <c r="J12778" t="n">
        <v>0</v>
      </c>
      <c r="K12778" t="n">
        <v>0</v>
      </c>
      <c r="L12778" t="n">
        <v>0</v>
      </c>
      <c r="M12778" t="n">
        <v>0</v>
      </c>
      <c r="N12778" t="n">
        <v>0</v>
      </c>
      <c r="O12778" t="n">
        <v>0</v>
      </c>
      <c r="P12778" t="n">
        <v>0</v>
      </c>
      <c r="Q12778" t="n">
        <v>0</v>
      </c>
      <c r="R12778" s="2" t="inlineStr"/>
    </row>
    <row r="12779" ht="15" customHeight="1">
      <c r="A12779" t="inlineStr">
        <is>
          <t>A 34956-2025</t>
        </is>
      </c>
      <c r="B12779" s="1" t="n">
        <v>45849.60616898148</v>
      </c>
      <c r="C12779" s="1" t="n">
        <v>45952</v>
      </c>
      <c r="D12779" t="inlineStr">
        <is>
          <t>VÄSTRA GÖTALANDS LÄN</t>
        </is>
      </c>
      <c r="E12779" t="inlineStr">
        <is>
          <t>SVENLJUNGA</t>
        </is>
      </c>
      <c r="G12779" t="n">
        <v>1.5</v>
      </c>
      <c r="H12779" t="n">
        <v>0</v>
      </c>
      <c r="I12779" t="n">
        <v>0</v>
      </c>
      <c r="J12779" t="n">
        <v>0</v>
      </c>
      <c r="K12779" t="n">
        <v>0</v>
      </c>
      <c r="L12779" t="n">
        <v>0</v>
      </c>
      <c r="M12779" t="n">
        <v>0</v>
      </c>
      <c r="N12779" t="n">
        <v>0</v>
      </c>
      <c r="O12779" t="n">
        <v>0</v>
      </c>
      <c r="P12779" t="n">
        <v>0</v>
      </c>
      <c r="Q12779" t="n">
        <v>0</v>
      </c>
      <c r="R12779" s="2" t="inlineStr"/>
    </row>
    <row r="12780" ht="15" customHeight="1">
      <c r="A12780" t="inlineStr">
        <is>
          <t>A 33942-2023</t>
        </is>
      </c>
      <c r="B12780" s="1" t="n">
        <v>45134</v>
      </c>
      <c r="C12780" s="1" t="n">
        <v>45952</v>
      </c>
      <c r="D12780" t="inlineStr">
        <is>
          <t>VÄSTRA GÖTALANDS LÄN</t>
        </is>
      </c>
      <c r="E12780" t="inlineStr">
        <is>
          <t>VÄNERSBORG</t>
        </is>
      </c>
      <c r="G12780" t="n">
        <v>1.4</v>
      </c>
      <c r="H12780" t="n">
        <v>0</v>
      </c>
      <c r="I12780" t="n">
        <v>0</v>
      </c>
      <c r="J12780" t="n">
        <v>0</v>
      </c>
      <c r="K12780" t="n">
        <v>0</v>
      </c>
      <c r="L12780" t="n">
        <v>0</v>
      </c>
      <c r="M12780" t="n">
        <v>0</v>
      </c>
      <c r="N12780" t="n">
        <v>0</v>
      </c>
      <c r="O12780" t="n">
        <v>0</v>
      </c>
      <c r="P12780" t="n">
        <v>0</v>
      </c>
      <c r="Q12780" t="n">
        <v>0</v>
      </c>
      <c r="R12780" s="2" t="inlineStr"/>
    </row>
    <row r="12781" ht="15" customHeight="1">
      <c r="A12781" t="inlineStr">
        <is>
          <t>A 49617-2023</t>
        </is>
      </c>
      <c r="B12781" s="1" t="n">
        <v>45211</v>
      </c>
      <c r="C12781" s="1" t="n">
        <v>45952</v>
      </c>
      <c r="D12781" t="inlineStr">
        <is>
          <t>VÄSTRA GÖTALANDS LÄN</t>
        </is>
      </c>
      <c r="E12781" t="inlineStr">
        <is>
          <t>ORUST</t>
        </is>
      </c>
      <c r="G12781" t="n">
        <v>4.4</v>
      </c>
      <c r="H12781" t="n">
        <v>0</v>
      </c>
      <c r="I12781" t="n">
        <v>0</v>
      </c>
      <c r="J12781" t="n">
        <v>0</v>
      </c>
      <c r="K12781" t="n">
        <v>0</v>
      </c>
      <c r="L12781" t="n">
        <v>0</v>
      </c>
      <c r="M12781" t="n">
        <v>0</v>
      </c>
      <c r="N12781" t="n">
        <v>0</v>
      </c>
      <c r="O12781" t="n">
        <v>0</v>
      </c>
      <c r="P12781" t="n">
        <v>0</v>
      </c>
      <c r="Q12781" t="n">
        <v>0</v>
      </c>
      <c r="R12781" s="2" t="inlineStr"/>
    </row>
    <row r="12782" ht="15" customHeight="1">
      <c r="A12782" t="inlineStr">
        <is>
          <t>A 51724-2023</t>
        </is>
      </c>
      <c r="B12782" s="1" t="n">
        <v>45222</v>
      </c>
      <c r="C12782" s="1" t="n">
        <v>45952</v>
      </c>
      <c r="D12782" t="inlineStr">
        <is>
          <t>VÄSTRA GÖTALANDS LÄN</t>
        </is>
      </c>
      <c r="E12782" t="inlineStr">
        <is>
          <t>KUNGÄLV</t>
        </is>
      </c>
      <c r="G12782" t="n">
        <v>3.1</v>
      </c>
      <c r="H12782" t="n">
        <v>0</v>
      </c>
      <c r="I12782" t="n">
        <v>0</v>
      </c>
      <c r="J12782" t="n">
        <v>0</v>
      </c>
      <c r="K12782" t="n">
        <v>0</v>
      </c>
      <c r="L12782" t="n">
        <v>0</v>
      </c>
      <c r="M12782" t="n">
        <v>0</v>
      </c>
      <c r="N12782" t="n">
        <v>0</v>
      </c>
      <c r="O12782" t="n">
        <v>0</v>
      </c>
      <c r="P12782" t="n">
        <v>0</v>
      </c>
      <c r="Q12782" t="n">
        <v>0</v>
      </c>
      <c r="R12782" s="2" t="inlineStr"/>
    </row>
    <row r="12783" ht="15" customHeight="1">
      <c r="A12783" t="inlineStr">
        <is>
          <t>A 26830-2021</t>
        </is>
      </c>
      <c r="B12783" s="1" t="n">
        <v>44349.57394675926</v>
      </c>
      <c r="C12783" s="1" t="n">
        <v>45952</v>
      </c>
      <c r="D12783" t="inlineStr">
        <is>
          <t>VÄSTRA GÖTALANDS LÄN</t>
        </is>
      </c>
      <c r="E12783" t="inlineStr">
        <is>
          <t>BENGTSFORS</t>
        </is>
      </c>
      <c r="G12783" t="n">
        <v>3.8</v>
      </c>
      <c r="H12783" t="n">
        <v>0</v>
      </c>
      <c r="I12783" t="n">
        <v>0</v>
      </c>
      <c r="J12783" t="n">
        <v>0</v>
      </c>
      <c r="K12783" t="n">
        <v>0</v>
      </c>
      <c r="L12783" t="n">
        <v>0</v>
      </c>
      <c r="M12783" t="n">
        <v>0</v>
      </c>
      <c r="N12783" t="n">
        <v>0</v>
      </c>
      <c r="O12783" t="n">
        <v>0</v>
      </c>
      <c r="P12783" t="n">
        <v>0</v>
      </c>
      <c r="Q12783" t="n">
        <v>0</v>
      </c>
      <c r="R12783" s="2" t="inlineStr"/>
    </row>
    <row r="12784" ht="15" customHeight="1">
      <c r="A12784" t="inlineStr">
        <is>
          <t>A 51785-2023</t>
        </is>
      </c>
      <c r="B12784" s="1" t="n">
        <v>45222</v>
      </c>
      <c r="C12784" s="1" t="n">
        <v>45952</v>
      </c>
      <c r="D12784" t="inlineStr">
        <is>
          <t>VÄSTRA GÖTALANDS LÄN</t>
        </is>
      </c>
      <c r="E12784" t="inlineStr">
        <is>
          <t>MELLERUD</t>
        </is>
      </c>
      <c r="G12784" t="n">
        <v>3.1</v>
      </c>
      <c r="H12784" t="n">
        <v>0</v>
      </c>
      <c r="I12784" t="n">
        <v>0</v>
      </c>
      <c r="J12784" t="n">
        <v>0</v>
      </c>
      <c r="K12784" t="n">
        <v>0</v>
      </c>
      <c r="L12784" t="n">
        <v>0</v>
      </c>
      <c r="M12784" t="n">
        <v>0</v>
      </c>
      <c r="N12784" t="n">
        <v>0</v>
      </c>
      <c r="O12784" t="n">
        <v>0</v>
      </c>
      <c r="P12784" t="n">
        <v>0</v>
      </c>
      <c r="Q12784" t="n">
        <v>0</v>
      </c>
      <c r="R12784" s="2" t="inlineStr"/>
    </row>
    <row r="12785" ht="15" customHeight="1">
      <c r="A12785" t="inlineStr">
        <is>
          <t>A 39699-2025</t>
        </is>
      </c>
      <c r="B12785" s="1" t="n">
        <v>45890.70025462963</v>
      </c>
      <c r="C12785" s="1" t="n">
        <v>45952</v>
      </c>
      <c r="D12785" t="inlineStr">
        <is>
          <t>VÄSTRA GÖTALANDS LÄN</t>
        </is>
      </c>
      <c r="E12785" t="inlineStr">
        <is>
          <t>KARLSBORG</t>
        </is>
      </c>
      <c r="G12785" t="n">
        <v>1.5</v>
      </c>
      <c r="H12785" t="n">
        <v>0</v>
      </c>
      <c r="I12785" t="n">
        <v>0</v>
      </c>
      <c r="J12785" t="n">
        <v>0</v>
      </c>
      <c r="K12785" t="n">
        <v>0</v>
      </c>
      <c r="L12785" t="n">
        <v>0</v>
      </c>
      <c r="M12785" t="n">
        <v>0</v>
      </c>
      <c r="N12785" t="n">
        <v>0</v>
      </c>
      <c r="O12785" t="n">
        <v>0</v>
      </c>
      <c r="P12785" t="n">
        <v>0</v>
      </c>
      <c r="Q12785" t="n">
        <v>0</v>
      </c>
      <c r="R12785" s="2" t="inlineStr"/>
    </row>
    <row r="12786" ht="15" customHeight="1">
      <c r="A12786" t="inlineStr">
        <is>
          <t>A 55831-2023</t>
        </is>
      </c>
      <c r="B12786" s="1" t="n">
        <v>45239</v>
      </c>
      <c r="C12786" s="1" t="n">
        <v>45952</v>
      </c>
      <c r="D12786" t="inlineStr">
        <is>
          <t>VÄSTRA GÖTALANDS LÄN</t>
        </is>
      </c>
      <c r="E12786" t="inlineStr">
        <is>
          <t>TANUM</t>
        </is>
      </c>
      <c r="G12786" t="n">
        <v>1.2</v>
      </c>
      <c r="H12786" t="n">
        <v>0</v>
      </c>
      <c r="I12786" t="n">
        <v>0</v>
      </c>
      <c r="J12786" t="n">
        <v>0</v>
      </c>
      <c r="K12786" t="n">
        <v>0</v>
      </c>
      <c r="L12786" t="n">
        <v>0</v>
      </c>
      <c r="M12786" t="n">
        <v>0</v>
      </c>
      <c r="N12786" t="n">
        <v>0</v>
      </c>
      <c r="O12786" t="n">
        <v>0</v>
      </c>
      <c r="P12786" t="n">
        <v>0</v>
      </c>
      <c r="Q12786" t="n">
        <v>0</v>
      </c>
      <c r="R12786" s="2" t="inlineStr"/>
    </row>
    <row r="12787" ht="15" customHeight="1">
      <c r="A12787" t="inlineStr">
        <is>
          <t>A 55840-2023</t>
        </is>
      </c>
      <c r="B12787" s="1" t="n">
        <v>45239</v>
      </c>
      <c r="C12787" s="1" t="n">
        <v>45952</v>
      </c>
      <c r="D12787" t="inlineStr">
        <is>
          <t>VÄSTRA GÖTALANDS LÄN</t>
        </is>
      </c>
      <c r="E12787" t="inlineStr">
        <is>
          <t>FÄRGELANDA</t>
        </is>
      </c>
      <c r="G12787" t="n">
        <v>5.6</v>
      </c>
      <c r="H12787" t="n">
        <v>0</v>
      </c>
      <c r="I12787" t="n">
        <v>0</v>
      </c>
      <c r="J12787" t="n">
        <v>0</v>
      </c>
      <c r="K12787" t="n">
        <v>0</v>
      </c>
      <c r="L12787" t="n">
        <v>0</v>
      </c>
      <c r="M12787" t="n">
        <v>0</v>
      </c>
      <c r="N12787" t="n">
        <v>0</v>
      </c>
      <c r="O12787" t="n">
        <v>0</v>
      </c>
      <c r="P12787" t="n">
        <v>0</v>
      </c>
      <c r="Q12787" t="n">
        <v>0</v>
      </c>
      <c r="R12787" s="2" t="inlineStr"/>
    </row>
    <row r="12788" ht="15" customHeight="1">
      <c r="A12788" t="inlineStr">
        <is>
          <t>A 55842-2023</t>
        </is>
      </c>
      <c r="B12788" s="1" t="n">
        <v>45233</v>
      </c>
      <c r="C12788" s="1" t="n">
        <v>45952</v>
      </c>
      <c r="D12788" t="inlineStr">
        <is>
          <t>VÄSTRA GÖTALANDS LÄN</t>
        </is>
      </c>
      <c r="E12788" t="inlineStr">
        <is>
          <t>MARK</t>
        </is>
      </c>
      <c r="F12788" t="inlineStr">
        <is>
          <t>Sveaskog</t>
        </is>
      </c>
      <c r="G12788" t="n">
        <v>3.9</v>
      </c>
      <c r="H12788" t="n">
        <v>0</v>
      </c>
      <c r="I12788" t="n">
        <v>0</v>
      </c>
      <c r="J12788" t="n">
        <v>0</v>
      </c>
      <c r="K12788" t="n">
        <v>0</v>
      </c>
      <c r="L12788" t="n">
        <v>0</v>
      </c>
      <c r="M12788" t="n">
        <v>0</v>
      </c>
      <c r="N12788" t="n">
        <v>0</v>
      </c>
      <c r="O12788" t="n">
        <v>0</v>
      </c>
      <c r="P12788" t="n">
        <v>0</v>
      </c>
      <c r="Q12788" t="n">
        <v>0</v>
      </c>
      <c r="R12788" s="2" t="inlineStr"/>
    </row>
    <row r="12789" ht="15" customHeight="1">
      <c r="A12789" t="inlineStr">
        <is>
          <t>A 54476-2022</t>
        </is>
      </c>
      <c r="B12789" s="1" t="n">
        <v>44876</v>
      </c>
      <c r="C12789" s="1" t="n">
        <v>45952</v>
      </c>
      <c r="D12789" t="inlineStr">
        <is>
          <t>VÄSTRA GÖTALANDS LÄN</t>
        </is>
      </c>
      <c r="E12789" t="inlineStr">
        <is>
          <t>BENGTSFORS</t>
        </is>
      </c>
      <c r="F12789" t="inlineStr">
        <is>
          <t>Bergvik skog väst AB</t>
        </is>
      </c>
      <c r="G12789" t="n">
        <v>6</v>
      </c>
      <c r="H12789" t="n">
        <v>0</v>
      </c>
      <c r="I12789" t="n">
        <v>0</v>
      </c>
      <c r="J12789" t="n">
        <v>0</v>
      </c>
      <c r="K12789" t="n">
        <v>0</v>
      </c>
      <c r="L12789" t="n">
        <v>0</v>
      </c>
      <c r="M12789" t="n">
        <v>0</v>
      </c>
      <c r="N12789" t="n">
        <v>0</v>
      </c>
      <c r="O12789" t="n">
        <v>0</v>
      </c>
      <c r="P12789" t="n">
        <v>0</v>
      </c>
      <c r="Q12789" t="n">
        <v>0</v>
      </c>
      <c r="R12789" s="2" t="inlineStr"/>
    </row>
    <row r="12790" ht="15" customHeight="1">
      <c r="A12790" t="inlineStr">
        <is>
          <t>A 50294-2022</t>
        </is>
      </c>
      <c r="B12790" s="1" t="n">
        <v>44865.91162037037</v>
      </c>
      <c r="C12790" s="1" t="n">
        <v>45952</v>
      </c>
      <c r="D12790" t="inlineStr">
        <is>
          <t>VÄSTRA GÖTALANDS LÄN</t>
        </is>
      </c>
      <c r="E12790" t="inlineStr">
        <is>
          <t>TIDAHOLM</t>
        </is>
      </c>
      <c r="G12790" t="n">
        <v>0.9</v>
      </c>
      <c r="H12790" t="n">
        <v>0</v>
      </c>
      <c r="I12790" t="n">
        <v>0</v>
      </c>
      <c r="J12790" t="n">
        <v>0</v>
      </c>
      <c r="K12790" t="n">
        <v>0</v>
      </c>
      <c r="L12790" t="n">
        <v>0</v>
      </c>
      <c r="M12790" t="n">
        <v>0</v>
      </c>
      <c r="N12790" t="n">
        <v>0</v>
      </c>
      <c r="O12790" t="n">
        <v>0</v>
      </c>
      <c r="P12790" t="n">
        <v>0</v>
      </c>
      <c r="Q12790" t="n">
        <v>0</v>
      </c>
      <c r="R12790" s="2" t="inlineStr"/>
    </row>
    <row r="12791" ht="15" customHeight="1">
      <c r="A12791" t="inlineStr">
        <is>
          <t>A 34978-2025</t>
        </is>
      </c>
      <c r="B12791" s="1" t="n">
        <v>45849.68278935185</v>
      </c>
      <c r="C12791" s="1" t="n">
        <v>45952</v>
      </c>
      <c r="D12791" t="inlineStr">
        <is>
          <t>VÄSTRA GÖTALANDS LÄN</t>
        </is>
      </c>
      <c r="E12791" t="inlineStr">
        <is>
          <t>MUNKEDAL</t>
        </is>
      </c>
      <c r="G12791" t="n">
        <v>6.2</v>
      </c>
      <c r="H12791" t="n">
        <v>0</v>
      </c>
      <c r="I12791" t="n">
        <v>0</v>
      </c>
      <c r="J12791" t="n">
        <v>0</v>
      </c>
      <c r="K12791" t="n">
        <v>0</v>
      </c>
      <c r="L12791" t="n">
        <v>0</v>
      </c>
      <c r="M12791" t="n">
        <v>0</v>
      </c>
      <c r="N12791" t="n">
        <v>0</v>
      </c>
      <c r="O12791" t="n">
        <v>0</v>
      </c>
      <c r="P12791" t="n">
        <v>0</v>
      </c>
      <c r="Q12791" t="n">
        <v>0</v>
      </c>
      <c r="R12791" s="2" t="inlineStr"/>
    </row>
    <row r="12792" ht="15" customHeight="1">
      <c r="A12792" t="inlineStr">
        <is>
          <t>A 36426-2023</t>
        </is>
      </c>
      <c r="B12792" s="1" t="n">
        <v>45151</v>
      </c>
      <c r="C12792" s="1" t="n">
        <v>45952</v>
      </c>
      <c r="D12792" t="inlineStr">
        <is>
          <t>VÄSTRA GÖTALANDS LÄN</t>
        </is>
      </c>
      <c r="E12792" t="inlineStr">
        <is>
          <t>BENGTSFORS</t>
        </is>
      </c>
      <c r="G12792" t="n">
        <v>0.5</v>
      </c>
      <c r="H12792" t="n">
        <v>0</v>
      </c>
      <c r="I12792" t="n">
        <v>0</v>
      </c>
      <c r="J12792" t="n">
        <v>0</v>
      </c>
      <c r="K12792" t="n">
        <v>0</v>
      </c>
      <c r="L12792" t="n">
        <v>0</v>
      </c>
      <c r="M12792" t="n">
        <v>0</v>
      </c>
      <c r="N12792" t="n">
        <v>0</v>
      </c>
      <c r="O12792" t="n">
        <v>0</v>
      </c>
      <c r="P12792" t="n">
        <v>0</v>
      </c>
      <c r="Q12792" t="n">
        <v>0</v>
      </c>
      <c r="R12792" s="2" t="inlineStr"/>
    </row>
    <row r="12793" ht="15" customHeight="1">
      <c r="A12793" t="inlineStr">
        <is>
          <t>A 10458-2025</t>
        </is>
      </c>
      <c r="B12793" s="1" t="n">
        <v>45720</v>
      </c>
      <c r="C12793" s="1" t="n">
        <v>45952</v>
      </c>
      <c r="D12793" t="inlineStr">
        <is>
          <t>VÄSTRA GÖTALANDS LÄN</t>
        </is>
      </c>
      <c r="E12793" t="inlineStr">
        <is>
          <t>MARIESTAD</t>
        </is>
      </c>
      <c r="G12793" t="n">
        <v>0.8</v>
      </c>
      <c r="H12793" t="n">
        <v>0</v>
      </c>
      <c r="I12793" t="n">
        <v>0</v>
      </c>
      <c r="J12793" t="n">
        <v>0</v>
      </c>
      <c r="K12793" t="n">
        <v>0</v>
      </c>
      <c r="L12793" t="n">
        <v>0</v>
      </c>
      <c r="M12793" t="n">
        <v>0</v>
      </c>
      <c r="N12793" t="n">
        <v>0</v>
      </c>
      <c r="O12793" t="n">
        <v>0</v>
      </c>
      <c r="P12793" t="n">
        <v>0</v>
      </c>
      <c r="Q12793" t="n">
        <v>0</v>
      </c>
      <c r="R12793" s="2" t="inlineStr"/>
    </row>
    <row r="12794" ht="15" customHeight="1">
      <c r="A12794" t="inlineStr">
        <is>
          <t>A 60233-2023</t>
        </is>
      </c>
      <c r="B12794" s="1" t="n">
        <v>45258</v>
      </c>
      <c r="C12794" s="1" t="n">
        <v>45952</v>
      </c>
      <c r="D12794" t="inlineStr">
        <is>
          <t>VÄSTRA GÖTALANDS LÄN</t>
        </is>
      </c>
      <c r="E12794" t="inlineStr">
        <is>
          <t>SKARA</t>
        </is>
      </c>
      <c r="G12794" t="n">
        <v>1.5</v>
      </c>
      <c r="H12794" t="n">
        <v>0</v>
      </c>
      <c r="I12794" t="n">
        <v>0</v>
      </c>
      <c r="J12794" t="n">
        <v>0</v>
      </c>
      <c r="K12794" t="n">
        <v>0</v>
      </c>
      <c r="L12794" t="n">
        <v>0</v>
      </c>
      <c r="M12794" t="n">
        <v>0</v>
      </c>
      <c r="N12794" t="n">
        <v>0</v>
      </c>
      <c r="O12794" t="n">
        <v>0</v>
      </c>
      <c r="P12794" t="n">
        <v>0</v>
      </c>
      <c r="Q12794" t="n">
        <v>0</v>
      </c>
      <c r="R12794" s="2" t="inlineStr"/>
    </row>
    <row r="12795" ht="15" customHeight="1">
      <c r="A12795" t="inlineStr">
        <is>
          <t>A 24792-2024</t>
        </is>
      </c>
      <c r="B12795" s="1" t="n">
        <v>45460</v>
      </c>
      <c r="C12795" s="1" t="n">
        <v>45952</v>
      </c>
      <c r="D12795" t="inlineStr">
        <is>
          <t>VÄSTRA GÖTALANDS LÄN</t>
        </is>
      </c>
      <c r="E12795" t="inlineStr">
        <is>
          <t>TIDAHOLM</t>
        </is>
      </c>
      <c r="G12795" t="n">
        <v>5.9</v>
      </c>
      <c r="H12795" t="n">
        <v>0</v>
      </c>
      <c r="I12795" t="n">
        <v>0</v>
      </c>
      <c r="J12795" t="n">
        <v>0</v>
      </c>
      <c r="K12795" t="n">
        <v>0</v>
      </c>
      <c r="L12795" t="n">
        <v>0</v>
      </c>
      <c r="M12795" t="n">
        <v>0</v>
      </c>
      <c r="N12795" t="n">
        <v>0</v>
      </c>
      <c r="O12795" t="n">
        <v>0</v>
      </c>
      <c r="P12795" t="n">
        <v>0</v>
      </c>
      <c r="Q12795" t="n">
        <v>0</v>
      </c>
      <c r="R12795" s="2" t="inlineStr"/>
    </row>
    <row r="12796" ht="15" customHeight="1">
      <c r="A12796" t="inlineStr">
        <is>
          <t>A 34486-2025</t>
        </is>
      </c>
      <c r="B12796" s="1" t="n">
        <v>45847</v>
      </c>
      <c r="C12796" s="1" t="n">
        <v>45952</v>
      </c>
      <c r="D12796" t="inlineStr">
        <is>
          <t>VÄSTRA GÖTALANDS LÄN</t>
        </is>
      </c>
      <c r="E12796" t="inlineStr">
        <is>
          <t>ULRICEHAMN</t>
        </is>
      </c>
      <c r="G12796" t="n">
        <v>4.4</v>
      </c>
      <c r="H12796" t="n">
        <v>0</v>
      </c>
      <c r="I12796" t="n">
        <v>0</v>
      </c>
      <c r="J12796" t="n">
        <v>0</v>
      </c>
      <c r="K12796" t="n">
        <v>0</v>
      </c>
      <c r="L12796" t="n">
        <v>0</v>
      </c>
      <c r="M12796" t="n">
        <v>0</v>
      </c>
      <c r="N12796" t="n">
        <v>0</v>
      </c>
      <c r="O12796" t="n">
        <v>0</v>
      </c>
      <c r="P12796" t="n">
        <v>0</v>
      </c>
      <c r="Q12796" t="n">
        <v>0</v>
      </c>
      <c r="R12796" s="2" t="inlineStr"/>
    </row>
    <row r="12797" ht="15" customHeight="1">
      <c r="A12797" t="inlineStr">
        <is>
          <t>A 35144-2025</t>
        </is>
      </c>
      <c r="B12797" s="1" t="n">
        <v>45852.65833333333</v>
      </c>
      <c r="C12797" s="1" t="n">
        <v>45952</v>
      </c>
      <c r="D12797" t="inlineStr">
        <is>
          <t>VÄSTRA GÖTALANDS LÄN</t>
        </is>
      </c>
      <c r="E12797" t="inlineStr">
        <is>
          <t>LYSEKIL</t>
        </is>
      </c>
      <c r="G12797" t="n">
        <v>1.1</v>
      </c>
      <c r="H12797" t="n">
        <v>0</v>
      </c>
      <c r="I12797" t="n">
        <v>0</v>
      </c>
      <c r="J12797" t="n">
        <v>0</v>
      </c>
      <c r="K12797" t="n">
        <v>0</v>
      </c>
      <c r="L12797" t="n">
        <v>0</v>
      </c>
      <c r="M12797" t="n">
        <v>0</v>
      </c>
      <c r="N12797" t="n">
        <v>0</v>
      </c>
      <c r="O12797" t="n">
        <v>0</v>
      </c>
      <c r="P12797" t="n">
        <v>0</v>
      </c>
      <c r="Q12797" t="n">
        <v>0</v>
      </c>
      <c r="R12797" s="2" t="inlineStr"/>
    </row>
    <row r="12798" ht="15" customHeight="1">
      <c r="A12798" t="inlineStr">
        <is>
          <t>A 35153-2025</t>
        </is>
      </c>
      <c r="B12798" s="1" t="n">
        <v>45852.68678240741</v>
      </c>
      <c r="C12798" s="1" t="n">
        <v>45952</v>
      </c>
      <c r="D12798" t="inlineStr">
        <is>
          <t>VÄSTRA GÖTALANDS LÄN</t>
        </is>
      </c>
      <c r="E12798" t="inlineStr">
        <is>
          <t>GÖTENE</t>
        </is>
      </c>
      <c r="G12798" t="n">
        <v>6.6</v>
      </c>
      <c r="H12798" t="n">
        <v>0</v>
      </c>
      <c r="I12798" t="n">
        <v>0</v>
      </c>
      <c r="J12798" t="n">
        <v>0</v>
      </c>
      <c r="K12798" t="n">
        <v>0</v>
      </c>
      <c r="L12798" t="n">
        <v>0</v>
      </c>
      <c r="M12798" t="n">
        <v>0</v>
      </c>
      <c r="N12798" t="n">
        <v>0</v>
      </c>
      <c r="O12798" t="n">
        <v>0</v>
      </c>
      <c r="P12798" t="n">
        <v>0</v>
      </c>
      <c r="Q12798" t="n">
        <v>0</v>
      </c>
      <c r="R12798" s="2" t="inlineStr"/>
    </row>
    <row r="12799" ht="15" customHeight="1">
      <c r="A12799" t="inlineStr">
        <is>
          <t>A 35003-2025</t>
        </is>
      </c>
      <c r="B12799" s="1" t="n">
        <v>45850.66096064815</v>
      </c>
      <c r="C12799" s="1" t="n">
        <v>45952</v>
      </c>
      <c r="D12799" t="inlineStr">
        <is>
          <t>VÄSTRA GÖTALANDS LÄN</t>
        </is>
      </c>
      <c r="E12799" t="inlineStr">
        <is>
          <t>ALINGSÅS</t>
        </is>
      </c>
      <c r="G12799" t="n">
        <v>1.3</v>
      </c>
      <c r="H12799" t="n">
        <v>0</v>
      </c>
      <c r="I12799" t="n">
        <v>0</v>
      </c>
      <c r="J12799" t="n">
        <v>0</v>
      </c>
      <c r="K12799" t="n">
        <v>0</v>
      </c>
      <c r="L12799" t="n">
        <v>0</v>
      </c>
      <c r="M12799" t="n">
        <v>0</v>
      </c>
      <c r="N12799" t="n">
        <v>0</v>
      </c>
      <c r="O12799" t="n">
        <v>0</v>
      </c>
      <c r="P12799" t="n">
        <v>0</v>
      </c>
      <c r="Q12799" t="n">
        <v>0</v>
      </c>
      <c r="R12799" s="2" t="inlineStr"/>
    </row>
    <row r="12800" ht="15" customHeight="1">
      <c r="A12800" t="inlineStr">
        <is>
          <t>A 44421-2024</t>
        </is>
      </c>
      <c r="B12800" s="1" t="n">
        <v>45573.86858796296</v>
      </c>
      <c r="C12800" s="1" t="n">
        <v>45952</v>
      </c>
      <c r="D12800" t="inlineStr">
        <is>
          <t>VÄSTRA GÖTALANDS LÄN</t>
        </is>
      </c>
      <c r="E12800" t="inlineStr">
        <is>
          <t>VÅRGÅRDA</t>
        </is>
      </c>
      <c r="G12800" t="n">
        <v>4.3</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35135-2025</t>
        </is>
      </c>
      <c r="B12801" s="1" t="n">
        <v>45852.64123842592</v>
      </c>
      <c r="C12801" s="1" t="n">
        <v>45952</v>
      </c>
      <c r="D12801" t="inlineStr">
        <is>
          <t>VÄSTRA GÖTALANDS LÄN</t>
        </is>
      </c>
      <c r="E12801" t="inlineStr">
        <is>
          <t>LYSEKIL</t>
        </is>
      </c>
      <c r="G12801" t="n">
        <v>0.1</v>
      </c>
      <c r="H12801" t="n">
        <v>0</v>
      </c>
      <c r="I12801" t="n">
        <v>0</v>
      </c>
      <c r="J12801" t="n">
        <v>0</v>
      </c>
      <c r="K12801" t="n">
        <v>0</v>
      </c>
      <c r="L12801" t="n">
        <v>0</v>
      </c>
      <c r="M12801" t="n">
        <v>0</v>
      </c>
      <c r="N12801" t="n">
        <v>0</v>
      </c>
      <c r="O12801" t="n">
        <v>0</v>
      </c>
      <c r="P12801" t="n">
        <v>0</v>
      </c>
      <c r="Q12801" t="n">
        <v>0</v>
      </c>
      <c r="R12801" s="2" t="inlineStr"/>
    </row>
    <row r="12802" ht="15" customHeight="1">
      <c r="A12802" t="inlineStr">
        <is>
          <t>A 11805-2025</t>
        </is>
      </c>
      <c r="B12802" s="1" t="n">
        <v>45727.88486111111</v>
      </c>
      <c r="C12802" s="1" t="n">
        <v>45952</v>
      </c>
      <c r="D12802" t="inlineStr">
        <is>
          <t>VÄSTRA GÖTALANDS LÄN</t>
        </is>
      </c>
      <c r="E12802" t="inlineStr">
        <is>
          <t>GULLSPÅNG</t>
        </is>
      </c>
      <c r="G12802" t="n">
        <v>1.5</v>
      </c>
      <c r="H12802" t="n">
        <v>0</v>
      </c>
      <c r="I12802" t="n">
        <v>0</v>
      </c>
      <c r="J12802" t="n">
        <v>0</v>
      </c>
      <c r="K12802" t="n">
        <v>0</v>
      </c>
      <c r="L12802" t="n">
        <v>0</v>
      </c>
      <c r="M12802" t="n">
        <v>0</v>
      </c>
      <c r="N12802" t="n">
        <v>0</v>
      </c>
      <c r="O12802" t="n">
        <v>0</v>
      </c>
      <c r="P12802" t="n">
        <v>0</v>
      </c>
      <c r="Q12802" t="n">
        <v>0</v>
      </c>
      <c r="R12802" s="2" t="inlineStr"/>
    </row>
    <row r="12803" ht="15" customHeight="1">
      <c r="A12803" t="inlineStr">
        <is>
          <t>A 6925-2023</t>
        </is>
      </c>
      <c r="B12803" s="1" t="n">
        <v>44967</v>
      </c>
      <c r="C12803" s="1" t="n">
        <v>45952</v>
      </c>
      <c r="D12803" t="inlineStr">
        <is>
          <t>VÄSTRA GÖTALANDS LÄN</t>
        </is>
      </c>
      <c r="E12803" t="inlineStr">
        <is>
          <t>GÖTENE</t>
        </is>
      </c>
      <c r="F12803" t="inlineStr">
        <is>
          <t>Kyrkan</t>
        </is>
      </c>
      <c r="G12803" t="n">
        <v>0.9</v>
      </c>
      <c r="H12803" t="n">
        <v>0</v>
      </c>
      <c r="I12803" t="n">
        <v>0</v>
      </c>
      <c r="J12803" t="n">
        <v>0</v>
      </c>
      <c r="K12803" t="n">
        <v>0</v>
      </c>
      <c r="L12803" t="n">
        <v>0</v>
      </c>
      <c r="M12803" t="n">
        <v>0</v>
      </c>
      <c r="N12803" t="n">
        <v>0</v>
      </c>
      <c r="O12803" t="n">
        <v>0</v>
      </c>
      <c r="P12803" t="n">
        <v>0</v>
      </c>
      <c r="Q12803" t="n">
        <v>0</v>
      </c>
      <c r="R12803" s="2" t="inlineStr"/>
    </row>
    <row r="12804" ht="15" customHeight="1">
      <c r="A12804" t="inlineStr">
        <is>
          <t>A 19319-2023</t>
        </is>
      </c>
      <c r="B12804" s="1" t="n">
        <v>45048</v>
      </c>
      <c r="C12804" s="1" t="n">
        <v>45952</v>
      </c>
      <c r="D12804" t="inlineStr">
        <is>
          <t>VÄSTRA GÖTALANDS LÄN</t>
        </is>
      </c>
      <c r="E12804" t="inlineStr">
        <is>
          <t>SVENLJUNGA</t>
        </is>
      </c>
      <c r="G12804" t="n">
        <v>2.1</v>
      </c>
      <c r="H12804" t="n">
        <v>0</v>
      </c>
      <c r="I12804" t="n">
        <v>0</v>
      </c>
      <c r="J12804" t="n">
        <v>0</v>
      </c>
      <c r="K12804" t="n">
        <v>0</v>
      </c>
      <c r="L12804" t="n">
        <v>0</v>
      </c>
      <c r="M12804" t="n">
        <v>0</v>
      </c>
      <c r="N12804" t="n">
        <v>0</v>
      </c>
      <c r="O12804" t="n">
        <v>0</v>
      </c>
      <c r="P12804" t="n">
        <v>0</v>
      </c>
      <c r="Q12804" t="n">
        <v>0</v>
      </c>
      <c r="R12804" s="2" t="inlineStr"/>
    </row>
    <row r="12805" ht="15" customHeight="1">
      <c r="A12805" t="inlineStr">
        <is>
          <t>A 59292-2023</t>
        </is>
      </c>
      <c r="B12805" s="1" t="n">
        <v>45253</v>
      </c>
      <c r="C12805" s="1" t="n">
        <v>45952</v>
      </c>
      <c r="D12805" t="inlineStr">
        <is>
          <t>VÄSTRA GÖTALANDS LÄN</t>
        </is>
      </c>
      <c r="E12805" t="inlineStr">
        <is>
          <t>ALINGSÅS</t>
        </is>
      </c>
      <c r="G12805" t="n">
        <v>3.1</v>
      </c>
      <c r="H12805" t="n">
        <v>0</v>
      </c>
      <c r="I12805" t="n">
        <v>0</v>
      </c>
      <c r="J12805" t="n">
        <v>0</v>
      </c>
      <c r="K12805" t="n">
        <v>0</v>
      </c>
      <c r="L12805" t="n">
        <v>0</v>
      </c>
      <c r="M12805" t="n">
        <v>0</v>
      </c>
      <c r="N12805" t="n">
        <v>0</v>
      </c>
      <c r="O12805" t="n">
        <v>0</v>
      </c>
      <c r="P12805" t="n">
        <v>0</v>
      </c>
      <c r="Q12805" t="n">
        <v>0</v>
      </c>
      <c r="R12805" s="2" t="inlineStr"/>
    </row>
    <row r="12806" ht="15" customHeight="1">
      <c r="A12806" t="inlineStr">
        <is>
          <t>A 35172-2025</t>
        </is>
      </c>
      <c r="B12806" s="1" t="n">
        <v>45852.81349537037</v>
      </c>
      <c r="C12806" s="1" t="n">
        <v>45952</v>
      </c>
      <c r="D12806" t="inlineStr">
        <is>
          <t>VÄSTRA GÖTALANDS LÄN</t>
        </is>
      </c>
      <c r="E12806" t="inlineStr">
        <is>
          <t>STENUNGSUND</t>
        </is>
      </c>
      <c r="G12806" t="n">
        <v>4.5</v>
      </c>
      <c r="H12806" t="n">
        <v>0</v>
      </c>
      <c r="I12806" t="n">
        <v>0</v>
      </c>
      <c r="J12806" t="n">
        <v>0</v>
      </c>
      <c r="K12806" t="n">
        <v>0</v>
      </c>
      <c r="L12806" t="n">
        <v>0</v>
      </c>
      <c r="M12806" t="n">
        <v>0</v>
      </c>
      <c r="N12806" t="n">
        <v>0</v>
      </c>
      <c r="O12806" t="n">
        <v>0</v>
      </c>
      <c r="P12806" t="n">
        <v>0</v>
      </c>
      <c r="Q12806" t="n">
        <v>0</v>
      </c>
      <c r="R12806" s="2" t="inlineStr"/>
    </row>
    <row r="12807" ht="15" customHeight="1">
      <c r="A12807" t="inlineStr">
        <is>
          <t>A 35139-2025</t>
        </is>
      </c>
      <c r="B12807" s="1" t="n">
        <v>45852.64978009259</v>
      </c>
      <c r="C12807" s="1" t="n">
        <v>45952</v>
      </c>
      <c r="D12807" t="inlineStr">
        <is>
          <t>VÄSTRA GÖTALANDS LÄN</t>
        </is>
      </c>
      <c r="E12807" t="inlineStr">
        <is>
          <t>LYSEKIL</t>
        </is>
      </c>
      <c r="G12807" t="n">
        <v>0.7</v>
      </c>
      <c r="H12807" t="n">
        <v>0</v>
      </c>
      <c r="I12807" t="n">
        <v>0</v>
      </c>
      <c r="J12807" t="n">
        <v>0</v>
      </c>
      <c r="K12807" t="n">
        <v>0</v>
      </c>
      <c r="L12807" t="n">
        <v>0</v>
      </c>
      <c r="M12807" t="n">
        <v>0</v>
      </c>
      <c r="N12807" t="n">
        <v>0</v>
      </c>
      <c r="O12807" t="n">
        <v>0</v>
      </c>
      <c r="P12807" t="n">
        <v>0</v>
      </c>
      <c r="Q12807" t="n">
        <v>0</v>
      </c>
      <c r="R12807" s="2" t="inlineStr"/>
    </row>
    <row r="12808" ht="15" customHeight="1">
      <c r="A12808" t="inlineStr">
        <is>
          <t>A 9788-2025</t>
        </is>
      </c>
      <c r="B12808" s="1" t="n">
        <v>45716.54331018519</v>
      </c>
      <c r="C12808" s="1" t="n">
        <v>45952</v>
      </c>
      <c r="D12808" t="inlineStr">
        <is>
          <t>VÄSTRA GÖTALANDS LÄN</t>
        </is>
      </c>
      <c r="E12808" t="inlineStr">
        <is>
          <t>KARLSBORG</t>
        </is>
      </c>
      <c r="G12808" t="n">
        <v>0.8</v>
      </c>
      <c r="H12808" t="n">
        <v>0</v>
      </c>
      <c r="I12808" t="n">
        <v>0</v>
      </c>
      <c r="J12808" t="n">
        <v>0</v>
      </c>
      <c r="K12808" t="n">
        <v>0</v>
      </c>
      <c r="L12808" t="n">
        <v>0</v>
      </c>
      <c r="M12808" t="n">
        <v>0</v>
      </c>
      <c r="N12808" t="n">
        <v>0</v>
      </c>
      <c r="O12808" t="n">
        <v>0</v>
      </c>
      <c r="P12808" t="n">
        <v>0</v>
      </c>
      <c r="Q12808" t="n">
        <v>0</v>
      </c>
      <c r="R12808" s="2" t="inlineStr"/>
    </row>
    <row r="12809" ht="15" customHeight="1">
      <c r="A12809" t="inlineStr">
        <is>
          <t>A 18101-2023</t>
        </is>
      </c>
      <c r="B12809" s="1" t="n">
        <v>45040</v>
      </c>
      <c r="C12809" s="1" t="n">
        <v>45952</v>
      </c>
      <c r="D12809" t="inlineStr">
        <is>
          <t>VÄSTRA GÖTALANDS LÄN</t>
        </is>
      </c>
      <c r="E12809" t="inlineStr">
        <is>
          <t>BENGTSFORS</t>
        </is>
      </c>
      <c r="G12809" t="n">
        <v>2.3</v>
      </c>
      <c r="H12809" t="n">
        <v>0</v>
      </c>
      <c r="I12809" t="n">
        <v>0</v>
      </c>
      <c r="J12809" t="n">
        <v>0</v>
      </c>
      <c r="K12809" t="n">
        <v>0</v>
      </c>
      <c r="L12809" t="n">
        <v>0</v>
      </c>
      <c r="M12809" t="n">
        <v>0</v>
      </c>
      <c r="N12809" t="n">
        <v>0</v>
      </c>
      <c r="O12809" t="n">
        <v>0</v>
      </c>
      <c r="P12809" t="n">
        <v>0</v>
      </c>
      <c r="Q12809" t="n">
        <v>0</v>
      </c>
      <c r="R12809" s="2" t="inlineStr"/>
    </row>
    <row r="12810" ht="15" customHeight="1">
      <c r="A12810" t="inlineStr">
        <is>
          <t>A 19495-2023</t>
        </is>
      </c>
      <c r="B12810" s="1" t="n">
        <v>45050.46230324074</v>
      </c>
      <c r="C12810" s="1" t="n">
        <v>45952</v>
      </c>
      <c r="D12810" t="inlineStr">
        <is>
          <t>VÄSTRA GÖTALANDS LÄN</t>
        </is>
      </c>
      <c r="E12810" t="inlineStr">
        <is>
          <t>TRANEMO</t>
        </is>
      </c>
      <c r="G12810" t="n">
        <v>1.2</v>
      </c>
      <c r="H12810" t="n">
        <v>0</v>
      </c>
      <c r="I12810" t="n">
        <v>0</v>
      </c>
      <c r="J12810" t="n">
        <v>0</v>
      </c>
      <c r="K12810" t="n">
        <v>0</v>
      </c>
      <c r="L12810" t="n">
        <v>0</v>
      </c>
      <c r="M12810" t="n">
        <v>0</v>
      </c>
      <c r="N12810" t="n">
        <v>0</v>
      </c>
      <c r="O12810" t="n">
        <v>0</v>
      </c>
      <c r="P12810" t="n">
        <v>0</v>
      </c>
      <c r="Q12810" t="n">
        <v>0</v>
      </c>
      <c r="R12810" s="2" t="inlineStr"/>
    </row>
    <row r="12811" ht="15" customHeight="1">
      <c r="A12811" t="inlineStr">
        <is>
          <t>A 17072-2022</t>
        </is>
      </c>
      <c r="B12811" s="1" t="n">
        <v>44677.32255787037</v>
      </c>
      <c r="C12811" s="1" t="n">
        <v>45952</v>
      </c>
      <c r="D12811" t="inlineStr">
        <is>
          <t>VÄSTRA GÖTALANDS LÄN</t>
        </is>
      </c>
      <c r="E12811" t="inlineStr">
        <is>
          <t>ESSUNGA</t>
        </is>
      </c>
      <c r="F12811" t="inlineStr">
        <is>
          <t>Allmännings- och besparingsskogar</t>
        </is>
      </c>
      <c r="G12811" t="n">
        <v>8</v>
      </c>
      <c r="H12811" t="n">
        <v>0</v>
      </c>
      <c r="I12811" t="n">
        <v>0</v>
      </c>
      <c r="J12811" t="n">
        <v>0</v>
      </c>
      <c r="K12811" t="n">
        <v>0</v>
      </c>
      <c r="L12811" t="n">
        <v>0</v>
      </c>
      <c r="M12811" t="n">
        <v>0</v>
      </c>
      <c r="N12811" t="n">
        <v>0</v>
      </c>
      <c r="O12811" t="n">
        <v>0</v>
      </c>
      <c r="P12811" t="n">
        <v>0</v>
      </c>
      <c r="Q12811" t="n">
        <v>0</v>
      </c>
      <c r="R12811" s="2" t="inlineStr"/>
    </row>
    <row r="12812" ht="15" customHeight="1">
      <c r="A12812" t="inlineStr">
        <is>
          <t>A 29750-2023</t>
        </is>
      </c>
      <c r="B12812" s="1" t="n">
        <v>45107</v>
      </c>
      <c r="C12812" s="1" t="n">
        <v>45952</v>
      </c>
      <c r="D12812" t="inlineStr">
        <is>
          <t>VÄSTRA GÖTALANDS LÄN</t>
        </is>
      </c>
      <c r="E12812" t="inlineStr">
        <is>
          <t>FALKÖPING</t>
        </is>
      </c>
      <c r="G12812" t="n">
        <v>6.6</v>
      </c>
      <c r="H12812" t="n">
        <v>0</v>
      </c>
      <c r="I12812" t="n">
        <v>0</v>
      </c>
      <c r="J12812" t="n">
        <v>0</v>
      </c>
      <c r="K12812" t="n">
        <v>0</v>
      </c>
      <c r="L12812" t="n">
        <v>0</v>
      </c>
      <c r="M12812" t="n">
        <v>0</v>
      </c>
      <c r="N12812" t="n">
        <v>0</v>
      </c>
      <c r="O12812" t="n">
        <v>0</v>
      </c>
      <c r="P12812" t="n">
        <v>0</v>
      </c>
      <c r="Q12812" t="n">
        <v>0</v>
      </c>
      <c r="R12812" s="2" t="inlineStr"/>
    </row>
    <row r="12813" ht="15" customHeight="1">
      <c r="A12813" t="inlineStr">
        <is>
          <t>A 29857-2022</t>
        </is>
      </c>
      <c r="B12813" s="1" t="n">
        <v>44756.37861111111</v>
      </c>
      <c r="C12813" s="1" t="n">
        <v>45952</v>
      </c>
      <c r="D12813" t="inlineStr">
        <is>
          <t>VÄSTRA GÖTALANDS LÄN</t>
        </is>
      </c>
      <c r="E12813" t="inlineStr">
        <is>
          <t>MARIESTAD</t>
        </is>
      </c>
      <c r="G12813" t="n">
        <v>1.1</v>
      </c>
      <c r="H12813" t="n">
        <v>0</v>
      </c>
      <c r="I12813" t="n">
        <v>0</v>
      </c>
      <c r="J12813" t="n">
        <v>0</v>
      </c>
      <c r="K12813" t="n">
        <v>0</v>
      </c>
      <c r="L12813" t="n">
        <v>0</v>
      </c>
      <c r="M12813" t="n">
        <v>0</v>
      </c>
      <c r="N12813" t="n">
        <v>0</v>
      </c>
      <c r="O12813" t="n">
        <v>0</v>
      </c>
      <c r="P12813" t="n">
        <v>0</v>
      </c>
      <c r="Q12813" t="n">
        <v>0</v>
      </c>
      <c r="R12813" s="2" t="inlineStr"/>
    </row>
    <row r="12814" ht="15" customHeight="1">
      <c r="A12814" t="inlineStr">
        <is>
          <t>A 21401-2025</t>
        </is>
      </c>
      <c r="B12814" s="1" t="n">
        <v>45782</v>
      </c>
      <c r="C12814" s="1" t="n">
        <v>45952</v>
      </c>
      <c r="D12814" t="inlineStr">
        <is>
          <t>VÄSTRA GÖTALANDS LÄN</t>
        </is>
      </c>
      <c r="E12814" t="inlineStr">
        <is>
          <t>DALS-ED</t>
        </is>
      </c>
      <c r="G12814" t="n">
        <v>4.8</v>
      </c>
      <c r="H12814" t="n">
        <v>0</v>
      </c>
      <c r="I12814" t="n">
        <v>0</v>
      </c>
      <c r="J12814" t="n">
        <v>0</v>
      </c>
      <c r="K12814" t="n">
        <v>0</v>
      </c>
      <c r="L12814" t="n">
        <v>0</v>
      </c>
      <c r="M12814" t="n">
        <v>0</v>
      </c>
      <c r="N12814" t="n">
        <v>0</v>
      </c>
      <c r="O12814" t="n">
        <v>0</v>
      </c>
      <c r="P12814" t="n">
        <v>0</v>
      </c>
      <c r="Q12814" t="n">
        <v>0</v>
      </c>
      <c r="R12814" s="2" t="inlineStr"/>
    </row>
    <row r="12815" ht="15" customHeight="1">
      <c r="A12815" t="inlineStr">
        <is>
          <t>A 35024-2025</t>
        </is>
      </c>
      <c r="B12815" s="1" t="n">
        <v>45851.97327546297</v>
      </c>
      <c r="C12815" s="1" t="n">
        <v>45952</v>
      </c>
      <c r="D12815" t="inlineStr">
        <is>
          <t>VÄSTRA GÖTALANDS LÄN</t>
        </is>
      </c>
      <c r="E12815" t="inlineStr">
        <is>
          <t>BENGTSFORS</t>
        </is>
      </c>
      <c r="G12815" t="n">
        <v>1.1</v>
      </c>
      <c r="H12815" t="n">
        <v>0</v>
      </c>
      <c r="I12815" t="n">
        <v>0</v>
      </c>
      <c r="J12815" t="n">
        <v>0</v>
      </c>
      <c r="K12815" t="n">
        <v>0</v>
      </c>
      <c r="L12815" t="n">
        <v>0</v>
      </c>
      <c r="M12815" t="n">
        <v>0</v>
      </c>
      <c r="N12815" t="n">
        <v>0</v>
      </c>
      <c r="O12815" t="n">
        <v>0</v>
      </c>
      <c r="P12815" t="n">
        <v>0</v>
      </c>
      <c r="Q12815" t="n">
        <v>0</v>
      </c>
      <c r="R12815" s="2" t="inlineStr"/>
    </row>
    <row r="12816" ht="15" customHeight="1">
      <c r="A12816" t="inlineStr">
        <is>
          <t>A 37039-2021</t>
        </is>
      </c>
      <c r="B12816" s="1" t="n">
        <v>44393</v>
      </c>
      <c r="C12816" s="1" t="n">
        <v>45952</v>
      </c>
      <c r="D12816" t="inlineStr">
        <is>
          <t>VÄSTRA GÖTALANDS LÄN</t>
        </is>
      </c>
      <c r="E12816" t="inlineStr">
        <is>
          <t>TRANEMO</t>
        </is>
      </c>
      <c r="G12816" t="n">
        <v>2</v>
      </c>
      <c r="H12816" t="n">
        <v>0</v>
      </c>
      <c r="I12816" t="n">
        <v>0</v>
      </c>
      <c r="J12816" t="n">
        <v>0</v>
      </c>
      <c r="K12816" t="n">
        <v>0</v>
      </c>
      <c r="L12816" t="n">
        <v>0</v>
      </c>
      <c r="M12816" t="n">
        <v>0</v>
      </c>
      <c r="N12816" t="n">
        <v>0</v>
      </c>
      <c r="O12816" t="n">
        <v>0</v>
      </c>
      <c r="P12816" t="n">
        <v>0</v>
      </c>
      <c r="Q12816" t="n">
        <v>0</v>
      </c>
      <c r="R12816" s="2" t="inlineStr"/>
    </row>
    <row r="12817" ht="15" customHeight="1">
      <c r="A12817" t="inlineStr">
        <is>
          <t>A 35408-2023</t>
        </is>
      </c>
      <c r="B12817" s="1" t="n">
        <v>45146</v>
      </c>
      <c r="C12817" s="1" t="n">
        <v>45952</v>
      </c>
      <c r="D12817" t="inlineStr">
        <is>
          <t>VÄSTRA GÖTALANDS LÄN</t>
        </is>
      </c>
      <c r="E12817" t="inlineStr">
        <is>
          <t>GÖTENE</t>
        </is>
      </c>
      <c r="G12817" t="n">
        <v>3.6</v>
      </c>
      <c r="H12817" t="n">
        <v>0</v>
      </c>
      <c r="I12817" t="n">
        <v>0</v>
      </c>
      <c r="J12817" t="n">
        <v>0</v>
      </c>
      <c r="K12817" t="n">
        <v>0</v>
      </c>
      <c r="L12817" t="n">
        <v>0</v>
      </c>
      <c r="M12817" t="n">
        <v>0</v>
      </c>
      <c r="N12817" t="n">
        <v>0</v>
      </c>
      <c r="O12817" t="n">
        <v>0</v>
      </c>
      <c r="P12817" t="n">
        <v>0</v>
      </c>
      <c r="Q12817" t="n">
        <v>0</v>
      </c>
      <c r="R12817" s="2" t="inlineStr"/>
    </row>
    <row r="12818" ht="15" customHeight="1">
      <c r="A12818" t="inlineStr">
        <is>
          <t>A 11820-2025</t>
        </is>
      </c>
      <c r="B12818" s="1" t="n">
        <v>45728.32152777778</v>
      </c>
      <c r="C12818" s="1" t="n">
        <v>45952</v>
      </c>
      <c r="D12818" t="inlineStr">
        <is>
          <t>VÄSTRA GÖTALANDS LÄN</t>
        </is>
      </c>
      <c r="E12818" t="inlineStr">
        <is>
          <t>GULLSPÅNG</t>
        </is>
      </c>
      <c r="G12818" t="n">
        <v>1</v>
      </c>
      <c r="H12818" t="n">
        <v>0</v>
      </c>
      <c r="I12818" t="n">
        <v>0</v>
      </c>
      <c r="J12818" t="n">
        <v>0</v>
      </c>
      <c r="K12818" t="n">
        <v>0</v>
      </c>
      <c r="L12818" t="n">
        <v>0</v>
      </c>
      <c r="M12818" t="n">
        <v>0</v>
      </c>
      <c r="N12818" t="n">
        <v>0</v>
      </c>
      <c r="O12818" t="n">
        <v>0</v>
      </c>
      <c r="P12818" t="n">
        <v>0</v>
      </c>
      <c r="Q12818" t="n">
        <v>0</v>
      </c>
      <c r="R12818" s="2" t="inlineStr"/>
    </row>
    <row r="12819" ht="15" customHeight="1">
      <c r="A12819" t="inlineStr">
        <is>
          <t>A 48681-2024</t>
        </is>
      </c>
      <c r="B12819" s="1" t="n">
        <v>45593</v>
      </c>
      <c r="C12819" s="1" t="n">
        <v>45952</v>
      </c>
      <c r="D12819" t="inlineStr">
        <is>
          <t>VÄSTRA GÖTALANDS LÄN</t>
        </is>
      </c>
      <c r="E12819" t="inlineStr">
        <is>
          <t>FALKÖPING</t>
        </is>
      </c>
      <c r="G12819" t="n">
        <v>1.2</v>
      </c>
      <c r="H12819" t="n">
        <v>0</v>
      </c>
      <c r="I12819" t="n">
        <v>0</v>
      </c>
      <c r="J12819" t="n">
        <v>0</v>
      </c>
      <c r="K12819" t="n">
        <v>0</v>
      </c>
      <c r="L12819" t="n">
        <v>0</v>
      </c>
      <c r="M12819" t="n">
        <v>0</v>
      </c>
      <c r="N12819" t="n">
        <v>0</v>
      </c>
      <c r="O12819" t="n">
        <v>0</v>
      </c>
      <c r="P12819" t="n">
        <v>0</v>
      </c>
      <c r="Q12819" t="n">
        <v>0</v>
      </c>
      <c r="R12819" s="2" t="inlineStr"/>
    </row>
    <row r="12820" ht="15" customHeight="1">
      <c r="A12820" t="inlineStr">
        <is>
          <t>A 35599-2022</t>
        </is>
      </c>
      <c r="B12820" s="1" t="n">
        <v>44799.45141203704</v>
      </c>
      <c r="C12820" s="1" t="n">
        <v>45952</v>
      </c>
      <c r="D12820" t="inlineStr">
        <is>
          <t>VÄSTRA GÖTALANDS LÄN</t>
        </is>
      </c>
      <c r="E12820" t="inlineStr">
        <is>
          <t>TANUM</t>
        </is>
      </c>
      <c r="G12820" t="n">
        <v>3.1</v>
      </c>
      <c r="H12820" t="n">
        <v>0</v>
      </c>
      <c r="I12820" t="n">
        <v>0</v>
      </c>
      <c r="J12820" t="n">
        <v>0</v>
      </c>
      <c r="K12820" t="n">
        <v>0</v>
      </c>
      <c r="L12820" t="n">
        <v>0</v>
      </c>
      <c r="M12820" t="n">
        <v>0</v>
      </c>
      <c r="N12820" t="n">
        <v>0</v>
      </c>
      <c r="O12820" t="n">
        <v>0</v>
      </c>
      <c r="P12820" t="n">
        <v>0</v>
      </c>
      <c r="Q12820" t="n">
        <v>0</v>
      </c>
      <c r="R12820" s="2" t="inlineStr"/>
    </row>
    <row r="12821" ht="15" customHeight="1">
      <c r="A12821" t="inlineStr">
        <is>
          <t>A 11981-2025</t>
        </is>
      </c>
      <c r="B12821" s="1" t="n">
        <v>45728</v>
      </c>
      <c r="C12821" s="1" t="n">
        <v>45952</v>
      </c>
      <c r="D12821" t="inlineStr">
        <is>
          <t>VÄSTRA GÖTALANDS LÄN</t>
        </is>
      </c>
      <c r="E12821" t="inlineStr">
        <is>
          <t>BOLLEBYGD</t>
        </is>
      </c>
      <c r="G12821" t="n">
        <v>1.8</v>
      </c>
      <c r="H12821" t="n">
        <v>0</v>
      </c>
      <c r="I12821" t="n">
        <v>0</v>
      </c>
      <c r="J12821" t="n">
        <v>0</v>
      </c>
      <c r="K12821" t="n">
        <v>0</v>
      </c>
      <c r="L12821" t="n">
        <v>0</v>
      </c>
      <c r="M12821" t="n">
        <v>0</v>
      </c>
      <c r="N12821" t="n">
        <v>0</v>
      </c>
      <c r="O12821" t="n">
        <v>0</v>
      </c>
      <c r="P12821" t="n">
        <v>0</v>
      </c>
      <c r="Q12821" t="n">
        <v>0</v>
      </c>
      <c r="R12821" s="2" t="inlineStr"/>
    </row>
    <row r="12822" ht="15" customHeight="1">
      <c r="A12822" t="inlineStr">
        <is>
          <t>A 13280-2024</t>
        </is>
      </c>
      <c r="B12822" s="1" t="n">
        <v>45386</v>
      </c>
      <c r="C12822" s="1" t="n">
        <v>45952</v>
      </c>
      <c r="D12822" t="inlineStr">
        <is>
          <t>VÄSTRA GÖTALANDS LÄN</t>
        </is>
      </c>
      <c r="E12822" t="inlineStr">
        <is>
          <t>GÖTENE</t>
        </is>
      </c>
      <c r="G12822" t="n">
        <v>1.6</v>
      </c>
      <c r="H12822" t="n">
        <v>0</v>
      </c>
      <c r="I12822" t="n">
        <v>0</v>
      </c>
      <c r="J12822" t="n">
        <v>0</v>
      </c>
      <c r="K12822" t="n">
        <v>0</v>
      </c>
      <c r="L12822" t="n">
        <v>0</v>
      </c>
      <c r="M12822" t="n">
        <v>0</v>
      </c>
      <c r="N12822" t="n">
        <v>0</v>
      </c>
      <c r="O12822" t="n">
        <v>0</v>
      </c>
      <c r="P12822" t="n">
        <v>0</v>
      </c>
      <c r="Q12822" t="n">
        <v>0</v>
      </c>
      <c r="R12822" s="2" t="inlineStr"/>
    </row>
    <row r="12823" ht="15" customHeight="1">
      <c r="A12823" t="inlineStr">
        <is>
          <t>A 13318-2024</t>
        </is>
      </c>
      <c r="B12823" s="1" t="n">
        <v>45386.75064814815</v>
      </c>
      <c r="C12823" s="1" t="n">
        <v>45952</v>
      </c>
      <c r="D12823" t="inlineStr">
        <is>
          <t>VÄSTRA GÖTALANDS LÄN</t>
        </is>
      </c>
      <c r="E12823" t="inlineStr">
        <is>
          <t>MELLERUD</t>
        </is>
      </c>
      <c r="G12823" t="n">
        <v>2.3</v>
      </c>
      <c r="H12823" t="n">
        <v>0</v>
      </c>
      <c r="I12823" t="n">
        <v>0</v>
      </c>
      <c r="J12823" t="n">
        <v>0</v>
      </c>
      <c r="K12823" t="n">
        <v>0</v>
      </c>
      <c r="L12823" t="n">
        <v>0</v>
      </c>
      <c r="M12823" t="n">
        <v>0</v>
      </c>
      <c r="N12823" t="n">
        <v>0</v>
      </c>
      <c r="O12823" t="n">
        <v>0</v>
      </c>
      <c r="P12823" t="n">
        <v>0</v>
      </c>
      <c r="Q12823" t="n">
        <v>0</v>
      </c>
      <c r="R12823" s="2" t="inlineStr"/>
    </row>
    <row r="12824" ht="15" customHeight="1">
      <c r="A12824" t="inlineStr">
        <is>
          <t>A 13399-2024</t>
        </is>
      </c>
      <c r="B12824" s="1" t="n">
        <v>45387.43239583333</v>
      </c>
      <c r="C12824" s="1" t="n">
        <v>45952</v>
      </c>
      <c r="D12824" t="inlineStr">
        <is>
          <t>VÄSTRA GÖTALANDS LÄN</t>
        </is>
      </c>
      <c r="E12824" t="inlineStr">
        <is>
          <t>TROLLHÄTTAN</t>
        </is>
      </c>
      <c r="G12824" t="n">
        <v>4.9</v>
      </c>
      <c r="H12824" t="n">
        <v>0</v>
      </c>
      <c r="I12824" t="n">
        <v>0</v>
      </c>
      <c r="J12824" t="n">
        <v>0</v>
      </c>
      <c r="K12824" t="n">
        <v>0</v>
      </c>
      <c r="L12824" t="n">
        <v>0</v>
      </c>
      <c r="M12824" t="n">
        <v>0</v>
      </c>
      <c r="N12824" t="n">
        <v>0</v>
      </c>
      <c r="O12824" t="n">
        <v>0</v>
      </c>
      <c r="P12824" t="n">
        <v>0</v>
      </c>
      <c r="Q12824" t="n">
        <v>0</v>
      </c>
      <c r="R12824" s="2" t="inlineStr"/>
    </row>
    <row r="12825" ht="15" customHeight="1">
      <c r="A12825" t="inlineStr">
        <is>
          <t>A 35004-2025</t>
        </is>
      </c>
      <c r="B12825" s="1" t="n">
        <v>45850.66271990741</v>
      </c>
      <c r="C12825" s="1" t="n">
        <v>45952</v>
      </c>
      <c r="D12825" t="inlineStr">
        <is>
          <t>VÄSTRA GÖTALANDS LÄN</t>
        </is>
      </c>
      <c r="E12825" t="inlineStr">
        <is>
          <t>ALINGSÅS</t>
        </is>
      </c>
      <c r="G12825" t="n">
        <v>0.6</v>
      </c>
      <c r="H12825" t="n">
        <v>0</v>
      </c>
      <c r="I12825" t="n">
        <v>0</v>
      </c>
      <c r="J12825" t="n">
        <v>0</v>
      </c>
      <c r="K12825" t="n">
        <v>0</v>
      </c>
      <c r="L12825" t="n">
        <v>0</v>
      </c>
      <c r="M12825" t="n">
        <v>0</v>
      </c>
      <c r="N12825" t="n">
        <v>0</v>
      </c>
      <c r="O12825" t="n">
        <v>0</v>
      </c>
      <c r="P12825" t="n">
        <v>0</v>
      </c>
      <c r="Q12825" t="n">
        <v>0</v>
      </c>
      <c r="R12825" s="2" t="inlineStr"/>
    </row>
    <row r="12826" ht="15" customHeight="1">
      <c r="A12826" t="inlineStr">
        <is>
          <t>A 35025-2025</t>
        </is>
      </c>
      <c r="B12826" s="1" t="n">
        <v>45851.98012731481</v>
      </c>
      <c r="C12826" s="1" t="n">
        <v>45952</v>
      </c>
      <c r="D12826" t="inlineStr">
        <is>
          <t>VÄSTRA GÖTALANDS LÄN</t>
        </is>
      </c>
      <c r="E12826" t="inlineStr">
        <is>
          <t>BENGTSFORS</t>
        </is>
      </c>
      <c r="G12826" t="n">
        <v>6.2</v>
      </c>
      <c r="H12826" t="n">
        <v>0</v>
      </c>
      <c r="I12826" t="n">
        <v>0</v>
      </c>
      <c r="J12826" t="n">
        <v>0</v>
      </c>
      <c r="K12826" t="n">
        <v>0</v>
      </c>
      <c r="L12826" t="n">
        <v>0</v>
      </c>
      <c r="M12826" t="n">
        <v>0</v>
      </c>
      <c r="N12826" t="n">
        <v>0</v>
      </c>
      <c r="O12826" t="n">
        <v>0</v>
      </c>
      <c r="P12826" t="n">
        <v>0</v>
      </c>
      <c r="Q12826" t="n">
        <v>0</v>
      </c>
      <c r="R12826" s="2" t="inlineStr"/>
    </row>
    <row r="12827" ht="15" customHeight="1">
      <c r="A12827" t="inlineStr">
        <is>
          <t>A 35026-2025</t>
        </is>
      </c>
      <c r="B12827" s="1" t="n">
        <v>45851.98951388889</v>
      </c>
      <c r="C12827" s="1" t="n">
        <v>45952</v>
      </c>
      <c r="D12827" t="inlineStr">
        <is>
          <t>VÄSTRA GÖTALANDS LÄN</t>
        </is>
      </c>
      <c r="E12827" t="inlineStr">
        <is>
          <t>BENGTSFORS</t>
        </is>
      </c>
      <c r="G12827" t="n">
        <v>6</v>
      </c>
      <c r="H12827" t="n">
        <v>0</v>
      </c>
      <c r="I12827" t="n">
        <v>0</v>
      </c>
      <c r="J12827" t="n">
        <v>0</v>
      </c>
      <c r="K12827" t="n">
        <v>0</v>
      </c>
      <c r="L12827" t="n">
        <v>0</v>
      </c>
      <c r="M12827" t="n">
        <v>0</v>
      </c>
      <c r="N12827" t="n">
        <v>0</v>
      </c>
      <c r="O12827" t="n">
        <v>0</v>
      </c>
      <c r="P12827" t="n">
        <v>0</v>
      </c>
      <c r="Q12827" t="n">
        <v>0</v>
      </c>
      <c r="R12827" s="2" t="inlineStr"/>
    </row>
    <row r="12828" ht="15" customHeight="1">
      <c r="A12828" t="inlineStr">
        <is>
          <t>A 62551-2021</t>
        </is>
      </c>
      <c r="B12828" s="1" t="n">
        <v>44503.6196875</v>
      </c>
      <c r="C12828" s="1" t="n">
        <v>45952</v>
      </c>
      <c r="D12828" t="inlineStr">
        <is>
          <t>VÄSTRA GÖTALANDS LÄN</t>
        </is>
      </c>
      <c r="E12828" t="inlineStr">
        <is>
          <t>LIDKÖPING</t>
        </is>
      </c>
      <c r="G12828" t="n">
        <v>0.9</v>
      </c>
      <c r="H12828" t="n">
        <v>0</v>
      </c>
      <c r="I12828" t="n">
        <v>0</v>
      </c>
      <c r="J12828" t="n">
        <v>0</v>
      </c>
      <c r="K12828" t="n">
        <v>0</v>
      </c>
      <c r="L12828" t="n">
        <v>0</v>
      </c>
      <c r="M12828" t="n">
        <v>0</v>
      </c>
      <c r="N12828" t="n">
        <v>0</v>
      </c>
      <c r="O12828" t="n">
        <v>0</v>
      </c>
      <c r="P12828" t="n">
        <v>0</v>
      </c>
      <c r="Q12828" t="n">
        <v>0</v>
      </c>
      <c r="R12828" s="2" t="inlineStr"/>
    </row>
    <row r="12829" ht="15" customHeight="1">
      <c r="A12829" t="inlineStr">
        <is>
          <t>A 30861-2023</t>
        </is>
      </c>
      <c r="B12829" s="1" t="n">
        <v>45113.25549768518</v>
      </c>
      <c r="C12829" s="1" t="n">
        <v>45952</v>
      </c>
      <c r="D12829" t="inlineStr">
        <is>
          <t>VÄSTRA GÖTALANDS LÄN</t>
        </is>
      </c>
      <c r="E12829" t="inlineStr">
        <is>
          <t>BORÅS</t>
        </is>
      </c>
      <c r="G12829" t="n">
        <v>1.3</v>
      </c>
      <c r="H12829" t="n">
        <v>0</v>
      </c>
      <c r="I12829" t="n">
        <v>0</v>
      </c>
      <c r="J12829" t="n">
        <v>0</v>
      </c>
      <c r="K12829" t="n">
        <v>0</v>
      </c>
      <c r="L12829" t="n">
        <v>0</v>
      </c>
      <c r="M12829" t="n">
        <v>0</v>
      </c>
      <c r="N12829" t="n">
        <v>0</v>
      </c>
      <c r="O12829" t="n">
        <v>0</v>
      </c>
      <c r="P12829" t="n">
        <v>0</v>
      </c>
      <c r="Q12829" t="n">
        <v>0</v>
      </c>
      <c r="R12829" s="2" t="inlineStr"/>
    </row>
    <row r="12830" ht="15" customHeight="1">
      <c r="A12830" t="inlineStr">
        <is>
          <t>A 18248-2025</t>
        </is>
      </c>
      <c r="B12830" s="1" t="n">
        <v>45761</v>
      </c>
      <c r="C12830" s="1" t="n">
        <v>45952</v>
      </c>
      <c r="D12830" t="inlineStr">
        <is>
          <t>VÄSTRA GÖTALANDS LÄN</t>
        </is>
      </c>
      <c r="E12830" t="inlineStr">
        <is>
          <t>KARLSBORG</t>
        </is>
      </c>
      <c r="G12830" t="n">
        <v>4.3</v>
      </c>
      <c r="H12830" t="n">
        <v>0</v>
      </c>
      <c r="I12830" t="n">
        <v>0</v>
      </c>
      <c r="J12830" t="n">
        <v>0</v>
      </c>
      <c r="K12830" t="n">
        <v>0</v>
      </c>
      <c r="L12830" t="n">
        <v>0</v>
      </c>
      <c r="M12830" t="n">
        <v>0</v>
      </c>
      <c r="N12830" t="n">
        <v>0</v>
      </c>
      <c r="O12830" t="n">
        <v>0</v>
      </c>
      <c r="P12830" t="n">
        <v>0</v>
      </c>
      <c r="Q12830" t="n">
        <v>0</v>
      </c>
      <c r="R12830" s="2" t="inlineStr"/>
    </row>
    <row r="12831" ht="15" customHeight="1">
      <c r="A12831" t="inlineStr">
        <is>
          <t>A 20721-2025</t>
        </is>
      </c>
      <c r="B12831" s="1" t="n">
        <v>45776.50532407407</v>
      </c>
      <c r="C12831" s="1" t="n">
        <v>45952</v>
      </c>
      <c r="D12831" t="inlineStr">
        <is>
          <t>VÄSTRA GÖTALANDS LÄN</t>
        </is>
      </c>
      <c r="E12831" t="inlineStr">
        <is>
          <t>SKARA</t>
        </is>
      </c>
      <c r="G12831" t="n">
        <v>0.9</v>
      </c>
      <c r="H12831" t="n">
        <v>0</v>
      </c>
      <c r="I12831" t="n">
        <v>0</v>
      </c>
      <c r="J12831" t="n">
        <v>0</v>
      </c>
      <c r="K12831" t="n">
        <v>0</v>
      </c>
      <c r="L12831" t="n">
        <v>0</v>
      </c>
      <c r="M12831" t="n">
        <v>0</v>
      </c>
      <c r="N12831" t="n">
        <v>0</v>
      </c>
      <c r="O12831" t="n">
        <v>0</v>
      </c>
      <c r="P12831" t="n">
        <v>0</v>
      </c>
      <c r="Q12831" t="n">
        <v>0</v>
      </c>
      <c r="R12831" s="2" t="inlineStr"/>
    </row>
    <row r="12832" ht="15" customHeight="1">
      <c r="A12832" t="inlineStr">
        <is>
          <t>A 26565-2025</t>
        </is>
      </c>
      <c r="B12832" s="1" t="n">
        <v>45807.6665625</v>
      </c>
      <c r="C12832" s="1" t="n">
        <v>45952</v>
      </c>
      <c r="D12832" t="inlineStr">
        <is>
          <t>VÄSTRA GÖTALANDS LÄN</t>
        </is>
      </c>
      <c r="E12832" t="inlineStr">
        <is>
          <t>MARK</t>
        </is>
      </c>
      <c r="G12832" t="n">
        <v>1.7</v>
      </c>
      <c r="H12832" t="n">
        <v>0</v>
      </c>
      <c r="I12832" t="n">
        <v>0</v>
      </c>
      <c r="J12832" t="n">
        <v>0</v>
      </c>
      <c r="K12832" t="n">
        <v>0</v>
      </c>
      <c r="L12832" t="n">
        <v>0</v>
      </c>
      <c r="M12832" t="n">
        <v>0</v>
      </c>
      <c r="N12832" t="n">
        <v>0</v>
      </c>
      <c r="O12832" t="n">
        <v>0</v>
      </c>
      <c r="P12832" t="n">
        <v>0</v>
      </c>
      <c r="Q12832" t="n">
        <v>0</v>
      </c>
      <c r="R12832" s="2" t="inlineStr"/>
    </row>
    <row r="12833" ht="15" customHeight="1">
      <c r="A12833" t="inlineStr">
        <is>
          <t>A 1634-2024</t>
        </is>
      </c>
      <c r="B12833" s="1" t="n">
        <v>45306</v>
      </c>
      <c r="C12833" s="1" t="n">
        <v>45952</v>
      </c>
      <c r="D12833" t="inlineStr">
        <is>
          <t>VÄSTRA GÖTALANDS LÄN</t>
        </is>
      </c>
      <c r="E12833" t="inlineStr">
        <is>
          <t>MARK</t>
        </is>
      </c>
      <c r="G12833" t="n">
        <v>1.1</v>
      </c>
      <c r="H12833" t="n">
        <v>0</v>
      </c>
      <c r="I12833" t="n">
        <v>0</v>
      </c>
      <c r="J12833" t="n">
        <v>0</v>
      </c>
      <c r="K12833" t="n">
        <v>0</v>
      </c>
      <c r="L12833" t="n">
        <v>0</v>
      </c>
      <c r="M12833" t="n">
        <v>0</v>
      </c>
      <c r="N12833" t="n">
        <v>0</v>
      </c>
      <c r="O12833" t="n">
        <v>0</v>
      </c>
      <c r="P12833" t="n">
        <v>0</v>
      </c>
      <c r="Q12833" t="n">
        <v>0</v>
      </c>
      <c r="R12833" s="2" t="inlineStr"/>
    </row>
    <row r="12834" ht="15" customHeight="1">
      <c r="A12834" t="inlineStr">
        <is>
          <t>A 45059-2021</t>
        </is>
      </c>
      <c r="B12834" s="1" t="n">
        <v>44439.34944444444</v>
      </c>
      <c r="C12834" s="1" t="n">
        <v>45952</v>
      </c>
      <c r="D12834" t="inlineStr">
        <is>
          <t>VÄSTRA GÖTALANDS LÄN</t>
        </is>
      </c>
      <c r="E12834" t="inlineStr">
        <is>
          <t>GULLSPÅNG</t>
        </is>
      </c>
      <c r="G12834" t="n">
        <v>0.7</v>
      </c>
      <c r="H12834" t="n">
        <v>0</v>
      </c>
      <c r="I12834" t="n">
        <v>0</v>
      </c>
      <c r="J12834" t="n">
        <v>0</v>
      </c>
      <c r="K12834" t="n">
        <v>0</v>
      </c>
      <c r="L12834" t="n">
        <v>0</v>
      </c>
      <c r="M12834" t="n">
        <v>0</v>
      </c>
      <c r="N12834" t="n">
        <v>0</v>
      </c>
      <c r="O12834" t="n">
        <v>0</v>
      </c>
      <c r="P12834" t="n">
        <v>0</v>
      </c>
      <c r="Q12834" t="n">
        <v>0</v>
      </c>
      <c r="R12834" s="2" t="inlineStr"/>
    </row>
    <row r="12835" ht="15" customHeight="1">
      <c r="A12835" t="inlineStr">
        <is>
          <t>A 65909-2020</t>
        </is>
      </c>
      <c r="B12835" s="1" t="n">
        <v>44175</v>
      </c>
      <c r="C12835" s="1" t="n">
        <v>45952</v>
      </c>
      <c r="D12835" t="inlineStr">
        <is>
          <t>VÄSTRA GÖTALANDS LÄN</t>
        </is>
      </c>
      <c r="E12835" t="inlineStr">
        <is>
          <t>UDDEVALLA</t>
        </is>
      </c>
      <c r="G12835" t="n">
        <v>8.699999999999999</v>
      </c>
      <c r="H12835" t="n">
        <v>0</v>
      </c>
      <c r="I12835" t="n">
        <v>0</v>
      </c>
      <c r="J12835" t="n">
        <v>0</v>
      </c>
      <c r="K12835" t="n">
        <v>0</v>
      </c>
      <c r="L12835" t="n">
        <v>0</v>
      </c>
      <c r="M12835" t="n">
        <v>0</v>
      </c>
      <c r="N12835" t="n">
        <v>0</v>
      </c>
      <c r="O12835" t="n">
        <v>0</v>
      </c>
      <c r="P12835" t="n">
        <v>0</v>
      </c>
      <c r="Q12835" t="n">
        <v>0</v>
      </c>
      <c r="R12835" s="2" t="inlineStr"/>
    </row>
    <row r="12836" ht="15" customHeight="1">
      <c r="A12836" t="inlineStr">
        <is>
          <t>A 14493-2024</t>
        </is>
      </c>
      <c r="B12836" s="1" t="n">
        <v>45394.58491898148</v>
      </c>
      <c r="C12836" s="1" t="n">
        <v>45952</v>
      </c>
      <c r="D12836" t="inlineStr">
        <is>
          <t>VÄSTRA GÖTALANDS LÄN</t>
        </is>
      </c>
      <c r="E12836" t="inlineStr">
        <is>
          <t>ALE</t>
        </is>
      </c>
      <c r="G12836" t="n">
        <v>2.3</v>
      </c>
      <c r="H12836" t="n">
        <v>0</v>
      </c>
      <c r="I12836" t="n">
        <v>0</v>
      </c>
      <c r="J12836" t="n">
        <v>0</v>
      </c>
      <c r="K12836" t="n">
        <v>0</v>
      </c>
      <c r="L12836" t="n">
        <v>0</v>
      </c>
      <c r="M12836" t="n">
        <v>0</v>
      </c>
      <c r="N12836" t="n">
        <v>0</v>
      </c>
      <c r="O12836" t="n">
        <v>0</v>
      </c>
      <c r="P12836" t="n">
        <v>0</v>
      </c>
      <c r="Q12836" t="n">
        <v>0</v>
      </c>
      <c r="R12836" s="2" t="inlineStr"/>
    </row>
    <row r="12837" ht="15" customHeight="1">
      <c r="A12837" t="inlineStr">
        <is>
          <t>A 14522-2024</t>
        </is>
      </c>
      <c r="B12837" s="1" t="n">
        <v>45394.62971064815</v>
      </c>
      <c r="C12837" s="1" t="n">
        <v>45952</v>
      </c>
      <c r="D12837" t="inlineStr">
        <is>
          <t>VÄSTRA GÖTALANDS LÄN</t>
        </is>
      </c>
      <c r="E12837" t="inlineStr">
        <is>
          <t>KARLSBORG</t>
        </is>
      </c>
      <c r="F12837" t="inlineStr">
        <is>
          <t>Sveaskog</t>
        </is>
      </c>
      <c r="G12837" t="n">
        <v>0.8</v>
      </c>
      <c r="H12837" t="n">
        <v>0</v>
      </c>
      <c r="I12837" t="n">
        <v>0</v>
      </c>
      <c r="J12837" t="n">
        <v>0</v>
      </c>
      <c r="K12837" t="n">
        <v>0</v>
      </c>
      <c r="L12837" t="n">
        <v>0</v>
      </c>
      <c r="M12837" t="n">
        <v>0</v>
      </c>
      <c r="N12837" t="n">
        <v>0</v>
      </c>
      <c r="O12837" t="n">
        <v>0</v>
      </c>
      <c r="P12837" t="n">
        <v>0</v>
      </c>
      <c r="Q12837" t="n">
        <v>0</v>
      </c>
      <c r="R12837" s="2" t="inlineStr"/>
    </row>
    <row r="12838" ht="15" customHeight="1">
      <c r="A12838" t="inlineStr">
        <is>
          <t>A 17139-2024</t>
        </is>
      </c>
      <c r="B12838" s="1" t="n">
        <v>45412.63122685185</v>
      </c>
      <c r="C12838" s="1" t="n">
        <v>45952</v>
      </c>
      <c r="D12838" t="inlineStr">
        <is>
          <t>VÄSTRA GÖTALANDS LÄN</t>
        </is>
      </c>
      <c r="E12838" t="inlineStr">
        <is>
          <t>MARIESTAD</t>
        </is>
      </c>
      <c r="G12838" t="n">
        <v>3.2</v>
      </c>
      <c r="H12838" t="n">
        <v>0</v>
      </c>
      <c r="I12838" t="n">
        <v>0</v>
      </c>
      <c r="J12838" t="n">
        <v>0</v>
      </c>
      <c r="K12838" t="n">
        <v>0</v>
      </c>
      <c r="L12838" t="n">
        <v>0</v>
      </c>
      <c r="M12838" t="n">
        <v>0</v>
      </c>
      <c r="N12838" t="n">
        <v>0</v>
      </c>
      <c r="O12838" t="n">
        <v>0</v>
      </c>
      <c r="P12838" t="n">
        <v>0</v>
      </c>
      <c r="Q12838" t="n">
        <v>0</v>
      </c>
      <c r="R12838" s="2" t="inlineStr"/>
    </row>
    <row r="12839" ht="15" customHeight="1">
      <c r="A12839" t="inlineStr">
        <is>
          <t>A 17142-2024</t>
        </is>
      </c>
      <c r="B12839" s="1" t="n">
        <v>45412.63640046296</v>
      </c>
      <c r="C12839" s="1" t="n">
        <v>45952</v>
      </c>
      <c r="D12839" t="inlineStr">
        <is>
          <t>VÄSTRA GÖTALANDS LÄN</t>
        </is>
      </c>
      <c r="E12839" t="inlineStr">
        <is>
          <t>DALS-ED</t>
        </is>
      </c>
      <c r="G12839" t="n">
        <v>2</v>
      </c>
      <c r="H12839" t="n">
        <v>0</v>
      </c>
      <c r="I12839" t="n">
        <v>0</v>
      </c>
      <c r="J12839" t="n">
        <v>0</v>
      </c>
      <c r="K12839" t="n">
        <v>0</v>
      </c>
      <c r="L12839" t="n">
        <v>0</v>
      </c>
      <c r="M12839" t="n">
        <v>0</v>
      </c>
      <c r="N12839" t="n">
        <v>0</v>
      </c>
      <c r="O12839" t="n">
        <v>0</v>
      </c>
      <c r="P12839" t="n">
        <v>0</v>
      </c>
      <c r="Q12839" t="n">
        <v>0</v>
      </c>
      <c r="R12839" s="2" t="inlineStr"/>
    </row>
    <row r="12840" ht="15" customHeight="1">
      <c r="A12840" t="inlineStr">
        <is>
          <t>A 39211-2023</t>
        </is>
      </c>
      <c r="B12840" s="1" t="n">
        <v>45166.41819444444</v>
      </c>
      <c r="C12840" s="1" t="n">
        <v>45952</v>
      </c>
      <c r="D12840" t="inlineStr">
        <is>
          <t>VÄSTRA GÖTALANDS LÄN</t>
        </is>
      </c>
      <c r="E12840" t="inlineStr">
        <is>
          <t>TIBRO</t>
        </is>
      </c>
      <c r="G12840" t="n">
        <v>1.6</v>
      </c>
      <c r="H12840" t="n">
        <v>0</v>
      </c>
      <c r="I12840" t="n">
        <v>0</v>
      </c>
      <c r="J12840" t="n">
        <v>0</v>
      </c>
      <c r="K12840" t="n">
        <v>0</v>
      </c>
      <c r="L12840" t="n">
        <v>0</v>
      </c>
      <c r="M12840" t="n">
        <v>0</v>
      </c>
      <c r="N12840" t="n">
        <v>0</v>
      </c>
      <c r="O12840" t="n">
        <v>0</v>
      </c>
      <c r="P12840" t="n">
        <v>0</v>
      </c>
      <c r="Q12840" t="n">
        <v>0</v>
      </c>
      <c r="R12840" s="2" t="inlineStr"/>
    </row>
    <row r="12841" ht="15" customHeight="1">
      <c r="A12841" t="inlineStr">
        <is>
          <t>A 17165-2024</t>
        </is>
      </c>
      <c r="B12841" s="1" t="n">
        <v>45412.85292824074</v>
      </c>
      <c r="C12841" s="1" t="n">
        <v>45952</v>
      </c>
      <c r="D12841" t="inlineStr">
        <is>
          <t>VÄSTRA GÖTALANDS LÄN</t>
        </is>
      </c>
      <c r="E12841" t="inlineStr">
        <is>
          <t>MARIESTAD</t>
        </is>
      </c>
      <c r="G12841" t="n">
        <v>1.5</v>
      </c>
      <c r="H12841" t="n">
        <v>0</v>
      </c>
      <c r="I12841" t="n">
        <v>0</v>
      </c>
      <c r="J12841" t="n">
        <v>0</v>
      </c>
      <c r="K12841" t="n">
        <v>0</v>
      </c>
      <c r="L12841" t="n">
        <v>0</v>
      </c>
      <c r="M12841" t="n">
        <v>0</v>
      </c>
      <c r="N12841" t="n">
        <v>0</v>
      </c>
      <c r="O12841" t="n">
        <v>0</v>
      </c>
      <c r="P12841" t="n">
        <v>0</v>
      </c>
      <c r="Q12841" t="n">
        <v>0</v>
      </c>
      <c r="R12841" s="2" t="inlineStr"/>
    </row>
    <row r="12842" ht="15" customHeight="1">
      <c r="A12842" t="inlineStr">
        <is>
          <t>A 53423-2023</t>
        </is>
      </c>
      <c r="B12842" s="1" t="n">
        <v>45229</v>
      </c>
      <c r="C12842" s="1" t="n">
        <v>45952</v>
      </c>
      <c r="D12842" t="inlineStr">
        <is>
          <t>VÄSTRA GÖTALANDS LÄN</t>
        </is>
      </c>
      <c r="E12842" t="inlineStr">
        <is>
          <t>LYSEKIL</t>
        </is>
      </c>
      <c r="G12842" t="n">
        <v>1.5</v>
      </c>
      <c r="H12842" t="n">
        <v>0</v>
      </c>
      <c r="I12842" t="n">
        <v>0</v>
      </c>
      <c r="J12842" t="n">
        <v>0</v>
      </c>
      <c r="K12842" t="n">
        <v>0</v>
      </c>
      <c r="L12842" t="n">
        <v>0</v>
      </c>
      <c r="M12842" t="n">
        <v>0</v>
      </c>
      <c r="N12842" t="n">
        <v>0</v>
      </c>
      <c r="O12842" t="n">
        <v>0</v>
      </c>
      <c r="P12842" t="n">
        <v>0</v>
      </c>
      <c r="Q12842" t="n">
        <v>0</v>
      </c>
      <c r="R12842" s="2" t="inlineStr"/>
    </row>
    <row r="12843" ht="15" customHeight="1">
      <c r="A12843" t="inlineStr">
        <is>
          <t>A 9994-2024</t>
        </is>
      </c>
      <c r="B12843" s="1" t="n">
        <v>45363.73256944444</v>
      </c>
      <c r="C12843" s="1" t="n">
        <v>45952</v>
      </c>
      <c r="D12843" t="inlineStr">
        <is>
          <t>VÄSTRA GÖTALANDS LÄN</t>
        </is>
      </c>
      <c r="E12843" t="inlineStr">
        <is>
          <t>ULRICEHAMN</t>
        </is>
      </c>
      <c r="G12843" t="n">
        <v>7.8</v>
      </c>
      <c r="H12843" t="n">
        <v>0</v>
      </c>
      <c r="I12843" t="n">
        <v>0</v>
      </c>
      <c r="J12843" t="n">
        <v>0</v>
      </c>
      <c r="K12843" t="n">
        <v>0</v>
      </c>
      <c r="L12843" t="n">
        <v>0</v>
      </c>
      <c r="M12843" t="n">
        <v>0</v>
      </c>
      <c r="N12843" t="n">
        <v>0</v>
      </c>
      <c r="O12843" t="n">
        <v>0</v>
      </c>
      <c r="P12843" t="n">
        <v>0</v>
      </c>
      <c r="Q12843" t="n">
        <v>0</v>
      </c>
      <c r="R12843" s="2" t="inlineStr"/>
    </row>
    <row r="12844" ht="15" customHeight="1">
      <c r="A12844" t="inlineStr">
        <is>
          <t>A 1500-2024</t>
        </is>
      </c>
      <c r="B12844" s="1" t="n">
        <v>45306</v>
      </c>
      <c r="C12844" s="1" t="n">
        <v>45952</v>
      </c>
      <c r="D12844" t="inlineStr">
        <is>
          <t>VÄSTRA GÖTALANDS LÄN</t>
        </is>
      </c>
      <c r="E12844" t="inlineStr">
        <is>
          <t>ALE</t>
        </is>
      </c>
      <c r="G12844" t="n">
        <v>1.3</v>
      </c>
      <c r="H12844" t="n">
        <v>0</v>
      </c>
      <c r="I12844" t="n">
        <v>0</v>
      </c>
      <c r="J12844" t="n">
        <v>0</v>
      </c>
      <c r="K12844" t="n">
        <v>0</v>
      </c>
      <c r="L12844" t="n">
        <v>0</v>
      </c>
      <c r="M12844" t="n">
        <v>0</v>
      </c>
      <c r="N12844" t="n">
        <v>0</v>
      </c>
      <c r="O12844" t="n">
        <v>0</v>
      </c>
      <c r="P12844" t="n">
        <v>0</v>
      </c>
      <c r="Q12844" t="n">
        <v>0</v>
      </c>
      <c r="R12844" s="2" t="inlineStr"/>
    </row>
    <row r="12845" ht="15" customHeight="1">
      <c r="A12845" t="inlineStr">
        <is>
          <t>A 38983-2024</t>
        </is>
      </c>
      <c r="B12845" s="1" t="n">
        <v>45548.39829861111</v>
      </c>
      <c r="C12845" s="1" t="n">
        <v>45952</v>
      </c>
      <c r="D12845" t="inlineStr">
        <is>
          <t>VÄSTRA GÖTALANDS LÄN</t>
        </is>
      </c>
      <c r="E12845" t="inlineStr">
        <is>
          <t>STRÖMSTAD</t>
        </is>
      </c>
      <c r="G12845" t="n">
        <v>1.9</v>
      </c>
      <c r="H12845" t="n">
        <v>0</v>
      </c>
      <c r="I12845" t="n">
        <v>0</v>
      </c>
      <c r="J12845" t="n">
        <v>0</v>
      </c>
      <c r="K12845" t="n">
        <v>0</v>
      </c>
      <c r="L12845" t="n">
        <v>0</v>
      </c>
      <c r="M12845" t="n">
        <v>0</v>
      </c>
      <c r="N12845" t="n">
        <v>0</v>
      </c>
      <c r="O12845" t="n">
        <v>0</v>
      </c>
      <c r="P12845" t="n">
        <v>0</v>
      </c>
      <c r="Q12845" t="n">
        <v>0</v>
      </c>
      <c r="R12845" s="2" t="inlineStr"/>
    </row>
    <row r="12846" ht="15" customHeight="1">
      <c r="A12846" t="inlineStr">
        <is>
          <t>A 54374-2023</t>
        </is>
      </c>
      <c r="B12846" s="1" t="n">
        <v>45233</v>
      </c>
      <c r="C12846" s="1" t="n">
        <v>45952</v>
      </c>
      <c r="D12846" t="inlineStr">
        <is>
          <t>VÄSTRA GÖTALANDS LÄN</t>
        </is>
      </c>
      <c r="E12846" t="inlineStr">
        <is>
          <t>MARK</t>
        </is>
      </c>
      <c r="G12846" t="n">
        <v>3.7</v>
      </c>
      <c r="H12846" t="n">
        <v>0</v>
      </c>
      <c r="I12846" t="n">
        <v>0</v>
      </c>
      <c r="J12846" t="n">
        <v>0</v>
      </c>
      <c r="K12846" t="n">
        <v>0</v>
      </c>
      <c r="L12846" t="n">
        <v>0</v>
      </c>
      <c r="M12846" t="n">
        <v>0</v>
      </c>
      <c r="N12846" t="n">
        <v>0</v>
      </c>
      <c r="O12846" t="n">
        <v>0</v>
      </c>
      <c r="P12846" t="n">
        <v>0</v>
      </c>
      <c r="Q12846" t="n">
        <v>0</v>
      </c>
      <c r="R12846" s="2" t="inlineStr"/>
    </row>
    <row r="12847" ht="15" customHeight="1">
      <c r="A12847" t="inlineStr">
        <is>
          <t>A 55240-2023</t>
        </is>
      </c>
      <c r="B12847" s="1" t="n">
        <v>45237.63732638889</v>
      </c>
      <c r="C12847" s="1" t="n">
        <v>45952</v>
      </c>
      <c r="D12847" t="inlineStr">
        <is>
          <t>VÄSTRA GÖTALANDS LÄN</t>
        </is>
      </c>
      <c r="E12847" t="inlineStr">
        <is>
          <t>VÅRGÅRDA</t>
        </is>
      </c>
      <c r="G12847" t="n">
        <v>0.7</v>
      </c>
      <c r="H12847" t="n">
        <v>0</v>
      </c>
      <c r="I12847" t="n">
        <v>0</v>
      </c>
      <c r="J12847" t="n">
        <v>0</v>
      </c>
      <c r="K12847" t="n">
        <v>0</v>
      </c>
      <c r="L12847" t="n">
        <v>0</v>
      </c>
      <c r="M12847" t="n">
        <v>0</v>
      </c>
      <c r="N12847" t="n">
        <v>0</v>
      </c>
      <c r="O12847" t="n">
        <v>0</v>
      </c>
      <c r="P12847" t="n">
        <v>0</v>
      </c>
      <c r="Q12847" t="n">
        <v>0</v>
      </c>
      <c r="R12847" s="2" t="inlineStr"/>
    </row>
    <row r="12848" ht="15" customHeight="1">
      <c r="A12848" t="inlineStr">
        <is>
          <t>A 39145-2023</t>
        </is>
      </c>
      <c r="B12848" s="1" t="n">
        <v>45166</v>
      </c>
      <c r="C12848" s="1" t="n">
        <v>45952</v>
      </c>
      <c r="D12848" t="inlineStr">
        <is>
          <t>VÄSTRA GÖTALANDS LÄN</t>
        </is>
      </c>
      <c r="E12848" t="inlineStr">
        <is>
          <t>ULRICEHAMN</t>
        </is>
      </c>
      <c r="G12848" t="n">
        <v>2.4</v>
      </c>
      <c r="H12848" t="n">
        <v>0</v>
      </c>
      <c r="I12848" t="n">
        <v>0</v>
      </c>
      <c r="J12848" t="n">
        <v>0</v>
      </c>
      <c r="K12848" t="n">
        <v>0</v>
      </c>
      <c r="L12848" t="n">
        <v>0</v>
      </c>
      <c r="M12848" t="n">
        <v>0</v>
      </c>
      <c r="N12848" t="n">
        <v>0</v>
      </c>
      <c r="O12848" t="n">
        <v>0</v>
      </c>
      <c r="P12848" t="n">
        <v>0</v>
      </c>
      <c r="Q12848" t="n">
        <v>0</v>
      </c>
      <c r="R12848" s="2" t="inlineStr"/>
    </row>
    <row r="12849" ht="15" customHeight="1">
      <c r="A12849" t="inlineStr">
        <is>
          <t>A 44644-2021</t>
        </is>
      </c>
      <c r="B12849" s="1" t="n">
        <v>44437.71910879629</v>
      </c>
      <c r="C12849" s="1" t="n">
        <v>45952</v>
      </c>
      <c r="D12849" t="inlineStr">
        <is>
          <t>VÄSTRA GÖTALANDS LÄN</t>
        </is>
      </c>
      <c r="E12849" t="inlineStr">
        <is>
          <t>GULLSPÅNG</t>
        </is>
      </c>
      <c r="G12849" t="n">
        <v>1.4</v>
      </c>
      <c r="H12849" t="n">
        <v>0</v>
      </c>
      <c r="I12849" t="n">
        <v>0</v>
      </c>
      <c r="J12849" t="n">
        <v>0</v>
      </c>
      <c r="K12849" t="n">
        <v>0</v>
      </c>
      <c r="L12849" t="n">
        <v>0</v>
      </c>
      <c r="M12849" t="n">
        <v>0</v>
      </c>
      <c r="N12849" t="n">
        <v>0</v>
      </c>
      <c r="O12849" t="n">
        <v>0</v>
      </c>
      <c r="P12849" t="n">
        <v>0</v>
      </c>
      <c r="Q12849" t="n">
        <v>0</v>
      </c>
      <c r="R12849" s="2" t="inlineStr"/>
    </row>
    <row r="12850" ht="15" customHeight="1">
      <c r="A12850" t="inlineStr">
        <is>
          <t>A 26834-2021</t>
        </is>
      </c>
      <c r="B12850" s="1" t="n">
        <v>44349.57731481481</v>
      </c>
      <c r="C12850" s="1" t="n">
        <v>45952</v>
      </c>
      <c r="D12850" t="inlineStr">
        <is>
          <t>VÄSTRA GÖTALANDS LÄN</t>
        </is>
      </c>
      <c r="E12850" t="inlineStr">
        <is>
          <t>BENGTSFORS</t>
        </is>
      </c>
      <c r="G12850" t="n">
        <v>1.3</v>
      </c>
      <c r="H12850" t="n">
        <v>0</v>
      </c>
      <c r="I12850" t="n">
        <v>0</v>
      </c>
      <c r="J12850" t="n">
        <v>0</v>
      </c>
      <c r="K12850" t="n">
        <v>0</v>
      </c>
      <c r="L12850" t="n">
        <v>0</v>
      </c>
      <c r="M12850" t="n">
        <v>0</v>
      </c>
      <c r="N12850" t="n">
        <v>0</v>
      </c>
      <c r="O12850" t="n">
        <v>0</v>
      </c>
      <c r="P12850" t="n">
        <v>0</v>
      </c>
      <c r="Q12850" t="n">
        <v>0</v>
      </c>
      <c r="R12850" s="2" t="inlineStr"/>
    </row>
    <row r="12851" ht="15" customHeight="1">
      <c r="A12851" t="inlineStr">
        <is>
          <t>A 46091-2024</t>
        </is>
      </c>
      <c r="B12851" s="1" t="n">
        <v>45581.35340277778</v>
      </c>
      <c r="C12851" s="1" t="n">
        <v>45952</v>
      </c>
      <c r="D12851" t="inlineStr">
        <is>
          <t>VÄSTRA GÖTALANDS LÄN</t>
        </is>
      </c>
      <c r="E12851" t="inlineStr">
        <is>
          <t>HERRLJUNGA</t>
        </is>
      </c>
      <c r="G12851" t="n">
        <v>2.7</v>
      </c>
      <c r="H12851" t="n">
        <v>0</v>
      </c>
      <c r="I12851" t="n">
        <v>0</v>
      </c>
      <c r="J12851" t="n">
        <v>0</v>
      </c>
      <c r="K12851" t="n">
        <v>0</v>
      </c>
      <c r="L12851" t="n">
        <v>0</v>
      </c>
      <c r="M12851" t="n">
        <v>0</v>
      </c>
      <c r="N12851" t="n">
        <v>0</v>
      </c>
      <c r="O12851" t="n">
        <v>0</v>
      </c>
      <c r="P12851" t="n">
        <v>0</v>
      </c>
      <c r="Q12851" t="n">
        <v>0</v>
      </c>
      <c r="R12851" s="2" t="inlineStr"/>
    </row>
    <row r="12852" ht="15" customHeight="1">
      <c r="A12852" t="inlineStr">
        <is>
          <t>A 44167-2024</t>
        </is>
      </c>
      <c r="B12852" s="1" t="n">
        <v>45572.73627314815</v>
      </c>
      <c r="C12852" s="1" t="n">
        <v>45952</v>
      </c>
      <c r="D12852" t="inlineStr">
        <is>
          <t>VÄSTRA GÖTALANDS LÄN</t>
        </is>
      </c>
      <c r="E12852" t="inlineStr">
        <is>
          <t>TRANEMO</t>
        </is>
      </c>
      <c r="G12852" t="n">
        <v>1.8</v>
      </c>
      <c r="H12852" t="n">
        <v>0</v>
      </c>
      <c r="I12852" t="n">
        <v>0</v>
      </c>
      <c r="J12852" t="n">
        <v>0</v>
      </c>
      <c r="K12852" t="n">
        <v>0</v>
      </c>
      <c r="L12852" t="n">
        <v>0</v>
      </c>
      <c r="M12852" t="n">
        <v>0</v>
      </c>
      <c r="N12852" t="n">
        <v>0</v>
      </c>
      <c r="O12852" t="n">
        <v>0</v>
      </c>
      <c r="P12852" t="n">
        <v>0</v>
      </c>
      <c r="Q12852" t="n">
        <v>0</v>
      </c>
      <c r="R12852" s="2" t="inlineStr"/>
    </row>
    <row r="12853" ht="15" customHeight="1">
      <c r="A12853" t="inlineStr">
        <is>
          <t>A 34244-2025</t>
        </is>
      </c>
      <c r="B12853" s="1" t="n">
        <v>45844</v>
      </c>
      <c r="C12853" s="1" t="n">
        <v>45952</v>
      </c>
      <c r="D12853" t="inlineStr">
        <is>
          <t>VÄSTRA GÖTALANDS LÄN</t>
        </is>
      </c>
      <c r="E12853" t="inlineStr">
        <is>
          <t>KUNGÄLV</t>
        </is>
      </c>
      <c r="G12853" t="n">
        <v>2.9</v>
      </c>
      <c r="H12853" t="n">
        <v>0</v>
      </c>
      <c r="I12853" t="n">
        <v>0</v>
      </c>
      <c r="J12853" t="n">
        <v>0</v>
      </c>
      <c r="K12853" t="n">
        <v>0</v>
      </c>
      <c r="L12853" t="n">
        <v>0</v>
      </c>
      <c r="M12853" t="n">
        <v>0</v>
      </c>
      <c r="N12853" t="n">
        <v>0</v>
      </c>
      <c r="O12853" t="n">
        <v>0</v>
      </c>
      <c r="P12853" t="n">
        <v>0</v>
      </c>
      <c r="Q12853" t="n">
        <v>0</v>
      </c>
      <c r="R12853" s="2" t="inlineStr"/>
    </row>
    <row r="12854" ht="15" customHeight="1">
      <c r="A12854" t="inlineStr">
        <is>
          <t>A 13114-2025</t>
        </is>
      </c>
      <c r="B12854" s="1" t="n">
        <v>45734.70657407407</v>
      </c>
      <c r="C12854" s="1" t="n">
        <v>45952</v>
      </c>
      <c r="D12854" t="inlineStr">
        <is>
          <t>VÄSTRA GÖTALANDS LÄN</t>
        </is>
      </c>
      <c r="E12854" t="inlineStr">
        <is>
          <t>MARK</t>
        </is>
      </c>
      <c r="G12854" t="n">
        <v>2.7</v>
      </c>
      <c r="H12854" t="n">
        <v>0</v>
      </c>
      <c r="I12854" t="n">
        <v>0</v>
      </c>
      <c r="J12854" t="n">
        <v>0</v>
      </c>
      <c r="K12854" t="n">
        <v>0</v>
      </c>
      <c r="L12854" t="n">
        <v>0</v>
      </c>
      <c r="M12854" t="n">
        <v>0</v>
      </c>
      <c r="N12854" t="n">
        <v>0</v>
      </c>
      <c r="O12854" t="n">
        <v>0</v>
      </c>
      <c r="P12854" t="n">
        <v>0</v>
      </c>
      <c r="Q12854" t="n">
        <v>0</v>
      </c>
      <c r="R12854" s="2" t="inlineStr"/>
    </row>
    <row r="12855" ht="15" customHeight="1">
      <c r="A12855" t="inlineStr">
        <is>
          <t>A 35351-2025</t>
        </is>
      </c>
      <c r="B12855" s="1" t="n">
        <v>45854.64826388889</v>
      </c>
      <c r="C12855" s="1" t="n">
        <v>45952</v>
      </c>
      <c r="D12855" t="inlineStr">
        <is>
          <t>VÄSTRA GÖTALANDS LÄN</t>
        </is>
      </c>
      <c r="E12855" t="inlineStr">
        <is>
          <t>MELLERUD</t>
        </is>
      </c>
      <c r="G12855" t="n">
        <v>1.2</v>
      </c>
      <c r="H12855" t="n">
        <v>0</v>
      </c>
      <c r="I12855" t="n">
        <v>0</v>
      </c>
      <c r="J12855" t="n">
        <v>0</v>
      </c>
      <c r="K12855" t="n">
        <v>0</v>
      </c>
      <c r="L12855" t="n">
        <v>0</v>
      </c>
      <c r="M12855" t="n">
        <v>0</v>
      </c>
      <c r="N12855" t="n">
        <v>0</v>
      </c>
      <c r="O12855" t="n">
        <v>0</v>
      </c>
      <c r="P12855" t="n">
        <v>0</v>
      </c>
      <c r="Q12855" t="n">
        <v>0</v>
      </c>
      <c r="R12855" s="2" t="inlineStr"/>
    </row>
    <row r="12856" ht="15" customHeight="1">
      <c r="A12856" t="inlineStr">
        <is>
          <t>A 35381-2025</t>
        </is>
      </c>
      <c r="B12856" s="1" t="n">
        <v>45855.30979166667</v>
      </c>
      <c r="C12856" s="1" t="n">
        <v>45952</v>
      </c>
      <c r="D12856" t="inlineStr">
        <is>
          <t>VÄSTRA GÖTALANDS LÄN</t>
        </is>
      </c>
      <c r="E12856" t="inlineStr">
        <is>
          <t>MARK</t>
        </is>
      </c>
      <c r="G12856" t="n">
        <v>3.6</v>
      </c>
      <c r="H12856" t="n">
        <v>0</v>
      </c>
      <c r="I12856" t="n">
        <v>0</v>
      </c>
      <c r="J12856" t="n">
        <v>0</v>
      </c>
      <c r="K12856" t="n">
        <v>0</v>
      </c>
      <c r="L12856" t="n">
        <v>0</v>
      </c>
      <c r="M12856" t="n">
        <v>0</v>
      </c>
      <c r="N12856" t="n">
        <v>0</v>
      </c>
      <c r="O12856" t="n">
        <v>0</v>
      </c>
      <c r="P12856" t="n">
        <v>0</v>
      </c>
      <c r="Q12856" t="n">
        <v>0</v>
      </c>
      <c r="R12856" s="2" t="inlineStr"/>
    </row>
    <row r="12857" ht="15" customHeight="1">
      <c r="A12857" t="inlineStr">
        <is>
          <t>A 35416-2025</t>
        </is>
      </c>
      <c r="B12857" s="1" t="n">
        <v>45855.40481481481</v>
      </c>
      <c r="C12857" s="1" t="n">
        <v>45952</v>
      </c>
      <c r="D12857" t="inlineStr">
        <is>
          <t>VÄSTRA GÖTALANDS LÄN</t>
        </is>
      </c>
      <c r="E12857" t="inlineStr">
        <is>
          <t>LILLA EDET</t>
        </is>
      </c>
      <c r="G12857" t="n">
        <v>3.8</v>
      </c>
      <c r="H12857" t="n">
        <v>0</v>
      </c>
      <c r="I12857" t="n">
        <v>0</v>
      </c>
      <c r="J12857" t="n">
        <v>0</v>
      </c>
      <c r="K12857" t="n">
        <v>0</v>
      </c>
      <c r="L12857" t="n">
        <v>0</v>
      </c>
      <c r="M12857" t="n">
        <v>0</v>
      </c>
      <c r="N12857" t="n">
        <v>0</v>
      </c>
      <c r="O12857" t="n">
        <v>0</v>
      </c>
      <c r="P12857" t="n">
        <v>0</v>
      </c>
      <c r="Q12857" t="n">
        <v>0</v>
      </c>
      <c r="R12857" s="2" t="inlineStr"/>
    </row>
    <row r="12858" ht="15" customHeight="1">
      <c r="A12858" t="inlineStr">
        <is>
          <t>A 10442-2025</t>
        </is>
      </c>
      <c r="B12858" s="1" t="n">
        <v>45720</v>
      </c>
      <c r="C12858" s="1" t="n">
        <v>45952</v>
      </c>
      <c r="D12858" t="inlineStr">
        <is>
          <t>VÄSTRA GÖTALANDS LÄN</t>
        </is>
      </c>
      <c r="E12858" t="inlineStr">
        <is>
          <t>TÖREBODA</t>
        </is>
      </c>
      <c r="G12858" t="n">
        <v>1.7</v>
      </c>
      <c r="H12858" t="n">
        <v>0</v>
      </c>
      <c r="I12858" t="n">
        <v>0</v>
      </c>
      <c r="J12858" t="n">
        <v>0</v>
      </c>
      <c r="K12858" t="n">
        <v>0</v>
      </c>
      <c r="L12858" t="n">
        <v>0</v>
      </c>
      <c r="M12858" t="n">
        <v>0</v>
      </c>
      <c r="N12858" t="n">
        <v>0</v>
      </c>
      <c r="O12858" t="n">
        <v>0</v>
      </c>
      <c r="P12858" t="n">
        <v>0</v>
      </c>
      <c r="Q12858" t="n">
        <v>0</v>
      </c>
      <c r="R12858" s="2" t="inlineStr"/>
    </row>
    <row r="12859" ht="15" customHeight="1">
      <c r="A12859" t="inlineStr">
        <is>
          <t>A 35377-2025</t>
        </is>
      </c>
      <c r="B12859" s="1" t="n">
        <v>45855.28851851852</v>
      </c>
      <c r="C12859" s="1" t="n">
        <v>45952</v>
      </c>
      <c r="D12859" t="inlineStr">
        <is>
          <t>VÄSTRA GÖTALANDS LÄN</t>
        </is>
      </c>
      <c r="E12859" t="inlineStr">
        <is>
          <t>MARK</t>
        </is>
      </c>
      <c r="G12859" t="n">
        <v>1.9</v>
      </c>
      <c r="H12859" t="n">
        <v>0</v>
      </c>
      <c r="I12859" t="n">
        <v>0</v>
      </c>
      <c r="J12859" t="n">
        <v>0</v>
      </c>
      <c r="K12859" t="n">
        <v>0</v>
      </c>
      <c r="L12859" t="n">
        <v>0</v>
      </c>
      <c r="M12859" t="n">
        <v>0</v>
      </c>
      <c r="N12859" t="n">
        <v>0</v>
      </c>
      <c r="O12859" t="n">
        <v>0</v>
      </c>
      <c r="P12859" t="n">
        <v>0</v>
      </c>
      <c r="Q12859" t="n">
        <v>0</v>
      </c>
      <c r="R12859" s="2" t="inlineStr"/>
    </row>
    <row r="12860" ht="15" customHeight="1">
      <c r="A12860" t="inlineStr">
        <is>
          <t>A 35379-2025</t>
        </is>
      </c>
      <c r="B12860" s="1" t="n">
        <v>45855.29523148148</v>
      </c>
      <c r="C12860" s="1" t="n">
        <v>45952</v>
      </c>
      <c r="D12860" t="inlineStr">
        <is>
          <t>VÄSTRA GÖTALANDS LÄN</t>
        </is>
      </c>
      <c r="E12860" t="inlineStr">
        <is>
          <t>BORÅS</t>
        </is>
      </c>
      <c r="G12860" t="n">
        <v>7.4</v>
      </c>
      <c r="H12860" t="n">
        <v>0</v>
      </c>
      <c r="I12860" t="n">
        <v>0</v>
      </c>
      <c r="J12860" t="n">
        <v>0</v>
      </c>
      <c r="K12860" t="n">
        <v>0</v>
      </c>
      <c r="L12860" t="n">
        <v>0</v>
      </c>
      <c r="M12860" t="n">
        <v>0</v>
      </c>
      <c r="N12860" t="n">
        <v>0</v>
      </c>
      <c r="O12860" t="n">
        <v>0</v>
      </c>
      <c r="P12860" t="n">
        <v>0</v>
      </c>
      <c r="Q12860" t="n">
        <v>0</v>
      </c>
      <c r="R12860" s="2" t="inlineStr"/>
    </row>
    <row r="12861" ht="15" customHeight="1">
      <c r="A12861" t="inlineStr">
        <is>
          <t>A 35385-2025</t>
        </is>
      </c>
      <c r="B12861" s="1" t="n">
        <v>45855</v>
      </c>
      <c r="C12861" s="1" t="n">
        <v>45952</v>
      </c>
      <c r="D12861" t="inlineStr">
        <is>
          <t>VÄSTRA GÖTALANDS LÄN</t>
        </is>
      </c>
      <c r="E12861" t="inlineStr">
        <is>
          <t>TIDAHOLM</t>
        </is>
      </c>
      <c r="G12861" t="n">
        <v>1.4</v>
      </c>
      <c r="H12861" t="n">
        <v>0</v>
      </c>
      <c r="I12861" t="n">
        <v>0</v>
      </c>
      <c r="J12861" t="n">
        <v>0</v>
      </c>
      <c r="K12861" t="n">
        <v>0</v>
      </c>
      <c r="L12861" t="n">
        <v>0</v>
      </c>
      <c r="M12861" t="n">
        <v>0</v>
      </c>
      <c r="N12861" t="n">
        <v>0</v>
      </c>
      <c r="O12861" t="n">
        <v>0</v>
      </c>
      <c r="P12861" t="n">
        <v>0</v>
      </c>
      <c r="Q12861" t="n">
        <v>0</v>
      </c>
      <c r="R12861" s="2" t="inlineStr"/>
    </row>
    <row r="12862" ht="15" customHeight="1">
      <c r="A12862" t="inlineStr">
        <is>
          <t>A 35386-2025</t>
        </is>
      </c>
      <c r="B12862" s="1" t="n">
        <v>45855</v>
      </c>
      <c r="C12862" s="1" t="n">
        <v>45952</v>
      </c>
      <c r="D12862" t="inlineStr">
        <is>
          <t>VÄSTRA GÖTALANDS LÄN</t>
        </is>
      </c>
      <c r="E12862" t="inlineStr">
        <is>
          <t>TIDAHOLM</t>
        </is>
      </c>
      <c r="G12862" t="n">
        <v>2.5</v>
      </c>
      <c r="H12862" t="n">
        <v>0</v>
      </c>
      <c r="I12862" t="n">
        <v>0</v>
      </c>
      <c r="J12862" t="n">
        <v>0</v>
      </c>
      <c r="K12862" t="n">
        <v>0</v>
      </c>
      <c r="L12862" t="n">
        <v>0</v>
      </c>
      <c r="M12862" t="n">
        <v>0</v>
      </c>
      <c r="N12862" t="n">
        <v>0</v>
      </c>
      <c r="O12862" t="n">
        <v>0</v>
      </c>
      <c r="P12862" t="n">
        <v>0</v>
      </c>
      <c r="Q12862" t="n">
        <v>0</v>
      </c>
      <c r="R12862" s="2" t="inlineStr"/>
    </row>
    <row r="12863" ht="15" customHeight="1">
      <c r="A12863" t="inlineStr">
        <is>
          <t>A 35387-2025</t>
        </is>
      </c>
      <c r="B12863" s="1" t="n">
        <v>45855</v>
      </c>
      <c r="C12863" s="1" t="n">
        <v>45952</v>
      </c>
      <c r="D12863" t="inlineStr">
        <is>
          <t>VÄSTRA GÖTALANDS LÄN</t>
        </is>
      </c>
      <c r="E12863" t="inlineStr">
        <is>
          <t>TIDAHOLM</t>
        </is>
      </c>
      <c r="G12863" t="n">
        <v>0.7</v>
      </c>
      <c r="H12863" t="n">
        <v>0</v>
      </c>
      <c r="I12863" t="n">
        <v>0</v>
      </c>
      <c r="J12863" t="n">
        <v>0</v>
      </c>
      <c r="K12863" t="n">
        <v>0</v>
      </c>
      <c r="L12863" t="n">
        <v>0</v>
      </c>
      <c r="M12863" t="n">
        <v>0</v>
      </c>
      <c r="N12863" t="n">
        <v>0</v>
      </c>
      <c r="O12863" t="n">
        <v>0</v>
      </c>
      <c r="P12863" t="n">
        <v>0</v>
      </c>
      <c r="Q12863" t="n">
        <v>0</v>
      </c>
      <c r="R12863" s="2" t="inlineStr"/>
    </row>
    <row r="12864" ht="15" customHeight="1">
      <c r="A12864" t="inlineStr">
        <is>
          <t>A 35403-2025</t>
        </is>
      </c>
      <c r="B12864" s="1" t="n">
        <v>45855.3478125</v>
      </c>
      <c r="C12864" s="1" t="n">
        <v>45952</v>
      </c>
      <c r="D12864" t="inlineStr">
        <is>
          <t>VÄSTRA GÖTALANDS LÄN</t>
        </is>
      </c>
      <c r="E12864" t="inlineStr">
        <is>
          <t>BORÅS</t>
        </is>
      </c>
      <c r="G12864" t="n">
        <v>5.2</v>
      </c>
      <c r="H12864" t="n">
        <v>0</v>
      </c>
      <c r="I12864" t="n">
        <v>0</v>
      </c>
      <c r="J12864" t="n">
        <v>0</v>
      </c>
      <c r="K12864" t="n">
        <v>0</v>
      </c>
      <c r="L12864" t="n">
        <v>0</v>
      </c>
      <c r="M12864" t="n">
        <v>0</v>
      </c>
      <c r="N12864" t="n">
        <v>0</v>
      </c>
      <c r="O12864" t="n">
        <v>0</v>
      </c>
      <c r="P12864" t="n">
        <v>0</v>
      </c>
      <c r="Q12864" t="n">
        <v>0</v>
      </c>
      <c r="R12864" s="2" t="inlineStr"/>
    </row>
    <row r="12865" ht="15" customHeight="1">
      <c r="A12865" t="inlineStr">
        <is>
          <t>A 35378-2025</t>
        </is>
      </c>
      <c r="B12865" s="1" t="n">
        <v>45855.29137731482</v>
      </c>
      <c r="C12865" s="1" t="n">
        <v>45952</v>
      </c>
      <c r="D12865" t="inlineStr">
        <is>
          <t>VÄSTRA GÖTALANDS LÄN</t>
        </is>
      </c>
      <c r="E12865" t="inlineStr">
        <is>
          <t>MARK</t>
        </is>
      </c>
      <c r="G12865" t="n">
        <v>7.4</v>
      </c>
      <c r="H12865" t="n">
        <v>0</v>
      </c>
      <c r="I12865" t="n">
        <v>0</v>
      </c>
      <c r="J12865" t="n">
        <v>0</v>
      </c>
      <c r="K12865" t="n">
        <v>0</v>
      </c>
      <c r="L12865" t="n">
        <v>0</v>
      </c>
      <c r="M12865" t="n">
        <v>0</v>
      </c>
      <c r="N12865" t="n">
        <v>0</v>
      </c>
      <c r="O12865" t="n">
        <v>0</v>
      </c>
      <c r="P12865" t="n">
        <v>0</v>
      </c>
      <c r="Q12865" t="n">
        <v>0</v>
      </c>
      <c r="R12865" s="2" t="inlineStr"/>
    </row>
    <row r="12866" ht="15" customHeight="1">
      <c r="A12866" t="inlineStr">
        <is>
          <t>A 35382-2025</t>
        </is>
      </c>
      <c r="B12866" s="1" t="n">
        <v>45855.31087962963</v>
      </c>
      <c r="C12866" s="1" t="n">
        <v>45952</v>
      </c>
      <c r="D12866" t="inlineStr">
        <is>
          <t>VÄSTRA GÖTALANDS LÄN</t>
        </is>
      </c>
      <c r="E12866" t="inlineStr">
        <is>
          <t>MARK</t>
        </is>
      </c>
      <c r="G12866" t="n">
        <v>1.3</v>
      </c>
      <c r="H12866" t="n">
        <v>0</v>
      </c>
      <c r="I12866" t="n">
        <v>0</v>
      </c>
      <c r="J12866" t="n">
        <v>0</v>
      </c>
      <c r="K12866" t="n">
        <v>0</v>
      </c>
      <c r="L12866" t="n">
        <v>0</v>
      </c>
      <c r="M12866" t="n">
        <v>0</v>
      </c>
      <c r="N12866" t="n">
        <v>0</v>
      </c>
      <c r="O12866" t="n">
        <v>0</v>
      </c>
      <c r="P12866" t="n">
        <v>0</v>
      </c>
      <c r="Q12866" t="n">
        <v>0</v>
      </c>
      <c r="R12866" s="2" t="inlineStr"/>
    </row>
    <row r="12867" ht="15" customHeight="1">
      <c r="A12867" t="inlineStr">
        <is>
          <t>A 33140-2023</t>
        </is>
      </c>
      <c r="B12867" s="1" t="n">
        <v>45126</v>
      </c>
      <c r="C12867" s="1" t="n">
        <v>45952</v>
      </c>
      <c r="D12867" t="inlineStr">
        <is>
          <t>VÄSTRA GÖTALANDS LÄN</t>
        </is>
      </c>
      <c r="E12867" t="inlineStr">
        <is>
          <t>BORÅS</t>
        </is>
      </c>
      <c r="G12867" t="n">
        <v>5.1</v>
      </c>
      <c r="H12867" t="n">
        <v>0</v>
      </c>
      <c r="I12867" t="n">
        <v>0</v>
      </c>
      <c r="J12867" t="n">
        <v>0</v>
      </c>
      <c r="K12867" t="n">
        <v>0</v>
      </c>
      <c r="L12867" t="n">
        <v>0</v>
      </c>
      <c r="M12867" t="n">
        <v>0</v>
      </c>
      <c r="N12867" t="n">
        <v>0</v>
      </c>
      <c r="O12867" t="n">
        <v>0</v>
      </c>
      <c r="P12867" t="n">
        <v>0</v>
      </c>
      <c r="Q12867" t="n">
        <v>0</v>
      </c>
      <c r="R12867" s="2" t="inlineStr"/>
    </row>
    <row r="12868" ht="15" customHeight="1">
      <c r="A12868" t="inlineStr">
        <is>
          <t>A 33194-2023</t>
        </is>
      </c>
      <c r="B12868" s="1" t="n">
        <v>45127</v>
      </c>
      <c r="C12868" s="1" t="n">
        <v>45952</v>
      </c>
      <c r="D12868" t="inlineStr">
        <is>
          <t>VÄSTRA GÖTALANDS LÄN</t>
        </is>
      </c>
      <c r="E12868" t="inlineStr">
        <is>
          <t>MUNKEDAL</t>
        </is>
      </c>
      <c r="G12868" t="n">
        <v>1.5</v>
      </c>
      <c r="H12868" t="n">
        <v>0</v>
      </c>
      <c r="I12868" t="n">
        <v>0</v>
      </c>
      <c r="J12868" t="n">
        <v>0</v>
      </c>
      <c r="K12868" t="n">
        <v>0</v>
      </c>
      <c r="L12868" t="n">
        <v>0</v>
      </c>
      <c r="M12868" t="n">
        <v>0</v>
      </c>
      <c r="N12868" t="n">
        <v>0</v>
      </c>
      <c r="O12868" t="n">
        <v>0</v>
      </c>
      <c r="P12868" t="n">
        <v>0</v>
      </c>
      <c r="Q12868" t="n">
        <v>0</v>
      </c>
      <c r="R12868" s="2" t="inlineStr"/>
    </row>
    <row r="12869" ht="15" customHeight="1">
      <c r="A12869" t="inlineStr">
        <is>
          <t>A 35313-2025</t>
        </is>
      </c>
      <c r="B12869" s="1" t="n">
        <v>45854</v>
      </c>
      <c r="C12869" s="1" t="n">
        <v>45952</v>
      </c>
      <c r="D12869" t="inlineStr">
        <is>
          <t>VÄSTRA GÖTALANDS LÄN</t>
        </is>
      </c>
      <c r="E12869" t="inlineStr">
        <is>
          <t>MARK</t>
        </is>
      </c>
      <c r="G12869" t="n">
        <v>3.4</v>
      </c>
      <c r="H12869" t="n">
        <v>0</v>
      </c>
      <c r="I12869" t="n">
        <v>0</v>
      </c>
      <c r="J12869" t="n">
        <v>0</v>
      </c>
      <c r="K12869" t="n">
        <v>0</v>
      </c>
      <c r="L12869" t="n">
        <v>0</v>
      </c>
      <c r="M12869" t="n">
        <v>0</v>
      </c>
      <c r="N12869" t="n">
        <v>0</v>
      </c>
      <c r="O12869" t="n">
        <v>0</v>
      </c>
      <c r="P12869" t="n">
        <v>0</v>
      </c>
      <c r="Q12869" t="n">
        <v>0</v>
      </c>
      <c r="R12869" s="2" t="inlineStr"/>
    </row>
    <row r="12870" ht="15" customHeight="1">
      <c r="A12870" t="inlineStr">
        <is>
          <t>A 35320-2025</t>
        </is>
      </c>
      <c r="B12870" s="1" t="n">
        <v>45854.48346064815</v>
      </c>
      <c r="C12870" s="1" t="n">
        <v>45952</v>
      </c>
      <c r="D12870" t="inlineStr">
        <is>
          <t>VÄSTRA GÖTALANDS LÄN</t>
        </is>
      </c>
      <c r="E12870" t="inlineStr">
        <is>
          <t>SVENLJUNGA</t>
        </is>
      </c>
      <c r="G12870" t="n">
        <v>2.1</v>
      </c>
      <c r="H12870" t="n">
        <v>0</v>
      </c>
      <c r="I12870" t="n">
        <v>0</v>
      </c>
      <c r="J12870" t="n">
        <v>0</v>
      </c>
      <c r="K12870" t="n">
        <v>0</v>
      </c>
      <c r="L12870" t="n">
        <v>0</v>
      </c>
      <c r="M12870" t="n">
        <v>0</v>
      </c>
      <c r="N12870" t="n">
        <v>0</v>
      </c>
      <c r="O12870" t="n">
        <v>0</v>
      </c>
      <c r="P12870" t="n">
        <v>0</v>
      </c>
      <c r="Q12870" t="n">
        <v>0</v>
      </c>
      <c r="R12870" s="2" t="inlineStr"/>
    </row>
    <row r="12871" ht="15" customHeight="1">
      <c r="A12871" t="inlineStr">
        <is>
          <t>A 8306-2025</t>
        </is>
      </c>
      <c r="B12871" s="1" t="n">
        <v>45708.60285879629</v>
      </c>
      <c r="C12871" s="1" t="n">
        <v>45952</v>
      </c>
      <c r="D12871" t="inlineStr">
        <is>
          <t>VÄSTRA GÖTALANDS LÄN</t>
        </is>
      </c>
      <c r="E12871" t="inlineStr">
        <is>
          <t>TRANEMO</t>
        </is>
      </c>
      <c r="G12871" t="n">
        <v>1.3</v>
      </c>
      <c r="H12871" t="n">
        <v>0</v>
      </c>
      <c r="I12871" t="n">
        <v>0</v>
      </c>
      <c r="J12871" t="n">
        <v>0</v>
      </c>
      <c r="K12871" t="n">
        <v>0</v>
      </c>
      <c r="L12871" t="n">
        <v>0</v>
      </c>
      <c r="M12871" t="n">
        <v>0</v>
      </c>
      <c r="N12871" t="n">
        <v>0</v>
      </c>
      <c r="O12871" t="n">
        <v>0</v>
      </c>
      <c r="P12871" t="n">
        <v>0</v>
      </c>
      <c r="Q12871" t="n">
        <v>0</v>
      </c>
      <c r="R12871" s="2" t="inlineStr"/>
    </row>
    <row r="12872" ht="15" customHeight="1">
      <c r="A12872" t="inlineStr">
        <is>
          <t>A 58236-2024</t>
        </is>
      </c>
      <c r="B12872" s="1" t="n">
        <v>45632.53951388889</v>
      </c>
      <c r="C12872" s="1" t="n">
        <v>45952</v>
      </c>
      <c r="D12872" t="inlineStr">
        <is>
          <t>VÄSTRA GÖTALANDS LÄN</t>
        </is>
      </c>
      <c r="E12872" t="inlineStr">
        <is>
          <t>GÖTENE</t>
        </is>
      </c>
      <c r="F12872" t="inlineStr">
        <is>
          <t>Kyrkan</t>
        </is>
      </c>
      <c r="G12872" t="n">
        <v>2.3</v>
      </c>
      <c r="H12872" t="n">
        <v>0</v>
      </c>
      <c r="I12872" t="n">
        <v>0</v>
      </c>
      <c r="J12872" t="n">
        <v>0</v>
      </c>
      <c r="K12872" t="n">
        <v>0</v>
      </c>
      <c r="L12872" t="n">
        <v>0</v>
      </c>
      <c r="M12872" t="n">
        <v>0</v>
      </c>
      <c r="N12872" t="n">
        <v>0</v>
      </c>
      <c r="O12872" t="n">
        <v>0</v>
      </c>
      <c r="P12872" t="n">
        <v>0</v>
      </c>
      <c r="Q12872" t="n">
        <v>0</v>
      </c>
      <c r="R12872" s="2" t="inlineStr"/>
    </row>
    <row r="12873" ht="15" customHeight="1">
      <c r="A12873" t="inlineStr">
        <is>
          <t>A 35280-2025</t>
        </is>
      </c>
      <c r="B12873" s="1" t="n">
        <v>45854.27512731482</v>
      </c>
      <c r="C12873" s="1" t="n">
        <v>45952</v>
      </c>
      <c r="D12873" t="inlineStr">
        <is>
          <t>VÄSTRA GÖTALANDS LÄN</t>
        </is>
      </c>
      <c r="E12873" t="inlineStr">
        <is>
          <t>BENGTSFORS</t>
        </is>
      </c>
      <c r="G12873" t="n">
        <v>1.3</v>
      </c>
      <c r="H12873" t="n">
        <v>0</v>
      </c>
      <c r="I12873" t="n">
        <v>0</v>
      </c>
      <c r="J12873" t="n">
        <v>0</v>
      </c>
      <c r="K12873" t="n">
        <v>0</v>
      </c>
      <c r="L12873" t="n">
        <v>0</v>
      </c>
      <c r="M12873" t="n">
        <v>0</v>
      </c>
      <c r="N12873" t="n">
        <v>0</v>
      </c>
      <c r="O12873" t="n">
        <v>0</v>
      </c>
      <c r="P12873" t="n">
        <v>0</v>
      </c>
      <c r="Q12873" t="n">
        <v>0</v>
      </c>
      <c r="R12873" s="2" t="inlineStr"/>
    </row>
    <row r="12874" ht="15" customHeight="1">
      <c r="A12874" t="inlineStr">
        <is>
          <t>A 35406-2025</t>
        </is>
      </c>
      <c r="B12874" s="1" t="n">
        <v>45855.35803240741</v>
      </c>
      <c r="C12874" s="1" t="n">
        <v>45952</v>
      </c>
      <c r="D12874" t="inlineStr">
        <is>
          <t>VÄSTRA GÖTALANDS LÄN</t>
        </is>
      </c>
      <c r="E12874" t="inlineStr">
        <is>
          <t>SVENLJUNGA</t>
        </is>
      </c>
      <c r="G12874" t="n">
        <v>3.6</v>
      </c>
      <c r="H12874" t="n">
        <v>0</v>
      </c>
      <c r="I12874" t="n">
        <v>0</v>
      </c>
      <c r="J12874" t="n">
        <v>0</v>
      </c>
      <c r="K12874" t="n">
        <v>0</v>
      </c>
      <c r="L12874" t="n">
        <v>0</v>
      </c>
      <c r="M12874" t="n">
        <v>0</v>
      </c>
      <c r="N12874" t="n">
        <v>0</v>
      </c>
      <c r="O12874" t="n">
        <v>0</v>
      </c>
      <c r="P12874" t="n">
        <v>0</v>
      </c>
      <c r="Q12874" t="n">
        <v>0</v>
      </c>
      <c r="R12874" s="2" t="inlineStr"/>
    </row>
    <row r="12875" ht="15" customHeight="1">
      <c r="A12875" t="inlineStr">
        <is>
          <t>A 35316-2025</t>
        </is>
      </c>
      <c r="B12875" s="1" t="n">
        <v>45854.47652777778</v>
      </c>
      <c r="C12875" s="1" t="n">
        <v>45952</v>
      </c>
      <c r="D12875" t="inlineStr">
        <is>
          <t>VÄSTRA GÖTALANDS LÄN</t>
        </is>
      </c>
      <c r="E12875" t="inlineStr">
        <is>
          <t>HJO</t>
        </is>
      </c>
      <c r="F12875" t="inlineStr">
        <is>
          <t>Sveaskog</t>
        </is>
      </c>
      <c r="G12875" t="n">
        <v>2.2</v>
      </c>
      <c r="H12875" t="n">
        <v>0</v>
      </c>
      <c r="I12875" t="n">
        <v>0</v>
      </c>
      <c r="J12875" t="n">
        <v>0</v>
      </c>
      <c r="K12875" t="n">
        <v>0</v>
      </c>
      <c r="L12875" t="n">
        <v>0</v>
      </c>
      <c r="M12875" t="n">
        <v>0</v>
      </c>
      <c r="N12875" t="n">
        <v>0</v>
      </c>
      <c r="O12875" t="n">
        <v>0</v>
      </c>
      <c r="P12875" t="n">
        <v>0</v>
      </c>
      <c r="Q12875" t="n">
        <v>0</v>
      </c>
      <c r="R12875" s="2" t="inlineStr"/>
    </row>
    <row r="12876" ht="15" customHeight="1">
      <c r="A12876" t="inlineStr">
        <is>
          <t>A 35347-2025</t>
        </is>
      </c>
      <c r="B12876" s="1" t="n">
        <v>45854.62063657407</v>
      </c>
      <c r="C12876" s="1" t="n">
        <v>45952</v>
      </c>
      <c r="D12876" t="inlineStr">
        <is>
          <t>VÄSTRA GÖTALANDS LÄN</t>
        </is>
      </c>
      <c r="E12876" t="inlineStr">
        <is>
          <t>MELLERUD</t>
        </is>
      </c>
      <c r="G12876" t="n">
        <v>4.2</v>
      </c>
      <c r="H12876" t="n">
        <v>0</v>
      </c>
      <c r="I12876" t="n">
        <v>0</v>
      </c>
      <c r="J12876" t="n">
        <v>0</v>
      </c>
      <c r="K12876" t="n">
        <v>0</v>
      </c>
      <c r="L12876" t="n">
        <v>0</v>
      </c>
      <c r="M12876" t="n">
        <v>0</v>
      </c>
      <c r="N12876" t="n">
        <v>0</v>
      </c>
      <c r="O12876" t="n">
        <v>0</v>
      </c>
      <c r="P12876" t="n">
        <v>0</v>
      </c>
      <c r="Q12876" t="n">
        <v>0</v>
      </c>
      <c r="R12876" s="2" t="inlineStr"/>
    </row>
    <row r="12877" ht="15" customHeight="1">
      <c r="A12877" t="inlineStr">
        <is>
          <t>A 35384-2025</t>
        </is>
      </c>
      <c r="B12877" s="1" t="n">
        <v>45855.31493055556</v>
      </c>
      <c r="C12877" s="1" t="n">
        <v>45952</v>
      </c>
      <c r="D12877" t="inlineStr">
        <is>
          <t>VÄSTRA GÖTALANDS LÄN</t>
        </is>
      </c>
      <c r="E12877" t="inlineStr">
        <is>
          <t>MARK</t>
        </is>
      </c>
      <c r="G12877" t="n">
        <v>9.800000000000001</v>
      </c>
      <c r="H12877" t="n">
        <v>0</v>
      </c>
      <c r="I12877" t="n">
        <v>0</v>
      </c>
      <c r="J12877" t="n">
        <v>0</v>
      </c>
      <c r="K12877" t="n">
        <v>0</v>
      </c>
      <c r="L12877" t="n">
        <v>0</v>
      </c>
      <c r="M12877" t="n">
        <v>0</v>
      </c>
      <c r="N12877" t="n">
        <v>0</v>
      </c>
      <c r="O12877" t="n">
        <v>0</v>
      </c>
      <c r="P12877" t="n">
        <v>0</v>
      </c>
      <c r="Q12877" t="n">
        <v>0</v>
      </c>
      <c r="R12877" s="2" t="inlineStr"/>
    </row>
    <row r="12878" ht="15" customHeight="1">
      <c r="A12878" t="inlineStr">
        <is>
          <t>A 35398-2025</t>
        </is>
      </c>
      <c r="B12878" s="1" t="n">
        <v>45855.33596064815</v>
      </c>
      <c r="C12878" s="1" t="n">
        <v>45952</v>
      </c>
      <c r="D12878" t="inlineStr">
        <is>
          <t>VÄSTRA GÖTALANDS LÄN</t>
        </is>
      </c>
      <c r="E12878" t="inlineStr">
        <is>
          <t>SVENLJUNGA</t>
        </is>
      </c>
      <c r="G12878" t="n">
        <v>4.3</v>
      </c>
      <c r="H12878" t="n">
        <v>0</v>
      </c>
      <c r="I12878" t="n">
        <v>0</v>
      </c>
      <c r="J12878" t="n">
        <v>0</v>
      </c>
      <c r="K12878" t="n">
        <v>0</v>
      </c>
      <c r="L12878" t="n">
        <v>0</v>
      </c>
      <c r="M12878" t="n">
        <v>0</v>
      </c>
      <c r="N12878" t="n">
        <v>0</v>
      </c>
      <c r="O12878" t="n">
        <v>0</v>
      </c>
      <c r="P12878" t="n">
        <v>0</v>
      </c>
      <c r="Q12878" t="n">
        <v>0</v>
      </c>
      <c r="R12878" s="2" t="inlineStr"/>
    </row>
    <row r="12879" ht="15" customHeight="1">
      <c r="A12879" t="inlineStr">
        <is>
          <t>A 35400-2025</t>
        </is>
      </c>
      <c r="B12879" s="1" t="n">
        <v>45855.34162037037</v>
      </c>
      <c r="C12879" s="1" t="n">
        <v>45952</v>
      </c>
      <c r="D12879" t="inlineStr">
        <is>
          <t>VÄSTRA GÖTALANDS LÄN</t>
        </is>
      </c>
      <c r="E12879" t="inlineStr">
        <is>
          <t>BORÅS</t>
        </is>
      </c>
      <c r="G12879" t="n">
        <v>1.6</v>
      </c>
      <c r="H12879" t="n">
        <v>0</v>
      </c>
      <c r="I12879" t="n">
        <v>0</v>
      </c>
      <c r="J12879" t="n">
        <v>0</v>
      </c>
      <c r="K12879" t="n">
        <v>0</v>
      </c>
      <c r="L12879" t="n">
        <v>0</v>
      </c>
      <c r="M12879" t="n">
        <v>0</v>
      </c>
      <c r="N12879" t="n">
        <v>0</v>
      </c>
      <c r="O12879" t="n">
        <v>0</v>
      </c>
      <c r="P12879" t="n">
        <v>0</v>
      </c>
      <c r="Q12879" t="n">
        <v>0</v>
      </c>
      <c r="R12879" s="2" t="inlineStr"/>
    </row>
    <row r="12880" ht="15" customHeight="1">
      <c r="A12880" t="inlineStr">
        <is>
          <t>A 35404-2025</t>
        </is>
      </c>
      <c r="B12880" s="1" t="n">
        <v>45855.35253472222</v>
      </c>
      <c r="C12880" s="1" t="n">
        <v>45952</v>
      </c>
      <c r="D12880" t="inlineStr">
        <is>
          <t>VÄSTRA GÖTALANDS LÄN</t>
        </is>
      </c>
      <c r="E12880" t="inlineStr">
        <is>
          <t>HÄRRYDA</t>
        </is>
      </c>
      <c r="G12880" t="n">
        <v>2.5</v>
      </c>
      <c r="H12880" t="n">
        <v>0</v>
      </c>
      <c r="I12880" t="n">
        <v>0</v>
      </c>
      <c r="J12880" t="n">
        <v>0</v>
      </c>
      <c r="K12880" t="n">
        <v>0</v>
      </c>
      <c r="L12880" t="n">
        <v>0</v>
      </c>
      <c r="M12880" t="n">
        <v>0</v>
      </c>
      <c r="N12880" t="n">
        <v>0</v>
      </c>
      <c r="O12880" t="n">
        <v>0</v>
      </c>
      <c r="P12880" t="n">
        <v>0</v>
      </c>
      <c r="Q12880" t="n">
        <v>0</v>
      </c>
      <c r="R12880" s="2" t="inlineStr"/>
    </row>
    <row r="12881" ht="15" customHeight="1">
      <c r="A12881" t="inlineStr">
        <is>
          <t>A 53763-2024</t>
        </is>
      </c>
      <c r="B12881" s="1" t="n">
        <v>45615.51563657408</v>
      </c>
      <c r="C12881" s="1" t="n">
        <v>45952</v>
      </c>
      <c r="D12881" t="inlineStr">
        <is>
          <t>VÄSTRA GÖTALANDS LÄN</t>
        </is>
      </c>
      <c r="E12881" t="inlineStr">
        <is>
          <t>SVENLJUNGA</t>
        </is>
      </c>
      <c r="G12881" t="n">
        <v>0.8</v>
      </c>
      <c r="H12881" t="n">
        <v>0</v>
      </c>
      <c r="I12881" t="n">
        <v>0</v>
      </c>
      <c r="J12881" t="n">
        <v>0</v>
      </c>
      <c r="K12881" t="n">
        <v>0</v>
      </c>
      <c r="L12881" t="n">
        <v>0</v>
      </c>
      <c r="M12881" t="n">
        <v>0</v>
      </c>
      <c r="N12881" t="n">
        <v>0</v>
      </c>
      <c r="O12881" t="n">
        <v>0</v>
      </c>
      <c r="P12881" t="n">
        <v>0</v>
      </c>
      <c r="Q12881" t="n">
        <v>0</v>
      </c>
      <c r="R12881" s="2" t="inlineStr"/>
    </row>
    <row r="12882" ht="15" customHeight="1">
      <c r="A12882" t="inlineStr">
        <is>
          <t>A 1553-2025</t>
        </is>
      </c>
      <c r="B12882" s="1" t="n">
        <v>45667</v>
      </c>
      <c r="C12882" s="1" t="n">
        <v>45952</v>
      </c>
      <c r="D12882" t="inlineStr">
        <is>
          <t>VÄSTRA GÖTALANDS LÄN</t>
        </is>
      </c>
      <c r="E12882" t="inlineStr">
        <is>
          <t>MUNKEDAL</t>
        </is>
      </c>
      <c r="F12882" t="inlineStr">
        <is>
          <t>Övriga Aktiebolag</t>
        </is>
      </c>
      <c r="G12882" t="n">
        <v>12</v>
      </c>
      <c r="H12882" t="n">
        <v>0</v>
      </c>
      <c r="I12882" t="n">
        <v>0</v>
      </c>
      <c r="J12882" t="n">
        <v>0</v>
      </c>
      <c r="K12882" t="n">
        <v>0</v>
      </c>
      <c r="L12882" t="n">
        <v>0</v>
      </c>
      <c r="M12882" t="n">
        <v>0</v>
      </c>
      <c r="N12882" t="n">
        <v>0</v>
      </c>
      <c r="O12882" t="n">
        <v>0</v>
      </c>
      <c r="P12882" t="n">
        <v>0</v>
      </c>
      <c r="Q12882" t="n">
        <v>0</v>
      </c>
      <c r="R12882" s="2" t="inlineStr"/>
    </row>
    <row r="12883" ht="15" customHeight="1">
      <c r="A12883" t="inlineStr">
        <is>
          <t>A 29665-2023</t>
        </is>
      </c>
      <c r="B12883" s="1" t="n">
        <v>45107.32079861111</v>
      </c>
      <c r="C12883" s="1" t="n">
        <v>45952</v>
      </c>
      <c r="D12883" t="inlineStr">
        <is>
          <t>VÄSTRA GÖTALANDS LÄN</t>
        </is>
      </c>
      <c r="E12883" t="inlineStr">
        <is>
          <t>MARK</t>
        </is>
      </c>
      <c r="G12883" t="n">
        <v>0.9</v>
      </c>
      <c r="H12883" t="n">
        <v>0</v>
      </c>
      <c r="I12883" t="n">
        <v>0</v>
      </c>
      <c r="J12883" t="n">
        <v>0</v>
      </c>
      <c r="K12883" t="n">
        <v>0</v>
      </c>
      <c r="L12883" t="n">
        <v>0</v>
      </c>
      <c r="M12883" t="n">
        <v>0</v>
      </c>
      <c r="N12883" t="n">
        <v>0</v>
      </c>
      <c r="O12883" t="n">
        <v>0</v>
      </c>
      <c r="P12883" t="n">
        <v>0</v>
      </c>
      <c r="Q12883" t="n">
        <v>0</v>
      </c>
      <c r="R12883" s="2" t="inlineStr"/>
    </row>
    <row r="12884" ht="15" customHeight="1">
      <c r="A12884" t="inlineStr">
        <is>
          <t>A 69289-2021</t>
        </is>
      </c>
      <c r="B12884" s="1" t="n">
        <v>44531</v>
      </c>
      <c r="C12884" s="1" t="n">
        <v>45952</v>
      </c>
      <c r="D12884" t="inlineStr">
        <is>
          <t>VÄSTRA GÖTALANDS LÄN</t>
        </is>
      </c>
      <c r="E12884" t="inlineStr">
        <is>
          <t>MARK</t>
        </is>
      </c>
      <c r="G12884" t="n">
        <v>4.8</v>
      </c>
      <c r="H12884" t="n">
        <v>0</v>
      </c>
      <c r="I12884" t="n">
        <v>0</v>
      </c>
      <c r="J12884" t="n">
        <v>0</v>
      </c>
      <c r="K12884" t="n">
        <v>0</v>
      </c>
      <c r="L12884" t="n">
        <v>0</v>
      </c>
      <c r="M12884" t="n">
        <v>0</v>
      </c>
      <c r="N12884" t="n">
        <v>0</v>
      </c>
      <c r="O12884" t="n">
        <v>0</v>
      </c>
      <c r="P12884" t="n">
        <v>0</v>
      </c>
      <c r="Q12884" t="n">
        <v>0</v>
      </c>
      <c r="R12884" s="2" t="inlineStr"/>
    </row>
    <row r="12885" ht="15" customHeight="1">
      <c r="A12885" t="inlineStr">
        <is>
          <t>A 18704-2022</t>
        </is>
      </c>
      <c r="B12885" s="1" t="n">
        <v>44687</v>
      </c>
      <c r="C12885" s="1" t="n">
        <v>45952</v>
      </c>
      <c r="D12885" t="inlineStr">
        <is>
          <t>VÄSTRA GÖTALANDS LÄN</t>
        </is>
      </c>
      <c r="E12885" t="inlineStr">
        <is>
          <t>SKARA</t>
        </is>
      </c>
      <c r="F12885" t="inlineStr">
        <is>
          <t>Kommuner</t>
        </is>
      </c>
      <c r="G12885" t="n">
        <v>3.9</v>
      </c>
      <c r="H12885" t="n">
        <v>0</v>
      </c>
      <c r="I12885" t="n">
        <v>0</v>
      </c>
      <c r="J12885" t="n">
        <v>0</v>
      </c>
      <c r="K12885" t="n">
        <v>0</v>
      </c>
      <c r="L12885" t="n">
        <v>0</v>
      </c>
      <c r="M12885" t="n">
        <v>0</v>
      </c>
      <c r="N12885" t="n">
        <v>0</v>
      </c>
      <c r="O12885" t="n">
        <v>0</v>
      </c>
      <c r="P12885" t="n">
        <v>0</v>
      </c>
      <c r="Q12885" t="n">
        <v>0</v>
      </c>
      <c r="R12885" s="2" t="inlineStr"/>
    </row>
    <row r="12886" ht="15" customHeight="1">
      <c r="A12886" t="inlineStr">
        <is>
          <t>A 35343-2025</t>
        </is>
      </c>
      <c r="B12886" s="1" t="n">
        <v>45854.60905092592</v>
      </c>
      <c r="C12886" s="1" t="n">
        <v>45952</v>
      </c>
      <c r="D12886" t="inlineStr">
        <is>
          <t>VÄSTRA GÖTALANDS LÄN</t>
        </is>
      </c>
      <c r="E12886" t="inlineStr">
        <is>
          <t>MELLERUD</t>
        </is>
      </c>
      <c r="G12886" t="n">
        <v>1.1</v>
      </c>
      <c r="H12886" t="n">
        <v>0</v>
      </c>
      <c r="I12886" t="n">
        <v>0</v>
      </c>
      <c r="J12886" t="n">
        <v>0</v>
      </c>
      <c r="K12886" t="n">
        <v>0</v>
      </c>
      <c r="L12886" t="n">
        <v>0</v>
      </c>
      <c r="M12886" t="n">
        <v>0</v>
      </c>
      <c r="N12886" t="n">
        <v>0</v>
      </c>
      <c r="O12886" t="n">
        <v>0</v>
      </c>
      <c r="P12886" t="n">
        <v>0</v>
      </c>
      <c r="Q12886" t="n">
        <v>0</v>
      </c>
      <c r="R12886" s="2" t="inlineStr"/>
    </row>
    <row r="12887" ht="15" customHeight="1">
      <c r="A12887" t="inlineStr">
        <is>
          <t>A 35349-2025</t>
        </is>
      </c>
      <c r="B12887" s="1" t="n">
        <v>45854.63576388889</v>
      </c>
      <c r="C12887" s="1" t="n">
        <v>45952</v>
      </c>
      <c r="D12887" t="inlineStr">
        <is>
          <t>VÄSTRA GÖTALANDS LÄN</t>
        </is>
      </c>
      <c r="E12887" t="inlineStr">
        <is>
          <t>MELLERUD</t>
        </is>
      </c>
      <c r="G12887" t="n">
        <v>3.5</v>
      </c>
      <c r="H12887" t="n">
        <v>0</v>
      </c>
      <c r="I12887" t="n">
        <v>0</v>
      </c>
      <c r="J12887" t="n">
        <v>0</v>
      </c>
      <c r="K12887" t="n">
        <v>0</v>
      </c>
      <c r="L12887" t="n">
        <v>0</v>
      </c>
      <c r="M12887" t="n">
        <v>0</v>
      </c>
      <c r="N12887" t="n">
        <v>0</v>
      </c>
      <c r="O12887" t="n">
        <v>0</v>
      </c>
      <c r="P12887" t="n">
        <v>0</v>
      </c>
      <c r="Q12887" t="n">
        <v>0</v>
      </c>
      <c r="R12887" s="2" t="inlineStr"/>
    </row>
    <row r="12888" ht="15" customHeight="1">
      <c r="A12888" t="inlineStr">
        <is>
          <t>A 35383-2025</t>
        </is>
      </c>
      <c r="B12888" s="1" t="n">
        <v>45855.31182870371</v>
      </c>
      <c r="C12888" s="1" t="n">
        <v>45952</v>
      </c>
      <c r="D12888" t="inlineStr">
        <is>
          <t>VÄSTRA GÖTALANDS LÄN</t>
        </is>
      </c>
      <c r="E12888" t="inlineStr">
        <is>
          <t>MARK</t>
        </is>
      </c>
      <c r="G12888" t="n">
        <v>0.9</v>
      </c>
      <c r="H12888" t="n">
        <v>0</v>
      </c>
      <c r="I12888" t="n">
        <v>0</v>
      </c>
      <c r="J12888" t="n">
        <v>0</v>
      </c>
      <c r="K12888" t="n">
        <v>0</v>
      </c>
      <c r="L12888" t="n">
        <v>0</v>
      </c>
      <c r="M12888" t="n">
        <v>0</v>
      </c>
      <c r="N12888" t="n">
        <v>0</v>
      </c>
      <c r="O12888" t="n">
        <v>0</v>
      </c>
      <c r="P12888" t="n">
        <v>0</v>
      </c>
      <c r="Q12888" t="n">
        <v>0</v>
      </c>
      <c r="R12888" s="2" t="inlineStr"/>
    </row>
    <row r="12889" ht="15" customHeight="1">
      <c r="A12889" t="inlineStr">
        <is>
          <t>A 35388-2025</t>
        </is>
      </c>
      <c r="B12889" s="1" t="n">
        <v>45855</v>
      </c>
      <c r="C12889" s="1" t="n">
        <v>45952</v>
      </c>
      <c r="D12889" t="inlineStr">
        <is>
          <t>VÄSTRA GÖTALANDS LÄN</t>
        </is>
      </c>
      <c r="E12889" t="inlineStr">
        <is>
          <t>TIDAHOLM</t>
        </is>
      </c>
      <c r="G12889" t="n">
        <v>0.3</v>
      </c>
      <c r="H12889" t="n">
        <v>0</v>
      </c>
      <c r="I12889" t="n">
        <v>0</v>
      </c>
      <c r="J12889" t="n">
        <v>0</v>
      </c>
      <c r="K12889" t="n">
        <v>0</v>
      </c>
      <c r="L12889" t="n">
        <v>0</v>
      </c>
      <c r="M12889" t="n">
        <v>0</v>
      </c>
      <c r="N12889" t="n">
        <v>0</v>
      </c>
      <c r="O12889" t="n">
        <v>0</v>
      </c>
      <c r="P12889" t="n">
        <v>0</v>
      </c>
      <c r="Q12889" t="n">
        <v>0</v>
      </c>
      <c r="R12889" s="2" t="inlineStr"/>
    </row>
    <row r="12890" ht="15" customHeight="1">
      <c r="A12890" t="inlineStr">
        <is>
          <t>A 23015-2024</t>
        </is>
      </c>
      <c r="B12890" s="1" t="n">
        <v>45450.35185185185</v>
      </c>
      <c r="C12890" s="1" t="n">
        <v>45952</v>
      </c>
      <c r="D12890" t="inlineStr">
        <is>
          <t>VÄSTRA GÖTALANDS LÄN</t>
        </is>
      </c>
      <c r="E12890" t="inlineStr">
        <is>
          <t>TRANEMO</t>
        </is>
      </c>
      <c r="F12890" t="inlineStr">
        <is>
          <t>Sveaskog</t>
        </is>
      </c>
      <c r="G12890" t="n">
        <v>2.1</v>
      </c>
      <c r="H12890" t="n">
        <v>0</v>
      </c>
      <c r="I12890" t="n">
        <v>0</v>
      </c>
      <c r="J12890" t="n">
        <v>0</v>
      </c>
      <c r="K12890" t="n">
        <v>0</v>
      </c>
      <c r="L12890" t="n">
        <v>0</v>
      </c>
      <c r="M12890" t="n">
        <v>0</v>
      </c>
      <c r="N12890" t="n">
        <v>0</v>
      </c>
      <c r="O12890" t="n">
        <v>0</v>
      </c>
      <c r="P12890" t="n">
        <v>0</v>
      </c>
      <c r="Q12890" t="n">
        <v>0</v>
      </c>
      <c r="R12890" s="2" t="inlineStr"/>
    </row>
    <row r="12891" ht="15" customHeight="1">
      <c r="A12891" t="inlineStr">
        <is>
          <t>A 15854-2025</t>
        </is>
      </c>
      <c r="B12891" s="1" t="n">
        <v>45749.31451388889</v>
      </c>
      <c r="C12891" s="1" t="n">
        <v>45952</v>
      </c>
      <c r="D12891" t="inlineStr">
        <is>
          <t>VÄSTRA GÖTALANDS LÄN</t>
        </is>
      </c>
      <c r="E12891" t="inlineStr">
        <is>
          <t>FALKÖPING</t>
        </is>
      </c>
      <c r="G12891" t="n">
        <v>1.8</v>
      </c>
      <c r="H12891" t="n">
        <v>0</v>
      </c>
      <c r="I12891" t="n">
        <v>0</v>
      </c>
      <c r="J12891" t="n">
        <v>0</v>
      </c>
      <c r="K12891" t="n">
        <v>0</v>
      </c>
      <c r="L12891" t="n">
        <v>0</v>
      </c>
      <c r="M12891" t="n">
        <v>0</v>
      </c>
      <c r="N12891" t="n">
        <v>0</v>
      </c>
      <c r="O12891" t="n">
        <v>0</v>
      </c>
      <c r="P12891" t="n">
        <v>0</v>
      </c>
      <c r="Q12891" t="n">
        <v>0</v>
      </c>
      <c r="R12891" s="2" t="inlineStr"/>
    </row>
    <row r="12892" ht="15" customHeight="1">
      <c r="A12892" t="inlineStr">
        <is>
          <t>A 23551-2023</t>
        </is>
      </c>
      <c r="B12892" s="1" t="n">
        <v>45077</v>
      </c>
      <c r="C12892" s="1" t="n">
        <v>45952</v>
      </c>
      <c r="D12892" t="inlineStr">
        <is>
          <t>VÄSTRA GÖTALANDS LÄN</t>
        </is>
      </c>
      <c r="E12892" t="inlineStr">
        <is>
          <t>HERRLJUNGA</t>
        </is>
      </c>
      <c r="G12892" t="n">
        <v>1.1</v>
      </c>
      <c r="H12892" t="n">
        <v>0</v>
      </c>
      <c r="I12892" t="n">
        <v>0</v>
      </c>
      <c r="J12892" t="n">
        <v>0</v>
      </c>
      <c r="K12892" t="n">
        <v>0</v>
      </c>
      <c r="L12892" t="n">
        <v>0</v>
      </c>
      <c r="M12892" t="n">
        <v>0</v>
      </c>
      <c r="N12892" t="n">
        <v>0</v>
      </c>
      <c r="O12892" t="n">
        <v>0</v>
      </c>
      <c r="P12892" t="n">
        <v>0</v>
      </c>
      <c r="Q12892" t="n">
        <v>0</v>
      </c>
      <c r="R12892" s="2" t="inlineStr"/>
    </row>
    <row r="12893" ht="15" customHeight="1">
      <c r="A12893" t="inlineStr">
        <is>
          <t>A 39791-2024</t>
        </is>
      </c>
      <c r="B12893" s="1" t="n">
        <v>45553.33474537037</v>
      </c>
      <c r="C12893" s="1" t="n">
        <v>45952</v>
      </c>
      <c r="D12893" t="inlineStr">
        <is>
          <t>VÄSTRA GÖTALANDS LÄN</t>
        </is>
      </c>
      <c r="E12893" t="inlineStr">
        <is>
          <t>TÖREBODA</t>
        </is>
      </c>
      <c r="G12893" t="n">
        <v>3.8</v>
      </c>
      <c r="H12893" t="n">
        <v>0</v>
      </c>
      <c r="I12893" t="n">
        <v>0</v>
      </c>
      <c r="J12893" t="n">
        <v>0</v>
      </c>
      <c r="K12893" t="n">
        <v>0</v>
      </c>
      <c r="L12893" t="n">
        <v>0</v>
      </c>
      <c r="M12893" t="n">
        <v>0</v>
      </c>
      <c r="N12893" t="n">
        <v>0</v>
      </c>
      <c r="O12893" t="n">
        <v>0</v>
      </c>
      <c r="P12893" t="n">
        <v>0</v>
      </c>
      <c r="Q12893" t="n">
        <v>0</v>
      </c>
      <c r="R12893" s="2" t="inlineStr"/>
    </row>
    <row r="12894" ht="15" customHeight="1">
      <c r="A12894" t="inlineStr">
        <is>
          <t>A 14550-2025</t>
        </is>
      </c>
      <c r="B12894" s="1" t="n">
        <v>45741.70502314815</v>
      </c>
      <c r="C12894" s="1" t="n">
        <v>45952</v>
      </c>
      <c r="D12894" t="inlineStr">
        <is>
          <t>VÄSTRA GÖTALANDS LÄN</t>
        </is>
      </c>
      <c r="E12894" t="inlineStr">
        <is>
          <t>TÖREBODA</t>
        </is>
      </c>
      <c r="G12894" t="n">
        <v>8.199999999999999</v>
      </c>
      <c r="H12894" t="n">
        <v>0</v>
      </c>
      <c r="I12894" t="n">
        <v>0</v>
      </c>
      <c r="J12894" t="n">
        <v>0</v>
      </c>
      <c r="K12894" t="n">
        <v>0</v>
      </c>
      <c r="L12894" t="n">
        <v>0</v>
      </c>
      <c r="M12894" t="n">
        <v>0</v>
      </c>
      <c r="N12894" t="n">
        <v>0</v>
      </c>
      <c r="O12894" t="n">
        <v>0</v>
      </c>
      <c r="P12894" t="n">
        <v>0</v>
      </c>
      <c r="Q12894" t="n">
        <v>0</v>
      </c>
      <c r="R12894" s="2" t="inlineStr"/>
    </row>
    <row r="12895" ht="15" customHeight="1">
      <c r="A12895" t="inlineStr">
        <is>
          <t>A 60138-2022</t>
        </is>
      </c>
      <c r="B12895" s="1" t="n">
        <v>44909.67563657407</v>
      </c>
      <c r="C12895" s="1" t="n">
        <v>45952</v>
      </c>
      <c r="D12895" t="inlineStr">
        <is>
          <t>VÄSTRA GÖTALANDS LÄN</t>
        </is>
      </c>
      <c r="E12895" t="inlineStr">
        <is>
          <t>ESSUNGA</t>
        </is>
      </c>
      <c r="G12895" t="n">
        <v>0.8</v>
      </c>
      <c r="H12895" t="n">
        <v>0</v>
      </c>
      <c r="I12895" t="n">
        <v>0</v>
      </c>
      <c r="J12895" t="n">
        <v>0</v>
      </c>
      <c r="K12895" t="n">
        <v>0</v>
      </c>
      <c r="L12895" t="n">
        <v>0</v>
      </c>
      <c r="M12895" t="n">
        <v>0</v>
      </c>
      <c r="N12895" t="n">
        <v>0</v>
      </c>
      <c r="O12895" t="n">
        <v>0</v>
      </c>
      <c r="P12895" t="n">
        <v>0</v>
      </c>
      <c r="Q12895" t="n">
        <v>0</v>
      </c>
      <c r="R12895" s="2" t="inlineStr"/>
    </row>
    <row r="12896" ht="15" customHeight="1">
      <c r="A12896" t="inlineStr">
        <is>
          <t>A 60148-2022</t>
        </is>
      </c>
      <c r="B12896" s="1" t="n">
        <v>44909</v>
      </c>
      <c r="C12896" s="1" t="n">
        <v>45952</v>
      </c>
      <c r="D12896" t="inlineStr">
        <is>
          <t>VÄSTRA GÖTALANDS LÄN</t>
        </is>
      </c>
      <c r="E12896" t="inlineStr">
        <is>
          <t>ÅMÅL</t>
        </is>
      </c>
      <c r="G12896" t="n">
        <v>1.6</v>
      </c>
      <c r="H12896" t="n">
        <v>0</v>
      </c>
      <c r="I12896" t="n">
        <v>0</v>
      </c>
      <c r="J12896" t="n">
        <v>0</v>
      </c>
      <c r="K12896" t="n">
        <v>0</v>
      </c>
      <c r="L12896" t="n">
        <v>0</v>
      </c>
      <c r="M12896" t="n">
        <v>0</v>
      </c>
      <c r="N12896" t="n">
        <v>0</v>
      </c>
      <c r="O12896" t="n">
        <v>0</v>
      </c>
      <c r="P12896" t="n">
        <v>0</v>
      </c>
      <c r="Q12896" t="n">
        <v>0</v>
      </c>
      <c r="R12896" s="2" t="inlineStr"/>
    </row>
    <row r="12897" ht="15" customHeight="1">
      <c r="A12897" t="inlineStr">
        <is>
          <t>A 35480-2025</t>
        </is>
      </c>
      <c r="B12897" s="1" t="n">
        <v>45855.70284722222</v>
      </c>
      <c r="C12897" s="1" t="n">
        <v>45952</v>
      </c>
      <c r="D12897" t="inlineStr">
        <is>
          <t>VÄSTRA GÖTALANDS LÄN</t>
        </is>
      </c>
      <c r="E12897" t="inlineStr">
        <is>
          <t>BORÅS</t>
        </is>
      </c>
      <c r="G12897" t="n">
        <v>4.8</v>
      </c>
      <c r="H12897" t="n">
        <v>0</v>
      </c>
      <c r="I12897" t="n">
        <v>0</v>
      </c>
      <c r="J12897" t="n">
        <v>0</v>
      </c>
      <c r="K12897" t="n">
        <v>0</v>
      </c>
      <c r="L12897" t="n">
        <v>0</v>
      </c>
      <c r="M12897" t="n">
        <v>0</v>
      </c>
      <c r="N12897" t="n">
        <v>0</v>
      </c>
      <c r="O12897" t="n">
        <v>0</v>
      </c>
      <c r="P12897" t="n">
        <v>0</v>
      </c>
      <c r="Q12897" t="n">
        <v>0</v>
      </c>
      <c r="R12897" s="2" t="inlineStr"/>
    </row>
    <row r="12898" ht="15" customHeight="1">
      <c r="A12898" t="inlineStr">
        <is>
          <t>A 397-2025</t>
        </is>
      </c>
      <c r="B12898" s="1" t="n">
        <v>45663</v>
      </c>
      <c r="C12898" s="1" t="n">
        <v>45952</v>
      </c>
      <c r="D12898" t="inlineStr">
        <is>
          <t>VÄSTRA GÖTALANDS LÄN</t>
        </is>
      </c>
      <c r="E12898" t="inlineStr">
        <is>
          <t>ULRICEHAMN</t>
        </is>
      </c>
      <c r="G12898" t="n">
        <v>5.4</v>
      </c>
      <c r="H12898" t="n">
        <v>0</v>
      </c>
      <c r="I12898" t="n">
        <v>0</v>
      </c>
      <c r="J12898" t="n">
        <v>0</v>
      </c>
      <c r="K12898" t="n">
        <v>0</v>
      </c>
      <c r="L12898" t="n">
        <v>0</v>
      </c>
      <c r="M12898" t="n">
        <v>0</v>
      </c>
      <c r="N12898" t="n">
        <v>0</v>
      </c>
      <c r="O12898" t="n">
        <v>0</v>
      </c>
      <c r="P12898" t="n">
        <v>0</v>
      </c>
      <c r="Q12898" t="n">
        <v>0</v>
      </c>
      <c r="R12898" s="2" t="inlineStr"/>
    </row>
    <row r="12899" ht="15" customHeight="1">
      <c r="A12899" t="inlineStr">
        <is>
          <t>A 5137-2025</t>
        </is>
      </c>
      <c r="B12899" s="1" t="n">
        <v>45691.5816550926</v>
      </c>
      <c r="C12899" s="1" t="n">
        <v>45952</v>
      </c>
      <c r="D12899" t="inlineStr">
        <is>
          <t>VÄSTRA GÖTALANDS LÄN</t>
        </is>
      </c>
      <c r="E12899" t="inlineStr">
        <is>
          <t>ULRICEHAMN</t>
        </is>
      </c>
      <c r="G12899" t="n">
        <v>0.8</v>
      </c>
      <c r="H12899" t="n">
        <v>0</v>
      </c>
      <c r="I12899" t="n">
        <v>0</v>
      </c>
      <c r="J12899" t="n">
        <v>0</v>
      </c>
      <c r="K12899" t="n">
        <v>0</v>
      </c>
      <c r="L12899" t="n">
        <v>0</v>
      </c>
      <c r="M12899" t="n">
        <v>0</v>
      </c>
      <c r="N12899" t="n">
        <v>0</v>
      </c>
      <c r="O12899" t="n">
        <v>0</v>
      </c>
      <c r="P12899" t="n">
        <v>0</v>
      </c>
      <c r="Q12899" t="n">
        <v>0</v>
      </c>
      <c r="R12899" s="2" t="inlineStr"/>
    </row>
    <row r="12900" ht="15" customHeight="1">
      <c r="A12900" t="inlineStr">
        <is>
          <t>A 46382-2023</t>
        </is>
      </c>
      <c r="B12900" s="1" t="n">
        <v>45197.4696412037</v>
      </c>
      <c r="C12900" s="1" t="n">
        <v>45952</v>
      </c>
      <c r="D12900" t="inlineStr">
        <is>
          <t>VÄSTRA GÖTALANDS LÄN</t>
        </is>
      </c>
      <c r="E12900" t="inlineStr">
        <is>
          <t>BORÅS</t>
        </is>
      </c>
      <c r="G12900" t="n">
        <v>0.6</v>
      </c>
      <c r="H12900" t="n">
        <v>0</v>
      </c>
      <c r="I12900" t="n">
        <v>0</v>
      </c>
      <c r="J12900" t="n">
        <v>0</v>
      </c>
      <c r="K12900" t="n">
        <v>0</v>
      </c>
      <c r="L12900" t="n">
        <v>0</v>
      </c>
      <c r="M12900" t="n">
        <v>0</v>
      </c>
      <c r="N12900" t="n">
        <v>0</v>
      </c>
      <c r="O12900" t="n">
        <v>0</v>
      </c>
      <c r="P12900" t="n">
        <v>0</v>
      </c>
      <c r="Q12900" t="n">
        <v>0</v>
      </c>
      <c r="R12900" s="2" t="inlineStr"/>
    </row>
    <row r="12901" ht="15" customHeight="1">
      <c r="A12901" t="inlineStr">
        <is>
          <t>A 35319-2025</t>
        </is>
      </c>
      <c r="B12901" s="1" t="n">
        <v>45854.48293981481</v>
      </c>
      <c r="C12901" s="1" t="n">
        <v>45952</v>
      </c>
      <c r="D12901" t="inlineStr">
        <is>
          <t>VÄSTRA GÖTALANDS LÄN</t>
        </is>
      </c>
      <c r="E12901" t="inlineStr">
        <is>
          <t>HJO</t>
        </is>
      </c>
      <c r="F12901" t="inlineStr">
        <is>
          <t>Sveaskog</t>
        </is>
      </c>
      <c r="G12901" t="n">
        <v>3.3</v>
      </c>
      <c r="H12901" t="n">
        <v>0</v>
      </c>
      <c r="I12901" t="n">
        <v>0</v>
      </c>
      <c r="J12901" t="n">
        <v>0</v>
      </c>
      <c r="K12901" t="n">
        <v>0</v>
      </c>
      <c r="L12901" t="n">
        <v>0</v>
      </c>
      <c r="M12901" t="n">
        <v>0</v>
      </c>
      <c r="N12901" t="n">
        <v>0</v>
      </c>
      <c r="O12901" t="n">
        <v>0</v>
      </c>
      <c r="P12901" t="n">
        <v>0</v>
      </c>
      <c r="Q12901" t="n">
        <v>0</v>
      </c>
      <c r="R12901" s="2" t="inlineStr"/>
    </row>
    <row r="12902" ht="15" customHeight="1">
      <c r="A12902" t="inlineStr">
        <is>
          <t>A 35420-2025</t>
        </is>
      </c>
      <c r="B12902" s="1" t="n">
        <v>45855.41025462963</v>
      </c>
      <c r="C12902" s="1" t="n">
        <v>45952</v>
      </c>
      <c r="D12902" t="inlineStr">
        <is>
          <t>VÄSTRA GÖTALANDS LÄN</t>
        </is>
      </c>
      <c r="E12902" t="inlineStr">
        <is>
          <t>LILLA EDET</t>
        </is>
      </c>
      <c r="G12902" t="n">
        <v>1.6</v>
      </c>
      <c r="H12902" t="n">
        <v>0</v>
      </c>
      <c r="I12902" t="n">
        <v>0</v>
      </c>
      <c r="J12902" t="n">
        <v>0</v>
      </c>
      <c r="K12902" t="n">
        <v>0</v>
      </c>
      <c r="L12902" t="n">
        <v>0</v>
      </c>
      <c r="M12902" t="n">
        <v>0</v>
      </c>
      <c r="N12902" t="n">
        <v>0</v>
      </c>
      <c r="O12902" t="n">
        <v>0</v>
      </c>
      <c r="P12902" t="n">
        <v>0</v>
      </c>
      <c r="Q12902" t="n">
        <v>0</v>
      </c>
      <c r="R12902" s="2" t="inlineStr"/>
    </row>
    <row r="12903" ht="15" customHeight="1">
      <c r="A12903" t="inlineStr">
        <is>
          <t>A 56500-2022</t>
        </is>
      </c>
      <c r="B12903" s="1" t="n">
        <v>44893.40965277778</v>
      </c>
      <c r="C12903" s="1" t="n">
        <v>45952</v>
      </c>
      <c r="D12903" t="inlineStr">
        <is>
          <t>VÄSTRA GÖTALANDS LÄN</t>
        </is>
      </c>
      <c r="E12903" t="inlineStr">
        <is>
          <t>HERRLJUNGA</t>
        </is>
      </c>
      <c r="G12903" t="n">
        <v>3</v>
      </c>
      <c r="H12903" t="n">
        <v>0</v>
      </c>
      <c r="I12903" t="n">
        <v>0</v>
      </c>
      <c r="J12903" t="n">
        <v>0</v>
      </c>
      <c r="K12903" t="n">
        <v>0</v>
      </c>
      <c r="L12903" t="n">
        <v>0</v>
      </c>
      <c r="M12903" t="n">
        <v>0</v>
      </c>
      <c r="N12903" t="n">
        <v>0</v>
      </c>
      <c r="O12903" t="n">
        <v>0</v>
      </c>
      <c r="P12903" t="n">
        <v>0</v>
      </c>
      <c r="Q12903" t="n">
        <v>0</v>
      </c>
      <c r="R12903" s="2" t="inlineStr"/>
    </row>
    <row r="12904" ht="15" customHeight="1">
      <c r="A12904" t="inlineStr">
        <is>
          <t>A 40374-2023</t>
        </is>
      </c>
      <c r="B12904" s="1" t="n">
        <v>45169.74189814815</v>
      </c>
      <c r="C12904" s="1" t="n">
        <v>45952</v>
      </c>
      <c r="D12904" t="inlineStr">
        <is>
          <t>VÄSTRA GÖTALANDS LÄN</t>
        </is>
      </c>
      <c r="E12904" t="inlineStr">
        <is>
          <t>SKÖVDE</t>
        </is>
      </c>
      <c r="G12904" t="n">
        <v>0.5</v>
      </c>
      <c r="H12904" t="n">
        <v>0</v>
      </c>
      <c r="I12904" t="n">
        <v>0</v>
      </c>
      <c r="J12904" t="n">
        <v>0</v>
      </c>
      <c r="K12904" t="n">
        <v>0</v>
      </c>
      <c r="L12904" t="n">
        <v>0</v>
      </c>
      <c r="M12904" t="n">
        <v>0</v>
      </c>
      <c r="N12904" t="n">
        <v>0</v>
      </c>
      <c r="O12904" t="n">
        <v>0</v>
      </c>
      <c r="P12904" t="n">
        <v>0</v>
      </c>
      <c r="Q12904" t="n">
        <v>0</v>
      </c>
      <c r="R12904" s="2" t="inlineStr"/>
    </row>
    <row r="12905" ht="15" customHeight="1">
      <c r="A12905" t="inlineStr">
        <is>
          <t>A 16968-2025</t>
        </is>
      </c>
      <c r="B12905" s="1" t="n">
        <v>45755</v>
      </c>
      <c r="C12905" s="1" t="n">
        <v>45952</v>
      </c>
      <c r="D12905" t="inlineStr">
        <is>
          <t>VÄSTRA GÖTALANDS LÄN</t>
        </is>
      </c>
      <c r="E12905" t="inlineStr">
        <is>
          <t>MUNKEDAL</t>
        </is>
      </c>
      <c r="G12905" t="n">
        <v>3.7</v>
      </c>
      <c r="H12905" t="n">
        <v>0</v>
      </c>
      <c r="I12905" t="n">
        <v>0</v>
      </c>
      <c r="J12905" t="n">
        <v>0</v>
      </c>
      <c r="K12905" t="n">
        <v>0</v>
      </c>
      <c r="L12905" t="n">
        <v>0</v>
      </c>
      <c r="M12905" t="n">
        <v>0</v>
      </c>
      <c r="N12905" t="n">
        <v>0</v>
      </c>
      <c r="O12905" t="n">
        <v>0</v>
      </c>
      <c r="P12905" t="n">
        <v>0</v>
      </c>
      <c r="Q12905" t="n">
        <v>0</v>
      </c>
      <c r="R12905" s="2" t="inlineStr"/>
    </row>
    <row r="12906" ht="15" customHeight="1">
      <c r="A12906" t="inlineStr">
        <is>
          <t>A 58691-2024</t>
        </is>
      </c>
      <c r="B12906" s="1" t="n">
        <v>45635.6282175926</v>
      </c>
      <c r="C12906" s="1" t="n">
        <v>45952</v>
      </c>
      <c r="D12906" t="inlineStr">
        <is>
          <t>VÄSTRA GÖTALANDS LÄN</t>
        </is>
      </c>
      <c r="E12906" t="inlineStr">
        <is>
          <t>GÖTENE</t>
        </is>
      </c>
      <c r="F12906" t="inlineStr">
        <is>
          <t>Kyrkan</t>
        </is>
      </c>
      <c r="G12906" t="n">
        <v>2.3</v>
      </c>
      <c r="H12906" t="n">
        <v>0</v>
      </c>
      <c r="I12906" t="n">
        <v>0</v>
      </c>
      <c r="J12906" t="n">
        <v>0</v>
      </c>
      <c r="K12906" t="n">
        <v>0</v>
      </c>
      <c r="L12906" t="n">
        <v>0</v>
      </c>
      <c r="M12906" t="n">
        <v>0</v>
      </c>
      <c r="N12906" t="n">
        <v>0</v>
      </c>
      <c r="O12906" t="n">
        <v>0</v>
      </c>
      <c r="P12906" t="n">
        <v>0</v>
      </c>
      <c r="Q12906" t="n">
        <v>0</v>
      </c>
      <c r="R12906" s="2" t="inlineStr"/>
    </row>
    <row r="12907" ht="15" customHeight="1">
      <c r="A12907" t="inlineStr">
        <is>
          <t>A 22455-2023</t>
        </is>
      </c>
      <c r="B12907" s="1" t="n">
        <v>45070.91396990741</v>
      </c>
      <c r="C12907" s="1" t="n">
        <v>45952</v>
      </c>
      <c r="D12907" t="inlineStr">
        <is>
          <t>VÄSTRA GÖTALANDS LÄN</t>
        </is>
      </c>
      <c r="E12907" t="inlineStr">
        <is>
          <t>TIDAHOLM</t>
        </is>
      </c>
      <c r="G12907" t="n">
        <v>0.4</v>
      </c>
      <c r="H12907" t="n">
        <v>0</v>
      </c>
      <c r="I12907" t="n">
        <v>0</v>
      </c>
      <c r="J12907" t="n">
        <v>0</v>
      </c>
      <c r="K12907" t="n">
        <v>0</v>
      </c>
      <c r="L12907" t="n">
        <v>0</v>
      </c>
      <c r="M12907" t="n">
        <v>0</v>
      </c>
      <c r="N12907" t="n">
        <v>0</v>
      </c>
      <c r="O12907" t="n">
        <v>0</v>
      </c>
      <c r="P12907" t="n">
        <v>0</v>
      </c>
      <c r="Q12907" t="n">
        <v>0</v>
      </c>
      <c r="R12907" s="2" t="inlineStr"/>
    </row>
    <row r="12908" ht="15" customHeight="1">
      <c r="A12908" t="inlineStr">
        <is>
          <t>A 35353-2025</t>
        </is>
      </c>
      <c r="B12908" s="1" t="n">
        <v>45854.65184027778</v>
      </c>
      <c r="C12908" s="1" t="n">
        <v>45952</v>
      </c>
      <c r="D12908" t="inlineStr">
        <is>
          <t>VÄSTRA GÖTALANDS LÄN</t>
        </is>
      </c>
      <c r="E12908" t="inlineStr">
        <is>
          <t>MARK</t>
        </is>
      </c>
      <c r="G12908" t="n">
        <v>1</v>
      </c>
      <c r="H12908" t="n">
        <v>0</v>
      </c>
      <c r="I12908" t="n">
        <v>0</v>
      </c>
      <c r="J12908" t="n">
        <v>0</v>
      </c>
      <c r="K12908" t="n">
        <v>0</v>
      </c>
      <c r="L12908" t="n">
        <v>0</v>
      </c>
      <c r="M12908" t="n">
        <v>0</v>
      </c>
      <c r="N12908" t="n">
        <v>0</v>
      </c>
      <c r="O12908" t="n">
        <v>0</v>
      </c>
      <c r="P12908" t="n">
        <v>0</v>
      </c>
      <c r="Q12908" t="n">
        <v>0</v>
      </c>
      <c r="R12908" s="2" t="inlineStr"/>
    </row>
    <row r="12909" ht="15" customHeight="1">
      <c r="A12909" t="inlineStr">
        <is>
          <t>A 37179-2023</t>
        </is>
      </c>
      <c r="B12909" s="1" t="n">
        <v>45155</v>
      </c>
      <c r="C12909" s="1" t="n">
        <v>45952</v>
      </c>
      <c r="D12909" t="inlineStr">
        <is>
          <t>VÄSTRA GÖTALANDS LÄN</t>
        </is>
      </c>
      <c r="E12909" t="inlineStr">
        <is>
          <t>TIDAHOLM</t>
        </is>
      </c>
      <c r="F12909" t="inlineStr">
        <is>
          <t>Sveaskog</t>
        </is>
      </c>
      <c r="G12909" t="n">
        <v>1.7</v>
      </c>
      <c r="H12909" t="n">
        <v>0</v>
      </c>
      <c r="I12909" t="n">
        <v>0</v>
      </c>
      <c r="J12909" t="n">
        <v>0</v>
      </c>
      <c r="K12909" t="n">
        <v>0</v>
      </c>
      <c r="L12909" t="n">
        <v>0</v>
      </c>
      <c r="M12909" t="n">
        <v>0</v>
      </c>
      <c r="N12909" t="n">
        <v>0</v>
      </c>
      <c r="O12909" t="n">
        <v>0</v>
      </c>
      <c r="P12909" t="n">
        <v>0</v>
      </c>
      <c r="Q12909" t="n">
        <v>0</v>
      </c>
      <c r="R12909" s="2" t="inlineStr"/>
    </row>
    <row r="12910" ht="15" customHeight="1">
      <c r="A12910" t="inlineStr">
        <is>
          <t>A 31981-2023</t>
        </is>
      </c>
      <c r="B12910" s="1" t="n">
        <v>45119.43261574074</v>
      </c>
      <c r="C12910" s="1" t="n">
        <v>45952</v>
      </c>
      <c r="D12910" t="inlineStr">
        <is>
          <t>VÄSTRA GÖTALANDS LÄN</t>
        </is>
      </c>
      <c r="E12910" t="inlineStr">
        <is>
          <t>GÖTENE</t>
        </is>
      </c>
      <c r="G12910" t="n">
        <v>0.4</v>
      </c>
      <c r="H12910" t="n">
        <v>0</v>
      </c>
      <c r="I12910" t="n">
        <v>0</v>
      </c>
      <c r="J12910" t="n">
        <v>0</v>
      </c>
      <c r="K12910" t="n">
        <v>0</v>
      </c>
      <c r="L12910" t="n">
        <v>0</v>
      </c>
      <c r="M12910" t="n">
        <v>0</v>
      </c>
      <c r="N12910" t="n">
        <v>0</v>
      </c>
      <c r="O12910" t="n">
        <v>0</v>
      </c>
      <c r="P12910" t="n">
        <v>0</v>
      </c>
      <c r="Q12910" t="n">
        <v>0</v>
      </c>
      <c r="R12910" s="2" t="inlineStr"/>
    </row>
    <row r="12911" ht="15" customHeight="1">
      <c r="A12911" t="inlineStr">
        <is>
          <t>A 50062-2024</t>
        </is>
      </c>
      <c r="B12911" s="1" t="n">
        <v>45600.34857638889</v>
      </c>
      <c r="C12911" s="1" t="n">
        <v>45952</v>
      </c>
      <c r="D12911" t="inlineStr">
        <is>
          <t>VÄSTRA GÖTALANDS LÄN</t>
        </is>
      </c>
      <c r="E12911" t="inlineStr">
        <is>
          <t>ULRICEHAMN</t>
        </is>
      </c>
      <c r="G12911" t="n">
        <v>1.6</v>
      </c>
      <c r="H12911" t="n">
        <v>0</v>
      </c>
      <c r="I12911" t="n">
        <v>0</v>
      </c>
      <c r="J12911" t="n">
        <v>0</v>
      </c>
      <c r="K12911" t="n">
        <v>0</v>
      </c>
      <c r="L12911" t="n">
        <v>0</v>
      </c>
      <c r="M12911" t="n">
        <v>0</v>
      </c>
      <c r="N12911" t="n">
        <v>0</v>
      </c>
      <c r="O12911" t="n">
        <v>0</v>
      </c>
      <c r="P12911" t="n">
        <v>0</v>
      </c>
      <c r="Q12911" t="n">
        <v>0</v>
      </c>
      <c r="R12911" s="2" t="inlineStr"/>
    </row>
    <row r="12912" ht="15" customHeight="1">
      <c r="A12912" t="inlineStr">
        <is>
          <t>A 52700-2023</t>
        </is>
      </c>
      <c r="B12912" s="1" t="n">
        <v>45225</v>
      </c>
      <c r="C12912" s="1" t="n">
        <v>45952</v>
      </c>
      <c r="D12912" t="inlineStr">
        <is>
          <t>VÄSTRA GÖTALANDS LÄN</t>
        </is>
      </c>
      <c r="E12912" t="inlineStr">
        <is>
          <t>MARK</t>
        </is>
      </c>
      <c r="G12912" t="n">
        <v>1.8</v>
      </c>
      <c r="H12912" t="n">
        <v>0</v>
      </c>
      <c r="I12912" t="n">
        <v>0</v>
      </c>
      <c r="J12912" t="n">
        <v>0</v>
      </c>
      <c r="K12912" t="n">
        <v>0</v>
      </c>
      <c r="L12912" t="n">
        <v>0</v>
      </c>
      <c r="M12912" t="n">
        <v>0</v>
      </c>
      <c r="N12912" t="n">
        <v>0</v>
      </c>
      <c r="O12912" t="n">
        <v>0</v>
      </c>
      <c r="P12912" t="n">
        <v>0</v>
      </c>
      <c r="Q12912" t="n">
        <v>0</v>
      </c>
      <c r="R12912" s="2" t="inlineStr"/>
    </row>
    <row r="12913" ht="15" customHeight="1">
      <c r="A12913" t="inlineStr">
        <is>
          <t>A 52717-2023</t>
        </is>
      </c>
      <c r="B12913" s="1" t="n">
        <v>45225.86696759259</v>
      </c>
      <c r="C12913" s="1" t="n">
        <v>45952</v>
      </c>
      <c r="D12913" t="inlineStr">
        <is>
          <t>VÄSTRA GÖTALANDS LÄN</t>
        </is>
      </c>
      <c r="E12913" t="inlineStr">
        <is>
          <t>ULRICEHAMN</t>
        </is>
      </c>
      <c r="G12913" t="n">
        <v>0.5</v>
      </c>
      <c r="H12913" t="n">
        <v>0</v>
      </c>
      <c r="I12913" t="n">
        <v>0</v>
      </c>
      <c r="J12913" t="n">
        <v>0</v>
      </c>
      <c r="K12913" t="n">
        <v>0</v>
      </c>
      <c r="L12913" t="n">
        <v>0</v>
      </c>
      <c r="M12913" t="n">
        <v>0</v>
      </c>
      <c r="N12913" t="n">
        <v>0</v>
      </c>
      <c r="O12913" t="n">
        <v>0</v>
      </c>
      <c r="P12913" t="n">
        <v>0</v>
      </c>
      <c r="Q12913" t="n">
        <v>0</v>
      </c>
      <c r="R12913" s="2" t="inlineStr"/>
    </row>
    <row r="12914" ht="15" customHeight="1">
      <c r="A12914" t="inlineStr">
        <is>
          <t>A 65964-2020</t>
        </is>
      </c>
      <c r="B12914" s="1" t="n">
        <v>44175.39767361111</v>
      </c>
      <c r="C12914" s="1" t="n">
        <v>45952</v>
      </c>
      <c r="D12914" t="inlineStr">
        <is>
          <t>VÄSTRA GÖTALANDS LÄN</t>
        </is>
      </c>
      <c r="E12914" t="inlineStr">
        <is>
          <t>SKÖVDE</t>
        </is>
      </c>
      <c r="G12914" t="n">
        <v>0.9</v>
      </c>
      <c r="H12914" t="n">
        <v>0</v>
      </c>
      <c r="I12914" t="n">
        <v>0</v>
      </c>
      <c r="J12914" t="n">
        <v>0</v>
      </c>
      <c r="K12914" t="n">
        <v>0</v>
      </c>
      <c r="L12914" t="n">
        <v>0</v>
      </c>
      <c r="M12914" t="n">
        <v>0</v>
      </c>
      <c r="N12914" t="n">
        <v>0</v>
      </c>
      <c r="O12914" t="n">
        <v>0</v>
      </c>
      <c r="P12914" t="n">
        <v>0</v>
      </c>
      <c r="Q12914" t="n">
        <v>0</v>
      </c>
      <c r="R12914" s="2" t="inlineStr"/>
    </row>
    <row r="12915" ht="15" customHeight="1">
      <c r="A12915" t="inlineStr">
        <is>
          <t>A 30626-2023</t>
        </is>
      </c>
      <c r="B12915" s="1" t="n">
        <v>45112</v>
      </c>
      <c r="C12915" s="1" t="n">
        <v>45952</v>
      </c>
      <c r="D12915" t="inlineStr">
        <is>
          <t>VÄSTRA GÖTALANDS LÄN</t>
        </is>
      </c>
      <c r="E12915" t="inlineStr">
        <is>
          <t>FALKÖPING</t>
        </is>
      </c>
      <c r="G12915" t="n">
        <v>1.3</v>
      </c>
      <c r="H12915" t="n">
        <v>0</v>
      </c>
      <c r="I12915" t="n">
        <v>0</v>
      </c>
      <c r="J12915" t="n">
        <v>0</v>
      </c>
      <c r="K12915" t="n">
        <v>0</v>
      </c>
      <c r="L12915" t="n">
        <v>0</v>
      </c>
      <c r="M12915" t="n">
        <v>0</v>
      </c>
      <c r="N12915" t="n">
        <v>0</v>
      </c>
      <c r="O12915" t="n">
        <v>0</v>
      </c>
      <c r="P12915" t="n">
        <v>0</v>
      </c>
      <c r="Q12915" t="n">
        <v>0</v>
      </c>
      <c r="R12915" s="2" t="inlineStr"/>
    </row>
    <row r="12916" ht="15" customHeight="1">
      <c r="A12916" t="inlineStr">
        <is>
          <t>A 14757-2025</t>
        </is>
      </c>
      <c r="B12916" s="1" t="n">
        <v>45742.67118055555</v>
      </c>
      <c r="C12916" s="1" t="n">
        <v>45952</v>
      </c>
      <c r="D12916" t="inlineStr">
        <is>
          <t>VÄSTRA GÖTALANDS LÄN</t>
        </is>
      </c>
      <c r="E12916" t="inlineStr">
        <is>
          <t>BENGTSFORS</t>
        </is>
      </c>
      <c r="G12916" t="n">
        <v>1.6</v>
      </c>
      <c r="H12916" t="n">
        <v>0</v>
      </c>
      <c r="I12916" t="n">
        <v>0</v>
      </c>
      <c r="J12916" t="n">
        <v>0</v>
      </c>
      <c r="K12916" t="n">
        <v>0</v>
      </c>
      <c r="L12916" t="n">
        <v>0</v>
      </c>
      <c r="M12916" t="n">
        <v>0</v>
      </c>
      <c r="N12916" t="n">
        <v>0</v>
      </c>
      <c r="O12916" t="n">
        <v>0</v>
      </c>
      <c r="P12916" t="n">
        <v>0</v>
      </c>
      <c r="Q12916" t="n">
        <v>0</v>
      </c>
      <c r="R12916" s="2" t="inlineStr"/>
    </row>
    <row r="12917" ht="15" customHeight="1">
      <c r="A12917" t="inlineStr">
        <is>
          <t>A 69663-2020</t>
        </is>
      </c>
      <c r="B12917" s="1" t="n">
        <v>44195</v>
      </c>
      <c r="C12917" s="1" t="n">
        <v>45952</v>
      </c>
      <c r="D12917" t="inlineStr">
        <is>
          <t>VÄSTRA GÖTALANDS LÄN</t>
        </is>
      </c>
      <c r="E12917" t="inlineStr">
        <is>
          <t>MARK</t>
        </is>
      </c>
      <c r="G12917" t="n">
        <v>2</v>
      </c>
      <c r="H12917" t="n">
        <v>0</v>
      </c>
      <c r="I12917" t="n">
        <v>0</v>
      </c>
      <c r="J12917" t="n">
        <v>0</v>
      </c>
      <c r="K12917" t="n">
        <v>0</v>
      </c>
      <c r="L12917" t="n">
        <v>0</v>
      </c>
      <c r="M12917" t="n">
        <v>0</v>
      </c>
      <c r="N12917" t="n">
        <v>0</v>
      </c>
      <c r="O12917" t="n">
        <v>0</v>
      </c>
      <c r="P12917" t="n">
        <v>0</v>
      </c>
      <c r="Q12917" t="n">
        <v>0</v>
      </c>
      <c r="R12917" s="2" t="inlineStr"/>
    </row>
    <row r="12918" ht="15" customHeight="1">
      <c r="A12918" t="inlineStr">
        <is>
          <t>A 33976-2024</t>
        </is>
      </c>
      <c r="B12918" s="1" t="n">
        <v>45522</v>
      </c>
      <c r="C12918" s="1" t="n">
        <v>45952</v>
      </c>
      <c r="D12918" t="inlineStr">
        <is>
          <t>VÄSTRA GÖTALANDS LÄN</t>
        </is>
      </c>
      <c r="E12918" t="inlineStr">
        <is>
          <t>TANUM</t>
        </is>
      </c>
      <c r="G12918" t="n">
        <v>1.4</v>
      </c>
      <c r="H12918" t="n">
        <v>0</v>
      </c>
      <c r="I12918" t="n">
        <v>0</v>
      </c>
      <c r="J12918" t="n">
        <v>0</v>
      </c>
      <c r="K12918" t="n">
        <v>0</v>
      </c>
      <c r="L12918" t="n">
        <v>0</v>
      </c>
      <c r="M12918" t="n">
        <v>0</v>
      </c>
      <c r="N12918" t="n">
        <v>0</v>
      </c>
      <c r="O12918" t="n">
        <v>0</v>
      </c>
      <c r="P12918" t="n">
        <v>0</v>
      </c>
      <c r="Q12918" t="n">
        <v>0</v>
      </c>
      <c r="R12918" s="2" t="inlineStr"/>
    </row>
    <row r="12919" ht="15" customHeight="1">
      <c r="A12919" t="inlineStr">
        <is>
          <t>A 1687-2024</t>
        </is>
      </c>
      <c r="B12919" s="1" t="n">
        <v>45306</v>
      </c>
      <c r="C12919" s="1" t="n">
        <v>45952</v>
      </c>
      <c r="D12919" t="inlineStr">
        <is>
          <t>VÄSTRA GÖTALANDS LÄN</t>
        </is>
      </c>
      <c r="E12919" t="inlineStr">
        <is>
          <t>ALE</t>
        </is>
      </c>
      <c r="G12919" t="n">
        <v>3.4</v>
      </c>
      <c r="H12919" t="n">
        <v>0</v>
      </c>
      <c r="I12919" t="n">
        <v>0</v>
      </c>
      <c r="J12919" t="n">
        <v>0</v>
      </c>
      <c r="K12919" t="n">
        <v>0</v>
      </c>
      <c r="L12919" t="n">
        <v>0</v>
      </c>
      <c r="M12919" t="n">
        <v>0</v>
      </c>
      <c r="N12919" t="n">
        <v>0</v>
      </c>
      <c r="O12919" t="n">
        <v>0</v>
      </c>
      <c r="P12919" t="n">
        <v>0</v>
      </c>
      <c r="Q12919" t="n">
        <v>0</v>
      </c>
      <c r="R12919" s="2" t="inlineStr"/>
    </row>
    <row r="12920" ht="15" customHeight="1">
      <c r="A12920" t="inlineStr">
        <is>
          <t>A 12330-2024</t>
        </is>
      </c>
      <c r="B12920" s="1" t="n">
        <v>45378.67270833333</v>
      </c>
      <c r="C12920" s="1" t="n">
        <v>45952</v>
      </c>
      <c r="D12920" t="inlineStr">
        <is>
          <t>VÄSTRA GÖTALANDS LÄN</t>
        </is>
      </c>
      <c r="E12920" t="inlineStr">
        <is>
          <t>MARK</t>
        </is>
      </c>
      <c r="G12920" t="n">
        <v>2.3</v>
      </c>
      <c r="H12920" t="n">
        <v>0</v>
      </c>
      <c r="I12920" t="n">
        <v>0</v>
      </c>
      <c r="J12920" t="n">
        <v>0</v>
      </c>
      <c r="K12920" t="n">
        <v>0</v>
      </c>
      <c r="L12920" t="n">
        <v>0</v>
      </c>
      <c r="M12920" t="n">
        <v>0</v>
      </c>
      <c r="N12920" t="n">
        <v>0</v>
      </c>
      <c r="O12920" t="n">
        <v>0</v>
      </c>
      <c r="P12920" t="n">
        <v>0</v>
      </c>
      <c r="Q12920" t="n">
        <v>0</v>
      </c>
      <c r="R12920" s="2" t="inlineStr"/>
    </row>
    <row r="12921" ht="15" customHeight="1">
      <c r="A12921" t="inlineStr">
        <is>
          <t>A 10176-2025</t>
        </is>
      </c>
      <c r="B12921" s="1" t="n">
        <v>45719.66662037037</v>
      </c>
      <c r="C12921" s="1" t="n">
        <v>45952</v>
      </c>
      <c r="D12921" t="inlineStr">
        <is>
          <t>VÄSTRA GÖTALANDS LÄN</t>
        </is>
      </c>
      <c r="E12921" t="inlineStr">
        <is>
          <t>SKARA</t>
        </is>
      </c>
      <c r="G12921" t="n">
        <v>0.6</v>
      </c>
      <c r="H12921" t="n">
        <v>0</v>
      </c>
      <c r="I12921" t="n">
        <v>0</v>
      </c>
      <c r="J12921" t="n">
        <v>0</v>
      </c>
      <c r="K12921" t="n">
        <v>0</v>
      </c>
      <c r="L12921" t="n">
        <v>0</v>
      </c>
      <c r="M12921" t="n">
        <v>0</v>
      </c>
      <c r="N12921" t="n">
        <v>0</v>
      </c>
      <c r="O12921" t="n">
        <v>0</v>
      </c>
      <c r="P12921" t="n">
        <v>0</v>
      </c>
      <c r="Q12921" t="n">
        <v>0</v>
      </c>
      <c r="R12921" s="2" t="inlineStr"/>
    </row>
    <row r="12922" ht="15" customHeight="1">
      <c r="A12922" t="inlineStr">
        <is>
          <t>A 44930-2023</t>
        </is>
      </c>
      <c r="B12922" s="1" t="n">
        <v>45190</v>
      </c>
      <c r="C12922" s="1" t="n">
        <v>45952</v>
      </c>
      <c r="D12922" t="inlineStr">
        <is>
          <t>VÄSTRA GÖTALANDS LÄN</t>
        </is>
      </c>
      <c r="E12922" t="inlineStr">
        <is>
          <t>ULRICEHAMN</t>
        </is>
      </c>
      <c r="G12922" t="n">
        <v>5.1</v>
      </c>
      <c r="H12922" t="n">
        <v>0</v>
      </c>
      <c r="I12922" t="n">
        <v>0</v>
      </c>
      <c r="J12922" t="n">
        <v>0</v>
      </c>
      <c r="K12922" t="n">
        <v>0</v>
      </c>
      <c r="L12922" t="n">
        <v>0</v>
      </c>
      <c r="M12922" t="n">
        <v>0</v>
      </c>
      <c r="N12922" t="n">
        <v>0</v>
      </c>
      <c r="O12922" t="n">
        <v>0</v>
      </c>
      <c r="P12922" t="n">
        <v>0</v>
      </c>
      <c r="Q12922" t="n">
        <v>0</v>
      </c>
      <c r="R12922" s="2" t="inlineStr"/>
    </row>
    <row r="12923" ht="15" customHeight="1">
      <c r="A12923" t="inlineStr">
        <is>
          <t>A 58266-2022</t>
        </is>
      </c>
      <c r="B12923" s="1" t="n">
        <v>44901</v>
      </c>
      <c r="C12923" s="1" t="n">
        <v>45952</v>
      </c>
      <c r="D12923" t="inlineStr">
        <is>
          <t>VÄSTRA GÖTALANDS LÄN</t>
        </is>
      </c>
      <c r="E12923" t="inlineStr">
        <is>
          <t>ÅMÅL</t>
        </is>
      </c>
      <c r="G12923" t="n">
        <v>4.8</v>
      </c>
      <c r="H12923" t="n">
        <v>0</v>
      </c>
      <c r="I12923" t="n">
        <v>0</v>
      </c>
      <c r="J12923" t="n">
        <v>0</v>
      </c>
      <c r="K12923" t="n">
        <v>0</v>
      </c>
      <c r="L12923" t="n">
        <v>0</v>
      </c>
      <c r="M12923" t="n">
        <v>0</v>
      </c>
      <c r="N12923" t="n">
        <v>0</v>
      </c>
      <c r="O12923" t="n">
        <v>0</v>
      </c>
      <c r="P12923" t="n">
        <v>0</v>
      </c>
      <c r="Q12923" t="n">
        <v>0</v>
      </c>
      <c r="R12923" s="2" t="inlineStr"/>
    </row>
    <row r="12924" ht="15" customHeight="1">
      <c r="A12924" t="inlineStr">
        <is>
          <t>A 11724-2024</t>
        </is>
      </c>
      <c r="B12924" s="1" t="n">
        <v>45373.65864583333</v>
      </c>
      <c r="C12924" s="1" t="n">
        <v>45952</v>
      </c>
      <c r="D12924" t="inlineStr">
        <is>
          <t>VÄSTRA GÖTALANDS LÄN</t>
        </is>
      </c>
      <c r="E12924" t="inlineStr">
        <is>
          <t>HERRLJUNGA</t>
        </is>
      </c>
      <c r="G12924" t="n">
        <v>1.1</v>
      </c>
      <c r="H12924" t="n">
        <v>0</v>
      </c>
      <c r="I12924" t="n">
        <v>0</v>
      </c>
      <c r="J12924" t="n">
        <v>0</v>
      </c>
      <c r="K12924" t="n">
        <v>0</v>
      </c>
      <c r="L12924" t="n">
        <v>0</v>
      </c>
      <c r="M12924" t="n">
        <v>0</v>
      </c>
      <c r="N12924" t="n">
        <v>0</v>
      </c>
      <c r="O12924" t="n">
        <v>0</v>
      </c>
      <c r="P12924" t="n">
        <v>0</v>
      </c>
      <c r="Q12924" t="n">
        <v>0</v>
      </c>
      <c r="R12924" s="2" t="inlineStr"/>
    </row>
    <row r="12925" ht="15" customHeight="1">
      <c r="A12925" t="inlineStr">
        <is>
          <t>A 11525-2025</t>
        </is>
      </c>
      <c r="B12925" s="1" t="n">
        <v>45727.2896875</v>
      </c>
      <c r="C12925" s="1" t="n">
        <v>45952</v>
      </c>
      <c r="D12925" t="inlineStr">
        <is>
          <t>VÄSTRA GÖTALANDS LÄN</t>
        </is>
      </c>
      <c r="E12925" t="inlineStr">
        <is>
          <t>FALKÖPING</t>
        </is>
      </c>
      <c r="G12925" t="n">
        <v>1.9</v>
      </c>
      <c r="H12925" t="n">
        <v>0</v>
      </c>
      <c r="I12925" t="n">
        <v>0</v>
      </c>
      <c r="J12925" t="n">
        <v>0</v>
      </c>
      <c r="K12925" t="n">
        <v>0</v>
      </c>
      <c r="L12925" t="n">
        <v>0</v>
      </c>
      <c r="M12925" t="n">
        <v>0</v>
      </c>
      <c r="N12925" t="n">
        <v>0</v>
      </c>
      <c r="O12925" t="n">
        <v>0</v>
      </c>
      <c r="P12925" t="n">
        <v>0</v>
      </c>
      <c r="Q12925" t="n">
        <v>0</v>
      </c>
      <c r="R12925" s="2" t="inlineStr"/>
    </row>
    <row r="12926" ht="15" customHeight="1">
      <c r="A12926" t="inlineStr">
        <is>
          <t>A 3022-2025</t>
        </is>
      </c>
      <c r="B12926" s="1" t="n">
        <v>45678.58040509259</v>
      </c>
      <c r="C12926" s="1" t="n">
        <v>45952</v>
      </c>
      <c r="D12926" t="inlineStr">
        <is>
          <t>VÄSTRA GÖTALANDS LÄN</t>
        </is>
      </c>
      <c r="E12926" t="inlineStr">
        <is>
          <t>HERRLJUNGA</t>
        </is>
      </c>
      <c r="G12926" t="n">
        <v>1.9</v>
      </c>
      <c r="H12926" t="n">
        <v>0</v>
      </c>
      <c r="I12926" t="n">
        <v>0</v>
      </c>
      <c r="J12926" t="n">
        <v>0</v>
      </c>
      <c r="K12926" t="n">
        <v>0</v>
      </c>
      <c r="L12926" t="n">
        <v>0</v>
      </c>
      <c r="M12926" t="n">
        <v>0</v>
      </c>
      <c r="N12926" t="n">
        <v>0</v>
      </c>
      <c r="O12926" t="n">
        <v>0</v>
      </c>
      <c r="P12926" t="n">
        <v>0</v>
      </c>
      <c r="Q12926" t="n">
        <v>0</v>
      </c>
      <c r="R12926" s="2" t="inlineStr"/>
    </row>
    <row r="12927" ht="15" customHeight="1">
      <c r="A12927" t="inlineStr">
        <is>
          <t>A 35496-2025</t>
        </is>
      </c>
      <c r="B12927" s="1" t="n">
        <v>45856.25802083333</v>
      </c>
      <c r="C12927" s="1" t="n">
        <v>45952</v>
      </c>
      <c r="D12927" t="inlineStr">
        <is>
          <t>VÄSTRA GÖTALANDS LÄN</t>
        </is>
      </c>
      <c r="E12927" t="inlineStr">
        <is>
          <t>SVENLJUNGA</t>
        </is>
      </c>
      <c r="G12927" t="n">
        <v>2.4</v>
      </c>
      <c r="H12927" t="n">
        <v>0</v>
      </c>
      <c r="I12927" t="n">
        <v>0</v>
      </c>
      <c r="J12927" t="n">
        <v>0</v>
      </c>
      <c r="K12927" t="n">
        <v>0</v>
      </c>
      <c r="L12927" t="n">
        <v>0</v>
      </c>
      <c r="M12927" t="n">
        <v>0</v>
      </c>
      <c r="N12927" t="n">
        <v>0</v>
      </c>
      <c r="O12927" t="n">
        <v>0</v>
      </c>
      <c r="P12927" t="n">
        <v>0</v>
      </c>
      <c r="Q12927" t="n">
        <v>0</v>
      </c>
      <c r="R12927" s="2" t="inlineStr"/>
    </row>
    <row r="12928" ht="15" customHeight="1">
      <c r="A12928" t="inlineStr">
        <is>
          <t>A 32513-2025</t>
        </is>
      </c>
      <c r="B12928" s="1" t="n">
        <v>45838</v>
      </c>
      <c r="C12928" s="1" t="n">
        <v>45952</v>
      </c>
      <c r="D12928" t="inlineStr">
        <is>
          <t>VÄSTRA GÖTALANDS LÄN</t>
        </is>
      </c>
      <c r="E12928" t="inlineStr">
        <is>
          <t>MARK</t>
        </is>
      </c>
      <c r="G12928" t="n">
        <v>5.9</v>
      </c>
      <c r="H12928" t="n">
        <v>0</v>
      </c>
      <c r="I12928" t="n">
        <v>0</v>
      </c>
      <c r="J12928" t="n">
        <v>0</v>
      </c>
      <c r="K12928" t="n">
        <v>0</v>
      </c>
      <c r="L12928" t="n">
        <v>0</v>
      </c>
      <c r="M12928" t="n">
        <v>0</v>
      </c>
      <c r="N12928" t="n">
        <v>0</v>
      </c>
      <c r="O12928" t="n">
        <v>0</v>
      </c>
      <c r="P12928" t="n">
        <v>0</v>
      </c>
      <c r="Q12928" t="n">
        <v>0</v>
      </c>
      <c r="R12928" s="2" t="inlineStr"/>
    </row>
    <row r="12929" ht="15" customHeight="1">
      <c r="A12929" t="inlineStr">
        <is>
          <t>A 35545-2025</t>
        </is>
      </c>
      <c r="B12929" s="1" t="n">
        <v>45856.47969907407</v>
      </c>
      <c r="C12929" s="1" t="n">
        <v>45952</v>
      </c>
      <c r="D12929" t="inlineStr">
        <is>
          <t>VÄSTRA GÖTALANDS LÄN</t>
        </is>
      </c>
      <c r="E12929" t="inlineStr">
        <is>
          <t>ULRICEHAMN</t>
        </is>
      </c>
      <c r="G12929" t="n">
        <v>6.1</v>
      </c>
      <c r="H12929" t="n">
        <v>0</v>
      </c>
      <c r="I12929" t="n">
        <v>0</v>
      </c>
      <c r="J12929" t="n">
        <v>0</v>
      </c>
      <c r="K12929" t="n">
        <v>0</v>
      </c>
      <c r="L12929" t="n">
        <v>0</v>
      </c>
      <c r="M12929" t="n">
        <v>0</v>
      </c>
      <c r="N12929" t="n">
        <v>0</v>
      </c>
      <c r="O12929" t="n">
        <v>0</v>
      </c>
      <c r="P12929" t="n">
        <v>0</v>
      </c>
      <c r="Q12929" t="n">
        <v>0</v>
      </c>
      <c r="R12929" s="2" t="inlineStr"/>
    </row>
    <row r="12930" ht="15" customHeight="1">
      <c r="A12930" t="inlineStr">
        <is>
          <t>A 42486-2021</t>
        </is>
      </c>
      <c r="B12930" s="1" t="n">
        <v>44427</v>
      </c>
      <c r="C12930" s="1" t="n">
        <v>45952</v>
      </c>
      <c r="D12930" t="inlineStr">
        <is>
          <t>VÄSTRA GÖTALANDS LÄN</t>
        </is>
      </c>
      <c r="E12930" t="inlineStr">
        <is>
          <t>VARA</t>
        </is>
      </c>
      <c r="G12930" t="n">
        <v>0.7</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38792-2024</t>
        </is>
      </c>
      <c r="B12931" s="1" t="n">
        <v>45547.48993055556</v>
      </c>
      <c r="C12931" s="1" t="n">
        <v>45952</v>
      </c>
      <c r="D12931" t="inlineStr">
        <is>
          <t>VÄSTRA GÖTALANDS LÄN</t>
        </is>
      </c>
      <c r="E12931" t="inlineStr">
        <is>
          <t>TIBRO</t>
        </is>
      </c>
      <c r="G12931" t="n">
        <v>2</v>
      </c>
      <c r="H12931" t="n">
        <v>0</v>
      </c>
      <c r="I12931" t="n">
        <v>0</v>
      </c>
      <c r="J12931" t="n">
        <v>0</v>
      </c>
      <c r="K12931" t="n">
        <v>0</v>
      </c>
      <c r="L12931" t="n">
        <v>0</v>
      </c>
      <c r="M12931" t="n">
        <v>0</v>
      </c>
      <c r="N12931" t="n">
        <v>0</v>
      </c>
      <c r="O12931" t="n">
        <v>0</v>
      </c>
      <c r="P12931" t="n">
        <v>0</v>
      </c>
      <c r="Q12931" t="n">
        <v>0</v>
      </c>
      <c r="R12931" s="2" t="inlineStr"/>
    </row>
    <row r="12932" ht="15" customHeight="1">
      <c r="A12932" t="inlineStr">
        <is>
          <t>A 26731-2023</t>
        </is>
      </c>
      <c r="B12932" s="1" t="n">
        <v>45093</v>
      </c>
      <c r="C12932" s="1" t="n">
        <v>45952</v>
      </c>
      <c r="D12932" t="inlineStr">
        <is>
          <t>VÄSTRA GÖTALANDS LÄN</t>
        </is>
      </c>
      <c r="E12932" t="inlineStr">
        <is>
          <t>FALKÖPING</t>
        </is>
      </c>
      <c r="G12932" t="n">
        <v>0.9</v>
      </c>
      <c r="H12932" t="n">
        <v>0</v>
      </c>
      <c r="I12932" t="n">
        <v>0</v>
      </c>
      <c r="J12932" t="n">
        <v>0</v>
      </c>
      <c r="K12932" t="n">
        <v>0</v>
      </c>
      <c r="L12932" t="n">
        <v>0</v>
      </c>
      <c r="M12932" t="n">
        <v>0</v>
      </c>
      <c r="N12932" t="n">
        <v>0</v>
      </c>
      <c r="O12932" t="n">
        <v>0</v>
      </c>
      <c r="P12932" t="n">
        <v>0</v>
      </c>
      <c r="Q12932" t="n">
        <v>0</v>
      </c>
      <c r="R12932" s="2" t="inlineStr"/>
    </row>
    <row r="12933" ht="15" customHeight="1">
      <c r="A12933" t="inlineStr">
        <is>
          <t>A 26733-2023</t>
        </is>
      </c>
      <c r="B12933" s="1" t="n">
        <v>45093.41903935185</v>
      </c>
      <c r="C12933" s="1" t="n">
        <v>45952</v>
      </c>
      <c r="D12933" t="inlineStr">
        <is>
          <t>VÄSTRA GÖTALANDS LÄN</t>
        </is>
      </c>
      <c r="E12933" t="inlineStr">
        <is>
          <t>SKÖVDE</t>
        </is>
      </c>
      <c r="G12933" t="n">
        <v>1.5</v>
      </c>
      <c r="H12933" t="n">
        <v>0</v>
      </c>
      <c r="I12933" t="n">
        <v>0</v>
      </c>
      <c r="J12933" t="n">
        <v>0</v>
      </c>
      <c r="K12933" t="n">
        <v>0</v>
      </c>
      <c r="L12933" t="n">
        <v>0</v>
      </c>
      <c r="M12933" t="n">
        <v>0</v>
      </c>
      <c r="N12933" t="n">
        <v>0</v>
      </c>
      <c r="O12933" t="n">
        <v>0</v>
      </c>
      <c r="P12933" t="n">
        <v>0</v>
      </c>
      <c r="Q12933" t="n">
        <v>0</v>
      </c>
      <c r="R12933" s="2" t="inlineStr"/>
    </row>
    <row r="12934" ht="15" customHeight="1">
      <c r="A12934" t="inlineStr">
        <is>
          <t>A 10640-2025</t>
        </is>
      </c>
      <c r="B12934" s="1" t="n">
        <v>45721</v>
      </c>
      <c r="C12934" s="1" t="n">
        <v>45952</v>
      </c>
      <c r="D12934" t="inlineStr">
        <is>
          <t>VÄSTRA GÖTALANDS LÄN</t>
        </is>
      </c>
      <c r="E12934" t="inlineStr">
        <is>
          <t>TROLLHÄTTAN</t>
        </is>
      </c>
      <c r="G12934" t="n">
        <v>3.1</v>
      </c>
      <c r="H12934" t="n">
        <v>0</v>
      </c>
      <c r="I12934" t="n">
        <v>0</v>
      </c>
      <c r="J12934" t="n">
        <v>0</v>
      </c>
      <c r="K12934" t="n">
        <v>0</v>
      </c>
      <c r="L12934" t="n">
        <v>0</v>
      </c>
      <c r="M12934" t="n">
        <v>0</v>
      </c>
      <c r="N12934" t="n">
        <v>0</v>
      </c>
      <c r="O12934" t="n">
        <v>0</v>
      </c>
      <c r="P12934" t="n">
        <v>0</v>
      </c>
      <c r="Q12934" t="n">
        <v>0</v>
      </c>
      <c r="R12934" s="2" t="inlineStr"/>
    </row>
    <row r="12935" ht="15" customHeight="1">
      <c r="A12935" t="inlineStr">
        <is>
          <t>A 53606-2023</t>
        </is>
      </c>
      <c r="B12935" s="1" t="n">
        <v>45230</v>
      </c>
      <c r="C12935" s="1" t="n">
        <v>45952</v>
      </c>
      <c r="D12935" t="inlineStr">
        <is>
          <t>VÄSTRA GÖTALANDS LÄN</t>
        </is>
      </c>
      <c r="E12935" t="inlineStr">
        <is>
          <t>BENGTSFORS</t>
        </is>
      </c>
      <c r="G12935" t="n">
        <v>1.6</v>
      </c>
      <c r="H12935" t="n">
        <v>0</v>
      </c>
      <c r="I12935" t="n">
        <v>0</v>
      </c>
      <c r="J12935" t="n">
        <v>0</v>
      </c>
      <c r="K12935" t="n">
        <v>0</v>
      </c>
      <c r="L12935" t="n">
        <v>0</v>
      </c>
      <c r="M12935" t="n">
        <v>0</v>
      </c>
      <c r="N12935" t="n">
        <v>0</v>
      </c>
      <c r="O12935" t="n">
        <v>0</v>
      </c>
      <c r="P12935" t="n">
        <v>0</v>
      </c>
      <c r="Q12935" t="n">
        <v>0</v>
      </c>
      <c r="R12935" s="2" t="inlineStr"/>
    </row>
    <row r="12936" ht="15" customHeight="1">
      <c r="A12936" t="inlineStr">
        <is>
          <t>A 35546-2025</t>
        </is>
      </c>
      <c r="B12936" s="1" t="n">
        <v>45856.48460648148</v>
      </c>
      <c r="C12936" s="1" t="n">
        <v>45952</v>
      </c>
      <c r="D12936" t="inlineStr">
        <is>
          <t>VÄSTRA GÖTALANDS LÄN</t>
        </is>
      </c>
      <c r="E12936" t="inlineStr">
        <is>
          <t>ULRICEHAMN</t>
        </is>
      </c>
      <c r="G12936" t="n">
        <v>0.8</v>
      </c>
      <c r="H12936" t="n">
        <v>0</v>
      </c>
      <c r="I12936" t="n">
        <v>0</v>
      </c>
      <c r="J12936" t="n">
        <v>0</v>
      </c>
      <c r="K12936" t="n">
        <v>0</v>
      </c>
      <c r="L12936" t="n">
        <v>0</v>
      </c>
      <c r="M12936" t="n">
        <v>0</v>
      </c>
      <c r="N12936" t="n">
        <v>0</v>
      </c>
      <c r="O12936" t="n">
        <v>0</v>
      </c>
      <c r="P12936" t="n">
        <v>0</v>
      </c>
      <c r="Q12936" t="n">
        <v>0</v>
      </c>
      <c r="R12936" s="2" t="inlineStr"/>
    </row>
    <row r="12937" ht="15" customHeight="1">
      <c r="A12937" t="inlineStr">
        <is>
          <t>A 56542-2024</t>
        </is>
      </c>
      <c r="B12937" s="1" t="n">
        <v>45625.56277777778</v>
      </c>
      <c r="C12937" s="1" t="n">
        <v>45952</v>
      </c>
      <c r="D12937" t="inlineStr">
        <is>
          <t>VÄSTRA GÖTALANDS LÄN</t>
        </is>
      </c>
      <c r="E12937" t="inlineStr">
        <is>
          <t>LIDKÖPING</t>
        </is>
      </c>
      <c r="G12937" t="n">
        <v>0.9</v>
      </c>
      <c r="H12937" t="n">
        <v>0</v>
      </c>
      <c r="I12937" t="n">
        <v>0</v>
      </c>
      <c r="J12937" t="n">
        <v>0</v>
      </c>
      <c r="K12937" t="n">
        <v>0</v>
      </c>
      <c r="L12937" t="n">
        <v>0</v>
      </c>
      <c r="M12937" t="n">
        <v>0</v>
      </c>
      <c r="N12937" t="n">
        <v>0</v>
      </c>
      <c r="O12937" t="n">
        <v>0</v>
      </c>
      <c r="P12937" t="n">
        <v>0</v>
      </c>
      <c r="Q12937" t="n">
        <v>0</v>
      </c>
      <c r="R12937" s="2" t="inlineStr"/>
    </row>
    <row r="12938" ht="15" customHeight="1">
      <c r="A12938" t="inlineStr">
        <is>
          <t>A 3522-2024</t>
        </is>
      </c>
      <c r="B12938" s="1" t="n">
        <v>45320.53537037037</v>
      </c>
      <c r="C12938" s="1" t="n">
        <v>45952</v>
      </c>
      <c r="D12938" t="inlineStr">
        <is>
          <t>VÄSTRA GÖTALANDS LÄN</t>
        </is>
      </c>
      <c r="E12938" t="inlineStr">
        <is>
          <t>VARA</t>
        </is>
      </c>
      <c r="G12938" t="n">
        <v>1.8</v>
      </c>
      <c r="H12938" t="n">
        <v>0</v>
      </c>
      <c r="I12938" t="n">
        <v>0</v>
      </c>
      <c r="J12938" t="n">
        <v>0</v>
      </c>
      <c r="K12938" t="n">
        <v>0</v>
      </c>
      <c r="L12938" t="n">
        <v>0</v>
      </c>
      <c r="M12938" t="n">
        <v>0</v>
      </c>
      <c r="N12938" t="n">
        <v>0</v>
      </c>
      <c r="O12938" t="n">
        <v>0</v>
      </c>
      <c r="P12938" t="n">
        <v>0</v>
      </c>
      <c r="Q12938" t="n">
        <v>0</v>
      </c>
      <c r="R12938" s="2" t="inlineStr"/>
    </row>
    <row r="12939" ht="15" customHeight="1">
      <c r="A12939" t="inlineStr">
        <is>
          <t>A 32188-2024</t>
        </is>
      </c>
      <c r="B12939" s="1" t="n">
        <v>45511.65049768519</v>
      </c>
      <c r="C12939" s="1" t="n">
        <v>45952</v>
      </c>
      <c r="D12939" t="inlineStr">
        <is>
          <t>VÄSTRA GÖTALANDS LÄN</t>
        </is>
      </c>
      <c r="E12939" t="inlineStr">
        <is>
          <t>FALKÖPING</t>
        </is>
      </c>
      <c r="G12939" t="n">
        <v>1</v>
      </c>
      <c r="H12939" t="n">
        <v>0</v>
      </c>
      <c r="I12939" t="n">
        <v>0</v>
      </c>
      <c r="J12939" t="n">
        <v>0</v>
      </c>
      <c r="K12939" t="n">
        <v>0</v>
      </c>
      <c r="L12939" t="n">
        <v>0</v>
      </c>
      <c r="M12939" t="n">
        <v>0</v>
      </c>
      <c r="N12939" t="n">
        <v>0</v>
      </c>
      <c r="O12939" t="n">
        <v>0</v>
      </c>
      <c r="P12939" t="n">
        <v>0</v>
      </c>
      <c r="Q12939" t="n">
        <v>0</v>
      </c>
      <c r="R12939" s="2" t="inlineStr"/>
    </row>
    <row r="12940" ht="15" customHeight="1">
      <c r="A12940" t="inlineStr">
        <is>
          <t>A 34073-2024</t>
        </is>
      </c>
      <c r="B12940" s="1" t="n">
        <v>45523.63995370371</v>
      </c>
      <c r="C12940" s="1" t="n">
        <v>45952</v>
      </c>
      <c r="D12940" t="inlineStr">
        <is>
          <t>VÄSTRA GÖTALANDS LÄN</t>
        </is>
      </c>
      <c r="E12940" t="inlineStr">
        <is>
          <t>MARK</t>
        </is>
      </c>
      <c r="G12940" t="n">
        <v>1.5</v>
      </c>
      <c r="H12940" t="n">
        <v>0</v>
      </c>
      <c r="I12940" t="n">
        <v>0</v>
      </c>
      <c r="J12940" t="n">
        <v>0</v>
      </c>
      <c r="K12940" t="n">
        <v>0</v>
      </c>
      <c r="L12940" t="n">
        <v>0</v>
      </c>
      <c r="M12940" t="n">
        <v>0</v>
      </c>
      <c r="N12940" t="n">
        <v>0</v>
      </c>
      <c r="O12940" t="n">
        <v>0</v>
      </c>
      <c r="P12940" t="n">
        <v>0</v>
      </c>
      <c r="Q12940" t="n">
        <v>0</v>
      </c>
      <c r="R12940" s="2" t="inlineStr"/>
    </row>
    <row r="12941" ht="15" customHeight="1">
      <c r="A12941" t="inlineStr">
        <is>
          <t>A 43841-2024</t>
        </is>
      </c>
      <c r="B12941" s="1" t="n">
        <v>45572.34341435185</v>
      </c>
      <c r="C12941" s="1" t="n">
        <v>45952</v>
      </c>
      <c r="D12941" t="inlineStr">
        <is>
          <t>VÄSTRA GÖTALANDS LÄN</t>
        </is>
      </c>
      <c r="E12941" t="inlineStr">
        <is>
          <t>DALS-ED</t>
        </is>
      </c>
      <c r="G12941" t="n">
        <v>2.4</v>
      </c>
      <c r="H12941" t="n">
        <v>0</v>
      </c>
      <c r="I12941" t="n">
        <v>0</v>
      </c>
      <c r="J12941" t="n">
        <v>0</v>
      </c>
      <c r="K12941" t="n">
        <v>0</v>
      </c>
      <c r="L12941" t="n">
        <v>0</v>
      </c>
      <c r="M12941" t="n">
        <v>0</v>
      </c>
      <c r="N12941" t="n">
        <v>0</v>
      </c>
      <c r="O12941" t="n">
        <v>0</v>
      </c>
      <c r="P12941" t="n">
        <v>0</v>
      </c>
      <c r="Q12941" t="n">
        <v>0</v>
      </c>
      <c r="R12941" s="2" t="inlineStr"/>
    </row>
    <row r="12942" ht="15" customHeight="1">
      <c r="A12942" t="inlineStr">
        <is>
          <t>A 61559-2023</t>
        </is>
      </c>
      <c r="B12942" s="1" t="n">
        <v>45265</v>
      </c>
      <c r="C12942" s="1" t="n">
        <v>45952</v>
      </c>
      <c r="D12942" t="inlineStr">
        <is>
          <t>VÄSTRA GÖTALANDS LÄN</t>
        </is>
      </c>
      <c r="E12942" t="inlineStr">
        <is>
          <t>KARLSBORG</t>
        </is>
      </c>
      <c r="G12942" t="n">
        <v>1.1</v>
      </c>
      <c r="H12942" t="n">
        <v>0</v>
      </c>
      <c r="I12942" t="n">
        <v>0</v>
      </c>
      <c r="J12942" t="n">
        <v>0</v>
      </c>
      <c r="K12942" t="n">
        <v>0</v>
      </c>
      <c r="L12942" t="n">
        <v>0</v>
      </c>
      <c r="M12942" t="n">
        <v>0</v>
      </c>
      <c r="N12942" t="n">
        <v>0</v>
      </c>
      <c r="O12942" t="n">
        <v>0</v>
      </c>
      <c r="P12942" t="n">
        <v>0</v>
      </c>
      <c r="Q12942" t="n">
        <v>0</v>
      </c>
      <c r="R12942" s="2" t="inlineStr"/>
    </row>
    <row r="12943" ht="15" customHeight="1">
      <c r="A12943" t="inlineStr">
        <is>
          <t>A 1197-2025</t>
        </is>
      </c>
      <c r="B12943" s="1" t="n">
        <v>45667.38278935185</v>
      </c>
      <c r="C12943" s="1" t="n">
        <v>45952</v>
      </c>
      <c r="D12943" t="inlineStr">
        <is>
          <t>VÄSTRA GÖTALANDS LÄN</t>
        </is>
      </c>
      <c r="E12943" t="inlineStr">
        <is>
          <t>VARA</t>
        </is>
      </c>
      <c r="G12943" t="n">
        <v>1.8</v>
      </c>
      <c r="H12943" t="n">
        <v>0</v>
      </c>
      <c r="I12943" t="n">
        <v>0</v>
      </c>
      <c r="J12943" t="n">
        <v>0</v>
      </c>
      <c r="K12943" t="n">
        <v>0</v>
      </c>
      <c r="L12943" t="n">
        <v>0</v>
      </c>
      <c r="M12943" t="n">
        <v>0</v>
      </c>
      <c r="N12943" t="n">
        <v>0</v>
      </c>
      <c r="O12943" t="n">
        <v>0</v>
      </c>
      <c r="P12943" t="n">
        <v>0</v>
      </c>
      <c r="Q12943" t="n">
        <v>0</v>
      </c>
      <c r="R12943" s="2" t="inlineStr"/>
    </row>
    <row r="12944" ht="15" customHeight="1">
      <c r="A12944" t="inlineStr">
        <is>
          <t>A 11442-2024</t>
        </is>
      </c>
      <c r="B12944" s="1" t="n">
        <v>45372.55474537037</v>
      </c>
      <c r="C12944" s="1" t="n">
        <v>45952</v>
      </c>
      <c r="D12944" t="inlineStr">
        <is>
          <t>VÄSTRA GÖTALANDS LÄN</t>
        </is>
      </c>
      <c r="E12944" t="inlineStr">
        <is>
          <t>MELLERUD</t>
        </is>
      </c>
      <c r="G12944" t="n">
        <v>2.4</v>
      </c>
      <c r="H12944" t="n">
        <v>0</v>
      </c>
      <c r="I12944" t="n">
        <v>0</v>
      </c>
      <c r="J12944" t="n">
        <v>0</v>
      </c>
      <c r="K12944" t="n">
        <v>0</v>
      </c>
      <c r="L12944" t="n">
        <v>0</v>
      </c>
      <c r="M12944" t="n">
        <v>0</v>
      </c>
      <c r="N12944" t="n">
        <v>0</v>
      </c>
      <c r="O12944" t="n">
        <v>0</v>
      </c>
      <c r="P12944" t="n">
        <v>0</v>
      </c>
      <c r="Q12944" t="n">
        <v>0</v>
      </c>
      <c r="R12944" s="2" t="inlineStr"/>
    </row>
    <row r="12945" ht="15" customHeight="1">
      <c r="A12945" t="inlineStr">
        <is>
          <t>A 11502-2025</t>
        </is>
      </c>
      <c r="B12945" s="1" t="n">
        <v>45726.8008912037</v>
      </c>
      <c r="C12945" s="1" t="n">
        <v>45952</v>
      </c>
      <c r="D12945" t="inlineStr">
        <is>
          <t>VÄSTRA GÖTALANDS LÄN</t>
        </is>
      </c>
      <c r="E12945" t="inlineStr">
        <is>
          <t>FALKÖPING</t>
        </is>
      </c>
      <c r="G12945" t="n">
        <v>0.9</v>
      </c>
      <c r="H12945" t="n">
        <v>0</v>
      </c>
      <c r="I12945" t="n">
        <v>0</v>
      </c>
      <c r="J12945" t="n">
        <v>0</v>
      </c>
      <c r="K12945" t="n">
        <v>0</v>
      </c>
      <c r="L12945" t="n">
        <v>0</v>
      </c>
      <c r="M12945" t="n">
        <v>0</v>
      </c>
      <c r="N12945" t="n">
        <v>0</v>
      </c>
      <c r="O12945" t="n">
        <v>0</v>
      </c>
      <c r="P12945" t="n">
        <v>0</v>
      </c>
      <c r="Q12945" t="n">
        <v>0</v>
      </c>
      <c r="R12945" s="2" t="inlineStr"/>
    </row>
    <row r="12946" ht="15" customHeight="1">
      <c r="A12946" t="inlineStr">
        <is>
          <t>A 13510-2022</t>
        </is>
      </c>
      <c r="B12946" s="1" t="n">
        <v>44648</v>
      </c>
      <c r="C12946" s="1" t="n">
        <v>45952</v>
      </c>
      <c r="D12946" t="inlineStr">
        <is>
          <t>VÄSTRA GÖTALANDS LÄN</t>
        </is>
      </c>
      <c r="E12946" t="inlineStr">
        <is>
          <t>TROLLHÄTTAN</t>
        </is>
      </c>
      <c r="G12946" t="n">
        <v>17.6</v>
      </c>
      <c r="H12946" t="n">
        <v>0</v>
      </c>
      <c r="I12946" t="n">
        <v>0</v>
      </c>
      <c r="J12946" t="n">
        <v>0</v>
      </c>
      <c r="K12946" t="n">
        <v>0</v>
      </c>
      <c r="L12946" t="n">
        <v>0</v>
      </c>
      <c r="M12946" t="n">
        <v>0</v>
      </c>
      <c r="N12946" t="n">
        <v>0</v>
      </c>
      <c r="O12946" t="n">
        <v>0</v>
      </c>
      <c r="P12946" t="n">
        <v>0</v>
      </c>
      <c r="Q12946" t="n">
        <v>0</v>
      </c>
      <c r="R12946" s="2" t="inlineStr"/>
    </row>
    <row r="12947" ht="15" customHeight="1">
      <c r="A12947" t="inlineStr">
        <is>
          <t>A 18948-2022</t>
        </is>
      </c>
      <c r="B12947" s="1" t="n">
        <v>44690.68015046296</v>
      </c>
      <c r="C12947" s="1" t="n">
        <v>45952</v>
      </c>
      <c r="D12947" t="inlineStr">
        <is>
          <t>VÄSTRA GÖTALANDS LÄN</t>
        </is>
      </c>
      <c r="E12947" t="inlineStr">
        <is>
          <t>TÖREBODA</t>
        </is>
      </c>
      <c r="G12947" t="n">
        <v>2.9</v>
      </c>
      <c r="H12947" t="n">
        <v>0</v>
      </c>
      <c r="I12947" t="n">
        <v>0</v>
      </c>
      <c r="J12947" t="n">
        <v>0</v>
      </c>
      <c r="K12947" t="n">
        <v>0</v>
      </c>
      <c r="L12947" t="n">
        <v>0</v>
      </c>
      <c r="M12947" t="n">
        <v>0</v>
      </c>
      <c r="N12947" t="n">
        <v>0</v>
      </c>
      <c r="O12947" t="n">
        <v>0</v>
      </c>
      <c r="P12947" t="n">
        <v>0</v>
      </c>
      <c r="Q12947" t="n">
        <v>0</v>
      </c>
      <c r="R12947" s="2" t="inlineStr"/>
    </row>
    <row r="12948" ht="15" customHeight="1">
      <c r="A12948" t="inlineStr">
        <is>
          <t>A 49311-2021</t>
        </is>
      </c>
      <c r="B12948" s="1" t="n">
        <v>44454.513125</v>
      </c>
      <c r="C12948" s="1" t="n">
        <v>45952</v>
      </c>
      <c r="D12948" t="inlineStr">
        <is>
          <t>VÄSTRA GÖTALANDS LÄN</t>
        </is>
      </c>
      <c r="E12948" t="inlineStr">
        <is>
          <t>TRANEMO</t>
        </is>
      </c>
      <c r="G12948" t="n">
        <v>2</v>
      </c>
      <c r="H12948" t="n">
        <v>0</v>
      </c>
      <c r="I12948" t="n">
        <v>0</v>
      </c>
      <c r="J12948" t="n">
        <v>0</v>
      </c>
      <c r="K12948" t="n">
        <v>0</v>
      </c>
      <c r="L12948" t="n">
        <v>0</v>
      </c>
      <c r="M12948" t="n">
        <v>0</v>
      </c>
      <c r="N12948" t="n">
        <v>0</v>
      </c>
      <c r="O12948" t="n">
        <v>0</v>
      </c>
      <c r="P12948" t="n">
        <v>0</v>
      </c>
      <c r="Q12948" t="n">
        <v>0</v>
      </c>
      <c r="R12948" s="2" t="inlineStr"/>
    </row>
    <row r="12949" ht="15" customHeight="1">
      <c r="A12949" t="inlineStr">
        <is>
          <t>A 27489-2024</t>
        </is>
      </c>
      <c r="B12949" s="1" t="n">
        <v>45474.48517361111</v>
      </c>
      <c r="C12949" s="1" t="n">
        <v>45952</v>
      </c>
      <c r="D12949" t="inlineStr">
        <is>
          <t>VÄSTRA GÖTALANDS LÄN</t>
        </is>
      </c>
      <c r="E12949" t="inlineStr">
        <is>
          <t>SVENLJUNGA</t>
        </is>
      </c>
      <c r="F12949" t="inlineStr">
        <is>
          <t>Kommuner</t>
        </is>
      </c>
      <c r="G12949" t="n">
        <v>0.6</v>
      </c>
      <c r="H12949" t="n">
        <v>0</v>
      </c>
      <c r="I12949" t="n">
        <v>0</v>
      </c>
      <c r="J12949" t="n">
        <v>0</v>
      </c>
      <c r="K12949" t="n">
        <v>0</v>
      </c>
      <c r="L12949" t="n">
        <v>0</v>
      </c>
      <c r="M12949" t="n">
        <v>0</v>
      </c>
      <c r="N12949" t="n">
        <v>0</v>
      </c>
      <c r="O12949" t="n">
        <v>0</v>
      </c>
      <c r="P12949" t="n">
        <v>0</v>
      </c>
      <c r="Q12949" t="n">
        <v>0</v>
      </c>
      <c r="R12949" s="2" t="inlineStr"/>
    </row>
    <row r="12950" ht="15" customHeight="1">
      <c r="A12950" t="inlineStr">
        <is>
          <t>A 35640-2025</t>
        </is>
      </c>
      <c r="B12950" s="1" t="n">
        <v>45859.47606481481</v>
      </c>
      <c r="C12950" s="1" t="n">
        <v>45952</v>
      </c>
      <c r="D12950" t="inlineStr">
        <is>
          <t>VÄSTRA GÖTALANDS LÄN</t>
        </is>
      </c>
      <c r="E12950" t="inlineStr">
        <is>
          <t>LYSEKIL</t>
        </is>
      </c>
      <c r="G12950" t="n">
        <v>1.8</v>
      </c>
      <c r="H12950" t="n">
        <v>0</v>
      </c>
      <c r="I12950" t="n">
        <v>0</v>
      </c>
      <c r="J12950" t="n">
        <v>0</v>
      </c>
      <c r="K12950" t="n">
        <v>0</v>
      </c>
      <c r="L12950" t="n">
        <v>0</v>
      </c>
      <c r="M12950" t="n">
        <v>0</v>
      </c>
      <c r="N12950" t="n">
        <v>0</v>
      </c>
      <c r="O12950" t="n">
        <v>0</v>
      </c>
      <c r="P12950" t="n">
        <v>0</v>
      </c>
      <c r="Q12950" t="n">
        <v>0</v>
      </c>
      <c r="R12950" s="2" t="inlineStr"/>
    </row>
    <row r="12951" ht="15" customHeight="1">
      <c r="A12951" t="inlineStr">
        <is>
          <t>A 61047-2024</t>
        </is>
      </c>
      <c r="B12951" s="1" t="n">
        <v>45645.47907407407</v>
      </c>
      <c r="C12951" s="1" t="n">
        <v>45952</v>
      </c>
      <c r="D12951" t="inlineStr">
        <is>
          <t>VÄSTRA GÖTALANDS LÄN</t>
        </is>
      </c>
      <c r="E12951" t="inlineStr">
        <is>
          <t>BENGTSFORS</t>
        </is>
      </c>
      <c r="G12951" t="n">
        <v>3.3</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35491-2025</t>
        </is>
      </c>
      <c r="B12952" s="1" t="n">
        <v>45855.87664351852</v>
      </c>
      <c r="C12952" s="1" t="n">
        <v>45952</v>
      </c>
      <c r="D12952" t="inlineStr">
        <is>
          <t>VÄSTRA GÖTALANDS LÄN</t>
        </is>
      </c>
      <c r="E12952" t="inlineStr">
        <is>
          <t>BOLLEBYGD</t>
        </is>
      </c>
      <c r="G12952" t="n">
        <v>1.4</v>
      </c>
      <c r="H12952" t="n">
        <v>0</v>
      </c>
      <c r="I12952" t="n">
        <v>0</v>
      </c>
      <c r="J12952" t="n">
        <v>0</v>
      </c>
      <c r="K12952" t="n">
        <v>0</v>
      </c>
      <c r="L12952" t="n">
        <v>0</v>
      </c>
      <c r="M12952" t="n">
        <v>0</v>
      </c>
      <c r="N12952" t="n">
        <v>0</v>
      </c>
      <c r="O12952" t="n">
        <v>0</v>
      </c>
      <c r="P12952" t="n">
        <v>0</v>
      </c>
      <c r="Q12952" t="n">
        <v>0</v>
      </c>
      <c r="R12952" s="2" t="inlineStr"/>
    </row>
    <row r="12953" ht="15" customHeight="1">
      <c r="A12953" t="inlineStr">
        <is>
          <t>A 31754-2022</t>
        </is>
      </c>
      <c r="B12953" s="1" t="n">
        <v>44776</v>
      </c>
      <c r="C12953" s="1" t="n">
        <v>45952</v>
      </c>
      <c r="D12953" t="inlineStr">
        <is>
          <t>VÄSTRA GÖTALANDS LÄN</t>
        </is>
      </c>
      <c r="E12953" t="inlineStr">
        <is>
          <t>DALS-ED</t>
        </is>
      </c>
      <c r="G12953" t="n">
        <v>4.2</v>
      </c>
      <c r="H12953" t="n">
        <v>0</v>
      </c>
      <c r="I12953" t="n">
        <v>0</v>
      </c>
      <c r="J12953" t="n">
        <v>0</v>
      </c>
      <c r="K12953" t="n">
        <v>0</v>
      </c>
      <c r="L12953" t="n">
        <v>0</v>
      </c>
      <c r="M12953" t="n">
        <v>0</v>
      </c>
      <c r="N12953" t="n">
        <v>0</v>
      </c>
      <c r="O12953" t="n">
        <v>0</v>
      </c>
      <c r="P12953" t="n">
        <v>0</v>
      </c>
      <c r="Q12953" t="n">
        <v>0</v>
      </c>
      <c r="R12953" s="2" t="inlineStr"/>
    </row>
    <row r="12954" ht="15" customHeight="1">
      <c r="A12954" t="inlineStr">
        <is>
          <t>A 23821-2024</t>
        </is>
      </c>
      <c r="B12954" s="1" t="n">
        <v>45455.46270833333</v>
      </c>
      <c r="C12954" s="1" t="n">
        <v>45952</v>
      </c>
      <c r="D12954" t="inlineStr">
        <is>
          <t>VÄSTRA GÖTALANDS LÄN</t>
        </is>
      </c>
      <c r="E12954" t="inlineStr">
        <is>
          <t>MELLERUD</t>
        </is>
      </c>
      <c r="G12954" t="n">
        <v>2.2</v>
      </c>
      <c r="H12954" t="n">
        <v>0</v>
      </c>
      <c r="I12954" t="n">
        <v>0</v>
      </c>
      <c r="J12954" t="n">
        <v>0</v>
      </c>
      <c r="K12954" t="n">
        <v>0</v>
      </c>
      <c r="L12954" t="n">
        <v>0</v>
      </c>
      <c r="M12954" t="n">
        <v>0</v>
      </c>
      <c r="N12954" t="n">
        <v>0</v>
      </c>
      <c r="O12954" t="n">
        <v>0</v>
      </c>
      <c r="P12954" t="n">
        <v>0</v>
      </c>
      <c r="Q12954" t="n">
        <v>0</v>
      </c>
      <c r="R12954" s="2" t="inlineStr"/>
    </row>
    <row r="12955" ht="15" customHeight="1">
      <c r="A12955" t="inlineStr">
        <is>
          <t>A 35815-2025</t>
        </is>
      </c>
      <c r="B12955" s="1" t="n">
        <v>45861.4362962963</v>
      </c>
      <c r="C12955" s="1" t="n">
        <v>45952</v>
      </c>
      <c r="D12955" t="inlineStr">
        <is>
          <t>VÄSTRA GÖTALANDS LÄN</t>
        </is>
      </c>
      <c r="E12955" t="inlineStr">
        <is>
          <t>BENGTSFORS</t>
        </is>
      </c>
      <c r="G12955" t="n">
        <v>3.6</v>
      </c>
      <c r="H12955" t="n">
        <v>0</v>
      </c>
      <c r="I12955" t="n">
        <v>0</v>
      </c>
      <c r="J12955" t="n">
        <v>0</v>
      </c>
      <c r="K12955" t="n">
        <v>0</v>
      </c>
      <c r="L12955" t="n">
        <v>0</v>
      </c>
      <c r="M12955" t="n">
        <v>0</v>
      </c>
      <c r="N12955" t="n">
        <v>0</v>
      </c>
      <c r="O12955" t="n">
        <v>0</v>
      </c>
      <c r="P12955" t="n">
        <v>0</v>
      </c>
      <c r="Q12955" t="n">
        <v>0</v>
      </c>
      <c r="R12955" s="2" t="inlineStr"/>
    </row>
    <row r="12956" ht="15" customHeight="1">
      <c r="A12956" t="inlineStr">
        <is>
          <t>A 13177-2025</t>
        </is>
      </c>
      <c r="B12956" s="1" t="n">
        <v>45735.37274305556</v>
      </c>
      <c r="C12956" s="1" t="n">
        <v>45952</v>
      </c>
      <c r="D12956" t="inlineStr">
        <is>
          <t>VÄSTRA GÖTALANDS LÄN</t>
        </is>
      </c>
      <c r="E12956" t="inlineStr">
        <is>
          <t>HJO</t>
        </is>
      </c>
      <c r="G12956" t="n">
        <v>2.4</v>
      </c>
      <c r="H12956" t="n">
        <v>0</v>
      </c>
      <c r="I12956" t="n">
        <v>0</v>
      </c>
      <c r="J12956" t="n">
        <v>0</v>
      </c>
      <c r="K12956" t="n">
        <v>0</v>
      </c>
      <c r="L12956" t="n">
        <v>0</v>
      </c>
      <c r="M12956" t="n">
        <v>0</v>
      </c>
      <c r="N12956" t="n">
        <v>0</v>
      </c>
      <c r="O12956" t="n">
        <v>0</v>
      </c>
      <c r="P12956" t="n">
        <v>0</v>
      </c>
      <c r="Q12956" t="n">
        <v>0</v>
      </c>
      <c r="R12956" s="2" t="inlineStr"/>
    </row>
    <row r="12957" ht="15" customHeight="1">
      <c r="A12957" t="inlineStr">
        <is>
          <t>A 19687-2025</t>
        </is>
      </c>
      <c r="B12957" s="1" t="n">
        <v>45770</v>
      </c>
      <c r="C12957" s="1" t="n">
        <v>45952</v>
      </c>
      <c r="D12957" t="inlineStr">
        <is>
          <t>VÄSTRA GÖTALANDS LÄN</t>
        </is>
      </c>
      <c r="E12957" t="inlineStr">
        <is>
          <t>ULRICEHAMN</t>
        </is>
      </c>
      <c r="G12957" t="n">
        <v>1.1</v>
      </c>
      <c r="H12957" t="n">
        <v>0</v>
      </c>
      <c r="I12957" t="n">
        <v>0</v>
      </c>
      <c r="J12957" t="n">
        <v>0</v>
      </c>
      <c r="K12957" t="n">
        <v>0</v>
      </c>
      <c r="L12957" t="n">
        <v>0</v>
      </c>
      <c r="M12957" t="n">
        <v>0</v>
      </c>
      <c r="N12957" t="n">
        <v>0</v>
      </c>
      <c r="O12957" t="n">
        <v>0</v>
      </c>
      <c r="P12957" t="n">
        <v>0</v>
      </c>
      <c r="Q12957" t="n">
        <v>0</v>
      </c>
      <c r="R12957" s="2" t="inlineStr"/>
    </row>
    <row r="12958" ht="15" customHeight="1">
      <c r="A12958" t="inlineStr">
        <is>
          <t>A 13509-2024</t>
        </is>
      </c>
      <c r="B12958" s="1" t="n">
        <v>45387.68763888889</v>
      </c>
      <c r="C12958" s="1" t="n">
        <v>45952</v>
      </c>
      <c r="D12958" t="inlineStr">
        <is>
          <t>VÄSTRA GÖTALANDS LÄN</t>
        </is>
      </c>
      <c r="E12958" t="inlineStr">
        <is>
          <t>SKARA</t>
        </is>
      </c>
      <c r="G12958" t="n">
        <v>10.7</v>
      </c>
      <c r="H12958" t="n">
        <v>0</v>
      </c>
      <c r="I12958" t="n">
        <v>0</v>
      </c>
      <c r="J12958" t="n">
        <v>0</v>
      </c>
      <c r="K12958" t="n">
        <v>0</v>
      </c>
      <c r="L12958" t="n">
        <v>0</v>
      </c>
      <c r="M12958" t="n">
        <v>0</v>
      </c>
      <c r="N12958" t="n">
        <v>0</v>
      </c>
      <c r="O12958" t="n">
        <v>0</v>
      </c>
      <c r="P12958" t="n">
        <v>0</v>
      </c>
      <c r="Q12958" t="n">
        <v>0</v>
      </c>
      <c r="R12958" s="2" t="inlineStr"/>
    </row>
    <row r="12959" ht="15" customHeight="1">
      <c r="A12959" t="inlineStr">
        <is>
          <t>A 35727-2025</t>
        </is>
      </c>
      <c r="B12959" s="1" t="n">
        <v>45860</v>
      </c>
      <c r="C12959" s="1" t="n">
        <v>45952</v>
      </c>
      <c r="D12959" t="inlineStr">
        <is>
          <t>VÄSTRA GÖTALANDS LÄN</t>
        </is>
      </c>
      <c r="E12959" t="inlineStr">
        <is>
          <t>BORÅS</t>
        </is>
      </c>
      <c r="G12959" t="n">
        <v>1.7</v>
      </c>
      <c r="H12959" t="n">
        <v>0</v>
      </c>
      <c r="I12959" t="n">
        <v>0</v>
      </c>
      <c r="J12959" t="n">
        <v>0</v>
      </c>
      <c r="K12959" t="n">
        <v>0</v>
      </c>
      <c r="L12959" t="n">
        <v>0</v>
      </c>
      <c r="M12959" t="n">
        <v>0</v>
      </c>
      <c r="N12959" t="n">
        <v>0</v>
      </c>
      <c r="O12959" t="n">
        <v>0</v>
      </c>
      <c r="P12959" t="n">
        <v>0</v>
      </c>
      <c r="Q12959" t="n">
        <v>0</v>
      </c>
      <c r="R12959" s="2" t="inlineStr"/>
    </row>
    <row r="12960" ht="15" customHeight="1">
      <c r="A12960" t="inlineStr">
        <is>
          <t>A 50049-2024</t>
        </is>
      </c>
      <c r="B12960" s="1" t="n">
        <v>45597</v>
      </c>
      <c r="C12960" s="1" t="n">
        <v>45952</v>
      </c>
      <c r="D12960" t="inlineStr">
        <is>
          <t>VÄSTRA GÖTALANDS LÄN</t>
        </is>
      </c>
      <c r="E12960" t="inlineStr">
        <is>
          <t>TANUM</t>
        </is>
      </c>
      <c r="G12960" t="n">
        <v>1.7</v>
      </c>
      <c r="H12960" t="n">
        <v>0</v>
      </c>
      <c r="I12960" t="n">
        <v>0</v>
      </c>
      <c r="J12960" t="n">
        <v>0</v>
      </c>
      <c r="K12960" t="n">
        <v>0</v>
      </c>
      <c r="L12960" t="n">
        <v>0</v>
      </c>
      <c r="M12960" t="n">
        <v>0</v>
      </c>
      <c r="N12960" t="n">
        <v>0</v>
      </c>
      <c r="O12960" t="n">
        <v>0</v>
      </c>
      <c r="P12960" t="n">
        <v>0</v>
      </c>
      <c r="Q12960" t="n">
        <v>0</v>
      </c>
      <c r="R12960" s="2" t="inlineStr"/>
    </row>
    <row r="12961" ht="15" customHeight="1">
      <c r="A12961" t="inlineStr">
        <is>
          <t>A 50053-2024</t>
        </is>
      </c>
      <c r="B12961" s="1" t="n">
        <v>45600.33508101852</v>
      </c>
      <c r="C12961" s="1" t="n">
        <v>45952</v>
      </c>
      <c r="D12961" t="inlineStr">
        <is>
          <t>VÄSTRA GÖTALANDS LÄN</t>
        </is>
      </c>
      <c r="E12961" t="inlineStr">
        <is>
          <t>VÅRGÅRDA</t>
        </is>
      </c>
      <c r="G12961" t="n">
        <v>1.6</v>
      </c>
      <c r="H12961" t="n">
        <v>0</v>
      </c>
      <c r="I12961" t="n">
        <v>0</v>
      </c>
      <c r="J12961" t="n">
        <v>0</v>
      </c>
      <c r="K12961" t="n">
        <v>0</v>
      </c>
      <c r="L12961" t="n">
        <v>0</v>
      </c>
      <c r="M12961" t="n">
        <v>0</v>
      </c>
      <c r="N12961" t="n">
        <v>0</v>
      </c>
      <c r="O12961" t="n">
        <v>0</v>
      </c>
      <c r="P12961" t="n">
        <v>0</v>
      </c>
      <c r="Q12961" t="n">
        <v>0</v>
      </c>
      <c r="R12961" s="2" t="inlineStr"/>
    </row>
    <row r="12962" ht="15" customHeight="1">
      <c r="A12962" t="inlineStr">
        <is>
          <t>A 60483-2022</t>
        </is>
      </c>
      <c r="B12962" s="1" t="n">
        <v>44911.4247800926</v>
      </c>
      <c r="C12962" s="1" t="n">
        <v>45952</v>
      </c>
      <c r="D12962" t="inlineStr">
        <is>
          <t>VÄSTRA GÖTALANDS LÄN</t>
        </is>
      </c>
      <c r="E12962" t="inlineStr">
        <is>
          <t>VARA</t>
        </is>
      </c>
      <c r="G12962" t="n">
        <v>3.3</v>
      </c>
      <c r="H12962" t="n">
        <v>0</v>
      </c>
      <c r="I12962" t="n">
        <v>0</v>
      </c>
      <c r="J12962" t="n">
        <v>0</v>
      </c>
      <c r="K12962" t="n">
        <v>0</v>
      </c>
      <c r="L12962" t="n">
        <v>0</v>
      </c>
      <c r="M12962" t="n">
        <v>0</v>
      </c>
      <c r="N12962" t="n">
        <v>0</v>
      </c>
      <c r="O12962" t="n">
        <v>0</v>
      </c>
      <c r="P12962" t="n">
        <v>0</v>
      </c>
      <c r="Q12962" t="n">
        <v>0</v>
      </c>
      <c r="R12962" s="2" t="inlineStr"/>
    </row>
    <row r="12963" ht="15" customHeight="1">
      <c r="A12963" t="inlineStr">
        <is>
          <t>A 19372-2025</t>
        </is>
      </c>
      <c r="B12963" s="1" t="n">
        <v>45769.64199074074</v>
      </c>
      <c r="C12963" s="1" t="n">
        <v>45952</v>
      </c>
      <c r="D12963" t="inlineStr">
        <is>
          <t>VÄSTRA GÖTALANDS LÄN</t>
        </is>
      </c>
      <c r="E12963" t="inlineStr">
        <is>
          <t>SKÖVDE</t>
        </is>
      </c>
      <c r="G12963" t="n">
        <v>1</v>
      </c>
      <c r="H12963" t="n">
        <v>0</v>
      </c>
      <c r="I12963" t="n">
        <v>0</v>
      </c>
      <c r="J12963" t="n">
        <v>0</v>
      </c>
      <c r="K12963" t="n">
        <v>0</v>
      </c>
      <c r="L12963" t="n">
        <v>0</v>
      </c>
      <c r="M12963" t="n">
        <v>0</v>
      </c>
      <c r="N12963" t="n">
        <v>0</v>
      </c>
      <c r="O12963" t="n">
        <v>0</v>
      </c>
      <c r="P12963" t="n">
        <v>0</v>
      </c>
      <c r="Q12963" t="n">
        <v>0</v>
      </c>
      <c r="R12963" s="2" t="inlineStr"/>
    </row>
    <row r="12964" ht="15" customHeight="1">
      <c r="A12964" t="inlineStr">
        <is>
          <t>A 15067-2025</t>
        </is>
      </c>
      <c r="B12964" s="1" t="n">
        <v>45743.76568287037</v>
      </c>
      <c r="C12964" s="1" t="n">
        <v>45952</v>
      </c>
      <c r="D12964" t="inlineStr">
        <is>
          <t>VÄSTRA GÖTALANDS LÄN</t>
        </is>
      </c>
      <c r="E12964" t="inlineStr">
        <is>
          <t>VÄNERSBORG</t>
        </is>
      </c>
      <c r="G12964" t="n">
        <v>1.5</v>
      </c>
      <c r="H12964" t="n">
        <v>0</v>
      </c>
      <c r="I12964" t="n">
        <v>0</v>
      </c>
      <c r="J12964" t="n">
        <v>0</v>
      </c>
      <c r="K12964" t="n">
        <v>0</v>
      </c>
      <c r="L12964" t="n">
        <v>0</v>
      </c>
      <c r="M12964" t="n">
        <v>0</v>
      </c>
      <c r="N12964" t="n">
        <v>0</v>
      </c>
      <c r="O12964" t="n">
        <v>0</v>
      </c>
      <c r="P12964" t="n">
        <v>0</v>
      </c>
      <c r="Q12964" t="n">
        <v>0</v>
      </c>
      <c r="R12964" s="2" t="inlineStr"/>
    </row>
    <row r="12965" ht="15" customHeight="1">
      <c r="A12965" t="inlineStr">
        <is>
          <t>A 18454-2025</t>
        </is>
      </c>
      <c r="B12965" s="1" t="n">
        <v>45762.66724537037</v>
      </c>
      <c r="C12965" s="1" t="n">
        <v>45952</v>
      </c>
      <c r="D12965" t="inlineStr">
        <is>
          <t>VÄSTRA GÖTALANDS LÄN</t>
        </is>
      </c>
      <c r="E12965" t="inlineStr">
        <is>
          <t>TRANEMO</t>
        </is>
      </c>
      <c r="G12965" t="n">
        <v>1.7</v>
      </c>
      <c r="H12965" t="n">
        <v>0</v>
      </c>
      <c r="I12965" t="n">
        <v>0</v>
      </c>
      <c r="J12965" t="n">
        <v>0</v>
      </c>
      <c r="K12965" t="n">
        <v>0</v>
      </c>
      <c r="L12965" t="n">
        <v>0</v>
      </c>
      <c r="M12965" t="n">
        <v>0</v>
      </c>
      <c r="N12965" t="n">
        <v>0</v>
      </c>
      <c r="O12965" t="n">
        <v>0</v>
      </c>
      <c r="P12965" t="n">
        <v>0</v>
      </c>
      <c r="Q12965" t="n">
        <v>0</v>
      </c>
      <c r="R12965" s="2" t="inlineStr"/>
    </row>
    <row r="12966" ht="15" customHeight="1">
      <c r="A12966" t="inlineStr">
        <is>
          <t>A 15378-2025</t>
        </is>
      </c>
      <c r="B12966" s="1" t="n">
        <v>45747.40732638889</v>
      </c>
      <c r="C12966" s="1" t="n">
        <v>45952</v>
      </c>
      <c r="D12966" t="inlineStr">
        <is>
          <t>VÄSTRA GÖTALANDS LÄN</t>
        </is>
      </c>
      <c r="E12966" t="inlineStr">
        <is>
          <t>SVENLJUNGA</t>
        </is>
      </c>
      <c r="G12966" t="n">
        <v>2.1</v>
      </c>
      <c r="H12966" t="n">
        <v>0</v>
      </c>
      <c r="I12966" t="n">
        <v>0</v>
      </c>
      <c r="J12966" t="n">
        <v>0</v>
      </c>
      <c r="K12966" t="n">
        <v>0</v>
      </c>
      <c r="L12966" t="n">
        <v>0</v>
      </c>
      <c r="M12966" t="n">
        <v>0</v>
      </c>
      <c r="N12966" t="n">
        <v>0</v>
      </c>
      <c r="O12966" t="n">
        <v>0</v>
      </c>
      <c r="P12966" t="n">
        <v>0</v>
      </c>
      <c r="Q12966" t="n">
        <v>0</v>
      </c>
      <c r="R12966" s="2" t="inlineStr"/>
    </row>
    <row r="12967" ht="15" customHeight="1">
      <c r="A12967" t="inlineStr">
        <is>
          <t>A 35186-2024</t>
        </is>
      </c>
      <c r="B12967" s="1" t="n">
        <v>45530.45280092592</v>
      </c>
      <c r="C12967" s="1" t="n">
        <v>45952</v>
      </c>
      <c r="D12967" t="inlineStr">
        <is>
          <t>VÄSTRA GÖTALANDS LÄN</t>
        </is>
      </c>
      <c r="E12967" t="inlineStr">
        <is>
          <t>GULLSPÅNG</t>
        </is>
      </c>
      <c r="G12967" t="n">
        <v>1.9</v>
      </c>
      <c r="H12967" t="n">
        <v>0</v>
      </c>
      <c r="I12967" t="n">
        <v>0</v>
      </c>
      <c r="J12967" t="n">
        <v>0</v>
      </c>
      <c r="K12967" t="n">
        <v>0</v>
      </c>
      <c r="L12967" t="n">
        <v>0</v>
      </c>
      <c r="M12967" t="n">
        <v>0</v>
      </c>
      <c r="N12967" t="n">
        <v>0</v>
      </c>
      <c r="O12967" t="n">
        <v>0</v>
      </c>
      <c r="P12967" t="n">
        <v>0</v>
      </c>
      <c r="Q12967" t="n">
        <v>0</v>
      </c>
      <c r="R12967" s="2" t="inlineStr"/>
    </row>
    <row r="12968" ht="15" customHeight="1">
      <c r="A12968" t="inlineStr">
        <is>
          <t>A 32893-2025</t>
        </is>
      </c>
      <c r="B12968" s="1" t="n">
        <v>45839</v>
      </c>
      <c r="C12968" s="1" t="n">
        <v>45952</v>
      </c>
      <c r="D12968" t="inlineStr">
        <is>
          <t>VÄSTRA GÖTALANDS LÄN</t>
        </is>
      </c>
      <c r="E12968" t="inlineStr">
        <is>
          <t>BORÅS</t>
        </is>
      </c>
      <c r="G12968" t="n">
        <v>1.3</v>
      </c>
      <c r="H12968" t="n">
        <v>0</v>
      </c>
      <c r="I12968" t="n">
        <v>0</v>
      </c>
      <c r="J12968" t="n">
        <v>0</v>
      </c>
      <c r="K12968" t="n">
        <v>0</v>
      </c>
      <c r="L12968" t="n">
        <v>0</v>
      </c>
      <c r="M12968" t="n">
        <v>0</v>
      </c>
      <c r="N12968" t="n">
        <v>0</v>
      </c>
      <c r="O12968" t="n">
        <v>0</v>
      </c>
      <c r="P12968" t="n">
        <v>0</v>
      </c>
      <c r="Q12968" t="n">
        <v>0</v>
      </c>
      <c r="R12968" s="2" t="inlineStr"/>
    </row>
    <row r="12969" ht="15" customHeight="1">
      <c r="A12969" t="inlineStr">
        <is>
          <t>A 25624-2025</t>
        </is>
      </c>
      <c r="B12969" s="1" t="n">
        <v>45803.57885416667</v>
      </c>
      <c r="C12969" s="1" t="n">
        <v>45952</v>
      </c>
      <c r="D12969" t="inlineStr">
        <is>
          <t>VÄSTRA GÖTALANDS LÄN</t>
        </is>
      </c>
      <c r="E12969" t="inlineStr">
        <is>
          <t>KUNGÄLV</t>
        </is>
      </c>
      <c r="G12969" t="n">
        <v>5</v>
      </c>
      <c r="H12969" t="n">
        <v>0</v>
      </c>
      <c r="I12969" t="n">
        <v>0</v>
      </c>
      <c r="J12969" t="n">
        <v>0</v>
      </c>
      <c r="K12969" t="n">
        <v>0</v>
      </c>
      <c r="L12969" t="n">
        <v>0</v>
      </c>
      <c r="M12969" t="n">
        <v>0</v>
      </c>
      <c r="N12969" t="n">
        <v>0</v>
      </c>
      <c r="O12969" t="n">
        <v>0</v>
      </c>
      <c r="P12969" t="n">
        <v>0</v>
      </c>
      <c r="Q12969" t="n">
        <v>0</v>
      </c>
      <c r="R12969" s="2" t="inlineStr"/>
    </row>
    <row r="12970" ht="15" customHeight="1">
      <c r="A12970" t="inlineStr">
        <is>
          <t>A 35366-2024</t>
        </is>
      </c>
      <c r="B12970" s="1" t="n">
        <v>45531</v>
      </c>
      <c r="C12970" s="1" t="n">
        <v>45952</v>
      </c>
      <c r="D12970" t="inlineStr">
        <is>
          <t>VÄSTRA GÖTALANDS LÄN</t>
        </is>
      </c>
      <c r="E12970" t="inlineStr">
        <is>
          <t>GULLSPÅNG</t>
        </is>
      </c>
      <c r="G12970" t="n">
        <v>14</v>
      </c>
      <c r="H12970" t="n">
        <v>0</v>
      </c>
      <c r="I12970" t="n">
        <v>0</v>
      </c>
      <c r="J12970" t="n">
        <v>0</v>
      </c>
      <c r="K12970" t="n">
        <v>0</v>
      </c>
      <c r="L12970" t="n">
        <v>0</v>
      </c>
      <c r="M12970" t="n">
        <v>0</v>
      </c>
      <c r="N12970" t="n">
        <v>0</v>
      </c>
      <c r="O12970" t="n">
        <v>0</v>
      </c>
      <c r="P12970" t="n">
        <v>0</v>
      </c>
      <c r="Q12970" t="n">
        <v>0</v>
      </c>
      <c r="R12970" s="2" t="inlineStr"/>
    </row>
    <row r="12971" ht="15" customHeight="1">
      <c r="A12971" t="inlineStr">
        <is>
          <t>A 31230-2021</t>
        </is>
      </c>
      <c r="B12971" s="1" t="n">
        <v>44368</v>
      </c>
      <c r="C12971" s="1" t="n">
        <v>45952</v>
      </c>
      <c r="D12971" t="inlineStr">
        <is>
          <t>VÄSTRA GÖTALANDS LÄN</t>
        </is>
      </c>
      <c r="E12971" t="inlineStr">
        <is>
          <t>FALKÖPING</t>
        </is>
      </c>
      <c r="G12971" t="n">
        <v>0.6</v>
      </c>
      <c r="H12971" t="n">
        <v>0</v>
      </c>
      <c r="I12971" t="n">
        <v>0</v>
      </c>
      <c r="J12971" t="n">
        <v>0</v>
      </c>
      <c r="K12971" t="n">
        <v>0</v>
      </c>
      <c r="L12971" t="n">
        <v>0</v>
      </c>
      <c r="M12971" t="n">
        <v>0</v>
      </c>
      <c r="N12971" t="n">
        <v>0</v>
      </c>
      <c r="O12971" t="n">
        <v>0</v>
      </c>
      <c r="P12971" t="n">
        <v>0</v>
      </c>
      <c r="Q12971" t="n">
        <v>0</v>
      </c>
      <c r="R12971" s="2" t="inlineStr"/>
    </row>
    <row r="12972" ht="15" customHeight="1">
      <c r="A12972" t="inlineStr">
        <is>
          <t>A 57965-2022</t>
        </is>
      </c>
      <c r="B12972" s="1" t="n">
        <v>44900.43638888889</v>
      </c>
      <c r="C12972" s="1" t="n">
        <v>45952</v>
      </c>
      <c r="D12972" t="inlineStr">
        <is>
          <t>VÄSTRA GÖTALANDS LÄN</t>
        </is>
      </c>
      <c r="E12972" t="inlineStr">
        <is>
          <t>TIDAHOLM</t>
        </is>
      </c>
      <c r="F12972" t="inlineStr">
        <is>
          <t>Sveaskog</t>
        </is>
      </c>
      <c r="G12972" t="n">
        <v>0.8</v>
      </c>
      <c r="H12972" t="n">
        <v>0</v>
      </c>
      <c r="I12972" t="n">
        <v>0</v>
      </c>
      <c r="J12972" t="n">
        <v>0</v>
      </c>
      <c r="K12972" t="n">
        <v>0</v>
      </c>
      <c r="L12972" t="n">
        <v>0</v>
      </c>
      <c r="M12972" t="n">
        <v>0</v>
      </c>
      <c r="N12972" t="n">
        <v>0</v>
      </c>
      <c r="O12972" t="n">
        <v>0</v>
      </c>
      <c r="P12972" t="n">
        <v>0</v>
      </c>
      <c r="Q12972" t="n">
        <v>0</v>
      </c>
      <c r="R12972" s="2" t="inlineStr"/>
    </row>
    <row r="12973" ht="15" customHeight="1">
      <c r="A12973" t="inlineStr">
        <is>
          <t>A 58013-2022</t>
        </is>
      </c>
      <c r="B12973" s="1" t="n">
        <v>44900</v>
      </c>
      <c r="C12973" s="1" t="n">
        <v>45952</v>
      </c>
      <c r="D12973" t="inlineStr">
        <is>
          <t>VÄSTRA GÖTALANDS LÄN</t>
        </is>
      </c>
      <c r="E12973" t="inlineStr">
        <is>
          <t>TÖREBODA</t>
        </is>
      </c>
      <c r="G12973" t="n">
        <v>2.5</v>
      </c>
      <c r="H12973" t="n">
        <v>0</v>
      </c>
      <c r="I12973" t="n">
        <v>0</v>
      </c>
      <c r="J12973" t="n">
        <v>0</v>
      </c>
      <c r="K12973" t="n">
        <v>0</v>
      </c>
      <c r="L12973" t="n">
        <v>0</v>
      </c>
      <c r="M12973" t="n">
        <v>0</v>
      </c>
      <c r="N12973" t="n">
        <v>0</v>
      </c>
      <c r="O12973" t="n">
        <v>0</v>
      </c>
      <c r="P12973" t="n">
        <v>0</v>
      </c>
      <c r="Q12973" t="n">
        <v>0</v>
      </c>
      <c r="R12973" s="2" t="inlineStr"/>
    </row>
    <row r="12974" ht="15" customHeight="1">
      <c r="A12974" t="inlineStr">
        <is>
          <t>A 58019-2022</t>
        </is>
      </c>
      <c r="B12974" s="1" t="n">
        <v>44900</v>
      </c>
      <c r="C12974" s="1" t="n">
        <v>45952</v>
      </c>
      <c r="D12974" t="inlineStr">
        <is>
          <t>VÄSTRA GÖTALANDS LÄN</t>
        </is>
      </c>
      <c r="E12974" t="inlineStr">
        <is>
          <t>TÖREBODA</t>
        </is>
      </c>
      <c r="G12974" t="n">
        <v>2</v>
      </c>
      <c r="H12974" t="n">
        <v>0</v>
      </c>
      <c r="I12974" t="n">
        <v>0</v>
      </c>
      <c r="J12974" t="n">
        <v>0</v>
      </c>
      <c r="K12974" t="n">
        <v>0</v>
      </c>
      <c r="L12974" t="n">
        <v>0</v>
      </c>
      <c r="M12974" t="n">
        <v>0</v>
      </c>
      <c r="N12974" t="n">
        <v>0</v>
      </c>
      <c r="O12974" t="n">
        <v>0</v>
      </c>
      <c r="P12974" t="n">
        <v>0</v>
      </c>
      <c r="Q12974" t="n">
        <v>0</v>
      </c>
      <c r="R12974" s="2" t="inlineStr"/>
    </row>
    <row r="12975" ht="15" customHeight="1">
      <c r="A12975" t="inlineStr">
        <is>
          <t>A 27354-2024</t>
        </is>
      </c>
      <c r="B12975" s="1" t="n">
        <v>45473</v>
      </c>
      <c r="C12975" s="1" t="n">
        <v>45952</v>
      </c>
      <c r="D12975" t="inlineStr">
        <is>
          <t>VÄSTRA GÖTALANDS LÄN</t>
        </is>
      </c>
      <c r="E12975" t="inlineStr">
        <is>
          <t>TIDAHOLM</t>
        </is>
      </c>
      <c r="G12975" t="n">
        <v>1.7</v>
      </c>
      <c r="H12975" t="n">
        <v>0</v>
      </c>
      <c r="I12975" t="n">
        <v>0</v>
      </c>
      <c r="J12975" t="n">
        <v>0</v>
      </c>
      <c r="K12975" t="n">
        <v>0</v>
      </c>
      <c r="L12975" t="n">
        <v>0</v>
      </c>
      <c r="M12975" t="n">
        <v>0</v>
      </c>
      <c r="N12975" t="n">
        <v>0</v>
      </c>
      <c r="O12975" t="n">
        <v>0</v>
      </c>
      <c r="P12975" t="n">
        <v>0</v>
      </c>
      <c r="Q12975" t="n">
        <v>0</v>
      </c>
      <c r="R12975" s="2" t="inlineStr"/>
    </row>
    <row r="12976" ht="15" customHeight="1">
      <c r="A12976" t="inlineStr">
        <is>
          <t>A 6463-2025</t>
        </is>
      </c>
      <c r="B12976" s="1" t="n">
        <v>45699.56878472222</v>
      </c>
      <c r="C12976" s="1" t="n">
        <v>45952</v>
      </c>
      <c r="D12976" t="inlineStr">
        <is>
          <t>VÄSTRA GÖTALANDS LÄN</t>
        </is>
      </c>
      <c r="E12976" t="inlineStr">
        <is>
          <t>KARLSBORG</t>
        </is>
      </c>
      <c r="G12976" t="n">
        <v>2.5</v>
      </c>
      <c r="H12976" t="n">
        <v>0</v>
      </c>
      <c r="I12976" t="n">
        <v>0</v>
      </c>
      <c r="J12976" t="n">
        <v>0</v>
      </c>
      <c r="K12976" t="n">
        <v>0</v>
      </c>
      <c r="L12976" t="n">
        <v>0</v>
      </c>
      <c r="M12976" t="n">
        <v>0</v>
      </c>
      <c r="N12976" t="n">
        <v>0</v>
      </c>
      <c r="O12976" t="n">
        <v>0</v>
      </c>
      <c r="P12976" t="n">
        <v>0</v>
      </c>
      <c r="Q12976" t="n">
        <v>0</v>
      </c>
      <c r="R12976" s="2" t="inlineStr"/>
    </row>
    <row r="12977" ht="15" customHeight="1">
      <c r="A12977" t="inlineStr">
        <is>
          <t>A 58074-2022</t>
        </is>
      </c>
      <c r="B12977" s="1" t="n">
        <v>44900.61518518518</v>
      </c>
      <c r="C12977" s="1" t="n">
        <v>45952</v>
      </c>
      <c r="D12977" t="inlineStr">
        <is>
          <t>VÄSTRA GÖTALANDS LÄN</t>
        </is>
      </c>
      <c r="E12977" t="inlineStr">
        <is>
          <t>VÅRGÅRDA</t>
        </is>
      </c>
      <c r="G12977" t="n">
        <v>0.7</v>
      </c>
      <c r="H12977" t="n">
        <v>0</v>
      </c>
      <c r="I12977" t="n">
        <v>0</v>
      </c>
      <c r="J12977" t="n">
        <v>0</v>
      </c>
      <c r="K12977" t="n">
        <v>0</v>
      </c>
      <c r="L12977" t="n">
        <v>0</v>
      </c>
      <c r="M12977" t="n">
        <v>0</v>
      </c>
      <c r="N12977" t="n">
        <v>0</v>
      </c>
      <c r="O12977" t="n">
        <v>0</v>
      </c>
      <c r="P12977" t="n">
        <v>0</v>
      </c>
      <c r="Q12977" t="n">
        <v>0</v>
      </c>
      <c r="R12977" s="2" t="inlineStr"/>
    </row>
    <row r="12978" ht="15" customHeight="1">
      <c r="A12978" t="inlineStr">
        <is>
          <t>A 6497-2025</t>
        </is>
      </c>
      <c r="B12978" s="1" t="n">
        <v>45699.63719907407</v>
      </c>
      <c r="C12978" s="1" t="n">
        <v>45952</v>
      </c>
      <c r="D12978" t="inlineStr">
        <is>
          <t>VÄSTRA GÖTALANDS LÄN</t>
        </is>
      </c>
      <c r="E12978" t="inlineStr">
        <is>
          <t>HJO</t>
        </is>
      </c>
      <c r="G12978" t="n">
        <v>2.6</v>
      </c>
      <c r="H12978" t="n">
        <v>0</v>
      </c>
      <c r="I12978" t="n">
        <v>0</v>
      </c>
      <c r="J12978" t="n">
        <v>0</v>
      </c>
      <c r="K12978" t="n">
        <v>0</v>
      </c>
      <c r="L12978" t="n">
        <v>0</v>
      </c>
      <c r="M12978" t="n">
        <v>0</v>
      </c>
      <c r="N12978" t="n">
        <v>0</v>
      </c>
      <c r="O12978" t="n">
        <v>0</v>
      </c>
      <c r="P12978" t="n">
        <v>0</v>
      </c>
      <c r="Q12978" t="n">
        <v>0</v>
      </c>
      <c r="R12978" s="2" t="inlineStr"/>
    </row>
    <row r="12979" ht="15" customHeight="1">
      <c r="A12979" t="inlineStr">
        <is>
          <t>A 49300-2021</t>
        </is>
      </c>
      <c r="B12979" s="1" t="n">
        <v>44454</v>
      </c>
      <c r="C12979" s="1" t="n">
        <v>45952</v>
      </c>
      <c r="D12979" t="inlineStr">
        <is>
          <t>VÄSTRA GÖTALANDS LÄN</t>
        </is>
      </c>
      <c r="E12979" t="inlineStr">
        <is>
          <t>TIDAHOLM</t>
        </is>
      </c>
      <c r="G12979" t="n">
        <v>2</v>
      </c>
      <c r="H12979" t="n">
        <v>0</v>
      </c>
      <c r="I12979" t="n">
        <v>0</v>
      </c>
      <c r="J12979" t="n">
        <v>0</v>
      </c>
      <c r="K12979" t="n">
        <v>0</v>
      </c>
      <c r="L12979" t="n">
        <v>0</v>
      </c>
      <c r="M12979" t="n">
        <v>0</v>
      </c>
      <c r="N12979" t="n">
        <v>0</v>
      </c>
      <c r="O12979" t="n">
        <v>0</v>
      </c>
      <c r="P12979" t="n">
        <v>0</v>
      </c>
      <c r="Q12979" t="n">
        <v>0</v>
      </c>
      <c r="R12979" s="2" t="inlineStr"/>
    </row>
    <row r="12980" ht="15" customHeight="1">
      <c r="A12980" t="inlineStr">
        <is>
          <t>A 32854-2025</t>
        </is>
      </c>
      <c r="B12980" s="1" t="n">
        <v>45839</v>
      </c>
      <c r="C12980" s="1" t="n">
        <v>45952</v>
      </c>
      <c r="D12980" t="inlineStr">
        <is>
          <t>VÄSTRA GÖTALANDS LÄN</t>
        </is>
      </c>
      <c r="E12980" t="inlineStr">
        <is>
          <t>BORÅS</t>
        </is>
      </c>
      <c r="G12980" t="n">
        <v>1.2</v>
      </c>
      <c r="H12980" t="n">
        <v>0</v>
      </c>
      <c r="I12980" t="n">
        <v>0</v>
      </c>
      <c r="J12980" t="n">
        <v>0</v>
      </c>
      <c r="K12980" t="n">
        <v>0</v>
      </c>
      <c r="L12980" t="n">
        <v>0</v>
      </c>
      <c r="M12980" t="n">
        <v>0</v>
      </c>
      <c r="N12980" t="n">
        <v>0</v>
      </c>
      <c r="O12980" t="n">
        <v>0</v>
      </c>
      <c r="P12980" t="n">
        <v>0</v>
      </c>
      <c r="Q12980" t="n">
        <v>0</v>
      </c>
      <c r="R12980" s="2" t="inlineStr"/>
    </row>
    <row r="12981" ht="15" customHeight="1">
      <c r="A12981" t="inlineStr">
        <is>
          <t>A 43645-2023</t>
        </is>
      </c>
      <c r="B12981" s="1" t="n">
        <v>45186.96988425926</v>
      </c>
      <c r="C12981" s="1" t="n">
        <v>45952</v>
      </c>
      <c r="D12981" t="inlineStr">
        <is>
          <t>VÄSTRA GÖTALANDS LÄN</t>
        </is>
      </c>
      <c r="E12981" t="inlineStr">
        <is>
          <t>BORÅS</t>
        </is>
      </c>
      <c r="G12981" t="n">
        <v>1.2</v>
      </c>
      <c r="H12981" t="n">
        <v>0</v>
      </c>
      <c r="I12981" t="n">
        <v>0</v>
      </c>
      <c r="J12981" t="n">
        <v>0</v>
      </c>
      <c r="K12981" t="n">
        <v>0</v>
      </c>
      <c r="L12981" t="n">
        <v>0</v>
      </c>
      <c r="M12981" t="n">
        <v>0</v>
      </c>
      <c r="N12981" t="n">
        <v>0</v>
      </c>
      <c r="O12981" t="n">
        <v>0</v>
      </c>
      <c r="P12981" t="n">
        <v>0</v>
      </c>
      <c r="Q12981" t="n">
        <v>0</v>
      </c>
      <c r="R12981" s="2" t="inlineStr"/>
    </row>
    <row r="12982" ht="15" customHeight="1">
      <c r="A12982" t="inlineStr">
        <is>
          <t>A 61908-2021</t>
        </is>
      </c>
      <c r="B12982" s="1" t="n">
        <v>44501</v>
      </c>
      <c r="C12982" s="1" t="n">
        <v>45952</v>
      </c>
      <c r="D12982" t="inlineStr">
        <is>
          <t>VÄSTRA GÖTALANDS LÄN</t>
        </is>
      </c>
      <c r="E12982" t="inlineStr">
        <is>
          <t>ULRICEHAMN</t>
        </is>
      </c>
      <c r="G12982" t="n">
        <v>10.1</v>
      </c>
      <c r="H12982" t="n">
        <v>0</v>
      </c>
      <c r="I12982" t="n">
        <v>0</v>
      </c>
      <c r="J12982" t="n">
        <v>0</v>
      </c>
      <c r="K12982" t="n">
        <v>0</v>
      </c>
      <c r="L12982" t="n">
        <v>0</v>
      </c>
      <c r="M12982" t="n">
        <v>0</v>
      </c>
      <c r="N12982" t="n">
        <v>0</v>
      </c>
      <c r="O12982" t="n">
        <v>0</v>
      </c>
      <c r="P12982" t="n">
        <v>0</v>
      </c>
      <c r="Q12982" t="n">
        <v>0</v>
      </c>
      <c r="R12982" s="2" t="inlineStr"/>
    </row>
    <row r="12983" ht="15" customHeight="1">
      <c r="A12983" t="inlineStr">
        <is>
          <t>A 62313-2020</t>
        </is>
      </c>
      <c r="B12983" s="1" t="n">
        <v>44160</v>
      </c>
      <c r="C12983" s="1" t="n">
        <v>45952</v>
      </c>
      <c r="D12983" t="inlineStr">
        <is>
          <t>VÄSTRA GÖTALANDS LÄN</t>
        </is>
      </c>
      <c r="E12983" t="inlineStr">
        <is>
          <t>MUNKEDAL</t>
        </is>
      </c>
      <c r="G12983" t="n">
        <v>5.9</v>
      </c>
      <c r="H12983" t="n">
        <v>0</v>
      </c>
      <c r="I12983" t="n">
        <v>0</v>
      </c>
      <c r="J12983" t="n">
        <v>0</v>
      </c>
      <c r="K12983" t="n">
        <v>0</v>
      </c>
      <c r="L12983" t="n">
        <v>0</v>
      </c>
      <c r="M12983" t="n">
        <v>0</v>
      </c>
      <c r="N12983" t="n">
        <v>0</v>
      </c>
      <c r="O12983" t="n">
        <v>0</v>
      </c>
      <c r="P12983" t="n">
        <v>0</v>
      </c>
      <c r="Q12983" t="n">
        <v>0</v>
      </c>
      <c r="R12983" s="2" t="inlineStr"/>
    </row>
    <row r="12984" ht="15" customHeight="1">
      <c r="A12984" t="inlineStr">
        <is>
          <t>A 55511-2023</t>
        </is>
      </c>
      <c r="B12984" s="1" t="n">
        <v>45238.57581018518</v>
      </c>
      <c r="C12984" s="1" t="n">
        <v>45952</v>
      </c>
      <c r="D12984" t="inlineStr">
        <is>
          <t>VÄSTRA GÖTALANDS LÄN</t>
        </is>
      </c>
      <c r="E12984" t="inlineStr">
        <is>
          <t>GÖTENE</t>
        </is>
      </c>
      <c r="G12984" t="n">
        <v>3.6</v>
      </c>
      <c r="H12984" t="n">
        <v>0</v>
      </c>
      <c r="I12984" t="n">
        <v>0</v>
      </c>
      <c r="J12984" t="n">
        <v>0</v>
      </c>
      <c r="K12984" t="n">
        <v>0</v>
      </c>
      <c r="L12984" t="n">
        <v>0</v>
      </c>
      <c r="M12984" t="n">
        <v>0</v>
      </c>
      <c r="N12984" t="n">
        <v>0</v>
      </c>
      <c r="O12984" t="n">
        <v>0</v>
      </c>
      <c r="P12984" t="n">
        <v>0</v>
      </c>
      <c r="Q12984" t="n">
        <v>0</v>
      </c>
      <c r="R12984" s="2" t="inlineStr"/>
    </row>
    <row r="12985" ht="15" customHeight="1">
      <c r="A12985" t="inlineStr">
        <is>
          <t>A 53791-2023</t>
        </is>
      </c>
      <c r="B12985" s="1" t="n">
        <v>45231</v>
      </c>
      <c r="C12985" s="1" t="n">
        <v>45952</v>
      </c>
      <c r="D12985" t="inlineStr">
        <is>
          <t>VÄSTRA GÖTALANDS LÄN</t>
        </is>
      </c>
      <c r="E12985" t="inlineStr">
        <is>
          <t>TÖREBODA</t>
        </is>
      </c>
      <c r="F12985" t="inlineStr">
        <is>
          <t>Sveaskog</t>
        </is>
      </c>
      <c r="G12985" t="n">
        <v>1.5</v>
      </c>
      <c r="H12985" t="n">
        <v>0</v>
      </c>
      <c r="I12985" t="n">
        <v>0</v>
      </c>
      <c r="J12985" t="n">
        <v>0</v>
      </c>
      <c r="K12985" t="n">
        <v>0</v>
      </c>
      <c r="L12985" t="n">
        <v>0</v>
      </c>
      <c r="M12985" t="n">
        <v>0</v>
      </c>
      <c r="N12985" t="n">
        <v>0</v>
      </c>
      <c r="O12985" t="n">
        <v>0</v>
      </c>
      <c r="P12985" t="n">
        <v>0</v>
      </c>
      <c r="Q12985" t="n">
        <v>0</v>
      </c>
      <c r="R12985" s="2" t="inlineStr"/>
    </row>
    <row r="12986" ht="15" customHeight="1">
      <c r="A12986" t="inlineStr">
        <is>
          <t>A 7168-2023</t>
        </is>
      </c>
      <c r="B12986" s="1" t="n">
        <v>44965</v>
      </c>
      <c r="C12986" s="1" t="n">
        <v>45952</v>
      </c>
      <c r="D12986" t="inlineStr">
        <is>
          <t>VÄSTRA GÖTALANDS LÄN</t>
        </is>
      </c>
      <c r="E12986" t="inlineStr">
        <is>
          <t>MARIESTAD</t>
        </is>
      </c>
      <c r="G12986" t="n">
        <v>1.4</v>
      </c>
      <c r="H12986" t="n">
        <v>0</v>
      </c>
      <c r="I12986" t="n">
        <v>0</v>
      </c>
      <c r="J12986" t="n">
        <v>0</v>
      </c>
      <c r="K12986" t="n">
        <v>0</v>
      </c>
      <c r="L12986" t="n">
        <v>0</v>
      </c>
      <c r="M12986" t="n">
        <v>0</v>
      </c>
      <c r="N12986" t="n">
        <v>0</v>
      </c>
      <c r="O12986" t="n">
        <v>0</v>
      </c>
      <c r="P12986" t="n">
        <v>0</v>
      </c>
      <c r="Q12986" t="n">
        <v>0</v>
      </c>
      <c r="R12986" s="2" t="inlineStr"/>
    </row>
    <row r="12987" ht="15" customHeight="1">
      <c r="A12987" t="inlineStr">
        <is>
          <t>A 35830-2025</t>
        </is>
      </c>
      <c r="B12987" s="1" t="n">
        <v>45861.49597222222</v>
      </c>
      <c r="C12987" s="1" t="n">
        <v>45952</v>
      </c>
      <c r="D12987" t="inlineStr">
        <is>
          <t>VÄSTRA GÖTALANDS LÄN</t>
        </is>
      </c>
      <c r="E12987" t="inlineStr">
        <is>
          <t>TRANEMO</t>
        </is>
      </c>
      <c r="G12987" t="n">
        <v>1.3</v>
      </c>
      <c r="H12987" t="n">
        <v>0</v>
      </c>
      <c r="I12987" t="n">
        <v>0</v>
      </c>
      <c r="J12987" t="n">
        <v>0</v>
      </c>
      <c r="K12987" t="n">
        <v>0</v>
      </c>
      <c r="L12987" t="n">
        <v>0</v>
      </c>
      <c r="M12987" t="n">
        <v>0</v>
      </c>
      <c r="N12987" t="n">
        <v>0</v>
      </c>
      <c r="O12987" t="n">
        <v>0</v>
      </c>
      <c r="P12987" t="n">
        <v>0</v>
      </c>
      <c r="Q12987" t="n">
        <v>0</v>
      </c>
      <c r="R12987" s="2" t="inlineStr"/>
    </row>
    <row r="12988" ht="15" customHeight="1">
      <c r="A12988" t="inlineStr">
        <is>
          <t>A 20063-2025</t>
        </is>
      </c>
      <c r="B12988" s="1" t="n">
        <v>45772</v>
      </c>
      <c r="C12988" s="1" t="n">
        <v>45952</v>
      </c>
      <c r="D12988" t="inlineStr">
        <is>
          <t>VÄSTRA GÖTALANDS LÄN</t>
        </is>
      </c>
      <c r="E12988" t="inlineStr">
        <is>
          <t>SKARA</t>
        </is>
      </c>
      <c r="G12988" t="n">
        <v>3.4</v>
      </c>
      <c r="H12988" t="n">
        <v>0</v>
      </c>
      <c r="I12988" t="n">
        <v>0</v>
      </c>
      <c r="J12988" t="n">
        <v>0</v>
      </c>
      <c r="K12988" t="n">
        <v>0</v>
      </c>
      <c r="L12988" t="n">
        <v>0</v>
      </c>
      <c r="M12988" t="n">
        <v>0</v>
      </c>
      <c r="N12988" t="n">
        <v>0</v>
      </c>
      <c r="O12988" t="n">
        <v>0</v>
      </c>
      <c r="P12988" t="n">
        <v>0</v>
      </c>
      <c r="Q12988" t="n">
        <v>0</v>
      </c>
      <c r="R12988" s="2" t="inlineStr"/>
    </row>
    <row r="12989" ht="15" customHeight="1">
      <c r="A12989" t="inlineStr">
        <is>
          <t>A 35857-2025</t>
        </is>
      </c>
      <c r="B12989" s="1" t="n">
        <v>45861.62144675926</v>
      </c>
      <c r="C12989" s="1" t="n">
        <v>45952</v>
      </c>
      <c r="D12989" t="inlineStr">
        <is>
          <t>VÄSTRA GÖTALANDS LÄN</t>
        </is>
      </c>
      <c r="E12989" t="inlineStr">
        <is>
          <t>ULRICEHAMN</t>
        </is>
      </c>
      <c r="G12989" t="n">
        <v>1.2</v>
      </c>
      <c r="H12989" t="n">
        <v>0</v>
      </c>
      <c r="I12989" t="n">
        <v>0</v>
      </c>
      <c r="J12989" t="n">
        <v>0</v>
      </c>
      <c r="K12989" t="n">
        <v>0</v>
      </c>
      <c r="L12989" t="n">
        <v>0</v>
      </c>
      <c r="M12989" t="n">
        <v>0</v>
      </c>
      <c r="N12989" t="n">
        <v>0</v>
      </c>
      <c r="O12989" t="n">
        <v>0</v>
      </c>
      <c r="P12989" t="n">
        <v>0</v>
      </c>
      <c r="Q12989" t="n">
        <v>0</v>
      </c>
      <c r="R12989" s="2" t="inlineStr"/>
    </row>
    <row r="12990" ht="15" customHeight="1">
      <c r="A12990" t="inlineStr">
        <is>
          <t>A 35793-2025</t>
        </is>
      </c>
      <c r="B12990" s="1" t="n">
        <v>45861.36361111111</v>
      </c>
      <c r="C12990" s="1" t="n">
        <v>45952</v>
      </c>
      <c r="D12990" t="inlineStr">
        <is>
          <t>VÄSTRA GÖTALANDS LÄN</t>
        </is>
      </c>
      <c r="E12990" t="inlineStr">
        <is>
          <t>TIDAHOLM</t>
        </is>
      </c>
      <c r="F12990" t="inlineStr">
        <is>
          <t>Sveaskog</t>
        </is>
      </c>
      <c r="G12990" t="n">
        <v>1.4</v>
      </c>
      <c r="H12990" t="n">
        <v>0</v>
      </c>
      <c r="I12990" t="n">
        <v>0</v>
      </c>
      <c r="J12990" t="n">
        <v>0</v>
      </c>
      <c r="K12990" t="n">
        <v>0</v>
      </c>
      <c r="L12990" t="n">
        <v>0</v>
      </c>
      <c r="M12990" t="n">
        <v>0</v>
      </c>
      <c r="N12990" t="n">
        <v>0</v>
      </c>
      <c r="O12990" t="n">
        <v>0</v>
      </c>
      <c r="P12990" t="n">
        <v>0</v>
      </c>
      <c r="Q12990" t="n">
        <v>0</v>
      </c>
      <c r="R12990" s="2" t="inlineStr"/>
    </row>
    <row r="12991" ht="15" customHeight="1">
      <c r="A12991" t="inlineStr">
        <is>
          <t>A 35795-2025</t>
        </is>
      </c>
      <c r="B12991" s="1" t="n">
        <v>45861.36568287037</v>
      </c>
      <c r="C12991" s="1" t="n">
        <v>45952</v>
      </c>
      <c r="D12991" t="inlineStr">
        <is>
          <t>VÄSTRA GÖTALANDS LÄN</t>
        </is>
      </c>
      <c r="E12991" t="inlineStr">
        <is>
          <t>TIDAHOLM</t>
        </is>
      </c>
      <c r="F12991" t="inlineStr">
        <is>
          <t>Sveaskog</t>
        </is>
      </c>
      <c r="G12991" t="n">
        <v>1</v>
      </c>
      <c r="H12991" t="n">
        <v>0</v>
      </c>
      <c r="I12991" t="n">
        <v>0</v>
      </c>
      <c r="J12991" t="n">
        <v>0</v>
      </c>
      <c r="K12991" t="n">
        <v>0</v>
      </c>
      <c r="L12991" t="n">
        <v>0</v>
      </c>
      <c r="M12991" t="n">
        <v>0</v>
      </c>
      <c r="N12991" t="n">
        <v>0</v>
      </c>
      <c r="O12991" t="n">
        <v>0</v>
      </c>
      <c r="P12991" t="n">
        <v>0</v>
      </c>
      <c r="Q12991" t="n">
        <v>0</v>
      </c>
      <c r="R12991" s="2" t="inlineStr"/>
    </row>
    <row r="12992" ht="15" customHeight="1">
      <c r="A12992" t="inlineStr">
        <is>
          <t>A 12090-2024</t>
        </is>
      </c>
      <c r="B12992" s="1" t="n">
        <v>45377.56537037037</v>
      </c>
      <c r="C12992" s="1" t="n">
        <v>45952</v>
      </c>
      <c r="D12992" t="inlineStr">
        <is>
          <t>VÄSTRA GÖTALANDS LÄN</t>
        </is>
      </c>
      <c r="E12992" t="inlineStr">
        <is>
          <t>HÄRRYDA</t>
        </is>
      </c>
      <c r="G12992" t="n">
        <v>0.5</v>
      </c>
      <c r="H12992" t="n">
        <v>0</v>
      </c>
      <c r="I12992" t="n">
        <v>0</v>
      </c>
      <c r="J12992" t="n">
        <v>0</v>
      </c>
      <c r="K12992" t="n">
        <v>0</v>
      </c>
      <c r="L12992" t="n">
        <v>0</v>
      </c>
      <c r="M12992" t="n">
        <v>0</v>
      </c>
      <c r="N12992" t="n">
        <v>0</v>
      </c>
      <c r="O12992" t="n">
        <v>0</v>
      </c>
      <c r="P12992" t="n">
        <v>0</v>
      </c>
      <c r="Q12992" t="n">
        <v>0</v>
      </c>
      <c r="R12992" s="2" t="inlineStr"/>
    </row>
    <row r="12993" ht="15" customHeight="1">
      <c r="A12993" t="inlineStr">
        <is>
          <t>A 13954-2024</t>
        </is>
      </c>
      <c r="B12993" s="1" t="n">
        <v>45392.32304398148</v>
      </c>
      <c r="C12993" s="1" t="n">
        <v>45952</v>
      </c>
      <c r="D12993" t="inlineStr">
        <is>
          <t>VÄSTRA GÖTALANDS LÄN</t>
        </is>
      </c>
      <c r="E12993" t="inlineStr">
        <is>
          <t>BORÅS</t>
        </is>
      </c>
      <c r="G12993" t="n">
        <v>1.2</v>
      </c>
      <c r="H12993" t="n">
        <v>0</v>
      </c>
      <c r="I12993" t="n">
        <v>0</v>
      </c>
      <c r="J12993" t="n">
        <v>0</v>
      </c>
      <c r="K12993" t="n">
        <v>0</v>
      </c>
      <c r="L12993" t="n">
        <v>0</v>
      </c>
      <c r="M12993" t="n">
        <v>0</v>
      </c>
      <c r="N12993" t="n">
        <v>0</v>
      </c>
      <c r="O12993" t="n">
        <v>0</v>
      </c>
      <c r="P12993" t="n">
        <v>0</v>
      </c>
      <c r="Q12993" t="n">
        <v>0</v>
      </c>
      <c r="R12993" s="2" t="inlineStr"/>
    </row>
    <row r="12994" ht="15" customHeight="1">
      <c r="A12994" t="inlineStr">
        <is>
          <t>A 16279-2021</t>
        </is>
      </c>
      <c r="B12994" s="1" t="n">
        <v>44292.64375</v>
      </c>
      <c r="C12994" s="1" t="n">
        <v>45952</v>
      </c>
      <c r="D12994" t="inlineStr">
        <is>
          <t>VÄSTRA GÖTALANDS LÄN</t>
        </is>
      </c>
      <c r="E12994" t="inlineStr">
        <is>
          <t>SKÖVDE</t>
        </is>
      </c>
      <c r="G12994" t="n">
        <v>1.4</v>
      </c>
      <c r="H12994" t="n">
        <v>0</v>
      </c>
      <c r="I12994" t="n">
        <v>0</v>
      </c>
      <c r="J12994" t="n">
        <v>0</v>
      </c>
      <c r="K12994" t="n">
        <v>0</v>
      </c>
      <c r="L12994" t="n">
        <v>0</v>
      </c>
      <c r="M12994" t="n">
        <v>0</v>
      </c>
      <c r="N12994" t="n">
        <v>0</v>
      </c>
      <c r="O12994" t="n">
        <v>0</v>
      </c>
      <c r="P12994" t="n">
        <v>0</v>
      </c>
      <c r="Q12994" t="n">
        <v>0</v>
      </c>
      <c r="R12994" s="2" t="inlineStr"/>
    </row>
    <row r="12995" ht="15" customHeight="1">
      <c r="A12995" t="inlineStr">
        <is>
          <t>A 12124-2024</t>
        </is>
      </c>
      <c r="B12995" s="1" t="n">
        <v>45377</v>
      </c>
      <c r="C12995" s="1" t="n">
        <v>45952</v>
      </c>
      <c r="D12995" t="inlineStr">
        <is>
          <t>VÄSTRA GÖTALANDS LÄN</t>
        </is>
      </c>
      <c r="E12995" t="inlineStr">
        <is>
          <t>BOLLEBYGD</t>
        </is>
      </c>
      <c r="F12995" t="inlineStr">
        <is>
          <t>Kommuner</t>
        </is>
      </c>
      <c r="G12995" t="n">
        <v>2.9</v>
      </c>
      <c r="H12995" t="n">
        <v>0</v>
      </c>
      <c r="I12995" t="n">
        <v>0</v>
      </c>
      <c r="J12995" t="n">
        <v>0</v>
      </c>
      <c r="K12995" t="n">
        <v>0</v>
      </c>
      <c r="L12995" t="n">
        <v>0</v>
      </c>
      <c r="M12995" t="n">
        <v>0</v>
      </c>
      <c r="N12995" t="n">
        <v>0</v>
      </c>
      <c r="O12995" t="n">
        <v>0</v>
      </c>
      <c r="P12995" t="n">
        <v>0</v>
      </c>
      <c r="Q12995" t="n">
        <v>0</v>
      </c>
      <c r="R12995" s="2" t="inlineStr"/>
    </row>
    <row r="12996" ht="15" customHeight="1">
      <c r="A12996" t="inlineStr">
        <is>
          <t>A 12128-2024</t>
        </is>
      </c>
      <c r="B12996" s="1" t="n">
        <v>45377.64844907408</v>
      </c>
      <c r="C12996" s="1" t="n">
        <v>45952</v>
      </c>
      <c r="D12996" t="inlineStr">
        <is>
          <t>VÄSTRA GÖTALANDS LÄN</t>
        </is>
      </c>
      <c r="E12996" t="inlineStr">
        <is>
          <t>TRANEMO</t>
        </is>
      </c>
      <c r="G12996" t="n">
        <v>1.2</v>
      </c>
      <c r="H12996" t="n">
        <v>0</v>
      </c>
      <c r="I12996" t="n">
        <v>0</v>
      </c>
      <c r="J12996" t="n">
        <v>0</v>
      </c>
      <c r="K12996" t="n">
        <v>0</v>
      </c>
      <c r="L12996" t="n">
        <v>0</v>
      </c>
      <c r="M12996" t="n">
        <v>0</v>
      </c>
      <c r="N12996" t="n">
        <v>0</v>
      </c>
      <c r="O12996" t="n">
        <v>0</v>
      </c>
      <c r="P12996" t="n">
        <v>0</v>
      </c>
      <c r="Q12996" t="n">
        <v>0</v>
      </c>
      <c r="R12996" s="2" t="inlineStr"/>
    </row>
    <row r="12997" ht="15" customHeight="1">
      <c r="A12997" t="inlineStr">
        <is>
          <t>A 12130-2024</t>
        </is>
      </c>
      <c r="B12997" s="1" t="n">
        <v>45377.64953703704</v>
      </c>
      <c r="C12997" s="1" t="n">
        <v>45952</v>
      </c>
      <c r="D12997" t="inlineStr">
        <is>
          <t>VÄSTRA GÖTALANDS LÄN</t>
        </is>
      </c>
      <c r="E12997" t="inlineStr">
        <is>
          <t>TRANEMO</t>
        </is>
      </c>
      <c r="G12997" t="n">
        <v>1</v>
      </c>
      <c r="H12997" t="n">
        <v>0</v>
      </c>
      <c r="I12997" t="n">
        <v>0</v>
      </c>
      <c r="J12997" t="n">
        <v>0</v>
      </c>
      <c r="K12997" t="n">
        <v>0</v>
      </c>
      <c r="L12997" t="n">
        <v>0</v>
      </c>
      <c r="M12997" t="n">
        <v>0</v>
      </c>
      <c r="N12997" t="n">
        <v>0</v>
      </c>
      <c r="O12997" t="n">
        <v>0</v>
      </c>
      <c r="P12997" t="n">
        <v>0</v>
      </c>
      <c r="Q12997" t="n">
        <v>0</v>
      </c>
      <c r="R12997" s="2" t="inlineStr"/>
    </row>
    <row r="12998" ht="15" customHeight="1">
      <c r="A12998" t="inlineStr">
        <is>
          <t>A 18734-2023</t>
        </is>
      </c>
      <c r="B12998" s="1" t="n">
        <v>45043</v>
      </c>
      <c r="C12998" s="1" t="n">
        <v>45952</v>
      </c>
      <c r="D12998" t="inlineStr">
        <is>
          <t>VÄSTRA GÖTALANDS LÄN</t>
        </is>
      </c>
      <c r="E12998" t="inlineStr">
        <is>
          <t>SKARA</t>
        </is>
      </c>
      <c r="G12998" t="n">
        <v>2.1</v>
      </c>
      <c r="H12998" t="n">
        <v>0</v>
      </c>
      <c r="I12998" t="n">
        <v>0</v>
      </c>
      <c r="J12998" t="n">
        <v>0</v>
      </c>
      <c r="K12998" t="n">
        <v>0</v>
      </c>
      <c r="L12998" t="n">
        <v>0</v>
      </c>
      <c r="M12998" t="n">
        <v>0</v>
      </c>
      <c r="N12998" t="n">
        <v>0</v>
      </c>
      <c r="O12998" t="n">
        <v>0</v>
      </c>
      <c r="P12998" t="n">
        <v>0</v>
      </c>
      <c r="Q12998" t="n">
        <v>0</v>
      </c>
      <c r="R12998" s="2" t="inlineStr"/>
    </row>
    <row r="12999" ht="15" customHeight="1">
      <c r="A12999" t="inlineStr">
        <is>
          <t>A 11797-2024</t>
        </is>
      </c>
      <c r="B12999" s="1" t="n">
        <v>45375.38054398148</v>
      </c>
      <c r="C12999" s="1" t="n">
        <v>45952</v>
      </c>
      <c r="D12999" t="inlineStr">
        <is>
          <t>VÄSTRA GÖTALANDS LÄN</t>
        </is>
      </c>
      <c r="E12999" t="inlineStr">
        <is>
          <t>VÅRGÅRDA</t>
        </is>
      </c>
      <c r="G12999" t="n">
        <v>0.5</v>
      </c>
      <c r="H12999" t="n">
        <v>0</v>
      </c>
      <c r="I12999" t="n">
        <v>0</v>
      </c>
      <c r="J12999" t="n">
        <v>0</v>
      </c>
      <c r="K12999" t="n">
        <v>0</v>
      </c>
      <c r="L12999" t="n">
        <v>0</v>
      </c>
      <c r="M12999" t="n">
        <v>0</v>
      </c>
      <c r="N12999" t="n">
        <v>0</v>
      </c>
      <c r="O12999" t="n">
        <v>0</v>
      </c>
      <c r="P12999" t="n">
        <v>0</v>
      </c>
      <c r="Q12999" t="n">
        <v>0</v>
      </c>
      <c r="R12999" s="2" t="inlineStr"/>
    </row>
    <row r="13000" ht="15" customHeight="1">
      <c r="A13000" t="inlineStr">
        <is>
          <t>A 50909-2023</t>
        </is>
      </c>
      <c r="B13000" s="1" t="n">
        <v>45218.42068287037</v>
      </c>
      <c r="C13000" s="1" t="n">
        <v>45952</v>
      </c>
      <c r="D13000" t="inlineStr">
        <is>
          <t>VÄSTRA GÖTALANDS LÄN</t>
        </is>
      </c>
      <c r="E13000" t="inlineStr">
        <is>
          <t>VARA</t>
        </is>
      </c>
      <c r="G13000" t="n">
        <v>2.4</v>
      </c>
      <c r="H13000" t="n">
        <v>0</v>
      </c>
      <c r="I13000" t="n">
        <v>0</v>
      </c>
      <c r="J13000" t="n">
        <v>0</v>
      </c>
      <c r="K13000" t="n">
        <v>0</v>
      </c>
      <c r="L13000" t="n">
        <v>0</v>
      </c>
      <c r="M13000" t="n">
        <v>0</v>
      </c>
      <c r="N13000" t="n">
        <v>0</v>
      </c>
      <c r="O13000" t="n">
        <v>0</v>
      </c>
      <c r="P13000" t="n">
        <v>0</v>
      </c>
      <c r="Q13000" t="n">
        <v>0</v>
      </c>
      <c r="R13000" s="2" t="inlineStr"/>
    </row>
    <row r="13001" ht="15" customHeight="1">
      <c r="A13001" t="inlineStr">
        <is>
          <t>A 35717-2025</t>
        </is>
      </c>
      <c r="B13001" s="1" t="n">
        <v>45860.42960648148</v>
      </c>
      <c r="C13001" s="1" t="n">
        <v>45952</v>
      </c>
      <c r="D13001" t="inlineStr">
        <is>
          <t>VÄSTRA GÖTALANDS LÄN</t>
        </is>
      </c>
      <c r="E13001" t="inlineStr">
        <is>
          <t>LILLA EDET</t>
        </is>
      </c>
      <c r="G13001" t="n">
        <v>0.6</v>
      </c>
      <c r="H13001" t="n">
        <v>0</v>
      </c>
      <c r="I13001" t="n">
        <v>0</v>
      </c>
      <c r="J13001" t="n">
        <v>0</v>
      </c>
      <c r="K13001" t="n">
        <v>0</v>
      </c>
      <c r="L13001" t="n">
        <v>0</v>
      </c>
      <c r="M13001" t="n">
        <v>0</v>
      </c>
      <c r="N13001" t="n">
        <v>0</v>
      </c>
      <c r="O13001" t="n">
        <v>0</v>
      </c>
      <c r="P13001" t="n">
        <v>0</v>
      </c>
      <c r="Q13001" t="n">
        <v>0</v>
      </c>
      <c r="R13001" s="2" t="inlineStr"/>
    </row>
    <row r="13002" ht="15" customHeight="1">
      <c r="A13002" t="inlineStr">
        <is>
          <t>A 12727-2024</t>
        </is>
      </c>
      <c r="B13002" s="1" t="n">
        <v>45384.48908564815</v>
      </c>
      <c r="C13002" s="1" t="n">
        <v>45952</v>
      </c>
      <c r="D13002" t="inlineStr">
        <is>
          <t>VÄSTRA GÖTALANDS LÄN</t>
        </is>
      </c>
      <c r="E13002" t="inlineStr">
        <is>
          <t>ULRICEHAMN</t>
        </is>
      </c>
      <c r="G13002" t="n">
        <v>2.5</v>
      </c>
      <c r="H13002" t="n">
        <v>0</v>
      </c>
      <c r="I13002" t="n">
        <v>0</v>
      </c>
      <c r="J13002" t="n">
        <v>0</v>
      </c>
      <c r="K13002" t="n">
        <v>0</v>
      </c>
      <c r="L13002" t="n">
        <v>0</v>
      </c>
      <c r="M13002" t="n">
        <v>0</v>
      </c>
      <c r="N13002" t="n">
        <v>0</v>
      </c>
      <c r="O13002" t="n">
        <v>0</v>
      </c>
      <c r="P13002" t="n">
        <v>0</v>
      </c>
      <c r="Q13002" t="n">
        <v>0</v>
      </c>
      <c r="R13002" s="2" t="inlineStr"/>
    </row>
    <row r="13003" ht="15" customHeight="1">
      <c r="A13003" t="inlineStr">
        <is>
          <t>A 12765-2024</t>
        </is>
      </c>
      <c r="B13003" s="1" t="n">
        <v>45384.58055555556</v>
      </c>
      <c r="C13003" s="1" t="n">
        <v>45952</v>
      </c>
      <c r="D13003" t="inlineStr">
        <is>
          <t>VÄSTRA GÖTALANDS LÄN</t>
        </is>
      </c>
      <c r="E13003" t="inlineStr">
        <is>
          <t>FALKÖPING</t>
        </is>
      </c>
      <c r="G13003" t="n">
        <v>2.1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62516-2023</t>
        </is>
      </c>
      <c r="B13004" s="1" t="n">
        <v>45267</v>
      </c>
      <c r="C13004" s="1" t="n">
        <v>45952</v>
      </c>
      <c r="D13004" t="inlineStr">
        <is>
          <t>VÄSTRA GÖTALANDS LÄN</t>
        </is>
      </c>
      <c r="E13004" t="inlineStr">
        <is>
          <t>TANUM</t>
        </is>
      </c>
      <c r="G13004" t="n">
        <v>1</v>
      </c>
      <c r="H13004" t="n">
        <v>0</v>
      </c>
      <c r="I13004" t="n">
        <v>0</v>
      </c>
      <c r="J13004" t="n">
        <v>0</v>
      </c>
      <c r="K13004" t="n">
        <v>0</v>
      </c>
      <c r="L13004" t="n">
        <v>0</v>
      </c>
      <c r="M13004" t="n">
        <v>0</v>
      </c>
      <c r="N13004" t="n">
        <v>0</v>
      </c>
      <c r="O13004" t="n">
        <v>0</v>
      </c>
      <c r="P13004" t="n">
        <v>0</v>
      </c>
      <c r="Q13004" t="n">
        <v>0</v>
      </c>
      <c r="R13004" s="2" t="inlineStr"/>
    </row>
    <row r="13005" ht="15" customHeight="1">
      <c r="A13005" t="inlineStr">
        <is>
          <t>A 50960-2023</t>
        </is>
      </c>
      <c r="B13005" s="1" t="n">
        <v>45218.48347222222</v>
      </c>
      <c r="C13005" s="1" t="n">
        <v>45952</v>
      </c>
      <c r="D13005" t="inlineStr">
        <is>
          <t>VÄSTRA GÖTALANDS LÄN</t>
        </is>
      </c>
      <c r="E13005" t="inlineStr">
        <is>
          <t>BENGTSFORS</t>
        </is>
      </c>
      <c r="G13005" t="n">
        <v>1.7</v>
      </c>
      <c r="H13005" t="n">
        <v>0</v>
      </c>
      <c r="I13005" t="n">
        <v>0</v>
      </c>
      <c r="J13005" t="n">
        <v>0</v>
      </c>
      <c r="K13005" t="n">
        <v>0</v>
      </c>
      <c r="L13005" t="n">
        <v>0</v>
      </c>
      <c r="M13005" t="n">
        <v>0</v>
      </c>
      <c r="N13005" t="n">
        <v>0</v>
      </c>
      <c r="O13005" t="n">
        <v>0</v>
      </c>
      <c r="P13005" t="n">
        <v>0</v>
      </c>
      <c r="Q13005" t="n">
        <v>0</v>
      </c>
      <c r="R13005" s="2" t="inlineStr"/>
    </row>
    <row r="13006" ht="15" customHeight="1">
      <c r="A13006" t="inlineStr">
        <is>
          <t>A 21370-2022</t>
        </is>
      </c>
      <c r="B13006" s="1" t="n">
        <v>44705.70888888889</v>
      </c>
      <c r="C13006" s="1" t="n">
        <v>45952</v>
      </c>
      <c r="D13006" t="inlineStr">
        <is>
          <t>VÄSTRA GÖTALANDS LÄN</t>
        </is>
      </c>
      <c r="E13006" t="inlineStr">
        <is>
          <t>DALS-ED</t>
        </is>
      </c>
      <c r="G13006" t="n">
        <v>2.2</v>
      </c>
      <c r="H13006" t="n">
        <v>0</v>
      </c>
      <c r="I13006" t="n">
        <v>0</v>
      </c>
      <c r="J13006" t="n">
        <v>0</v>
      </c>
      <c r="K13006" t="n">
        <v>0</v>
      </c>
      <c r="L13006" t="n">
        <v>0</v>
      </c>
      <c r="M13006" t="n">
        <v>0</v>
      </c>
      <c r="N13006" t="n">
        <v>0</v>
      </c>
      <c r="O13006" t="n">
        <v>0</v>
      </c>
      <c r="P13006" t="n">
        <v>0</v>
      </c>
      <c r="Q13006" t="n">
        <v>0</v>
      </c>
      <c r="R13006" s="2" t="inlineStr"/>
    </row>
    <row r="13007" ht="15" customHeight="1">
      <c r="A13007" t="inlineStr">
        <is>
          <t>A 38775-2023</t>
        </is>
      </c>
      <c r="B13007" s="1" t="n">
        <v>45163.43252314815</v>
      </c>
      <c r="C13007" s="1" t="n">
        <v>45952</v>
      </c>
      <c r="D13007" t="inlineStr">
        <is>
          <t>VÄSTRA GÖTALANDS LÄN</t>
        </is>
      </c>
      <c r="E13007" t="inlineStr">
        <is>
          <t>ULRICEHAMN</t>
        </is>
      </c>
      <c r="G13007" t="n">
        <v>0.7</v>
      </c>
      <c r="H13007" t="n">
        <v>0</v>
      </c>
      <c r="I13007" t="n">
        <v>0</v>
      </c>
      <c r="J13007" t="n">
        <v>0</v>
      </c>
      <c r="K13007" t="n">
        <v>0</v>
      </c>
      <c r="L13007" t="n">
        <v>0</v>
      </c>
      <c r="M13007" t="n">
        <v>0</v>
      </c>
      <c r="N13007" t="n">
        <v>0</v>
      </c>
      <c r="O13007" t="n">
        <v>0</v>
      </c>
      <c r="P13007" t="n">
        <v>0</v>
      </c>
      <c r="Q13007" t="n">
        <v>0</v>
      </c>
      <c r="R13007" s="2" t="inlineStr"/>
    </row>
    <row r="13008" ht="15" customHeight="1">
      <c r="A13008" t="inlineStr">
        <is>
          <t>A 35621-2025</t>
        </is>
      </c>
      <c r="B13008" s="1" t="n">
        <v>45859.4146875</v>
      </c>
      <c r="C13008" s="1" t="n">
        <v>45952</v>
      </c>
      <c r="D13008" t="inlineStr">
        <is>
          <t>VÄSTRA GÖTALANDS LÄN</t>
        </is>
      </c>
      <c r="E13008" t="inlineStr">
        <is>
          <t>VÅRGÅRDA</t>
        </is>
      </c>
      <c r="G13008" t="n">
        <v>1.1</v>
      </c>
      <c r="H13008" t="n">
        <v>0</v>
      </c>
      <c r="I13008" t="n">
        <v>0</v>
      </c>
      <c r="J13008" t="n">
        <v>0</v>
      </c>
      <c r="K13008" t="n">
        <v>0</v>
      </c>
      <c r="L13008" t="n">
        <v>0</v>
      </c>
      <c r="M13008" t="n">
        <v>0</v>
      </c>
      <c r="N13008" t="n">
        <v>0</v>
      </c>
      <c r="O13008" t="n">
        <v>0</v>
      </c>
      <c r="P13008" t="n">
        <v>0</v>
      </c>
      <c r="Q13008" t="n">
        <v>0</v>
      </c>
      <c r="R13008" s="2" t="inlineStr"/>
    </row>
    <row r="13009" ht="15" customHeight="1">
      <c r="A13009" t="inlineStr">
        <is>
          <t>A 35638-2025</t>
        </is>
      </c>
      <c r="B13009" s="1" t="n">
        <v>45859.47175925926</v>
      </c>
      <c r="C13009" s="1" t="n">
        <v>45952</v>
      </c>
      <c r="D13009" t="inlineStr">
        <is>
          <t>VÄSTRA GÖTALANDS LÄN</t>
        </is>
      </c>
      <c r="E13009" t="inlineStr">
        <is>
          <t>HERRLJUNGA</t>
        </is>
      </c>
      <c r="G13009" t="n">
        <v>0.6</v>
      </c>
      <c r="H13009" t="n">
        <v>0</v>
      </c>
      <c r="I13009" t="n">
        <v>0</v>
      </c>
      <c r="J13009" t="n">
        <v>0</v>
      </c>
      <c r="K13009" t="n">
        <v>0</v>
      </c>
      <c r="L13009" t="n">
        <v>0</v>
      </c>
      <c r="M13009" t="n">
        <v>0</v>
      </c>
      <c r="N13009" t="n">
        <v>0</v>
      </c>
      <c r="O13009" t="n">
        <v>0</v>
      </c>
      <c r="P13009" t="n">
        <v>0</v>
      </c>
      <c r="Q13009" t="n">
        <v>0</v>
      </c>
      <c r="R13009" s="2" t="inlineStr"/>
    </row>
    <row r="13010" ht="15" customHeight="1">
      <c r="A13010" t="inlineStr">
        <is>
          <t>A 15353-2024</t>
        </is>
      </c>
      <c r="B13010" s="1" t="n">
        <v>45400.83571759259</v>
      </c>
      <c r="C13010" s="1" t="n">
        <v>45952</v>
      </c>
      <c r="D13010" t="inlineStr">
        <is>
          <t>VÄSTRA GÖTALANDS LÄN</t>
        </is>
      </c>
      <c r="E13010" t="inlineStr">
        <is>
          <t>TANUM</t>
        </is>
      </c>
      <c r="G13010" t="n">
        <v>6.5</v>
      </c>
      <c r="H13010" t="n">
        <v>0</v>
      </c>
      <c r="I13010" t="n">
        <v>0</v>
      </c>
      <c r="J13010" t="n">
        <v>0</v>
      </c>
      <c r="K13010" t="n">
        <v>0</v>
      </c>
      <c r="L13010" t="n">
        <v>0</v>
      </c>
      <c r="M13010" t="n">
        <v>0</v>
      </c>
      <c r="N13010" t="n">
        <v>0</v>
      </c>
      <c r="O13010" t="n">
        <v>0</v>
      </c>
      <c r="P13010" t="n">
        <v>0</v>
      </c>
      <c r="Q13010" t="n">
        <v>0</v>
      </c>
      <c r="R13010" s="2" t="inlineStr"/>
    </row>
    <row r="13011" ht="15" customHeight="1">
      <c r="A13011" t="inlineStr">
        <is>
          <t>A 49477-2023</t>
        </is>
      </c>
      <c r="B13011" s="1" t="n">
        <v>45211</v>
      </c>
      <c r="C13011" s="1" t="n">
        <v>45952</v>
      </c>
      <c r="D13011" t="inlineStr">
        <is>
          <t>VÄSTRA GÖTALANDS LÄN</t>
        </is>
      </c>
      <c r="E13011" t="inlineStr">
        <is>
          <t>BORÅS</t>
        </is>
      </c>
      <c r="G13011" t="n">
        <v>0.3</v>
      </c>
      <c r="H13011" t="n">
        <v>0</v>
      </c>
      <c r="I13011" t="n">
        <v>0</v>
      </c>
      <c r="J13011" t="n">
        <v>0</v>
      </c>
      <c r="K13011" t="n">
        <v>0</v>
      </c>
      <c r="L13011" t="n">
        <v>0</v>
      </c>
      <c r="M13011" t="n">
        <v>0</v>
      </c>
      <c r="N13011" t="n">
        <v>0</v>
      </c>
      <c r="O13011" t="n">
        <v>0</v>
      </c>
      <c r="P13011" t="n">
        <v>0</v>
      </c>
      <c r="Q13011" t="n">
        <v>0</v>
      </c>
      <c r="R13011" s="2" t="inlineStr"/>
    </row>
    <row r="13012" ht="15" customHeight="1">
      <c r="A13012" t="inlineStr">
        <is>
          <t>A 35768-2025</t>
        </is>
      </c>
      <c r="B13012" s="1" t="n">
        <v>45860</v>
      </c>
      <c r="C13012" s="1" t="n">
        <v>45952</v>
      </c>
      <c r="D13012" t="inlineStr">
        <is>
          <t>VÄSTRA GÖTALANDS LÄN</t>
        </is>
      </c>
      <c r="E13012" t="inlineStr">
        <is>
          <t>HJO</t>
        </is>
      </c>
      <c r="G13012" t="n">
        <v>5.7</v>
      </c>
      <c r="H13012" t="n">
        <v>0</v>
      </c>
      <c r="I13012" t="n">
        <v>0</v>
      </c>
      <c r="J13012" t="n">
        <v>0</v>
      </c>
      <c r="K13012" t="n">
        <v>0</v>
      </c>
      <c r="L13012" t="n">
        <v>0</v>
      </c>
      <c r="M13012" t="n">
        <v>0</v>
      </c>
      <c r="N13012" t="n">
        <v>0</v>
      </c>
      <c r="O13012" t="n">
        <v>0</v>
      </c>
      <c r="P13012" t="n">
        <v>0</v>
      </c>
      <c r="Q13012" t="n">
        <v>0</v>
      </c>
      <c r="R13012" s="2" t="inlineStr"/>
    </row>
    <row r="13013" ht="15" customHeight="1">
      <c r="A13013" t="inlineStr">
        <is>
          <t>A 1635-2025</t>
        </is>
      </c>
      <c r="B13013" s="1" t="n">
        <v>45670</v>
      </c>
      <c r="C13013" s="1" t="n">
        <v>45952</v>
      </c>
      <c r="D13013" t="inlineStr">
        <is>
          <t>VÄSTRA GÖTALANDS LÄN</t>
        </is>
      </c>
      <c r="E13013" t="inlineStr">
        <is>
          <t>HJO</t>
        </is>
      </c>
      <c r="G13013" t="n">
        <v>1.8</v>
      </c>
      <c r="H13013" t="n">
        <v>0</v>
      </c>
      <c r="I13013" t="n">
        <v>0</v>
      </c>
      <c r="J13013" t="n">
        <v>0</v>
      </c>
      <c r="K13013" t="n">
        <v>0</v>
      </c>
      <c r="L13013" t="n">
        <v>0</v>
      </c>
      <c r="M13013" t="n">
        <v>0</v>
      </c>
      <c r="N13013" t="n">
        <v>0</v>
      </c>
      <c r="O13013" t="n">
        <v>0</v>
      </c>
      <c r="P13013" t="n">
        <v>0</v>
      </c>
      <c r="Q13013" t="n">
        <v>0</v>
      </c>
      <c r="R13013" s="2" t="inlineStr"/>
    </row>
    <row r="13014" ht="15" customHeight="1">
      <c r="A13014" t="inlineStr">
        <is>
          <t>A 62705-2023</t>
        </is>
      </c>
      <c r="B13014" s="1" t="n">
        <v>45271</v>
      </c>
      <c r="C13014" s="1" t="n">
        <v>45952</v>
      </c>
      <c r="D13014" t="inlineStr">
        <is>
          <t>VÄSTRA GÖTALANDS LÄN</t>
        </is>
      </c>
      <c r="E13014" t="inlineStr">
        <is>
          <t>ÅMÅL</t>
        </is>
      </c>
      <c r="G13014" t="n">
        <v>1.5</v>
      </c>
      <c r="H13014" t="n">
        <v>0</v>
      </c>
      <c r="I13014" t="n">
        <v>0</v>
      </c>
      <c r="J13014" t="n">
        <v>0</v>
      </c>
      <c r="K13014" t="n">
        <v>0</v>
      </c>
      <c r="L13014" t="n">
        <v>0</v>
      </c>
      <c r="M13014" t="n">
        <v>0</v>
      </c>
      <c r="N13014" t="n">
        <v>0</v>
      </c>
      <c r="O13014" t="n">
        <v>0</v>
      </c>
      <c r="P13014" t="n">
        <v>0</v>
      </c>
      <c r="Q13014" t="n">
        <v>0</v>
      </c>
      <c r="R13014" s="2" t="inlineStr"/>
    </row>
    <row r="13015" ht="15" customHeight="1">
      <c r="A13015" t="inlineStr">
        <is>
          <t>A 47896-2024</t>
        </is>
      </c>
      <c r="B13015" s="1" t="n">
        <v>45588</v>
      </c>
      <c r="C13015" s="1" t="n">
        <v>45952</v>
      </c>
      <c r="D13015" t="inlineStr">
        <is>
          <t>VÄSTRA GÖTALANDS LÄN</t>
        </is>
      </c>
      <c r="E13015" t="inlineStr">
        <is>
          <t>UDDEVALLA</t>
        </is>
      </c>
      <c r="G13015" t="n">
        <v>0.5</v>
      </c>
      <c r="H13015" t="n">
        <v>0</v>
      </c>
      <c r="I13015" t="n">
        <v>0</v>
      </c>
      <c r="J13015" t="n">
        <v>0</v>
      </c>
      <c r="K13015" t="n">
        <v>0</v>
      </c>
      <c r="L13015" t="n">
        <v>0</v>
      </c>
      <c r="M13015" t="n">
        <v>0</v>
      </c>
      <c r="N13015" t="n">
        <v>0</v>
      </c>
      <c r="O13015" t="n">
        <v>0</v>
      </c>
      <c r="P13015" t="n">
        <v>0</v>
      </c>
      <c r="Q13015" t="n">
        <v>0</v>
      </c>
      <c r="R13015" s="2" t="inlineStr"/>
    </row>
    <row r="13016" ht="15" customHeight="1">
      <c r="A13016" t="inlineStr">
        <is>
          <t>A 55968-2024</t>
        </is>
      </c>
      <c r="B13016" s="1" t="n">
        <v>45623.64943287037</v>
      </c>
      <c r="C13016" s="1" t="n">
        <v>45952</v>
      </c>
      <c r="D13016" t="inlineStr">
        <is>
          <t>VÄSTRA GÖTALANDS LÄN</t>
        </is>
      </c>
      <c r="E13016" t="inlineStr">
        <is>
          <t>BENGTSFORS</t>
        </is>
      </c>
      <c r="G13016" t="n">
        <v>1.1</v>
      </c>
      <c r="H13016" t="n">
        <v>0</v>
      </c>
      <c r="I13016" t="n">
        <v>0</v>
      </c>
      <c r="J13016" t="n">
        <v>0</v>
      </c>
      <c r="K13016" t="n">
        <v>0</v>
      </c>
      <c r="L13016" t="n">
        <v>0</v>
      </c>
      <c r="M13016" t="n">
        <v>0</v>
      </c>
      <c r="N13016" t="n">
        <v>0</v>
      </c>
      <c r="O13016" t="n">
        <v>0</v>
      </c>
      <c r="P13016" t="n">
        <v>0</v>
      </c>
      <c r="Q13016" t="n">
        <v>0</v>
      </c>
      <c r="R13016" s="2" t="inlineStr"/>
    </row>
    <row r="13017" ht="15" customHeight="1">
      <c r="A13017" t="inlineStr">
        <is>
          <t>A 17550-2025</t>
        </is>
      </c>
      <c r="B13017" s="1" t="n">
        <v>45757.61144675926</v>
      </c>
      <c r="C13017" s="1" t="n">
        <v>45952</v>
      </c>
      <c r="D13017" t="inlineStr">
        <is>
          <t>VÄSTRA GÖTALANDS LÄN</t>
        </is>
      </c>
      <c r="E13017" t="inlineStr">
        <is>
          <t>ALINGSÅS</t>
        </is>
      </c>
      <c r="G13017" t="n">
        <v>1.2</v>
      </c>
      <c r="H13017" t="n">
        <v>0</v>
      </c>
      <c r="I13017" t="n">
        <v>0</v>
      </c>
      <c r="J13017" t="n">
        <v>0</v>
      </c>
      <c r="K13017" t="n">
        <v>0</v>
      </c>
      <c r="L13017" t="n">
        <v>0</v>
      </c>
      <c r="M13017" t="n">
        <v>0</v>
      </c>
      <c r="N13017" t="n">
        <v>0</v>
      </c>
      <c r="O13017" t="n">
        <v>0</v>
      </c>
      <c r="P13017" t="n">
        <v>0</v>
      </c>
      <c r="Q13017" t="n">
        <v>0</v>
      </c>
      <c r="R13017" s="2" t="inlineStr"/>
    </row>
    <row r="13018" ht="15" customHeight="1">
      <c r="A13018" t="inlineStr">
        <is>
          <t>A 35315-2025</t>
        </is>
      </c>
      <c r="B13018" s="1" t="n">
        <v>45854.47040509259</v>
      </c>
      <c r="C13018" s="1" t="n">
        <v>45952</v>
      </c>
      <c r="D13018" t="inlineStr">
        <is>
          <t>VÄSTRA GÖTALANDS LÄN</t>
        </is>
      </c>
      <c r="E13018" t="inlineStr">
        <is>
          <t>TIDAHOLM</t>
        </is>
      </c>
      <c r="F13018" t="inlineStr">
        <is>
          <t>Sveaskog</t>
        </is>
      </c>
      <c r="G13018" t="n">
        <v>1.6</v>
      </c>
      <c r="H13018" t="n">
        <v>0</v>
      </c>
      <c r="I13018" t="n">
        <v>0</v>
      </c>
      <c r="J13018" t="n">
        <v>0</v>
      </c>
      <c r="K13018" t="n">
        <v>0</v>
      </c>
      <c r="L13018" t="n">
        <v>0</v>
      </c>
      <c r="M13018" t="n">
        <v>0</v>
      </c>
      <c r="N13018" t="n">
        <v>0</v>
      </c>
      <c r="O13018" t="n">
        <v>0</v>
      </c>
      <c r="P13018" t="n">
        <v>0</v>
      </c>
      <c r="Q13018" t="n">
        <v>0</v>
      </c>
      <c r="R13018" s="2" t="inlineStr"/>
    </row>
    <row r="13019" ht="15" customHeight="1">
      <c r="A13019" t="inlineStr">
        <is>
          <t>A 35893-2025</t>
        </is>
      </c>
      <c r="B13019" s="1" t="n">
        <v>45862.48081018519</v>
      </c>
      <c r="C13019" s="1" t="n">
        <v>45952</v>
      </c>
      <c r="D13019" t="inlineStr">
        <is>
          <t>VÄSTRA GÖTALANDS LÄN</t>
        </is>
      </c>
      <c r="E13019" t="inlineStr">
        <is>
          <t>ULRICEHAMN</t>
        </is>
      </c>
      <c r="G13019" t="n">
        <v>1.3</v>
      </c>
      <c r="H13019" t="n">
        <v>0</v>
      </c>
      <c r="I13019" t="n">
        <v>0</v>
      </c>
      <c r="J13019" t="n">
        <v>0</v>
      </c>
      <c r="K13019" t="n">
        <v>0</v>
      </c>
      <c r="L13019" t="n">
        <v>0</v>
      </c>
      <c r="M13019" t="n">
        <v>0</v>
      </c>
      <c r="N13019" t="n">
        <v>0</v>
      </c>
      <c r="O13019" t="n">
        <v>0</v>
      </c>
      <c r="P13019" t="n">
        <v>0</v>
      </c>
      <c r="Q13019" t="n">
        <v>0</v>
      </c>
      <c r="R13019" s="2" t="inlineStr"/>
    </row>
    <row r="13020" ht="15" customHeight="1">
      <c r="A13020" t="inlineStr">
        <is>
          <t>A 50521-2022</t>
        </is>
      </c>
      <c r="B13020" s="1" t="n">
        <v>44866</v>
      </c>
      <c r="C13020" s="1" t="n">
        <v>45952</v>
      </c>
      <c r="D13020" t="inlineStr">
        <is>
          <t>VÄSTRA GÖTALANDS LÄN</t>
        </is>
      </c>
      <c r="E13020" t="inlineStr">
        <is>
          <t>TRANEMO</t>
        </is>
      </c>
      <c r="F13020" t="inlineStr">
        <is>
          <t>Sveaskog</t>
        </is>
      </c>
      <c r="G13020" t="n">
        <v>2.2</v>
      </c>
      <c r="H13020" t="n">
        <v>0</v>
      </c>
      <c r="I13020" t="n">
        <v>0</v>
      </c>
      <c r="J13020" t="n">
        <v>0</v>
      </c>
      <c r="K13020" t="n">
        <v>0</v>
      </c>
      <c r="L13020" t="n">
        <v>0</v>
      </c>
      <c r="M13020" t="n">
        <v>0</v>
      </c>
      <c r="N13020" t="n">
        <v>0</v>
      </c>
      <c r="O13020" t="n">
        <v>0</v>
      </c>
      <c r="P13020" t="n">
        <v>0</v>
      </c>
      <c r="Q13020" t="n">
        <v>0</v>
      </c>
      <c r="R13020" s="2" t="inlineStr"/>
    </row>
    <row r="13021" ht="15" customHeight="1">
      <c r="A13021" t="inlineStr">
        <is>
          <t>A 59569-2022</t>
        </is>
      </c>
      <c r="B13021" s="1" t="n">
        <v>44907.60907407408</v>
      </c>
      <c r="C13021" s="1" t="n">
        <v>45952</v>
      </c>
      <c r="D13021" t="inlineStr">
        <is>
          <t>VÄSTRA GÖTALANDS LÄN</t>
        </is>
      </c>
      <c r="E13021" t="inlineStr">
        <is>
          <t>GRÄSTORP</t>
        </is>
      </c>
      <c r="G13021" t="n">
        <v>2.1</v>
      </c>
      <c r="H13021" t="n">
        <v>0</v>
      </c>
      <c r="I13021" t="n">
        <v>0</v>
      </c>
      <c r="J13021" t="n">
        <v>0</v>
      </c>
      <c r="K13021" t="n">
        <v>0</v>
      </c>
      <c r="L13021" t="n">
        <v>0</v>
      </c>
      <c r="M13021" t="n">
        <v>0</v>
      </c>
      <c r="N13021" t="n">
        <v>0</v>
      </c>
      <c r="O13021" t="n">
        <v>0</v>
      </c>
      <c r="P13021" t="n">
        <v>0</v>
      </c>
      <c r="Q13021" t="n">
        <v>0</v>
      </c>
      <c r="R13021" s="2" t="inlineStr"/>
    </row>
    <row r="13022" ht="15" customHeight="1">
      <c r="A13022" t="inlineStr">
        <is>
          <t>A 50610-2022</t>
        </is>
      </c>
      <c r="B13022" s="1" t="n">
        <v>44866</v>
      </c>
      <c r="C13022" s="1" t="n">
        <v>45952</v>
      </c>
      <c r="D13022" t="inlineStr">
        <is>
          <t>VÄSTRA GÖTALANDS LÄN</t>
        </is>
      </c>
      <c r="E13022" t="inlineStr">
        <is>
          <t>BENGTSFORS</t>
        </is>
      </c>
      <c r="G13022" t="n">
        <v>1.7</v>
      </c>
      <c r="H13022" t="n">
        <v>0</v>
      </c>
      <c r="I13022" t="n">
        <v>0</v>
      </c>
      <c r="J13022" t="n">
        <v>0</v>
      </c>
      <c r="K13022" t="n">
        <v>0</v>
      </c>
      <c r="L13022" t="n">
        <v>0</v>
      </c>
      <c r="M13022" t="n">
        <v>0</v>
      </c>
      <c r="N13022" t="n">
        <v>0</v>
      </c>
      <c r="O13022" t="n">
        <v>0</v>
      </c>
      <c r="P13022" t="n">
        <v>0</v>
      </c>
      <c r="Q13022" t="n">
        <v>0</v>
      </c>
      <c r="R13022" s="2" t="inlineStr"/>
    </row>
    <row r="13023" ht="15" customHeight="1">
      <c r="A13023" t="inlineStr">
        <is>
          <t>A 23806-2024</t>
        </is>
      </c>
      <c r="B13023" s="1" t="n">
        <v>45455.44231481481</v>
      </c>
      <c r="C13023" s="1" t="n">
        <v>45952</v>
      </c>
      <c r="D13023" t="inlineStr">
        <is>
          <t>VÄSTRA GÖTALANDS LÄN</t>
        </is>
      </c>
      <c r="E13023" t="inlineStr">
        <is>
          <t>UDDEVALLA</t>
        </is>
      </c>
      <c r="G13023" t="n">
        <v>5</v>
      </c>
      <c r="H13023" t="n">
        <v>0</v>
      </c>
      <c r="I13023" t="n">
        <v>0</v>
      </c>
      <c r="J13023" t="n">
        <v>0</v>
      </c>
      <c r="K13023" t="n">
        <v>0</v>
      </c>
      <c r="L13023" t="n">
        <v>0</v>
      </c>
      <c r="M13023" t="n">
        <v>0</v>
      </c>
      <c r="N13023" t="n">
        <v>0</v>
      </c>
      <c r="O13023" t="n">
        <v>0</v>
      </c>
      <c r="P13023" t="n">
        <v>0</v>
      </c>
      <c r="Q13023" t="n">
        <v>0</v>
      </c>
      <c r="R13023" s="2" t="inlineStr"/>
    </row>
    <row r="13024" ht="15" customHeight="1">
      <c r="A13024" t="inlineStr">
        <is>
          <t>A 47362-2024</t>
        </is>
      </c>
      <c r="B13024" s="1" t="n">
        <v>45587.4371875</v>
      </c>
      <c r="C13024" s="1" t="n">
        <v>45952</v>
      </c>
      <c r="D13024" t="inlineStr">
        <is>
          <t>VÄSTRA GÖTALANDS LÄN</t>
        </is>
      </c>
      <c r="E13024" t="inlineStr">
        <is>
          <t>HÄRRYDA</t>
        </is>
      </c>
      <c r="G13024" t="n">
        <v>3.5</v>
      </c>
      <c r="H13024" t="n">
        <v>0</v>
      </c>
      <c r="I13024" t="n">
        <v>0</v>
      </c>
      <c r="J13024" t="n">
        <v>0</v>
      </c>
      <c r="K13024" t="n">
        <v>0</v>
      </c>
      <c r="L13024" t="n">
        <v>0</v>
      </c>
      <c r="M13024" t="n">
        <v>0</v>
      </c>
      <c r="N13024" t="n">
        <v>0</v>
      </c>
      <c r="O13024" t="n">
        <v>0</v>
      </c>
      <c r="P13024" t="n">
        <v>0</v>
      </c>
      <c r="Q13024" t="n">
        <v>0</v>
      </c>
      <c r="R13024" s="2" t="inlineStr"/>
    </row>
    <row r="13025" ht="15" customHeight="1">
      <c r="A13025" t="inlineStr">
        <is>
          <t>A 49781-2024</t>
        </is>
      </c>
      <c r="B13025" s="1" t="n">
        <v>45597.35331018519</v>
      </c>
      <c r="C13025" s="1" t="n">
        <v>45952</v>
      </c>
      <c r="D13025" t="inlineStr">
        <is>
          <t>VÄSTRA GÖTALANDS LÄN</t>
        </is>
      </c>
      <c r="E13025" t="inlineStr">
        <is>
          <t>TROLLHÄTTAN</t>
        </is>
      </c>
      <c r="G13025" t="n">
        <v>5.7</v>
      </c>
      <c r="H13025" t="n">
        <v>0</v>
      </c>
      <c r="I13025" t="n">
        <v>0</v>
      </c>
      <c r="J13025" t="n">
        <v>0</v>
      </c>
      <c r="K13025" t="n">
        <v>0</v>
      </c>
      <c r="L13025" t="n">
        <v>0</v>
      </c>
      <c r="M13025" t="n">
        <v>0</v>
      </c>
      <c r="N13025" t="n">
        <v>0</v>
      </c>
      <c r="O13025" t="n">
        <v>0</v>
      </c>
      <c r="P13025" t="n">
        <v>0</v>
      </c>
      <c r="Q13025" t="n">
        <v>0</v>
      </c>
      <c r="R13025" s="2" t="inlineStr"/>
    </row>
    <row r="13026" ht="15" customHeight="1">
      <c r="A13026" t="inlineStr">
        <is>
          <t>A 49825-2024</t>
        </is>
      </c>
      <c r="B13026" s="1" t="n">
        <v>45597.40795138889</v>
      </c>
      <c r="C13026" s="1" t="n">
        <v>45952</v>
      </c>
      <c r="D13026" t="inlineStr">
        <is>
          <t>VÄSTRA GÖTALANDS LÄN</t>
        </is>
      </c>
      <c r="E13026" t="inlineStr">
        <is>
          <t>ULRICEHAMN</t>
        </is>
      </c>
      <c r="G13026" t="n">
        <v>1.5</v>
      </c>
      <c r="H13026" t="n">
        <v>0</v>
      </c>
      <c r="I13026" t="n">
        <v>0</v>
      </c>
      <c r="J13026" t="n">
        <v>0</v>
      </c>
      <c r="K13026" t="n">
        <v>0</v>
      </c>
      <c r="L13026" t="n">
        <v>0</v>
      </c>
      <c r="M13026" t="n">
        <v>0</v>
      </c>
      <c r="N13026" t="n">
        <v>0</v>
      </c>
      <c r="O13026" t="n">
        <v>0</v>
      </c>
      <c r="P13026" t="n">
        <v>0</v>
      </c>
      <c r="Q13026" t="n">
        <v>0</v>
      </c>
      <c r="R13026" s="2" t="inlineStr"/>
    </row>
    <row r="13027" ht="15" customHeight="1">
      <c r="A13027" t="inlineStr">
        <is>
          <t>A 36871-2024</t>
        </is>
      </c>
      <c r="B13027" s="1" t="n">
        <v>45538.58988425926</v>
      </c>
      <c r="C13027" s="1" t="n">
        <v>45952</v>
      </c>
      <c r="D13027" t="inlineStr">
        <is>
          <t>VÄSTRA GÖTALANDS LÄN</t>
        </is>
      </c>
      <c r="E13027" t="inlineStr">
        <is>
          <t>SVENLJUNGA</t>
        </is>
      </c>
      <c r="G13027" t="n">
        <v>1.3</v>
      </c>
      <c r="H13027" t="n">
        <v>0</v>
      </c>
      <c r="I13027" t="n">
        <v>0</v>
      </c>
      <c r="J13027" t="n">
        <v>0</v>
      </c>
      <c r="K13027" t="n">
        <v>0</v>
      </c>
      <c r="L13027" t="n">
        <v>0</v>
      </c>
      <c r="M13027" t="n">
        <v>0</v>
      </c>
      <c r="N13027" t="n">
        <v>0</v>
      </c>
      <c r="O13027" t="n">
        <v>0</v>
      </c>
      <c r="P13027" t="n">
        <v>0</v>
      </c>
      <c r="Q13027" t="n">
        <v>0</v>
      </c>
      <c r="R13027" s="2" t="inlineStr"/>
    </row>
    <row r="13028" ht="15" customHeight="1">
      <c r="A13028" t="inlineStr">
        <is>
          <t>A 63878-2021</t>
        </is>
      </c>
      <c r="B13028" s="1" t="n">
        <v>44509</v>
      </c>
      <c r="C13028" s="1" t="n">
        <v>45952</v>
      </c>
      <c r="D13028" t="inlineStr">
        <is>
          <t>VÄSTRA GÖTALANDS LÄN</t>
        </is>
      </c>
      <c r="E13028" t="inlineStr">
        <is>
          <t>UDDEVALLA</t>
        </is>
      </c>
      <c r="G13028" t="n">
        <v>1.1</v>
      </c>
      <c r="H13028" t="n">
        <v>0</v>
      </c>
      <c r="I13028" t="n">
        <v>0</v>
      </c>
      <c r="J13028" t="n">
        <v>0</v>
      </c>
      <c r="K13028" t="n">
        <v>0</v>
      </c>
      <c r="L13028" t="n">
        <v>0</v>
      </c>
      <c r="M13028" t="n">
        <v>0</v>
      </c>
      <c r="N13028" t="n">
        <v>0</v>
      </c>
      <c r="O13028" t="n">
        <v>0</v>
      </c>
      <c r="P13028" t="n">
        <v>0</v>
      </c>
      <c r="Q13028" t="n">
        <v>0</v>
      </c>
      <c r="R13028" s="2" t="inlineStr"/>
    </row>
    <row r="13029" ht="15" customHeight="1">
      <c r="A13029" t="inlineStr">
        <is>
          <t>A 48225-2024</t>
        </is>
      </c>
      <c r="B13029" s="1" t="n">
        <v>45590.36800925926</v>
      </c>
      <c r="C13029" s="1" t="n">
        <v>45952</v>
      </c>
      <c r="D13029" t="inlineStr">
        <is>
          <t>VÄSTRA GÖTALANDS LÄN</t>
        </is>
      </c>
      <c r="E13029" t="inlineStr">
        <is>
          <t>SKÖVDE</t>
        </is>
      </c>
      <c r="G13029" t="n">
        <v>1</v>
      </c>
      <c r="H13029" t="n">
        <v>0</v>
      </c>
      <c r="I13029" t="n">
        <v>0</v>
      </c>
      <c r="J13029" t="n">
        <v>0</v>
      </c>
      <c r="K13029" t="n">
        <v>0</v>
      </c>
      <c r="L13029" t="n">
        <v>0</v>
      </c>
      <c r="M13029" t="n">
        <v>0</v>
      </c>
      <c r="N13029" t="n">
        <v>0</v>
      </c>
      <c r="O13029" t="n">
        <v>0</v>
      </c>
      <c r="P13029" t="n">
        <v>0</v>
      </c>
      <c r="Q13029" t="n">
        <v>0</v>
      </c>
      <c r="R13029" s="2" t="inlineStr"/>
    </row>
    <row r="13030" ht="15" customHeight="1">
      <c r="A13030" t="inlineStr">
        <is>
          <t>A 36016-2025</t>
        </is>
      </c>
      <c r="B13030" s="1" t="n">
        <v>45863.6363425926</v>
      </c>
      <c r="C13030" s="1" t="n">
        <v>45952</v>
      </c>
      <c r="D13030" t="inlineStr">
        <is>
          <t>VÄSTRA GÖTALANDS LÄN</t>
        </is>
      </c>
      <c r="E13030" t="inlineStr">
        <is>
          <t>BORÅS</t>
        </is>
      </c>
      <c r="G13030" t="n">
        <v>1.4</v>
      </c>
      <c r="H13030" t="n">
        <v>0</v>
      </c>
      <c r="I13030" t="n">
        <v>0</v>
      </c>
      <c r="J13030" t="n">
        <v>0</v>
      </c>
      <c r="K13030" t="n">
        <v>0</v>
      </c>
      <c r="L13030" t="n">
        <v>0</v>
      </c>
      <c r="M13030" t="n">
        <v>0</v>
      </c>
      <c r="N13030" t="n">
        <v>0</v>
      </c>
      <c r="O13030" t="n">
        <v>0</v>
      </c>
      <c r="P13030" t="n">
        <v>0</v>
      </c>
      <c r="Q13030" t="n">
        <v>0</v>
      </c>
      <c r="R13030" s="2" t="inlineStr"/>
    </row>
    <row r="13031" ht="15" customHeight="1">
      <c r="A13031" t="inlineStr">
        <is>
          <t>A 22200-2025</t>
        </is>
      </c>
      <c r="B13031" s="1" t="n">
        <v>45785</v>
      </c>
      <c r="C13031" s="1" t="n">
        <v>45952</v>
      </c>
      <c r="D13031" t="inlineStr">
        <is>
          <t>VÄSTRA GÖTALANDS LÄN</t>
        </is>
      </c>
      <c r="E13031" t="inlineStr">
        <is>
          <t>BENGTSFORS</t>
        </is>
      </c>
      <c r="G13031" t="n">
        <v>1.9</v>
      </c>
      <c r="H13031" t="n">
        <v>0</v>
      </c>
      <c r="I13031" t="n">
        <v>0</v>
      </c>
      <c r="J13031" t="n">
        <v>0</v>
      </c>
      <c r="K13031" t="n">
        <v>0</v>
      </c>
      <c r="L13031" t="n">
        <v>0</v>
      </c>
      <c r="M13031" t="n">
        <v>0</v>
      </c>
      <c r="N13031" t="n">
        <v>0</v>
      </c>
      <c r="O13031" t="n">
        <v>0</v>
      </c>
      <c r="P13031" t="n">
        <v>0</v>
      </c>
      <c r="Q13031" t="n">
        <v>0</v>
      </c>
      <c r="R13031" s="2" t="inlineStr"/>
    </row>
    <row r="13032" ht="15" customHeight="1">
      <c r="A13032" t="inlineStr">
        <is>
          <t>A 8628-2025</t>
        </is>
      </c>
      <c r="B13032" s="1" t="n">
        <v>45711.66019675926</v>
      </c>
      <c r="C13032" s="1" t="n">
        <v>45952</v>
      </c>
      <c r="D13032" t="inlineStr">
        <is>
          <t>VÄSTRA GÖTALANDS LÄN</t>
        </is>
      </c>
      <c r="E13032" t="inlineStr">
        <is>
          <t>TRANEMO</t>
        </is>
      </c>
      <c r="G13032" t="n">
        <v>4</v>
      </c>
      <c r="H13032" t="n">
        <v>0</v>
      </c>
      <c r="I13032" t="n">
        <v>0</v>
      </c>
      <c r="J13032" t="n">
        <v>0</v>
      </c>
      <c r="K13032" t="n">
        <v>0</v>
      </c>
      <c r="L13032" t="n">
        <v>0</v>
      </c>
      <c r="M13032" t="n">
        <v>0</v>
      </c>
      <c r="N13032" t="n">
        <v>0</v>
      </c>
      <c r="O13032" t="n">
        <v>0</v>
      </c>
      <c r="P13032" t="n">
        <v>0</v>
      </c>
      <c r="Q13032" t="n">
        <v>0</v>
      </c>
      <c r="R13032" s="2" t="inlineStr"/>
    </row>
    <row r="13033" ht="15" customHeight="1">
      <c r="A13033" t="inlineStr">
        <is>
          <t>A 8629-2025</t>
        </is>
      </c>
      <c r="B13033" s="1" t="n">
        <v>45711.66600694445</v>
      </c>
      <c r="C13033" s="1" t="n">
        <v>45952</v>
      </c>
      <c r="D13033" t="inlineStr">
        <is>
          <t>VÄSTRA GÖTALANDS LÄN</t>
        </is>
      </c>
      <c r="E13033" t="inlineStr">
        <is>
          <t>BORÅS</t>
        </is>
      </c>
      <c r="G13033" t="n">
        <v>6.8</v>
      </c>
      <c r="H13033" t="n">
        <v>0</v>
      </c>
      <c r="I13033" t="n">
        <v>0</v>
      </c>
      <c r="J13033" t="n">
        <v>0</v>
      </c>
      <c r="K13033" t="n">
        <v>0</v>
      </c>
      <c r="L13033" t="n">
        <v>0</v>
      </c>
      <c r="M13033" t="n">
        <v>0</v>
      </c>
      <c r="N13033" t="n">
        <v>0</v>
      </c>
      <c r="O13033" t="n">
        <v>0</v>
      </c>
      <c r="P13033" t="n">
        <v>0</v>
      </c>
      <c r="Q13033" t="n">
        <v>0</v>
      </c>
      <c r="R13033" s="2" t="inlineStr"/>
    </row>
    <row r="13034" ht="15" customHeight="1">
      <c r="A13034" t="inlineStr">
        <is>
          <t>A 35903-2025</t>
        </is>
      </c>
      <c r="B13034" s="1" t="n">
        <v>45862.49201388889</v>
      </c>
      <c r="C13034" s="1" t="n">
        <v>45952</v>
      </c>
      <c r="D13034" t="inlineStr">
        <is>
          <t>VÄSTRA GÖTALANDS LÄN</t>
        </is>
      </c>
      <c r="E13034" t="inlineStr">
        <is>
          <t>MARK</t>
        </is>
      </c>
      <c r="G13034" t="n">
        <v>1.5</v>
      </c>
      <c r="H13034" t="n">
        <v>0</v>
      </c>
      <c r="I13034" t="n">
        <v>0</v>
      </c>
      <c r="J13034" t="n">
        <v>0</v>
      </c>
      <c r="K13034" t="n">
        <v>0</v>
      </c>
      <c r="L13034" t="n">
        <v>0</v>
      </c>
      <c r="M13034" t="n">
        <v>0</v>
      </c>
      <c r="N13034" t="n">
        <v>0</v>
      </c>
      <c r="O13034" t="n">
        <v>0</v>
      </c>
      <c r="P13034" t="n">
        <v>0</v>
      </c>
      <c r="Q13034" t="n">
        <v>0</v>
      </c>
      <c r="R13034" s="2" t="inlineStr"/>
    </row>
    <row r="13035" ht="15" customHeight="1">
      <c r="A13035" t="inlineStr">
        <is>
          <t>A 35871-2025</t>
        </is>
      </c>
      <c r="B13035" s="1" t="n">
        <v>45862.31365740741</v>
      </c>
      <c r="C13035" s="1" t="n">
        <v>45952</v>
      </c>
      <c r="D13035" t="inlineStr">
        <is>
          <t>VÄSTRA GÖTALANDS LÄN</t>
        </is>
      </c>
      <c r="E13035" t="inlineStr">
        <is>
          <t>ULRICEHAMN</t>
        </is>
      </c>
      <c r="G13035" t="n">
        <v>1.1</v>
      </c>
      <c r="H13035" t="n">
        <v>0</v>
      </c>
      <c r="I13035" t="n">
        <v>0</v>
      </c>
      <c r="J13035" t="n">
        <v>0</v>
      </c>
      <c r="K13035" t="n">
        <v>0</v>
      </c>
      <c r="L13035" t="n">
        <v>0</v>
      </c>
      <c r="M13035" t="n">
        <v>0</v>
      </c>
      <c r="N13035" t="n">
        <v>0</v>
      </c>
      <c r="O13035" t="n">
        <v>0</v>
      </c>
      <c r="P13035" t="n">
        <v>0</v>
      </c>
      <c r="Q13035" t="n">
        <v>0</v>
      </c>
      <c r="R13035" s="2" t="inlineStr"/>
    </row>
    <row r="13036" ht="15" customHeight="1">
      <c r="A13036" t="inlineStr">
        <is>
          <t>A 35895-2025</t>
        </is>
      </c>
      <c r="B13036" s="1" t="n">
        <v>45862.48412037037</v>
      </c>
      <c r="C13036" s="1" t="n">
        <v>45952</v>
      </c>
      <c r="D13036" t="inlineStr">
        <is>
          <t>VÄSTRA GÖTALANDS LÄN</t>
        </is>
      </c>
      <c r="E13036" t="inlineStr">
        <is>
          <t>ULRICEHAMN</t>
        </is>
      </c>
      <c r="G13036" t="n">
        <v>1.3</v>
      </c>
      <c r="H13036" t="n">
        <v>0</v>
      </c>
      <c r="I13036" t="n">
        <v>0</v>
      </c>
      <c r="J13036" t="n">
        <v>0</v>
      </c>
      <c r="K13036" t="n">
        <v>0</v>
      </c>
      <c r="L13036" t="n">
        <v>0</v>
      </c>
      <c r="M13036" t="n">
        <v>0</v>
      </c>
      <c r="N13036" t="n">
        <v>0</v>
      </c>
      <c r="O13036" t="n">
        <v>0</v>
      </c>
      <c r="P13036" t="n">
        <v>0</v>
      </c>
      <c r="Q13036" t="n">
        <v>0</v>
      </c>
      <c r="R13036" s="2" t="inlineStr"/>
    </row>
    <row r="13037" ht="15" customHeight="1">
      <c r="A13037" t="inlineStr">
        <is>
          <t>A 35915-2025</t>
        </is>
      </c>
      <c r="B13037" s="1" t="n">
        <v>45862.55155092593</v>
      </c>
      <c r="C13037" s="1" t="n">
        <v>45952</v>
      </c>
      <c r="D13037" t="inlineStr">
        <is>
          <t>VÄSTRA GÖTALANDS LÄN</t>
        </is>
      </c>
      <c r="E13037" t="inlineStr">
        <is>
          <t>MARK</t>
        </is>
      </c>
      <c r="G13037" t="n">
        <v>2.1</v>
      </c>
      <c r="H13037" t="n">
        <v>0</v>
      </c>
      <c r="I13037" t="n">
        <v>0</v>
      </c>
      <c r="J13037" t="n">
        <v>0</v>
      </c>
      <c r="K13037" t="n">
        <v>0</v>
      </c>
      <c r="L13037" t="n">
        <v>0</v>
      </c>
      <c r="M13037" t="n">
        <v>0</v>
      </c>
      <c r="N13037" t="n">
        <v>0</v>
      </c>
      <c r="O13037" t="n">
        <v>0</v>
      </c>
      <c r="P13037" t="n">
        <v>0</v>
      </c>
      <c r="Q13037" t="n">
        <v>0</v>
      </c>
      <c r="R13037" s="2" t="inlineStr"/>
    </row>
    <row r="13038" ht="15" customHeight="1">
      <c r="A13038" t="inlineStr">
        <is>
          <t>A 35968-2025</t>
        </is>
      </c>
      <c r="B13038" s="1" t="n">
        <v>45863.40622685185</v>
      </c>
      <c r="C13038" s="1" t="n">
        <v>45952</v>
      </c>
      <c r="D13038" t="inlineStr">
        <is>
          <t>VÄSTRA GÖTALANDS LÄN</t>
        </is>
      </c>
      <c r="E13038" t="inlineStr">
        <is>
          <t>FALKÖPING</t>
        </is>
      </c>
      <c r="G13038" t="n">
        <v>0.7</v>
      </c>
      <c r="H13038" t="n">
        <v>0</v>
      </c>
      <c r="I13038" t="n">
        <v>0</v>
      </c>
      <c r="J13038" t="n">
        <v>0</v>
      </c>
      <c r="K13038" t="n">
        <v>0</v>
      </c>
      <c r="L13038" t="n">
        <v>0</v>
      </c>
      <c r="M13038" t="n">
        <v>0</v>
      </c>
      <c r="N13038" t="n">
        <v>0</v>
      </c>
      <c r="O13038" t="n">
        <v>0</v>
      </c>
      <c r="P13038" t="n">
        <v>0</v>
      </c>
      <c r="Q13038" t="n">
        <v>0</v>
      </c>
      <c r="R13038" s="2" t="inlineStr"/>
    </row>
    <row r="13039" ht="15" customHeight="1">
      <c r="A13039" t="inlineStr">
        <is>
          <t>A 42438-2024</t>
        </is>
      </c>
      <c r="B13039" s="1" t="n">
        <v>45565</v>
      </c>
      <c r="C13039" s="1" t="n">
        <v>45952</v>
      </c>
      <c r="D13039" t="inlineStr">
        <is>
          <t>VÄSTRA GÖTALANDS LÄN</t>
        </is>
      </c>
      <c r="E13039" t="inlineStr">
        <is>
          <t>ULRICEHAMN</t>
        </is>
      </c>
      <c r="G13039" t="n">
        <v>1.8</v>
      </c>
      <c r="H13039" t="n">
        <v>0</v>
      </c>
      <c r="I13039" t="n">
        <v>0</v>
      </c>
      <c r="J13039" t="n">
        <v>0</v>
      </c>
      <c r="K13039" t="n">
        <v>0</v>
      </c>
      <c r="L13039" t="n">
        <v>0</v>
      </c>
      <c r="M13039" t="n">
        <v>0</v>
      </c>
      <c r="N13039" t="n">
        <v>0</v>
      </c>
      <c r="O13039" t="n">
        <v>0</v>
      </c>
      <c r="P13039" t="n">
        <v>0</v>
      </c>
      <c r="Q13039" t="n">
        <v>0</v>
      </c>
      <c r="R13039" s="2" t="inlineStr"/>
    </row>
    <row r="13040" ht="15" customHeight="1">
      <c r="A13040" t="inlineStr">
        <is>
          <t>A 10916-2025</t>
        </is>
      </c>
      <c r="B13040" s="1" t="n">
        <v>45722</v>
      </c>
      <c r="C13040" s="1" t="n">
        <v>45952</v>
      </c>
      <c r="D13040" t="inlineStr">
        <is>
          <t>VÄSTRA GÖTALANDS LÄN</t>
        </is>
      </c>
      <c r="E13040" t="inlineStr">
        <is>
          <t>ALINGSÅS</t>
        </is>
      </c>
      <c r="G13040" t="n">
        <v>4.4</v>
      </c>
      <c r="H13040" t="n">
        <v>0</v>
      </c>
      <c r="I13040" t="n">
        <v>0</v>
      </c>
      <c r="J13040" t="n">
        <v>0</v>
      </c>
      <c r="K13040" t="n">
        <v>0</v>
      </c>
      <c r="L13040" t="n">
        <v>0</v>
      </c>
      <c r="M13040" t="n">
        <v>0</v>
      </c>
      <c r="N13040" t="n">
        <v>0</v>
      </c>
      <c r="O13040" t="n">
        <v>0</v>
      </c>
      <c r="P13040" t="n">
        <v>0</v>
      </c>
      <c r="Q13040" t="n">
        <v>0</v>
      </c>
      <c r="R13040" s="2" t="inlineStr"/>
    </row>
    <row r="13041" ht="15" customHeight="1">
      <c r="A13041" t="inlineStr">
        <is>
          <t>A 11052-2025</t>
        </is>
      </c>
      <c r="B13041" s="1" t="n">
        <v>45723</v>
      </c>
      <c r="C13041" s="1" t="n">
        <v>45952</v>
      </c>
      <c r="D13041" t="inlineStr">
        <is>
          <t>VÄSTRA GÖTALANDS LÄN</t>
        </is>
      </c>
      <c r="E13041" t="inlineStr">
        <is>
          <t>BENGTSFORS</t>
        </is>
      </c>
      <c r="G13041" t="n">
        <v>1</v>
      </c>
      <c r="H13041" t="n">
        <v>0</v>
      </c>
      <c r="I13041" t="n">
        <v>0</v>
      </c>
      <c r="J13041" t="n">
        <v>0</v>
      </c>
      <c r="K13041" t="n">
        <v>0</v>
      </c>
      <c r="L13041" t="n">
        <v>0</v>
      </c>
      <c r="M13041" t="n">
        <v>0</v>
      </c>
      <c r="N13041" t="n">
        <v>0</v>
      </c>
      <c r="O13041" t="n">
        <v>0</v>
      </c>
      <c r="P13041" t="n">
        <v>0</v>
      </c>
      <c r="Q13041" t="n">
        <v>0</v>
      </c>
      <c r="R13041" s="2" t="inlineStr"/>
    </row>
    <row r="13042" ht="15" customHeight="1">
      <c r="A13042" t="inlineStr">
        <is>
          <t>A 35929-2025</t>
        </is>
      </c>
      <c r="B13042" s="1" t="n">
        <v>45862.61262731482</v>
      </c>
      <c r="C13042" s="1" t="n">
        <v>45952</v>
      </c>
      <c r="D13042" t="inlineStr">
        <is>
          <t>VÄSTRA GÖTALANDS LÄN</t>
        </is>
      </c>
      <c r="E13042" t="inlineStr">
        <is>
          <t>KARLSBORG</t>
        </is>
      </c>
      <c r="G13042" t="n">
        <v>7.5</v>
      </c>
      <c r="H13042" t="n">
        <v>0</v>
      </c>
      <c r="I13042" t="n">
        <v>0</v>
      </c>
      <c r="J13042" t="n">
        <v>0</v>
      </c>
      <c r="K13042" t="n">
        <v>0</v>
      </c>
      <c r="L13042" t="n">
        <v>0</v>
      </c>
      <c r="M13042" t="n">
        <v>0</v>
      </c>
      <c r="N13042" t="n">
        <v>0</v>
      </c>
      <c r="O13042" t="n">
        <v>0</v>
      </c>
      <c r="P13042" t="n">
        <v>0</v>
      </c>
      <c r="Q13042" t="n">
        <v>0</v>
      </c>
      <c r="R13042" s="2" t="inlineStr"/>
    </row>
    <row r="13043" ht="15" customHeight="1">
      <c r="A13043" t="inlineStr">
        <is>
          <t>A 35947-2025</t>
        </is>
      </c>
      <c r="B13043" s="1" t="n">
        <v>45862.73864583333</v>
      </c>
      <c r="C13043" s="1" t="n">
        <v>45952</v>
      </c>
      <c r="D13043" t="inlineStr">
        <is>
          <t>VÄSTRA GÖTALANDS LÄN</t>
        </is>
      </c>
      <c r="E13043" t="inlineStr">
        <is>
          <t>GÖTENE</t>
        </is>
      </c>
      <c r="G13043" t="n">
        <v>1.2</v>
      </c>
      <c r="H13043" t="n">
        <v>0</v>
      </c>
      <c r="I13043" t="n">
        <v>0</v>
      </c>
      <c r="J13043" t="n">
        <v>0</v>
      </c>
      <c r="K13043" t="n">
        <v>0</v>
      </c>
      <c r="L13043" t="n">
        <v>0</v>
      </c>
      <c r="M13043" t="n">
        <v>0</v>
      </c>
      <c r="N13043" t="n">
        <v>0</v>
      </c>
      <c r="O13043" t="n">
        <v>0</v>
      </c>
      <c r="P13043" t="n">
        <v>0</v>
      </c>
      <c r="Q13043" t="n">
        <v>0</v>
      </c>
      <c r="R13043" s="2" t="inlineStr"/>
    </row>
    <row r="13044" ht="15" customHeight="1">
      <c r="A13044" t="inlineStr">
        <is>
          <t>A 56637-2024</t>
        </is>
      </c>
      <c r="B13044" s="1" t="n">
        <v>45625.69395833334</v>
      </c>
      <c r="C13044" s="1" t="n">
        <v>45952</v>
      </c>
      <c r="D13044" t="inlineStr">
        <is>
          <t>VÄSTRA GÖTALANDS LÄN</t>
        </is>
      </c>
      <c r="E13044" t="inlineStr">
        <is>
          <t>VÅRGÅRDA</t>
        </is>
      </c>
      <c r="G13044" t="n">
        <v>4.3</v>
      </c>
      <c r="H13044" t="n">
        <v>0</v>
      </c>
      <c r="I13044" t="n">
        <v>0</v>
      </c>
      <c r="J13044" t="n">
        <v>0</v>
      </c>
      <c r="K13044" t="n">
        <v>0</v>
      </c>
      <c r="L13044" t="n">
        <v>0</v>
      </c>
      <c r="M13044" t="n">
        <v>0</v>
      </c>
      <c r="N13044" t="n">
        <v>0</v>
      </c>
      <c r="O13044" t="n">
        <v>0</v>
      </c>
      <c r="P13044" t="n">
        <v>0</v>
      </c>
      <c r="Q13044" t="n">
        <v>0</v>
      </c>
      <c r="R13044" s="2" t="inlineStr"/>
    </row>
    <row r="13045" ht="15" customHeight="1">
      <c r="A13045" t="inlineStr">
        <is>
          <t>A 15227-2025</t>
        </is>
      </c>
      <c r="B13045" s="1" t="n">
        <v>45744.59334490741</v>
      </c>
      <c r="C13045" s="1" t="n">
        <v>45952</v>
      </c>
      <c r="D13045" t="inlineStr">
        <is>
          <t>VÄSTRA GÖTALANDS LÄN</t>
        </is>
      </c>
      <c r="E13045" t="inlineStr">
        <is>
          <t>MELLERUD</t>
        </is>
      </c>
      <c r="G13045" t="n">
        <v>0.7</v>
      </c>
      <c r="H13045" t="n">
        <v>0</v>
      </c>
      <c r="I13045" t="n">
        <v>0</v>
      </c>
      <c r="J13045" t="n">
        <v>0</v>
      </c>
      <c r="K13045" t="n">
        <v>0</v>
      </c>
      <c r="L13045" t="n">
        <v>0</v>
      </c>
      <c r="M13045" t="n">
        <v>0</v>
      </c>
      <c r="N13045" t="n">
        <v>0</v>
      </c>
      <c r="O13045" t="n">
        <v>0</v>
      </c>
      <c r="P13045" t="n">
        <v>0</v>
      </c>
      <c r="Q13045" t="n">
        <v>0</v>
      </c>
      <c r="R13045" s="2" t="inlineStr"/>
    </row>
    <row r="13046" ht="15" customHeight="1">
      <c r="A13046" t="inlineStr">
        <is>
          <t>A 35872-2025</t>
        </is>
      </c>
      <c r="B13046" s="1" t="n">
        <v>45862.33578703704</v>
      </c>
      <c r="C13046" s="1" t="n">
        <v>45952</v>
      </c>
      <c r="D13046" t="inlineStr">
        <is>
          <t>VÄSTRA GÖTALANDS LÄN</t>
        </is>
      </c>
      <c r="E13046" t="inlineStr">
        <is>
          <t>ULRICEHAMN</t>
        </is>
      </c>
      <c r="G13046" t="n">
        <v>3.5</v>
      </c>
      <c r="H13046" t="n">
        <v>0</v>
      </c>
      <c r="I13046" t="n">
        <v>0</v>
      </c>
      <c r="J13046" t="n">
        <v>0</v>
      </c>
      <c r="K13046" t="n">
        <v>0</v>
      </c>
      <c r="L13046" t="n">
        <v>0</v>
      </c>
      <c r="M13046" t="n">
        <v>0</v>
      </c>
      <c r="N13046" t="n">
        <v>0</v>
      </c>
      <c r="O13046" t="n">
        <v>0</v>
      </c>
      <c r="P13046" t="n">
        <v>0</v>
      </c>
      <c r="Q13046" t="n">
        <v>0</v>
      </c>
      <c r="R13046" s="2" t="inlineStr"/>
    </row>
    <row r="13047" ht="15" customHeight="1">
      <c r="A13047" t="inlineStr">
        <is>
          <t>A 26639-2025</t>
        </is>
      </c>
      <c r="B13047" s="1" t="n">
        <v>45810.36209490741</v>
      </c>
      <c r="C13047" s="1" t="n">
        <v>45952</v>
      </c>
      <c r="D13047" t="inlineStr">
        <is>
          <t>VÄSTRA GÖTALANDS LÄN</t>
        </is>
      </c>
      <c r="E13047" t="inlineStr">
        <is>
          <t>MELLERUD</t>
        </is>
      </c>
      <c r="G13047" t="n">
        <v>5.4</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35930-2025</t>
        </is>
      </c>
      <c r="B13048" s="1" t="n">
        <v>45862</v>
      </c>
      <c r="C13048" s="1" t="n">
        <v>45952</v>
      </c>
      <c r="D13048" t="inlineStr">
        <is>
          <t>VÄSTRA GÖTALANDS LÄN</t>
        </is>
      </c>
      <c r="E13048" t="inlineStr">
        <is>
          <t>KARLSBORG</t>
        </is>
      </c>
      <c r="G13048" t="n">
        <v>0.8</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35948-2025</t>
        </is>
      </c>
      <c r="B13049" s="1" t="n">
        <v>45862.84484953704</v>
      </c>
      <c r="C13049" s="1" t="n">
        <v>45952</v>
      </c>
      <c r="D13049" t="inlineStr">
        <is>
          <t>VÄSTRA GÖTALANDS LÄN</t>
        </is>
      </c>
      <c r="E13049" t="inlineStr">
        <is>
          <t>SVENLJUNGA</t>
        </is>
      </c>
      <c r="G13049" t="n">
        <v>0.9</v>
      </c>
      <c r="H13049" t="n">
        <v>0</v>
      </c>
      <c r="I13049" t="n">
        <v>0</v>
      </c>
      <c r="J13049" t="n">
        <v>0</v>
      </c>
      <c r="K13049" t="n">
        <v>0</v>
      </c>
      <c r="L13049" t="n">
        <v>0</v>
      </c>
      <c r="M13049" t="n">
        <v>0</v>
      </c>
      <c r="N13049" t="n">
        <v>0</v>
      </c>
      <c r="O13049" t="n">
        <v>0</v>
      </c>
      <c r="P13049" t="n">
        <v>0</v>
      </c>
      <c r="Q13049" t="n">
        <v>0</v>
      </c>
      <c r="R13049" s="2" t="inlineStr"/>
    </row>
    <row r="13050" ht="15" customHeight="1">
      <c r="A13050" t="inlineStr">
        <is>
          <t>A 35999-2025</t>
        </is>
      </c>
      <c r="B13050" s="1" t="n">
        <v>45863.51740740741</v>
      </c>
      <c r="C13050" s="1" t="n">
        <v>45952</v>
      </c>
      <c r="D13050" t="inlineStr">
        <is>
          <t>VÄSTRA GÖTALANDS LÄN</t>
        </is>
      </c>
      <c r="E13050" t="inlineStr">
        <is>
          <t>MUNKEDAL</t>
        </is>
      </c>
      <c r="G13050" t="n">
        <v>6.5</v>
      </c>
      <c r="H13050" t="n">
        <v>0</v>
      </c>
      <c r="I13050" t="n">
        <v>0</v>
      </c>
      <c r="J13050" t="n">
        <v>0</v>
      </c>
      <c r="K13050" t="n">
        <v>0</v>
      </c>
      <c r="L13050" t="n">
        <v>0</v>
      </c>
      <c r="M13050" t="n">
        <v>0</v>
      </c>
      <c r="N13050" t="n">
        <v>0</v>
      </c>
      <c r="O13050" t="n">
        <v>0</v>
      </c>
      <c r="P13050" t="n">
        <v>0</v>
      </c>
      <c r="Q13050" t="n">
        <v>0</v>
      </c>
      <c r="R13050" s="2" t="inlineStr"/>
    </row>
    <row r="13051" ht="15" customHeight="1">
      <c r="A13051" t="inlineStr">
        <is>
          <t>A 36018-2025</t>
        </is>
      </c>
      <c r="B13051" s="1" t="n">
        <v>45863.66916666667</v>
      </c>
      <c r="C13051" s="1" t="n">
        <v>45952</v>
      </c>
      <c r="D13051" t="inlineStr">
        <is>
          <t>VÄSTRA GÖTALANDS LÄN</t>
        </is>
      </c>
      <c r="E13051" t="inlineStr">
        <is>
          <t>STENUNGSUND</t>
        </is>
      </c>
      <c r="G13051" t="n">
        <v>1.3</v>
      </c>
      <c r="H13051" t="n">
        <v>0</v>
      </c>
      <c r="I13051" t="n">
        <v>0</v>
      </c>
      <c r="J13051" t="n">
        <v>0</v>
      </c>
      <c r="K13051" t="n">
        <v>0</v>
      </c>
      <c r="L13051" t="n">
        <v>0</v>
      </c>
      <c r="M13051" t="n">
        <v>0</v>
      </c>
      <c r="N13051" t="n">
        <v>0</v>
      </c>
      <c r="O13051" t="n">
        <v>0</v>
      </c>
      <c r="P13051" t="n">
        <v>0</v>
      </c>
      <c r="Q13051" t="n">
        <v>0</v>
      </c>
      <c r="R13051" s="2" t="inlineStr"/>
    </row>
    <row r="13052" ht="15" customHeight="1">
      <c r="A13052" t="inlineStr">
        <is>
          <t>A 15458-2025</t>
        </is>
      </c>
      <c r="B13052" s="1" t="n">
        <v>45747.50989583333</v>
      </c>
      <c r="C13052" s="1" t="n">
        <v>45952</v>
      </c>
      <c r="D13052" t="inlineStr">
        <is>
          <t>VÄSTRA GÖTALANDS LÄN</t>
        </is>
      </c>
      <c r="E13052" t="inlineStr">
        <is>
          <t>VÄNERSBORG</t>
        </is>
      </c>
      <c r="G13052" t="n">
        <v>4.2</v>
      </c>
      <c r="H13052" t="n">
        <v>0</v>
      </c>
      <c r="I13052" t="n">
        <v>0</v>
      </c>
      <c r="J13052" t="n">
        <v>0</v>
      </c>
      <c r="K13052" t="n">
        <v>0</v>
      </c>
      <c r="L13052" t="n">
        <v>0</v>
      </c>
      <c r="M13052" t="n">
        <v>0</v>
      </c>
      <c r="N13052" t="n">
        <v>0</v>
      </c>
      <c r="O13052" t="n">
        <v>0</v>
      </c>
      <c r="P13052" t="n">
        <v>0</v>
      </c>
      <c r="Q13052" t="n">
        <v>0</v>
      </c>
      <c r="R13052" s="2" t="inlineStr"/>
    </row>
    <row r="13053" ht="15" customHeight="1">
      <c r="A13053" t="inlineStr">
        <is>
          <t>A 21425-2025</t>
        </is>
      </c>
      <c r="B13053" s="1" t="n">
        <v>45782.50599537037</v>
      </c>
      <c r="C13053" s="1" t="n">
        <v>45952</v>
      </c>
      <c r="D13053" t="inlineStr">
        <is>
          <t>VÄSTRA GÖTALANDS LÄN</t>
        </is>
      </c>
      <c r="E13053" t="inlineStr">
        <is>
          <t>ÅMÅL</t>
        </is>
      </c>
      <c r="G13053" t="n">
        <v>0.9</v>
      </c>
      <c r="H13053" t="n">
        <v>0</v>
      </c>
      <c r="I13053" t="n">
        <v>0</v>
      </c>
      <c r="J13053" t="n">
        <v>0</v>
      </c>
      <c r="K13053" t="n">
        <v>0</v>
      </c>
      <c r="L13053" t="n">
        <v>0</v>
      </c>
      <c r="M13053" t="n">
        <v>0</v>
      </c>
      <c r="N13053" t="n">
        <v>0</v>
      </c>
      <c r="O13053" t="n">
        <v>0</v>
      </c>
      <c r="P13053" t="n">
        <v>0</v>
      </c>
      <c r="Q13053" t="n">
        <v>0</v>
      </c>
      <c r="R13053" s="2" t="inlineStr"/>
    </row>
    <row r="13054" ht="15" customHeight="1">
      <c r="A13054" t="inlineStr">
        <is>
          <t>A 60376-2021</t>
        </is>
      </c>
      <c r="B13054" s="1" t="n">
        <v>44496.35680555556</v>
      </c>
      <c r="C13054" s="1" t="n">
        <v>45952</v>
      </c>
      <c r="D13054" t="inlineStr">
        <is>
          <t>VÄSTRA GÖTALANDS LÄN</t>
        </is>
      </c>
      <c r="E13054" t="inlineStr">
        <is>
          <t>MARIESTAD</t>
        </is>
      </c>
      <c r="G13054" t="n">
        <v>1.7</v>
      </c>
      <c r="H13054" t="n">
        <v>0</v>
      </c>
      <c r="I13054" t="n">
        <v>0</v>
      </c>
      <c r="J13054" t="n">
        <v>0</v>
      </c>
      <c r="K13054" t="n">
        <v>0</v>
      </c>
      <c r="L13054" t="n">
        <v>0</v>
      </c>
      <c r="M13054" t="n">
        <v>0</v>
      </c>
      <c r="N13054" t="n">
        <v>0</v>
      </c>
      <c r="O13054" t="n">
        <v>0</v>
      </c>
      <c r="P13054" t="n">
        <v>0</v>
      </c>
      <c r="Q13054" t="n">
        <v>0</v>
      </c>
      <c r="R13054" s="2" t="inlineStr"/>
    </row>
    <row r="13055" ht="15" customHeight="1">
      <c r="A13055" t="inlineStr">
        <is>
          <t>A 6341-2025</t>
        </is>
      </c>
      <c r="B13055" s="1" t="n">
        <v>45699.31804398148</v>
      </c>
      <c r="C13055" s="1" t="n">
        <v>45952</v>
      </c>
      <c r="D13055" t="inlineStr">
        <is>
          <t>VÄSTRA GÖTALANDS LÄN</t>
        </is>
      </c>
      <c r="E13055" t="inlineStr">
        <is>
          <t>ALINGSÅS</t>
        </is>
      </c>
      <c r="G13055" t="n">
        <v>1.7</v>
      </c>
      <c r="H13055" t="n">
        <v>0</v>
      </c>
      <c r="I13055" t="n">
        <v>0</v>
      </c>
      <c r="J13055" t="n">
        <v>0</v>
      </c>
      <c r="K13055" t="n">
        <v>0</v>
      </c>
      <c r="L13055" t="n">
        <v>0</v>
      </c>
      <c r="M13055" t="n">
        <v>0</v>
      </c>
      <c r="N13055" t="n">
        <v>0</v>
      </c>
      <c r="O13055" t="n">
        <v>0</v>
      </c>
      <c r="P13055" t="n">
        <v>0</v>
      </c>
      <c r="Q13055" t="n">
        <v>0</v>
      </c>
      <c r="R13055" s="2" t="inlineStr"/>
    </row>
    <row r="13056" ht="15" customHeight="1">
      <c r="A13056" t="inlineStr">
        <is>
          <t>A 6974-2025</t>
        </is>
      </c>
      <c r="B13056" s="1" t="n">
        <v>45701.54447916667</v>
      </c>
      <c r="C13056" s="1" t="n">
        <v>45952</v>
      </c>
      <c r="D13056" t="inlineStr">
        <is>
          <t>VÄSTRA GÖTALANDS LÄN</t>
        </is>
      </c>
      <c r="E13056" t="inlineStr">
        <is>
          <t>VARA</t>
        </is>
      </c>
      <c r="G13056" t="n">
        <v>1</v>
      </c>
      <c r="H13056" t="n">
        <v>0</v>
      </c>
      <c r="I13056" t="n">
        <v>0</v>
      </c>
      <c r="J13056" t="n">
        <v>0</v>
      </c>
      <c r="K13056" t="n">
        <v>0</v>
      </c>
      <c r="L13056" t="n">
        <v>0</v>
      </c>
      <c r="M13056" t="n">
        <v>0</v>
      </c>
      <c r="N13056" t="n">
        <v>0</v>
      </c>
      <c r="O13056" t="n">
        <v>0</v>
      </c>
      <c r="P13056" t="n">
        <v>0</v>
      </c>
      <c r="Q13056" t="n">
        <v>0</v>
      </c>
      <c r="R13056" s="2" t="inlineStr"/>
    </row>
    <row r="13057" ht="15" customHeight="1">
      <c r="A13057" t="inlineStr">
        <is>
          <t>A 36096-2021</t>
        </is>
      </c>
      <c r="B13057" s="1" t="n">
        <v>44389</v>
      </c>
      <c r="C13057" s="1" t="n">
        <v>45952</v>
      </c>
      <c r="D13057" t="inlineStr">
        <is>
          <t>VÄSTRA GÖTALANDS LÄN</t>
        </is>
      </c>
      <c r="E13057" t="inlineStr">
        <is>
          <t>MELLERUD</t>
        </is>
      </c>
      <c r="G13057" t="n">
        <v>2.6</v>
      </c>
      <c r="H13057" t="n">
        <v>0</v>
      </c>
      <c r="I13057" t="n">
        <v>0</v>
      </c>
      <c r="J13057" t="n">
        <v>0</v>
      </c>
      <c r="K13057" t="n">
        <v>0</v>
      </c>
      <c r="L13057" t="n">
        <v>0</v>
      </c>
      <c r="M13057" t="n">
        <v>0</v>
      </c>
      <c r="N13057" t="n">
        <v>0</v>
      </c>
      <c r="O13057" t="n">
        <v>0</v>
      </c>
      <c r="P13057" t="n">
        <v>0</v>
      </c>
      <c r="Q13057" t="n">
        <v>0</v>
      </c>
      <c r="R13057" s="2" t="inlineStr"/>
    </row>
    <row r="13058" ht="15" customHeight="1">
      <c r="A13058" t="inlineStr">
        <is>
          <t>A 25927-2021</t>
        </is>
      </c>
      <c r="B13058" s="1" t="n">
        <v>44344.45417824074</v>
      </c>
      <c r="C13058" s="1" t="n">
        <v>45952</v>
      </c>
      <c r="D13058" t="inlineStr">
        <is>
          <t>VÄSTRA GÖTALANDS LÄN</t>
        </is>
      </c>
      <c r="E13058" t="inlineStr">
        <is>
          <t>SVENLJUNGA</t>
        </is>
      </c>
      <c r="F13058" t="inlineStr">
        <is>
          <t>Sveaskog</t>
        </is>
      </c>
      <c r="G13058" t="n">
        <v>5.9</v>
      </c>
      <c r="H13058" t="n">
        <v>0</v>
      </c>
      <c r="I13058" t="n">
        <v>0</v>
      </c>
      <c r="J13058" t="n">
        <v>0</v>
      </c>
      <c r="K13058" t="n">
        <v>0</v>
      </c>
      <c r="L13058" t="n">
        <v>0</v>
      </c>
      <c r="M13058" t="n">
        <v>0</v>
      </c>
      <c r="N13058" t="n">
        <v>0</v>
      </c>
      <c r="O13058" t="n">
        <v>0</v>
      </c>
      <c r="P13058" t="n">
        <v>0</v>
      </c>
      <c r="Q13058" t="n">
        <v>0</v>
      </c>
      <c r="R13058" s="2" t="inlineStr"/>
    </row>
    <row r="13059" ht="15" customHeight="1">
      <c r="A13059" t="inlineStr">
        <is>
          <t>A 36242-2025</t>
        </is>
      </c>
      <c r="B13059" s="1" t="n">
        <v>45867.55393518518</v>
      </c>
      <c r="C13059" s="1" t="n">
        <v>45952</v>
      </c>
      <c r="D13059" t="inlineStr">
        <is>
          <t>VÄSTRA GÖTALANDS LÄN</t>
        </is>
      </c>
      <c r="E13059" t="inlineStr">
        <is>
          <t>SVENLJUNGA</t>
        </is>
      </c>
      <c r="G13059" t="n">
        <v>1.3</v>
      </c>
      <c r="H13059" t="n">
        <v>0</v>
      </c>
      <c r="I13059" t="n">
        <v>0</v>
      </c>
      <c r="J13059" t="n">
        <v>0</v>
      </c>
      <c r="K13059" t="n">
        <v>0</v>
      </c>
      <c r="L13059" t="n">
        <v>0</v>
      </c>
      <c r="M13059" t="n">
        <v>0</v>
      </c>
      <c r="N13059" t="n">
        <v>0</v>
      </c>
      <c r="O13059" t="n">
        <v>0</v>
      </c>
      <c r="P13059" t="n">
        <v>0</v>
      </c>
      <c r="Q13059" t="n">
        <v>0</v>
      </c>
      <c r="R13059" s="2" t="inlineStr"/>
    </row>
    <row r="13060" ht="15" customHeight="1">
      <c r="A13060" t="inlineStr">
        <is>
          <t>A 36270-2025</t>
        </is>
      </c>
      <c r="B13060" s="1" t="n">
        <v>45867.61944444444</v>
      </c>
      <c r="C13060" s="1" t="n">
        <v>45952</v>
      </c>
      <c r="D13060" t="inlineStr">
        <is>
          <t>VÄSTRA GÖTALANDS LÄN</t>
        </is>
      </c>
      <c r="E13060" t="inlineStr">
        <is>
          <t>MARK</t>
        </is>
      </c>
      <c r="G13060" t="n">
        <v>0.5</v>
      </c>
      <c r="H13060" t="n">
        <v>0</v>
      </c>
      <c r="I13060" t="n">
        <v>0</v>
      </c>
      <c r="J13060" t="n">
        <v>0</v>
      </c>
      <c r="K13060" t="n">
        <v>0</v>
      </c>
      <c r="L13060" t="n">
        <v>0</v>
      </c>
      <c r="M13060" t="n">
        <v>0</v>
      </c>
      <c r="N13060" t="n">
        <v>0</v>
      </c>
      <c r="O13060" t="n">
        <v>0</v>
      </c>
      <c r="P13060" t="n">
        <v>0</v>
      </c>
      <c r="Q13060" t="n">
        <v>0</v>
      </c>
      <c r="R13060" s="2" t="inlineStr"/>
    </row>
    <row r="13061" ht="15" customHeight="1">
      <c r="A13061" t="inlineStr">
        <is>
          <t>A 60662-2023</t>
        </is>
      </c>
      <c r="B13061" s="1" t="n">
        <v>45260</v>
      </c>
      <c r="C13061" s="1" t="n">
        <v>45952</v>
      </c>
      <c r="D13061" t="inlineStr">
        <is>
          <t>VÄSTRA GÖTALANDS LÄN</t>
        </is>
      </c>
      <c r="E13061" t="inlineStr">
        <is>
          <t>MUNKEDAL</t>
        </is>
      </c>
      <c r="G13061" t="n">
        <v>0.8</v>
      </c>
      <c r="H13061" t="n">
        <v>0</v>
      </c>
      <c r="I13061" t="n">
        <v>0</v>
      </c>
      <c r="J13061" t="n">
        <v>0</v>
      </c>
      <c r="K13061" t="n">
        <v>0</v>
      </c>
      <c r="L13061" t="n">
        <v>0</v>
      </c>
      <c r="M13061" t="n">
        <v>0</v>
      </c>
      <c r="N13061" t="n">
        <v>0</v>
      </c>
      <c r="O13061" t="n">
        <v>0</v>
      </c>
      <c r="P13061" t="n">
        <v>0</v>
      </c>
      <c r="Q13061" t="n">
        <v>0</v>
      </c>
      <c r="R13061" s="2" t="inlineStr"/>
    </row>
    <row r="13062" ht="15" customHeight="1">
      <c r="A13062" t="inlineStr">
        <is>
          <t>A 11509-2025</t>
        </is>
      </c>
      <c r="B13062" s="1" t="n">
        <v>45726.8350462963</v>
      </c>
      <c r="C13062" s="1" t="n">
        <v>45952</v>
      </c>
      <c r="D13062" t="inlineStr">
        <is>
          <t>VÄSTRA GÖTALANDS LÄN</t>
        </is>
      </c>
      <c r="E13062" t="inlineStr">
        <is>
          <t>ULRICEHAMN</t>
        </is>
      </c>
      <c r="G13062" t="n">
        <v>1.6</v>
      </c>
      <c r="H13062" t="n">
        <v>0</v>
      </c>
      <c r="I13062" t="n">
        <v>0</v>
      </c>
      <c r="J13062" t="n">
        <v>0</v>
      </c>
      <c r="K13062" t="n">
        <v>0</v>
      </c>
      <c r="L13062" t="n">
        <v>0</v>
      </c>
      <c r="M13062" t="n">
        <v>0</v>
      </c>
      <c r="N13062" t="n">
        <v>0</v>
      </c>
      <c r="O13062" t="n">
        <v>0</v>
      </c>
      <c r="P13062" t="n">
        <v>0</v>
      </c>
      <c r="Q13062" t="n">
        <v>0</v>
      </c>
      <c r="R13062" s="2" t="inlineStr"/>
    </row>
    <row r="13063" ht="15" customHeight="1">
      <c r="A13063" t="inlineStr">
        <is>
          <t>A 19998-2025</t>
        </is>
      </c>
      <c r="B13063" s="1" t="n">
        <v>45771.83752314815</v>
      </c>
      <c r="C13063" s="1" t="n">
        <v>45952</v>
      </c>
      <c r="D13063" t="inlineStr">
        <is>
          <t>VÄSTRA GÖTALANDS LÄN</t>
        </is>
      </c>
      <c r="E13063" t="inlineStr">
        <is>
          <t>TRANEMO</t>
        </is>
      </c>
      <c r="G13063" t="n">
        <v>1.6</v>
      </c>
      <c r="H13063" t="n">
        <v>0</v>
      </c>
      <c r="I13063" t="n">
        <v>0</v>
      </c>
      <c r="J13063" t="n">
        <v>0</v>
      </c>
      <c r="K13063" t="n">
        <v>0</v>
      </c>
      <c r="L13063" t="n">
        <v>0</v>
      </c>
      <c r="M13063" t="n">
        <v>0</v>
      </c>
      <c r="N13063" t="n">
        <v>0</v>
      </c>
      <c r="O13063" t="n">
        <v>0</v>
      </c>
      <c r="P13063" t="n">
        <v>0</v>
      </c>
      <c r="Q13063" t="n">
        <v>0</v>
      </c>
      <c r="R13063" s="2" t="inlineStr"/>
    </row>
    <row r="13064" ht="15" customHeight="1">
      <c r="A13064" t="inlineStr">
        <is>
          <t>A 20018-2025</t>
        </is>
      </c>
      <c r="B13064" s="1" t="n">
        <v>45772.32306712963</v>
      </c>
      <c r="C13064" s="1" t="n">
        <v>45952</v>
      </c>
      <c r="D13064" t="inlineStr">
        <is>
          <t>VÄSTRA GÖTALANDS LÄN</t>
        </is>
      </c>
      <c r="E13064" t="inlineStr">
        <is>
          <t>SVENLJUNGA</t>
        </is>
      </c>
      <c r="G13064" t="n">
        <v>9.699999999999999</v>
      </c>
      <c r="H13064" t="n">
        <v>0</v>
      </c>
      <c r="I13064" t="n">
        <v>0</v>
      </c>
      <c r="J13064" t="n">
        <v>0</v>
      </c>
      <c r="K13064" t="n">
        <v>0</v>
      </c>
      <c r="L13064" t="n">
        <v>0</v>
      </c>
      <c r="M13064" t="n">
        <v>0</v>
      </c>
      <c r="N13064" t="n">
        <v>0</v>
      </c>
      <c r="O13064" t="n">
        <v>0</v>
      </c>
      <c r="P13064" t="n">
        <v>0</v>
      </c>
      <c r="Q13064" t="n">
        <v>0</v>
      </c>
      <c r="R13064" s="2" t="inlineStr"/>
    </row>
    <row r="13065" ht="15" customHeight="1">
      <c r="A13065" t="inlineStr">
        <is>
          <t>A 2570-2023</t>
        </is>
      </c>
      <c r="B13065" s="1" t="n">
        <v>44943</v>
      </c>
      <c r="C13065" s="1" t="n">
        <v>45952</v>
      </c>
      <c r="D13065" t="inlineStr">
        <is>
          <t>VÄSTRA GÖTALANDS LÄN</t>
        </is>
      </c>
      <c r="E13065" t="inlineStr">
        <is>
          <t>BENGTSFORS</t>
        </is>
      </c>
      <c r="G13065" t="n">
        <v>2</v>
      </c>
      <c r="H13065" t="n">
        <v>0</v>
      </c>
      <c r="I13065" t="n">
        <v>0</v>
      </c>
      <c r="J13065" t="n">
        <v>0</v>
      </c>
      <c r="K13065" t="n">
        <v>0</v>
      </c>
      <c r="L13065" t="n">
        <v>0</v>
      </c>
      <c r="M13065" t="n">
        <v>0</v>
      </c>
      <c r="N13065" t="n">
        <v>0</v>
      </c>
      <c r="O13065" t="n">
        <v>0</v>
      </c>
      <c r="P13065" t="n">
        <v>0</v>
      </c>
      <c r="Q13065" t="n">
        <v>0</v>
      </c>
      <c r="R13065" s="2" t="inlineStr"/>
    </row>
    <row r="13066" ht="15" customHeight="1">
      <c r="A13066" t="inlineStr">
        <is>
          <t>A 52712-2023</t>
        </is>
      </c>
      <c r="B13066" s="1" t="n">
        <v>45225.84898148148</v>
      </c>
      <c r="C13066" s="1" t="n">
        <v>45952</v>
      </c>
      <c r="D13066" t="inlineStr">
        <is>
          <t>VÄSTRA GÖTALANDS LÄN</t>
        </is>
      </c>
      <c r="E13066" t="inlineStr">
        <is>
          <t>ULRICEHAMN</t>
        </is>
      </c>
      <c r="G13066" t="n">
        <v>0.6</v>
      </c>
      <c r="H13066" t="n">
        <v>0</v>
      </c>
      <c r="I13066" t="n">
        <v>0</v>
      </c>
      <c r="J13066" t="n">
        <v>0</v>
      </c>
      <c r="K13066" t="n">
        <v>0</v>
      </c>
      <c r="L13066" t="n">
        <v>0</v>
      </c>
      <c r="M13066" t="n">
        <v>0</v>
      </c>
      <c r="N13066" t="n">
        <v>0</v>
      </c>
      <c r="O13066" t="n">
        <v>0</v>
      </c>
      <c r="P13066" t="n">
        <v>0</v>
      </c>
      <c r="Q13066" t="n">
        <v>0</v>
      </c>
      <c r="R13066" s="2" t="inlineStr"/>
    </row>
    <row r="13067" ht="15" customHeight="1">
      <c r="A13067" t="inlineStr">
        <is>
          <t>A 52714-2023</t>
        </is>
      </c>
      <c r="B13067" s="1" t="n">
        <v>45225.85842592592</v>
      </c>
      <c r="C13067" s="1" t="n">
        <v>45952</v>
      </c>
      <c r="D13067" t="inlineStr">
        <is>
          <t>VÄSTRA GÖTALANDS LÄN</t>
        </is>
      </c>
      <c r="E13067" t="inlineStr">
        <is>
          <t>ULRICEHAMN</t>
        </is>
      </c>
      <c r="G13067" t="n">
        <v>0.5</v>
      </c>
      <c r="H13067" t="n">
        <v>0</v>
      </c>
      <c r="I13067" t="n">
        <v>0</v>
      </c>
      <c r="J13067" t="n">
        <v>0</v>
      </c>
      <c r="K13067" t="n">
        <v>0</v>
      </c>
      <c r="L13067" t="n">
        <v>0</v>
      </c>
      <c r="M13067" t="n">
        <v>0</v>
      </c>
      <c r="N13067" t="n">
        <v>0</v>
      </c>
      <c r="O13067" t="n">
        <v>0</v>
      </c>
      <c r="P13067" t="n">
        <v>0</v>
      </c>
      <c r="Q13067" t="n">
        <v>0</v>
      </c>
      <c r="R13067" s="2" t="inlineStr"/>
    </row>
    <row r="13068" ht="15" customHeight="1">
      <c r="A13068" t="inlineStr">
        <is>
          <t>A 52715-2023</t>
        </is>
      </c>
      <c r="B13068" s="1" t="n">
        <v>45225.86006944445</v>
      </c>
      <c r="C13068" s="1" t="n">
        <v>45952</v>
      </c>
      <c r="D13068" t="inlineStr">
        <is>
          <t>VÄSTRA GÖTALANDS LÄN</t>
        </is>
      </c>
      <c r="E13068" t="inlineStr">
        <is>
          <t>TIDAHOLM</t>
        </is>
      </c>
      <c r="G13068" t="n">
        <v>2</v>
      </c>
      <c r="H13068" t="n">
        <v>0</v>
      </c>
      <c r="I13068" t="n">
        <v>0</v>
      </c>
      <c r="J13068" t="n">
        <v>0</v>
      </c>
      <c r="K13068" t="n">
        <v>0</v>
      </c>
      <c r="L13068" t="n">
        <v>0</v>
      </c>
      <c r="M13068" t="n">
        <v>0</v>
      </c>
      <c r="N13068" t="n">
        <v>0</v>
      </c>
      <c r="O13068" t="n">
        <v>0</v>
      </c>
      <c r="P13068" t="n">
        <v>0</v>
      </c>
      <c r="Q13068" t="n">
        <v>0</v>
      </c>
      <c r="R13068" s="2" t="inlineStr"/>
    </row>
    <row r="13069" ht="15" customHeight="1">
      <c r="A13069" t="inlineStr">
        <is>
          <t>A 36101-2025</t>
        </is>
      </c>
      <c r="B13069" s="1" t="n">
        <v>45866.53873842592</v>
      </c>
      <c r="C13069" s="1" t="n">
        <v>45952</v>
      </c>
      <c r="D13069" t="inlineStr">
        <is>
          <t>VÄSTRA GÖTALANDS LÄN</t>
        </is>
      </c>
      <c r="E13069" t="inlineStr">
        <is>
          <t>VÄNERSBORG</t>
        </is>
      </c>
      <c r="G13069" t="n">
        <v>3.4</v>
      </c>
      <c r="H13069" t="n">
        <v>0</v>
      </c>
      <c r="I13069" t="n">
        <v>0</v>
      </c>
      <c r="J13069" t="n">
        <v>0</v>
      </c>
      <c r="K13069" t="n">
        <v>0</v>
      </c>
      <c r="L13069" t="n">
        <v>0</v>
      </c>
      <c r="M13069" t="n">
        <v>0</v>
      </c>
      <c r="N13069" t="n">
        <v>0</v>
      </c>
      <c r="O13069" t="n">
        <v>0</v>
      </c>
      <c r="P13069" t="n">
        <v>0</v>
      </c>
      <c r="Q13069" t="n">
        <v>0</v>
      </c>
      <c r="R13069" s="2" t="inlineStr"/>
    </row>
    <row r="13070" ht="15" customHeight="1">
      <c r="A13070" t="inlineStr">
        <is>
          <t>A 36141-2025</t>
        </is>
      </c>
      <c r="B13070" s="1" t="n">
        <v>45866.67653935185</v>
      </c>
      <c r="C13070" s="1" t="n">
        <v>45952</v>
      </c>
      <c r="D13070" t="inlineStr">
        <is>
          <t>VÄSTRA GÖTALANDS LÄN</t>
        </is>
      </c>
      <c r="E13070" t="inlineStr">
        <is>
          <t>MELLERUD</t>
        </is>
      </c>
      <c r="G13070" t="n">
        <v>0.9</v>
      </c>
      <c r="H13070" t="n">
        <v>0</v>
      </c>
      <c r="I13070" t="n">
        <v>0</v>
      </c>
      <c r="J13070" t="n">
        <v>0</v>
      </c>
      <c r="K13070" t="n">
        <v>0</v>
      </c>
      <c r="L13070" t="n">
        <v>0</v>
      </c>
      <c r="M13070" t="n">
        <v>0</v>
      </c>
      <c r="N13070" t="n">
        <v>0</v>
      </c>
      <c r="O13070" t="n">
        <v>0</v>
      </c>
      <c r="P13070" t="n">
        <v>0</v>
      </c>
      <c r="Q13070" t="n">
        <v>0</v>
      </c>
      <c r="R13070" s="2" t="inlineStr"/>
    </row>
    <row r="13071" ht="15" customHeight="1">
      <c r="A13071" t="inlineStr">
        <is>
          <t>A 36145-2025</t>
        </is>
      </c>
      <c r="B13071" s="1" t="n">
        <v>45866.84422453704</v>
      </c>
      <c r="C13071" s="1" t="n">
        <v>45952</v>
      </c>
      <c r="D13071" t="inlineStr">
        <is>
          <t>VÄSTRA GÖTALANDS LÄN</t>
        </is>
      </c>
      <c r="E13071" t="inlineStr">
        <is>
          <t>MELLERUD</t>
        </is>
      </c>
      <c r="G13071" t="n">
        <v>0.7</v>
      </c>
      <c r="H13071" t="n">
        <v>0</v>
      </c>
      <c r="I13071" t="n">
        <v>0</v>
      </c>
      <c r="J13071" t="n">
        <v>0</v>
      </c>
      <c r="K13071" t="n">
        <v>0</v>
      </c>
      <c r="L13071" t="n">
        <v>0</v>
      </c>
      <c r="M13071" t="n">
        <v>0</v>
      </c>
      <c r="N13071" t="n">
        <v>0</v>
      </c>
      <c r="O13071" t="n">
        <v>0</v>
      </c>
      <c r="P13071" t="n">
        <v>0</v>
      </c>
      <c r="Q13071" t="n">
        <v>0</v>
      </c>
      <c r="R13071" s="2" t="inlineStr"/>
    </row>
    <row r="13072" ht="15" customHeight="1">
      <c r="A13072" t="inlineStr">
        <is>
          <t>A 36146-2025</t>
        </is>
      </c>
      <c r="B13072" s="1" t="n">
        <v>45866.8474074074</v>
      </c>
      <c r="C13072" s="1" t="n">
        <v>45952</v>
      </c>
      <c r="D13072" t="inlineStr">
        <is>
          <t>VÄSTRA GÖTALANDS LÄN</t>
        </is>
      </c>
      <c r="E13072" t="inlineStr">
        <is>
          <t>MELLERUD</t>
        </is>
      </c>
      <c r="G13072" t="n">
        <v>1</v>
      </c>
      <c r="H13072" t="n">
        <v>0</v>
      </c>
      <c r="I13072" t="n">
        <v>0</v>
      </c>
      <c r="J13072" t="n">
        <v>0</v>
      </c>
      <c r="K13072" t="n">
        <v>0</v>
      </c>
      <c r="L13072" t="n">
        <v>0</v>
      </c>
      <c r="M13072" t="n">
        <v>0</v>
      </c>
      <c r="N13072" t="n">
        <v>0</v>
      </c>
      <c r="O13072" t="n">
        <v>0</v>
      </c>
      <c r="P13072" t="n">
        <v>0</v>
      </c>
      <c r="Q13072" t="n">
        <v>0</v>
      </c>
      <c r="R13072" s="2" t="inlineStr"/>
    </row>
    <row r="13073" ht="15" customHeight="1">
      <c r="A13073" t="inlineStr">
        <is>
          <t>A 36243-2025</t>
        </is>
      </c>
      <c r="B13073" s="1" t="n">
        <v>45867.55528935185</v>
      </c>
      <c r="C13073" s="1" t="n">
        <v>45952</v>
      </c>
      <c r="D13073" t="inlineStr">
        <is>
          <t>VÄSTRA GÖTALANDS LÄN</t>
        </is>
      </c>
      <c r="E13073" t="inlineStr">
        <is>
          <t>SVENLJUNGA</t>
        </is>
      </c>
      <c r="G13073" t="n">
        <v>0.5</v>
      </c>
      <c r="H13073" t="n">
        <v>0</v>
      </c>
      <c r="I13073" t="n">
        <v>0</v>
      </c>
      <c r="J13073" t="n">
        <v>0</v>
      </c>
      <c r="K13073" t="n">
        <v>0</v>
      </c>
      <c r="L13073" t="n">
        <v>0</v>
      </c>
      <c r="M13073" t="n">
        <v>0</v>
      </c>
      <c r="N13073" t="n">
        <v>0</v>
      </c>
      <c r="O13073" t="n">
        <v>0</v>
      </c>
      <c r="P13073" t="n">
        <v>0</v>
      </c>
      <c r="Q13073" t="n">
        <v>0</v>
      </c>
      <c r="R13073" s="2" t="inlineStr"/>
    </row>
    <row r="13074" ht="15" customHeight="1">
      <c r="A13074" t="inlineStr">
        <is>
          <t>A 36219-2025</t>
        </is>
      </c>
      <c r="B13074" s="1" t="n">
        <v>45867</v>
      </c>
      <c r="C13074" s="1" t="n">
        <v>45952</v>
      </c>
      <c r="D13074" t="inlineStr">
        <is>
          <t>VÄSTRA GÖTALANDS LÄN</t>
        </is>
      </c>
      <c r="E13074" t="inlineStr">
        <is>
          <t>BENGTSFORS</t>
        </is>
      </c>
      <c r="G13074" t="n">
        <v>5.3</v>
      </c>
      <c r="H13074" t="n">
        <v>0</v>
      </c>
      <c r="I13074" t="n">
        <v>0</v>
      </c>
      <c r="J13074" t="n">
        <v>0</v>
      </c>
      <c r="K13074" t="n">
        <v>0</v>
      </c>
      <c r="L13074" t="n">
        <v>0</v>
      </c>
      <c r="M13074" t="n">
        <v>0</v>
      </c>
      <c r="N13074" t="n">
        <v>0</v>
      </c>
      <c r="O13074" t="n">
        <v>0</v>
      </c>
      <c r="P13074" t="n">
        <v>0</v>
      </c>
      <c r="Q13074" t="n">
        <v>0</v>
      </c>
      <c r="R13074" s="2" t="inlineStr"/>
    </row>
    <row r="13075" ht="15" customHeight="1">
      <c r="A13075" t="inlineStr">
        <is>
          <t>A 12160-2024</t>
        </is>
      </c>
      <c r="B13075" s="1" t="n">
        <v>45377.80496527778</v>
      </c>
      <c r="C13075" s="1" t="n">
        <v>45952</v>
      </c>
      <c r="D13075" t="inlineStr">
        <is>
          <t>VÄSTRA GÖTALANDS LÄN</t>
        </is>
      </c>
      <c r="E13075" t="inlineStr">
        <is>
          <t>BOLLEBYGD</t>
        </is>
      </c>
      <c r="G13075" t="n">
        <v>0.5</v>
      </c>
      <c r="H13075" t="n">
        <v>0</v>
      </c>
      <c r="I13075" t="n">
        <v>0</v>
      </c>
      <c r="J13075" t="n">
        <v>0</v>
      </c>
      <c r="K13075" t="n">
        <v>0</v>
      </c>
      <c r="L13075" t="n">
        <v>0</v>
      </c>
      <c r="M13075" t="n">
        <v>0</v>
      </c>
      <c r="N13075" t="n">
        <v>0</v>
      </c>
      <c r="O13075" t="n">
        <v>0</v>
      </c>
      <c r="P13075" t="n">
        <v>0</v>
      </c>
      <c r="Q13075" t="n">
        <v>0</v>
      </c>
      <c r="R13075" s="2" t="inlineStr"/>
    </row>
    <row r="13076" ht="15" customHeight="1">
      <c r="A13076" t="inlineStr">
        <is>
          <t>A 53213-2024</t>
        </is>
      </c>
      <c r="B13076" s="1" t="n">
        <v>45612.65795138889</v>
      </c>
      <c r="C13076" s="1" t="n">
        <v>45952</v>
      </c>
      <c r="D13076" t="inlineStr">
        <is>
          <t>VÄSTRA GÖTALANDS LÄN</t>
        </is>
      </c>
      <c r="E13076" t="inlineStr">
        <is>
          <t>VÅRGÅRDA</t>
        </is>
      </c>
      <c r="G13076" t="n">
        <v>4.5</v>
      </c>
      <c r="H13076" t="n">
        <v>0</v>
      </c>
      <c r="I13076" t="n">
        <v>0</v>
      </c>
      <c r="J13076" t="n">
        <v>0</v>
      </c>
      <c r="K13076" t="n">
        <v>0</v>
      </c>
      <c r="L13076" t="n">
        <v>0</v>
      </c>
      <c r="M13076" t="n">
        <v>0</v>
      </c>
      <c r="N13076" t="n">
        <v>0</v>
      </c>
      <c r="O13076" t="n">
        <v>0</v>
      </c>
      <c r="P13076" t="n">
        <v>0</v>
      </c>
      <c r="Q13076" t="n">
        <v>0</v>
      </c>
      <c r="R13076" s="2" t="inlineStr"/>
    </row>
    <row r="13077" ht="15" customHeight="1">
      <c r="A13077" t="inlineStr">
        <is>
          <t>A 37942-2023</t>
        </is>
      </c>
      <c r="B13077" s="1" t="n">
        <v>45160.54385416667</v>
      </c>
      <c r="C13077" s="1" t="n">
        <v>45952</v>
      </c>
      <c r="D13077" t="inlineStr">
        <is>
          <t>VÄSTRA GÖTALANDS LÄN</t>
        </is>
      </c>
      <c r="E13077" t="inlineStr">
        <is>
          <t>SVENLJUNGA</t>
        </is>
      </c>
      <c r="G13077" t="n">
        <v>1.4</v>
      </c>
      <c r="H13077" t="n">
        <v>0</v>
      </c>
      <c r="I13077" t="n">
        <v>0</v>
      </c>
      <c r="J13077" t="n">
        <v>0</v>
      </c>
      <c r="K13077" t="n">
        <v>0</v>
      </c>
      <c r="L13077" t="n">
        <v>0</v>
      </c>
      <c r="M13077" t="n">
        <v>0</v>
      </c>
      <c r="N13077" t="n">
        <v>0</v>
      </c>
      <c r="O13077" t="n">
        <v>0</v>
      </c>
      <c r="P13077" t="n">
        <v>0</v>
      </c>
      <c r="Q13077" t="n">
        <v>0</v>
      </c>
      <c r="R13077" s="2" t="inlineStr"/>
    </row>
    <row r="13078" ht="15" customHeight="1">
      <c r="A13078" t="inlineStr">
        <is>
          <t>A 40105-2021</t>
        </is>
      </c>
      <c r="B13078" s="1" t="n">
        <v>44418</v>
      </c>
      <c r="C13078" s="1" t="n">
        <v>45952</v>
      </c>
      <c r="D13078" t="inlineStr">
        <is>
          <t>VÄSTRA GÖTALANDS LÄN</t>
        </is>
      </c>
      <c r="E13078" t="inlineStr">
        <is>
          <t>SKÖVDE</t>
        </is>
      </c>
      <c r="G13078" t="n">
        <v>1.9</v>
      </c>
      <c r="H13078" t="n">
        <v>0</v>
      </c>
      <c r="I13078" t="n">
        <v>0</v>
      </c>
      <c r="J13078" t="n">
        <v>0</v>
      </c>
      <c r="K13078" t="n">
        <v>0</v>
      </c>
      <c r="L13078" t="n">
        <v>0</v>
      </c>
      <c r="M13078" t="n">
        <v>0</v>
      </c>
      <c r="N13078" t="n">
        <v>0</v>
      </c>
      <c r="O13078" t="n">
        <v>0</v>
      </c>
      <c r="P13078" t="n">
        <v>0</v>
      </c>
      <c r="Q13078" t="n">
        <v>0</v>
      </c>
      <c r="R13078" s="2" t="inlineStr"/>
    </row>
    <row r="13079" ht="15" customHeight="1">
      <c r="A13079" t="inlineStr">
        <is>
          <t>A 36048-2025</t>
        </is>
      </c>
      <c r="B13079" s="1" t="n">
        <v>45866.36832175926</v>
      </c>
      <c r="C13079" s="1" t="n">
        <v>45952</v>
      </c>
      <c r="D13079" t="inlineStr">
        <is>
          <t>VÄSTRA GÖTALANDS LÄN</t>
        </is>
      </c>
      <c r="E13079" t="inlineStr">
        <is>
          <t>MELLERUD</t>
        </is>
      </c>
      <c r="G13079" t="n">
        <v>1.2</v>
      </c>
      <c r="H13079" t="n">
        <v>0</v>
      </c>
      <c r="I13079" t="n">
        <v>0</v>
      </c>
      <c r="J13079" t="n">
        <v>0</v>
      </c>
      <c r="K13079" t="n">
        <v>0</v>
      </c>
      <c r="L13079" t="n">
        <v>0</v>
      </c>
      <c r="M13079" t="n">
        <v>0</v>
      </c>
      <c r="N13079" t="n">
        <v>0</v>
      </c>
      <c r="O13079" t="n">
        <v>0</v>
      </c>
      <c r="P13079" t="n">
        <v>0</v>
      </c>
      <c r="Q13079" t="n">
        <v>0</v>
      </c>
      <c r="R13079" s="2" t="inlineStr"/>
    </row>
    <row r="13080" ht="15" customHeight="1">
      <c r="A13080" t="inlineStr">
        <is>
          <t>A 36163-2025</t>
        </is>
      </c>
      <c r="B13080" s="1" t="n">
        <v>45867.36799768519</v>
      </c>
      <c r="C13080" s="1" t="n">
        <v>45952</v>
      </c>
      <c r="D13080" t="inlineStr">
        <is>
          <t>VÄSTRA GÖTALANDS LÄN</t>
        </is>
      </c>
      <c r="E13080" t="inlineStr">
        <is>
          <t>TIDAHOLM</t>
        </is>
      </c>
      <c r="G13080" t="n">
        <v>1.6</v>
      </c>
      <c r="H13080" t="n">
        <v>0</v>
      </c>
      <c r="I13080" t="n">
        <v>0</v>
      </c>
      <c r="J13080" t="n">
        <v>0</v>
      </c>
      <c r="K13080" t="n">
        <v>0</v>
      </c>
      <c r="L13080" t="n">
        <v>0</v>
      </c>
      <c r="M13080" t="n">
        <v>0</v>
      </c>
      <c r="N13080" t="n">
        <v>0</v>
      </c>
      <c r="O13080" t="n">
        <v>0</v>
      </c>
      <c r="P13080" t="n">
        <v>0</v>
      </c>
      <c r="Q13080" t="n">
        <v>0</v>
      </c>
      <c r="R13080" s="2" t="inlineStr"/>
    </row>
    <row r="13081" ht="15" customHeight="1">
      <c r="A13081" t="inlineStr">
        <is>
          <t>A 40202-2021</t>
        </is>
      </c>
      <c r="B13081" s="1" t="n">
        <v>44418</v>
      </c>
      <c r="C13081" s="1" t="n">
        <v>45952</v>
      </c>
      <c r="D13081" t="inlineStr">
        <is>
          <t>VÄSTRA GÖTALANDS LÄN</t>
        </is>
      </c>
      <c r="E13081" t="inlineStr">
        <is>
          <t>BOLLEBYGD</t>
        </is>
      </c>
      <c r="G13081" t="n">
        <v>1</v>
      </c>
      <c r="H13081" t="n">
        <v>0</v>
      </c>
      <c r="I13081" t="n">
        <v>0</v>
      </c>
      <c r="J13081" t="n">
        <v>0</v>
      </c>
      <c r="K13081" t="n">
        <v>0</v>
      </c>
      <c r="L13081" t="n">
        <v>0</v>
      </c>
      <c r="M13081" t="n">
        <v>0</v>
      </c>
      <c r="N13081" t="n">
        <v>0</v>
      </c>
      <c r="O13081" t="n">
        <v>0</v>
      </c>
      <c r="P13081" t="n">
        <v>0</v>
      </c>
      <c r="Q13081" t="n">
        <v>0</v>
      </c>
      <c r="R13081" s="2" t="inlineStr"/>
    </row>
    <row r="13082" ht="15" customHeight="1">
      <c r="A13082" t="inlineStr">
        <is>
          <t>A 11656-2021</t>
        </is>
      </c>
      <c r="B13082" s="1" t="n">
        <v>44264</v>
      </c>
      <c r="C13082" s="1" t="n">
        <v>45952</v>
      </c>
      <c r="D13082" t="inlineStr">
        <is>
          <t>VÄSTRA GÖTALANDS LÄN</t>
        </is>
      </c>
      <c r="E13082" t="inlineStr">
        <is>
          <t>DALS-ED</t>
        </is>
      </c>
      <c r="G13082" t="n">
        <v>0.9</v>
      </c>
      <c r="H13082" t="n">
        <v>0</v>
      </c>
      <c r="I13082" t="n">
        <v>0</v>
      </c>
      <c r="J13082" t="n">
        <v>0</v>
      </c>
      <c r="K13082" t="n">
        <v>0</v>
      </c>
      <c r="L13082" t="n">
        <v>0</v>
      </c>
      <c r="M13082" t="n">
        <v>0</v>
      </c>
      <c r="N13082" t="n">
        <v>0</v>
      </c>
      <c r="O13082" t="n">
        <v>0</v>
      </c>
      <c r="P13082" t="n">
        <v>0</v>
      </c>
      <c r="Q13082" t="n">
        <v>0</v>
      </c>
      <c r="R13082" s="2" t="inlineStr"/>
    </row>
    <row r="13083" ht="15" customHeight="1">
      <c r="A13083" t="inlineStr">
        <is>
          <t>A 23682-2024</t>
        </is>
      </c>
      <c r="B13083" s="1" t="n">
        <v>45454.62754629629</v>
      </c>
      <c r="C13083" s="1" t="n">
        <v>45952</v>
      </c>
      <c r="D13083" t="inlineStr">
        <is>
          <t>VÄSTRA GÖTALANDS LÄN</t>
        </is>
      </c>
      <c r="E13083" t="inlineStr">
        <is>
          <t>ORUST</t>
        </is>
      </c>
      <c r="G13083" t="n">
        <v>4.1</v>
      </c>
      <c r="H13083" t="n">
        <v>0</v>
      </c>
      <c r="I13083" t="n">
        <v>0</v>
      </c>
      <c r="J13083" t="n">
        <v>0</v>
      </c>
      <c r="K13083" t="n">
        <v>0</v>
      </c>
      <c r="L13083" t="n">
        <v>0</v>
      </c>
      <c r="M13083" t="n">
        <v>0</v>
      </c>
      <c r="N13083" t="n">
        <v>0</v>
      </c>
      <c r="O13083" t="n">
        <v>0</v>
      </c>
      <c r="P13083" t="n">
        <v>0</v>
      </c>
      <c r="Q13083" t="n">
        <v>0</v>
      </c>
      <c r="R13083" s="2" t="inlineStr"/>
    </row>
    <row r="13084" ht="15" customHeight="1">
      <c r="A13084" t="inlineStr">
        <is>
          <t>A 23695-2024</t>
        </is>
      </c>
      <c r="B13084" s="1" t="n">
        <v>45454.66747685185</v>
      </c>
      <c r="C13084" s="1" t="n">
        <v>45952</v>
      </c>
      <c r="D13084" t="inlineStr">
        <is>
          <t>VÄSTRA GÖTALANDS LÄN</t>
        </is>
      </c>
      <c r="E13084" t="inlineStr">
        <is>
          <t>DALS-ED</t>
        </is>
      </c>
      <c r="F13084" t="inlineStr">
        <is>
          <t>Kyrkan</t>
        </is>
      </c>
      <c r="G13084" t="n">
        <v>2.9</v>
      </c>
      <c r="H13084" t="n">
        <v>0</v>
      </c>
      <c r="I13084" t="n">
        <v>0</v>
      </c>
      <c r="J13084" t="n">
        <v>0</v>
      </c>
      <c r="K13084" t="n">
        <v>0</v>
      </c>
      <c r="L13084" t="n">
        <v>0</v>
      </c>
      <c r="M13084" t="n">
        <v>0</v>
      </c>
      <c r="N13084" t="n">
        <v>0</v>
      </c>
      <c r="O13084" t="n">
        <v>0</v>
      </c>
      <c r="P13084" t="n">
        <v>0</v>
      </c>
      <c r="Q13084" t="n">
        <v>0</v>
      </c>
      <c r="R13084" s="2" t="inlineStr"/>
    </row>
    <row r="13085" ht="15" customHeight="1">
      <c r="A13085" t="inlineStr">
        <is>
          <t>A 45613-2024</t>
        </is>
      </c>
      <c r="B13085" s="1" t="n">
        <v>45579.4525</v>
      </c>
      <c r="C13085" s="1" t="n">
        <v>45952</v>
      </c>
      <c r="D13085" t="inlineStr">
        <is>
          <t>VÄSTRA GÖTALANDS LÄN</t>
        </is>
      </c>
      <c r="E13085" t="inlineStr">
        <is>
          <t>BENGTSFORS</t>
        </is>
      </c>
      <c r="G13085" t="n">
        <v>7.9</v>
      </c>
      <c r="H13085" t="n">
        <v>0</v>
      </c>
      <c r="I13085" t="n">
        <v>0</v>
      </c>
      <c r="J13085" t="n">
        <v>0</v>
      </c>
      <c r="K13085" t="n">
        <v>0</v>
      </c>
      <c r="L13085" t="n">
        <v>0</v>
      </c>
      <c r="M13085" t="n">
        <v>0</v>
      </c>
      <c r="N13085" t="n">
        <v>0</v>
      </c>
      <c r="O13085" t="n">
        <v>0</v>
      </c>
      <c r="P13085" t="n">
        <v>0</v>
      </c>
      <c r="Q13085" t="n">
        <v>0</v>
      </c>
      <c r="R13085" s="2" t="inlineStr"/>
    </row>
    <row r="13086" ht="15" customHeight="1">
      <c r="A13086" t="inlineStr">
        <is>
          <t>A 36230-2025</t>
        </is>
      </c>
      <c r="B13086" s="1" t="n">
        <v>45867.53939814815</v>
      </c>
      <c r="C13086" s="1" t="n">
        <v>45952</v>
      </c>
      <c r="D13086" t="inlineStr">
        <is>
          <t>VÄSTRA GÖTALANDS LÄN</t>
        </is>
      </c>
      <c r="E13086" t="inlineStr">
        <is>
          <t>MARK</t>
        </is>
      </c>
      <c r="G13086" t="n">
        <v>1.1</v>
      </c>
      <c r="H13086" t="n">
        <v>0</v>
      </c>
      <c r="I13086" t="n">
        <v>0</v>
      </c>
      <c r="J13086" t="n">
        <v>0</v>
      </c>
      <c r="K13086" t="n">
        <v>0</v>
      </c>
      <c r="L13086" t="n">
        <v>0</v>
      </c>
      <c r="M13086" t="n">
        <v>0</v>
      </c>
      <c r="N13086" t="n">
        <v>0</v>
      </c>
      <c r="O13086" t="n">
        <v>0</v>
      </c>
      <c r="P13086" t="n">
        <v>0</v>
      </c>
      <c r="Q13086" t="n">
        <v>0</v>
      </c>
      <c r="R13086" s="2" t="inlineStr"/>
    </row>
    <row r="13087" ht="15" customHeight="1">
      <c r="A13087" t="inlineStr">
        <is>
          <t>A 36055-2025</t>
        </is>
      </c>
      <c r="B13087" s="1" t="n">
        <v>45866</v>
      </c>
      <c r="C13087" s="1" t="n">
        <v>45952</v>
      </c>
      <c r="D13087" t="inlineStr">
        <is>
          <t>VÄSTRA GÖTALANDS LÄN</t>
        </is>
      </c>
      <c r="E13087" t="inlineStr">
        <is>
          <t>KUNGÄLV</t>
        </is>
      </c>
      <c r="G13087" t="n">
        <v>2.8</v>
      </c>
      <c r="H13087" t="n">
        <v>0</v>
      </c>
      <c r="I13087" t="n">
        <v>0</v>
      </c>
      <c r="J13087" t="n">
        <v>0</v>
      </c>
      <c r="K13087" t="n">
        <v>0</v>
      </c>
      <c r="L13087" t="n">
        <v>0</v>
      </c>
      <c r="M13087" t="n">
        <v>0</v>
      </c>
      <c r="N13087" t="n">
        <v>0</v>
      </c>
      <c r="O13087" t="n">
        <v>0</v>
      </c>
      <c r="P13087" t="n">
        <v>0</v>
      </c>
      <c r="Q13087" t="n">
        <v>0</v>
      </c>
      <c r="R13087" s="2" t="inlineStr"/>
    </row>
    <row r="13088" ht="15" customHeight="1">
      <c r="A13088" t="inlineStr">
        <is>
          <t>A 36067-2025</t>
        </is>
      </c>
      <c r="B13088" s="1" t="n">
        <v>45866</v>
      </c>
      <c r="C13088" s="1" t="n">
        <v>45952</v>
      </c>
      <c r="D13088" t="inlineStr">
        <is>
          <t>VÄSTRA GÖTALANDS LÄN</t>
        </is>
      </c>
      <c r="E13088" t="inlineStr">
        <is>
          <t>ULRICEHAMN</t>
        </is>
      </c>
      <c r="G13088" t="n">
        <v>1.2</v>
      </c>
      <c r="H13088" t="n">
        <v>0</v>
      </c>
      <c r="I13088" t="n">
        <v>0</v>
      </c>
      <c r="J13088" t="n">
        <v>0</v>
      </c>
      <c r="K13088" t="n">
        <v>0</v>
      </c>
      <c r="L13088" t="n">
        <v>0</v>
      </c>
      <c r="M13088" t="n">
        <v>0</v>
      </c>
      <c r="N13088" t="n">
        <v>0</v>
      </c>
      <c r="O13088" t="n">
        <v>0</v>
      </c>
      <c r="P13088" t="n">
        <v>0</v>
      </c>
      <c r="Q13088" t="n">
        <v>0</v>
      </c>
      <c r="R13088" s="2" t="inlineStr"/>
    </row>
    <row r="13089" ht="15" customHeight="1">
      <c r="A13089" t="inlineStr">
        <is>
          <t>A 46873-2023</t>
        </is>
      </c>
      <c r="B13089" s="1" t="n">
        <v>45200.84795138889</v>
      </c>
      <c r="C13089" s="1" t="n">
        <v>45952</v>
      </c>
      <c r="D13089" t="inlineStr">
        <is>
          <t>VÄSTRA GÖTALANDS LÄN</t>
        </is>
      </c>
      <c r="E13089" t="inlineStr">
        <is>
          <t>MARIESTAD</t>
        </is>
      </c>
      <c r="G13089" t="n">
        <v>0.5</v>
      </c>
      <c r="H13089" t="n">
        <v>0</v>
      </c>
      <c r="I13089" t="n">
        <v>0</v>
      </c>
      <c r="J13089" t="n">
        <v>0</v>
      </c>
      <c r="K13089" t="n">
        <v>0</v>
      </c>
      <c r="L13089" t="n">
        <v>0</v>
      </c>
      <c r="M13089" t="n">
        <v>0</v>
      </c>
      <c r="N13089" t="n">
        <v>0</v>
      </c>
      <c r="O13089" t="n">
        <v>0</v>
      </c>
      <c r="P13089" t="n">
        <v>0</v>
      </c>
      <c r="Q13089" t="n">
        <v>0</v>
      </c>
      <c r="R13089" s="2" t="inlineStr"/>
    </row>
    <row r="13090" ht="15" customHeight="1">
      <c r="A13090" t="inlineStr">
        <is>
          <t>A 36138-2025</t>
        </is>
      </c>
      <c r="B13090" s="1" t="n">
        <v>45866.64443287037</v>
      </c>
      <c r="C13090" s="1" t="n">
        <v>45952</v>
      </c>
      <c r="D13090" t="inlineStr">
        <is>
          <t>VÄSTRA GÖTALANDS LÄN</t>
        </is>
      </c>
      <c r="E13090" t="inlineStr">
        <is>
          <t>MELLERUD</t>
        </is>
      </c>
      <c r="G13090" t="n">
        <v>1.6</v>
      </c>
      <c r="H13090" t="n">
        <v>0</v>
      </c>
      <c r="I13090" t="n">
        <v>0</v>
      </c>
      <c r="J13090" t="n">
        <v>0</v>
      </c>
      <c r="K13090" t="n">
        <v>0</v>
      </c>
      <c r="L13090" t="n">
        <v>0</v>
      </c>
      <c r="M13090" t="n">
        <v>0</v>
      </c>
      <c r="N13090" t="n">
        <v>0</v>
      </c>
      <c r="O13090" t="n">
        <v>0</v>
      </c>
      <c r="P13090" t="n">
        <v>0</v>
      </c>
      <c r="Q13090" t="n">
        <v>0</v>
      </c>
      <c r="R13090" s="2" t="inlineStr"/>
    </row>
    <row r="13091" ht="15" customHeight="1">
      <c r="A13091" t="inlineStr">
        <is>
          <t>A 36185-2025</t>
        </is>
      </c>
      <c r="B13091" s="1" t="n">
        <v>45867</v>
      </c>
      <c r="C13091" s="1" t="n">
        <v>45952</v>
      </c>
      <c r="D13091" t="inlineStr">
        <is>
          <t>VÄSTRA GÖTALANDS LÄN</t>
        </is>
      </c>
      <c r="E13091" t="inlineStr">
        <is>
          <t>FALKÖPING</t>
        </is>
      </c>
      <c r="G13091" t="n">
        <v>6.7</v>
      </c>
      <c r="H13091" t="n">
        <v>0</v>
      </c>
      <c r="I13091" t="n">
        <v>0</v>
      </c>
      <c r="J13091" t="n">
        <v>0</v>
      </c>
      <c r="K13091" t="n">
        <v>0</v>
      </c>
      <c r="L13091" t="n">
        <v>0</v>
      </c>
      <c r="M13091" t="n">
        <v>0</v>
      </c>
      <c r="N13091" t="n">
        <v>0</v>
      </c>
      <c r="O13091" t="n">
        <v>0</v>
      </c>
      <c r="P13091" t="n">
        <v>0</v>
      </c>
      <c r="Q13091" t="n">
        <v>0</v>
      </c>
      <c r="R13091" s="2" t="inlineStr"/>
    </row>
    <row r="13092" ht="15" customHeight="1">
      <c r="A13092" t="inlineStr">
        <is>
          <t>A 48269-2024</t>
        </is>
      </c>
      <c r="B13092" s="1" t="n">
        <v>45590.43114583333</v>
      </c>
      <c r="C13092" s="1" t="n">
        <v>45952</v>
      </c>
      <c r="D13092" t="inlineStr">
        <is>
          <t>VÄSTRA GÖTALANDS LÄN</t>
        </is>
      </c>
      <c r="E13092" t="inlineStr">
        <is>
          <t>MARIESTAD</t>
        </is>
      </c>
      <c r="F13092" t="inlineStr">
        <is>
          <t>Kyrkan</t>
        </is>
      </c>
      <c r="G13092" t="n">
        <v>2.3</v>
      </c>
      <c r="H13092" t="n">
        <v>0</v>
      </c>
      <c r="I13092" t="n">
        <v>0</v>
      </c>
      <c r="J13092" t="n">
        <v>0</v>
      </c>
      <c r="K13092" t="n">
        <v>0</v>
      </c>
      <c r="L13092" t="n">
        <v>0</v>
      </c>
      <c r="M13092" t="n">
        <v>0</v>
      </c>
      <c r="N13092" t="n">
        <v>0</v>
      </c>
      <c r="O13092" t="n">
        <v>0</v>
      </c>
      <c r="P13092" t="n">
        <v>0</v>
      </c>
      <c r="Q13092" t="n">
        <v>0</v>
      </c>
      <c r="R13092" s="2" t="inlineStr"/>
    </row>
    <row r="13093" ht="15" customHeight="1">
      <c r="A13093" t="inlineStr">
        <is>
          <t>A 36113-2025</t>
        </is>
      </c>
      <c r="B13093" s="1" t="n">
        <v>45866.57512731481</v>
      </c>
      <c r="C13093" s="1" t="n">
        <v>45952</v>
      </c>
      <c r="D13093" t="inlineStr">
        <is>
          <t>VÄSTRA GÖTALANDS LÄN</t>
        </is>
      </c>
      <c r="E13093" t="inlineStr">
        <is>
          <t>BORÅS</t>
        </is>
      </c>
      <c r="G13093" t="n">
        <v>0.9</v>
      </c>
      <c r="H13093" t="n">
        <v>0</v>
      </c>
      <c r="I13093" t="n">
        <v>0</v>
      </c>
      <c r="J13093" t="n">
        <v>0</v>
      </c>
      <c r="K13093" t="n">
        <v>0</v>
      </c>
      <c r="L13093" t="n">
        <v>0</v>
      </c>
      <c r="M13093" t="n">
        <v>0</v>
      </c>
      <c r="N13093" t="n">
        <v>0</v>
      </c>
      <c r="O13093" t="n">
        <v>0</v>
      </c>
      <c r="P13093" t="n">
        <v>0</v>
      </c>
      <c r="Q13093" t="n">
        <v>0</v>
      </c>
      <c r="R13093" s="2" t="inlineStr"/>
    </row>
    <row r="13094" ht="15" customHeight="1">
      <c r="A13094" t="inlineStr">
        <is>
          <t>A 64308-2023</t>
        </is>
      </c>
      <c r="B13094" s="1" t="n">
        <v>45280.37271990741</v>
      </c>
      <c r="C13094" s="1" t="n">
        <v>45952</v>
      </c>
      <c r="D13094" t="inlineStr">
        <is>
          <t>VÄSTRA GÖTALANDS LÄN</t>
        </is>
      </c>
      <c r="E13094" t="inlineStr">
        <is>
          <t>HERRLJUNGA</t>
        </is>
      </c>
      <c r="G13094" t="n">
        <v>0.9</v>
      </c>
      <c r="H13094" t="n">
        <v>0</v>
      </c>
      <c r="I13094" t="n">
        <v>0</v>
      </c>
      <c r="J13094" t="n">
        <v>0</v>
      </c>
      <c r="K13094" t="n">
        <v>0</v>
      </c>
      <c r="L13094" t="n">
        <v>0</v>
      </c>
      <c r="M13094" t="n">
        <v>0</v>
      </c>
      <c r="N13094" t="n">
        <v>0</v>
      </c>
      <c r="O13094" t="n">
        <v>0</v>
      </c>
      <c r="P13094" t="n">
        <v>0</v>
      </c>
      <c r="Q13094" t="n">
        <v>0</v>
      </c>
      <c r="R13094" s="2" t="inlineStr"/>
    </row>
    <row r="13095" ht="15" customHeight="1">
      <c r="A13095" t="inlineStr">
        <is>
          <t>A 16509-2025</t>
        </is>
      </c>
      <c r="B13095" s="1" t="n">
        <v>45751.61958333333</v>
      </c>
      <c r="C13095" s="1" t="n">
        <v>45952</v>
      </c>
      <c r="D13095" t="inlineStr">
        <is>
          <t>VÄSTRA GÖTALANDS LÄN</t>
        </is>
      </c>
      <c r="E13095" t="inlineStr">
        <is>
          <t>HÄRRYDA</t>
        </is>
      </c>
      <c r="G13095" t="n">
        <v>3.2</v>
      </c>
      <c r="H13095" t="n">
        <v>0</v>
      </c>
      <c r="I13095" t="n">
        <v>0</v>
      </c>
      <c r="J13095" t="n">
        <v>0</v>
      </c>
      <c r="K13095" t="n">
        <v>0</v>
      </c>
      <c r="L13095" t="n">
        <v>0</v>
      </c>
      <c r="M13095" t="n">
        <v>0</v>
      </c>
      <c r="N13095" t="n">
        <v>0</v>
      </c>
      <c r="O13095" t="n">
        <v>0</v>
      </c>
      <c r="P13095" t="n">
        <v>0</v>
      </c>
      <c r="Q13095" t="n">
        <v>0</v>
      </c>
      <c r="R13095" s="2" t="inlineStr"/>
    </row>
    <row r="13096" ht="15" customHeight="1">
      <c r="A13096" t="inlineStr">
        <is>
          <t>A 34530-2024</t>
        </is>
      </c>
      <c r="B13096" s="1" t="n">
        <v>45525</v>
      </c>
      <c r="C13096" s="1" t="n">
        <v>45952</v>
      </c>
      <c r="D13096" t="inlineStr">
        <is>
          <t>VÄSTRA GÖTALANDS LÄN</t>
        </is>
      </c>
      <c r="E13096" t="inlineStr">
        <is>
          <t>TIBRO</t>
        </is>
      </c>
      <c r="G13096" t="n">
        <v>1</v>
      </c>
      <c r="H13096" t="n">
        <v>0</v>
      </c>
      <c r="I13096" t="n">
        <v>0</v>
      </c>
      <c r="J13096" t="n">
        <v>0</v>
      </c>
      <c r="K13096" t="n">
        <v>0</v>
      </c>
      <c r="L13096" t="n">
        <v>0</v>
      </c>
      <c r="M13096" t="n">
        <v>0</v>
      </c>
      <c r="N13096" t="n">
        <v>0</v>
      </c>
      <c r="O13096" t="n">
        <v>0</v>
      </c>
      <c r="P13096" t="n">
        <v>0</v>
      </c>
      <c r="Q13096" t="n">
        <v>0</v>
      </c>
      <c r="R13096" s="2" t="inlineStr"/>
    </row>
    <row r="13097" ht="15" customHeight="1">
      <c r="A13097" t="inlineStr">
        <is>
          <t>A 36080-2025</t>
        </is>
      </c>
      <c r="B13097" s="1" t="n">
        <v>45866.45084490741</v>
      </c>
      <c r="C13097" s="1" t="n">
        <v>45952</v>
      </c>
      <c r="D13097" t="inlineStr">
        <is>
          <t>VÄSTRA GÖTALANDS LÄN</t>
        </is>
      </c>
      <c r="E13097" t="inlineStr">
        <is>
          <t>ULRICEHAMN</t>
        </is>
      </c>
      <c r="G13097" t="n">
        <v>5.5</v>
      </c>
      <c r="H13097" t="n">
        <v>0</v>
      </c>
      <c r="I13097" t="n">
        <v>0</v>
      </c>
      <c r="J13097" t="n">
        <v>0</v>
      </c>
      <c r="K13097" t="n">
        <v>0</v>
      </c>
      <c r="L13097" t="n">
        <v>0</v>
      </c>
      <c r="M13097" t="n">
        <v>0</v>
      </c>
      <c r="N13097" t="n">
        <v>0</v>
      </c>
      <c r="O13097" t="n">
        <v>0</v>
      </c>
      <c r="P13097" t="n">
        <v>0</v>
      </c>
      <c r="Q13097" t="n">
        <v>0</v>
      </c>
      <c r="R13097" s="2" t="inlineStr"/>
    </row>
    <row r="13098" ht="15" customHeight="1">
      <c r="A13098" t="inlineStr">
        <is>
          <t>A 36128-2025</t>
        </is>
      </c>
      <c r="B13098" s="1" t="n">
        <v>45866</v>
      </c>
      <c r="C13098" s="1" t="n">
        <v>45952</v>
      </c>
      <c r="D13098" t="inlineStr">
        <is>
          <t>VÄSTRA GÖTALANDS LÄN</t>
        </is>
      </c>
      <c r="E13098" t="inlineStr">
        <is>
          <t>BORÅS</t>
        </is>
      </c>
      <c r="G13098" t="n">
        <v>2.9</v>
      </c>
      <c r="H13098" t="n">
        <v>0</v>
      </c>
      <c r="I13098" t="n">
        <v>0</v>
      </c>
      <c r="J13098" t="n">
        <v>0</v>
      </c>
      <c r="K13098" t="n">
        <v>0</v>
      </c>
      <c r="L13098" t="n">
        <v>0</v>
      </c>
      <c r="M13098" t="n">
        <v>0</v>
      </c>
      <c r="N13098" t="n">
        <v>0</v>
      </c>
      <c r="O13098" t="n">
        <v>0</v>
      </c>
      <c r="P13098" t="n">
        <v>0</v>
      </c>
      <c r="Q13098" t="n">
        <v>0</v>
      </c>
      <c r="R13098" s="2" t="inlineStr"/>
    </row>
    <row r="13099" ht="15" customHeight="1">
      <c r="A13099" t="inlineStr">
        <is>
          <t>A 28258-2023</t>
        </is>
      </c>
      <c r="B13099" s="1" t="n">
        <v>45099</v>
      </c>
      <c r="C13099" s="1" t="n">
        <v>45952</v>
      </c>
      <c r="D13099" t="inlineStr">
        <is>
          <t>VÄSTRA GÖTALANDS LÄN</t>
        </is>
      </c>
      <c r="E13099" t="inlineStr">
        <is>
          <t>GÖTENE</t>
        </is>
      </c>
      <c r="G13099" t="n">
        <v>2.7</v>
      </c>
      <c r="H13099" t="n">
        <v>0</v>
      </c>
      <c r="I13099" t="n">
        <v>0</v>
      </c>
      <c r="J13099" t="n">
        <v>0</v>
      </c>
      <c r="K13099" t="n">
        <v>0</v>
      </c>
      <c r="L13099" t="n">
        <v>0</v>
      </c>
      <c r="M13099" t="n">
        <v>0</v>
      </c>
      <c r="N13099" t="n">
        <v>0</v>
      </c>
      <c r="O13099" t="n">
        <v>0</v>
      </c>
      <c r="P13099" t="n">
        <v>0</v>
      </c>
      <c r="Q13099" t="n">
        <v>0</v>
      </c>
      <c r="R13099" s="2" t="inlineStr"/>
    </row>
    <row r="13100" ht="15" customHeight="1">
      <c r="A13100" t="inlineStr">
        <is>
          <t>A 28264-2023</t>
        </is>
      </c>
      <c r="B13100" s="1" t="n">
        <v>45099</v>
      </c>
      <c r="C13100" s="1" t="n">
        <v>45952</v>
      </c>
      <c r="D13100" t="inlineStr">
        <is>
          <t>VÄSTRA GÖTALANDS LÄN</t>
        </is>
      </c>
      <c r="E13100" t="inlineStr">
        <is>
          <t>GÖTENE</t>
        </is>
      </c>
      <c r="G13100" t="n">
        <v>1.9</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36181-2025</t>
        </is>
      </c>
      <c r="B13101" s="1" t="n">
        <v>45867</v>
      </c>
      <c r="C13101" s="1" t="n">
        <v>45952</v>
      </c>
      <c r="D13101" t="inlineStr">
        <is>
          <t>VÄSTRA GÖTALANDS LÄN</t>
        </is>
      </c>
      <c r="E13101" t="inlineStr">
        <is>
          <t>FALKÖPING</t>
        </is>
      </c>
      <c r="G13101" t="n">
        <v>8.699999999999999</v>
      </c>
      <c r="H13101" t="n">
        <v>0</v>
      </c>
      <c r="I13101" t="n">
        <v>0</v>
      </c>
      <c r="J13101" t="n">
        <v>0</v>
      </c>
      <c r="K13101" t="n">
        <v>0</v>
      </c>
      <c r="L13101" t="n">
        <v>0</v>
      </c>
      <c r="M13101" t="n">
        <v>0</v>
      </c>
      <c r="N13101" t="n">
        <v>0</v>
      </c>
      <c r="O13101" t="n">
        <v>0</v>
      </c>
      <c r="P13101" t="n">
        <v>0</v>
      </c>
      <c r="Q13101" t="n">
        <v>0</v>
      </c>
      <c r="R13101" s="2" t="inlineStr"/>
    </row>
    <row r="13102" ht="15" customHeight="1">
      <c r="A13102" t="inlineStr">
        <is>
          <t>A 36028-2025</t>
        </is>
      </c>
      <c r="B13102" s="1" t="n">
        <v>45864.64525462963</v>
      </c>
      <c r="C13102" s="1" t="n">
        <v>45952</v>
      </c>
      <c r="D13102" t="inlineStr">
        <is>
          <t>VÄSTRA GÖTALANDS LÄN</t>
        </is>
      </c>
      <c r="E13102" t="inlineStr">
        <is>
          <t>BORÅS</t>
        </is>
      </c>
      <c r="G13102" t="n">
        <v>1.3</v>
      </c>
      <c r="H13102" t="n">
        <v>0</v>
      </c>
      <c r="I13102" t="n">
        <v>0</v>
      </c>
      <c r="J13102" t="n">
        <v>0</v>
      </c>
      <c r="K13102" t="n">
        <v>0</v>
      </c>
      <c r="L13102" t="n">
        <v>0</v>
      </c>
      <c r="M13102" t="n">
        <v>0</v>
      </c>
      <c r="N13102" t="n">
        <v>0</v>
      </c>
      <c r="O13102" t="n">
        <v>0</v>
      </c>
      <c r="P13102" t="n">
        <v>0</v>
      </c>
      <c r="Q13102" t="n">
        <v>0</v>
      </c>
      <c r="R13102" s="2" t="inlineStr"/>
    </row>
    <row r="13103" ht="15" customHeight="1">
      <c r="A13103" t="inlineStr">
        <is>
          <t>A 6841-2025</t>
        </is>
      </c>
      <c r="B13103" s="1" t="n">
        <v>45700.84496527778</v>
      </c>
      <c r="C13103" s="1" t="n">
        <v>45952</v>
      </c>
      <c r="D13103" t="inlineStr">
        <is>
          <t>VÄSTRA GÖTALANDS LÄN</t>
        </is>
      </c>
      <c r="E13103" t="inlineStr">
        <is>
          <t>ALINGSÅS</t>
        </is>
      </c>
      <c r="G13103" t="n">
        <v>1.1</v>
      </c>
      <c r="H13103" t="n">
        <v>0</v>
      </c>
      <c r="I13103" t="n">
        <v>0</v>
      </c>
      <c r="J13103" t="n">
        <v>0</v>
      </c>
      <c r="K13103" t="n">
        <v>0</v>
      </c>
      <c r="L13103" t="n">
        <v>0</v>
      </c>
      <c r="M13103" t="n">
        <v>0</v>
      </c>
      <c r="N13103" t="n">
        <v>0</v>
      </c>
      <c r="O13103" t="n">
        <v>0</v>
      </c>
      <c r="P13103" t="n">
        <v>0</v>
      </c>
      <c r="Q13103" t="n">
        <v>0</v>
      </c>
      <c r="R13103" s="2" t="inlineStr"/>
    </row>
    <row r="13104" ht="15" customHeight="1">
      <c r="A13104" t="inlineStr">
        <is>
          <t>A 6863-2025</t>
        </is>
      </c>
      <c r="B13104" s="1" t="n">
        <v>45701.31409722222</v>
      </c>
      <c r="C13104" s="1" t="n">
        <v>45952</v>
      </c>
      <c r="D13104" t="inlineStr">
        <is>
          <t>VÄSTRA GÖTALANDS LÄN</t>
        </is>
      </c>
      <c r="E13104" t="inlineStr">
        <is>
          <t>SVENLJUNGA</t>
        </is>
      </c>
      <c r="G13104" t="n">
        <v>1.4</v>
      </c>
      <c r="H13104" t="n">
        <v>0</v>
      </c>
      <c r="I13104" t="n">
        <v>0</v>
      </c>
      <c r="J13104" t="n">
        <v>0</v>
      </c>
      <c r="K13104" t="n">
        <v>0</v>
      </c>
      <c r="L13104" t="n">
        <v>0</v>
      </c>
      <c r="M13104" t="n">
        <v>0</v>
      </c>
      <c r="N13104" t="n">
        <v>0</v>
      </c>
      <c r="O13104" t="n">
        <v>0</v>
      </c>
      <c r="P13104" t="n">
        <v>0</v>
      </c>
      <c r="Q13104" t="n">
        <v>0</v>
      </c>
      <c r="R13104" s="2" t="inlineStr"/>
    </row>
    <row r="13105" ht="15" customHeight="1">
      <c r="A13105" t="inlineStr">
        <is>
          <t>A 54659-2022</t>
        </is>
      </c>
      <c r="B13105" s="1" t="n">
        <v>44883</v>
      </c>
      <c r="C13105" s="1" t="n">
        <v>45952</v>
      </c>
      <c r="D13105" t="inlineStr">
        <is>
          <t>VÄSTRA GÖTALANDS LÄN</t>
        </is>
      </c>
      <c r="E13105" t="inlineStr">
        <is>
          <t>BOLLEBYGD</t>
        </is>
      </c>
      <c r="G13105" t="n">
        <v>1.8</v>
      </c>
      <c r="H13105" t="n">
        <v>0</v>
      </c>
      <c r="I13105" t="n">
        <v>0</v>
      </c>
      <c r="J13105" t="n">
        <v>0</v>
      </c>
      <c r="K13105" t="n">
        <v>0</v>
      </c>
      <c r="L13105" t="n">
        <v>0</v>
      </c>
      <c r="M13105" t="n">
        <v>0</v>
      </c>
      <c r="N13105" t="n">
        <v>0</v>
      </c>
      <c r="O13105" t="n">
        <v>0</v>
      </c>
      <c r="P13105" t="n">
        <v>0</v>
      </c>
      <c r="Q13105" t="n">
        <v>0</v>
      </c>
      <c r="R13105" s="2" t="inlineStr"/>
    </row>
    <row r="13106" ht="15" customHeight="1">
      <c r="A13106" t="inlineStr">
        <is>
          <t>A 36260-2025</t>
        </is>
      </c>
      <c r="B13106" s="1" t="n">
        <v>45867.59960648148</v>
      </c>
      <c r="C13106" s="1" t="n">
        <v>45952</v>
      </c>
      <c r="D13106" t="inlineStr">
        <is>
          <t>VÄSTRA GÖTALANDS LÄN</t>
        </is>
      </c>
      <c r="E13106" t="inlineStr">
        <is>
          <t>BORÅS</t>
        </is>
      </c>
      <c r="G13106" t="n">
        <v>0.8</v>
      </c>
      <c r="H13106" t="n">
        <v>0</v>
      </c>
      <c r="I13106" t="n">
        <v>0</v>
      </c>
      <c r="J13106" t="n">
        <v>0</v>
      </c>
      <c r="K13106" t="n">
        <v>0</v>
      </c>
      <c r="L13106" t="n">
        <v>0</v>
      </c>
      <c r="M13106" t="n">
        <v>0</v>
      </c>
      <c r="N13106" t="n">
        <v>0</v>
      </c>
      <c r="O13106" t="n">
        <v>0</v>
      </c>
      <c r="P13106" t="n">
        <v>0</v>
      </c>
      <c r="Q13106" t="n">
        <v>0</v>
      </c>
      <c r="R13106" s="2" t="inlineStr"/>
    </row>
    <row r="13107" ht="15" customHeight="1">
      <c r="A13107" t="inlineStr">
        <is>
          <t>A 36268-2025</t>
        </is>
      </c>
      <c r="B13107" s="1" t="n">
        <v>45867.61729166667</v>
      </c>
      <c r="C13107" s="1" t="n">
        <v>45952</v>
      </c>
      <c r="D13107" t="inlineStr">
        <is>
          <t>VÄSTRA GÖTALANDS LÄN</t>
        </is>
      </c>
      <c r="E13107" t="inlineStr">
        <is>
          <t>MARK</t>
        </is>
      </c>
      <c r="G13107" t="n">
        <v>6.3</v>
      </c>
      <c r="H13107" t="n">
        <v>0</v>
      </c>
      <c r="I13107" t="n">
        <v>0</v>
      </c>
      <c r="J13107" t="n">
        <v>0</v>
      </c>
      <c r="K13107" t="n">
        <v>0</v>
      </c>
      <c r="L13107" t="n">
        <v>0</v>
      </c>
      <c r="M13107" t="n">
        <v>0</v>
      </c>
      <c r="N13107" t="n">
        <v>0</v>
      </c>
      <c r="O13107" t="n">
        <v>0</v>
      </c>
      <c r="P13107" t="n">
        <v>0</v>
      </c>
      <c r="Q13107" t="n">
        <v>0</v>
      </c>
      <c r="R13107" s="2" t="inlineStr"/>
    </row>
    <row r="13108" ht="15" customHeight="1">
      <c r="A13108" t="inlineStr">
        <is>
          <t>A 18149-2024</t>
        </is>
      </c>
      <c r="B13108" s="1" t="n">
        <v>45420</v>
      </c>
      <c r="C13108" s="1" t="n">
        <v>45952</v>
      </c>
      <c r="D13108" t="inlineStr">
        <is>
          <t>VÄSTRA GÖTALANDS LÄN</t>
        </is>
      </c>
      <c r="E13108" t="inlineStr">
        <is>
          <t>SVENLJUNGA</t>
        </is>
      </c>
      <c r="G13108" t="n">
        <v>1.1</v>
      </c>
      <c r="H13108" t="n">
        <v>0</v>
      </c>
      <c r="I13108" t="n">
        <v>0</v>
      </c>
      <c r="J13108" t="n">
        <v>0</v>
      </c>
      <c r="K13108" t="n">
        <v>0</v>
      </c>
      <c r="L13108" t="n">
        <v>0</v>
      </c>
      <c r="M13108" t="n">
        <v>0</v>
      </c>
      <c r="N13108" t="n">
        <v>0</v>
      </c>
      <c r="O13108" t="n">
        <v>0</v>
      </c>
      <c r="P13108" t="n">
        <v>0</v>
      </c>
      <c r="Q13108" t="n">
        <v>0</v>
      </c>
      <c r="R13108" s="2" t="inlineStr"/>
    </row>
    <row r="13109" ht="15" customHeight="1">
      <c r="A13109" t="inlineStr">
        <is>
          <t>A 38780-2022</t>
        </is>
      </c>
      <c r="B13109" s="1" t="n">
        <v>44813</v>
      </c>
      <c r="C13109" s="1" t="n">
        <v>45952</v>
      </c>
      <c r="D13109" t="inlineStr">
        <is>
          <t>VÄSTRA GÖTALANDS LÄN</t>
        </is>
      </c>
      <c r="E13109" t="inlineStr">
        <is>
          <t>MARK</t>
        </is>
      </c>
      <c r="G13109" t="n">
        <v>3.5</v>
      </c>
      <c r="H13109" t="n">
        <v>0</v>
      </c>
      <c r="I13109" t="n">
        <v>0</v>
      </c>
      <c r="J13109" t="n">
        <v>0</v>
      </c>
      <c r="K13109" t="n">
        <v>0</v>
      </c>
      <c r="L13109" t="n">
        <v>0</v>
      </c>
      <c r="M13109" t="n">
        <v>0</v>
      </c>
      <c r="N13109" t="n">
        <v>0</v>
      </c>
      <c r="O13109" t="n">
        <v>0</v>
      </c>
      <c r="P13109" t="n">
        <v>0</v>
      </c>
      <c r="Q13109" t="n">
        <v>0</v>
      </c>
      <c r="R13109" s="2" t="inlineStr"/>
    </row>
    <row r="13110" ht="15" customHeight="1">
      <c r="A13110" t="inlineStr">
        <is>
          <t>A 26847-2024</t>
        </is>
      </c>
      <c r="B13110" s="1" t="n">
        <v>45470.58363425926</v>
      </c>
      <c r="C13110" s="1" t="n">
        <v>45952</v>
      </c>
      <c r="D13110" t="inlineStr">
        <is>
          <t>VÄSTRA GÖTALANDS LÄN</t>
        </is>
      </c>
      <c r="E13110" t="inlineStr">
        <is>
          <t>UDDEVALLA</t>
        </is>
      </c>
      <c r="F13110" t="inlineStr">
        <is>
          <t>Kommuner</t>
        </is>
      </c>
      <c r="G13110" t="n">
        <v>2</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31073-2022</t>
        </is>
      </c>
      <c r="B13111" s="1" t="n">
        <v>44769.57590277777</v>
      </c>
      <c r="C13111" s="1" t="n">
        <v>45952</v>
      </c>
      <c r="D13111" t="inlineStr">
        <is>
          <t>VÄSTRA GÖTALANDS LÄN</t>
        </is>
      </c>
      <c r="E13111" t="inlineStr">
        <is>
          <t>GRÄSTORP</t>
        </is>
      </c>
      <c r="G13111" t="n">
        <v>1.1</v>
      </c>
      <c r="H13111" t="n">
        <v>0</v>
      </c>
      <c r="I13111" t="n">
        <v>0</v>
      </c>
      <c r="J13111" t="n">
        <v>0</v>
      </c>
      <c r="K13111" t="n">
        <v>0</v>
      </c>
      <c r="L13111" t="n">
        <v>0</v>
      </c>
      <c r="M13111" t="n">
        <v>0</v>
      </c>
      <c r="N13111" t="n">
        <v>0</v>
      </c>
      <c r="O13111" t="n">
        <v>0</v>
      </c>
      <c r="P13111" t="n">
        <v>0</v>
      </c>
      <c r="Q13111" t="n">
        <v>0</v>
      </c>
      <c r="R13111" s="2" t="inlineStr"/>
    </row>
    <row r="13112" ht="15" customHeight="1">
      <c r="A13112" t="inlineStr">
        <is>
          <t>A 36187-2025</t>
        </is>
      </c>
      <c r="B13112" s="1" t="n">
        <v>45867</v>
      </c>
      <c r="C13112" s="1" t="n">
        <v>45952</v>
      </c>
      <c r="D13112" t="inlineStr">
        <is>
          <t>VÄSTRA GÖTALANDS LÄN</t>
        </is>
      </c>
      <c r="E13112" t="inlineStr">
        <is>
          <t>FALKÖPING</t>
        </is>
      </c>
      <c r="G13112" t="n">
        <v>2.1</v>
      </c>
      <c r="H13112" t="n">
        <v>0</v>
      </c>
      <c r="I13112" t="n">
        <v>0</v>
      </c>
      <c r="J13112" t="n">
        <v>0</v>
      </c>
      <c r="K13112" t="n">
        <v>0</v>
      </c>
      <c r="L13112" t="n">
        <v>0</v>
      </c>
      <c r="M13112" t="n">
        <v>0</v>
      </c>
      <c r="N13112" t="n">
        <v>0</v>
      </c>
      <c r="O13112" t="n">
        <v>0</v>
      </c>
      <c r="P13112" t="n">
        <v>0</v>
      </c>
      <c r="Q13112" t="n">
        <v>0</v>
      </c>
      <c r="R13112" s="2" t="inlineStr"/>
    </row>
    <row r="13113" ht="15" customHeight="1">
      <c r="A13113" t="inlineStr">
        <is>
          <t>A 47485-2024</t>
        </is>
      </c>
      <c r="B13113" s="1" t="n">
        <v>45587</v>
      </c>
      <c r="C13113" s="1" t="n">
        <v>45952</v>
      </c>
      <c r="D13113" t="inlineStr">
        <is>
          <t>VÄSTRA GÖTALANDS LÄN</t>
        </is>
      </c>
      <c r="E13113" t="inlineStr">
        <is>
          <t>TIDAHOLM</t>
        </is>
      </c>
      <c r="G13113" t="n">
        <v>1.1</v>
      </c>
      <c r="H13113" t="n">
        <v>0</v>
      </c>
      <c r="I13113" t="n">
        <v>0</v>
      </c>
      <c r="J13113" t="n">
        <v>0</v>
      </c>
      <c r="K13113" t="n">
        <v>0</v>
      </c>
      <c r="L13113" t="n">
        <v>0</v>
      </c>
      <c r="M13113" t="n">
        <v>0</v>
      </c>
      <c r="N13113" t="n">
        <v>0</v>
      </c>
      <c r="O13113" t="n">
        <v>0</v>
      </c>
      <c r="P13113" t="n">
        <v>0</v>
      </c>
      <c r="Q13113" t="n">
        <v>0</v>
      </c>
      <c r="R13113" s="2" t="inlineStr"/>
    </row>
    <row r="13114" ht="15" customHeight="1">
      <c r="A13114" t="inlineStr">
        <is>
          <t>A 61334-2023</t>
        </is>
      </c>
      <c r="B13114" s="1" t="n">
        <v>45264</v>
      </c>
      <c r="C13114" s="1" t="n">
        <v>45952</v>
      </c>
      <c r="D13114" t="inlineStr">
        <is>
          <t>VÄSTRA GÖTALANDS LÄN</t>
        </is>
      </c>
      <c r="E13114" t="inlineStr">
        <is>
          <t>BENGTSFORS</t>
        </is>
      </c>
      <c r="G13114" t="n">
        <v>9.4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47490-2024</t>
        </is>
      </c>
      <c r="B13115" s="1" t="n">
        <v>45586</v>
      </c>
      <c r="C13115" s="1" t="n">
        <v>45952</v>
      </c>
      <c r="D13115" t="inlineStr">
        <is>
          <t>VÄSTRA GÖTALANDS LÄN</t>
        </is>
      </c>
      <c r="E13115" t="inlineStr">
        <is>
          <t>SKÖVDE</t>
        </is>
      </c>
      <c r="G13115" t="n">
        <v>1.3</v>
      </c>
      <c r="H13115" t="n">
        <v>0</v>
      </c>
      <c r="I13115" t="n">
        <v>0</v>
      </c>
      <c r="J13115" t="n">
        <v>0</v>
      </c>
      <c r="K13115" t="n">
        <v>0</v>
      </c>
      <c r="L13115" t="n">
        <v>0</v>
      </c>
      <c r="M13115" t="n">
        <v>0</v>
      </c>
      <c r="N13115" t="n">
        <v>0</v>
      </c>
      <c r="O13115" t="n">
        <v>0</v>
      </c>
      <c r="P13115" t="n">
        <v>0</v>
      </c>
      <c r="Q13115" t="n">
        <v>0</v>
      </c>
      <c r="R13115" s="2" t="inlineStr"/>
    </row>
    <row r="13116" ht="15" customHeight="1">
      <c r="A13116" t="inlineStr">
        <is>
          <t>A 47541-2024</t>
        </is>
      </c>
      <c r="B13116" s="1" t="n">
        <v>45587.65398148148</v>
      </c>
      <c r="C13116" s="1" t="n">
        <v>45952</v>
      </c>
      <c r="D13116" t="inlineStr">
        <is>
          <t>VÄSTRA GÖTALANDS LÄN</t>
        </is>
      </c>
      <c r="E13116" t="inlineStr">
        <is>
          <t>MARK</t>
        </is>
      </c>
      <c r="G13116" t="n">
        <v>0.9</v>
      </c>
      <c r="H13116" t="n">
        <v>0</v>
      </c>
      <c r="I13116" t="n">
        <v>0</v>
      </c>
      <c r="J13116" t="n">
        <v>0</v>
      </c>
      <c r="K13116" t="n">
        <v>0</v>
      </c>
      <c r="L13116" t="n">
        <v>0</v>
      </c>
      <c r="M13116" t="n">
        <v>0</v>
      </c>
      <c r="N13116" t="n">
        <v>0</v>
      </c>
      <c r="O13116" t="n">
        <v>0</v>
      </c>
      <c r="P13116" t="n">
        <v>0</v>
      </c>
      <c r="Q13116" t="n">
        <v>0</v>
      </c>
      <c r="R13116" s="2" t="inlineStr"/>
    </row>
    <row r="13117" ht="15" customHeight="1">
      <c r="A13117" t="inlineStr">
        <is>
          <t>A 36201-2025</t>
        </is>
      </c>
      <c r="B13117" s="1" t="n">
        <v>45867.44418981481</v>
      </c>
      <c r="C13117" s="1" t="n">
        <v>45952</v>
      </c>
      <c r="D13117" t="inlineStr">
        <is>
          <t>VÄSTRA GÖTALANDS LÄN</t>
        </is>
      </c>
      <c r="E13117" t="inlineStr">
        <is>
          <t>LIDKÖPING</t>
        </is>
      </c>
      <c r="G13117" t="n">
        <v>1.8</v>
      </c>
      <c r="H13117" t="n">
        <v>0</v>
      </c>
      <c r="I13117" t="n">
        <v>0</v>
      </c>
      <c r="J13117" t="n">
        <v>0</v>
      </c>
      <c r="K13117" t="n">
        <v>0</v>
      </c>
      <c r="L13117" t="n">
        <v>0</v>
      </c>
      <c r="M13117" t="n">
        <v>0</v>
      </c>
      <c r="N13117" t="n">
        <v>0</v>
      </c>
      <c r="O13117" t="n">
        <v>0</v>
      </c>
      <c r="P13117" t="n">
        <v>0</v>
      </c>
      <c r="Q13117" t="n">
        <v>0</v>
      </c>
      <c r="R13117" s="2" t="inlineStr"/>
    </row>
    <row r="13118" ht="15" customHeight="1">
      <c r="A13118" t="inlineStr">
        <is>
          <t>A 36208-2025</t>
        </is>
      </c>
      <c r="B13118" s="1" t="n">
        <v>45867.46184027778</v>
      </c>
      <c r="C13118" s="1" t="n">
        <v>45952</v>
      </c>
      <c r="D13118" t="inlineStr">
        <is>
          <t>VÄSTRA GÖTALANDS LÄN</t>
        </is>
      </c>
      <c r="E13118" t="inlineStr">
        <is>
          <t>LIDKÖPING</t>
        </is>
      </c>
      <c r="G13118" t="n">
        <v>0.9</v>
      </c>
      <c r="H13118" t="n">
        <v>0</v>
      </c>
      <c r="I13118" t="n">
        <v>0</v>
      </c>
      <c r="J13118" t="n">
        <v>0</v>
      </c>
      <c r="K13118" t="n">
        <v>0</v>
      </c>
      <c r="L13118" t="n">
        <v>0</v>
      </c>
      <c r="M13118" t="n">
        <v>0</v>
      </c>
      <c r="N13118" t="n">
        <v>0</v>
      </c>
      <c r="O13118" t="n">
        <v>0</v>
      </c>
      <c r="P13118" t="n">
        <v>0</v>
      </c>
      <c r="Q13118" t="n">
        <v>0</v>
      </c>
      <c r="R13118" s="2" t="inlineStr"/>
    </row>
    <row r="13119" ht="15" customHeight="1">
      <c r="A13119" t="inlineStr">
        <is>
          <t>A 36191-2025</t>
        </is>
      </c>
      <c r="B13119" s="1" t="n">
        <v>45867.42372685186</v>
      </c>
      <c r="C13119" s="1" t="n">
        <v>45952</v>
      </c>
      <c r="D13119" t="inlineStr">
        <is>
          <t>VÄSTRA GÖTALANDS LÄN</t>
        </is>
      </c>
      <c r="E13119" t="inlineStr">
        <is>
          <t>TROLLHÄTTAN</t>
        </is>
      </c>
      <c r="G13119" t="n">
        <v>0.9</v>
      </c>
      <c r="H13119" t="n">
        <v>0</v>
      </c>
      <c r="I13119" t="n">
        <v>0</v>
      </c>
      <c r="J13119" t="n">
        <v>0</v>
      </c>
      <c r="K13119" t="n">
        <v>0</v>
      </c>
      <c r="L13119" t="n">
        <v>0</v>
      </c>
      <c r="M13119" t="n">
        <v>0</v>
      </c>
      <c r="N13119" t="n">
        <v>0</v>
      </c>
      <c r="O13119" t="n">
        <v>0</v>
      </c>
      <c r="P13119" t="n">
        <v>0</v>
      </c>
      <c r="Q13119" t="n">
        <v>0</v>
      </c>
      <c r="R13119" s="2" t="inlineStr"/>
    </row>
    <row r="13120" ht="15" customHeight="1">
      <c r="A13120" t="inlineStr">
        <is>
          <t>A 36192-2025</t>
        </is>
      </c>
      <c r="B13120" s="1" t="n">
        <v>45867.42621527778</v>
      </c>
      <c r="C13120" s="1" t="n">
        <v>45952</v>
      </c>
      <c r="D13120" t="inlineStr">
        <is>
          <t>VÄSTRA GÖTALANDS LÄN</t>
        </is>
      </c>
      <c r="E13120" t="inlineStr">
        <is>
          <t>TROLLHÄTTAN</t>
        </is>
      </c>
      <c r="G13120" t="n">
        <v>0.4</v>
      </c>
      <c r="H13120" t="n">
        <v>0</v>
      </c>
      <c r="I13120" t="n">
        <v>0</v>
      </c>
      <c r="J13120" t="n">
        <v>0</v>
      </c>
      <c r="K13120" t="n">
        <v>0</v>
      </c>
      <c r="L13120" t="n">
        <v>0</v>
      </c>
      <c r="M13120" t="n">
        <v>0</v>
      </c>
      <c r="N13120" t="n">
        <v>0</v>
      </c>
      <c r="O13120" t="n">
        <v>0</v>
      </c>
      <c r="P13120" t="n">
        <v>0</v>
      </c>
      <c r="Q13120" t="n">
        <v>0</v>
      </c>
      <c r="R13120" s="2" t="inlineStr"/>
    </row>
    <row r="13121" ht="15" customHeight="1">
      <c r="A13121" t="inlineStr">
        <is>
          <t>A 36906-2023</t>
        </is>
      </c>
      <c r="B13121" s="1" t="n">
        <v>45153</v>
      </c>
      <c r="C13121" s="1" t="n">
        <v>45952</v>
      </c>
      <c r="D13121" t="inlineStr">
        <is>
          <t>VÄSTRA GÖTALANDS LÄN</t>
        </is>
      </c>
      <c r="E13121" t="inlineStr">
        <is>
          <t>MUNKEDAL</t>
        </is>
      </c>
      <c r="F13121" t="inlineStr">
        <is>
          <t>Övriga Aktiebolag</t>
        </is>
      </c>
      <c r="G13121" t="n">
        <v>2.3</v>
      </c>
      <c r="H13121" t="n">
        <v>0</v>
      </c>
      <c r="I13121" t="n">
        <v>0</v>
      </c>
      <c r="J13121" t="n">
        <v>0</v>
      </c>
      <c r="K13121" t="n">
        <v>0</v>
      </c>
      <c r="L13121" t="n">
        <v>0</v>
      </c>
      <c r="M13121" t="n">
        <v>0</v>
      </c>
      <c r="N13121" t="n">
        <v>0</v>
      </c>
      <c r="O13121" t="n">
        <v>0</v>
      </c>
      <c r="P13121" t="n">
        <v>0</v>
      </c>
      <c r="Q13121" t="n">
        <v>0</v>
      </c>
      <c r="R13121" s="2" t="inlineStr"/>
    </row>
    <row r="13122" ht="15" customHeight="1">
      <c r="A13122" t="inlineStr">
        <is>
          <t>A 36123-2025</t>
        </is>
      </c>
      <c r="B13122" s="1" t="n">
        <v>45866.61204861111</v>
      </c>
      <c r="C13122" s="1" t="n">
        <v>45952</v>
      </c>
      <c r="D13122" t="inlineStr">
        <is>
          <t>VÄSTRA GÖTALANDS LÄN</t>
        </is>
      </c>
      <c r="E13122" t="inlineStr">
        <is>
          <t>MELLERUD</t>
        </is>
      </c>
      <c r="G13122" t="n">
        <v>2.3</v>
      </c>
      <c r="H13122" t="n">
        <v>0</v>
      </c>
      <c r="I13122" t="n">
        <v>0</v>
      </c>
      <c r="J13122" t="n">
        <v>0</v>
      </c>
      <c r="K13122" t="n">
        <v>0</v>
      </c>
      <c r="L13122" t="n">
        <v>0</v>
      </c>
      <c r="M13122" t="n">
        <v>0</v>
      </c>
      <c r="N13122" t="n">
        <v>0</v>
      </c>
      <c r="O13122" t="n">
        <v>0</v>
      </c>
      <c r="P13122" t="n">
        <v>0</v>
      </c>
      <c r="Q13122" t="n">
        <v>0</v>
      </c>
      <c r="R13122" s="2" t="inlineStr"/>
    </row>
    <row r="13123" ht="15" customHeight="1">
      <c r="A13123" t="inlineStr">
        <is>
          <t>A 28158-2024</t>
        </is>
      </c>
      <c r="B13123" s="1" t="n">
        <v>45476.93028935185</v>
      </c>
      <c r="C13123" s="1" t="n">
        <v>45952</v>
      </c>
      <c r="D13123" t="inlineStr">
        <is>
          <t>VÄSTRA GÖTALANDS LÄN</t>
        </is>
      </c>
      <c r="E13123" t="inlineStr">
        <is>
          <t>BOLLEBYGD</t>
        </is>
      </c>
      <c r="G13123" t="n">
        <v>6.1</v>
      </c>
      <c r="H13123" t="n">
        <v>0</v>
      </c>
      <c r="I13123" t="n">
        <v>0</v>
      </c>
      <c r="J13123" t="n">
        <v>0</v>
      </c>
      <c r="K13123" t="n">
        <v>0</v>
      </c>
      <c r="L13123" t="n">
        <v>0</v>
      </c>
      <c r="M13123" t="n">
        <v>0</v>
      </c>
      <c r="N13123" t="n">
        <v>0</v>
      </c>
      <c r="O13123" t="n">
        <v>0</v>
      </c>
      <c r="P13123" t="n">
        <v>0</v>
      </c>
      <c r="Q13123" t="n">
        <v>0</v>
      </c>
      <c r="R13123" s="2" t="inlineStr"/>
    </row>
    <row r="13124" ht="15" customHeight="1">
      <c r="A13124" t="inlineStr">
        <is>
          <t>A 12975-2025</t>
        </is>
      </c>
      <c r="B13124" s="1" t="n">
        <v>45734.45221064815</v>
      </c>
      <c r="C13124" s="1" t="n">
        <v>45952</v>
      </c>
      <c r="D13124" t="inlineStr">
        <is>
          <t>VÄSTRA GÖTALANDS LÄN</t>
        </is>
      </c>
      <c r="E13124" t="inlineStr">
        <is>
          <t>DALS-ED</t>
        </is>
      </c>
      <c r="G13124" t="n">
        <v>4.6</v>
      </c>
      <c r="H13124" t="n">
        <v>0</v>
      </c>
      <c r="I13124" t="n">
        <v>0</v>
      </c>
      <c r="J13124" t="n">
        <v>0</v>
      </c>
      <c r="K13124" t="n">
        <v>0</v>
      </c>
      <c r="L13124" t="n">
        <v>0</v>
      </c>
      <c r="M13124" t="n">
        <v>0</v>
      </c>
      <c r="N13124" t="n">
        <v>0</v>
      </c>
      <c r="O13124" t="n">
        <v>0</v>
      </c>
      <c r="P13124" t="n">
        <v>0</v>
      </c>
      <c r="Q13124" t="n">
        <v>0</v>
      </c>
      <c r="R13124" s="2" t="inlineStr"/>
    </row>
    <row r="13125" ht="15" customHeight="1">
      <c r="A13125" t="inlineStr">
        <is>
          <t>A 28410-2024</t>
        </is>
      </c>
      <c r="B13125" s="1" t="n">
        <v>45477</v>
      </c>
      <c r="C13125" s="1" t="n">
        <v>45952</v>
      </c>
      <c r="D13125" t="inlineStr">
        <is>
          <t>VÄSTRA GÖTALANDS LÄN</t>
        </is>
      </c>
      <c r="E13125" t="inlineStr">
        <is>
          <t>BORÅS</t>
        </is>
      </c>
      <c r="G13125" t="n">
        <v>1</v>
      </c>
      <c r="H13125" t="n">
        <v>0</v>
      </c>
      <c r="I13125" t="n">
        <v>0</v>
      </c>
      <c r="J13125" t="n">
        <v>0</v>
      </c>
      <c r="K13125" t="n">
        <v>0</v>
      </c>
      <c r="L13125" t="n">
        <v>0</v>
      </c>
      <c r="M13125" t="n">
        <v>0</v>
      </c>
      <c r="N13125" t="n">
        <v>0</v>
      </c>
      <c r="O13125" t="n">
        <v>0</v>
      </c>
      <c r="P13125" t="n">
        <v>0</v>
      </c>
      <c r="Q13125" t="n">
        <v>0</v>
      </c>
      <c r="R13125" s="2" t="inlineStr"/>
    </row>
    <row r="13126" ht="15" customHeight="1">
      <c r="A13126" t="inlineStr">
        <is>
          <t>A 28418-2024</t>
        </is>
      </c>
      <c r="B13126" s="1" t="n">
        <v>45477.62978009259</v>
      </c>
      <c r="C13126" s="1" t="n">
        <v>45952</v>
      </c>
      <c r="D13126" t="inlineStr">
        <is>
          <t>VÄSTRA GÖTALANDS LÄN</t>
        </is>
      </c>
      <c r="E13126" t="inlineStr">
        <is>
          <t>SOTENÄS</t>
        </is>
      </c>
      <c r="G13126" t="n">
        <v>0.2</v>
      </c>
      <c r="H13126" t="n">
        <v>0</v>
      </c>
      <c r="I13126" t="n">
        <v>0</v>
      </c>
      <c r="J13126" t="n">
        <v>0</v>
      </c>
      <c r="K13126" t="n">
        <v>0</v>
      </c>
      <c r="L13126" t="n">
        <v>0</v>
      </c>
      <c r="M13126" t="n">
        <v>0</v>
      </c>
      <c r="N13126" t="n">
        <v>0</v>
      </c>
      <c r="O13126" t="n">
        <v>0</v>
      </c>
      <c r="P13126" t="n">
        <v>0</v>
      </c>
      <c r="Q13126" t="n">
        <v>0</v>
      </c>
      <c r="R13126" s="2" t="inlineStr"/>
    </row>
    <row r="13127" ht="15" customHeight="1">
      <c r="A13127" t="inlineStr">
        <is>
          <t>A 28884-2025</t>
        </is>
      </c>
      <c r="B13127" s="1" t="n">
        <v>45820.62710648148</v>
      </c>
      <c r="C13127" s="1" t="n">
        <v>45952</v>
      </c>
      <c r="D13127" t="inlineStr">
        <is>
          <t>VÄSTRA GÖTALANDS LÄN</t>
        </is>
      </c>
      <c r="E13127" t="inlineStr">
        <is>
          <t>TROLLHÄTTAN</t>
        </is>
      </c>
      <c r="G13127" t="n">
        <v>3.3</v>
      </c>
      <c r="H13127" t="n">
        <v>0</v>
      </c>
      <c r="I13127" t="n">
        <v>0</v>
      </c>
      <c r="J13127" t="n">
        <v>0</v>
      </c>
      <c r="K13127" t="n">
        <v>0</v>
      </c>
      <c r="L13127" t="n">
        <v>0</v>
      </c>
      <c r="M13127" t="n">
        <v>0</v>
      </c>
      <c r="N13127" t="n">
        <v>0</v>
      </c>
      <c r="O13127" t="n">
        <v>0</v>
      </c>
      <c r="P13127" t="n">
        <v>0</v>
      </c>
      <c r="Q13127" t="n">
        <v>0</v>
      </c>
      <c r="R13127" s="2" t="inlineStr"/>
    </row>
    <row r="13128" ht="15" customHeight="1">
      <c r="A13128" t="inlineStr">
        <is>
          <t>A 43480-2025</t>
        </is>
      </c>
      <c r="B13128" s="1" t="n">
        <v>45911.49900462963</v>
      </c>
      <c r="C13128" s="1" t="n">
        <v>45952</v>
      </c>
      <c r="D13128" t="inlineStr">
        <is>
          <t>VÄSTRA GÖTALANDS LÄN</t>
        </is>
      </c>
      <c r="E13128" t="inlineStr">
        <is>
          <t>MARK</t>
        </is>
      </c>
      <c r="G13128" t="n">
        <v>0.9</v>
      </c>
      <c r="H13128" t="n">
        <v>0</v>
      </c>
      <c r="I13128" t="n">
        <v>0</v>
      </c>
      <c r="J13128" t="n">
        <v>0</v>
      </c>
      <c r="K13128" t="n">
        <v>0</v>
      </c>
      <c r="L13128" t="n">
        <v>0</v>
      </c>
      <c r="M13128" t="n">
        <v>0</v>
      </c>
      <c r="N13128" t="n">
        <v>0</v>
      </c>
      <c r="O13128" t="n">
        <v>0</v>
      </c>
      <c r="P13128" t="n">
        <v>0</v>
      </c>
      <c r="Q13128" t="n">
        <v>0</v>
      </c>
      <c r="R13128" s="2" t="inlineStr"/>
    </row>
    <row r="13129" ht="15" customHeight="1">
      <c r="A13129" t="inlineStr">
        <is>
          <t>A 8471-2025</t>
        </is>
      </c>
      <c r="B13129" s="1" t="n">
        <v>45709.47332175926</v>
      </c>
      <c r="C13129" s="1" t="n">
        <v>45952</v>
      </c>
      <c r="D13129" t="inlineStr">
        <is>
          <t>VÄSTRA GÖTALANDS LÄN</t>
        </is>
      </c>
      <c r="E13129" t="inlineStr">
        <is>
          <t>MARIESTAD</t>
        </is>
      </c>
      <c r="G13129" t="n">
        <v>2.2</v>
      </c>
      <c r="H13129" t="n">
        <v>0</v>
      </c>
      <c r="I13129" t="n">
        <v>0</v>
      </c>
      <c r="J13129" t="n">
        <v>0</v>
      </c>
      <c r="K13129" t="n">
        <v>0</v>
      </c>
      <c r="L13129" t="n">
        <v>0</v>
      </c>
      <c r="M13129" t="n">
        <v>0</v>
      </c>
      <c r="N13129" t="n">
        <v>0</v>
      </c>
      <c r="O13129" t="n">
        <v>0</v>
      </c>
      <c r="P13129" t="n">
        <v>0</v>
      </c>
      <c r="Q13129" t="n">
        <v>0</v>
      </c>
      <c r="R13129" s="2" t="inlineStr"/>
    </row>
    <row r="13130" ht="15" customHeight="1">
      <c r="A13130" t="inlineStr">
        <is>
          <t>A 43524-2025</t>
        </is>
      </c>
      <c r="B13130" s="1" t="n">
        <v>45911.58439814814</v>
      </c>
      <c r="C13130" s="1" t="n">
        <v>45952</v>
      </c>
      <c r="D13130" t="inlineStr">
        <is>
          <t>VÄSTRA GÖTALANDS LÄN</t>
        </is>
      </c>
      <c r="E13130" t="inlineStr">
        <is>
          <t>MARIESTAD</t>
        </is>
      </c>
      <c r="G13130" t="n">
        <v>1.6</v>
      </c>
      <c r="H13130" t="n">
        <v>0</v>
      </c>
      <c r="I13130" t="n">
        <v>0</v>
      </c>
      <c r="J13130" t="n">
        <v>0</v>
      </c>
      <c r="K13130" t="n">
        <v>0</v>
      </c>
      <c r="L13130" t="n">
        <v>0</v>
      </c>
      <c r="M13130" t="n">
        <v>0</v>
      </c>
      <c r="N13130" t="n">
        <v>0</v>
      </c>
      <c r="O13130" t="n">
        <v>0</v>
      </c>
      <c r="P13130" t="n">
        <v>0</v>
      </c>
      <c r="Q13130" t="n">
        <v>0</v>
      </c>
      <c r="R13130" s="2" t="inlineStr"/>
    </row>
    <row r="13131" ht="15" customHeight="1">
      <c r="A13131" t="inlineStr">
        <is>
          <t>A 43337-2025</t>
        </is>
      </c>
      <c r="B13131" s="1" t="n">
        <v>45910.73006944444</v>
      </c>
      <c r="C13131" s="1" t="n">
        <v>45952</v>
      </c>
      <c r="D13131" t="inlineStr">
        <is>
          <t>VÄSTRA GÖTALANDS LÄN</t>
        </is>
      </c>
      <c r="E13131" t="inlineStr">
        <is>
          <t>VÅRGÅRDA</t>
        </is>
      </c>
      <c r="G13131" t="n">
        <v>1.1</v>
      </c>
      <c r="H13131" t="n">
        <v>0</v>
      </c>
      <c r="I13131" t="n">
        <v>0</v>
      </c>
      <c r="J13131" t="n">
        <v>0</v>
      </c>
      <c r="K13131" t="n">
        <v>0</v>
      </c>
      <c r="L13131" t="n">
        <v>0</v>
      </c>
      <c r="M13131" t="n">
        <v>0</v>
      </c>
      <c r="N13131" t="n">
        <v>0</v>
      </c>
      <c r="O13131" t="n">
        <v>0</v>
      </c>
      <c r="P13131" t="n">
        <v>0</v>
      </c>
      <c r="Q13131" t="n">
        <v>0</v>
      </c>
      <c r="R13131" s="2" t="inlineStr"/>
    </row>
    <row r="13132" ht="15" customHeight="1">
      <c r="A13132" t="inlineStr">
        <is>
          <t>A 43347-2025</t>
        </is>
      </c>
      <c r="B13132" s="1" t="n">
        <v>45910.90111111111</v>
      </c>
      <c r="C13132" s="1" t="n">
        <v>45952</v>
      </c>
      <c r="D13132" t="inlineStr">
        <is>
          <t>VÄSTRA GÖTALANDS LÄN</t>
        </is>
      </c>
      <c r="E13132" t="inlineStr">
        <is>
          <t>MARK</t>
        </is>
      </c>
      <c r="G13132" t="n">
        <v>7.3</v>
      </c>
      <c r="H13132" t="n">
        <v>0</v>
      </c>
      <c r="I13132" t="n">
        <v>0</v>
      </c>
      <c r="J13132" t="n">
        <v>0</v>
      </c>
      <c r="K13132" t="n">
        <v>0</v>
      </c>
      <c r="L13132" t="n">
        <v>0</v>
      </c>
      <c r="M13132" t="n">
        <v>0</v>
      </c>
      <c r="N13132" t="n">
        <v>0</v>
      </c>
      <c r="O13132" t="n">
        <v>0</v>
      </c>
      <c r="P13132" t="n">
        <v>0</v>
      </c>
      <c r="Q13132" t="n">
        <v>0</v>
      </c>
      <c r="R13132" s="2" t="inlineStr"/>
    </row>
    <row r="13133" ht="15" customHeight="1">
      <c r="A13133" t="inlineStr">
        <is>
          <t>A 43604-2024</t>
        </is>
      </c>
      <c r="B13133" s="1" t="n">
        <v>45569.44895833333</v>
      </c>
      <c r="C13133" s="1" t="n">
        <v>45952</v>
      </c>
      <c r="D13133" t="inlineStr">
        <is>
          <t>VÄSTRA GÖTALANDS LÄN</t>
        </is>
      </c>
      <c r="E13133" t="inlineStr">
        <is>
          <t>TROLLHÄTTAN</t>
        </is>
      </c>
      <c r="G13133" t="n">
        <v>3</v>
      </c>
      <c r="H13133" t="n">
        <v>0</v>
      </c>
      <c r="I13133" t="n">
        <v>0</v>
      </c>
      <c r="J13133" t="n">
        <v>0</v>
      </c>
      <c r="K13133" t="n">
        <v>0</v>
      </c>
      <c r="L13133" t="n">
        <v>0</v>
      </c>
      <c r="M13133" t="n">
        <v>0</v>
      </c>
      <c r="N13133" t="n">
        <v>0</v>
      </c>
      <c r="O13133" t="n">
        <v>0</v>
      </c>
      <c r="P13133" t="n">
        <v>0</v>
      </c>
      <c r="Q13133" t="n">
        <v>0</v>
      </c>
      <c r="R13133" s="2" t="inlineStr"/>
    </row>
    <row r="13134" ht="15" customHeight="1">
      <c r="A13134" t="inlineStr">
        <is>
          <t>A 10881-2025</t>
        </is>
      </c>
      <c r="B13134" s="1" t="n">
        <v>45722.65114583333</v>
      </c>
      <c r="C13134" s="1" t="n">
        <v>45952</v>
      </c>
      <c r="D13134" t="inlineStr">
        <is>
          <t>VÄSTRA GÖTALANDS LÄN</t>
        </is>
      </c>
      <c r="E13134" t="inlineStr">
        <is>
          <t>TRANEMO</t>
        </is>
      </c>
      <c r="G13134" t="n">
        <v>2.8</v>
      </c>
      <c r="H13134" t="n">
        <v>0</v>
      </c>
      <c r="I13134" t="n">
        <v>0</v>
      </c>
      <c r="J13134" t="n">
        <v>0</v>
      </c>
      <c r="K13134" t="n">
        <v>0</v>
      </c>
      <c r="L13134" t="n">
        <v>0</v>
      </c>
      <c r="M13134" t="n">
        <v>0</v>
      </c>
      <c r="N13134" t="n">
        <v>0</v>
      </c>
      <c r="O13134" t="n">
        <v>0</v>
      </c>
      <c r="P13134" t="n">
        <v>0</v>
      </c>
      <c r="Q13134" t="n">
        <v>0</v>
      </c>
      <c r="R13134" s="2" t="inlineStr"/>
    </row>
    <row r="13135" ht="15" customHeight="1">
      <c r="A13135" t="inlineStr">
        <is>
          <t>A 43543-2025</t>
        </is>
      </c>
      <c r="B13135" s="1" t="n">
        <v>45911.61206018519</v>
      </c>
      <c r="C13135" s="1" t="n">
        <v>45952</v>
      </c>
      <c r="D13135" t="inlineStr">
        <is>
          <t>VÄSTRA GÖTALANDS LÄN</t>
        </is>
      </c>
      <c r="E13135" t="inlineStr">
        <is>
          <t>SVENLJUNGA</t>
        </is>
      </c>
      <c r="G13135" t="n">
        <v>4.2</v>
      </c>
      <c r="H13135" t="n">
        <v>0</v>
      </c>
      <c r="I13135" t="n">
        <v>0</v>
      </c>
      <c r="J13135" t="n">
        <v>0</v>
      </c>
      <c r="K13135" t="n">
        <v>0</v>
      </c>
      <c r="L13135" t="n">
        <v>0</v>
      </c>
      <c r="M13135" t="n">
        <v>0</v>
      </c>
      <c r="N13135" t="n">
        <v>0</v>
      </c>
      <c r="O13135" t="n">
        <v>0</v>
      </c>
      <c r="P13135" t="n">
        <v>0</v>
      </c>
      <c r="Q13135" t="n">
        <v>0</v>
      </c>
      <c r="R13135" s="2" t="inlineStr"/>
    </row>
    <row r="13136" ht="15" customHeight="1">
      <c r="A13136" t="inlineStr">
        <is>
          <t>A 43550-2025</t>
        </is>
      </c>
      <c r="B13136" s="1" t="n">
        <v>45911.61836805556</v>
      </c>
      <c r="C13136" s="1" t="n">
        <v>45952</v>
      </c>
      <c r="D13136" t="inlineStr">
        <is>
          <t>VÄSTRA GÖTALANDS LÄN</t>
        </is>
      </c>
      <c r="E13136" t="inlineStr">
        <is>
          <t>STRÖMSTAD</t>
        </is>
      </c>
      <c r="G13136" t="n">
        <v>3.3</v>
      </c>
      <c r="H13136" t="n">
        <v>0</v>
      </c>
      <c r="I13136" t="n">
        <v>0</v>
      </c>
      <c r="J13136" t="n">
        <v>0</v>
      </c>
      <c r="K13136" t="n">
        <v>0</v>
      </c>
      <c r="L13136" t="n">
        <v>0</v>
      </c>
      <c r="M13136" t="n">
        <v>0</v>
      </c>
      <c r="N13136" t="n">
        <v>0</v>
      </c>
      <c r="O13136" t="n">
        <v>0</v>
      </c>
      <c r="P13136" t="n">
        <v>0</v>
      </c>
      <c r="Q13136" t="n">
        <v>0</v>
      </c>
      <c r="R13136" s="2" t="inlineStr"/>
    </row>
    <row r="13137" ht="15" customHeight="1">
      <c r="A13137" t="inlineStr">
        <is>
          <t>A 10896-2025</t>
        </is>
      </c>
      <c r="B13137" s="1" t="n">
        <v>45722</v>
      </c>
      <c r="C13137" s="1" t="n">
        <v>45952</v>
      </c>
      <c r="D13137" t="inlineStr">
        <is>
          <t>VÄSTRA GÖTALANDS LÄN</t>
        </is>
      </c>
      <c r="E13137" t="inlineStr">
        <is>
          <t>TANUM</t>
        </is>
      </c>
      <c r="G13137" t="n">
        <v>2.3</v>
      </c>
      <c r="H13137" t="n">
        <v>0</v>
      </c>
      <c r="I13137" t="n">
        <v>0</v>
      </c>
      <c r="J13137" t="n">
        <v>0</v>
      </c>
      <c r="K13137" t="n">
        <v>0</v>
      </c>
      <c r="L13137" t="n">
        <v>0</v>
      </c>
      <c r="M13137" t="n">
        <v>0</v>
      </c>
      <c r="N13137" t="n">
        <v>0</v>
      </c>
      <c r="O13137" t="n">
        <v>0</v>
      </c>
      <c r="P13137" t="n">
        <v>0</v>
      </c>
      <c r="Q13137" t="n">
        <v>0</v>
      </c>
      <c r="R13137" s="2" t="inlineStr"/>
    </row>
    <row r="13138" ht="15" customHeight="1">
      <c r="A13138" t="inlineStr">
        <is>
          <t>A 43428-2025</t>
        </is>
      </c>
      <c r="B13138" s="1" t="n">
        <v>45911.41943287037</v>
      </c>
      <c r="C13138" s="1" t="n">
        <v>45952</v>
      </c>
      <c r="D13138" t="inlineStr">
        <is>
          <t>VÄSTRA GÖTALANDS LÄN</t>
        </is>
      </c>
      <c r="E13138" t="inlineStr">
        <is>
          <t>MELLERUD</t>
        </is>
      </c>
      <c r="G13138" t="n">
        <v>5.9</v>
      </c>
      <c r="H13138" t="n">
        <v>0</v>
      </c>
      <c r="I13138" t="n">
        <v>0</v>
      </c>
      <c r="J13138" t="n">
        <v>0</v>
      </c>
      <c r="K13138" t="n">
        <v>0</v>
      </c>
      <c r="L13138" t="n">
        <v>0</v>
      </c>
      <c r="M13138" t="n">
        <v>0</v>
      </c>
      <c r="N13138" t="n">
        <v>0</v>
      </c>
      <c r="O13138" t="n">
        <v>0</v>
      </c>
      <c r="P13138" t="n">
        <v>0</v>
      </c>
      <c r="Q13138" t="n">
        <v>0</v>
      </c>
      <c r="R13138" s="2" t="inlineStr"/>
    </row>
    <row r="13139" ht="15" customHeight="1">
      <c r="A13139" t="inlineStr">
        <is>
          <t>A 43478-2025</t>
        </is>
      </c>
      <c r="B13139" s="1" t="n">
        <v>45911.49384259259</v>
      </c>
      <c r="C13139" s="1" t="n">
        <v>45952</v>
      </c>
      <c r="D13139" t="inlineStr">
        <is>
          <t>VÄSTRA GÖTALANDS LÄN</t>
        </is>
      </c>
      <c r="E13139" t="inlineStr">
        <is>
          <t>ULRICEHAMN</t>
        </is>
      </c>
      <c r="G13139" t="n">
        <v>1.9</v>
      </c>
      <c r="H13139" t="n">
        <v>0</v>
      </c>
      <c r="I13139" t="n">
        <v>0</v>
      </c>
      <c r="J13139" t="n">
        <v>0</v>
      </c>
      <c r="K13139" t="n">
        <v>0</v>
      </c>
      <c r="L13139" t="n">
        <v>0</v>
      </c>
      <c r="M13139" t="n">
        <v>0</v>
      </c>
      <c r="N13139" t="n">
        <v>0</v>
      </c>
      <c r="O13139" t="n">
        <v>0</v>
      </c>
      <c r="P13139" t="n">
        <v>0</v>
      </c>
      <c r="Q13139" t="n">
        <v>0</v>
      </c>
      <c r="R13139" s="2" t="inlineStr"/>
    </row>
    <row r="13140" ht="15" customHeight="1">
      <c r="A13140" t="inlineStr">
        <is>
          <t>A 41442-2025</t>
        </is>
      </c>
      <c r="B13140" s="1" t="n">
        <v>45869</v>
      </c>
      <c r="C13140" s="1" t="n">
        <v>45952</v>
      </c>
      <c r="D13140" t="inlineStr">
        <is>
          <t>VÄSTRA GÖTALANDS LÄN</t>
        </is>
      </c>
      <c r="E13140" t="inlineStr">
        <is>
          <t>KUNGÄLV</t>
        </is>
      </c>
      <c r="G13140" t="n">
        <v>1.8</v>
      </c>
      <c r="H13140" t="n">
        <v>0</v>
      </c>
      <c r="I13140" t="n">
        <v>0</v>
      </c>
      <c r="J13140" t="n">
        <v>0</v>
      </c>
      <c r="K13140" t="n">
        <v>0</v>
      </c>
      <c r="L13140" t="n">
        <v>0</v>
      </c>
      <c r="M13140" t="n">
        <v>0</v>
      </c>
      <c r="N13140" t="n">
        <v>0</v>
      </c>
      <c r="O13140" t="n">
        <v>0</v>
      </c>
      <c r="P13140" t="n">
        <v>0</v>
      </c>
      <c r="Q13140" t="n">
        <v>0</v>
      </c>
      <c r="R13140" s="2" t="inlineStr"/>
    </row>
    <row r="13141" ht="15" customHeight="1">
      <c r="A13141" t="inlineStr">
        <is>
          <t>A 36405-2025</t>
        </is>
      </c>
      <c r="B13141" s="1" t="n">
        <v>45868.66825231481</v>
      </c>
      <c r="C13141" s="1" t="n">
        <v>45952</v>
      </c>
      <c r="D13141" t="inlineStr">
        <is>
          <t>VÄSTRA GÖTALANDS LÄN</t>
        </is>
      </c>
      <c r="E13141" t="inlineStr">
        <is>
          <t>SVENLJUNGA</t>
        </is>
      </c>
      <c r="G13141" t="n">
        <v>3.5</v>
      </c>
      <c r="H13141" t="n">
        <v>0</v>
      </c>
      <c r="I13141" t="n">
        <v>0</v>
      </c>
      <c r="J13141" t="n">
        <v>0</v>
      </c>
      <c r="K13141" t="n">
        <v>0</v>
      </c>
      <c r="L13141" t="n">
        <v>0</v>
      </c>
      <c r="M13141" t="n">
        <v>0</v>
      </c>
      <c r="N13141" t="n">
        <v>0</v>
      </c>
      <c r="O13141" t="n">
        <v>0</v>
      </c>
      <c r="P13141" t="n">
        <v>0</v>
      </c>
      <c r="Q13141" t="n">
        <v>0</v>
      </c>
      <c r="R13141" s="2" t="inlineStr"/>
    </row>
    <row r="13142" ht="15" customHeight="1">
      <c r="A13142" t="inlineStr">
        <is>
          <t>A 36407-2025</t>
        </is>
      </c>
      <c r="B13142" s="1" t="n">
        <v>45868.67938657408</v>
      </c>
      <c r="C13142" s="1" t="n">
        <v>45952</v>
      </c>
      <c r="D13142" t="inlineStr">
        <is>
          <t>VÄSTRA GÖTALANDS LÄN</t>
        </is>
      </c>
      <c r="E13142" t="inlineStr">
        <is>
          <t>HJO</t>
        </is>
      </c>
      <c r="G13142" t="n">
        <v>2.8</v>
      </c>
      <c r="H13142" t="n">
        <v>0</v>
      </c>
      <c r="I13142" t="n">
        <v>0</v>
      </c>
      <c r="J13142" t="n">
        <v>0</v>
      </c>
      <c r="K13142" t="n">
        <v>0</v>
      </c>
      <c r="L13142" t="n">
        <v>0</v>
      </c>
      <c r="M13142" t="n">
        <v>0</v>
      </c>
      <c r="N13142" t="n">
        <v>0</v>
      </c>
      <c r="O13142" t="n">
        <v>0</v>
      </c>
      <c r="P13142" t="n">
        <v>0</v>
      </c>
      <c r="Q13142" t="n">
        <v>0</v>
      </c>
      <c r="R13142" s="2" t="inlineStr"/>
    </row>
    <row r="13143" ht="15" customHeight="1">
      <c r="A13143" t="inlineStr">
        <is>
          <t>A 43593-2025</t>
        </is>
      </c>
      <c r="B13143" s="1" t="n">
        <v>45911.65733796296</v>
      </c>
      <c r="C13143" s="1" t="n">
        <v>45952</v>
      </c>
      <c r="D13143" t="inlineStr">
        <is>
          <t>VÄSTRA GÖTALANDS LÄN</t>
        </is>
      </c>
      <c r="E13143" t="inlineStr">
        <is>
          <t>VÅRGÅRDA</t>
        </is>
      </c>
      <c r="G13143" t="n">
        <v>1.6</v>
      </c>
      <c r="H13143" t="n">
        <v>0</v>
      </c>
      <c r="I13143" t="n">
        <v>0</v>
      </c>
      <c r="J13143" t="n">
        <v>0</v>
      </c>
      <c r="K13143" t="n">
        <v>0</v>
      </c>
      <c r="L13143" t="n">
        <v>0</v>
      </c>
      <c r="M13143" t="n">
        <v>0</v>
      </c>
      <c r="N13143" t="n">
        <v>0</v>
      </c>
      <c r="O13143" t="n">
        <v>0</v>
      </c>
      <c r="P13143" t="n">
        <v>0</v>
      </c>
      <c r="Q13143" t="n">
        <v>0</v>
      </c>
      <c r="R13143" s="2" t="inlineStr"/>
    </row>
    <row r="13144" ht="15" customHeight="1">
      <c r="A13144" t="inlineStr">
        <is>
          <t>A 43406-2025</t>
        </is>
      </c>
      <c r="B13144" s="1" t="n">
        <v>45911.39155092592</v>
      </c>
      <c r="C13144" s="1" t="n">
        <v>45952</v>
      </c>
      <c r="D13144" t="inlineStr">
        <is>
          <t>VÄSTRA GÖTALANDS LÄN</t>
        </is>
      </c>
      <c r="E13144" t="inlineStr">
        <is>
          <t>MELLERUD</t>
        </is>
      </c>
      <c r="G13144" t="n">
        <v>1.5</v>
      </c>
      <c r="H13144" t="n">
        <v>0</v>
      </c>
      <c r="I13144" t="n">
        <v>0</v>
      </c>
      <c r="J13144" t="n">
        <v>0</v>
      </c>
      <c r="K13144" t="n">
        <v>0</v>
      </c>
      <c r="L13144" t="n">
        <v>0</v>
      </c>
      <c r="M13144" t="n">
        <v>0</v>
      </c>
      <c r="N13144" t="n">
        <v>0</v>
      </c>
      <c r="O13144" t="n">
        <v>0</v>
      </c>
      <c r="P13144" t="n">
        <v>0</v>
      </c>
      <c r="Q13144" t="n">
        <v>0</v>
      </c>
      <c r="R13144" s="2" t="inlineStr"/>
    </row>
    <row r="13145" ht="15" customHeight="1">
      <c r="A13145" t="inlineStr">
        <is>
          <t>A 36305-2025</t>
        </is>
      </c>
      <c r="B13145" s="1" t="n">
        <v>45868.00584490741</v>
      </c>
      <c r="C13145" s="1" t="n">
        <v>45952</v>
      </c>
      <c r="D13145" t="inlineStr">
        <is>
          <t>VÄSTRA GÖTALANDS LÄN</t>
        </is>
      </c>
      <c r="E13145" t="inlineStr">
        <is>
          <t>ULRICEHAMN</t>
        </is>
      </c>
      <c r="G13145" t="n">
        <v>6.1</v>
      </c>
      <c r="H13145" t="n">
        <v>0</v>
      </c>
      <c r="I13145" t="n">
        <v>0</v>
      </c>
      <c r="J13145" t="n">
        <v>0</v>
      </c>
      <c r="K13145" t="n">
        <v>0</v>
      </c>
      <c r="L13145" t="n">
        <v>0</v>
      </c>
      <c r="M13145" t="n">
        <v>0</v>
      </c>
      <c r="N13145" t="n">
        <v>0</v>
      </c>
      <c r="O13145" t="n">
        <v>0</v>
      </c>
      <c r="P13145" t="n">
        <v>0</v>
      </c>
      <c r="Q13145" t="n">
        <v>0</v>
      </c>
      <c r="R13145" s="2" t="inlineStr"/>
    </row>
    <row r="13146" ht="15" customHeight="1">
      <c r="A13146" t="inlineStr">
        <is>
          <t>A 7238-2024</t>
        </is>
      </c>
      <c r="B13146" s="1" t="n">
        <v>45344.66310185185</v>
      </c>
      <c r="C13146" s="1" t="n">
        <v>45952</v>
      </c>
      <c r="D13146" t="inlineStr">
        <is>
          <t>VÄSTRA GÖTALANDS LÄN</t>
        </is>
      </c>
      <c r="E13146" t="inlineStr">
        <is>
          <t>VARA</t>
        </is>
      </c>
      <c r="G13146" t="n">
        <v>2.2</v>
      </c>
      <c r="H13146" t="n">
        <v>0</v>
      </c>
      <c r="I13146" t="n">
        <v>0</v>
      </c>
      <c r="J13146" t="n">
        <v>0</v>
      </c>
      <c r="K13146" t="n">
        <v>0</v>
      </c>
      <c r="L13146" t="n">
        <v>0</v>
      </c>
      <c r="M13146" t="n">
        <v>0</v>
      </c>
      <c r="N13146" t="n">
        <v>0</v>
      </c>
      <c r="O13146" t="n">
        <v>0</v>
      </c>
      <c r="P13146" t="n">
        <v>0</v>
      </c>
      <c r="Q13146" t="n">
        <v>0</v>
      </c>
      <c r="R13146" s="2" t="inlineStr"/>
    </row>
    <row r="13147" ht="15" customHeight="1">
      <c r="A13147" t="inlineStr">
        <is>
          <t>A 36412-2025</t>
        </is>
      </c>
      <c r="B13147" s="1" t="n">
        <v>45868.69075231482</v>
      </c>
      <c r="C13147" s="1" t="n">
        <v>45952</v>
      </c>
      <c r="D13147" t="inlineStr">
        <is>
          <t>VÄSTRA GÖTALANDS LÄN</t>
        </is>
      </c>
      <c r="E13147" t="inlineStr">
        <is>
          <t>BORÅS</t>
        </is>
      </c>
      <c r="G13147" t="n">
        <v>0.8</v>
      </c>
      <c r="H13147" t="n">
        <v>0</v>
      </c>
      <c r="I13147" t="n">
        <v>0</v>
      </c>
      <c r="J13147" t="n">
        <v>0</v>
      </c>
      <c r="K13147" t="n">
        <v>0</v>
      </c>
      <c r="L13147" t="n">
        <v>0</v>
      </c>
      <c r="M13147" t="n">
        <v>0</v>
      </c>
      <c r="N13147" t="n">
        <v>0</v>
      </c>
      <c r="O13147" t="n">
        <v>0</v>
      </c>
      <c r="P13147" t="n">
        <v>0</v>
      </c>
      <c r="Q13147" t="n">
        <v>0</v>
      </c>
      <c r="R13147" s="2" t="inlineStr"/>
    </row>
    <row r="13148" ht="15" customHeight="1">
      <c r="A13148" t="inlineStr">
        <is>
          <t>A 46747-2023</t>
        </is>
      </c>
      <c r="B13148" s="1" t="n">
        <v>45198</v>
      </c>
      <c r="C13148" s="1" t="n">
        <v>45952</v>
      </c>
      <c r="D13148" t="inlineStr">
        <is>
          <t>VÄSTRA GÖTALANDS LÄN</t>
        </is>
      </c>
      <c r="E13148" t="inlineStr">
        <is>
          <t>VÅRGÅRDA</t>
        </is>
      </c>
      <c r="F13148" t="inlineStr">
        <is>
          <t>Kyrkan</t>
        </is>
      </c>
      <c r="G13148" t="n">
        <v>6.6</v>
      </c>
      <c r="H13148" t="n">
        <v>0</v>
      </c>
      <c r="I13148" t="n">
        <v>0</v>
      </c>
      <c r="J13148" t="n">
        <v>0</v>
      </c>
      <c r="K13148" t="n">
        <v>0</v>
      </c>
      <c r="L13148" t="n">
        <v>0</v>
      </c>
      <c r="M13148" t="n">
        <v>0</v>
      </c>
      <c r="N13148" t="n">
        <v>0</v>
      </c>
      <c r="O13148" t="n">
        <v>0</v>
      </c>
      <c r="P13148" t="n">
        <v>0</v>
      </c>
      <c r="Q13148" t="n">
        <v>0</v>
      </c>
      <c r="R13148" s="2" t="inlineStr"/>
    </row>
    <row r="13149" ht="15" customHeight="1">
      <c r="A13149" t="inlineStr">
        <is>
          <t>A 46764-2023</t>
        </is>
      </c>
      <c r="B13149" s="1" t="n">
        <v>45195</v>
      </c>
      <c r="C13149" s="1" t="n">
        <v>45952</v>
      </c>
      <c r="D13149" t="inlineStr">
        <is>
          <t>VÄSTRA GÖTALANDS LÄN</t>
        </is>
      </c>
      <c r="E13149" t="inlineStr">
        <is>
          <t>BENGTSFORS</t>
        </is>
      </c>
      <c r="G13149" t="n">
        <v>1.6</v>
      </c>
      <c r="H13149" t="n">
        <v>0</v>
      </c>
      <c r="I13149" t="n">
        <v>0</v>
      </c>
      <c r="J13149" t="n">
        <v>0</v>
      </c>
      <c r="K13149" t="n">
        <v>0</v>
      </c>
      <c r="L13149" t="n">
        <v>0</v>
      </c>
      <c r="M13149" t="n">
        <v>0</v>
      </c>
      <c r="N13149" t="n">
        <v>0</v>
      </c>
      <c r="O13149" t="n">
        <v>0</v>
      </c>
      <c r="P13149" t="n">
        <v>0</v>
      </c>
      <c r="Q13149" t="n">
        <v>0</v>
      </c>
      <c r="R13149" s="2" t="inlineStr"/>
    </row>
    <row r="13150" ht="15" customHeight="1">
      <c r="A13150" t="inlineStr">
        <is>
          <t>A 3880-2022</t>
        </is>
      </c>
      <c r="B13150" s="1" t="n">
        <v>44587.45909722222</v>
      </c>
      <c r="C13150" s="1" t="n">
        <v>45952</v>
      </c>
      <c r="D13150" t="inlineStr">
        <is>
          <t>VÄSTRA GÖTALANDS LÄN</t>
        </is>
      </c>
      <c r="E13150" t="inlineStr">
        <is>
          <t>VÄNERSBORG</t>
        </is>
      </c>
      <c r="G13150" t="n">
        <v>0.7</v>
      </c>
      <c r="H13150" t="n">
        <v>0</v>
      </c>
      <c r="I13150" t="n">
        <v>0</v>
      </c>
      <c r="J13150" t="n">
        <v>0</v>
      </c>
      <c r="K13150" t="n">
        <v>0</v>
      </c>
      <c r="L13150" t="n">
        <v>0</v>
      </c>
      <c r="M13150" t="n">
        <v>0</v>
      </c>
      <c r="N13150" t="n">
        <v>0</v>
      </c>
      <c r="O13150" t="n">
        <v>0</v>
      </c>
      <c r="P13150" t="n">
        <v>0</v>
      </c>
      <c r="Q13150" t="n">
        <v>0</v>
      </c>
      <c r="R13150" s="2" t="inlineStr"/>
    </row>
    <row r="13151" ht="15" customHeight="1">
      <c r="A13151" t="inlineStr">
        <is>
          <t>A 43151-2025</t>
        </is>
      </c>
      <c r="B13151" s="1" t="n">
        <v>45910.33892361111</v>
      </c>
      <c r="C13151" s="1" t="n">
        <v>45952</v>
      </c>
      <c r="D13151" t="inlineStr">
        <is>
          <t>VÄSTRA GÖTALANDS LÄN</t>
        </is>
      </c>
      <c r="E13151" t="inlineStr">
        <is>
          <t>LYSEKIL</t>
        </is>
      </c>
      <c r="G13151" t="n">
        <v>2.9</v>
      </c>
      <c r="H13151" t="n">
        <v>0</v>
      </c>
      <c r="I13151" t="n">
        <v>0</v>
      </c>
      <c r="J13151" t="n">
        <v>0</v>
      </c>
      <c r="K13151" t="n">
        <v>0</v>
      </c>
      <c r="L13151" t="n">
        <v>0</v>
      </c>
      <c r="M13151" t="n">
        <v>0</v>
      </c>
      <c r="N13151" t="n">
        <v>0</v>
      </c>
      <c r="O13151" t="n">
        <v>0</v>
      </c>
      <c r="P13151" t="n">
        <v>0</v>
      </c>
      <c r="Q13151" t="n">
        <v>0</v>
      </c>
      <c r="R13151" s="2" t="inlineStr"/>
    </row>
    <row r="13152" ht="15" customHeight="1">
      <c r="A13152" t="inlineStr">
        <is>
          <t>A 43167-2025</t>
        </is>
      </c>
      <c r="B13152" s="1" t="n">
        <v>45910.38482638889</v>
      </c>
      <c r="C13152" s="1" t="n">
        <v>45952</v>
      </c>
      <c r="D13152" t="inlineStr">
        <is>
          <t>VÄSTRA GÖTALANDS LÄN</t>
        </is>
      </c>
      <c r="E13152" t="inlineStr">
        <is>
          <t>SVENLJUNGA</t>
        </is>
      </c>
      <c r="G13152" t="n">
        <v>2.2</v>
      </c>
      <c r="H13152" t="n">
        <v>0</v>
      </c>
      <c r="I13152" t="n">
        <v>0</v>
      </c>
      <c r="J13152" t="n">
        <v>0</v>
      </c>
      <c r="K13152" t="n">
        <v>0</v>
      </c>
      <c r="L13152" t="n">
        <v>0</v>
      </c>
      <c r="M13152" t="n">
        <v>0</v>
      </c>
      <c r="N13152" t="n">
        <v>0</v>
      </c>
      <c r="O13152" t="n">
        <v>0</v>
      </c>
      <c r="P13152" t="n">
        <v>0</v>
      </c>
      <c r="Q13152" t="n">
        <v>0</v>
      </c>
      <c r="R13152" s="2" t="inlineStr"/>
    </row>
    <row r="13153" ht="15" customHeight="1">
      <c r="A13153" t="inlineStr">
        <is>
          <t>A 11175-2025</t>
        </is>
      </c>
      <c r="B13153" s="1" t="n">
        <v>45724.62498842592</v>
      </c>
      <c r="C13153" s="1" t="n">
        <v>45952</v>
      </c>
      <c r="D13153" t="inlineStr">
        <is>
          <t>VÄSTRA GÖTALANDS LÄN</t>
        </is>
      </c>
      <c r="E13153" t="inlineStr">
        <is>
          <t>MARK</t>
        </is>
      </c>
      <c r="G13153" t="n">
        <v>1</v>
      </c>
      <c r="H13153" t="n">
        <v>0</v>
      </c>
      <c r="I13153" t="n">
        <v>0</v>
      </c>
      <c r="J13153" t="n">
        <v>0</v>
      </c>
      <c r="K13153" t="n">
        <v>0</v>
      </c>
      <c r="L13153" t="n">
        <v>0</v>
      </c>
      <c r="M13153" t="n">
        <v>0</v>
      </c>
      <c r="N13153" t="n">
        <v>0</v>
      </c>
      <c r="O13153" t="n">
        <v>0</v>
      </c>
      <c r="P13153" t="n">
        <v>0</v>
      </c>
      <c r="Q13153" t="n">
        <v>0</v>
      </c>
      <c r="R13153" s="2" t="inlineStr"/>
    </row>
    <row r="13154" ht="15" customHeight="1">
      <c r="A13154" t="inlineStr">
        <is>
          <t>A 61046-2024</t>
        </is>
      </c>
      <c r="B13154" s="1" t="n">
        <v>45645.47785879629</v>
      </c>
      <c r="C13154" s="1" t="n">
        <v>45952</v>
      </c>
      <c r="D13154" t="inlineStr">
        <is>
          <t>VÄSTRA GÖTALANDS LÄN</t>
        </is>
      </c>
      <c r="E13154" t="inlineStr">
        <is>
          <t>TROLLHÄTTAN</t>
        </is>
      </c>
      <c r="G13154" t="n">
        <v>2.3</v>
      </c>
      <c r="H13154" t="n">
        <v>0</v>
      </c>
      <c r="I13154" t="n">
        <v>0</v>
      </c>
      <c r="J13154" t="n">
        <v>0</v>
      </c>
      <c r="K13154" t="n">
        <v>0</v>
      </c>
      <c r="L13154" t="n">
        <v>0</v>
      </c>
      <c r="M13154" t="n">
        <v>0</v>
      </c>
      <c r="N13154" t="n">
        <v>0</v>
      </c>
      <c r="O13154" t="n">
        <v>0</v>
      </c>
      <c r="P13154" t="n">
        <v>0</v>
      </c>
      <c r="Q13154" t="n">
        <v>0</v>
      </c>
      <c r="R13154" s="2" t="inlineStr"/>
    </row>
    <row r="13155" ht="15" customHeight="1">
      <c r="A13155" t="inlineStr">
        <is>
          <t>A 43482-2025</t>
        </is>
      </c>
      <c r="B13155" s="1" t="n">
        <v>45911.50141203704</v>
      </c>
      <c r="C13155" s="1" t="n">
        <v>45952</v>
      </c>
      <c r="D13155" t="inlineStr">
        <is>
          <t>VÄSTRA GÖTALANDS LÄN</t>
        </is>
      </c>
      <c r="E13155" t="inlineStr">
        <is>
          <t>MARK</t>
        </is>
      </c>
      <c r="G13155" t="n">
        <v>3</v>
      </c>
      <c r="H13155" t="n">
        <v>0</v>
      </c>
      <c r="I13155" t="n">
        <v>0</v>
      </c>
      <c r="J13155" t="n">
        <v>0</v>
      </c>
      <c r="K13155" t="n">
        <v>0</v>
      </c>
      <c r="L13155" t="n">
        <v>0</v>
      </c>
      <c r="M13155" t="n">
        <v>0</v>
      </c>
      <c r="N13155" t="n">
        <v>0</v>
      </c>
      <c r="O13155" t="n">
        <v>0</v>
      </c>
      <c r="P13155" t="n">
        <v>0</v>
      </c>
      <c r="Q13155" t="n">
        <v>0</v>
      </c>
      <c r="R13155" s="2" t="inlineStr"/>
    </row>
    <row r="13156" ht="15" customHeight="1">
      <c r="A13156" t="inlineStr">
        <is>
          <t>A 36581-2025</t>
        </is>
      </c>
      <c r="B13156" s="1" t="n">
        <v>45869</v>
      </c>
      <c r="C13156" s="1" t="n">
        <v>45952</v>
      </c>
      <c r="D13156" t="inlineStr">
        <is>
          <t>VÄSTRA GÖTALANDS LÄN</t>
        </is>
      </c>
      <c r="E13156" t="inlineStr">
        <is>
          <t>GULLSPÅNG</t>
        </is>
      </c>
      <c r="G13156" t="n">
        <v>1.8</v>
      </c>
      <c r="H13156" t="n">
        <v>0</v>
      </c>
      <c r="I13156" t="n">
        <v>0</v>
      </c>
      <c r="J13156" t="n">
        <v>0</v>
      </c>
      <c r="K13156" t="n">
        <v>0</v>
      </c>
      <c r="L13156" t="n">
        <v>0</v>
      </c>
      <c r="M13156" t="n">
        <v>0</v>
      </c>
      <c r="N13156" t="n">
        <v>0</v>
      </c>
      <c r="O13156" t="n">
        <v>0</v>
      </c>
      <c r="P13156" t="n">
        <v>0</v>
      </c>
      <c r="Q13156" t="n">
        <v>0</v>
      </c>
      <c r="R13156" s="2" t="inlineStr"/>
    </row>
    <row r="13157" ht="15" customHeight="1">
      <c r="A13157" t="inlineStr">
        <is>
          <t>A 11203-2025</t>
        </is>
      </c>
      <c r="B13157" s="1" t="n">
        <v>45726.31612268519</v>
      </c>
      <c r="C13157" s="1" t="n">
        <v>45952</v>
      </c>
      <c r="D13157" t="inlineStr">
        <is>
          <t>VÄSTRA GÖTALANDS LÄN</t>
        </is>
      </c>
      <c r="E13157" t="inlineStr">
        <is>
          <t>SVENLJUNGA</t>
        </is>
      </c>
      <c r="G13157" t="n">
        <v>0.7</v>
      </c>
      <c r="H13157" t="n">
        <v>0</v>
      </c>
      <c r="I13157" t="n">
        <v>0</v>
      </c>
      <c r="J13157" t="n">
        <v>0</v>
      </c>
      <c r="K13157" t="n">
        <v>0</v>
      </c>
      <c r="L13157" t="n">
        <v>0</v>
      </c>
      <c r="M13157" t="n">
        <v>0</v>
      </c>
      <c r="N13157" t="n">
        <v>0</v>
      </c>
      <c r="O13157" t="n">
        <v>0</v>
      </c>
      <c r="P13157" t="n">
        <v>0</v>
      </c>
      <c r="Q13157" t="n">
        <v>0</v>
      </c>
      <c r="R13157" s="2" t="inlineStr"/>
    </row>
    <row r="13158" ht="15" customHeight="1">
      <c r="A13158" t="inlineStr">
        <is>
          <t>A 24997-2023</t>
        </is>
      </c>
      <c r="B13158" s="1" t="n">
        <v>45085</v>
      </c>
      <c r="C13158" s="1" t="n">
        <v>45952</v>
      </c>
      <c r="D13158" t="inlineStr">
        <is>
          <t>VÄSTRA GÖTALANDS LÄN</t>
        </is>
      </c>
      <c r="E13158" t="inlineStr">
        <is>
          <t>TANUM</t>
        </is>
      </c>
      <c r="G13158" t="n">
        <v>1.2</v>
      </c>
      <c r="H13158" t="n">
        <v>0</v>
      </c>
      <c r="I13158" t="n">
        <v>0</v>
      </c>
      <c r="J13158" t="n">
        <v>0</v>
      </c>
      <c r="K13158" t="n">
        <v>0</v>
      </c>
      <c r="L13158" t="n">
        <v>0</v>
      </c>
      <c r="M13158" t="n">
        <v>0</v>
      </c>
      <c r="N13158" t="n">
        <v>0</v>
      </c>
      <c r="O13158" t="n">
        <v>0</v>
      </c>
      <c r="P13158" t="n">
        <v>0</v>
      </c>
      <c r="Q13158" t="n">
        <v>0</v>
      </c>
      <c r="R13158" s="2" t="inlineStr"/>
    </row>
    <row r="13159" ht="15" customHeight="1">
      <c r="A13159" t="inlineStr">
        <is>
          <t>A 25009-2023</t>
        </is>
      </c>
      <c r="B13159" s="1" t="n">
        <v>45085</v>
      </c>
      <c r="C13159" s="1" t="n">
        <v>45952</v>
      </c>
      <c r="D13159" t="inlineStr">
        <is>
          <t>VÄSTRA GÖTALANDS LÄN</t>
        </is>
      </c>
      <c r="E13159" t="inlineStr">
        <is>
          <t>LYSEKIL</t>
        </is>
      </c>
      <c r="G13159" t="n">
        <v>2.2</v>
      </c>
      <c r="H13159" t="n">
        <v>0</v>
      </c>
      <c r="I13159" t="n">
        <v>0</v>
      </c>
      <c r="J13159" t="n">
        <v>0</v>
      </c>
      <c r="K13159" t="n">
        <v>0</v>
      </c>
      <c r="L13159" t="n">
        <v>0</v>
      </c>
      <c r="M13159" t="n">
        <v>0</v>
      </c>
      <c r="N13159" t="n">
        <v>0</v>
      </c>
      <c r="O13159" t="n">
        <v>0</v>
      </c>
      <c r="P13159" t="n">
        <v>0</v>
      </c>
      <c r="Q13159" t="n">
        <v>0</v>
      </c>
      <c r="R13159" s="2" t="inlineStr"/>
    </row>
    <row r="13160" ht="15" customHeight="1">
      <c r="A13160" t="inlineStr">
        <is>
          <t>A 43541-2025</t>
        </is>
      </c>
      <c r="B13160" s="1" t="n">
        <v>45911.60729166667</v>
      </c>
      <c r="C13160" s="1" t="n">
        <v>45952</v>
      </c>
      <c r="D13160" t="inlineStr">
        <is>
          <t>VÄSTRA GÖTALANDS LÄN</t>
        </is>
      </c>
      <c r="E13160" t="inlineStr">
        <is>
          <t>SVENLJUNGA</t>
        </is>
      </c>
      <c r="G13160" t="n">
        <v>1.4</v>
      </c>
      <c r="H13160" t="n">
        <v>0</v>
      </c>
      <c r="I13160" t="n">
        <v>0</v>
      </c>
      <c r="J13160" t="n">
        <v>0</v>
      </c>
      <c r="K13160" t="n">
        <v>0</v>
      </c>
      <c r="L13160" t="n">
        <v>0</v>
      </c>
      <c r="M13160" t="n">
        <v>0</v>
      </c>
      <c r="N13160" t="n">
        <v>0</v>
      </c>
      <c r="O13160" t="n">
        <v>0</v>
      </c>
      <c r="P13160" t="n">
        <v>0</v>
      </c>
      <c r="Q13160" t="n">
        <v>0</v>
      </c>
      <c r="R13160" s="2" t="inlineStr"/>
    </row>
    <row r="13161" ht="15" customHeight="1">
      <c r="A13161" t="inlineStr">
        <is>
          <t>A 43570-2025</t>
        </is>
      </c>
      <c r="B13161" s="1" t="n">
        <v>45911.63373842592</v>
      </c>
      <c r="C13161" s="1" t="n">
        <v>45952</v>
      </c>
      <c r="D13161" t="inlineStr">
        <is>
          <t>VÄSTRA GÖTALANDS LÄN</t>
        </is>
      </c>
      <c r="E13161" t="inlineStr">
        <is>
          <t>MARIESTAD</t>
        </is>
      </c>
      <c r="F13161" t="inlineStr">
        <is>
          <t>Sveaskog</t>
        </is>
      </c>
      <c r="G13161" t="n">
        <v>1</v>
      </c>
      <c r="H13161" t="n">
        <v>0</v>
      </c>
      <c r="I13161" t="n">
        <v>0</v>
      </c>
      <c r="J13161" t="n">
        <v>0</v>
      </c>
      <c r="K13161" t="n">
        <v>0</v>
      </c>
      <c r="L13161" t="n">
        <v>0</v>
      </c>
      <c r="M13161" t="n">
        <v>0</v>
      </c>
      <c r="N13161" t="n">
        <v>0</v>
      </c>
      <c r="O13161" t="n">
        <v>0</v>
      </c>
      <c r="P13161" t="n">
        <v>0</v>
      </c>
      <c r="Q13161" t="n">
        <v>0</v>
      </c>
      <c r="R13161" s="2" t="inlineStr"/>
    </row>
    <row r="13162" ht="15" customHeight="1">
      <c r="A13162" t="inlineStr">
        <is>
          <t>A 58204-2023</t>
        </is>
      </c>
      <c r="B13162" s="1" t="n">
        <v>45250</v>
      </c>
      <c r="C13162" s="1" t="n">
        <v>45952</v>
      </c>
      <c r="D13162" t="inlineStr">
        <is>
          <t>VÄSTRA GÖTALANDS LÄN</t>
        </is>
      </c>
      <c r="E13162" t="inlineStr">
        <is>
          <t>ULRICEHAMN</t>
        </is>
      </c>
      <c r="G13162" t="n">
        <v>2.9</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43532-2025</t>
        </is>
      </c>
      <c r="B13163" s="1" t="n">
        <v>45911.59709490741</v>
      </c>
      <c r="C13163" s="1" t="n">
        <v>45952</v>
      </c>
      <c r="D13163" t="inlineStr">
        <is>
          <t>VÄSTRA GÖTALANDS LÄN</t>
        </is>
      </c>
      <c r="E13163" t="inlineStr">
        <is>
          <t>SVENLJUNGA</t>
        </is>
      </c>
      <c r="G13163" t="n">
        <v>2</v>
      </c>
      <c r="H13163" t="n">
        <v>0</v>
      </c>
      <c r="I13163" t="n">
        <v>0</v>
      </c>
      <c r="J13163" t="n">
        <v>0</v>
      </c>
      <c r="K13163" t="n">
        <v>0</v>
      </c>
      <c r="L13163" t="n">
        <v>0</v>
      </c>
      <c r="M13163" t="n">
        <v>0</v>
      </c>
      <c r="N13163" t="n">
        <v>0</v>
      </c>
      <c r="O13163" t="n">
        <v>0</v>
      </c>
      <c r="P13163" t="n">
        <v>0</v>
      </c>
      <c r="Q13163" t="n">
        <v>0</v>
      </c>
      <c r="R13163" s="2" t="inlineStr"/>
    </row>
    <row r="13164" ht="15" customHeight="1">
      <c r="A13164" t="inlineStr">
        <is>
          <t>A 43537-2025</t>
        </is>
      </c>
      <c r="B13164" s="1" t="n">
        <v>45911.60040509259</v>
      </c>
      <c r="C13164" s="1" t="n">
        <v>45952</v>
      </c>
      <c r="D13164" t="inlineStr">
        <is>
          <t>VÄSTRA GÖTALANDS LÄN</t>
        </is>
      </c>
      <c r="E13164" t="inlineStr">
        <is>
          <t>SVENLJUNGA</t>
        </is>
      </c>
      <c r="G13164" t="n">
        <v>1.2</v>
      </c>
      <c r="H13164" t="n">
        <v>0</v>
      </c>
      <c r="I13164" t="n">
        <v>0</v>
      </c>
      <c r="J13164" t="n">
        <v>0</v>
      </c>
      <c r="K13164" t="n">
        <v>0</v>
      </c>
      <c r="L13164" t="n">
        <v>0</v>
      </c>
      <c r="M13164" t="n">
        <v>0</v>
      </c>
      <c r="N13164" t="n">
        <v>0</v>
      </c>
      <c r="O13164" t="n">
        <v>0</v>
      </c>
      <c r="P13164" t="n">
        <v>0</v>
      </c>
      <c r="Q13164" t="n">
        <v>0</v>
      </c>
      <c r="R13164" s="2" t="inlineStr"/>
    </row>
    <row r="13165" ht="15" customHeight="1">
      <c r="A13165" t="inlineStr">
        <is>
          <t>A 61799-2024</t>
        </is>
      </c>
      <c r="B13165" s="1" t="n">
        <v>45646</v>
      </c>
      <c r="C13165" s="1" t="n">
        <v>45952</v>
      </c>
      <c r="D13165" t="inlineStr">
        <is>
          <t>VÄSTRA GÖTALANDS LÄN</t>
        </is>
      </c>
      <c r="E13165" t="inlineStr">
        <is>
          <t>TROLLHÄTTAN</t>
        </is>
      </c>
      <c r="G13165" t="n">
        <v>0.9</v>
      </c>
      <c r="H13165" t="n">
        <v>0</v>
      </c>
      <c r="I13165" t="n">
        <v>0</v>
      </c>
      <c r="J13165" t="n">
        <v>0</v>
      </c>
      <c r="K13165" t="n">
        <v>0</v>
      </c>
      <c r="L13165" t="n">
        <v>0</v>
      </c>
      <c r="M13165" t="n">
        <v>0</v>
      </c>
      <c r="N13165" t="n">
        <v>0</v>
      </c>
      <c r="O13165" t="n">
        <v>0</v>
      </c>
      <c r="P13165" t="n">
        <v>0</v>
      </c>
      <c r="Q13165" t="n">
        <v>0</v>
      </c>
      <c r="R13165" s="2" t="inlineStr"/>
    </row>
    <row r="13166" ht="15" customHeight="1">
      <c r="A13166" t="inlineStr">
        <is>
          <t>A 53814-2024</t>
        </is>
      </c>
      <c r="B13166" s="1" t="n">
        <v>45615</v>
      </c>
      <c r="C13166" s="1" t="n">
        <v>45952</v>
      </c>
      <c r="D13166" t="inlineStr">
        <is>
          <t>VÄSTRA GÖTALANDS LÄN</t>
        </is>
      </c>
      <c r="E13166" t="inlineStr">
        <is>
          <t>LIDKÖPING</t>
        </is>
      </c>
      <c r="G13166" t="n">
        <v>1.8</v>
      </c>
      <c r="H13166" t="n">
        <v>0</v>
      </c>
      <c r="I13166" t="n">
        <v>0</v>
      </c>
      <c r="J13166" t="n">
        <v>0</v>
      </c>
      <c r="K13166" t="n">
        <v>0</v>
      </c>
      <c r="L13166" t="n">
        <v>0</v>
      </c>
      <c r="M13166" t="n">
        <v>0</v>
      </c>
      <c r="N13166" t="n">
        <v>0</v>
      </c>
      <c r="O13166" t="n">
        <v>0</v>
      </c>
      <c r="P13166" t="n">
        <v>0</v>
      </c>
      <c r="Q13166" t="n">
        <v>0</v>
      </c>
      <c r="R13166" s="2" t="inlineStr"/>
    </row>
    <row r="13167" ht="15" customHeight="1">
      <c r="A13167" t="inlineStr">
        <is>
          <t>A 36415-2025</t>
        </is>
      </c>
      <c r="B13167" s="1" t="n">
        <v>45868.69543981482</v>
      </c>
      <c r="C13167" s="1" t="n">
        <v>45952</v>
      </c>
      <c r="D13167" t="inlineStr">
        <is>
          <t>VÄSTRA GÖTALANDS LÄN</t>
        </is>
      </c>
      <c r="E13167" t="inlineStr">
        <is>
          <t>BORÅS</t>
        </is>
      </c>
      <c r="G13167" t="n">
        <v>3</v>
      </c>
      <c r="H13167" t="n">
        <v>0</v>
      </c>
      <c r="I13167" t="n">
        <v>0</v>
      </c>
      <c r="J13167" t="n">
        <v>0</v>
      </c>
      <c r="K13167" t="n">
        <v>0</v>
      </c>
      <c r="L13167" t="n">
        <v>0</v>
      </c>
      <c r="M13167" t="n">
        <v>0</v>
      </c>
      <c r="N13167" t="n">
        <v>0</v>
      </c>
      <c r="O13167" t="n">
        <v>0</v>
      </c>
      <c r="P13167" t="n">
        <v>0</v>
      </c>
      <c r="Q13167" t="n">
        <v>0</v>
      </c>
      <c r="R13167" s="2" t="inlineStr"/>
    </row>
    <row r="13168" ht="15" customHeight="1">
      <c r="A13168" t="inlineStr">
        <is>
          <t>A 36387-2025</t>
        </is>
      </c>
      <c r="B13168" s="1" t="n">
        <v>45868.59709490741</v>
      </c>
      <c r="C13168" s="1" t="n">
        <v>45952</v>
      </c>
      <c r="D13168" t="inlineStr">
        <is>
          <t>VÄSTRA GÖTALANDS LÄN</t>
        </is>
      </c>
      <c r="E13168" t="inlineStr">
        <is>
          <t>FÄRGELANDA</t>
        </is>
      </c>
      <c r="G13168" t="n">
        <v>7.3</v>
      </c>
      <c r="H13168" t="n">
        <v>0</v>
      </c>
      <c r="I13168" t="n">
        <v>0</v>
      </c>
      <c r="J13168" t="n">
        <v>0</v>
      </c>
      <c r="K13168" t="n">
        <v>0</v>
      </c>
      <c r="L13168" t="n">
        <v>0</v>
      </c>
      <c r="M13168" t="n">
        <v>0</v>
      </c>
      <c r="N13168" t="n">
        <v>0</v>
      </c>
      <c r="O13168" t="n">
        <v>0</v>
      </c>
      <c r="P13168" t="n">
        <v>0</v>
      </c>
      <c r="Q13168" t="n">
        <v>0</v>
      </c>
      <c r="R13168" s="2" t="inlineStr"/>
    </row>
    <row r="13169" ht="15" customHeight="1">
      <c r="A13169" t="inlineStr">
        <is>
          <t>A 36390-2025</t>
        </is>
      </c>
      <c r="B13169" s="1" t="n">
        <v>45868.60686342593</v>
      </c>
      <c r="C13169" s="1" t="n">
        <v>45952</v>
      </c>
      <c r="D13169" t="inlineStr">
        <is>
          <t>VÄSTRA GÖTALANDS LÄN</t>
        </is>
      </c>
      <c r="E13169" t="inlineStr">
        <is>
          <t>FÄRGELANDA</t>
        </is>
      </c>
      <c r="G13169" t="n">
        <v>14.1</v>
      </c>
      <c r="H13169" t="n">
        <v>0</v>
      </c>
      <c r="I13169" t="n">
        <v>0</v>
      </c>
      <c r="J13169" t="n">
        <v>0</v>
      </c>
      <c r="K13169" t="n">
        <v>0</v>
      </c>
      <c r="L13169" t="n">
        <v>0</v>
      </c>
      <c r="M13169" t="n">
        <v>0</v>
      </c>
      <c r="N13169" t="n">
        <v>0</v>
      </c>
      <c r="O13169" t="n">
        <v>0</v>
      </c>
      <c r="P13169" t="n">
        <v>0</v>
      </c>
      <c r="Q13169" t="n">
        <v>0</v>
      </c>
      <c r="R13169" s="2" t="inlineStr"/>
    </row>
    <row r="13170" ht="15" customHeight="1">
      <c r="A13170" t="inlineStr">
        <is>
          <t>A 29327-2024</t>
        </is>
      </c>
      <c r="B13170" s="1" t="n">
        <v>45483.43834490741</v>
      </c>
      <c r="C13170" s="1" t="n">
        <v>45952</v>
      </c>
      <c r="D13170" t="inlineStr">
        <is>
          <t>VÄSTRA GÖTALANDS LÄN</t>
        </is>
      </c>
      <c r="E13170" t="inlineStr">
        <is>
          <t>STRÖMSTAD</t>
        </is>
      </c>
      <c r="G13170" t="n">
        <v>5.3</v>
      </c>
      <c r="H13170" t="n">
        <v>0</v>
      </c>
      <c r="I13170" t="n">
        <v>0</v>
      </c>
      <c r="J13170" t="n">
        <v>0</v>
      </c>
      <c r="K13170" t="n">
        <v>0</v>
      </c>
      <c r="L13170" t="n">
        <v>0</v>
      </c>
      <c r="M13170" t="n">
        <v>0</v>
      </c>
      <c r="N13170" t="n">
        <v>0</v>
      </c>
      <c r="O13170" t="n">
        <v>0</v>
      </c>
      <c r="P13170" t="n">
        <v>0</v>
      </c>
      <c r="Q13170" t="n">
        <v>0</v>
      </c>
      <c r="R13170" s="2" t="inlineStr"/>
    </row>
    <row r="13171" ht="15" customHeight="1">
      <c r="A13171" t="inlineStr">
        <is>
          <t>A 435-2025</t>
        </is>
      </c>
      <c r="B13171" s="1" t="n">
        <v>45664.37454861111</v>
      </c>
      <c r="C13171" s="1" t="n">
        <v>45952</v>
      </c>
      <c r="D13171" t="inlineStr">
        <is>
          <t>VÄSTRA GÖTALANDS LÄN</t>
        </is>
      </c>
      <c r="E13171" t="inlineStr">
        <is>
          <t>BOLLEBYGD</t>
        </is>
      </c>
      <c r="G13171" t="n">
        <v>3.5</v>
      </c>
      <c r="H13171" t="n">
        <v>0</v>
      </c>
      <c r="I13171" t="n">
        <v>0</v>
      </c>
      <c r="J13171" t="n">
        <v>0</v>
      </c>
      <c r="K13171" t="n">
        <v>0</v>
      </c>
      <c r="L13171" t="n">
        <v>0</v>
      </c>
      <c r="M13171" t="n">
        <v>0</v>
      </c>
      <c r="N13171" t="n">
        <v>0</v>
      </c>
      <c r="O13171" t="n">
        <v>0</v>
      </c>
      <c r="P13171" t="n">
        <v>0</v>
      </c>
      <c r="Q13171" t="n">
        <v>0</v>
      </c>
      <c r="R13171" s="2" t="inlineStr"/>
    </row>
    <row r="13172" ht="15" customHeight="1">
      <c r="A13172" t="inlineStr">
        <is>
          <t>A 43552-2025</t>
        </is>
      </c>
      <c r="B13172" s="1" t="n">
        <v>45911.6202662037</v>
      </c>
      <c r="C13172" s="1" t="n">
        <v>45952</v>
      </c>
      <c r="D13172" t="inlineStr">
        <is>
          <t>VÄSTRA GÖTALANDS LÄN</t>
        </is>
      </c>
      <c r="E13172" t="inlineStr">
        <is>
          <t>UDDEVALLA</t>
        </is>
      </c>
      <c r="G13172" t="n">
        <v>2.9</v>
      </c>
      <c r="H13172" t="n">
        <v>0</v>
      </c>
      <c r="I13172" t="n">
        <v>0</v>
      </c>
      <c r="J13172" t="n">
        <v>0</v>
      </c>
      <c r="K13172" t="n">
        <v>0</v>
      </c>
      <c r="L13172" t="n">
        <v>0</v>
      </c>
      <c r="M13172" t="n">
        <v>0</v>
      </c>
      <c r="N13172" t="n">
        <v>0</v>
      </c>
      <c r="O13172" t="n">
        <v>0</v>
      </c>
      <c r="P13172" t="n">
        <v>0</v>
      </c>
      <c r="Q13172" t="n">
        <v>0</v>
      </c>
      <c r="R13172" s="2" t="inlineStr"/>
    </row>
    <row r="13173" ht="15" customHeight="1">
      <c r="A13173" t="inlineStr">
        <is>
          <t>A 36384-2025</t>
        </is>
      </c>
      <c r="B13173" s="1" t="n">
        <v>45868.5902199074</v>
      </c>
      <c r="C13173" s="1" t="n">
        <v>45952</v>
      </c>
      <c r="D13173" t="inlineStr">
        <is>
          <t>VÄSTRA GÖTALANDS LÄN</t>
        </is>
      </c>
      <c r="E13173" t="inlineStr">
        <is>
          <t>ULRICEHAMN</t>
        </is>
      </c>
      <c r="G13173" t="n">
        <v>0.6</v>
      </c>
      <c r="H13173" t="n">
        <v>0</v>
      </c>
      <c r="I13173" t="n">
        <v>0</v>
      </c>
      <c r="J13173" t="n">
        <v>0</v>
      </c>
      <c r="K13173" t="n">
        <v>0</v>
      </c>
      <c r="L13173" t="n">
        <v>0</v>
      </c>
      <c r="M13173" t="n">
        <v>0</v>
      </c>
      <c r="N13173" t="n">
        <v>0</v>
      </c>
      <c r="O13173" t="n">
        <v>0</v>
      </c>
      <c r="P13173" t="n">
        <v>0</v>
      </c>
      <c r="Q13173" t="n">
        <v>0</v>
      </c>
      <c r="R13173" s="2" t="inlineStr"/>
    </row>
    <row r="13174" ht="15" customHeight="1">
      <c r="A13174" t="inlineStr">
        <is>
          <t>A 43635-2025</t>
        </is>
      </c>
      <c r="B13174" s="1" t="n">
        <v>45911.71866898148</v>
      </c>
      <c r="C13174" s="1" t="n">
        <v>45952</v>
      </c>
      <c r="D13174" t="inlineStr">
        <is>
          <t>VÄSTRA GÖTALANDS LÄN</t>
        </is>
      </c>
      <c r="E13174" t="inlineStr">
        <is>
          <t>MARK</t>
        </is>
      </c>
      <c r="G13174" t="n">
        <v>1.5</v>
      </c>
      <c r="H13174" t="n">
        <v>0</v>
      </c>
      <c r="I13174" t="n">
        <v>0</v>
      </c>
      <c r="J13174" t="n">
        <v>0</v>
      </c>
      <c r="K13174" t="n">
        <v>0</v>
      </c>
      <c r="L13174" t="n">
        <v>0</v>
      </c>
      <c r="M13174" t="n">
        <v>0</v>
      </c>
      <c r="N13174" t="n">
        <v>0</v>
      </c>
      <c r="O13174" t="n">
        <v>0</v>
      </c>
      <c r="P13174" t="n">
        <v>0</v>
      </c>
      <c r="Q13174" t="n">
        <v>0</v>
      </c>
      <c r="R13174" s="2" t="inlineStr"/>
    </row>
    <row r="13175" ht="15" customHeight="1">
      <c r="A13175" t="inlineStr">
        <is>
          <t>A 43314-2025</t>
        </is>
      </c>
      <c r="B13175" s="1" t="n">
        <v>45910</v>
      </c>
      <c r="C13175" s="1" t="n">
        <v>45952</v>
      </c>
      <c r="D13175" t="inlineStr">
        <is>
          <t>VÄSTRA GÖTALANDS LÄN</t>
        </is>
      </c>
      <c r="E13175" t="inlineStr">
        <is>
          <t>VÅRGÅRDA</t>
        </is>
      </c>
      <c r="F13175" t="inlineStr">
        <is>
          <t>Allmännings- och besparingsskogar</t>
        </is>
      </c>
      <c r="G13175" t="n">
        <v>2.3</v>
      </c>
      <c r="H13175" t="n">
        <v>0</v>
      </c>
      <c r="I13175" t="n">
        <v>0</v>
      </c>
      <c r="J13175" t="n">
        <v>0</v>
      </c>
      <c r="K13175" t="n">
        <v>0</v>
      </c>
      <c r="L13175" t="n">
        <v>0</v>
      </c>
      <c r="M13175" t="n">
        <v>0</v>
      </c>
      <c r="N13175" t="n">
        <v>0</v>
      </c>
      <c r="O13175" t="n">
        <v>0</v>
      </c>
      <c r="P13175" t="n">
        <v>0</v>
      </c>
      <c r="Q13175" t="n">
        <v>0</v>
      </c>
      <c r="R13175" s="2" t="inlineStr"/>
    </row>
    <row r="13176" ht="15" customHeight="1">
      <c r="A13176" t="inlineStr">
        <is>
          <t>A 43452-2025</t>
        </is>
      </c>
      <c r="B13176" s="1" t="n">
        <v>45911.45792824074</v>
      </c>
      <c r="C13176" s="1" t="n">
        <v>45952</v>
      </c>
      <c r="D13176" t="inlineStr">
        <is>
          <t>VÄSTRA GÖTALANDS LÄN</t>
        </is>
      </c>
      <c r="E13176" t="inlineStr">
        <is>
          <t>MUNKEDAL</t>
        </is>
      </c>
      <c r="G13176" t="n">
        <v>7.9</v>
      </c>
      <c r="H13176" t="n">
        <v>0</v>
      </c>
      <c r="I13176" t="n">
        <v>0</v>
      </c>
      <c r="J13176" t="n">
        <v>0</v>
      </c>
      <c r="K13176" t="n">
        <v>0</v>
      </c>
      <c r="L13176" t="n">
        <v>0</v>
      </c>
      <c r="M13176" t="n">
        <v>0</v>
      </c>
      <c r="N13176" t="n">
        <v>0</v>
      </c>
      <c r="O13176" t="n">
        <v>0</v>
      </c>
      <c r="P13176" t="n">
        <v>0</v>
      </c>
      <c r="Q13176" t="n">
        <v>0</v>
      </c>
      <c r="R13176" s="2" t="inlineStr"/>
    </row>
    <row r="13177" ht="15" customHeight="1">
      <c r="A13177" t="inlineStr">
        <is>
          <t>A 43464-2025</t>
        </is>
      </c>
      <c r="B13177" s="1" t="n">
        <v>45911.47094907407</v>
      </c>
      <c r="C13177" s="1" t="n">
        <v>45952</v>
      </c>
      <c r="D13177" t="inlineStr">
        <is>
          <t>VÄSTRA GÖTALANDS LÄN</t>
        </is>
      </c>
      <c r="E13177" t="inlineStr">
        <is>
          <t>TIDAHOLM</t>
        </is>
      </c>
      <c r="G13177" t="n">
        <v>1.1</v>
      </c>
      <c r="H13177" t="n">
        <v>0</v>
      </c>
      <c r="I13177" t="n">
        <v>0</v>
      </c>
      <c r="J13177" t="n">
        <v>0</v>
      </c>
      <c r="K13177" t="n">
        <v>0</v>
      </c>
      <c r="L13177" t="n">
        <v>0</v>
      </c>
      <c r="M13177" t="n">
        <v>0</v>
      </c>
      <c r="N13177" t="n">
        <v>0</v>
      </c>
      <c r="O13177" t="n">
        <v>0</v>
      </c>
      <c r="P13177" t="n">
        <v>0</v>
      </c>
      <c r="Q13177" t="n">
        <v>0</v>
      </c>
      <c r="R13177" s="2" t="inlineStr"/>
    </row>
    <row r="13178" ht="15" customHeight="1">
      <c r="A13178" t="inlineStr">
        <is>
          <t>A 24870-2023</t>
        </is>
      </c>
      <c r="B13178" s="1" t="n">
        <v>45085</v>
      </c>
      <c r="C13178" s="1" t="n">
        <v>45952</v>
      </c>
      <c r="D13178" t="inlineStr">
        <is>
          <t>VÄSTRA GÖTALANDS LÄN</t>
        </is>
      </c>
      <c r="E13178" t="inlineStr">
        <is>
          <t>FALKÖPING</t>
        </is>
      </c>
      <c r="G13178" t="n">
        <v>1.9</v>
      </c>
      <c r="H13178" t="n">
        <v>0</v>
      </c>
      <c r="I13178" t="n">
        <v>0</v>
      </c>
      <c r="J13178" t="n">
        <v>0</v>
      </c>
      <c r="K13178" t="n">
        <v>0</v>
      </c>
      <c r="L13178" t="n">
        <v>0</v>
      </c>
      <c r="M13178" t="n">
        <v>0</v>
      </c>
      <c r="N13178" t="n">
        <v>0</v>
      </c>
      <c r="O13178" t="n">
        <v>0</v>
      </c>
      <c r="P13178" t="n">
        <v>0</v>
      </c>
      <c r="Q13178" t="n">
        <v>0</v>
      </c>
      <c r="R13178" s="2" t="inlineStr"/>
    </row>
    <row r="13179" ht="15" customHeight="1">
      <c r="A13179" t="inlineStr">
        <is>
          <t>A 49455-2023</t>
        </is>
      </c>
      <c r="B13179" s="1" t="n">
        <v>45211.50127314815</v>
      </c>
      <c r="C13179" s="1" t="n">
        <v>45952</v>
      </c>
      <c r="D13179" t="inlineStr">
        <is>
          <t>VÄSTRA GÖTALANDS LÄN</t>
        </is>
      </c>
      <c r="E13179" t="inlineStr">
        <is>
          <t>VÅRGÅRDA</t>
        </is>
      </c>
      <c r="G13179" t="n">
        <v>1.6</v>
      </c>
      <c r="H13179" t="n">
        <v>0</v>
      </c>
      <c r="I13179" t="n">
        <v>0</v>
      </c>
      <c r="J13179" t="n">
        <v>0</v>
      </c>
      <c r="K13179" t="n">
        <v>0</v>
      </c>
      <c r="L13179" t="n">
        <v>0</v>
      </c>
      <c r="M13179" t="n">
        <v>0</v>
      </c>
      <c r="N13179" t="n">
        <v>0</v>
      </c>
      <c r="O13179" t="n">
        <v>0</v>
      </c>
      <c r="P13179" t="n">
        <v>0</v>
      </c>
      <c r="Q13179" t="n">
        <v>0</v>
      </c>
      <c r="R13179" s="2" t="inlineStr"/>
    </row>
    <row r="13180" ht="15" customHeight="1">
      <c r="A13180" t="inlineStr">
        <is>
          <t>A 43446-2025</t>
        </is>
      </c>
      <c r="B13180" s="1" t="n">
        <v>45911.45128472222</v>
      </c>
      <c r="C13180" s="1" t="n">
        <v>45952</v>
      </c>
      <c r="D13180" t="inlineStr">
        <is>
          <t>VÄSTRA GÖTALANDS LÄN</t>
        </is>
      </c>
      <c r="E13180" t="inlineStr">
        <is>
          <t>MUNKEDAL</t>
        </is>
      </c>
      <c r="G13180" t="n">
        <v>1.6</v>
      </c>
      <c r="H13180" t="n">
        <v>0</v>
      </c>
      <c r="I13180" t="n">
        <v>0</v>
      </c>
      <c r="J13180" t="n">
        <v>0</v>
      </c>
      <c r="K13180" t="n">
        <v>0</v>
      </c>
      <c r="L13180" t="n">
        <v>0</v>
      </c>
      <c r="M13180" t="n">
        <v>0</v>
      </c>
      <c r="N13180" t="n">
        <v>0</v>
      </c>
      <c r="O13180" t="n">
        <v>0</v>
      </c>
      <c r="P13180" t="n">
        <v>0</v>
      </c>
      <c r="Q13180" t="n">
        <v>0</v>
      </c>
      <c r="R13180" s="2" t="inlineStr"/>
    </row>
    <row r="13181" ht="15" customHeight="1">
      <c r="A13181" t="inlineStr">
        <is>
          <t>A 51812-2022</t>
        </is>
      </c>
      <c r="B13181" s="1" t="n">
        <v>44872</v>
      </c>
      <c r="C13181" s="1" t="n">
        <v>45952</v>
      </c>
      <c r="D13181" t="inlineStr">
        <is>
          <t>VÄSTRA GÖTALANDS LÄN</t>
        </is>
      </c>
      <c r="E13181" t="inlineStr">
        <is>
          <t>TANUM</t>
        </is>
      </c>
      <c r="G13181" t="n">
        <v>6.6</v>
      </c>
      <c r="H13181" t="n">
        <v>0</v>
      </c>
      <c r="I13181" t="n">
        <v>0</v>
      </c>
      <c r="J13181" t="n">
        <v>0</v>
      </c>
      <c r="K13181" t="n">
        <v>0</v>
      </c>
      <c r="L13181" t="n">
        <v>0</v>
      </c>
      <c r="M13181" t="n">
        <v>0</v>
      </c>
      <c r="N13181" t="n">
        <v>0</v>
      </c>
      <c r="O13181" t="n">
        <v>0</v>
      </c>
      <c r="P13181" t="n">
        <v>0</v>
      </c>
      <c r="Q13181" t="n">
        <v>0</v>
      </c>
      <c r="R13181" s="2" t="inlineStr"/>
    </row>
    <row r="13182" ht="15" customHeight="1">
      <c r="A13182" t="inlineStr">
        <is>
          <t>A 49481-2023</t>
        </is>
      </c>
      <c r="B13182" s="1" t="n">
        <v>45211</v>
      </c>
      <c r="C13182" s="1" t="n">
        <v>45952</v>
      </c>
      <c r="D13182" t="inlineStr">
        <is>
          <t>VÄSTRA GÖTALANDS LÄN</t>
        </is>
      </c>
      <c r="E13182" t="inlineStr">
        <is>
          <t>VÄNERSBORG</t>
        </is>
      </c>
      <c r="G13182" t="n">
        <v>1.9</v>
      </c>
      <c r="H13182" t="n">
        <v>0</v>
      </c>
      <c r="I13182" t="n">
        <v>0</v>
      </c>
      <c r="J13182" t="n">
        <v>0</v>
      </c>
      <c r="K13182" t="n">
        <v>0</v>
      </c>
      <c r="L13182" t="n">
        <v>0</v>
      </c>
      <c r="M13182" t="n">
        <v>0</v>
      </c>
      <c r="N13182" t="n">
        <v>0</v>
      </c>
      <c r="O13182" t="n">
        <v>0</v>
      </c>
      <c r="P13182" t="n">
        <v>0</v>
      </c>
      <c r="Q13182" t="n">
        <v>0</v>
      </c>
      <c r="R13182" s="2" t="inlineStr"/>
    </row>
    <row r="13183" ht="15" customHeight="1">
      <c r="A13183" t="inlineStr">
        <is>
          <t>A 52879-2024</t>
        </is>
      </c>
      <c r="B13183" s="1" t="n">
        <v>45610.63946759259</v>
      </c>
      <c r="C13183" s="1" t="n">
        <v>45952</v>
      </c>
      <c r="D13183" t="inlineStr">
        <is>
          <t>VÄSTRA GÖTALANDS LÄN</t>
        </is>
      </c>
      <c r="E13183" t="inlineStr">
        <is>
          <t>VARA</t>
        </is>
      </c>
      <c r="G13183" t="n">
        <v>1.3</v>
      </c>
      <c r="H13183" t="n">
        <v>0</v>
      </c>
      <c r="I13183" t="n">
        <v>0</v>
      </c>
      <c r="J13183" t="n">
        <v>0</v>
      </c>
      <c r="K13183" t="n">
        <v>0</v>
      </c>
      <c r="L13183" t="n">
        <v>0</v>
      </c>
      <c r="M13183" t="n">
        <v>0</v>
      </c>
      <c r="N13183" t="n">
        <v>0</v>
      </c>
      <c r="O13183" t="n">
        <v>0</v>
      </c>
      <c r="P13183" t="n">
        <v>0</v>
      </c>
      <c r="Q13183" t="n">
        <v>0</v>
      </c>
      <c r="R13183" s="2" t="inlineStr"/>
    </row>
    <row r="13184" ht="15" customHeight="1">
      <c r="A13184" t="inlineStr">
        <is>
          <t>A 9282-2025</t>
        </is>
      </c>
      <c r="B13184" s="1" t="n">
        <v>45714.64293981482</v>
      </c>
      <c r="C13184" s="1" t="n">
        <v>45952</v>
      </c>
      <c r="D13184" t="inlineStr">
        <is>
          <t>VÄSTRA GÖTALANDS LÄN</t>
        </is>
      </c>
      <c r="E13184" t="inlineStr">
        <is>
          <t>STENUNGSUND</t>
        </is>
      </c>
      <c r="G13184" t="n">
        <v>1.5</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43189-2025</t>
        </is>
      </c>
      <c r="B13185" s="1" t="n">
        <v>45910.41298611111</v>
      </c>
      <c r="C13185" s="1" t="n">
        <v>45952</v>
      </c>
      <c r="D13185" t="inlineStr">
        <is>
          <t>VÄSTRA GÖTALANDS LÄN</t>
        </is>
      </c>
      <c r="E13185" t="inlineStr">
        <is>
          <t>GÖTENE</t>
        </is>
      </c>
      <c r="G13185" t="n">
        <v>0.9</v>
      </c>
      <c r="H13185" t="n">
        <v>0</v>
      </c>
      <c r="I13185" t="n">
        <v>0</v>
      </c>
      <c r="J13185" t="n">
        <v>0</v>
      </c>
      <c r="K13185" t="n">
        <v>0</v>
      </c>
      <c r="L13185" t="n">
        <v>0</v>
      </c>
      <c r="M13185" t="n">
        <v>0</v>
      </c>
      <c r="N13185" t="n">
        <v>0</v>
      </c>
      <c r="O13185" t="n">
        <v>0</v>
      </c>
      <c r="P13185" t="n">
        <v>0</v>
      </c>
      <c r="Q13185" t="n">
        <v>0</v>
      </c>
      <c r="R13185" s="2" t="inlineStr"/>
    </row>
    <row r="13186" ht="15" customHeight="1">
      <c r="A13186" t="inlineStr">
        <is>
          <t>A 20484-2025</t>
        </is>
      </c>
      <c r="B13186" s="1" t="n">
        <v>45775.56006944444</v>
      </c>
      <c r="C13186" s="1" t="n">
        <v>45952</v>
      </c>
      <c r="D13186" t="inlineStr">
        <is>
          <t>VÄSTRA GÖTALANDS LÄN</t>
        </is>
      </c>
      <c r="E13186" t="inlineStr">
        <is>
          <t>ULRICEHAMN</t>
        </is>
      </c>
      <c r="G13186" t="n">
        <v>0.9</v>
      </c>
      <c r="H13186" t="n">
        <v>0</v>
      </c>
      <c r="I13186" t="n">
        <v>0</v>
      </c>
      <c r="J13186" t="n">
        <v>0</v>
      </c>
      <c r="K13186" t="n">
        <v>0</v>
      </c>
      <c r="L13186" t="n">
        <v>0</v>
      </c>
      <c r="M13186" t="n">
        <v>0</v>
      </c>
      <c r="N13186" t="n">
        <v>0</v>
      </c>
      <c r="O13186" t="n">
        <v>0</v>
      </c>
      <c r="P13186" t="n">
        <v>0</v>
      </c>
      <c r="Q13186" t="n">
        <v>0</v>
      </c>
      <c r="R13186" s="2" t="inlineStr"/>
    </row>
    <row r="13187" ht="15" customHeight="1">
      <c r="A13187" t="inlineStr">
        <is>
          <t>A 43370-2025</t>
        </is>
      </c>
      <c r="B13187" s="1" t="n">
        <v>45911.34883101852</v>
      </c>
      <c r="C13187" s="1" t="n">
        <v>45952</v>
      </c>
      <c r="D13187" t="inlineStr">
        <is>
          <t>VÄSTRA GÖTALANDS LÄN</t>
        </is>
      </c>
      <c r="E13187" t="inlineStr">
        <is>
          <t>HJO</t>
        </is>
      </c>
      <c r="G13187" t="n">
        <v>1.9</v>
      </c>
      <c r="H13187" t="n">
        <v>0</v>
      </c>
      <c r="I13187" t="n">
        <v>0</v>
      </c>
      <c r="J13187" t="n">
        <v>0</v>
      </c>
      <c r="K13187" t="n">
        <v>0</v>
      </c>
      <c r="L13187" t="n">
        <v>0</v>
      </c>
      <c r="M13187" t="n">
        <v>0</v>
      </c>
      <c r="N13187" t="n">
        <v>0</v>
      </c>
      <c r="O13187" t="n">
        <v>0</v>
      </c>
      <c r="P13187" t="n">
        <v>0</v>
      </c>
      <c r="Q13187" t="n">
        <v>0</v>
      </c>
      <c r="R13187" s="2" t="inlineStr"/>
    </row>
    <row r="13188" ht="15" customHeight="1">
      <c r="A13188" t="inlineStr">
        <is>
          <t>A 43262-2025</t>
        </is>
      </c>
      <c r="B13188" s="1" t="n">
        <v>45910.56927083333</v>
      </c>
      <c r="C13188" s="1" t="n">
        <v>45952</v>
      </c>
      <c r="D13188" t="inlineStr">
        <is>
          <t>VÄSTRA GÖTALANDS LÄN</t>
        </is>
      </c>
      <c r="E13188" t="inlineStr">
        <is>
          <t>ALINGSÅS</t>
        </is>
      </c>
      <c r="G13188" t="n">
        <v>1</v>
      </c>
      <c r="H13188" t="n">
        <v>0</v>
      </c>
      <c r="I13188" t="n">
        <v>0</v>
      </c>
      <c r="J13188" t="n">
        <v>0</v>
      </c>
      <c r="K13188" t="n">
        <v>0</v>
      </c>
      <c r="L13188" t="n">
        <v>0</v>
      </c>
      <c r="M13188" t="n">
        <v>0</v>
      </c>
      <c r="N13188" t="n">
        <v>0</v>
      </c>
      <c r="O13188" t="n">
        <v>0</v>
      </c>
      <c r="P13188" t="n">
        <v>0</v>
      </c>
      <c r="Q13188" t="n">
        <v>0</v>
      </c>
      <c r="R13188" s="2" t="inlineStr"/>
    </row>
    <row r="13189" ht="15" customHeight="1">
      <c r="A13189" t="inlineStr">
        <is>
          <t>A 36392-2025</t>
        </is>
      </c>
      <c r="B13189" s="1" t="n">
        <v>45868.61020833333</v>
      </c>
      <c r="C13189" s="1" t="n">
        <v>45952</v>
      </c>
      <c r="D13189" t="inlineStr">
        <is>
          <t>VÄSTRA GÖTALANDS LÄN</t>
        </is>
      </c>
      <c r="E13189" t="inlineStr">
        <is>
          <t>FÄRGELANDA</t>
        </is>
      </c>
      <c r="G13189" t="n">
        <v>1</v>
      </c>
      <c r="H13189" t="n">
        <v>0</v>
      </c>
      <c r="I13189" t="n">
        <v>0</v>
      </c>
      <c r="J13189" t="n">
        <v>0</v>
      </c>
      <c r="K13189" t="n">
        <v>0</v>
      </c>
      <c r="L13189" t="n">
        <v>0</v>
      </c>
      <c r="M13189" t="n">
        <v>0</v>
      </c>
      <c r="N13189" t="n">
        <v>0</v>
      </c>
      <c r="O13189" t="n">
        <v>0</v>
      </c>
      <c r="P13189" t="n">
        <v>0</v>
      </c>
      <c r="Q13189" t="n">
        <v>0</v>
      </c>
      <c r="R13189" s="2" t="inlineStr"/>
    </row>
    <row r="13190" ht="15" customHeight="1">
      <c r="A13190" t="inlineStr">
        <is>
          <t>A 36409-2025</t>
        </is>
      </c>
      <c r="B13190" s="1" t="n">
        <v>45868.68178240741</v>
      </c>
      <c r="C13190" s="1" t="n">
        <v>45952</v>
      </c>
      <c r="D13190" t="inlineStr">
        <is>
          <t>VÄSTRA GÖTALANDS LÄN</t>
        </is>
      </c>
      <c r="E13190" t="inlineStr">
        <is>
          <t>HJO</t>
        </is>
      </c>
      <c r="G13190" t="n">
        <v>0.6</v>
      </c>
      <c r="H13190" t="n">
        <v>0</v>
      </c>
      <c r="I13190" t="n">
        <v>0</v>
      </c>
      <c r="J13190" t="n">
        <v>0</v>
      </c>
      <c r="K13190" t="n">
        <v>0</v>
      </c>
      <c r="L13190" t="n">
        <v>0</v>
      </c>
      <c r="M13190" t="n">
        <v>0</v>
      </c>
      <c r="N13190" t="n">
        <v>0</v>
      </c>
      <c r="O13190" t="n">
        <v>0</v>
      </c>
      <c r="P13190" t="n">
        <v>0</v>
      </c>
      <c r="Q13190" t="n">
        <v>0</v>
      </c>
      <c r="R13190" s="2" t="inlineStr"/>
    </row>
    <row r="13191" ht="15" customHeight="1">
      <c r="A13191" t="inlineStr">
        <is>
          <t>A 36306-2025</t>
        </is>
      </c>
      <c r="B13191" s="1" t="n">
        <v>45868.00769675926</v>
      </c>
      <c r="C13191" s="1" t="n">
        <v>45952</v>
      </c>
      <c r="D13191" t="inlineStr">
        <is>
          <t>VÄSTRA GÖTALANDS LÄN</t>
        </is>
      </c>
      <c r="E13191" t="inlineStr">
        <is>
          <t>ULRICEHAMN</t>
        </is>
      </c>
      <c r="G13191" t="n">
        <v>1.3</v>
      </c>
      <c r="H13191" t="n">
        <v>0</v>
      </c>
      <c r="I13191" t="n">
        <v>0</v>
      </c>
      <c r="J13191" t="n">
        <v>0</v>
      </c>
      <c r="K13191" t="n">
        <v>0</v>
      </c>
      <c r="L13191" t="n">
        <v>0</v>
      </c>
      <c r="M13191" t="n">
        <v>0</v>
      </c>
      <c r="N13191" t="n">
        <v>0</v>
      </c>
      <c r="O13191" t="n">
        <v>0</v>
      </c>
      <c r="P13191" t="n">
        <v>0</v>
      </c>
      <c r="Q13191" t="n">
        <v>0</v>
      </c>
      <c r="R13191" s="2" t="inlineStr"/>
    </row>
    <row r="13192" ht="15" customHeight="1">
      <c r="A13192" t="inlineStr">
        <is>
          <t>A 43376-2025</t>
        </is>
      </c>
      <c r="B13192" s="1" t="n">
        <v>45911.35574074074</v>
      </c>
      <c r="C13192" s="1" t="n">
        <v>45952</v>
      </c>
      <c r="D13192" t="inlineStr">
        <is>
          <t>VÄSTRA GÖTALANDS LÄN</t>
        </is>
      </c>
      <c r="E13192" t="inlineStr">
        <is>
          <t>DALS-ED</t>
        </is>
      </c>
      <c r="G13192" t="n">
        <v>5.3</v>
      </c>
      <c r="H13192" t="n">
        <v>0</v>
      </c>
      <c r="I13192" t="n">
        <v>0</v>
      </c>
      <c r="J13192" t="n">
        <v>0</v>
      </c>
      <c r="K13192" t="n">
        <v>0</v>
      </c>
      <c r="L13192" t="n">
        <v>0</v>
      </c>
      <c r="M13192" t="n">
        <v>0</v>
      </c>
      <c r="N13192" t="n">
        <v>0</v>
      </c>
      <c r="O13192" t="n">
        <v>0</v>
      </c>
      <c r="P13192" t="n">
        <v>0</v>
      </c>
      <c r="Q13192" t="n">
        <v>0</v>
      </c>
      <c r="R13192" s="2" t="inlineStr"/>
    </row>
    <row r="13193" ht="15" customHeight="1">
      <c r="A13193" t="inlineStr">
        <is>
          <t>A 43398-2025</t>
        </is>
      </c>
      <c r="B13193" s="1" t="n">
        <v>45911.37747685185</v>
      </c>
      <c r="C13193" s="1" t="n">
        <v>45952</v>
      </c>
      <c r="D13193" t="inlineStr">
        <is>
          <t>VÄSTRA GÖTALANDS LÄN</t>
        </is>
      </c>
      <c r="E13193" t="inlineStr">
        <is>
          <t>MELLERUD</t>
        </is>
      </c>
      <c r="G13193" t="n">
        <v>1</v>
      </c>
      <c r="H13193" t="n">
        <v>0</v>
      </c>
      <c r="I13193" t="n">
        <v>0</v>
      </c>
      <c r="J13193" t="n">
        <v>0</v>
      </c>
      <c r="K13193" t="n">
        <v>0</v>
      </c>
      <c r="L13193" t="n">
        <v>0</v>
      </c>
      <c r="M13193" t="n">
        <v>0</v>
      </c>
      <c r="N13193" t="n">
        <v>0</v>
      </c>
      <c r="O13193" t="n">
        <v>0</v>
      </c>
      <c r="P13193" t="n">
        <v>0</v>
      </c>
      <c r="Q13193" t="n">
        <v>0</v>
      </c>
      <c r="R13193" s="2" t="inlineStr"/>
    </row>
    <row r="13194" ht="15" customHeight="1">
      <c r="A13194" t="inlineStr">
        <is>
          <t>A 43440-2025</t>
        </is>
      </c>
      <c r="B13194" s="1" t="n">
        <v>45911.43915509259</v>
      </c>
      <c r="C13194" s="1" t="n">
        <v>45952</v>
      </c>
      <c r="D13194" t="inlineStr">
        <is>
          <t>VÄSTRA GÖTALANDS LÄN</t>
        </is>
      </c>
      <c r="E13194" t="inlineStr">
        <is>
          <t>TÖREBODA</t>
        </is>
      </c>
      <c r="G13194" t="n">
        <v>2.3</v>
      </c>
      <c r="H13194" t="n">
        <v>0</v>
      </c>
      <c r="I13194" t="n">
        <v>0</v>
      </c>
      <c r="J13194" t="n">
        <v>0</v>
      </c>
      <c r="K13194" t="n">
        <v>0</v>
      </c>
      <c r="L13194" t="n">
        <v>0</v>
      </c>
      <c r="M13194" t="n">
        <v>0</v>
      </c>
      <c r="N13194" t="n">
        <v>0</v>
      </c>
      <c r="O13194" t="n">
        <v>0</v>
      </c>
      <c r="P13194" t="n">
        <v>0</v>
      </c>
      <c r="Q13194" t="n">
        <v>0</v>
      </c>
      <c r="R13194" s="2" t="inlineStr"/>
    </row>
    <row r="13195" ht="15" customHeight="1">
      <c r="A13195" t="inlineStr">
        <is>
          <t>A 38821-2024</t>
        </is>
      </c>
      <c r="B13195" s="1" t="n">
        <v>45547.56070601852</v>
      </c>
      <c r="C13195" s="1" t="n">
        <v>45952</v>
      </c>
      <c r="D13195" t="inlineStr">
        <is>
          <t>VÄSTRA GÖTALANDS LÄN</t>
        </is>
      </c>
      <c r="E13195" t="inlineStr">
        <is>
          <t>TRANEMO</t>
        </is>
      </c>
      <c r="F13195" t="inlineStr">
        <is>
          <t>Sveaskog</t>
        </is>
      </c>
      <c r="G13195" t="n">
        <v>1.6</v>
      </c>
      <c r="H13195" t="n">
        <v>0</v>
      </c>
      <c r="I13195" t="n">
        <v>0</v>
      </c>
      <c r="J13195" t="n">
        <v>0</v>
      </c>
      <c r="K13195" t="n">
        <v>0</v>
      </c>
      <c r="L13195" t="n">
        <v>0</v>
      </c>
      <c r="M13195" t="n">
        <v>0</v>
      </c>
      <c r="N13195" t="n">
        <v>0</v>
      </c>
      <c r="O13195" t="n">
        <v>0</v>
      </c>
      <c r="P13195" t="n">
        <v>0</v>
      </c>
      <c r="Q13195" t="n">
        <v>0</v>
      </c>
      <c r="R13195" s="2" t="inlineStr"/>
    </row>
    <row r="13196" ht="15" customHeight="1">
      <c r="A13196" t="inlineStr">
        <is>
          <t>A 36402-2025</t>
        </is>
      </c>
      <c r="B13196" s="1" t="n">
        <v>45868.65326388889</v>
      </c>
      <c r="C13196" s="1" t="n">
        <v>45952</v>
      </c>
      <c r="D13196" t="inlineStr">
        <is>
          <t>VÄSTRA GÖTALANDS LÄN</t>
        </is>
      </c>
      <c r="E13196" t="inlineStr">
        <is>
          <t>BORÅS</t>
        </is>
      </c>
      <c r="G13196" t="n">
        <v>1.7</v>
      </c>
      <c r="H13196" t="n">
        <v>0</v>
      </c>
      <c r="I13196" t="n">
        <v>0</v>
      </c>
      <c r="J13196" t="n">
        <v>0</v>
      </c>
      <c r="K13196" t="n">
        <v>0</v>
      </c>
      <c r="L13196" t="n">
        <v>0</v>
      </c>
      <c r="M13196" t="n">
        <v>0</v>
      </c>
      <c r="N13196" t="n">
        <v>0</v>
      </c>
      <c r="O13196" t="n">
        <v>0</v>
      </c>
      <c r="P13196" t="n">
        <v>0</v>
      </c>
      <c r="Q13196" t="n">
        <v>0</v>
      </c>
      <c r="R13196" s="2" t="inlineStr"/>
    </row>
    <row r="13197" ht="15" customHeight="1">
      <c r="A13197" t="inlineStr">
        <is>
          <t>A 36408-2025</t>
        </is>
      </c>
      <c r="B13197" s="1" t="n">
        <v>45868.6805787037</v>
      </c>
      <c r="C13197" s="1" t="n">
        <v>45952</v>
      </c>
      <c r="D13197" t="inlineStr">
        <is>
          <t>VÄSTRA GÖTALANDS LÄN</t>
        </is>
      </c>
      <c r="E13197" t="inlineStr">
        <is>
          <t>BORÅS</t>
        </is>
      </c>
      <c r="G13197" t="n">
        <v>1.6</v>
      </c>
      <c r="H13197" t="n">
        <v>0</v>
      </c>
      <c r="I13197" t="n">
        <v>0</v>
      </c>
      <c r="J13197" t="n">
        <v>0</v>
      </c>
      <c r="K13197" t="n">
        <v>0</v>
      </c>
      <c r="L13197" t="n">
        <v>0</v>
      </c>
      <c r="M13197" t="n">
        <v>0</v>
      </c>
      <c r="N13197" t="n">
        <v>0</v>
      </c>
      <c r="O13197" t="n">
        <v>0</v>
      </c>
      <c r="P13197" t="n">
        <v>0</v>
      </c>
      <c r="Q13197" t="n">
        <v>0</v>
      </c>
      <c r="R13197" s="2" t="inlineStr"/>
    </row>
    <row r="13198" ht="15" customHeight="1">
      <c r="A13198" t="inlineStr">
        <is>
          <t>A 53310-2024</t>
        </is>
      </c>
      <c r="B13198" s="1" t="n">
        <v>45614.3945949074</v>
      </c>
      <c r="C13198" s="1" t="n">
        <v>45952</v>
      </c>
      <c r="D13198" t="inlineStr">
        <is>
          <t>VÄSTRA GÖTALANDS LÄN</t>
        </is>
      </c>
      <c r="E13198" t="inlineStr">
        <is>
          <t>MELLERUD</t>
        </is>
      </c>
      <c r="G13198" t="n">
        <v>1</v>
      </c>
      <c r="H13198" t="n">
        <v>0</v>
      </c>
      <c r="I13198" t="n">
        <v>0</v>
      </c>
      <c r="J13198" t="n">
        <v>0</v>
      </c>
      <c r="K13198" t="n">
        <v>0</v>
      </c>
      <c r="L13198" t="n">
        <v>0</v>
      </c>
      <c r="M13198" t="n">
        <v>0</v>
      </c>
      <c r="N13198" t="n">
        <v>0</v>
      </c>
      <c r="O13198" t="n">
        <v>0</v>
      </c>
      <c r="P13198" t="n">
        <v>0</v>
      </c>
      <c r="Q13198" t="n">
        <v>0</v>
      </c>
      <c r="R13198" s="2" t="inlineStr"/>
    </row>
    <row r="13199" ht="15" customHeight="1">
      <c r="A13199" t="inlineStr">
        <is>
          <t>A 36573-2025</t>
        </is>
      </c>
      <c r="B13199" s="1" t="n">
        <v>45869</v>
      </c>
      <c r="C13199" s="1" t="n">
        <v>45952</v>
      </c>
      <c r="D13199" t="inlineStr">
        <is>
          <t>VÄSTRA GÖTALANDS LÄN</t>
        </is>
      </c>
      <c r="E13199" t="inlineStr">
        <is>
          <t>GULLSPÅNG</t>
        </is>
      </c>
      <c r="G13199" t="n">
        <v>1.6</v>
      </c>
      <c r="H13199" t="n">
        <v>0</v>
      </c>
      <c r="I13199" t="n">
        <v>0</v>
      </c>
      <c r="J13199" t="n">
        <v>0</v>
      </c>
      <c r="K13199" t="n">
        <v>0</v>
      </c>
      <c r="L13199" t="n">
        <v>0</v>
      </c>
      <c r="M13199" t="n">
        <v>0</v>
      </c>
      <c r="N13199" t="n">
        <v>0</v>
      </c>
      <c r="O13199" t="n">
        <v>0</v>
      </c>
      <c r="P13199" t="n">
        <v>0</v>
      </c>
      <c r="Q13199" t="n">
        <v>0</v>
      </c>
      <c r="R13199" s="2" t="inlineStr"/>
    </row>
    <row r="13200" ht="15" customHeight="1">
      <c r="A13200" t="inlineStr">
        <is>
          <t>A 32203-2024</t>
        </is>
      </c>
      <c r="B13200" s="1" t="n">
        <v>45511.67099537037</v>
      </c>
      <c r="C13200" s="1" t="n">
        <v>45952</v>
      </c>
      <c r="D13200" t="inlineStr">
        <is>
          <t>VÄSTRA GÖTALANDS LÄN</t>
        </is>
      </c>
      <c r="E13200" t="inlineStr">
        <is>
          <t>FALKÖPING</t>
        </is>
      </c>
      <c r="G13200" t="n">
        <v>0.6</v>
      </c>
      <c r="H13200" t="n">
        <v>0</v>
      </c>
      <c r="I13200" t="n">
        <v>0</v>
      </c>
      <c r="J13200" t="n">
        <v>0</v>
      </c>
      <c r="K13200" t="n">
        <v>0</v>
      </c>
      <c r="L13200" t="n">
        <v>0</v>
      </c>
      <c r="M13200" t="n">
        <v>0</v>
      </c>
      <c r="N13200" t="n">
        <v>0</v>
      </c>
      <c r="O13200" t="n">
        <v>0</v>
      </c>
      <c r="P13200" t="n">
        <v>0</v>
      </c>
      <c r="Q13200" t="n">
        <v>0</v>
      </c>
      <c r="R13200" s="2" t="inlineStr"/>
    </row>
    <row r="13201" ht="15" customHeight="1">
      <c r="A13201" t="inlineStr">
        <is>
          <t>A 43469-2025</t>
        </is>
      </c>
      <c r="B13201" s="1" t="n">
        <v>45911.47576388889</v>
      </c>
      <c r="C13201" s="1" t="n">
        <v>45952</v>
      </c>
      <c r="D13201" t="inlineStr">
        <is>
          <t>VÄSTRA GÖTALANDS LÄN</t>
        </is>
      </c>
      <c r="E13201" t="inlineStr">
        <is>
          <t>TIDAHOLM</t>
        </is>
      </c>
      <c r="G13201" t="n">
        <v>1.8</v>
      </c>
      <c r="H13201" t="n">
        <v>0</v>
      </c>
      <c r="I13201" t="n">
        <v>0</v>
      </c>
      <c r="J13201" t="n">
        <v>0</v>
      </c>
      <c r="K13201" t="n">
        <v>0</v>
      </c>
      <c r="L13201" t="n">
        <v>0</v>
      </c>
      <c r="M13201" t="n">
        <v>0</v>
      </c>
      <c r="N13201" t="n">
        <v>0</v>
      </c>
      <c r="O13201" t="n">
        <v>0</v>
      </c>
      <c r="P13201" t="n">
        <v>0</v>
      </c>
      <c r="Q13201" t="n">
        <v>0</v>
      </c>
      <c r="R13201" s="2" t="inlineStr"/>
    </row>
    <row r="13202" ht="15" customHeight="1">
      <c r="A13202" t="inlineStr">
        <is>
          <t>A 43573-2025</t>
        </is>
      </c>
      <c r="B13202" s="1" t="n">
        <v>45911.63810185185</v>
      </c>
      <c r="C13202" s="1" t="n">
        <v>45952</v>
      </c>
      <c r="D13202" t="inlineStr">
        <is>
          <t>VÄSTRA GÖTALANDS LÄN</t>
        </is>
      </c>
      <c r="E13202" t="inlineStr">
        <is>
          <t>MARIESTAD</t>
        </is>
      </c>
      <c r="F13202" t="inlineStr">
        <is>
          <t>Sveaskog</t>
        </is>
      </c>
      <c r="G13202" t="n">
        <v>5.2</v>
      </c>
      <c r="H13202" t="n">
        <v>0</v>
      </c>
      <c r="I13202" t="n">
        <v>0</v>
      </c>
      <c r="J13202" t="n">
        <v>0</v>
      </c>
      <c r="K13202" t="n">
        <v>0</v>
      </c>
      <c r="L13202" t="n">
        <v>0</v>
      </c>
      <c r="M13202" t="n">
        <v>0</v>
      </c>
      <c r="N13202" t="n">
        <v>0</v>
      </c>
      <c r="O13202" t="n">
        <v>0</v>
      </c>
      <c r="P13202" t="n">
        <v>0</v>
      </c>
      <c r="Q13202" t="n">
        <v>0</v>
      </c>
      <c r="R13202" s="2" t="inlineStr"/>
    </row>
    <row r="13203" ht="15" customHeight="1">
      <c r="A13203" t="inlineStr">
        <is>
          <t>A 43575-2025</t>
        </is>
      </c>
      <c r="B13203" s="1" t="n">
        <v>45911.63979166667</v>
      </c>
      <c r="C13203" s="1" t="n">
        <v>45952</v>
      </c>
      <c r="D13203" t="inlineStr">
        <is>
          <t>VÄSTRA GÖTALANDS LÄN</t>
        </is>
      </c>
      <c r="E13203" t="inlineStr">
        <is>
          <t>MARIESTAD</t>
        </is>
      </c>
      <c r="F13203" t="inlineStr">
        <is>
          <t>Sveaskog</t>
        </is>
      </c>
      <c r="G13203" t="n">
        <v>1.8</v>
      </c>
      <c r="H13203" t="n">
        <v>0</v>
      </c>
      <c r="I13203" t="n">
        <v>0</v>
      </c>
      <c r="J13203" t="n">
        <v>0</v>
      </c>
      <c r="K13203" t="n">
        <v>0</v>
      </c>
      <c r="L13203" t="n">
        <v>0</v>
      </c>
      <c r="M13203" t="n">
        <v>0</v>
      </c>
      <c r="N13203" t="n">
        <v>0</v>
      </c>
      <c r="O13203" t="n">
        <v>0</v>
      </c>
      <c r="P13203" t="n">
        <v>0</v>
      </c>
      <c r="Q13203" t="n">
        <v>0</v>
      </c>
      <c r="R13203" s="2" t="inlineStr"/>
    </row>
    <row r="13204" ht="15" customHeight="1">
      <c r="A13204" t="inlineStr">
        <is>
          <t>A 53383-2024</t>
        </is>
      </c>
      <c r="B13204" s="1" t="n">
        <v>45614.47771990741</v>
      </c>
      <c r="C13204" s="1" t="n">
        <v>45952</v>
      </c>
      <c r="D13204" t="inlineStr">
        <is>
          <t>VÄSTRA GÖTALANDS LÄN</t>
        </is>
      </c>
      <c r="E13204" t="inlineStr">
        <is>
          <t>TIDAHOLM</t>
        </is>
      </c>
      <c r="F13204" t="inlineStr">
        <is>
          <t>Sveaskog</t>
        </is>
      </c>
      <c r="G13204" t="n">
        <v>2.2</v>
      </c>
      <c r="H13204" t="n">
        <v>0</v>
      </c>
      <c r="I13204" t="n">
        <v>0</v>
      </c>
      <c r="J13204" t="n">
        <v>0</v>
      </c>
      <c r="K13204" t="n">
        <v>0</v>
      </c>
      <c r="L13204" t="n">
        <v>0</v>
      </c>
      <c r="M13204" t="n">
        <v>0</v>
      </c>
      <c r="N13204" t="n">
        <v>0</v>
      </c>
      <c r="O13204" t="n">
        <v>0</v>
      </c>
      <c r="P13204" t="n">
        <v>0</v>
      </c>
      <c r="Q13204" t="n">
        <v>0</v>
      </c>
      <c r="R13204" s="2" t="inlineStr"/>
    </row>
    <row r="13205" ht="15" customHeight="1">
      <c r="A13205" t="inlineStr">
        <is>
          <t>A 53387-2024</t>
        </is>
      </c>
      <c r="B13205" s="1" t="n">
        <v>45614.47966435185</v>
      </c>
      <c r="C13205" s="1" t="n">
        <v>45952</v>
      </c>
      <c r="D13205" t="inlineStr">
        <is>
          <t>VÄSTRA GÖTALANDS LÄN</t>
        </is>
      </c>
      <c r="E13205" t="inlineStr">
        <is>
          <t>TIDAHOLM</t>
        </is>
      </c>
      <c r="F13205" t="inlineStr">
        <is>
          <t>Sveaskog</t>
        </is>
      </c>
      <c r="G13205" t="n">
        <v>2.5</v>
      </c>
      <c r="H13205" t="n">
        <v>0</v>
      </c>
      <c r="I13205" t="n">
        <v>0</v>
      </c>
      <c r="J13205" t="n">
        <v>0</v>
      </c>
      <c r="K13205" t="n">
        <v>0</v>
      </c>
      <c r="L13205" t="n">
        <v>0</v>
      </c>
      <c r="M13205" t="n">
        <v>0</v>
      </c>
      <c r="N13205" t="n">
        <v>0</v>
      </c>
      <c r="O13205" t="n">
        <v>0</v>
      </c>
      <c r="P13205" t="n">
        <v>0</v>
      </c>
      <c r="Q13205" t="n">
        <v>0</v>
      </c>
      <c r="R13205" s="2" t="inlineStr"/>
    </row>
    <row r="13206" ht="15" customHeight="1">
      <c r="A13206" t="inlineStr">
        <is>
          <t>A 53391-2024</t>
        </is>
      </c>
      <c r="B13206" s="1" t="n">
        <v>45614.48202546296</v>
      </c>
      <c r="C13206" s="1" t="n">
        <v>45952</v>
      </c>
      <c r="D13206" t="inlineStr">
        <is>
          <t>VÄSTRA GÖTALANDS LÄN</t>
        </is>
      </c>
      <c r="E13206" t="inlineStr">
        <is>
          <t>HERRLJUNGA</t>
        </is>
      </c>
      <c r="G13206" t="n">
        <v>4.7</v>
      </c>
      <c r="H13206" t="n">
        <v>0</v>
      </c>
      <c r="I13206" t="n">
        <v>0</v>
      </c>
      <c r="J13206" t="n">
        <v>0</v>
      </c>
      <c r="K13206" t="n">
        <v>0</v>
      </c>
      <c r="L13206" t="n">
        <v>0</v>
      </c>
      <c r="M13206" t="n">
        <v>0</v>
      </c>
      <c r="N13206" t="n">
        <v>0</v>
      </c>
      <c r="O13206" t="n">
        <v>0</v>
      </c>
      <c r="P13206" t="n">
        <v>0</v>
      </c>
      <c r="Q13206" t="n">
        <v>0</v>
      </c>
      <c r="R13206" s="2" t="inlineStr"/>
    </row>
    <row r="13207" ht="15" customHeight="1">
      <c r="A13207" t="inlineStr">
        <is>
          <t>A 53910-2024</t>
        </is>
      </c>
      <c r="B13207" s="1" t="n">
        <v>45615.72082175926</v>
      </c>
      <c r="C13207" s="1" t="n">
        <v>45952</v>
      </c>
      <c r="D13207" t="inlineStr">
        <is>
          <t>VÄSTRA GÖTALANDS LÄN</t>
        </is>
      </c>
      <c r="E13207" t="inlineStr">
        <is>
          <t>DALS-ED</t>
        </is>
      </c>
      <c r="G13207" t="n">
        <v>1.5</v>
      </c>
      <c r="H13207" t="n">
        <v>0</v>
      </c>
      <c r="I13207" t="n">
        <v>0</v>
      </c>
      <c r="J13207" t="n">
        <v>0</v>
      </c>
      <c r="K13207" t="n">
        <v>0</v>
      </c>
      <c r="L13207" t="n">
        <v>0</v>
      </c>
      <c r="M13207" t="n">
        <v>0</v>
      </c>
      <c r="N13207" t="n">
        <v>0</v>
      </c>
      <c r="O13207" t="n">
        <v>0</v>
      </c>
      <c r="P13207" t="n">
        <v>0</v>
      </c>
      <c r="Q13207" t="n">
        <v>0</v>
      </c>
      <c r="R13207" s="2" t="inlineStr"/>
    </row>
    <row r="13208" ht="15" customHeight="1">
      <c r="A13208" t="inlineStr">
        <is>
          <t>A 17131-2025</t>
        </is>
      </c>
      <c r="B13208" s="1" t="n">
        <v>45755.74113425926</v>
      </c>
      <c r="C13208" s="1" t="n">
        <v>45952</v>
      </c>
      <c r="D13208" t="inlineStr">
        <is>
          <t>VÄSTRA GÖTALANDS LÄN</t>
        </is>
      </c>
      <c r="E13208" t="inlineStr">
        <is>
          <t>UDDEVALLA</t>
        </is>
      </c>
      <c r="G13208" t="n">
        <v>8.1</v>
      </c>
      <c r="H13208" t="n">
        <v>0</v>
      </c>
      <c r="I13208" t="n">
        <v>0</v>
      </c>
      <c r="J13208" t="n">
        <v>0</v>
      </c>
      <c r="K13208" t="n">
        <v>0</v>
      </c>
      <c r="L13208" t="n">
        <v>0</v>
      </c>
      <c r="M13208" t="n">
        <v>0</v>
      </c>
      <c r="N13208" t="n">
        <v>0</v>
      </c>
      <c r="O13208" t="n">
        <v>0</v>
      </c>
      <c r="P13208" t="n">
        <v>0</v>
      </c>
      <c r="Q13208" t="n">
        <v>0</v>
      </c>
      <c r="R13208" s="2" t="inlineStr"/>
    </row>
    <row r="13209" ht="15" customHeight="1">
      <c r="A13209" t="inlineStr">
        <is>
          <t>A 9915-2024</t>
        </is>
      </c>
      <c r="B13209" s="1" t="n">
        <v>45363.54946759259</v>
      </c>
      <c r="C13209" s="1" t="n">
        <v>45952</v>
      </c>
      <c r="D13209" t="inlineStr">
        <is>
          <t>VÄSTRA GÖTALANDS LÄN</t>
        </is>
      </c>
      <c r="E13209" t="inlineStr">
        <is>
          <t>TRANEMO</t>
        </is>
      </c>
      <c r="F13209" t="inlineStr">
        <is>
          <t>Kyrkan</t>
        </is>
      </c>
      <c r="G13209" t="n">
        <v>6.9</v>
      </c>
      <c r="H13209" t="n">
        <v>0</v>
      </c>
      <c r="I13209" t="n">
        <v>0</v>
      </c>
      <c r="J13209" t="n">
        <v>0</v>
      </c>
      <c r="K13209" t="n">
        <v>0</v>
      </c>
      <c r="L13209" t="n">
        <v>0</v>
      </c>
      <c r="M13209" t="n">
        <v>0</v>
      </c>
      <c r="N13209" t="n">
        <v>0</v>
      </c>
      <c r="O13209" t="n">
        <v>0</v>
      </c>
      <c r="P13209" t="n">
        <v>0</v>
      </c>
      <c r="Q13209" t="n">
        <v>0</v>
      </c>
      <c r="R13209" s="2" t="inlineStr"/>
    </row>
    <row r="13210" ht="15" customHeight="1">
      <c r="A13210" t="inlineStr">
        <is>
          <t>A 20542-2024</t>
        </is>
      </c>
      <c r="B13210" s="1" t="n">
        <v>45436</v>
      </c>
      <c r="C13210" s="1" t="n">
        <v>45952</v>
      </c>
      <c r="D13210" t="inlineStr">
        <is>
          <t>VÄSTRA GÖTALANDS LÄN</t>
        </is>
      </c>
      <c r="E13210" t="inlineStr">
        <is>
          <t>GULLSPÅNG</t>
        </is>
      </c>
      <c r="G13210" t="n">
        <v>2.9</v>
      </c>
      <c r="H13210" t="n">
        <v>0</v>
      </c>
      <c r="I13210" t="n">
        <v>0</v>
      </c>
      <c r="J13210" t="n">
        <v>0</v>
      </c>
      <c r="K13210" t="n">
        <v>0</v>
      </c>
      <c r="L13210" t="n">
        <v>0</v>
      </c>
      <c r="M13210" t="n">
        <v>0</v>
      </c>
      <c r="N13210" t="n">
        <v>0</v>
      </c>
      <c r="O13210" t="n">
        <v>0</v>
      </c>
      <c r="P13210" t="n">
        <v>0</v>
      </c>
      <c r="Q13210" t="n">
        <v>0</v>
      </c>
      <c r="R13210" s="2" t="inlineStr"/>
    </row>
    <row r="13211" ht="15" customHeight="1">
      <c r="A13211" t="inlineStr">
        <is>
          <t>A 13957-2024</t>
        </is>
      </c>
      <c r="B13211" s="1" t="n">
        <v>45392.32523148148</v>
      </c>
      <c r="C13211" s="1" t="n">
        <v>45952</v>
      </c>
      <c r="D13211" t="inlineStr">
        <is>
          <t>VÄSTRA GÖTALANDS LÄN</t>
        </is>
      </c>
      <c r="E13211" t="inlineStr">
        <is>
          <t>BORÅS</t>
        </is>
      </c>
      <c r="G13211" t="n">
        <v>3</v>
      </c>
      <c r="H13211" t="n">
        <v>0</v>
      </c>
      <c r="I13211" t="n">
        <v>0</v>
      </c>
      <c r="J13211" t="n">
        <v>0</v>
      </c>
      <c r="K13211" t="n">
        <v>0</v>
      </c>
      <c r="L13211" t="n">
        <v>0</v>
      </c>
      <c r="M13211" t="n">
        <v>0</v>
      </c>
      <c r="N13211" t="n">
        <v>0</v>
      </c>
      <c r="O13211" t="n">
        <v>0</v>
      </c>
      <c r="P13211" t="n">
        <v>0</v>
      </c>
      <c r="Q13211" t="n">
        <v>0</v>
      </c>
      <c r="R13211" s="2" t="inlineStr"/>
    </row>
    <row r="13212" ht="15" customHeight="1">
      <c r="A13212" t="inlineStr">
        <is>
          <t>A 67345-2020</t>
        </is>
      </c>
      <c r="B13212" s="1" t="n">
        <v>44181</v>
      </c>
      <c r="C13212" s="1" t="n">
        <v>45952</v>
      </c>
      <c r="D13212" t="inlineStr">
        <is>
          <t>VÄSTRA GÖTALANDS LÄN</t>
        </is>
      </c>
      <c r="E13212" t="inlineStr">
        <is>
          <t>ULRICEHAMN</t>
        </is>
      </c>
      <c r="F13212" t="inlineStr">
        <is>
          <t>Kommuner</t>
        </is>
      </c>
      <c r="G13212" t="n">
        <v>1.9</v>
      </c>
      <c r="H13212" t="n">
        <v>0</v>
      </c>
      <c r="I13212" t="n">
        <v>0</v>
      </c>
      <c r="J13212" t="n">
        <v>0</v>
      </c>
      <c r="K13212" t="n">
        <v>0</v>
      </c>
      <c r="L13212" t="n">
        <v>0</v>
      </c>
      <c r="M13212" t="n">
        <v>0</v>
      </c>
      <c r="N13212" t="n">
        <v>0</v>
      </c>
      <c r="O13212" t="n">
        <v>0</v>
      </c>
      <c r="P13212" t="n">
        <v>0</v>
      </c>
      <c r="Q13212" t="n">
        <v>0</v>
      </c>
      <c r="R13212" s="2" t="inlineStr"/>
    </row>
    <row r="13213" ht="15" customHeight="1">
      <c r="A13213" t="inlineStr">
        <is>
          <t>A 39206-2024</t>
        </is>
      </c>
      <c r="B13213" s="1" t="n">
        <v>45548.81200231481</v>
      </c>
      <c r="C13213" s="1" t="n">
        <v>45952</v>
      </c>
      <c r="D13213" t="inlineStr">
        <is>
          <t>VÄSTRA GÖTALANDS LÄN</t>
        </is>
      </c>
      <c r="E13213" t="inlineStr">
        <is>
          <t>ORUST</t>
        </is>
      </c>
      <c r="G13213" t="n">
        <v>1.6</v>
      </c>
      <c r="H13213" t="n">
        <v>0</v>
      </c>
      <c r="I13213" t="n">
        <v>0</v>
      </c>
      <c r="J13213" t="n">
        <v>0</v>
      </c>
      <c r="K13213" t="n">
        <v>0</v>
      </c>
      <c r="L13213" t="n">
        <v>0</v>
      </c>
      <c r="M13213" t="n">
        <v>0</v>
      </c>
      <c r="N13213" t="n">
        <v>0</v>
      </c>
      <c r="O13213" t="n">
        <v>0</v>
      </c>
      <c r="P13213" t="n">
        <v>0</v>
      </c>
      <c r="Q13213" t="n">
        <v>0</v>
      </c>
      <c r="R13213" s="2" t="inlineStr"/>
    </row>
    <row r="13214" ht="15" customHeight="1">
      <c r="A13214" t="inlineStr">
        <is>
          <t>A 43292-2025</t>
        </is>
      </c>
      <c r="B13214" s="1" t="n">
        <v>45910.61802083333</v>
      </c>
      <c r="C13214" s="1" t="n">
        <v>45952</v>
      </c>
      <c r="D13214" t="inlineStr">
        <is>
          <t>VÄSTRA GÖTALANDS LÄN</t>
        </is>
      </c>
      <c r="E13214" t="inlineStr">
        <is>
          <t>BOLLEBYGD</t>
        </is>
      </c>
      <c r="G13214" t="n">
        <v>2.5</v>
      </c>
      <c r="H13214" t="n">
        <v>0</v>
      </c>
      <c r="I13214" t="n">
        <v>0</v>
      </c>
      <c r="J13214" t="n">
        <v>0</v>
      </c>
      <c r="K13214" t="n">
        <v>0</v>
      </c>
      <c r="L13214" t="n">
        <v>0</v>
      </c>
      <c r="M13214" t="n">
        <v>0</v>
      </c>
      <c r="N13214" t="n">
        <v>0</v>
      </c>
      <c r="O13214" t="n">
        <v>0</v>
      </c>
      <c r="P13214" t="n">
        <v>0</v>
      </c>
      <c r="Q13214" t="n">
        <v>0</v>
      </c>
      <c r="R13214" s="2" t="inlineStr"/>
    </row>
    <row r="13215" ht="15" customHeight="1">
      <c r="A13215" t="inlineStr">
        <is>
          <t>A 47167-2024</t>
        </is>
      </c>
      <c r="B13215" s="1" t="n">
        <v>45586</v>
      </c>
      <c r="C13215" s="1" t="n">
        <v>45952</v>
      </c>
      <c r="D13215" t="inlineStr">
        <is>
          <t>VÄSTRA GÖTALANDS LÄN</t>
        </is>
      </c>
      <c r="E13215" t="inlineStr">
        <is>
          <t>MELLERUD</t>
        </is>
      </c>
      <c r="G13215" t="n">
        <v>4.1</v>
      </c>
      <c r="H13215" t="n">
        <v>0</v>
      </c>
      <c r="I13215" t="n">
        <v>0</v>
      </c>
      <c r="J13215" t="n">
        <v>0</v>
      </c>
      <c r="K13215" t="n">
        <v>0</v>
      </c>
      <c r="L13215" t="n">
        <v>0</v>
      </c>
      <c r="M13215" t="n">
        <v>0</v>
      </c>
      <c r="N13215" t="n">
        <v>0</v>
      </c>
      <c r="O13215" t="n">
        <v>0</v>
      </c>
      <c r="P13215" t="n">
        <v>0</v>
      </c>
      <c r="Q13215" t="n">
        <v>0</v>
      </c>
      <c r="R13215" s="2" t="inlineStr"/>
    </row>
    <row r="13216" ht="15" customHeight="1">
      <c r="A13216" t="inlineStr">
        <is>
          <t>A 43343-2025</t>
        </is>
      </c>
      <c r="B13216" s="1" t="n">
        <v>45910.76835648148</v>
      </c>
      <c r="C13216" s="1" t="n">
        <v>45952</v>
      </c>
      <c r="D13216" t="inlineStr">
        <is>
          <t>VÄSTRA GÖTALANDS LÄN</t>
        </is>
      </c>
      <c r="E13216" t="inlineStr">
        <is>
          <t>ÅMÅL</t>
        </is>
      </c>
      <c r="G13216" t="n">
        <v>0.6</v>
      </c>
      <c r="H13216" t="n">
        <v>0</v>
      </c>
      <c r="I13216" t="n">
        <v>0</v>
      </c>
      <c r="J13216" t="n">
        <v>0</v>
      </c>
      <c r="K13216" t="n">
        <v>0</v>
      </c>
      <c r="L13216" t="n">
        <v>0</v>
      </c>
      <c r="M13216" t="n">
        <v>0</v>
      </c>
      <c r="N13216" t="n">
        <v>0</v>
      </c>
      <c r="O13216" t="n">
        <v>0</v>
      </c>
      <c r="P13216" t="n">
        <v>0</v>
      </c>
      <c r="Q13216" t="n">
        <v>0</v>
      </c>
      <c r="R13216" s="2" t="inlineStr"/>
    </row>
    <row r="13217" ht="15" customHeight="1">
      <c r="A13217" t="inlineStr">
        <is>
          <t>A 43216-2025</t>
        </is>
      </c>
      <c r="B13217" s="1" t="n">
        <v>45910.46533564815</v>
      </c>
      <c r="C13217" s="1" t="n">
        <v>45952</v>
      </c>
      <c r="D13217" t="inlineStr">
        <is>
          <t>VÄSTRA GÖTALANDS LÄN</t>
        </is>
      </c>
      <c r="E13217" t="inlineStr">
        <is>
          <t>VARA</t>
        </is>
      </c>
      <c r="G13217" t="n">
        <v>3.4</v>
      </c>
      <c r="H13217" t="n">
        <v>0</v>
      </c>
      <c r="I13217" t="n">
        <v>0</v>
      </c>
      <c r="J13217" t="n">
        <v>0</v>
      </c>
      <c r="K13217" t="n">
        <v>0</v>
      </c>
      <c r="L13217" t="n">
        <v>0</v>
      </c>
      <c r="M13217" t="n">
        <v>0</v>
      </c>
      <c r="N13217" t="n">
        <v>0</v>
      </c>
      <c r="O13217" t="n">
        <v>0</v>
      </c>
      <c r="P13217" t="n">
        <v>0</v>
      </c>
      <c r="Q13217" t="n">
        <v>0</v>
      </c>
      <c r="R13217" s="2" t="inlineStr"/>
    </row>
    <row r="13218" ht="15" customHeight="1">
      <c r="A13218" t="inlineStr">
        <is>
          <t>A 43223-2025</t>
        </is>
      </c>
      <c r="B13218" s="1" t="n">
        <v>45910.48459490741</v>
      </c>
      <c r="C13218" s="1" t="n">
        <v>45952</v>
      </c>
      <c r="D13218" t="inlineStr">
        <is>
          <t>VÄSTRA GÖTALANDS LÄN</t>
        </is>
      </c>
      <c r="E13218" t="inlineStr">
        <is>
          <t>MELLERUD</t>
        </is>
      </c>
      <c r="G13218" t="n">
        <v>8.9</v>
      </c>
      <c r="H13218" t="n">
        <v>0</v>
      </c>
      <c r="I13218" t="n">
        <v>0</v>
      </c>
      <c r="J13218" t="n">
        <v>0</v>
      </c>
      <c r="K13218" t="n">
        <v>0</v>
      </c>
      <c r="L13218" t="n">
        <v>0</v>
      </c>
      <c r="M13218" t="n">
        <v>0</v>
      </c>
      <c r="N13218" t="n">
        <v>0</v>
      </c>
      <c r="O13218" t="n">
        <v>0</v>
      </c>
      <c r="P13218" t="n">
        <v>0</v>
      </c>
      <c r="Q13218" t="n">
        <v>0</v>
      </c>
      <c r="R13218" s="2" t="inlineStr"/>
    </row>
    <row r="13219" ht="15" customHeight="1">
      <c r="A13219" t="inlineStr">
        <is>
          <t>A 7713-2024</t>
        </is>
      </c>
      <c r="B13219" s="1" t="n">
        <v>45349.37376157408</v>
      </c>
      <c r="C13219" s="1" t="n">
        <v>45952</v>
      </c>
      <c r="D13219" t="inlineStr">
        <is>
          <t>VÄSTRA GÖTALANDS LÄN</t>
        </is>
      </c>
      <c r="E13219" t="inlineStr">
        <is>
          <t>ALINGSÅS</t>
        </is>
      </c>
      <c r="G13219" t="n">
        <v>1.6</v>
      </c>
      <c r="H13219" t="n">
        <v>0</v>
      </c>
      <c r="I13219" t="n">
        <v>0</v>
      </c>
      <c r="J13219" t="n">
        <v>0</v>
      </c>
      <c r="K13219" t="n">
        <v>0</v>
      </c>
      <c r="L13219" t="n">
        <v>0</v>
      </c>
      <c r="M13219" t="n">
        <v>0</v>
      </c>
      <c r="N13219" t="n">
        <v>0</v>
      </c>
      <c r="O13219" t="n">
        <v>0</v>
      </c>
      <c r="P13219" t="n">
        <v>0</v>
      </c>
      <c r="Q13219" t="n">
        <v>0</v>
      </c>
      <c r="R13219" s="2" t="inlineStr"/>
    </row>
    <row r="13220" ht="15" customHeight="1">
      <c r="A13220" t="inlineStr">
        <is>
          <t>A 43358-2025</t>
        </is>
      </c>
      <c r="B13220" s="1" t="n">
        <v>45911.34137731481</v>
      </c>
      <c r="C13220" s="1" t="n">
        <v>45952</v>
      </c>
      <c r="D13220" t="inlineStr">
        <is>
          <t>VÄSTRA GÖTALANDS LÄN</t>
        </is>
      </c>
      <c r="E13220" t="inlineStr">
        <is>
          <t>DALS-ED</t>
        </is>
      </c>
      <c r="G13220" t="n">
        <v>6.4</v>
      </c>
      <c r="H13220" t="n">
        <v>0</v>
      </c>
      <c r="I13220" t="n">
        <v>0</v>
      </c>
      <c r="J13220" t="n">
        <v>0</v>
      </c>
      <c r="K13220" t="n">
        <v>0</v>
      </c>
      <c r="L13220" t="n">
        <v>0</v>
      </c>
      <c r="M13220" t="n">
        <v>0</v>
      </c>
      <c r="N13220" t="n">
        <v>0</v>
      </c>
      <c r="O13220" t="n">
        <v>0</v>
      </c>
      <c r="P13220" t="n">
        <v>0</v>
      </c>
      <c r="Q13220" t="n">
        <v>0</v>
      </c>
      <c r="R13220" s="2" t="inlineStr"/>
    </row>
    <row r="13221" ht="15" customHeight="1">
      <c r="A13221" t="inlineStr">
        <is>
          <t>A 24476-2023</t>
        </is>
      </c>
      <c r="B13221" s="1" t="n">
        <v>45082</v>
      </c>
      <c r="C13221" s="1" t="n">
        <v>45952</v>
      </c>
      <c r="D13221" t="inlineStr">
        <is>
          <t>VÄSTRA GÖTALANDS LÄN</t>
        </is>
      </c>
      <c r="E13221" t="inlineStr">
        <is>
          <t>SKÖVDE</t>
        </is>
      </c>
      <c r="G13221" t="n">
        <v>2.1</v>
      </c>
      <c r="H13221" t="n">
        <v>0</v>
      </c>
      <c r="I13221" t="n">
        <v>0</v>
      </c>
      <c r="J13221" t="n">
        <v>0</v>
      </c>
      <c r="K13221" t="n">
        <v>0</v>
      </c>
      <c r="L13221" t="n">
        <v>0</v>
      </c>
      <c r="M13221" t="n">
        <v>0</v>
      </c>
      <c r="N13221" t="n">
        <v>0</v>
      </c>
      <c r="O13221" t="n">
        <v>0</v>
      </c>
      <c r="P13221" t="n">
        <v>0</v>
      </c>
      <c r="Q13221" t="n">
        <v>0</v>
      </c>
      <c r="R13221" s="2" t="inlineStr"/>
    </row>
    <row r="13222" ht="15" customHeight="1">
      <c r="A13222" t="inlineStr">
        <is>
          <t>A 38246-2022</t>
        </is>
      </c>
      <c r="B13222" s="1" t="n">
        <v>44812.48083333333</v>
      </c>
      <c r="C13222" s="1" t="n">
        <v>45952</v>
      </c>
      <c r="D13222" t="inlineStr">
        <is>
          <t>VÄSTRA GÖTALANDS LÄN</t>
        </is>
      </c>
      <c r="E13222" t="inlineStr">
        <is>
          <t>FALKÖPING</t>
        </is>
      </c>
      <c r="G13222" t="n">
        <v>1.1</v>
      </c>
      <c r="H13222" t="n">
        <v>0</v>
      </c>
      <c r="I13222" t="n">
        <v>0</v>
      </c>
      <c r="J13222" t="n">
        <v>0</v>
      </c>
      <c r="K13222" t="n">
        <v>0</v>
      </c>
      <c r="L13222" t="n">
        <v>0</v>
      </c>
      <c r="M13222" t="n">
        <v>0</v>
      </c>
      <c r="N13222" t="n">
        <v>0</v>
      </c>
      <c r="O13222" t="n">
        <v>0</v>
      </c>
      <c r="P13222" t="n">
        <v>0</v>
      </c>
      <c r="Q13222" t="n">
        <v>0</v>
      </c>
      <c r="R13222" s="2" t="inlineStr"/>
    </row>
    <row r="13223" ht="15" customHeight="1">
      <c r="A13223" t="inlineStr">
        <is>
          <t>A 47944-2024</t>
        </is>
      </c>
      <c r="B13223" s="1" t="n">
        <v>45589.35490740741</v>
      </c>
      <c r="C13223" s="1" t="n">
        <v>45952</v>
      </c>
      <c r="D13223" t="inlineStr">
        <is>
          <t>VÄSTRA GÖTALANDS LÄN</t>
        </is>
      </c>
      <c r="E13223" t="inlineStr">
        <is>
          <t>LERUM</t>
        </is>
      </c>
      <c r="G13223" t="n">
        <v>2.4</v>
      </c>
      <c r="H13223" t="n">
        <v>0</v>
      </c>
      <c r="I13223" t="n">
        <v>0</v>
      </c>
      <c r="J13223" t="n">
        <v>0</v>
      </c>
      <c r="K13223" t="n">
        <v>0</v>
      </c>
      <c r="L13223" t="n">
        <v>0</v>
      </c>
      <c r="M13223" t="n">
        <v>0</v>
      </c>
      <c r="N13223" t="n">
        <v>0</v>
      </c>
      <c r="O13223" t="n">
        <v>0</v>
      </c>
      <c r="P13223" t="n">
        <v>0</v>
      </c>
      <c r="Q13223" t="n">
        <v>0</v>
      </c>
      <c r="R13223" s="2" t="inlineStr"/>
    </row>
    <row r="13224" ht="15" customHeight="1">
      <c r="A13224" t="inlineStr">
        <is>
          <t>A 28888-2023</t>
        </is>
      </c>
      <c r="B13224" s="1" t="n">
        <v>45104</v>
      </c>
      <c r="C13224" s="1" t="n">
        <v>45952</v>
      </c>
      <c r="D13224" t="inlineStr">
        <is>
          <t>VÄSTRA GÖTALANDS LÄN</t>
        </is>
      </c>
      <c r="E13224" t="inlineStr">
        <is>
          <t>ULRICEHAMN</t>
        </is>
      </c>
      <c r="G13224" t="n">
        <v>1.3</v>
      </c>
      <c r="H13224" t="n">
        <v>0</v>
      </c>
      <c r="I13224" t="n">
        <v>0</v>
      </c>
      <c r="J13224" t="n">
        <v>0</v>
      </c>
      <c r="K13224" t="n">
        <v>0</v>
      </c>
      <c r="L13224" t="n">
        <v>0</v>
      </c>
      <c r="M13224" t="n">
        <v>0</v>
      </c>
      <c r="N13224" t="n">
        <v>0</v>
      </c>
      <c r="O13224" t="n">
        <v>0</v>
      </c>
      <c r="P13224" t="n">
        <v>0</v>
      </c>
      <c r="Q13224" t="n">
        <v>0</v>
      </c>
      <c r="R13224" s="2" t="inlineStr"/>
    </row>
    <row r="13225" ht="15" customHeight="1">
      <c r="A13225" t="inlineStr">
        <is>
          <t>A 43474-2024</t>
        </is>
      </c>
      <c r="B13225" s="1" t="n">
        <v>45568.7375925926</v>
      </c>
      <c r="C13225" s="1" t="n">
        <v>45952</v>
      </c>
      <c r="D13225" t="inlineStr">
        <is>
          <t>VÄSTRA GÖTALANDS LÄN</t>
        </is>
      </c>
      <c r="E13225" t="inlineStr">
        <is>
          <t>MARK</t>
        </is>
      </c>
      <c r="G13225" t="n">
        <v>3.1</v>
      </c>
      <c r="H13225" t="n">
        <v>0</v>
      </c>
      <c r="I13225" t="n">
        <v>0</v>
      </c>
      <c r="J13225" t="n">
        <v>0</v>
      </c>
      <c r="K13225" t="n">
        <v>0</v>
      </c>
      <c r="L13225" t="n">
        <v>0</v>
      </c>
      <c r="M13225" t="n">
        <v>0</v>
      </c>
      <c r="N13225" t="n">
        <v>0</v>
      </c>
      <c r="O13225" t="n">
        <v>0</v>
      </c>
      <c r="P13225" t="n">
        <v>0</v>
      </c>
      <c r="Q13225" t="n">
        <v>0</v>
      </c>
      <c r="R13225" s="2" t="inlineStr"/>
    </row>
    <row r="13226" ht="15" customHeight="1">
      <c r="A13226" t="inlineStr">
        <is>
          <t>A 36722-2025</t>
        </is>
      </c>
      <c r="B13226" s="1" t="n">
        <v>45872</v>
      </c>
      <c r="C13226" s="1" t="n">
        <v>45952</v>
      </c>
      <c r="D13226" t="inlineStr">
        <is>
          <t>VÄSTRA GÖTALANDS LÄN</t>
        </is>
      </c>
      <c r="E13226" t="inlineStr">
        <is>
          <t>ORUST</t>
        </is>
      </c>
      <c r="G13226" t="n">
        <v>0.8</v>
      </c>
      <c r="H13226" t="n">
        <v>0</v>
      </c>
      <c r="I13226" t="n">
        <v>0</v>
      </c>
      <c r="J13226" t="n">
        <v>0</v>
      </c>
      <c r="K13226" t="n">
        <v>0</v>
      </c>
      <c r="L13226" t="n">
        <v>0</v>
      </c>
      <c r="M13226" t="n">
        <v>0</v>
      </c>
      <c r="N13226" t="n">
        <v>0</v>
      </c>
      <c r="O13226" t="n">
        <v>0</v>
      </c>
      <c r="P13226" t="n">
        <v>0</v>
      </c>
      <c r="Q13226" t="n">
        <v>0</v>
      </c>
      <c r="R13226" s="2" t="inlineStr"/>
    </row>
    <row r="13227" ht="15" customHeight="1">
      <c r="A13227" t="inlineStr">
        <is>
          <t>A 26230-2023</t>
        </is>
      </c>
      <c r="B13227" s="1" t="n">
        <v>45091</v>
      </c>
      <c r="C13227" s="1" t="n">
        <v>45952</v>
      </c>
      <c r="D13227" t="inlineStr">
        <is>
          <t>VÄSTRA GÖTALANDS LÄN</t>
        </is>
      </c>
      <c r="E13227" t="inlineStr">
        <is>
          <t>HJO</t>
        </is>
      </c>
      <c r="F13227" t="inlineStr">
        <is>
          <t>Övriga Aktiebolag</t>
        </is>
      </c>
      <c r="G13227" t="n">
        <v>9.4</v>
      </c>
      <c r="H13227" t="n">
        <v>0</v>
      </c>
      <c r="I13227" t="n">
        <v>0</v>
      </c>
      <c r="J13227" t="n">
        <v>0</v>
      </c>
      <c r="K13227" t="n">
        <v>0</v>
      </c>
      <c r="L13227" t="n">
        <v>0</v>
      </c>
      <c r="M13227" t="n">
        <v>0</v>
      </c>
      <c r="N13227" t="n">
        <v>0</v>
      </c>
      <c r="O13227" t="n">
        <v>0</v>
      </c>
      <c r="P13227" t="n">
        <v>0</v>
      </c>
      <c r="Q13227" t="n">
        <v>0</v>
      </c>
      <c r="R13227" s="2" t="inlineStr"/>
    </row>
    <row r="13228" ht="15" customHeight="1">
      <c r="A13228" t="inlineStr">
        <is>
          <t>A 32888-2023</t>
        </is>
      </c>
      <c r="B13228" s="1" t="n">
        <v>45124</v>
      </c>
      <c r="C13228" s="1" t="n">
        <v>45952</v>
      </c>
      <c r="D13228" t="inlineStr">
        <is>
          <t>VÄSTRA GÖTALANDS LÄN</t>
        </is>
      </c>
      <c r="E13228" t="inlineStr">
        <is>
          <t>MARK</t>
        </is>
      </c>
      <c r="G13228" t="n">
        <v>1.1</v>
      </c>
      <c r="H13228" t="n">
        <v>0</v>
      </c>
      <c r="I13228" t="n">
        <v>0</v>
      </c>
      <c r="J13228" t="n">
        <v>0</v>
      </c>
      <c r="K13228" t="n">
        <v>0</v>
      </c>
      <c r="L13228" t="n">
        <v>0</v>
      </c>
      <c r="M13228" t="n">
        <v>0</v>
      </c>
      <c r="N13228" t="n">
        <v>0</v>
      </c>
      <c r="O13228" t="n">
        <v>0</v>
      </c>
      <c r="P13228" t="n">
        <v>0</v>
      </c>
      <c r="Q13228" t="n">
        <v>0</v>
      </c>
      <c r="R13228" s="2" t="inlineStr"/>
    </row>
    <row r="13229" ht="15" customHeight="1">
      <c r="A13229" t="inlineStr">
        <is>
          <t>A 33266-2023</t>
        </is>
      </c>
      <c r="B13229" s="1" t="n">
        <v>45127.5749074074</v>
      </c>
      <c r="C13229" s="1" t="n">
        <v>45952</v>
      </c>
      <c r="D13229" t="inlineStr">
        <is>
          <t>VÄSTRA GÖTALANDS LÄN</t>
        </is>
      </c>
      <c r="E13229" t="inlineStr">
        <is>
          <t>MARK</t>
        </is>
      </c>
      <c r="G13229" t="n">
        <v>3.4</v>
      </c>
      <c r="H13229" t="n">
        <v>0</v>
      </c>
      <c r="I13229" t="n">
        <v>0</v>
      </c>
      <c r="J13229" t="n">
        <v>0</v>
      </c>
      <c r="K13229" t="n">
        <v>0</v>
      </c>
      <c r="L13229" t="n">
        <v>0</v>
      </c>
      <c r="M13229" t="n">
        <v>0</v>
      </c>
      <c r="N13229" t="n">
        <v>0</v>
      </c>
      <c r="O13229" t="n">
        <v>0</v>
      </c>
      <c r="P13229" t="n">
        <v>0</v>
      </c>
      <c r="Q13229" t="n">
        <v>0</v>
      </c>
      <c r="R13229" s="2" t="inlineStr"/>
    </row>
    <row r="13230" ht="15" customHeight="1">
      <c r="A13230" t="inlineStr">
        <is>
          <t>A 33201-2023</t>
        </is>
      </c>
      <c r="B13230" s="1" t="n">
        <v>45127.42379629629</v>
      </c>
      <c r="C13230" s="1" t="n">
        <v>45952</v>
      </c>
      <c r="D13230" t="inlineStr">
        <is>
          <t>VÄSTRA GÖTALANDS LÄN</t>
        </is>
      </c>
      <c r="E13230" t="inlineStr">
        <is>
          <t>MÖLNDAL</t>
        </is>
      </c>
      <c r="G13230" t="n">
        <v>0.9</v>
      </c>
      <c r="H13230" t="n">
        <v>0</v>
      </c>
      <c r="I13230" t="n">
        <v>0</v>
      </c>
      <c r="J13230" t="n">
        <v>0</v>
      </c>
      <c r="K13230" t="n">
        <v>0</v>
      </c>
      <c r="L13230" t="n">
        <v>0</v>
      </c>
      <c r="M13230" t="n">
        <v>0</v>
      </c>
      <c r="N13230" t="n">
        <v>0</v>
      </c>
      <c r="O13230" t="n">
        <v>0</v>
      </c>
      <c r="P13230" t="n">
        <v>0</v>
      </c>
      <c r="Q13230" t="n">
        <v>0</v>
      </c>
      <c r="R13230" s="2" t="inlineStr"/>
    </row>
    <row r="13231" ht="15" customHeight="1">
      <c r="A13231" t="inlineStr">
        <is>
          <t>A 26316-2023</t>
        </is>
      </c>
      <c r="B13231" s="1" t="n">
        <v>45091</v>
      </c>
      <c r="C13231" s="1" t="n">
        <v>45952</v>
      </c>
      <c r="D13231" t="inlineStr">
        <is>
          <t>VÄSTRA GÖTALANDS LÄN</t>
        </is>
      </c>
      <c r="E13231" t="inlineStr">
        <is>
          <t>ALINGSÅS</t>
        </is>
      </c>
      <c r="G13231" t="n">
        <v>5.6</v>
      </c>
      <c r="H13231" t="n">
        <v>0</v>
      </c>
      <c r="I13231" t="n">
        <v>0</v>
      </c>
      <c r="J13231" t="n">
        <v>0</v>
      </c>
      <c r="K13231" t="n">
        <v>0</v>
      </c>
      <c r="L13231" t="n">
        <v>0</v>
      </c>
      <c r="M13231" t="n">
        <v>0</v>
      </c>
      <c r="N13231" t="n">
        <v>0</v>
      </c>
      <c r="O13231" t="n">
        <v>0</v>
      </c>
      <c r="P13231" t="n">
        <v>0</v>
      </c>
      <c r="Q13231" t="n">
        <v>0</v>
      </c>
      <c r="R13231" s="2" t="inlineStr"/>
    </row>
    <row r="13232" ht="15" customHeight="1">
      <c r="A13232" t="inlineStr">
        <is>
          <t>A 44023-2025</t>
        </is>
      </c>
      <c r="B13232" s="1" t="n">
        <v>45915.47930555556</v>
      </c>
      <c r="C13232" s="1" t="n">
        <v>45952</v>
      </c>
      <c r="D13232" t="inlineStr">
        <is>
          <t>VÄSTRA GÖTALANDS LÄN</t>
        </is>
      </c>
      <c r="E13232" t="inlineStr">
        <is>
          <t>BENGTSFORS</t>
        </is>
      </c>
      <c r="G13232" t="n">
        <v>2.2</v>
      </c>
      <c r="H13232" t="n">
        <v>0</v>
      </c>
      <c r="I13232" t="n">
        <v>0</v>
      </c>
      <c r="J13232" t="n">
        <v>0</v>
      </c>
      <c r="K13232" t="n">
        <v>0</v>
      </c>
      <c r="L13232" t="n">
        <v>0</v>
      </c>
      <c r="M13232" t="n">
        <v>0</v>
      </c>
      <c r="N13232" t="n">
        <v>0</v>
      </c>
      <c r="O13232" t="n">
        <v>0</v>
      </c>
      <c r="P13232" t="n">
        <v>0</v>
      </c>
      <c r="Q13232" t="n">
        <v>0</v>
      </c>
      <c r="R13232" s="2" t="inlineStr"/>
    </row>
    <row r="13233" ht="15" customHeight="1">
      <c r="A13233" t="inlineStr">
        <is>
          <t>A 26025-2025</t>
        </is>
      </c>
      <c r="B13233" s="1" t="n">
        <v>45804</v>
      </c>
      <c r="C13233" s="1" t="n">
        <v>45952</v>
      </c>
      <c r="D13233" t="inlineStr">
        <is>
          <t>VÄSTRA GÖTALANDS LÄN</t>
        </is>
      </c>
      <c r="E13233" t="inlineStr">
        <is>
          <t>VÄNERSBORG</t>
        </is>
      </c>
      <c r="G13233" t="n">
        <v>3.1</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36816-2025</t>
        </is>
      </c>
      <c r="B13234" s="1" t="n">
        <v>45873.73810185185</v>
      </c>
      <c r="C13234" s="1" t="n">
        <v>45952</v>
      </c>
      <c r="D13234" t="inlineStr">
        <is>
          <t>VÄSTRA GÖTALANDS LÄN</t>
        </is>
      </c>
      <c r="E13234" t="inlineStr">
        <is>
          <t>HERRLJUNGA</t>
        </is>
      </c>
      <c r="G13234" t="n">
        <v>1</v>
      </c>
      <c r="H13234" t="n">
        <v>0</v>
      </c>
      <c r="I13234" t="n">
        <v>0</v>
      </c>
      <c r="J13234" t="n">
        <v>0</v>
      </c>
      <c r="K13234" t="n">
        <v>0</v>
      </c>
      <c r="L13234" t="n">
        <v>0</v>
      </c>
      <c r="M13234" t="n">
        <v>0</v>
      </c>
      <c r="N13234" t="n">
        <v>0</v>
      </c>
      <c r="O13234" t="n">
        <v>0</v>
      </c>
      <c r="P13234" t="n">
        <v>0</v>
      </c>
      <c r="Q13234" t="n">
        <v>0</v>
      </c>
      <c r="R13234" s="2" t="inlineStr"/>
    </row>
    <row r="13235" ht="15" customHeight="1">
      <c r="A13235" t="inlineStr">
        <is>
          <t>A 43833-2025</t>
        </is>
      </c>
      <c r="B13235" s="1" t="n">
        <v>45912.63038194444</v>
      </c>
      <c r="C13235" s="1" t="n">
        <v>45952</v>
      </c>
      <c r="D13235" t="inlineStr">
        <is>
          <t>VÄSTRA GÖTALANDS LÄN</t>
        </is>
      </c>
      <c r="E13235" t="inlineStr">
        <is>
          <t>ÅMÅL</t>
        </is>
      </c>
      <c r="G13235" t="n">
        <v>1.5</v>
      </c>
      <c r="H13235" t="n">
        <v>0</v>
      </c>
      <c r="I13235" t="n">
        <v>0</v>
      </c>
      <c r="J13235" t="n">
        <v>0</v>
      </c>
      <c r="K13235" t="n">
        <v>0</v>
      </c>
      <c r="L13235" t="n">
        <v>0</v>
      </c>
      <c r="M13235" t="n">
        <v>0</v>
      </c>
      <c r="N13235" t="n">
        <v>0</v>
      </c>
      <c r="O13235" t="n">
        <v>0</v>
      </c>
      <c r="P13235" t="n">
        <v>0</v>
      </c>
      <c r="Q13235" t="n">
        <v>0</v>
      </c>
      <c r="R13235" s="2" t="inlineStr"/>
    </row>
    <row r="13236" ht="15" customHeight="1">
      <c r="A13236" t="inlineStr">
        <is>
          <t>A 36631-2025</t>
        </is>
      </c>
      <c r="B13236" s="1" t="n">
        <v>45870</v>
      </c>
      <c r="C13236" s="1" t="n">
        <v>45952</v>
      </c>
      <c r="D13236" t="inlineStr">
        <is>
          <t>VÄSTRA GÖTALANDS LÄN</t>
        </is>
      </c>
      <c r="E13236" t="inlineStr">
        <is>
          <t>FALKÖPING</t>
        </is>
      </c>
      <c r="G13236" t="n">
        <v>5.8</v>
      </c>
      <c r="H13236" t="n">
        <v>0</v>
      </c>
      <c r="I13236" t="n">
        <v>0</v>
      </c>
      <c r="J13236" t="n">
        <v>0</v>
      </c>
      <c r="K13236" t="n">
        <v>0</v>
      </c>
      <c r="L13236" t="n">
        <v>0</v>
      </c>
      <c r="M13236" t="n">
        <v>0</v>
      </c>
      <c r="N13236" t="n">
        <v>0</v>
      </c>
      <c r="O13236" t="n">
        <v>0</v>
      </c>
      <c r="P13236" t="n">
        <v>0</v>
      </c>
      <c r="Q13236" t="n">
        <v>0</v>
      </c>
      <c r="R13236" s="2" t="inlineStr"/>
    </row>
    <row r="13237" ht="15" customHeight="1">
      <c r="A13237" t="inlineStr">
        <is>
          <t>A 661-2025</t>
        </is>
      </c>
      <c r="B13237" s="1" t="n">
        <v>45664.68572916667</v>
      </c>
      <c r="C13237" s="1" t="n">
        <v>45952</v>
      </c>
      <c r="D13237" t="inlineStr">
        <is>
          <t>VÄSTRA GÖTALANDS LÄN</t>
        </is>
      </c>
      <c r="E13237" t="inlineStr">
        <is>
          <t>KUNGÄLV</t>
        </is>
      </c>
      <c r="G13237" t="n">
        <v>3.1</v>
      </c>
      <c r="H13237" t="n">
        <v>0</v>
      </c>
      <c r="I13237" t="n">
        <v>0</v>
      </c>
      <c r="J13237" t="n">
        <v>0</v>
      </c>
      <c r="K13237" t="n">
        <v>0</v>
      </c>
      <c r="L13237" t="n">
        <v>0</v>
      </c>
      <c r="M13237" t="n">
        <v>0</v>
      </c>
      <c r="N13237" t="n">
        <v>0</v>
      </c>
      <c r="O13237" t="n">
        <v>0</v>
      </c>
      <c r="P13237" t="n">
        <v>0</v>
      </c>
      <c r="Q13237" t="n">
        <v>0</v>
      </c>
      <c r="R13237" s="2" t="inlineStr"/>
    </row>
    <row r="13238" ht="15" customHeight="1">
      <c r="A13238" t="inlineStr">
        <is>
          <t>A 13964-2023</t>
        </is>
      </c>
      <c r="B13238" s="1" t="n">
        <v>45007</v>
      </c>
      <c r="C13238" s="1" t="n">
        <v>45952</v>
      </c>
      <c r="D13238" t="inlineStr">
        <is>
          <t>VÄSTRA GÖTALANDS LÄN</t>
        </is>
      </c>
      <c r="E13238" t="inlineStr">
        <is>
          <t>TIDAHOLM</t>
        </is>
      </c>
      <c r="G13238" t="n">
        <v>13.8</v>
      </c>
      <c r="H13238" t="n">
        <v>0</v>
      </c>
      <c r="I13238" t="n">
        <v>0</v>
      </c>
      <c r="J13238" t="n">
        <v>0</v>
      </c>
      <c r="K13238" t="n">
        <v>0</v>
      </c>
      <c r="L13238" t="n">
        <v>0</v>
      </c>
      <c r="M13238" t="n">
        <v>0</v>
      </c>
      <c r="N13238" t="n">
        <v>0</v>
      </c>
      <c r="O13238" t="n">
        <v>0</v>
      </c>
      <c r="P13238" t="n">
        <v>0</v>
      </c>
      <c r="Q13238" t="n">
        <v>0</v>
      </c>
      <c r="R13238" s="2" t="inlineStr"/>
    </row>
    <row r="13239" ht="15" customHeight="1">
      <c r="A13239" t="inlineStr">
        <is>
          <t>A 706-2025</t>
        </is>
      </c>
      <c r="B13239" s="1" t="n">
        <v>45665.35950231482</v>
      </c>
      <c r="C13239" s="1" t="n">
        <v>45952</v>
      </c>
      <c r="D13239" t="inlineStr">
        <is>
          <t>VÄSTRA GÖTALANDS LÄN</t>
        </is>
      </c>
      <c r="E13239" t="inlineStr">
        <is>
          <t>MARK</t>
        </is>
      </c>
      <c r="G13239" t="n">
        <v>1.8</v>
      </c>
      <c r="H13239" t="n">
        <v>0</v>
      </c>
      <c r="I13239" t="n">
        <v>0</v>
      </c>
      <c r="J13239" t="n">
        <v>0</v>
      </c>
      <c r="K13239" t="n">
        <v>0</v>
      </c>
      <c r="L13239" t="n">
        <v>0</v>
      </c>
      <c r="M13239" t="n">
        <v>0</v>
      </c>
      <c r="N13239" t="n">
        <v>0</v>
      </c>
      <c r="O13239" t="n">
        <v>0</v>
      </c>
      <c r="P13239" t="n">
        <v>0</v>
      </c>
      <c r="Q13239" t="n">
        <v>0</v>
      </c>
      <c r="R13239" s="2" t="inlineStr"/>
    </row>
    <row r="13240" ht="15" customHeight="1">
      <c r="A13240" t="inlineStr">
        <is>
          <t>A 44022-2025</t>
        </is>
      </c>
      <c r="B13240" s="1" t="n">
        <v>45915.47851851852</v>
      </c>
      <c r="C13240" s="1" t="n">
        <v>45952</v>
      </c>
      <c r="D13240" t="inlineStr">
        <is>
          <t>VÄSTRA GÖTALANDS LÄN</t>
        </is>
      </c>
      <c r="E13240" t="inlineStr">
        <is>
          <t>LYSEKIL</t>
        </is>
      </c>
      <c r="G13240" t="n">
        <v>2.1</v>
      </c>
      <c r="H13240" t="n">
        <v>0</v>
      </c>
      <c r="I13240" t="n">
        <v>0</v>
      </c>
      <c r="J13240" t="n">
        <v>0</v>
      </c>
      <c r="K13240" t="n">
        <v>0</v>
      </c>
      <c r="L13240" t="n">
        <v>0</v>
      </c>
      <c r="M13240" t="n">
        <v>0</v>
      </c>
      <c r="N13240" t="n">
        <v>0</v>
      </c>
      <c r="O13240" t="n">
        <v>0</v>
      </c>
      <c r="P13240" t="n">
        <v>0</v>
      </c>
      <c r="Q13240" t="n">
        <v>0</v>
      </c>
      <c r="R13240" s="2" t="inlineStr"/>
    </row>
    <row r="13241" ht="15" customHeight="1">
      <c r="A13241" t="inlineStr">
        <is>
          <t>A 44042-2025</t>
        </is>
      </c>
      <c r="B13241" s="1" t="n">
        <v>45915.49236111111</v>
      </c>
      <c r="C13241" s="1" t="n">
        <v>45952</v>
      </c>
      <c r="D13241" t="inlineStr">
        <is>
          <t>VÄSTRA GÖTALANDS LÄN</t>
        </is>
      </c>
      <c r="E13241" t="inlineStr">
        <is>
          <t>MELLERUD</t>
        </is>
      </c>
      <c r="G13241" t="n">
        <v>1.2</v>
      </c>
      <c r="H13241" t="n">
        <v>0</v>
      </c>
      <c r="I13241" t="n">
        <v>0</v>
      </c>
      <c r="J13241" t="n">
        <v>0</v>
      </c>
      <c r="K13241" t="n">
        <v>0</v>
      </c>
      <c r="L13241" t="n">
        <v>0</v>
      </c>
      <c r="M13241" t="n">
        <v>0</v>
      </c>
      <c r="N13241" t="n">
        <v>0</v>
      </c>
      <c r="O13241" t="n">
        <v>0</v>
      </c>
      <c r="P13241" t="n">
        <v>0</v>
      </c>
      <c r="Q13241" t="n">
        <v>0</v>
      </c>
      <c r="R13241" s="2" t="inlineStr"/>
    </row>
    <row r="13242" ht="15" customHeight="1">
      <c r="A13242" t="inlineStr">
        <is>
          <t>A 14038-2023</t>
        </is>
      </c>
      <c r="B13242" s="1" t="n">
        <v>45008</v>
      </c>
      <c r="C13242" s="1" t="n">
        <v>45952</v>
      </c>
      <c r="D13242" t="inlineStr">
        <is>
          <t>VÄSTRA GÖTALANDS LÄN</t>
        </is>
      </c>
      <c r="E13242" t="inlineStr">
        <is>
          <t>ULRICEHAMN</t>
        </is>
      </c>
      <c r="G13242" t="n">
        <v>1.9</v>
      </c>
      <c r="H13242" t="n">
        <v>0</v>
      </c>
      <c r="I13242" t="n">
        <v>0</v>
      </c>
      <c r="J13242" t="n">
        <v>0</v>
      </c>
      <c r="K13242" t="n">
        <v>0</v>
      </c>
      <c r="L13242" t="n">
        <v>0</v>
      </c>
      <c r="M13242" t="n">
        <v>0</v>
      </c>
      <c r="N13242" t="n">
        <v>0</v>
      </c>
      <c r="O13242" t="n">
        <v>0</v>
      </c>
      <c r="P13242" t="n">
        <v>0</v>
      </c>
      <c r="Q13242" t="n">
        <v>0</v>
      </c>
      <c r="R13242" s="2" t="inlineStr"/>
    </row>
    <row r="13243" ht="15" customHeight="1">
      <c r="A13243" t="inlineStr">
        <is>
          <t>A 49772-2023</t>
        </is>
      </c>
      <c r="B13243" s="1" t="n">
        <v>45212</v>
      </c>
      <c r="C13243" s="1" t="n">
        <v>45952</v>
      </c>
      <c r="D13243" t="inlineStr">
        <is>
          <t>VÄSTRA GÖTALANDS LÄN</t>
        </is>
      </c>
      <c r="E13243" t="inlineStr">
        <is>
          <t>BENGTSFORS</t>
        </is>
      </c>
      <c r="G13243" t="n">
        <v>14.5</v>
      </c>
      <c r="H13243" t="n">
        <v>0</v>
      </c>
      <c r="I13243" t="n">
        <v>0</v>
      </c>
      <c r="J13243" t="n">
        <v>0</v>
      </c>
      <c r="K13243" t="n">
        <v>0</v>
      </c>
      <c r="L13243" t="n">
        <v>0</v>
      </c>
      <c r="M13243" t="n">
        <v>0</v>
      </c>
      <c r="N13243" t="n">
        <v>0</v>
      </c>
      <c r="O13243" t="n">
        <v>0</v>
      </c>
      <c r="P13243" t="n">
        <v>0</v>
      </c>
      <c r="Q13243" t="n">
        <v>0</v>
      </c>
      <c r="R13243" s="2" t="inlineStr"/>
    </row>
    <row r="13244" ht="15" customHeight="1">
      <c r="A13244" t="inlineStr">
        <is>
          <t>A 33092-2023</t>
        </is>
      </c>
      <c r="B13244" s="1" t="n">
        <v>45126.51414351852</v>
      </c>
      <c r="C13244" s="1" t="n">
        <v>45952</v>
      </c>
      <c r="D13244" t="inlineStr">
        <is>
          <t>VÄSTRA GÖTALANDS LÄN</t>
        </is>
      </c>
      <c r="E13244" t="inlineStr">
        <is>
          <t>MELLERUD</t>
        </is>
      </c>
      <c r="G13244" t="n">
        <v>2.9</v>
      </c>
      <c r="H13244" t="n">
        <v>0</v>
      </c>
      <c r="I13244" t="n">
        <v>0</v>
      </c>
      <c r="J13244" t="n">
        <v>0</v>
      </c>
      <c r="K13244" t="n">
        <v>0</v>
      </c>
      <c r="L13244" t="n">
        <v>0</v>
      </c>
      <c r="M13244" t="n">
        <v>0</v>
      </c>
      <c r="N13244" t="n">
        <v>0</v>
      </c>
      <c r="O13244" t="n">
        <v>0</v>
      </c>
      <c r="P13244" t="n">
        <v>0</v>
      </c>
      <c r="Q13244" t="n">
        <v>0</v>
      </c>
      <c r="R13244" s="2" t="inlineStr"/>
    </row>
    <row r="13245" ht="15" customHeight="1">
      <c r="A13245" t="inlineStr">
        <is>
          <t>A 49252-2023</t>
        </is>
      </c>
      <c r="B13245" s="1" t="n">
        <v>45210.66451388889</v>
      </c>
      <c r="C13245" s="1" t="n">
        <v>45952</v>
      </c>
      <c r="D13245" t="inlineStr">
        <is>
          <t>VÄSTRA GÖTALANDS LÄN</t>
        </is>
      </c>
      <c r="E13245" t="inlineStr">
        <is>
          <t>GÖTENE</t>
        </is>
      </c>
      <c r="G13245" t="n">
        <v>0.4</v>
      </c>
      <c r="H13245" t="n">
        <v>0</v>
      </c>
      <c r="I13245" t="n">
        <v>0</v>
      </c>
      <c r="J13245" t="n">
        <v>0</v>
      </c>
      <c r="K13245" t="n">
        <v>0</v>
      </c>
      <c r="L13245" t="n">
        <v>0</v>
      </c>
      <c r="M13245" t="n">
        <v>0</v>
      </c>
      <c r="N13245" t="n">
        <v>0</v>
      </c>
      <c r="O13245" t="n">
        <v>0</v>
      </c>
      <c r="P13245" t="n">
        <v>0</v>
      </c>
      <c r="Q13245" t="n">
        <v>0</v>
      </c>
      <c r="R13245" s="2" t="inlineStr"/>
    </row>
    <row r="13246" ht="15" customHeight="1">
      <c r="A13246" t="inlineStr">
        <is>
          <t>A 23173-2023</t>
        </is>
      </c>
      <c r="B13246" s="1" t="n">
        <v>45075.56796296296</v>
      </c>
      <c r="C13246" s="1" t="n">
        <v>45952</v>
      </c>
      <c r="D13246" t="inlineStr">
        <is>
          <t>VÄSTRA GÖTALANDS LÄN</t>
        </is>
      </c>
      <c r="E13246" t="inlineStr">
        <is>
          <t>TANUM</t>
        </is>
      </c>
      <c r="G13246" t="n">
        <v>1.8</v>
      </c>
      <c r="H13246" t="n">
        <v>0</v>
      </c>
      <c r="I13246" t="n">
        <v>0</v>
      </c>
      <c r="J13246" t="n">
        <v>0</v>
      </c>
      <c r="K13246" t="n">
        <v>0</v>
      </c>
      <c r="L13246" t="n">
        <v>0</v>
      </c>
      <c r="M13246" t="n">
        <v>0</v>
      </c>
      <c r="N13246" t="n">
        <v>0</v>
      </c>
      <c r="O13246" t="n">
        <v>0</v>
      </c>
      <c r="P13246" t="n">
        <v>0</v>
      </c>
      <c r="Q13246" t="n">
        <v>0</v>
      </c>
      <c r="R13246" s="2" t="inlineStr"/>
    </row>
    <row r="13247" ht="15" customHeight="1">
      <c r="A13247" t="inlineStr">
        <is>
          <t>A 43902-2025</t>
        </is>
      </c>
      <c r="B13247" s="1" t="n">
        <v>45913.39210648148</v>
      </c>
      <c r="C13247" s="1" t="n">
        <v>45952</v>
      </c>
      <c r="D13247" t="inlineStr">
        <is>
          <t>VÄSTRA GÖTALANDS LÄN</t>
        </is>
      </c>
      <c r="E13247" t="inlineStr">
        <is>
          <t>ULRICEHAMN</t>
        </is>
      </c>
      <c r="G13247" t="n">
        <v>9.699999999999999</v>
      </c>
      <c r="H13247" t="n">
        <v>0</v>
      </c>
      <c r="I13247" t="n">
        <v>0</v>
      </c>
      <c r="J13247" t="n">
        <v>0</v>
      </c>
      <c r="K13247" t="n">
        <v>0</v>
      </c>
      <c r="L13247" t="n">
        <v>0</v>
      </c>
      <c r="M13247" t="n">
        <v>0</v>
      </c>
      <c r="N13247" t="n">
        <v>0</v>
      </c>
      <c r="O13247" t="n">
        <v>0</v>
      </c>
      <c r="P13247" t="n">
        <v>0</v>
      </c>
      <c r="Q13247" t="n">
        <v>0</v>
      </c>
      <c r="R13247" s="2" t="inlineStr"/>
    </row>
    <row r="13248" ht="15" customHeight="1">
      <c r="A13248" t="inlineStr">
        <is>
          <t>A 32163-2023</t>
        </is>
      </c>
      <c r="B13248" s="1" t="n">
        <v>45119</v>
      </c>
      <c r="C13248" s="1" t="n">
        <v>45952</v>
      </c>
      <c r="D13248" t="inlineStr">
        <is>
          <t>VÄSTRA GÖTALANDS LÄN</t>
        </is>
      </c>
      <c r="E13248" t="inlineStr">
        <is>
          <t>BORÅS</t>
        </is>
      </c>
      <c r="G13248" t="n">
        <v>3.9</v>
      </c>
      <c r="H13248" t="n">
        <v>0</v>
      </c>
      <c r="I13248" t="n">
        <v>0</v>
      </c>
      <c r="J13248" t="n">
        <v>0</v>
      </c>
      <c r="K13248" t="n">
        <v>0</v>
      </c>
      <c r="L13248" t="n">
        <v>0</v>
      </c>
      <c r="M13248" t="n">
        <v>0</v>
      </c>
      <c r="N13248" t="n">
        <v>0</v>
      </c>
      <c r="O13248" t="n">
        <v>0</v>
      </c>
      <c r="P13248" t="n">
        <v>0</v>
      </c>
      <c r="Q13248" t="n">
        <v>0</v>
      </c>
      <c r="R13248" s="2" t="inlineStr"/>
    </row>
    <row r="13249" ht="15" customHeight="1">
      <c r="A13249" t="inlineStr">
        <is>
          <t>A 54361-2022</t>
        </is>
      </c>
      <c r="B13249" s="1" t="n">
        <v>44882</v>
      </c>
      <c r="C13249" s="1" t="n">
        <v>45952</v>
      </c>
      <c r="D13249" t="inlineStr">
        <is>
          <t>VÄSTRA GÖTALANDS LÄN</t>
        </is>
      </c>
      <c r="E13249" t="inlineStr">
        <is>
          <t>BORÅS</t>
        </is>
      </c>
      <c r="G13249" t="n">
        <v>2</v>
      </c>
      <c r="H13249" t="n">
        <v>0</v>
      </c>
      <c r="I13249" t="n">
        <v>0</v>
      </c>
      <c r="J13249" t="n">
        <v>0</v>
      </c>
      <c r="K13249" t="n">
        <v>0</v>
      </c>
      <c r="L13249" t="n">
        <v>0</v>
      </c>
      <c r="M13249" t="n">
        <v>0</v>
      </c>
      <c r="N13249" t="n">
        <v>0</v>
      </c>
      <c r="O13249" t="n">
        <v>0</v>
      </c>
      <c r="P13249" t="n">
        <v>0</v>
      </c>
      <c r="Q13249" t="n">
        <v>0</v>
      </c>
      <c r="R13249" s="2" t="inlineStr"/>
    </row>
    <row r="13250" ht="15" customHeight="1">
      <c r="A13250" t="inlineStr">
        <is>
          <t>A 36659-2022</t>
        </is>
      </c>
      <c r="B13250" s="1" t="n">
        <v>44804</v>
      </c>
      <c r="C13250" s="1" t="n">
        <v>45952</v>
      </c>
      <c r="D13250" t="inlineStr">
        <is>
          <t>VÄSTRA GÖTALANDS LÄN</t>
        </is>
      </c>
      <c r="E13250" t="inlineStr">
        <is>
          <t>MARK</t>
        </is>
      </c>
      <c r="G13250" t="n">
        <v>4.9</v>
      </c>
      <c r="H13250" t="n">
        <v>0</v>
      </c>
      <c r="I13250" t="n">
        <v>0</v>
      </c>
      <c r="J13250" t="n">
        <v>0</v>
      </c>
      <c r="K13250" t="n">
        <v>0</v>
      </c>
      <c r="L13250" t="n">
        <v>0</v>
      </c>
      <c r="M13250" t="n">
        <v>0</v>
      </c>
      <c r="N13250" t="n">
        <v>0</v>
      </c>
      <c r="O13250" t="n">
        <v>0</v>
      </c>
      <c r="P13250" t="n">
        <v>0</v>
      </c>
      <c r="Q13250" t="n">
        <v>0</v>
      </c>
      <c r="R13250" s="2" t="inlineStr"/>
    </row>
    <row r="13251" ht="15" customHeight="1">
      <c r="A13251" t="inlineStr">
        <is>
          <t>A 58398-2022</t>
        </is>
      </c>
      <c r="B13251" s="1" t="n">
        <v>44901.66434027778</v>
      </c>
      <c r="C13251" s="1" t="n">
        <v>45952</v>
      </c>
      <c r="D13251" t="inlineStr">
        <is>
          <t>VÄSTRA GÖTALANDS LÄN</t>
        </is>
      </c>
      <c r="E13251" t="inlineStr">
        <is>
          <t>MARK</t>
        </is>
      </c>
      <c r="G13251" t="n">
        <v>1.3</v>
      </c>
      <c r="H13251" t="n">
        <v>0</v>
      </c>
      <c r="I13251" t="n">
        <v>0</v>
      </c>
      <c r="J13251" t="n">
        <v>0</v>
      </c>
      <c r="K13251" t="n">
        <v>0</v>
      </c>
      <c r="L13251" t="n">
        <v>0</v>
      </c>
      <c r="M13251" t="n">
        <v>0</v>
      </c>
      <c r="N13251" t="n">
        <v>0</v>
      </c>
      <c r="O13251" t="n">
        <v>0</v>
      </c>
      <c r="P13251" t="n">
        <v>0</v>
      </c>
      <c r="Q13251" t="n">
        <v>0</v>
      </c>
      <c r="R13251" s="2" t="inlineStr"/>
    </row>
    <row r="13252" ht="15" customHeight="1">
      <c r="A13252" t="inlineStr">
        <is>
          <t>A 54-2023</t>
        </is>
      </c>
      <c r="B13252" s="1" t="n">
        <v>44928.40848379629</v>
      </c>
      <c r="C13252" s="1" t="n">
        <v>45952</v>
      </c>
      <c r="D13252" t="inlineStr">
        <is>
          <t>VÄSTRA GÖTALANDS LÄN</t>
        </is>
      </c>
      <c r="E13252" t="inlineStr">
        <is>
          <t>MARK</t>
        </is>
      </c>
      <c r="G13252" t="n">
        <v>0.5</v>
      </c>
      <c r="H13252" t="n">
        <v>0</v>
      </c>
      <c r="I13252" t="n">
        <v>0</v>
      </c>
      <c r="J13252" t="n">
        <v>0</v>
      </c>
      <c r="K13252" t="n">
        <v>0</v>
      </c>
      <c r="L13252" t="n">
        <v>0</v>
      </c>
      <c r="M13252" t="n">
        <v>0</v>
      </c>
      <c r="N13252" t="n">
        <v>0</v>
      </c>
      <c r="O13252" t="n">
        <v>0</v>
      </c>
      <c r="P13252" t="n">
        <v>0</v>
      </c>
      <c r="Q13252" t="n">
        <v>0</v>
      </c>
      <c r="R13252" s="2" t="inlineStr"/>
    </row>
    <row r="13253" ht="15" customHeight="1">
      <c r="A13253" t="inlineStr">
        <is>
          <t>A 7958-2025</t>
        </is>
      </c>
      <c r="B13253" s="1" t="n">
        <v>45707.43508101852</v>
      </c>
      <c r="C13253" s="1" t="n">
        <v>45952</v>
      </c>
      <c r="D13253" t="inlineStr">
        <is>
          <t>VÄSTRA GÖTALANDS LÄN</t>
        </is>
      </c>
      <c r="E13253" t="inlineStr">
        <is>
          <t>MARK</t>
        </is>
      </c>
      <c r="G13253" t="n">
        <v>1.8</v>
      </c>
      <c r="H13253" t="n">
        <v>0</v>
      </c>
      <c r="I13253" t="n">
        <v>0</v>
      </c>
      <c r="J13253" t="n">
        <v>0</v>
      </c>
      <c r="K13253" t="n">
        <v>0</v>
      </c>
      <c r="L13253" t="n">
        <v>0</v>
      </c>
      <c r="M13253" t="n">
        <v>0</v>
      </c>
      <c r="N13253" t="n">
        <v>0</v>
      </c>
      <c r="O13253" t="n">
        <v>0</v>
      </c>
      <c r="P13253" t="n">
        <v>0</v>
      </c>
      <c r="Q13253" t="n">
        <v>0</v>
      </c>
      <c r="R13253" s="2" t="inlineStr"/>
    </row>
    <row r="13254" ht="15" customHeight="1">
      <c r="A13254" t="inlineStr">
        <is>
          <t>A 4591-2025</t>
        </is>
      </c>
      <c r="B13254" s="1" t="n">
        <v>45687.54039351852</v>
      </c>
      <c r="C13254" s="1" t="n">
        <v>45952</v>
      </c>
      <c r="D13254" t="inlineStr">
        <is>
          <t>VÄSTRA GÖTALANDS LÄN</t>
        </is>
      </c>
      <c r="E13254" t="inlineStr">
        <is>
          <t>TÖREBODA</t>
        </is>
      </c>
      <c r="G13254" t="n">
        <v>0.9</v>
      </c>
      <c r="H13254" t="n">
        <v>0</v>
      </c>
      <c r="I13254" t="n">
        <v>0</v>
      </c>
      <c r="J13254" t="n">
        <v>0</v>
      </c>
      <c r="K13254" t="n">
        <v>0</v>
      </c>
      <c r="L13254" t="n">
        <v>0</v>
      </c>
      <c r="M13254" t="n">
        <v>0</v>
      </c>
      <c r="N13254" t="n">
        <v>0</v>
      </c>
      <c r="O13254" t="n">
        <v>0</v>
      </c>
      <c r="P13254" t="n">
        <v>0</v>
      </c>
      <c r="Q13254" t="n">
        <v>0</v>
      </c>
      <c r="R13254" s="2" t="inlineStr"/>
    </row>
    <row r="13255" ht="15" customHeight="1">
      <c r="A13255" t="inlineStr">
        <is>
          <t>A 4600-2025</t>
        </is>
      </c>
      <c r="B13255" s="1" t="n">
        <v>45687</v>
      </c>
      <c r="C13255" s="1" t="n">
        <v>45952</v>
      </c>
      <c r="D13255" t="inlineStr">
        <is>
          <t>VÄSTRA GÖTALANDS LÄN</t>
        </is>
      </c>
      <c r="E13255" t="inlineStr">
        <is>
          <t>SKÖVDE</t>
        </is>
      </c>
      <c r="G13255" t="n">
        <v>1</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34939-2025</t>
        </is>
      </c>
      <c r="B13256" s="1" t="n">
        <v>45849.58229166667</v>
      </c>
      <c r="C13256" s="1" t="n">
        <v>45952</v>
      </c>
      <c r="D13256" t="inlineStr">
        <is>
          <t>VÄSTRA GÖTALANDS LÄN</t>
        </is>
      </c>
      <c r="E13256" t="inlineStr">
        <is>
          <t>TJÖRN</t>
        </is>
      </c>
      <c r="G13256" t="n">
        <v>7.8</v>
      </c>
      <c r="H13256" t="n">
        <v>0</v>
      </c>
      <c r="I13256" t="n">
        <v>0</v>
      </c>
      <c r="J13256" t="n">
        <v>0</v>
      </c>
      <c r="K13256" t="n">
        <v>0</v>
      </c>
      <c r="L13256" t="n">
        <v>0</v>
      </c>
      <c r="M13256" t="n">
        <v>0</v>
      </c>
      <c r="N13256" t="n">
        <v>0</v>
      </c>
      <c r="O13256" t="n">
        <v>0</v>
      </c>
      <c r="P13256" t="n">
        <v>0</v>
      </c>
      <c r="Q13256" t="n">
        <v>0</v>
      </c>
      <c r="R13256" s="2" t="inlineStr"/>
    </row>
    <row r="13257" ht="15" customHeight="1">
      <c r="A13257" t="inlineStr">
        <is>
          <t>A 36686-2025</t>
        </is>
      </c>
      <c r="B13257" s="1" t="n">
        <v>45872</v>
      </c>
      <c r="C13257" s="1" t="n">
        <v>45952</v>
      </c>
      <c r="D13257" t="inlineStr">
        <is>
          <t>VÄSTRA GÖTALANDS LÄN</t>
        </is>
      </c>
      <c r="E13257" t="inlineStr">
        <is>
          <t>TANUM</t>
        </is>
      </c>
      <c r="G13257" t="n">
        <v>1.9</v>
      </c>
      <c r="H13257" t="n">
        <v>0</v>
      </c>
      <c r="I13257" t="n">
        <v>0</v>
      </c>
      <c r="J13257" t="n">
        <v>0</v>
      </c>
      <c r="K13257" t="n">
        <v>0</v>
      </c>
      <c r="L13257" t="n">
        <v>0</v>
      </c>
      <c r="M13257" t="n">
        <v>0</v>
      </c>
      <c r="N13257" t="n">
        <v>0</v>
      </c>
      <c r="O13257" t="n">
        <v>0</v>
      </c>
      <c r="P13257" t="n">
        <v>0</v>
      </c>
      <c r="Q13257" t="n">
        <v>0</v>
      </c>
      <c r="R13257" s="2" t="inlineStr"/>
    </row>
    <row r="13258" ht="15" customHeight="1">
      <c r="A13258" t="inlineStr">
        <is>
          <t>A 36688-2025</t>
        </is>
      </c>
      <c r="B13258" s="1" t="n">
        <v>45872</v>
      </c>
      <c r="C13258" s="1" t="n">
        <v>45952</v>
      </c>
      <c r="D13258" t="inlineStr">
        <is>
          <t>VÄSTRA GÖTALANDS LÄN</t>
        </is>
      </c>
      <c r="E13258" t="inlineStr">
        <is>
          <t>TANUM</t>
        </is>
      </c>
      <c r="G13258" t="n">
        <v>4.1</v>
      </c>
      <c r="H13258" t="n">
        <v>0</v>
      </c>
      <c r="I13258" t="n">
        <v>0</v>
      </c>
      <c r="J13258" t="n">
        <v>0</v>
      </c>
      <c r="K13258" t="n">
        <v>0</v>
      </c>
      <c r="L13258" t="n">
        <v>0</v>
      </c>
      <c r="M13258" t="n">
        <v>0</v>
      </c>
      <c r="N13258" t="n">
        <v>0</v>
      </c>
      <c r="O13258" t="n">
        <v>0</v>
      </c>
      <c r="P13258" t="n">
        <v>0</v>
      </c>
      <c r="Q13258" t="n">
        <v>0</v>
      </c>
      <c r="R13258" s="2" t="inlineStr"/>
    </row>
    <row r="13259" ht="15" customHeight="1">
      <c r="A13259" t="inlineStr">
        <is>
          <t>A 36591-2025</t>
        </is>
      </c>
      <c r="B13259" s="1" t="n">
        <v>45870.49383101852</v>
      </c>
      <c r="C13259" s="1" t="n">
        <v>45952</v>
      </c>
      <c r="D13259" t="inlineStr">
        <is>
          <t>VÄSTRA GÖTALANDS LÄN</t>
        </is>
      </c>
      <c r="E13259" t="inlineStr">
        <is>
          <t>ULRICEHAMN</t>
        </is>
      </c>
      <c r="G13259" t="n">
        <v>2.7</v>
      </c>
      <c r="H13259" t="n">
        <v>0</v>
      </c>
      <c r="I13259" t="n">
        <v>0</v>
      </c>
      <c r="J13259" t="n">
        <v>0</v>
      </c>
      <c r="K13259" t="n">
        <v>0</v>
      </c>
      <c r="L13259" t="n">
        <v>0</v>
      </c>
      <c r="M13259" t="n">
        <v>0</v>
      </c>
      <c r="N13259" t="n">
        <v>0</v>
      </c>
      <c r="O13259" t="n">
        <v>0</v>
      </c>
      <c r="P13259" t="n">
        <v>0</v>
      </c>
      <c r="Q13259" t="n">
        <v>0</v>
      </c>
      <c r="R13259" s="2" t="inlineStr"/>
    </row>
    <row r="13260" ht="15" customHeight="1">
      <c r="A13260" t="inlineStr">
        <is>
          <t>A 6368-2022</t>
        </is>
      </c>
      <c r="B13260" s="1" t="n">
        <v>44600</v>
      </c>
      <c r="C13260" s="1" t="n">
        <v>45952</v>
      </c>
      <c r="D13260" t="inlineStr">
        <is>
          <t>VÄSTRA GÖTALANDS LÄN</t>
        </is>
      </c>
      <c r="E13260" t="inlineStr">
        <is>
          <t>DALS-ED</t>
        </is>
      </c>
      <c r="F13260" t="inlineStr">
        <is>
          <t>Kyrkan</t>
        </is>
      </c>
      <c r="G13260" t="n">
        <v>7</v>
      </c>
      <c r="H13260" t="n">
        <v>0</v>
      </c>
      <c r="I13260" t="n">
        <v>0</v>
      </c>
      <c r="J13260" t="n">
        <v>0</v>
      </c>
      <c r="K13260" t="n">
        <v>0</v>
      </c>
      <c r="L13260" t="n">
        <v>0</v>
      </c>
      <c r="M13260" t="n">
        <v>0</v>
      </c>
      <c r="N13260" t="n">
        <v>0</v>
      </c>
      <c r="O13260" t="n">
        <v>0</v>
      </c>
      <c r="P13260" t="n">
        <v>0</v>
      </c>
      <c r="Q13260" t="n">
        <v>0</v>
      </c>
      <c r="R13260" s="2" t="inlineStr"/>
    </row>
    <row r="13261" ht="15" customHeight="1">
      <c r="A13261" t="inlineStr">
        <is>
          <t>A 62999-2023</t>
        </is>
      </c>
      <c r="B13261" s="1" t="n">
        <v>45272</v>
      </c>
      <c r="C13261" s="1" t="n">
        <v>45952</v>
      </c>
      <c r="D13261" t="inlineStr">
        <is>
          <t>VÄSTRA GÖTALANDS LÄN</t>
        </is>
      </c>
      <c r="E13261" t="inlineStr">
        <is>
          <t>MARK</t>
        </is>
      </c>
      <c r="G13261" t="n">
        <v>1.7</v>
      </c>
      <c r="H13261" t="n">
        <v>0</v>
      </c>
      <c r="I13261" t="n">
        <v>0</v>
      </c>
      <c r="J13261" t="n">
        <v>0</v>
      </c>
      <c r="K13261" t="n">
        <v>0</v>
      </c>
      <c r="L13261" t="n">
        <v>0</v>
      </c>
      <c r="M13261" t="n">
        <v>0</v>
      </c>
      <c r="N13261" t="n">
        <v>0</v>
      </c>
      <c r="O13261" t="n">
        <v>0</v>
      </c>
      <c r="P13261" t="n">
        <v>0</v>
      </c>
      <c r="Q13261" t="n">
        <v>0</v>
      </c>
      <c r="R13261" s="2" t="inlineStr"/>
    </row>
    <row r="13262" ht="15" customHeight="1">
      <c r="A13262" t="inlineStr">
        <is>
          <t>A 6477-2025</t>
        </is>
      </c>
      <c r="B13262" s="1" t="n">
        <v>45699.6043287037</v>
      </c>
      <c r="C13262" s="1" t="n">
        <v>45952</v>
      </c>
      <c r="D13262" t="inlineStr">
        <is>
          <t>VÄSTRA GÖTALANDS LÄN</t>
        </is>
      </c>
      <c r="E13262" t="inlineStr">
        <is>
          <t>MARK</t>
        </is>
      </c>
      <c r="G13262" t="n">
        <v>0.6</v>
      </c>
      <c r="H13262" t="n">
        <v>0</v>
      </c>
      <c r="I13262" t="n">
        <v>0</v>
      </c>
      <c r="J13262" t="n">
        <v>0</v>
      </c>
      <c r="K13262" t="n">
        <v>0</v>
      </c>
      <c r="L13262" t="n">
        <v>0</v>
      </c>
      <c r="M13262" t="n">
        <v>0</v>
      </c>
      <c r="N13262" t="n">
        <v>0</v>
      </c>
      <c r="O13262" t="n">
        <v>0</v>
      </c>
      <c r="P13262" t="n">
        <v>0</v>
      </c>
      <c r="Q13262" t="n">
        <v>0</v>
      </c>
      <c r="R13262" s="2" t="inlineStr"/>
    </row>
    <row r="13263" ht="15" customHeight="1">
      <c r="A13263" t="inlineStr">
        <is>
          <t>A 16963-2025</t>
        </is>
      </c>
      <c r="B13263" s="1" t="n">
        <v>45755.45349537037</v>
      </c>
      <c r="C13263" s="1" t="n">
        <v>45952</v>
      </c>
      <c r="D13263" t="inlineStr">
        <is>
          <t>VÄSTRA GÖTALANDS LÄN</t>
        </is>
      </c>
      <c r="E13263" t="inlineStr">
        <is>
          <t>MARK</t>
        </is>
      </c>
      <c r="G13263" t="n">
        <v>1.2</v>
      </c>
      <c r="H13263" t="n">
        <v>0</v>
      </c>
      <c r="I13263" t="n">
        <v>0</v>
      </c>
      <c r="J13263" t="n">
        <v>0</v>
      </c>
      <c r="K13263" t="n">
        <v>0</v>
      </c>
      <c r="L13263" t="n">
        <v>0</v>
      </c>
      <c r="M13263" t="n">
        <v>0</v>
      </c>
      <c r="N13263" t="n">
        <v>0</v>
      </c>
      <c r="O13263" t="n">
        <v>0</v>
      </c>
      <c r="P13263" t="n">
        <v>0</v>
      </c>
      <c r="Q13263" t="n">
        <v>0</v>
      </c>
      <c r="R13263" s="2" t="inlineStr"/>
    </row>
    <row r="13264" ht="15" customHeight="1">
      <c r="A13264" t="inlineStr">
        <is>
          <t>A 30664-2022</t>
        </is>
      </c>
      <c r="B13264" s="1" t="n">
        <v>44763</v>
      </c>
      <c r="C13264" s="1" t="n">
        <v>45952</v>
      </c>
      <c r="D13264" t="inlineStr">
        <is>
          <t>VÄSTRA GÖTALANDS LÄN</t>
        </is>
      </c>
      <c r="E13264" t="inlineStr">
        <is>
          <t>ULRICEHAMN</t>
        </is>
      </c>
      <c r="G13264" t="n">
        <v>6.3</v>
      </c>
      <c r="H13264" t="n">
        <v>0</v>
      </c>
      <c r="I13264" t="n">
        <v>0</v>
      </c>
      <c r="J13264" t="n">
        <v>0</v>
      </c>
      <c r="K13264" t="n">
        <v>0</v>
      </c>
      <c r="L13264" t="n">
        <v>0</v>
      </c>
      <c r="M13264" t="n">
        <v>0</v>
      </c>
      <c r="N13264" t="n">
        <v>0</v>
      </c>
      <c r="O13264" t="n">
        <v>0</v>
      </c>
      <c r="P13264" t="n">
        <v>0</v>
      </c>
      <c r="Q13264" t="n">
        <v>0</v>
      </c>
      <c r="R13264" s="2" t="inlineStr"/>
    </row>
    <row r="13265" ht="15" customHeight="1">
      <c r="A13265" t="inlineStr">
        <is>
          <t>A 44124-2025</t>
        </is>
      </c>
      <c r="B13265" s="1" t="n">
        <v>45915.58008101852</v>
      </c>
      <c r="C13265" s="1" t="n">
        <v>45952</v>
      </c>
      <c r="D13265" t="inlineStr">
        <is>
          <t>VÄSTRA GÖTALANDS LÄN</t>
        </is>
      </c>
      <c r="E13265" t="inlineStr">
        <is>
          <t>DALS-ED</t>
        </is>
      </c>
      <c r="G13265" t="n">
        <v>4.7</v>
      </c>
      <c r="H13265" t="n">
        <v>0</v>
      </c>
      <c r="I13265" t="n">
        <v>0</v>
      </c>
      <c r="J13265" t="n">
        <v>0</v>
      </c>
      <c r="K13265" t="n">
        <v>0</v>
      </c>
      <c r="L13265" t="n">
        <v>0</v>
      </c>
      <c r="M13265" t="n">
        <v>0</v>
      </c>
      <c r="N13265" t="n">
        <v>0</v>
      </c>
      <c r="O13265" t="n">
        <v>0</v>
      </c>
      <c r="P13265" t="n">
        <v>0</v>
      </c>
      <c r="Q13265" t="n">
        <v>0</v>
      </c>
      <c r="R13265" s="2" t="inlineStr"/>
    </row>
    <row r="13266" ht="15" customHeight="1">
      <c r="A13266" t="inlineStr">
        <is>
          <t>A 34963-2025</t>
        </is>
      </c>
      <c r="B13266" s="1" t="n">
        <v>45849.63219907408</v>
      </c>
      <c r="C13266" s="1" t="n">
        <v>45952</v>
      </c>
      <c r="D13266" t="inlineStr">
        <is>
          <t>VÄSTRA GÖTALANDS LÄN</t>
        </is>
      </c>
      <c r="E13266" t="inlineStr">
        <is>
          <t>TJÖRN</t>
        </is>
      </c>
      <c r="G13266" t="n">
        <v>1.1</v>
      </c>
      <c r="H13266" t="n">
        <v>0</v>
      </c>
      <c r="I13266" t="n">
        <v>0</v>
      </c>
      <c r="J13266" t="n">
        <v>0</v>
      </c>
      <c r="K13266" t="n">
        <v>0</v>
      </c>
      <c r="L13266" t="n">
        <v>0</v>
      </c>
      <c r="M13266" t="n">
        <v>0</v>
      </c>
      <c r="N13266" t="n">
        <v>0</v>
      </c>
      <c r="O13266" t="n">
        <v>0</v>
      </c>
      <c r="P13266" t="n">
        <v>0</v>
      </c>
      <c r="Q13266" t="n">
        <v>0</v>
      </c>
      <c r="R13266" s="2" t="inlineStr"/>
    </row>
    <row r="13267" ht="15" customHeight="1">
      <c r="A13267" t="inlineStr">
        <is>
          <t>A 53617-2022</t>
        </is>
      </c>
      <c r="B13267" s="1" t="n">
        <v>44879</v>
      </c>
      <c r="C13267" s="1" t="n">
        <v>45952</v>
      </c>
      <c r="D13267" t="inlineStr">
        <is>
          <t>VÄSTRA GÖTALANDS LÄN</t>
        </is>
      </c>
      <c r="E13267" t="inlineStr">
        <is>
          <t>ÅMÅL</t>
        </is>
      </c>
      <c r="G13267" t="n">
        <v>0.5</v>
      </c>
      <c r="H13267" t="n">
        <v>0</v>
      </c>
      <c r="I13267" t="n">
        <v>0</v>
      </c>
      <c r="J13267" t="n">
        <v>0</v>
      </c>
      <c r="K13267" t="n">
        <v>0</v>
      </c>
      <c r="L13267" t="n">
        <v>0</v>
      </c>
      <c r="M13267" t="n">
        <v>0</v>
      </c>
      <c r="N13267" t="n">
        <v>0</v>
      </c>
      <c r="O13267" t="n">
        <v>0</v>
      </c>
      <c r="P13267" t="n">
        <v>0</v>
      </c>
      <c r="Q13267" t="n">
        <v>0</v>
      </c>
      <c r="R13267" s="2" t="inlineStr"/>
    </row>
    <row r="13268" ht="15" customHeight="1">
      <c r="A13268" t="inlineStr">
        <is>
          <t>A 31213-2022</t>
        </is>
      </c>
      <c r="B13268" s="1" t="n">
        <v>44771</v>
      </c>
      <c r="C13268" s="1" t="n">
        <v>45952</v>
      </c>
      <c r="D13268" t="inlineStr">
        <is>
          <t>VÄSTRA GÖTALANDS LÄN</t>
        </is>
      </c>
      <c r="E13268" t="inlineStr">
        <is>
          <t>BORÅS</t>
        </is>
      </c>
      <c r="F13268" t="inlineStr">
        <is>
          <t>Kyrkan</t>
        </is>
      </c>
      <c r="G13268" t="n">
        <v>5</v>
      </c>
      <c r="H13268" t="n">
        <v>0</v>
      </c>
      <c r="I13268" t="n">
        <v>0</v>
      </c>
      <c r="J13268" t="n">
        <v>0</v>
      </c>
      <c r="K13268" t="n">
        <v>0</v>
      </c>
      <c r="L13268" t="n">
        <v>0</v>
      </c>
      <c r="M13268" t="n">
        <v>0</v>
      </c>
      <c r="N13268" t="n">
        <v>0</v>
      </c>
      <c r="O13268" t="n">
        <v>0</v>
      </c>
      <c r="P13268" t="n">
        <v>0</v>
      </c>
      <c r="Q13268" t="n">
        <v>0</v>
      </c>
      <c r="R13268" s="2" t="inlineStr"/>
    </row>
    <row r="13269" ht="15" customHeight="1">
      <c r="A13269" t="inlineStr">
        <is>
          <t>A 20713-2025</t>
        </is>
      </c>
      <c r="B13269" s="1" t="n">
        <v>45776.489375</v>
      </c>
      <c r="C13269" s="1" t="n">
        <v>45952</v>
      </c>
      <c r="D13269" t="inlineStr">
        <is>
          <t>VÄSTRA GÖTALANDS LÄN</t>
        </is>
      </c>
      <c r="E13269" t="inlineStr">
        <is>
          <t>BORÅS</t>
        </is>
      </c>
      <c r="G13269" t="n">
        <v>1.6</v>
      </c>
      <c r="H13269" t="n">
        <v>0</v>
      </c>
      <c r="I13269" t="n">
        <v>0</v>
      </c>
      <c r="J13269" t="n">
        <v>0</v>
      </c>
      <c r="K13269" t="n">
        <v>0</v>
      </c>
      <c r="L13269" t="n">
        <v>0</v>
      </c>
      <c r="M13269" t="n">
        <v>0</v>
      </c>
      <c r="N13269" t="n">
        <v>0</v>
      </c>
      <c r="O13269" t="n">
        <v>0</v>
      </c>
      <c r="P13269" t="n">
        <v>0</v>
      </c>
      <c r="Q13269" t="n">
        <v>0</v>
      </c>
      <c r="R13269" s="2" t="inlineStr"/>
    </row>
    <row r="13270" ht="15" customHeight="1">
      <c r="A13270" t="inlineStr">
        <is>
          <t>A 26683-2025</t>
        </is>
      </c>
      <c r="B13270" s="1" t="n">
        <v>45810.43164351852</v>
      </c>
      <c r="C13270" s="1" t="n">
        <v>45952</v>
      </c>
      <c r="D13270" t="inlineStr">
        <is>
          <t>VÄSTRA GÖTALANDS LÄN</t>
        </is>
      </c>
      <c r="E13270" t="inlineStr">
        <is>
          <t>MARK</t>
        </is>
      </c>
      <c r="G13270" t="n">
        <v>1</v>
      </c>
      <c r="H13270" t="n">
        <v>0</v>
      </c>
      <c r="I13270" t="n">
        <v>0</v>
      </c>
      <c r="J13270" t="n">
        <v>0</v>
      </c>
      <c r="K13270" t="n">
        <v>0</v>
      </c>
      <c r="L13270" t="n">
        <v>0</v>
      </c>
      <c r="M13270" t="n">
        <v>0</v>
      </c>
      <c r="N13270" t="n">
        <v>0</v>
      </c>
      <c r="O13270" t="n">
        <v>0</v>
      </c>
      <c r="P13270" t="n">
        <v>0</v>
      </c>
      <c r="Q13270" t="n">
        <v>0</v>
      </c>
      <c r="R13270" s="2" t="inlineStr"/>
    </row>
    <row r="13271" ht="15" customHeight="1">
      <c r="A13271" t="inlineStr">
        <is>
          <t>A 4772-2024</t>
        </is>
      </c>
      <c r="B13271" s="1" t="n">
        <v>45328.72829861111</v>
      </c>
      <c r="C13271" s="1" t="n">
        <v>45952</v>
      </c>
      <c r="D13271" t="inlineStr">
        <is>
          <t>VÄSTRA GÖTALANDS LÄN</t>
        </is>
      </c>
      <c r="E13271" t="inlineStr">
        <is>
          <t>ULRICEHAMN</t>
        </is>
      </c>
      <c r="G13271" t="n">
        <v>1</v>
      </c>
      <c r="H13271" t="n">
        <v>0</v>
      </c>
      <c r="I13271" t="n">
        <v>0</v>
      </c>
      <c r="J13271" t="n">
        <v>0</v>
      </c>
      <c r="K13271" t="n">
        <v>0</v>
      </c>
      <c r="L13271" t="n">
        <v>0</v>
      </c>
      <c r="M13271" t="n">
        <v>0</v>
      </c>
      <c r="N13271" t="n">
        <v>0</v>
      </c>
      <c r="O13271" t="n">
        <v>0</v>
      </c>
      <c r="P13271" t="n">
        <v>0</v>
      </c>
      <c r="Q13271" t="n">
        <v>0</v>
      </c>
      <c r="R13271" s="2" t="inlineStr"/>
    </row>
    <row r="13272" ht="15" customHeight="1">
      <c r="A13272" t="inlineStr">
        <is>
          <t>A 23385-2023</t>
        </is>
      </c>
      <c r="B13272" s="1" t="n">
        <v>45076</v>
      </c>
      <c r="C13272" s="1" t="n">
        <v>45952</v>
      </c>
      <c r="D13272" t="inlineStr">
        <is>
          <t>VÄSTRA GÖTALANDS LÄN</t>
        </is>
      </c>
      <c r="E13272" t="inlineStr">
        <is>
          <t>MARK</t>
        </is>
      </c>
      <c r="G13272" t="n">
        <v>11.8</v>
      </c>
      <c r="H13272" t="n">
        <v>0</v>
      </c>
      <c r="I13272" t="n">
        <v>0</v>
      </c>
      <c r="J13272" t="n">
        <v>0</v>
      </c>
      <c r="K13272" t="n">
        <v>0</v>
      </c>
      <c r="L13272" t="n">
        <v>0</v>
      </c>
      <c r="M13272" t="n">
        <v>0</v>
      </c>
      <c r="N13272" t="n">
        <v>0</v>
      </c>
      <c r="O13272" t="n">
        <v>0</v>
      </c>
      <c r="P13272" t="n">
        <v>0</v>
      </c>
      <c r="Q13272" t="n">
        <v>0</v>
      </c>
      <c r="R13272" s="2" t="inlineStr"/>
    </row>
    <row r="13273" ht="15" customHeight="1">
      <c r="A13273" t="inlineStr">
        <is>
          <t>A 44026-2025</t>
        </is>
      </c>
      <c r="B13273" s="1" t="n">
        <v>45915.48523148148</v>
      </c>
      <c r="C13273" s="1" t="n">
        <v>45952</v>
      </c>
      <c r="D13273" t="inlineStr">
        <is>
          <t>VÄSTRA GÖTALANDS LÄN</t>
        </is>
      </c>
      <c r="E13273" t="inlineStr">
        <is>
          <t>MUNKEDAL</t>
        </is>
      </c>
      <c r="G13273" t="n">
        <v>0.9</v>
      </c>
      <c r="H13273" t="n">
        <v>0</v>
      </c>
      <c r="I13273" t="n">
        <v>0</v>
      </c>
      <c r="J13273" t="n">
        <v>0</v>
      </c>
      <c r="K13273" t="n">
        <v>0</v>
      </c>
      <c r="L13273" t="n">
        <v>0</v>
      </c>
      <c r="M13273" t="n">
        <v>0</v>
      </c>
      <c r="N13273" t="n">
        <v>0</v>
      </c>
      <c r="O13273" t="n">
        <v>0</v>
      </c>
      <c r="P13273" t="n">
        <v>0</v>
      </c>
      <c r="Q13273" t="n">
        <v>0</v>
      </c>
      <c r="R13273" s="2" t="inlineStr"/>
    </row>
    <row r="13274" ht="15" customHeight="1">
      <c r="A13274" t="inlineStr">
        <is>
          <t>A 44127-2025</t>
        </is>
      </c>
      <c r="B13274" s="1" t="n">
        <v>45915.58274305556</v>
      </c>
      <c r="C13274" s="1" t="n">
        <v>45952</v>
      </c>
      <c r="D13274" t="inlineStr">
        <is>
          <t>VÄSTRA GÖTALANDS LÄN</t>
        </is>
      </c>
      <c r="E13274" t="inlineStr">
        <is>
          <t>FÄRGELANDA</t>
        </is>
      </c>
      <c r="G13274" t="n">
        <v>0.6</v>
      </c>
      <c r="H13274" t="n">
        <v>0</v>
      </c>
      <c r="I13274" t="n">
        <v>0</v>
      </c>
      <c r="J13274" t="n">
        <v>0</v>
      </c>
      <c r="K13274" t="n">
        <v>0</v>
      </c>
      <c r="L13274" t="n">
        <v>0</v>
      </c>
      <c r="M13274" t="n">
        <v>0</v>
      </c>
      <c r="N13274" t="n">
        <v>0</v>
      </c>
      <c r="O13274" t="n">
        <v>0</v>
      </c>
      <c r="P13274" t="n">
        <v>0</v>
      </c>
      <c r="Q13274" t="n">
        <v>0</v>
      </c>
      <c r="R13274" s="2" t="inlineStr"/>
    </row>
    <row r="13275" ht="15" customHeight="1">
      <c r="A13275" t="inlineStr">
        <is>
          <t>A 51495-2022</t>
        </is>
      </c>
      <c r="B13275" s="1" t="n">
        <v>44869</v>
      </c>
      <c r="C13275" s="1" t="n">
        <v>45952</v>
      </c>
      <c r="D13275" t="inlineStr">
        <is>
          <t>VÄSTRA GÖTALANDS LÄN</t>
        </is>
      </c>
      <c r="E13275" t="inlineStr">
        <is>
          <t>MARK</t>
        </is>
      </c>
      <c r="G13275" t="n">
        <v>0.8</v>
      </c>
      <c r="H13275" t="n">
        <v>0</v>
      </c>
      <c r="I13275" t="n">
        <v>0</v>
      </c>
      <c r="J13275" t="n">
        <v>0</v>
      </c>
      <c r="K13275" t="n">
        <v>0</v>
      </c>
      <c r="L13275" t="n">
        <v>0</v>
      </c>
      <c r="M13275" t="n">
        <v>0</v>
      </c>
      <c r="N13275" t="n">
        <v>0</v>
      </c>
      <c r="O13275" t="n">
        <v>0</v>
      </c>
      <c r="P13275" t="n">
        <v>0</v>
      </c>
      <c r="Q13275" t="n">
        <v>0</v>
      </c>
      <c r="R13275" s="2" t="inlineStr"/>
    </row>
    <row r="13276" ht="15" customHeight="1">
      <c r="A13276" t="inlineStr">
        <is>
          <t>A 20889-2022</t>
        </is>
      </c>
      <c r="B13276" s="1" t="n">
        <v>44701</v>
      </c>
      <c r="C13276" s="1" t="n">
        <v>45952</v>
      </c>
      <c r="D13276" t="inlineStr">
        <is>
          <t>VÄSTRA GÖTALANDS LÄN</t>
        </is>
      </c>
      <c r="E13276" t="inlineStr">
        <is>
          <t>DALS-ED</t>
        </is>
      </c>
      <c r="G13276" t="n">
        <v>8.300000000000001</v>
      </c>
      <c r="H13276" t="n">
        <v>0</v>
      </c>
      <c r="I13276" t="n">
        <v>0</v>
      </c>
      <c r="J13276" t="n">
        <v>0</v>
      </c>
      <c r="K13276" t="n">
        <v>0</v>
      </c>
      <c r="L13276" t="n">
        <v>0</v>
      </c>
      <c r="M13276" t="n">
        <v>0</v>
      </c>
      <c r="N13276" t="n">
        <v>0</v>
      </c>
      <c r="O13276" t="n">
        <v>0</v>
      </c>
      <c r="P13276" t="n">
        <v>0</v>
      </c>
      <c r="Q13276" t="n">
        <v>0</v>
      </c>
      <c r="R13276" s="2" t="inlineStr"/>
    </row>
    <row r="13277" ht="15" customHeight="1">
      <c r="A13277" t="inlineStr">
        <is>
          <t>A 28118-2024</t>
        </is>
      </c>
      <c r="B13277" s="1" t="n">
        <v>45476.64726851852</v>
      </c>
      <c r="C13277" s="1" t="n">
        <v>45952</v>
      </c>
      <c r="D13277" t="inlineStr">
        <is>
          <t>VÄSTRA GÖTALANDS LÄN</t>
        </is>
      </c>
      <c r="E13277" t="inlineStr">
        <is>
          <t>LERUM</t>
        </is>
      </c>
      <c r="G13277" t="n">
        <v>7.2</v>
      </c>
      <c r="H13277" t="n">
        <v>0</v>
      </c>
      <c r="I13277" t="n">
        <v>0</v>
      </c>
      <c r="J13277" t="n">
        <v>0</v>
      </c>
      <c r="K13277" t="n">
        <v>0</v>
      </c>
      <c r="L13277" t="n">
        <v>0</v>
      </c>
      <c r="M13277" t="n">
        <v>0</v>
      </c>
      <c r="N13277" t="n">
        <v>0</v>
      </c>
      <c r="O13277" t="n">
        <v>0</v>
      </c>
      <c r="P13277" t="n">
        <v>0</v>
      </c>
      <c r="Q13277" t="n">
        <v>0</v>
      </c>
      <c r="R13277" s="2" t="inlineStr"/>
    </row>
    <row r="13278" ht="15" customHeight="1">
      <c r="A13278" t="inlineStr">
        <is>
          <t>A 28139-2024</t>
        </is>
      </c>
      <c r="B13278" s="1" t="n">
        <v>45476.69767361111</v>
      </c>
      <c r="C13278" s="1" t="n">
        <v>45952</v>
      </c>
      <c r="D13278" t="inlineStr">
        <is>
          <t>VÄSTRA GÖTALANDS LÄN</t>
        </is>
      </c>
      <c r="E13278" t="inlineStr">
        <is>
          <t>LERUM</t>
        </is>
      </c>
      <c r="G13278" t="n">
        <v>5.2</v>
      </c>
      <c r="H13278" t="n">
        <v>0</v>
      </c>
      <c r="I13278" t="n">
        <v>0</v>
      </c>
      <c r="J13278" t="n">
        <v>0</v>
      </c>
      <c r="K13278" t="n">
        <v>0</v>
      </c>
      <c r="L13278" t="n">
        <v>0</v>
      </c>
      <c r="M13278" t="n">
        <v>0</v>
      </c>
      <c r="N13278" t="n">
        <v>0</v>
      </c>
      <c r="O13278" t="n">
        <v>0</v>
      </c>
      <c r="P13278" t="n">
        <v>0</v>
      </c>
      <c r="Q13278" t="n">
        <v>0</v>
      </c>
      <c r="R13278" s="2" t="inlineStr"/>
    </row>
    <row r="13279" ht="15" customHeight="1">
      <c r="A13279" t="inlineStr">
        <is>
          <t>A 36637-2025</t>
        </is>
      </c>
      <c r="B13279" s="1" t="n">
        <v>45870.73012731481</v>
      </c>
      <c r="C13279" s="1" t="n">
        <v>45952</v>
      </c>
      <c r="D13279" t="inlineStr">
        <is>
          <t>VÄSTRA GÖTALANDS LÄN</t>
        </is>
      </c>
      <c r="E13279" t="inlineStr">
        <is>
          <t>VÅRGÅRDA</t>
        </is>
      </c>
      <c r="G13279" t="n">
        <v>0.8</v>
      </c>
      <c r="H13279" t="n">
        <v>0</v>
      </c>
      <c r="I13279" t="n">
        <v>0</v>
      </c>
      <c r="J13279" t="n">
        <v>0</v>
      </c>
      <c r="K13279" t="n">
        <v>0</v>
      </c>
      <c r="L13279" t="n">
        <v>0</v>
      </c>
      <c r="M13279" t="n">
        <v>0</v>
      </c>
      <c r="N13279" t="n">
        <v>0</v>
      </c>
      <c r="O13279" t="n">
        <v>0</v>
      </c>
      <c r="P13279" t="n">
        <v>0</v>
      </c>
      <c r="Q13279" t="n">
        <v>0</v>
      </c>
      <c r="R13279" s="2" t="inlineStr"/>
    </row>
    <row r="13280" ht="15" customHeight="1">
      <c r="A13280" t="inlineStr">
        <is>
          <t>A 36638-2025</t>
        </is>
      </c>
      <c r="B13280" s="1" t="n">
        <v>45870.73099537037</v>
      </c>
      <c r="C13280" s="1" t="n">
        <v>45952</v>
      </c>
      <c r="D13280" t="inlineStr">
        <is>
          <t>VÄSTRA GÖTALANDS LÄN</t>
        </is>
      </c>
      <c r="E13280" t="inlineStr">
        <is>
          <t>VÅRGÅRDA</t>
        </is>
      </c>
      <c r="G13280" t="n">
        <v>2.2</v>
      </c>
      <c r="H13280" t="n">
        <v>0</v>
      </c>
      <c r="I13280" t="n">
        <v>0</v>
      </c>
      <c r="J13280" t="n">
        <v>0</v>
      </c>
      <c r="K13280" t="n">
        <v>0</v>
      </c>
      <c r="L13280" t="n">
        <v>0</v>
      </c>
      <c r="M13280" t="n">
        <v>0</v>
      </c>
      <c r="N13280" t="n">
        <v>0</v>
      </c>
      <c r="O13280" t="n">
        <v>0</v>
      </c>
      <c r="P13280" t="n">
        <v>0</v>
      </c>
      <c r="Q13280" t="n">
        <v>0</v>
      </c>
      <c r="R13280" s="2" t="inlineStr"/>
    </row>
    <row r="13281" ht="15" customHeight="1">
      <c r="A13281" t="inlineStr">
        <is>
          <t>A 44046-2025</t>
        </is>
      </c>
      <c r="B13281" s="1" t="n">
        <v>45915.49810185185</v>
      </c>
      <c r="C13281" s="1" t="n">
        <v>45952</v>
      </c>
      <c r="D13281" t="inlineStr">
        <is>
          <t>VÄSTRA GÖTALANDS LÄN</t>
        </is>
      </c>
      <c r="E13281" t="inlineStr">
        <is>
          <t>ÅMÅL</t>
        </is>
      </c>
      <c r="G13281" t="n">
        <v>1.3</v>
      </c>
      <c r="H13281" t="n">
        <v>0</v>
      </c>
      <c r="I13281" t="n">
        <v>0</v>
      </c>
      <c r="J13281" t="n">
        <v>0</v>
      </c>
      <c r="K13281" t="n">
        <v>0</v>
      </c>
      <c r="L13281" t="n">
        <v>0</v>
      </c>
      <c r="M13281" t="n">
        <v>0</v>
      </c>
      <c r="N13281" t="n">
        <v>0</v>
      </c>
      <c r="O13281" t="n">
        <v>0</v>
      </c>
      <c r="P13281" t="n">
        <v>0</v>
      </c>
      <c r="Q13281" t="n">
        <v>0</v>
      </c>
      <c r="R13281" s="2" t="inlineStr"/>
    </row>
    <row r="13282" ht="15" customHeight="1">
      <c r="A13282" t="inlineStr">
        <is>
          <t>A 43962-2025</t>
        </is>
      </c>
      <c r="B13282" s="1" t="n">
        <v>45915.39197916666</v>
      </c>
      <c r="C13282" s="1" t="n">
        <v>45952</v>
      </c>
      <c r="D13282" t="inlineStr">
        <is>
          <t>VÄSTRA GÖTALANDS LÄN</t>
        </is>
      </c>
      <c r="E13282" t="inlineStr">
        <is>
          <t>BENGTSFORS</t>
        </is>
      </c>
      <c r="G13282" t="n">
        <v>4.3</v>
      </c>
      <c r="H13282" t="n">
        <v>0</v>
      </c>
      <c r="I13282" t="n">
        <v>0</v>
      </c>
      <c r="J13282" t="n">
        <v>0</v>
      </c>
      <c r="K13282" t="n">
        <v>0</v>
      </c>
      <c r="L13282" t="n">
        <v>0</v>
      </c>
      <c r="M13282" t="n">
        <v>0</v>
      </c>
      <c r="N13282" t="n">
        <v>0</v>
      </c>
      <c r="O13282" t="n">
        <v>0</v>
      </c>
      <c r="P13282" t="n">
        <v>0</v>
      </c>
      <c r="Q13282" t="n">
        <v>0</v>
      </c>
      <c r="R13282" s="2" t="inlineStr"/>
    </row>
    <row r="13283" ht="15" customHeight="1">
      <c r="A13283" t="inlineStr">
        <is>
          <t>A 42756-2022</t>
        </is>
      </c>
      <c r="B13283" s="1" t="n">
        <v>44832</v>
      </c>
      <c r="C13283" s="1" t="n">
        <v>45952</v>
      </c>
      <c r="D13283" t="inlineStr">
        <is>
          <t>VÄSTRA GÖTALANDS LÄN</t>
        </is>
      </c>
      <c r="E13283" t="inlineStr">
        <is>
          <t>TANUM</t>
        </is>
      </c>
      <c r="G13283" t="n">
        <v>4.1</v>
      </c>
      <c r="H13283" t="n">
        <v>0</v>
      </c>
      <c r="I13283" t="n">
        <v>0</v>
      </c>
      <c r="J13283" t="n">
        <v>0</v>
      </c>
      <c r="K13283" t="n">
        <v>0</v>
      </c>
      <c r="L13283" t="n">
        <v>0</v>
      </c>
      <c r="M13283" t="n">
        <v>0</v>
      </c>
      <c r="N13283" t="n">
        <v>0</v>
      </c>
      <c r="O13283" t="n">
        <v>0</v>
      </c>
      <c r="P13283" t="n">
        <v>0</v>
      </c>
      <c r="Q13283" t="n">
        <v>0</v>
      </c>
      <c r="R13283" s="2" t="inlineStr"/>
    </row>
    <row r="13284" ht="15" customHeight="1">
      <c r="A13284" t="inlineStr">
        <is>
          <t>A 23176-2021</t>
        </is>
      </c>
      <c r="B13284" s="1" t="n">
        <v>44333</v>
      </c>
      <c r="C13284" s="1" t="n">
        <v>45952</v>
      </c>
      <c r="D13284" t="inlineStr">
        <is>
          <t>VÄSTRA GÖTALANDS LÄN</t>
        </is>
      </c>
      <c r="E13284" t="inlineStr">
        <is>
          <t>ULRICEHAMN</t>
        </is>
      </c>
      <c r="G13284" t="n">
        <v>2.4</v>
      </c>
      <c r="H13284" t="n">
        <v>0</v>
      </c>
      <c r="I13284" t="n">
        <v>0</v>
      </c>
      <c r="J13284" t="n">
        <v>0</v>
      </c>
      <c r="K13284" t="n">
        <v>0</v>
      </c>
      <c r="L13284" t="n">
        <v>0</v>
      </c>
      <c r="M13284" t="n">
        <v>0</v>
      </c>
      <c r="N13284" t="n">
        <v>0</v>
      </c>
      <c r="O13284" t="n">
        <v>0</v>
      </c>
      <c r="P13284" t="n">
        <v>0</v>
      </c>
      <c r="Q13284" t="n">
        <v>0</v>
      </c>
      <c r="R13284" s="2" t="inlineStr"/>
    </row>
    <row r="13285" ht="15" customHeight="1">
      <c r="A13285" t="inlineStr">
        <is>
          <t>A 45101-2021</t>
        </is>
      </c>
      <c r="B13285" s="1" t="n">
        <v>44439.40950231482</v>
      </c>
      <c r="C13285" s="1" t="n">
        <v>45952</v>
      </c>
      <c r="D13285" t="inlineStr">
        <is>
          <t>VÄSTRA GÖTALANDS LÄN</t>
        </is>
      </c>
      <c r="E13285" t="inlineStr">
        <is>
          <t>GULLSPÅNG</t>
        </is>
      </c>
      <c r="G13285" t="n">
        <v>5.4</v>
      </c>
      <c r="H13285" t="n">
        <v>0</v>
      </c>
      <c r="I13285" t="n">
        <v>0</v>
      </c>
      <c r="J13285" t="n">
        <v>0</v>
      </c>
      <c r="K13285" t="n">
        <v>0</v>
      </c>
      <c r="L13285" t="n">
        <v>0</v>
      </c>
      <c r="M13285" t="n">
        <v>0</v>
      </c>
      <c r="N13285" t="n">
        <v>0</v>
      </c>
      <c r="O13285" t="n">
        <v>0</v>
      </c>
      <c r="P13285" t="n">
        <v>0</v>
      </c>
      <c r="Q13285" t="n">
        <v>0</v>
      </c>
      <c r="R13285" s="2" t="inlineStr"/>
    </row>
    <row r="13286" ht="15" customHeight="1">
      <c r="A13286" t="inlineStr">
        <is>
          <t>A 6096-2025</t>
        </is>
      </c>
      <c r="B13286" s="1" t="n">
        <v>45697</v>
      </c>
      <c r="C13286" s="1" t="n">
        <v>45952</v>
      </c>
      <c r="D13286" t="inlineStr">
        <is>
          <t>VÄSTRA GÖTALANDS LÄN</t>
        </is>
      </c>
      <c r="E13286" t="inlineStr">
        <is>
          <t>KUNGÄLV</t>
        </is>
      </c>
      <c r="G13286" t="n">
        <v>8.699999999999999</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43792-2025</t>
        </is>
      </c>
      <c r="B13287" s="1" t="n">
        <v>45912.55064814815</v>
      </c>
      <c r="C13287" s="1" t="n">
        <v>45952</v>
      </c>
      <c r="D13287" t="inlineStr">
        <is>
          <t>VÄSTRA GÖTALANDS LÄN</t>
        </is>
      </c>
      <c r="E13287" t="inlineStr">
        <is>
          <t>SVENLJUNGA</t>
        </is>
      </c>
      <c r="G13287" t="n">
        <v>5.5</v>
      </c>
      <c r="H13287" t="n">
        <v>0</v>
      </c>
      <c r="I13287" t="n">
        <v>0</v>
      </c>
      <c r="J13287" t="n">
        <v>0</v>
      </c>
      <c r="K13287" t="n">
        <v>0</v>
      </c>
      <c r="L13287" t="n">
        <v>0</v>
      </c>
      <c r="M13287" t="n">
        <v>0</v>
      </c>
      <c r="N13287" t="n">
        <v>0</v>
      </c>
      <c r="O13287" t="n">
        <v>0</v>
      </c>
      <c r="P13287" t="n">
        <v>0</v>
      </c>
      <c r="Q13287" t="n">
        <v>0</v>
      </c>
      <c r="R13287" s="2" t="inlineStr"/>
    </row>
    <row r="13288" ht="15" customHeight="1">
      <c r="A13288" t="inlineStr">
        <is>
          <t>A 56479-2024</t>
        </is>
      </c>
      <c r="B13288" s="1" t="n">
        <v>45624</v>
      </c>
      <c r="C13288" s="1" t="n">
        <v>45952</v>
      </c>
      <c r="D13288" t="inlineStr">
        <is>
          <t>VÄSTRA GÖTALANDS LÄN</t>
        </is>
      </c>
      <c r="E13288" t="inlineStr">
        <is>
          <t>GULLSPÅNG</t>
        </is>
      </c>
      <c r="G13288" t="n">
        <v>1.2</v>
      </c>
      <c r="H13288" t="n">
        <v>0</v>
      </c>
      <c r="I13288" t="n">
        <v>0</v>
      </c>
      <c r="J13288" t="n">
        <v>0</v>
      </c>
      <c r="K13288" t="n">
        <v>0</v>
      </c>
      <c r="L13288" t="n">
        <v>0</v>
      </c>
      <c r="M13288" t="n">
        <v>0</v>
      </c>
      <c r="N13288" t="n">
        <v>0</v>
      </c>
      <c r="O13288" t="n">
        <v>0</v>
      </c>
      <c r="P13288" t="n">
        <v>0</v>
      </c>
      <c r="Q13288" t="n">
        <v>0</v>
      </c>
      <c r="R13288" s="2" t="inlineStr"/>
    </row>
    <row r="13289" ht="15" customHeight="1">
      <c r="A13289" t="inlineStr">
        <is>
          <t>A 58397-2022</t>
        </is>
      </c>
      <c r="B13289" s="1" t="n">
        <v>44901.65896990741</v>
      </c>
      <c r="C13289" s="1" t="n">
        <v>45952</v>
      </c>
      <c r="D13289" t="inlineStr">
        <is>
          <t>VÄSTRA GÖTALANDS LÄN</t>
        </is>
      </c>
      <c r="E13289" t="inlineStr">
        <is>
          <t>MARK</t>
        </is>
      </c>
      <c r="G13289" t="n">
        <v>5.5</v>
      </c>
      <c r="H13289" t="n">
        <v>0</v>
      </c>
      <c r="I13289" t="n">
        <v>0</v>
      </c>
      <c r="J13289" t="n">
        <v>0</v>
      </c>
      <c r="K13289" t="n">
        <v>0</v>
      </c>
      <c r="L13289" t="n">
        <v>0</v>
      </c>
      <c r="M13289" t="n">
        <v>0</v>
      </c>
      <c r="N13289" t="n">
        <v>0</v>
      </c>
      <c r="O13289" t="n">
        <v>0</v>
      </c>
      <c r="P13289" t="n">
        <v>0</v>
      </c>
      <c r="Q13289" t="n">
        <v>0</v>
      </c>
      <c r="R13289" s="2" t="inlineStr"/>
    </row>
    <row r="13290" ht="15" customHeight="1">
      <c r="A13290" t="inlineStr">
        <is>
          <t>A 8561-2024</t>
        </is>
      </c>
      <c r="B13290" s="1" t="n">
        <v>45351</v>
      </c>
      <c r="C13290" s="1" t="n">
        <v>45952</v>
      </c>
      <c r="D13290" t="inlineStr">
        <is>
          <t>VÄSTRA GÖTALANDS LÄN</t>
        </is>
      </c>
      <c r="E13290" t="inlineStr">
        <is>
          <t>MUNKEDAL</t>
        </is>
      </c>
      <c r="F13290" t="inlineStr">
        <is>
          <t>Övriga Aktiebolag</t>
        </is>
      </c>
      <c r="G13290" t="n">
        <v>1.8</v>
      </c>
      <c r="H13290" t="n">
        <v>0</v>
      </c>
      <c r="I13290" t="n">
        <v>0</v>
      </c>
      <c r="J13290" t="n">
        <v>0</v>
      </c>
      <c r="K13290" t="n">
        <v>0</v>
      </c>
      <c r="L13290" t="n">
        <v>0</v>
      </c>
      <c r="M13290" t="n">
        <v>0</v>
      </c>
      <c r="N13290" t="n">
        <v>0</v>
      </c>
      <c r="O13290" t="n">
        <v>0</v>
      </c>
      <c r="P13290" t="n">
        <v>0</v>
      </c>
      <c r="Q13290" t="n">
        <v>0</v>
      </c>
      <c r="R13290" s="2" t="inlineStr"/>
    </row>
    <row r="13291" ht="15" customHeight="1">
      <c r="A13291" t="inlineStr">
        <is>
          <t>A 44056-2025</t>
        </is>
      </c>
      <c r="B13291" s="1" t="n">
        <v>45915.52861111111</v>
      </c>
      <c r="C13291" s="1" t="n">
        <v>45952</v>
      </c>
      <c r="D13291" t="inlineStr">
        <is>
          <t>VÄSTRA GÖTALANDS LÄN</t>
        </is>
      </c>
      <c r="E13291" t="inlineStr">
        <is>
          <t>UDDEVALLA</t>
        </is>
      </c>
      <c r="G13291" t="n">
        <v>1</v>
      </c>
      <c r="H13291" t="n">
        <v>0</v>
      </c>
      <c r="I13291" t="n">
        <v>0</v>
      </c>
      <c r="J13291" t="n">
        <v>0</v>
      </c>
      <c r="K13291" t="n">
        <v>0</v>
      </c>
      <c r="L13291" t="n">
        <v>0</v>
      </c>
      <c r="M13291" t="n">
        <v>0</v>
      </c>
      <c r="N13291" t="n">
        <v>0</v>
      </c>
      <c r="O13291" t="n">
        <v>0</v>
      </c>
      <c r="P13291" t="n">
        <v>0</v>
      </c>
      <c r="Q13291" t="n">
        <v>0</v>
      </c>
      <c r="R13291" s="2" t="inlineStr"/>
    </row>
    <row r="13292" ht="15" customHeight="1">
      <c r="A13292" t="inlineStr">
        <is>
          <t>A 14332-2025</t>
        </is>
      </c>
      <c r="B13292" s="1" t="n">
        <v>45740</v>
      </c>
      <c r="C13292" s="1" t="n">
        <v>45952</v>
      </c>
      <c r="D13292" t="inlineStr">
        <is>
          <t>VÄSTRA GÖTALANDS LÄN</t>
        </is>
      </c>
      <c r="E13292" t="inlineStr">
        <is>
          <t>TIDAHOLM</t>
        </is>
      </c>
      <c r="G13292" t="n">
        <v>5.5</v>
      </c>
      <c r="H13292" t="n">
        <v>0</v>
      </c>
      <c r="I13292" t="n">
        <v>0</v>
      </c>
      <c r="J13292" t="n">
        <v>0</v>
      </c>
      <c r="K13292" t="n">
        <v>0</v>
      </c>
      <c r="L13292" t="n">
        <v>0</v>
      </c>
      <c r="M13292" t="n">
        <v>0</v>
      </c>
      <c r="N13292" t="n">
        <v>0</v>
      </c>
      <c r="O13292" t="n">
        <v>0</v>
      </c>
      <c r="P13292" t="n">
        <v>0</v>
      </c>
      <c r="Q13292" t="n">
        <v>0</v>
      </c>
      <c r="R13292" s="2" t="inlineStr"/>
    </row>
    <row r="13293" ht="15" customHeight="1">
      <c r="A13293" t="inlineStr">
        <is>
          <t>A 44020-2025</t>
        </is>
      </c>
      <c r="B13293" s="1" t="n">
        <v>45915.47594907408</v>
      </c>
      <c r="C13293" s="1" t="n">
        <v>45952</v>
      </c>
      <c r="D13293" t="inlineStr">
        <is>
          <t>VÄSTRA GÖTALANDS LÄN</t>
        </is>
      </c>
      <c r="E13293" t="inlineStr">
        <is>
          <t>MELLERUD</t>
        </is>
      </c>
      <c r="G13293" t="n">
        <v>3.1</v>
      </c>
      <c r="H13293" t="n">
        <v>0</v>
      </c>
      <c r="I13293" t="n">
        <v>0</v>
      </c>
      <c r="J13293" t="n">
        <v>0</v>
      </c>
      <c r="K13293" t="n">
        <v>0</v>
      </c>
      <c r="L13293" t="n">
        <v>0</v>
      </c>
      <c r="M13293" t="n">
        <v>0</v>
      </c>
      <c r="N13293" t="n">
        <v>0</v>
      </c>
      <c r="O13293" t="n">
        <v>0</v>
      </c>
      <c r="P13293" t="n">
        <v>0</v>
      </c>
      <c r="Q13293" t="n">
        <v>0</v>
      </c>
      <c r="R13293" s="2" t="inlineStr"/>
    </row>
    <row r="13294" ht="15" customHeight="1">
      <c r="A13294" t="inlineStr">
        <is>
          <t>A 43959-2025</t>
        </is>
      </c>
      <c r="B13294" s="1" t="n">
        <v>45915.38841435185</v>
      </c>
      <c r="C13294" s="1" t="n">
        <v>45952</v>
      </c>
      <c r="D13294" t="inlineStr">
        <is>
          <t>VÄSTRA GÖTALANDS LÄN</t>
        </is>
      </c>
      <c r="E13294" t="inlineStr">
        <is>
          <t>MARK</t>
        </is>
      </c>
      <c r="G13294" t="n">
        <v>0.7</v>
      </c>
      <c r="H13294" t="n">
        <v>0</v>
      </c>
      <c r="I13294" t="n">
        <v>0</v>
      </c>
      <c r="J13294" t="n">
        <v>0</v>
      </c>
      <c r="K13294" t="n">
        <v>0</v>
      </c>
      <c r="L13294" t="n">
        <v>0</v>
      </c>
      <c r="M13294" t="n">
        <v>0</v>
      </c>
      <c r="N13294" t="n">
        <v>0</v>
      </c>
      <c r="O13294" t="n">
        <v>0</v>
      </c>
      <c r="P13294" t="n">
        <v>0</v>
      </c>
      <c r="Q13294" t="n">
        <v>0</v>
      </c>
      <c r="R13294" s="2" t="inlineStr"/>
    </row>
    <row r="13295" ht="15" customHeight="1">
      <c r="A13295" t="inlineStr">
        <is>
          <t>A 43986-2025</t>
        </is>
      </c>
      <c r="B13295" s="1" t="n">
        <v>45915.4346875</v>
      </c>
      <c r="C13295" s="1" t="n">
        <v>45952</v>
      </c>
      <c r="D13295" t="inlineStr">
        <is>
          <t>VÄSTRA GÖTALANDS LÄN</t>
        </is>
      </c>
      <c r="E13295" t="inlineStr">
        <is>
          <t>GÖTENE</t>
        </is>
      </c>
      <c r="G13295" t="n">
        <v>0.9</v>
      </c>
      <c r="H13295" t="n">
        <v>0</v>
      </c>
      <c r="I13295" t="n">
        <v>0</v>
      </c>
      <c r="J13295" t="n">
        <v>0</v>
      </c>
      <c r="K13295" t="n">
        <v>0</v>
      </c>
      <c r="L13295" t="n">
        <v>0</v>
      </c>
      <c r="M13295" t="n">
        <v>0</v>
      </c>
      <c r="N13295" t="n">
        <v>0</v>
      </c>
      <c r="O13295" t="n">
        <v>0</v>
      </c>
      <c r="P13295" t="n">
        <v>0</v>
      </c>
      <c r="Q13295" t="n">
        <v>0</v>
      </c>
      <c r="R13295" s="2" t="inlineStr"/>
    </row>
    <row r="13296" ht="15" customHeight="1">
      <c r="A13296" t="inlineStr">
        <is>
          <t>A 44019-2025</t>
        </is>
      </c>
      <c r="B13296" s="1" t="n">
        <v>45915.47401620371</v>
      </c>
      <c r="C13296" s="1" t="n">
        <v>45952</v>
      </c>
      <c r="D13296" t="inlineStr">
        <is>
          <t>VÄSTRA GÖTALANDS LÄN</t>
        </is>
      </c>
      <c r="E13296" t="inlineStr">
        <is>
          <t>TANUM</t>
        </is>
      </c>
      <c r="G13296" t="n">
        <v>2.1</v>
      </c>
      <c r="H13296" t="n">
        <v>0</v>
      </c>
      <c r="I13296" t="n">
        <v>0</v>
      </c>
      <c r="J13296" t="n">
        <v>0</v>
      </c>
      <c r="K13296" t="n">
        <v>0</v>
      </c>
      <c r="L13296" t="n">
        <v>0</v>
      </c>
      <c r="M13296" t="n">
        <v>0</v>
      </c>
      <c r="N13296" t="n">
        <v>0</v>
      </c>
      <c r="O13296" t="n">
        <v>0</v>
      </c>
      <c r="P13296" t="n">
        <v>0</v>
      </c>
      <c r="Q13296" t="n">
        <v>0</v>
      </c>
      <c r="R13296" s="2" t="inlineStr"/>
    </row>
    <row r="13297" ht="15" customHeight="1">
      <c r="A13297" t="inlineStr">
        <is>
          <t>A 45913-2024</t>
        </is>
      </c>
      <c r="B13297" s="1" t="n">
        <v>45580.45703703703</v>
      </c>
      <c r="C13297" s="1" t="n">
        <v>45952</v>
      </c>
      <c r="D13297" t="inlineStr">
        <is>
          <t>VÄSTRA GÖTALANDS LÄN</t>
        </is>
      </c>
      <c r="E13297" t="inlineStr">
        <is>
          <t>MARK</t>
        </is>
      </c>
      <c r="G13297" t="n">
        <v>2.6</v>
      </c>
      <c r="H13297" t="n">
        <v>0</v>
      </c>
      <c r="I13297" t="n">
        <v>0</v>
      </c>
      <c r="J13297" t="n">
        <v>0</v>
      </c>
      <c r="K13297" t="n">
        <v>0</v>
      </c>
      <c r="L13297" t="n">
        <v>0</v>
      </c>
      <c r="M13297" t="n">
        <v>0</v>
      </c>
      <c r="N13297" t="n">
        <v>0</v>
      </c>
      <c r="O13297" t="n">
        <v>0</v>
      </c>
      <c r="P13297" t="n">
        <v>0</v>
      </c>
      <c r="Q13297" t="n">
        <v>0</v>
      </c>
      <c r="R13297" s="2" t="inlineStr"/>
    </row>
    <row r="13298" ht="15" customHeight="1">
      <c r="A13298" t="inlineStr">
        <is>
          <t>A 36815-2025</t>
        </is>
      </c>
      <c r="B13298" s="1" t="n">
        <v>45873.73373842592</v>
      </c>
      <c r="C13298" s="1" t="n">
        <v>45952</v>
      </c>
      <c r="D13298" t="inlineStr">
        <is>
          <t>VÄSTRA GÖTALANDS LÄN</t>
        </is>
      </c>
      <c r="E13298" t="inlineStr">
        <is>
          <t>HERRLJUNGA</t>
        </is>
      </c>
      <c r="G13298" t="n">
        <v>1.2</v>
      </c>
      <c r="H13298" t="n">
        <v>0</v>
      </c>
      <c r="I13298" t="n">
        <v>0</v>
      </c>
      <c r="J13298" t="n">
        <v>0</v>
      </c>
      <c r="K13298" t="n">
        <v>0</v>
      </c>
      <c r="L13298" t="n">
        <v>0</v>
      </c>
      <c r="M13298" t="n">
        <v>0</v>
      </c>
      <c r="N13298" t="n">
        <v>0</v>
      </c>
      <c r="O13298" t="n">
        <v>0</v>
      </c>
      <c r="P13298" t="n">
        <v>0</v>
      </c>
      <c r="Q13298" t="n">
        <v>0</v>
      </c>
      <c r="R13298" s="2" t="inlineStr"/>
    </row>
    <row r="13299" ht="15" customHeight="1">
      <c r="A13299" t="inlineStr">
        <is>
          <t>A 12215-2025</t>
        </is>
      </c>
      <c r="B13299" s="1" t="n">
        <v>45729.5352662037</v>
      </c>
      <c r="C13299" s="1" t="n">
        <v>45952</v>
      </c>
      <c r="D13299" t="inlineStr">
        <is>
          <t>VÄSTRA GÖTALANDS LÄN</t>
        </is>
      </c>
      <c r="E13299" t="inlineStr">
        <is>
          <t>GULLSPÅNG</t>
        </is>
      </c>
      <c r="G13299" t="n">
        <v>6</v>
      </c>
      <c r="H13299" t="n">
        <v>0</v>
      </c>
      <c r="I13299" t="n">
        <v>0</v>
      </c>
      <c r="J13299" t="n">
        <v>0</v>
      </c>
      <c r="K13299" t="n">
        <v>0</v>
      </c>
      <c r="L13299" t="n">
        <v>0</v>
      </c>
      <c r="M13299" t="n">
        <v>0</v>
      </c>
      <c r="N13299" t="n">
        <v>0</v>
      </c>
      <c r="O13299" t="n">
        <v>0</v>
      </c>
      <c r="P13299" t="n">
        <v>0</v>
      </c>
      <c r="Q13299" t="n">
        <v>0</v>
      </c>
      <c r="R13299" s="2" t="inlineStr"/>
    </row>
    <row r="13300" ht="15" customHeight="1">
      <c r="A13300" t="inlineStr">
        <is>
          <t>A 71963-2021</t>
        </is>
      </c>
      <c r="B13300" s="1" t="n">
        <v>44544.32019675926</v>
      </c>
      <c r="C13300" s="1" t="n">
        <v>45952</v>
      </c>
      <c r="D13300" t="inlineStr">
        <is>
          <t>VÄSTRA GÖTALANDS LÄN</t>
        </is>
      </c>
      <c r="E13300" t="inlineStr">
        <is>
          <t>FÄRGELANDA</t>
        </is>
      </c>
      <c r="G13300" t="n">
        <v>1.3</v>
      </c>
      <c r="H13300" t="n">
        <v>0</v>
      </c>
      <c r="I13300" t="n">
        <v>0</v>
      </c>
      <c r="J13300" t="n">
        <v>0</v>
      </c>
      <c r="K13300" t="n">
        <v>0</v>
      </c>
      <c r="L13300" t="n">
        <v>0</v>
      </c>
      <c r="M13300" t="n">
        <v>0</v>
      </c>
      <c r="N13300" t="n">
        <v>0</v>
      </c>
      <c r="O13300" t="n">
        <v>0</v>
      </c>
      <c r="P13300" t="n">
        <v>0</v>
      </c>
      <c r="Q13300" t="n">
        <v>0</v>
      </c>
      <c r="R13300" s="2" t="inlineStr"/>
    </row>
    <row r="13301" ht="15" customHeight="1">
      <c r="A13301" t="inlineStr">
        <is>
          <t>A 9949-2023</t>
        </is>
      </c>
      <c r="B13301" s="1" t="n">
        <v>44985</v>
      </c>
      <c r="C13301" s="1" t="n">
        <v>45952</v>
      </c>
      <c r="D13301" t="inlineStr">
        <is>
          <t>VÄSTRA GÖTALANDS LÄN</t>
        </is>
      </c>
      <c r="E13301" t="inlineStr">
        <is>
          <t>TIDAHOLM</t>
        </is>
      </c>
      <c r="G13301" t="n">
        <v>4.4</v>
      </c>
      <c r="H13301" t="n">
        <v>0</v>
      </c>
      <c r="I13301" t="n">
        <v>0</v>
      </c>
      <c r="J13301" t="n">
        <v>0</v>
      </c>
      <c r="K13301" t="n">
        <v>0</v>
      </c>
      <c r="L13301" t="n">
        <v>0</v>
      </c>
      <c r="M13301" t="n">
        <v>0</v>
      </c>
      <c r="N13301" t="n">
        <v>0</v>
      </c>
      <c r="O13301" t="n">
        <v>0</v>
      </c>
      <c r="P13301" t="n">
        <v>0</v>
      </c>
      <c r="Q13301" t="n">
        <v>0</v>
      </c>
      <c r="R13301" s="2" t="inlineStr"/>
    </row>
    <row r="13302" ht="15" customHeight="1">
      <c r="A13302" t="inlineStr">
        <is>
          <t>A 5588-2021</t>
        </is>
      </c>
      <c r="B13302" s="1" t="n">
        <v>44230</v>
      </c>
      <c r="C13302" s="1" t="n">
        <v>45952</v>
      </c>
      <c r="D13302" t="inlineStr">
        <is>
          <t>VÄSTRA GÖTALANDS LÄN</t>
        </is>
      </c>
      <c r="E13302" t="inlineStr">
        <is>
          <t>SKARA</t>
        </is>
      </c>
      <c r="G13302" t="n">
        <v>3.5</v>
      </c>
      <c r="H13302" t="n">
        <v>0</v>
      </c>
      <c r="I13302" t="n">
        <v>0</v>
      </c>
      <c r="J13302" t="n">
        <v>0</v>
      </c>
      <c r="K13302" t="n">
        <v>0</v>
      </c>
      <c r="L13302" t="n">
        <v>0</v>
      </c>
      <c r="M13302" t="n">
        <v>0</v>
      </c>
      <c r="N13302" t="n">
        <v>0</v>
      </c>
      <c r="O13302" t="n">
        <v>0</v>
      </c>
      <c r="P13302" t="n">
        <v>0</v>
      </c>
      <c r="Q13302" t="n">
        <v>0</v>
      </c>
      <c r="R13302" s="2" t="inlineStr"/>
    </row>
    <row r="13303" ht="15" customHeight="1">
      <c r="A13303" t="inlineStr">
        <is>
          <t>A 39660-2024</t>
        </is>
      </c>
      <c r="B13303" s="1" t="n">
        <v>45552</v>
      </c>
      <c r="C13303" s="1" t="n">
        <v>45952</v>
      </c>
      <c r="D13303" t="inlineStr">
        <is>
          <t>VÄSTRA GÖTALANDS LÄN</t>
        </is>
      </c>
      <c r="E13303" t="inlineStr">
        <is>
          <t>TÖREBODA</t>
        </is>
      </c>
      <c r="G13303" t="n">
        <v>1.2</v>
      </c>
      <c r="H13303" t="n">
        <v>0</v>
      </c>
      <c r="I13303" t="n">
        <v>0</v>
      </c>
      <c r="J13303" t="n">
        <v>0</v>
      </c>
      <c r="K13303" t="n">
        <v>0</v>
      </c>
      <c r="L13303" t="n">
        <v>0</v>
      </c>
      <c r="M13303" t="n">
        <v>0</v>
      </c>
      <c r="N13303" t="n">
        <v>0</v>
      </c>
      <c r="O13303" t="n">
        <v>0</v>
      </c>
      <c r="P13303" t="n">
        <v>0</v>
      </c>
      <c r="Q13303" t="n">
        <v>0</v>
      </c>
      <c r="R13303" s="2" t="inlineStr"/>
    </row>
    <row r="13304" ht="15" customHeight="1">
      <c r="A13304" t="inlineStr">
        <is>
          <t>A 20707-2025</t>
        </is>
      </c>
      <c r="B13304" s="1" t="n">
        <v>45776.48423611111</v>
      </c>
      <c r="C13304" s="1" t="n">
        <v>45952</v>
      </c>
      <c r="D13304" t="inlineStr">
        <is>
          <t>VÄSTRA GÖTALANDS LÄN</t>
        </is>
      </c>
      <c r="E13304" t="inlineStr">
        <is>
          <t>MARK</t>
        </is>
      </c>
      <c r="G13304" t="n">
        <v>2.4</v>
      </c>
      <c r="H13304" t="n">
        <v>0</v>
      </c>
      <c r="I13304" t="n">
        <v>0</v>
      </c>
      <c r="J13304" t="n">
        <v>0</v>
      </c>
      <c r="K13304" t="n">
        <v>0</v>
      </c>
      <c r="L13304" t="n">
        <v>0</v>
      </c>
      <c r="M13304" t="n">
        <v>0</v>
      </c>
      <c r="N13304" t="n">
        <v>0</v>
      </c>
      <c r="O13304" t="n">
        <v>0</v>
      </c>
      <c r="P13304" t="n">
        <v>0</v>
      </c>
      <c r="Q13304" t="n">
        <v>0</v>
      </c>
      <c r="R13304" s="2" t="inlineStr"/>
    </row>
    <row r="13305" ht="15" customHeight="1">
      <c r="A13305" t="inlineStr">
        <is>
          <t>A 43832-2025</t>
        </is>
      </c>
      <c r="B13305" s="1" t="n">
        <v>45912.63020833334</v>
      </c>
      <c r="C13305" s="1" t="n">
        <v>45952</v>
      </c>
      <c r="D13305" t="inlineStr">
        <is>
          <t>VÄSTRA GÖTALANDS LÄN</t>
        </is>
      </c>
      <c r="E13305" t="inlineStr">
        <is>
          <t>HÄRRYDA</t>
        </is>
      </c>
      <c r="G13305" t="n">
        <v>6.4</v>
      </c>
      <c r="H13305" t="n">
        <v>0</v>
      </c>
      <c r="I13305" t="n">
        <v>0</v>
      </c>
      <c r="J13305" t="n">
        <v>0</v>
      </c>
      <c r="K13305" t="n">
        <v>0</v>
      </c>
      <c r="L13305" t="n">
        <v>0</v>
      </c>
      <c r="M13305" t="n">
        <v>0</v>
      </c>
      <c r="N13305" t="n">
        <v>0</v>
      </c>
      <c r="O13305" t="n">
        <v>0</v>
      </c>
      <c r="P13305" t="n">
        <v>0</v>
      </c>
      <c r="Q13305" t="n">
        <v>0</v>
      </c>
      <c r="R13305" s="2" t="inlineStr"/>
    </row>
    <row r="13306" ht="15" customHeight="1">
      <c r="A13306" t="inlineStr">
        <is>
          <t>A 44125-2025</t>
        </is>
      </c>
      <c r="B13306" s="1" t="n">
        <v>45915.58019675926</v>
      </c>
      <c r="C13306" s="1" t="n">
        <v>45952</v>
      </c>
      <c r="D13306" t="inlineStr">
        <is>
          <t>VÄSTRA GÖTALANDS LÄN</t>
        </is>
      </c>
      <c r="E13306" t="inlineStr">
        <is>
          <t>BORÅS</t>
        </is>
      </c>
      <c r="G13306" t="n">
        <v>3.3</v>
      </c>
      <c r="H13306" t="n">
        <v>0</v>
      </c>
      <c r="I13306" t="n">
        <v>0</v>
      </c>
      <c r="J13306" t="n">
        <v>0</v>
      </c>
      <c r="K13306" t="n">
        <v>0</v>
      </c>
      <c r="L13306" t="n">
        <v>0</v>
      </c>
      <c r="M13306" t="n">
        <v>0</v>
      </c>
      <c r="N13306" t="n">
        <v>0</v>
      </c>
      <c r="O13306" t="n">
        <v>0</v>
      </c>
      <c r="P13306" t="n">
        <v>0</v>
      </c>
      <c r="Q13306" t="n">
        <v>0</v>
      </c>
      <c r="R13306" s="2" t="inlineStr"/>
    </row>
    <row r="13307" ht="15" customHeight="1">
      <c r="A13307" t="inlineStr">
        <is>
          <t>A 36671-2025</t>
        </is>
      </c>
      <c r="B13307" s="1" t="n">
        <v>45873.38961805555</v>
      </c>
      <c r="C13307" s="1" t="n">
        <v>45952</v>
      </c>
      <c r="D13307" t="inlineStr">
        <is>
          <t>VÄSTRA GÖTALANDS LÄN</t>
        </is>
      </c>
      <c r="E13307" t="inlineStr">
        <is>
          <t>ÅMÅL</t>
        </is>
      </c>
      <c r="G13307" t="n">
        <v>5</v>
      </c>
      <c r="H13307" t="n">
        <v>0</v>
      </c>
      <c r="I13307" t="n">
        <v>0</v>
      </c>
      <c r="J13307" t="n">
        <v>0</v>
      </c>
      <c r="K13307" t="n">
        <v>0</v>
      </c>
      <c r="L13307" t="n">
        <v>0</v>
      </c>
      <c r="M13307" t="n">
        <v>0</v>
      </c>
      <c r="N13307" t="n">
        <v>0</v>
      </c>
      <c r="O13307" t="n">
        <v>0</v>
      </c>
      <c r="P13307" t="n">
        <v>0</v>
      </c>
      <c r="Q13307" t="n">
        <v>0</v>
      </c>
      <c r="R13307" s="2" t="inlineStr"/>
    </row>
    <row r="13308" ht="15" customHeight="1">
      <c r="A13308" t="inlineStr">
        <is>
          <t>A 52904-2024</t>
        </is>
      </c>
      <c r="B13308" s="1" t="n">
        <v>45610.69145833333</v>
      </c>
      <c r="C13308" s="1" t="n">
        <v>45952</v>
      </c>
      <c r="D13308" t="inlineStr">
        <is>
          <t>VÄSTRA GÖTALANDS LÄN</t>
        </is>
      </c>
      <c r="E13308" t="inlineStr">
        <is>
          <t>BORÅS</t>
        </is>
      </c>
      <c r="G13308" t="n">
        <v>1.3</v>
      </c>
      <c r="H13308" t="n">
        <v>0</v>
      </c>
      <c r="I13308" t="n">
        <v>0</v>
      </c>
      <c r="J13308" t="n">
        <v>0</v>
      </c>
      <c r="K13308" t="n">
        <v>0</v>
      </c>
      <c r="L13308" t="n">
        <v>0</v>
      </c>
      <c r="M13308" t="n">
        <v>0</v>
      </c>
      <c r="N13308" t="n">
        <v>0</v>
      </c>
      <c r="O13308" t="n">
        <v>0</v>
      </c>
      <c r="P13308" t="n">
        <v>0</v>
      </c>
      <c r="Q13308" t="n">
        <v>0</v>
      </c>
      <c r="R13308" s="2" t="inlineStr"/>
    </row>
    <row r="13309" ht="15" customHeight="1">
      <c r="A13309" t="inlineStr">
        <is>
          <t>A 25486-2025</t>
        </is>
      </c>
      <c r="B13309" s="1" t="n">
        <v>45803.25846064815</v>
      </c>
      <c r="C13309" s="1" t="n">
        <v>45952</v>
      </c>
      <c r="D13309" t="inlineStr">
        <is>
          <t>VÄSTRA GÖTALANDS LÄN</t>
        </is>
      </c>
      <c r="E13309" t="inlineStr">
        <is>
          <t>SVENLJUNGA</t>
        </is>
      </c>
      <c r="G13309" t="n">
        <v>1.3</v>
      </c>
      <c r="H13309" t="n">
        <v>0</v>
      </c>
      <c r="I13309" t="n">
        <v>0</v>
      </c>
      <c r="J13309" t="n">
        <v>0</v>
      </c>
      <c r="K13309" t="n">
        <v>0</v>
      </c>
      <c r="L13309" t="n">
        <v>0</v>
      </c>
      <c r="M13309" t="n">
        <v>0</v>
      </c>
      <c r="N13309" t="n">
        <v>0</v>
      </c>
      <c r="O13309" t="n">
        <v>0</v>
      </c>
      <c r="P13309" t="n">
        <v>0</v>
      </c>
      <c r="Q13309" t="n">
        <v>0</v>
      </c>
      <c r="R13309" s="2" t="inlineStr"/>
    </row>
    <row r="13310" ht="15" customHeight="1">
      <c r="A13310" t="inlineStr">
        <is>
          <t>A 12138-2023</t>
        </is>
      </c>
      <c r="B13310" s="1" t="n">
        <v>44998.46474537037</v>
      </c>
      <c r="C13310" s="1" t="n">
        <v>45952</v>
      </c>
      <c r="D13310" t="inlineStr">
        <is>
          <t>VÄSTRA GÖTALANDS LÄN</t>
        </is>
      </c>
      <c r="E13310" t="inlineStr">
        <is>
          <t>MARK</t>
        </is>
      </c>
      <c r="G13310" t="n">
        <v>0.6</v>
      </c>
      <c r="H13310" t="n">
        <v>0</v>
      </c>
      <c r="I13310" t="n">
        <v>0</v>
      </c>
      <c r="J13310" t="n">
        <v>0</v>
      </c>
      <c r="K13310" t="n">
        <v>0</v>
      </c>
      <c r="L13310" t="n">
        <v>0</v>
      </c>
      <c r="M13310" t="n">
        <v>0</v>
      </c>
      <c r="N13310" t="n">
        <v>0</v>
      </c>
      <c r="O13310" t="n">
        <v>0</v>
      </c>
      <c r="P13310" t="n">
        <v>0</v>
      </c>
      <c r="Q13310" t="n">
        <v>0</v>
      </c>
      <c r="R13310" s="2" t="inlineStr"/>
    </row>
    <row r="13311" ht="15" customHeight="1">
      <c r="A13311" t="inlineStr">
        <is>
          <t>A 10524-2024</t>
        </is>
      </c>
      <c r="B13311" s="1" t="n">
        <v>45366.53228009259</v>
      </c>
      <c r="C13311" s="1" t="n">
        <v>45952</v>
      </c>
      <c r="D13311" t="inlineStr">
        <is>
          <t>VÄSTRA GÖTALANDS LÄN</t>
        </is>
      </c>
      <c r="E13311" t="inlineStr">
        <is>
          <t>LIDKÖPING</t>
        </is>
      </c>
      <c r="G13311" t="n">
        <v>0.6</v>
      </c>
      <c r="H13311" t="n">
        <v>0</v>
      </c>
      <c r="I13311" t="n">
        <v>0</v>
      </c>
      <c r="J13311" t="n">
        <v>0</v>
      </c>
      <c r="K13311" t="n">
        <v>0</v>
      </c>
      <c r="L13311" t="n">
        <v>0</v>
      </c>
      <c r="M13311" t="n">
        <v>0</v>
      </c>
      <c r="N13311" t="n">
        <v>0</v>
      </c>
      <c r="O13311" t="n">
        <v>0</v>
      </c>
      <c r="P13311" t="n">
        <v>0</v>
      </c>
      <c r="Q13311" t="n">
        <v>0</v>
      </c>
      <c r="R13311" s="2" t="inlineStr"/>
    </row>
    <row r="13312" ht="15" customHeight="1">
      <c r="A13312" t="inlineStr">
        <is>
          <t>A 67405-2020</t>
        </is>
      </c>
      <c r="B13312" s="1" t="n">
        <v>44181</v>
      </c>
      <c r="C13312" s="1" t="n">
        <v>45952</v>
      </c>
      <c r="D13312" t="inlineStr">
        <is>
          <t>VÄSTRA GÖTALANDS LÄN</t>
        </is>
      </c>
      <c r="E13312" t="inlineStr">
        <is>
          <t>VARA</t>
        </is>
      </c>
      <c r="G13312" t="n">
        <v>1.5</v>
      </c>
      <c r="H13312" t="n">
        <v>0</v>
      </c>
      <c r="I13312" t="n">
        <v>0</v>
      </c>
      <c r="J13312" t="n">
        <v>0</v>
      </c>
      <c r="K13312" t="n">
        <v>0</v>
      </c>
      <c r="L13312" t="n">
        <v>0</v>
      </c>
      <c r="M13312" t="n">
        <v>0</v>
      </c>
      <c r="N13312" t="n">
        <v>0</v>
      </c>
      <c r="O13312" t="n">
        <v>0</v>
      </c>
      <c r="P13312" t="n">
        <v>0</v>
      </c>
      <c r="Q13312" t="n">
        <v>0</v>
      </c>
      <c r="R13312" s="2" t="inlineStr"/>
    </row>
    <row r="13313" ht="15" customHeight="1">
      <c r="A13313" t="inlineStr">
        <is>
          <t>A 9422-2024</t>
        </is>
      </c>
      <c r="B13313" s="1" t="n">
        <v>45359</v>
      </c>
      <c r="C13313" s="1" t="n">
        <v>45952</v>
      </c>
      <c r="D13313" t="inlineStr">
        <is>
          <t>VÄSTRA GÖTALANDS LÄN</t>
        </is>
      </c>
      <c r="E13313" t="inlineStr">
        <is>
          <t>LIDKÖPING</t>
        </is>
      </c>
      <c r="G13313" t="n">
        <v>1</v>
      </c>
      <c r="H13313" t="n">
        <v>0</v>
      </c>
      <c r="I13313" t="n">
        <v>0</v>
      </c>
      <c r="J13313" t="n">
        <v>0</v>
      </c>
      <c r="K13313" t="n">
        <v>0</v>
      </c>
      <c r="L13313" t="n">
        <v>0</v>
      </c>
      <c r="M13313" t="n">
        <v>0</v>
      </c>
      <c r="N13313" t="n">
        <v>0</v>
      </c>
      <c r="O13313" t="n">
        <v>0</v>
      </c>
      <c r="P13313" t="n">
        <v>0</v>
      </c>
      <c r="Q13313" t="n">
        <v>0</v>
      </c>
      <c r="R13313" s="2" t="inlineStr"/>
    </row>
    <row r="13314" ht="15" customHeight="1">
      <c r="A13314" t="inlineStr">
        <is>
          <t>A 36682-2025</t>
        </is>
      </c>
      <c r="B13314" s="1" t="n">
        <v>45873.40289351852</v>
      </c>
      <c r="C13314" s="1" t="n">
        <v>45952</v>
      </c>
      <c r="D13314" t="inlineStr">
        <is>
          <t>VÄSTRA GÖTALANDS LÄN</t>
        </is>
      </c>
      <c r="E13314" t="inlineStr">
        <is>
          <t>BORÅS</t>
        </is>
      </c>
      <c r="G13314" t="n">
        <v>3.6</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36695-2025</t>
        </is>
      </c>
      <c r="B13315" s="1" t="n">
        <v>45872</v>
      </c>
      <c r="C13315" s="1" t="n">
        <v>45952</v>
      </c>
      <c r="D13315" t="inlineStr">
        <is>
          <t>VÄSTRA GÖTALANDS LÄN</t>
        </is>
      </c>
      <c r="E13315" t="inlineStr">
        <is>
          <t>ORUST</t>
        </is>
      </c>
      <c r="G13315" t="n">
        <v>2.2</v>
      </c>
      <c r="H13315" t="n">
        <v>0</v>
      </c>
      <c r="I13315" t="n">
        <v>0</v>
      </c>
      <c r="J13315" t="n">
        <v>0</v>
      </c>
      <c r="K13315" t="n">
        <v>0</v>
      </c>
      <c r="L13315" t="n">
        <v>0</v>
      </c>
      <c r="M13315" t="n">
        <v>0</v>
      </c>
      <c r="N13315" t="n">
        <v>0</v>
      </c>
      <c r="O13315" t="n">
        <v>0</v>
      </c>
      <c r="P13315" t="n">
        <v>0</v>
      </c>
      <c r="Q13315" t="n">
        <v>0</v>
      </c>
      <c r="R13315" s="2" t="inlineStr"/>
    </row>
    <row r="13316" ht="15" customHeight="1">
      <c r="A13316" t="inlineStr">
        <is>
          <t>A 16223-2025</t>
        </is>
      </c>
      <c r="B13316" s="1" t="n">
        <v>45750.63945601852</v>
      </c>
      <c r="C13316" s="1" t="n">
        <v>45952</v>
      </c>
      <c r="D13316" t="inlineStr">
        <is>
          <t>VÄSTRA GÖTALANDS LÄN</t>
        </is>
      </c>
      <c r="E13316" t="inlineStr">
        <is>
          <t>STRÖMSTAD</t>
        </is>
      </c>
      <c r="G13316" t="n">
        <v>7.2</v>
      </c>
      <c r="H13316" t="n">
        <v>0</v>
      </c>
      <c r="I13316" t="n">
        <v>0</v>
      </c>
      <c r="J13316" t="n">
        <v>0</v>
      </c>
      <c r="K13316" t="n">
        <v>0</v>
      </c>
      <c r="L13316" t="n">
        <v>0</v>
      </c>
      <c r="M13316" t="n">
        <v>0</v>
      </c>
      <c r="N13316" t="n">
        <v>0</v>
      </c>
      <c r="O13316" t="n">
        <v>0</v>
      </c>
      <c r="P13316" t="n">
        <v>0</v>
      </c>
      <c r="Q13316" t="n">
        <v>0</v>
      </c>
      <c r="R13316" s="2" t="inlineStr"/>
    </row>
    <row r="13317" ht="15" customHeight="1">
      <c r="A13317" t="inlineStr">
        <is>
          <t>A 60768-2023</t>
        </is>
      </c>
      <c r="B13317" s="1" t="n">
        <v>45260.62027777778</v>
      </c>
      <c r="C13317" s="1" t="n">
        <v>45952</v>
      </c>
      <c r="D13317" t="inlineStr">
        <is>
          <t>VÄSTRA GÖTALANDS LÄN</t>
        </is>
      </c>
      <c r="E13317" t="inlineStr">
        <is>
          <t>TANUM</t>
        </is>
      </c>
      <c r="G13317" t="n">
        <v>0.9</v>
      </c>
      <c r="H13317" t="n">
        <v>0</v>
      </c>
      <c r="I13317" t="n">
        <v>0</v>
      </c>
      <c r="J13317" t="n">
        <v>0</v>
      </c>
      <c r="K13317" t="n">
        <v>0</v>
      </c>
      <c r="L13317" t="n">
        <v>0</v>
      </c>
      <c r="M13317" t="n">
        <v>0</v>
      </c>
      <c r="N13317" t="n">
        <v>0</v>
      </c>
      <c r="O13317" t="n">
        <v>0</v>
      </c>
      <c r="P13317" t="n">
        <v>0</v>
      </c>
      <c r="Q13317" t="n">
        <v>0</v>
      </c>
      <c r="R13317" s="2" t="inlineStr"/>
    </row>
    <row r="13318" ht="15" customHeight="1">
      <c r="A13318" t="inlineStr">
        <is>
          <t>A 29099-2025</t>
        </is>
      </c>
      <c r="B13318" s="1" t="n">
        <v>45821.56581018519</v>
      </c>
      <c r="C13318" s="1" t="n">
        <v>45952</v>
      </c>
      <c r="D13318" t="inlineStr">
        <is>
          <t>VÄSTRA GÖTALANDS LÄN</t>
        </is>
      </c>
      <c r="E13318" t="inlineStr">
        <is>
          <t>MARK</t>
        </is>
      </c>
      <c r="G13318" t="n">
        <v>1.7</v>
      </c>
      <c r="H13318" t="n">
        <v>0</v>
      </c>
      <c r="I13318" t="n">
        <v>0</v>
      </c>
      <c r="J13318" t="n">
        <v>0</v>
      </c>
      <c r="K13318" t="n">
        <v>0</v>
      </c>
      <c r="L13318" t="n">
        <v>0</v>
      </c>
      <c r="M13318" t="n">
        <v>0</v>
      </c>
      <c r="N13318" t="n">
        <v>0</v>
      </c>
      <c r="O13318" t="n">
        <v>0</v>
      </c>
      <c r="P13318" t="n">
        <v>0</v>
      </c>
      <c r="Q13318" t="n">
        <v>0</v>
      </c>
      <c r="R13318" s="2" t="inlineStr"/>
    </row>
    <row r="13319" ht="15" customHeight="1">
      <c r="A13319" t="inlineStr">
        <is>
          <t>A 6042-2024</t>
        </is>
      </c>
      <c r="B13319" s="1" t="n">
        <v>45336</v>
      </c>
      <c r="C13319" s="1" t="n">
        <v>45952</v>
      </c>
      <c r="D13319" t="inlineStr">
        <is>
          <t>VÄSTRA GÖTALANDS LÄN</t>
        </is>
      </c>
      <c r="E13319" t="inlineStr">
        <is>
          <t>MÖLNDAL</t>
        </is>
      </c>
      <c r="G13319" t="n">
        <v>1.7</v>
      </c>
      <c r="H13319" t="n">
        <v>0</v>
      </c>
      <c r="I13319" t="n">
        <v>0</v>
      </c>
      <c r="J13319" t="n">
        <v>0</v>
      </c>
      <c r="K13319" t="n">
        <v>0</v>
      </c>
      <c r="L13319" t="n">
        <v>0</v>
      </c>
      <c r="M13319" t="n">
        <v>0</v>
      </c>
      <c r="N13319" t="n">
        <v>0</v>
      </c>
      <c r="O13319" t="n">
        <v>0</v>
      </c>
      <c r="P13319" t="n">
        <v>0</v>
      </c>
      <c r="Q13319" t="n">
        <v>0</v>
      </c>
      <c r="R13319" s="2" t="inlineStr"/>
    </row>
    <row r="13320" ht="15" customHeight="1">
      <c r="A13320" t="inlineStr">
        <is>
          <t>A 52027-2024</t>
        </is>
      </c>
      <c r="B13320" s="1" t="n">
        <v>45607.97825231482</v>
      </c>
      <c r="C13320" s="1" t="n">
        <v>45952</v>
      </c>
      <c r="D13320" t="inlineStr">
        <is>
          <t>VÄSTRA GÖTALANDS LÄN</t>
        </is>
      </c>
      <c r="E13320" t="inlineStr">
        <is>
          <t>MARIESTAD</t>
        </is>
      </c>
      <c r="G13320" t="n">
        <v>1.7</v>
      </c>
      <c r="H13320" t="n">
        <v>0</v>
      </c>
      <c r="I13320" t="n">
        <v>0</v>
      </c>
      <c r="J13320" t="n">
        <v>0</v>
      </c>
      <c r="K13320" t="n">
        <v>0</v>
      </c>
      <c r="L13320" t="n">
        <v>0</v>
      </c>
      <c r="M13320" t="n">
        <v>0</v>
      </c>
      <c r="N13320" t="n">
        <v>0</v>
      </c>
      <c r="O13320" t="n">
        <v>0</v>
      </c>
      <c r="P13320" t="n">
        <v>0</v>
      </c>
      <c r="Q13320" t="n">
        <v>0</v>
      </c>
      <c r="R13320" s="2" t="inlineStr"/>
    </row>
    <row r="13321" ht="15" customHeight="1">
      <c r="A13321" t="inlineStr">
        <is>
          <t>A 6517-2022</t>
        </is>
      </c>
      <c r="B13321" s="1" t="n">
        <v>44601.46166666667</v>
      </c>
      <c r="C13321" s="1" t="n">
        <v>45952</v>
      </c>
      <c r="D13321" t="inlineStr">
        <is>
          <t>VÄSTRA GÖTALANDS LÄN</t>
        </is>
      </c>
      <c r="E13321" t="inlineStr">
        <is>
          <t>VARA</t>
        </is>
      </c>
      <c r="G13321" t="n">
        <v>1</v>
      </c>
      <c r="H13321" t="n">
        <v>0</v>
      </c>
      <c r="I13321" t="n">
        <v>0</v>
      </c>
      <c r="J13321" t="n">
        <v>0</v>
      </c>
      <c r="K13321" t="n">
        <v>0</v>
      </c>
      <c r="L13321" t="n">
        <v>0</v>
      </c>
      <c r="M13321" t="n">
        <v>0</v>
      </c>
      <c r="N13321" t="n">
        <v>0</v>
      </c>
      <c r="O13321" t="n">
        <v>0</v>
      </c>
      <c r="P13321" t="n">
        <v>0</v>
      </c>
      <c r="Q13321" t="n">
        <v>0</v>
      </c>
      <c r="R13321" s="2" t="inlineStr"/>
    </row>
    <row r="13322" ht="15" customHeight="1">
      <c r="A13322" t="inlineStr">
        <is>
          <t>A 36635-2025</t>
        </is>
      </c>
      <c r="B13322" s="1" t="n">
        <v>45870.70042824074</v>
      </c>
      <c r="C13322" s="1" t="n">
        <v>45952</v>
      </c>
      <c r="D13322" t="inlineStr">
        <is>
          <t>VÄSTRA GÖTALANDS LÄN</t>
        </is>
      </c>
      <c r="E13322" t="inlineStr">
        <is>
          <t>BORÅS</t>
        </is>
      </c>
      <c r="G13322" t="n">
        <v>1.6</v>
      </c>
      <c r="H13322" t="n">
        <v>0</v>
      </c>
      <c r="I13322" t="n">
        <v>0</v>
      </c>
      <c r="J13322" t="n">
        <v>0</v>
      </c>
      <c r="K13322" t="n">
        <v>0</v>
      </c>
      <c r="L13322" t="n">
        <v>0</v>
      </c>
      <c r="M13322" t="n">
        <v>0</v>
      </c>
      <c r="N13322" t="n">
        <v>0</v>
      </c>
      <c r="O13322" t="n">
        <v>0</v>
      </c>
      <c r="P13322" t="n">
        <v>0</v>
      </c>
      <c r="Q13322" t="n">
        <v>0</v>
      </c>
      <c r="R13322" s="2" t="inlineStr"/>
    </row>
    <row r="13323" ht="15" customHeight="1">
      <c r="A13323" t="inlineStr">
        <is>
          <t>A 36636-2025</t>
        </is>
      </c>
      <c r="B13323" s="1" t="n">
        <v>45870.70177083334</v>
      </c>
      <c r="C13323" s="1" t="n">
        <v>45952</v>
      </c>
      <c r="D13323" t="inlineStr">
        <is>
          <t>VÄSTRA GÖTALANDS LÄN</t>
        </is>
      </c>
      <c r="E13323" t="inlineStr">
        <is>
          <t>BORÅS</t>
        </is>
      </c>
      <c r="G13323" t="n">
        <v>0.9</v>
      </c>
      <c r="H13323" t="n">
        <v>0</v>
      </c>
      <c r="I13323" t="n">
        <v>0</v>
      </c>
      <c r="J13323" t="n">
        <v>0</v>
      </c>
      <c r="K13323" t="n">
        <v>0</v>
      </c>
      <c r="L13323" t="n">
        <v>0</v>
      </c>
      <c r="M13323" t="n">
        <v>0</v>
      </c>
      <c r="N13323" t="n">
        <v>0</v>
      </c>
      <c r="O13323" t="n">
        <v>0</v>
      </c>
      <c r="P13323" t="n">
        <v>0</v>
      </c>
      <c r="Q13323" t="n">
        <v>0</v>
      </c>
      <c r="R13323" s="2" t="inlineStr"/>
    </row>
    <row r="13324" ht="15" customHeight="1">
      <c r="A13324" t="inlineStr">
        <is>
          <t>A 34133-2022</t>
        </is>
      </c>
      <c r="B13324" s="1" t="n">
        <v>44791.52582175926</v>
      </c>
      <c r="C13324" s="1" t="n">
        <v>45952</v>
      </c>
      <c r="D13324" t="inlineStr">
        <is>
          <t>VÄSTRA GÖTALANDS LÄN</t>
        </is>
      </c>
      <c r="E13324" t="inlineStr">
        <is>
          <t>VÅRGÅRDA</t>
        </is>
      </c>
      <c r="G13324" t="n">
        <v>3.8</v>
      </c>
      <c r="H13324" t="n">
        <v>0</v>
      </c>
      <c r="I13324" t="n">
        <v>0</v>
      </c>
      <c r="J13324" t="n">
        <v>0</v>
      </c>
      <c r="K13324" t="n">
        <v>0</v>
      </c>
      <c r="L13324" t="n">
        <v>0</v>
      </c>
      <c r="M13324" t="n">
        <v>0</v>
      </c>
      <c r="N13324" t="n">
        <v>0</v>
      </c>
      <c r="O13324" t="n">
        <v>0</v>
      </c>
      <c r="P13324" t="n">
        <v>0</v>
      </c>
      <c r="Q13324" t="n">
        <v>0</v>
      </c>
      <c r="R13324" s="2" t="inlineStr"/>
    </row>
    <row r="13325" ht="15" customHeight="1">
      <c r="A13325" t="inlineStr">
        <is>
          <t>A 61213-2022</t>
        </is>
      </c>
      <c r="B13325" s="1" t="n">
        <v>44908</v>
      </c>
      <c r="C13325" s="1" t="n">
        <v>45952</v>
      </c>
      <c r="D13325" t="inlineStr">
        <is>
          <t>VÄSTRA GÖTALANDS LÄN</t>
        </is>
      </c>
      <c r="E13325" t="inlineStr">
        <is>
          <t>TANUM</t>
        </is>
      </c>
      <c r="G13325" t="n">
        <v>8.199999999999999</v>
      </c>
      <c r="H13325" t="n">
        <v>0</v>
      </c>
      <c r="I13325" t="n">
        <v>0</v>
      </c>
      <c r="J13325" t="n">
        <v>0</v>
      </c>
      <c r="K13325" t="n">
        <v>0</v>
      </c>
      <c r="L13325" t="n">
        <v>0</v>
      </c>
      <c r="M13325" t="n">
        <v>0</v>
      </c>
      <c r="N13325" t="n">
        <v>0</v>
      </c>
      <c r="O13325" t="n">
        <v>0</v>
      </c>
      <c r="P13325" t="n">
        <v>0</v>
      </c>
      <c r="Q13325" t="n">
        <v>0</v>
      </c>
      <c r="R13325" s="2" t="inlineStr"/>
    </row>
    <row r="13326" ht="15" customHeight="1">
      <c r="A13326" t="inlineStr">
        <is>
          <t>A 36605-2025</t>
        </is>
      </c>
      <c r="B13326" s="1" t="n">
        <v>45870</v>
      </c>
      <c r="C13326" s="1" t="n">
        <v>45952</v>
      </c>
      <c r="D13326" t="inlineStr">
        <is>
          <t>VÄSTRA GÖTALANDS LÄN</t>
        </is>
      </c>
      <c r="E13326" t="inlineStr">
        <is>
          <t>BORÅS</t>
        </is>
      </c>
      <c r="G13326" t="n">
        <v>0.7</v>
      </c>
      <c r="H13326" t="n">
        <v>0</v>
      </c>
      <c r="I13326" t="n">
        <v>0</v>
      </c>
      <c r="J13326" t="n">
        <v>0</v>
      </c>
      <c r="K13326" t="n">
        <v>0</v>
      </c>
      <c r="L13326" t="n">
        <v>0</v>
      </c>
      <c r="M13326" t="n">
        <v>0</v>
      </c>
      <c r="N13326" t="n">
        <v>0</v>
      </c>
      <c r="O13326" t="n">
        <v>0</v>
      </c>
      <c r="P13326" t="n">
        <v>0</v>
      </c>
      <c r="Q13326" t="n">
        <v>0</v>
      </c>
      <c r="R13326" s="2" t="inlineStr"/>
    </row>
    <row r="13327" ht="15" customHeight="1">
      <c r="A13327" t="inlineStr">
        <is>
          <t>A 36627-2025</t>
        </is>
      </c>
      <c r="B13327" s="1" t="n">
        <v>45870</v>
      </c>
      <c r="C13327" s="1" t="n">
        <v>45952</v>
      </c>
      <c r="D13327" t="inlineStr">
        <is>
          <t>VÄSTRA GÖTALANDS LÄN</t>
        </is>
      </c>
      <c r="E13327" t="inlineStr">
        <is>
          <t>VARA</t>
        </is>
      </c>
      <c r="G13327" t="n">
        <v>3.6</v>
      </c>
      <c r="H13327" t="n">
        <v>0</v>
      </c>
      <c r="I13327" t="n">
        <v>0</v>
      </c>
      <c r="J13327" t="n">
        <v>0</v>
      </c>
      <c r="K13327" t="n">
        <v>0</v>
      </c>
      <c r="L13327" t="n">
        <v>0</v>
      </c>
      <c r="M13327" t="n">
        <v>0</v>
      </c>
      <c r="N13327" t="n">
        <v>0</v>
      </c>
      <c r="O13327" t="n">
        <v>0</v>
      </c>
      <c r="P13327" t="n">
        <v>0</v>
      </c>
      <c r="Q13327" t="n">
        <v>0</v>
      </c>
      <c r="R13327" s="2" t="inlineStr"/>
    </row>
    <row r="13328" ht="15" customHeight="1">
      <c r="A13328" t="inlineStr">
        <is>
          <t>A 36628-2025</t>
        </is>
      </c>
      <c r="B13328" s="1" t="n">
        <v>45870</v>
      </c>
      <c r="C13328" s="1" t="n">
        <v>45952</v>
      </c>
      <c r="D13328" t="inlineStr">
        <is>
          <t>VÄSTRA GÖTALANDS LÄN</t>
        </is>
      </c>
      <c r="E13328" t="inlineStr">
        <is>
          <t>FALKÖPING</t>
        </is>
      </c>
      <c r="G13328" t="n">
        <v>1.8</v>
      </c>
      <c r="H13328" t="n">
        <v>0</v>
      </c>
      <c r="I13328" t="n">
        <v>0</v>
      </c>
      <c r="J13328" t="n">
        <v>0</v>
      </c>
      <c r="K13328" t="n">
        <v>0</v>
      </c>
      <c r="L13328" t="n">
        <v>0</v>
      </c>
      <c r="M13328" t="n">
        <v>0</v>
      </c>
      <c r="N13328" t="n">
        <v>0</v>
      </c>
      <c r="O13328" t="n">
        <v>0</v>
      </c>
      <c r="P13328" t="n">
        <v>0</v>
      </c>
      <c r="Q13328" t="n">
        <v>0</v>
      </c>
      <c r="R13328" s="2" t="inlineStr"/>
    </row>
    <row r="13329" ht="15" customHeight="1">
      <c r="A13329" t="inlineStr">
        <is>
          <t>A 36630-2025</t>
        </is>
      </c>
      <c r="B13329" s="1" t="n">
        <v>45870</v>
      </c>
      <c r="C13329" s="1" t="n">
        <v>45952</v>
      </c>
      <c r="D13329" t="inlineStr">
        <is>
          <t>VÄSTRA GÖTALANDS LÄN</t>
        </is>
      </c>
      <c r="E13329" t="inlineStr">
        <is>
          <t>VARA</t>
        </is>
      </c>
      <c r="G13329" t="n">
        <v>0.7</v>
      </c>
      <c r="H13329" t="n">
        <v>0</v>
      </c>
      <c r="I13329" t="n">
        <v>0</v>
      </c>
      <c r="J13329" t="n">
        <v>0</v>
      </c>
      <c r="K13329" t="n">
        <v>0</v>
      </c>
      <c r="L13329" t="n">
        <v>0</v>
      </c>
      <c r="M13329" t="n">
        <v>0</v>
      </c>
      <c r="N13329" t="n">
        <v>0</v>
      </c>
      <c r="O13329" t="n">
        <v>0</v>
      </c>
      <c r="P13329" t="n">
        <v>0</v>
      </c>
      <c r="Q13329" t="n">
        <v>0</v>
      </c>
      <c r="R13329" s="2" t="inlineStr"/>
    </row>
    <row r="13330" ht="15" customHeight="1">
      <c r="A13330" t="inlineStr">
        <is>
          <t>A 36632-2025</t>
        </is>
      </c>
      <c r="B13330" s="1" t="n">
        <v>45870</v>
      </c>
      <c r="C13330" s="1" t="n">
        <v>45952</v>
      </c>
      <c r="D13330" t="inlineStr">
        <is>
          <t>VÄSTRA GÖTALANDS LÄN</t>
        </is>
      </c>
      <c r="E13330" t="inlineStr">
        <is>
          <t>VARA</t>
        </is>
      </c>
      <c r="G13330" t="n">
        <v>1.1</v>
      </c>
      <c r="H13330" t="n">
        <v>0</v>
      </c>
      <c r="I13330" t="n">
        <v>0</v>
      </c>
      <c r="J13330" t="n">
        <v>0</v>
      </c>
      <c r="K13330" t="n">
        <v>0</v>
      </c>
      <c r="L13330" t="n">
        <v>0</v>
      </c>
      <c r="M13330" t="n">
        <v>0</v>
      </c>
      <c r="N13330" t="n">
        <v>0</v>
      </c>
      <c r="O13330" t="n">
        <v>0</v>
      </c>
      <c r="P13330" t="n">
        <v>0</v>
      </c>
      <c r="Q13330" t="n">
        <v>0</v>
      </c>
      <c r="R13330" s="2" t="inlineStr"/>
    </row>
    <row r="13331" ht="15" customHeight="1">
      <c r="A13331" t="inlineStr">
        <is>
          <t>A 36650-2025</t>
        </is>
      </c>
      <c r="B13331" s="1" t="n">
        <v>45872.58658564815</v>
      </c>
      <c r="C13331" s="1" t="n">
        <v>45952</v>
      </c>
      <c r="D13331" t="inlineStr">
        <is>
          <t>VÄSTRA GÖTALANDS LÄN</t>
        </is>
      </c>
      <c r="E13331" t="inlineStr">
        <is>
          <t>BOLLEBYGD</t>
        </is>
      </c>
      <c r="G13331" t="n">
        <v>4.1</v>
      </c>
      <c r="H13331" t="n">
        <v>0</v>
      </c>
      <c r="I13331" t="n">
        <v>0</v>
      </c>
      <c r="J13331" t="n">
        <v>0</v>
      </c>
      <c r="K13331" t="n">
        <v>0</v>
      </c>
      <c r="L13331" t="n">
        <v>0</v>
      </c>
      <c r="M13331" t="n">
        <v>0</v>
      </c>
      <c r="N13331" t="n">
        <v>0</v>
      </c>
      <c r="O13331" t="n">
        <v>0</v>
      </c>
      <c r="P13331" t="n">
        <v>0</v>
      </c>
      <c r="Q13331" t="n">
        <v>0</v>
      </c>
      <c r="R13331" s="2" t="inlineStr"/>
    </row>
    <row r="13332" ht="15" customHeight="1">
      <c r="A13332" t="inlineStr">
        <is>
          <t>A 37625-2024</t>
        </is>
      </c>
      <c r="B13332" s="1" t="n">
        <v>45541.51965277778</v>
      </c>
      <c r="C13332" s="1" t="n">
        <v>45952</v>
      </c>
      <c r="D13332" t="inlineStr">
        <is>
          <t>VÄSTRA GÖTALANDS LÄN</t>
        </is>
      </c>
      <c r="E13332" t="inlineStr">
        <is>
          <t>ESSUNGA</t>
        </is>
      </c>
      <c r="G13332" t="n">
        <v>1.2</v>
      </c>
      <c r="H13332" t="n">
        <v>0</v>
      </c>
      <c r="I13332" t="n">
        <v>0</v>
      </c>
      <c r="J13332" t="n">
        <v>0</v>
      </c>
      <c r="K13332" t="n">
        <v>0</v>
      </c>
      <c r="L13332" t="n">
        <v>0</v>
      </c>
      <c r="M13332" t="n">
        <v>0</v>
      </c>
      <c r="N13332" t="n">
        <v>0</v>
      </c>
      <c r="O13332" t="n">
        <v>0</v>
      </c>
      <c r="P13332" t="n">
        <v>0</v>
      </c>
      <c r="Q13332" t="n">
        <v>0</v>
      </c>
      <c r="R13332" s="2" t="inlineStr"/>
    </row>
    <row r="13333" ht="15" customHeight="1">
      <c r="A13333" t="inlineStr">
        <is>
          <t>A 3795-2024</t>
        </is>
      </c>
      <c r="B13333" s="1" t="n">
        <v>45321.62364583334</v>
      </c>
      <c r="C13333" s="1" t="n">
        <v>45952</v>
      </c>
      <c r="D13333" t="inlineStr">
        <is>
          <t>VÄSTRA GÖTALANDS LÄN</t>
        </is>
      </c>
      <c r="E13333" t="inlineStr">
        <is>
          <t>TROLLHÄTTAN</t>
        </is>
      </c>
      <c r="G13333" t="n">
        <v>1.4</v>
      </c>
      <c r="H13333" t="n">
        <v>0</v>
      </c>
      <c r="I13333" t="n">
        <v>0</v>
      </c>
      <c r="J13333" t="n">
        <v>0</v>
      </c>
      <c r="K13333" t="n">
        <v>0</v>
      </c>
      <c r="L13333" t="n">
        <v>0</v>
      </c>
      <c r="M13333" t="n">
        <v>0</v>
      </c>
      <c r="N13333" t="n">
        <v>0</v>
      </c>
      <c r="O13333" t="n">
        <v>0</v>
      </c>
      <c r="P13333" t="n">
        <v>0</v>
      </c>
      <c r="Q13333" t="n">
        <v>0</v>
      </c>
      <c r="R13333" s="2" t="inlineStr"/>
    </row>
    <row r="13334" ht="15" customHeight="1">
      <c r="A13334" t="inlineStr">
        <is>
          <t>A 44240-2025</t>
        </is>
      </c>
      <c r="B13334" s="1" t="n">
        <v>45915.67596064815</v>
      </c>
      <c r="C13334" s="1" t="n">
        <v>45952</v>
      </c>
      <c r="D13334" t="inlineStr">
        <is>
          <t>VÄSTRA GÖTALANDS LÄN</t>
        </is>
      </c>
      <c r="E13334" t="inlineStr">
        <is>
          <t>VARA</t>
        </is>
      </c>
      <c r="G13334" t="n">
        <v>2.2</v>
      </c>
      <c r="H13334" t="n">
        <v>0</v>
      </c>
      <c r="I13334" t="n">
        <v>0</v>
      </c>
      <c r="J13334" t="n">
        <v>0</v>
      </c>
      <c r="K13334" t="n">
        <v>0</v>
      </c>
      <c r="L13334" t="n">
        <v>0</v>
      </c>
      <c r="M13334" t="n">
        <v>0</v>
      </c>
      <c r="N13334" t="n">
        <v>0</v>
      </c>
      <c r="O13334" t="n">
        <v>0</v>
      </c>
      <c r="P13334" t="n">
        <v>0</v>
      </c>
      <c r="Q13334" t="n">
        <v>0</v>
      </c>
      <c r="R13334" s="2" t="inlineStr"/>
    </row>
    <row r="13335" ht="15" customHeight="1">
      <c r="A13335" t="inlineStr">
        <is>
          <t>A 43684-2025</t>
        </is>
      </c>
      <c r="B13335" s="1" t="n">
        <v>45912.37804398148</v>
      </c>
      <c r="C13335" s="1" t="n">
        <v>45952</v>
      </c>
      <c r="D13335" t="inlineStr">
        <is>
          <t>VÄSTRA GÖTALANDS LÄN</t>
        </is>
      </c>
      <c r="E13335" t="inlineStr">
        <is>
          <t>LILLA EDET</t>
        </is>
      </c>
      <c r="G13335" t="n">
        <v>1.6</v>
      </c>
      <c r="H13335" t="n">
        <v>0</v>
      </c>
      <c r="I13335" t="n">
        <v>0</v>
      </c>
      <c r="J13335" t="n">
        <v>0</v>
      </c>
      <c r="K13335" t="n">
        <v>0</v>
      </c>
      <c r="L13335" t="n">
        <v>0</v>
      </c>
      <c r="M13335" t="n">
        <v>0</v>
      </c>
      <c r="N13335" t="n">
        <v>0</v>
      </c>
      <c r="O13335" t="n">
        <v>0</v>
      </c>
      <c r="P13335" t="n">
        <v>0</v>
      </c>
      <c r="Q13335" t="n">
        <v>0</v>
      </c>
      <c r="R13335" s="2" t="inlineStr"/>
    </row>
    <row r="13336" ht="15" customHeight="1">
      <c r="A13336" t="inlineStr">
        <is>
          <t>A 43688-2025</t>
        </is>
      </c>
      <c r="B13336" s="1" t="n">
        <v>45912</v>
      </c>
      <c r="C13336" s="1" t="n">
        <v>45952</v>
      </c>
      <c r="D13336" t="inlineStr">
        <is>
          <t>VÄSTRA GÖTALANDS LÄN</t>
        </is>
      </c>
      <c r="E13336" t="inlineStr">
        <is>
          <t>TÖREBODA</t>
        </is>
      </c>
      <c r="G13336" t="n">
        <v>3.8</v>
      </c>
      <c r="H13336" t="n">
        <v>0</v>
      </c>
      <c r="I13336" t="n">
        <v>0</v>
      </c>
      <c r="J13336" t="n">
        <v>0</v>
      </c>
      <c r="K13336" t="n">
        <v>0</v>
      </c>
      <c r="L13336" t="n">
        <v>0</v>
      </c>
      <c r="M13336" t="n">
        <v>0</v>
      </c>
      <c r="N13336" t="n">
        <v>0</v>
      </c>
      <c r="O13336" t="n">
        <v>0</v>
      </c>
      <c r="P13336" t="n">
        <v>0</v>
      </c>
      <c r="Q13336" t="n">
        <v>0</v>
      </c>
      <c r="R13336" s="2" t="inlineStr"/>
    </row>
    <row r="13337" ht="15" customHeight="1">
      <c r="A13337" t="inlineStr">
        <is>
          <t>A 43438-2021</t>
        </is>
      </c>
      <c r="B13337" s="1" t="n">
        <v>44432.6599537037</v>
      </c>
      <c r="C13337" s="1" t="n">
        <v>45952</v>
      </c>
      <c r="D13337" t="inlineStr">
        <is>
          <t>VÄSTRA GÖTALANDS LÄN</t>
        </is>
      </c>
      <c r="E13337" t="inlineStr">
        <is>
          <t>MUNKEDAL</t>
        </is>
      </c>
      <c r="G13337" t="n">
        <v>1</v>
      </c>
      <c r="H13337" t="n">
        <v>0</v>
      </c>
      <c r="I13337" t="n">
        <v>0</v>
      </c>
      <c r="J13337" t="n">
        <v>0</v>
      </c>
      <c r="K13337" t="n">
        <v>0</v>
      </c>
      <c r="L13337" t="n">
        <v>0</v>
      </c>
      <c r="M13337" t="n">
        <v>0</v>
      </c>
      <c r="N13337" t="n">
        <v>0</v>
      </c>
      <c r="O13337" t="n">
        <v>0</v>
      </c>
      <c r="P13337" t="n">
        <v>0</v>
      </c>
      <c r="Q13337" t="n">
        <v>0</v>
      </c>
      <c r="R13337" s="2" t="inlineStr"/>
    </row>
    <row r="13338" ht="15" customHeight="1">
      <c r="A13338" t="inlineStr">
        <is>
          <t>A 43547-2021</t>
        </is>
      </c>
      <c r="B13338" s="1" t="n">
        <v>44432</v>
      </c>
      <c r="C13338" s="1" t="n">
        <v>45952</v>
      </c>
      <c r="D13338" t="inlineStr">
        <is>
          <t>VÄSTRA GÖTALANDS LÄN</t>
        </is>
      </c>
      <c r="E13338" t="inlineStr">
        <is>
          <t>MUNKEDAL</t>
        </is>
      </c>
      <c r="F13338" t="inlineStr">
        <is>
          <t>Övriga Aktiebolag</t>
        </is>
      </c>
      <c r="G13338" t="n">
        <v>1</v>
      </c>
      <c r="H13338" t="n">
        <v>0</v>
      </c>
      <c r="I13338" t="n">
        <v>0</v>
      </c>
      <c r="J13338" t="n">
        <v>0</v>
      </c>
      <c r="K13338" t="n">
        <v>0</v>
      </c>
      <c r="L13338" t="n">
        <v>0</v>
      </c>
      <c r="M13338" t="n">
        <v>0</v>
      </c>
      <c r="N13338" t="n">
        <v>0</v>
      </c>
      <c r="O13338" t="n">
        <v>0</v>
      </c>
      <c r="P13338" t="n">
        <v>0</v>
      </c>
      <c r="Q13338" t="n">
        <v>0</v>
      </c>
      <c r="R13338" s="2" t="inlineStr"/>
    </row>
    <row r="13339" ht="15" customHeight="1">
      <c r="A13339" t="inlineStr">
        <is>
          <t>A 55391-2023</t>
        </is>
      </c>
      <c r="B13339" s="1" t="n">
        <v>45238.37284722222</v>
      </c>
      <c r="C13339" s="1" t="n">
        <v>45952</v>
      </c>
      <c r="D13339" t="inlineStr">
        <is>
          <t>VÄSTRA GÖTALANDS LÄN</t>
        </is>
      </c>
      <c r="E13339" t="inlineStr">
        <is>
          <t>MELLERUD</t>
        </is>
      </c>
      <c r="G13339" t="n">
        <v>0.7</v>
      </c>
      <c r="H13339" t="n">
        <v>0</v>
      </c>
      <c r="I13339" t="n">
        <v>0</v>
      </c>
      <c r="J13339" t="n">
        <v>0</v>
      </c>
      <c r="K13339" t="n">
        <v>0</v>
      </c>
      <c r="L13339" t="n">
        <v>0</v>
      </c>
      <c r="M13339" t="n">
        <v>0</v>
      </c>
      <c r="N13339" t="n">
        <v>0</v>
      </c>
      <c r="O13339" t="n">
        <v>0</v>
      </c>
      <c r="P13339" t="n">
        <v>0</v>
      </c>
      <c r="Q13339" t="n">
        <v>0</v>
      </c>
      <c r="R13339" s="2" t="inlineStr"/>
    </row>
    <row r="13340" ht="15" customHeight="1">
      <c r="A13340" t="inlineStr">
        <is>
          <t>A 44103-2025</t>
        </is>
      </c>
      <c r="B13340" s="1" t="n">
        <v>45915.56835648148</v>
      </c>
      <c r="C13340" s="1" t="n">
        <v>45952</v>
      </c>
      <c r="D13340" t="inlineStr">
        <is>
          <t>VÄSTRA GÖTALANDS LÄN</t>
        </is>
      </c>
      <c r="E13340" t="inlineStr">
        <is>
          <t>ALINGSÅS</t>
        </is>
      </c>
      <c r="G13340" t="n">
        <v>2.4</v>
      </c>
      <c r="H13340" t="n">
        <v>0</v>
      </c>
      <c r="I13340" t="n">
        <v>0</v>
      </c>
      <c r="J13340" t="n">
        <v>0</v>
      </c>
      <c r="K13340" t="n">
        <v>0</v>
      </c>
      <c r="L13340" t="n">
        <v>0</v>
      </c>
      <c r="M13340" t="n">
        <v>0</v>
      </c>
      <c r="N13340" t="n">
        <v>0</v>
      </c>
      <c r="O13340" t="n">
        <v>0</v>
      </c>
      <c r="P13340" t="n">
        <v>0</v>
      </c>
      <c r="Q13340" t="n">
        <v>0</v>
      </c>
      <c r="R13340" s="2" t="inlineStr"/>
    </row>
    <row r="13341" ht="15" customHeight="1">
      <c r="A13341" t="inlineStr">
        <is>
          <t>A 43918-2025</t>
        </is>
      </c>
      <c r="B13341" s="1" t="n">
        <v>45914.9084375</v>
      </c>
      <c r="C13341" s="1" t="n">
        <v>45952</v>
      </c>
      <c r="D13341" t="inlineStr">
        <is>
          <t>VÄSTRA GÖTALANDS LÄN</t>
        </is>
      </c>
      <c r="E13341" t="inlineStr">
        <is>
          <t>BENGTSFORS</t>
        </is>
      </c>
      <c r="G13341" t="n">
        <v>1.2</v>
      </c>
      <c r="H13341" t="n">
        <v>0</v>
      </c>
      <c r="I13341" t="n">
        <v>0</v>
      </c>
      <c r="J13341" t="n">
        <v>0</v>
      </c>
      <c r="K13341" t="n">
        <v>0</v>
      </c>
      <c r="L13341" t="n">
        <v>0</v>
      </c>
      <c r="M13341" t="n">
        <v>0</v>
      </c>
      <c r="N13341" t="n">
        <v>0</v>
      </c>
      <c r="O13341" t="n">
        <v>0</v>
      </c>
      <c r="P13341" t="n">
        <v>0</v>
      </c>
      <c r="Q13341" t="n">
        <v>0</v>
      </c>
      <c r="R13341" s="2" t="inlineStr"/>
    </row>
    <row r="13342" ht="15" customHeight="1">
      <c r="A13342" t="inlineStr">
        <is>
          <t>A 43921-2025</t>
        </is>
      </c>
      <c r="B13342" s="1" t="n">
        <v>45914.94375</v>
      </c>
      <c r="C13342" s="1" t="n">
        <v>45952</v>
      </c>
      <c r="D13342" t="inlineStr">
        <is>
          <t>VÄSTRA GÖTALANDS LÄN</t>
        </is>
      </c>
      <c r="E13342" t="inlineStr">
        <is>
          <t>BENGTSFORS</t>
        </is>
      </c>
      <c r="G13342" t="n">
        <v>0.4</v>
      </c>
      <c r="H13342" t="n">
        <v>0</v>
      </c>
      <c r="I13342" t="n">
        <v>0</v>
      </c>
      <c r="J13342" t="n">
        <v>0</v>
      </c>
      <c r="K13342" t="n">
        <v>0</v>
      </c>
      <c r="L13342" t="n">
        <v>0</v>
      </c>
      <c r="M13342" t="n">
        <v>0</v>
      </c>
      <c r="N13342" t="n">
        <v>0</v>
      </c>
      <c r="O13342" t="n">
        <v>0</v>
      </c>
      <c r="P13342" t="n">
        <v>0</v>
      </c>
      <c r="Q13342" t="n">
        <v>0</v>
      </c>
      <c r="R13342" s="2" t="inlineStr"/>
    </row>
    <row r="13343" ht="15" customHeight="1">
      <c r="A13343" t="inlineStr">
        <is>
          <t>A 36639-2025</t>
        </is>
      </c>
      <c r="B13343" s="1" t="n">
        <v>45870.73174768518</v>
      </c>
      <c r="C13343" s="1" t="n">
        <v>45952</v>
      </c>
      <c r="D13343" t="inlineStr">
        <is>
          <t>VÄSTRA GÖTALANDS LÄN</t>
        </is>
      </c>
      <c r="E13343" t="inlineStr">
        <is>
          <t>VÅRGÅRDA</t>
        </is>
      </c>
      <c r="G13343" t="n">
        <v>0.6</v>
      </c>
      <c r="H13343" t="n">
        <v>0</v>
      </c>
      <c r="I13343" t="n">
        <v>0</v>
      </c>
      <c r="J13343" t="n">
        <v>0</v>
      </c>
      <c r="K13343" t="n">
        <v>0</v>
      </c>
      <c r="L13343" t="n">
        <v>0</v>
      </c>
      <c r="M13343" t="n">
        <v>0</v>
      </c>
      <c r="N13343" t="n">
        <v>0</v>
      </c>
      <c r="O13343" t="n">
        <v>0</v>
      </c>
      <c r="P13343" t="n">
        <v>0</v>
      </c>
      <c r="Q13343" t="n">
        <v>0</v>
      </c>
      <c r="R13343" s="2" t="inlineStr"/>
    </row>
    <row r="13344" ht="15" customHeight="1">
      <c r="A13344" t="inlineStr">
        <is>
          <t>A 36641-2025</t>
        </is>
      </c>
      <c r="B13344" s="1" t="n">
        <v>45871.43119212963</v>
      </c>
      <c r="C13344" s="1" t="n">
        <v>45952</v>
      </c>
      <c r="D13344" t="inlineStr">
        <is>
          <t>VÄSTRA GÖTALANDS LÄN</t>
        </is>
      </c>
      <c r="E13344" t="inlineStr">
        <is>
          <t>VÅRGÅRDA</t>
        </is>
      </c>
      <c r="G13344" t="n">
        <v>1</v>
      </c>
      <c r="H13344" t="n">
        <v>0</v>
      </c>
      <c r="I13344" t="n">
        <v>0</v>
      </c>
      <c r="J13344" t="n">
        <v>0</v>
      </c>
      <c r="K13344" t="n">
        <v>0</v>
      </c>
      <c r="L13344" t="n">
        <v>0</v>
      </c>
      <c r="M13344" t="n">
        <v>0</v>
      </c>
      <c r="N13344" t="n">
        <v>0</v>
      </c>
      <c r="O13344" t="n">
        <v>0</v>
      </c>
      <c r="P13344" t="n">
        <v>0</v>
      </c>
      <c r="Q13344" t="n">
        <v>0</v>
      </c>
      <c r="R13344" s="2" t="inlineStr"/>
    </row>
    <row r="13345" ht="15" customHeight="1">
      <c r="A13345" t="inlineStr">
        <is>
          <t>A 44137-2025</t>
        </is>
      </c>
      <c r="B13345" s="1" t="n">
        <v>45914</v>
      </c>
      <c r="C13345" s="1" t="n">
        <v>45952</v>
      </c>
      <c r="D13345" t="inlineStr">
        <is>
          <t>VÄSTRA GÖTALANDS LÄN</t>
        </is>
      </c>
      <c r="E13345" t="inlineStr">
        <is>
          <t>UDDEVALLA</t>
        </is>
      </c>
      <c r="G13345" t="n">
        <v>1.4</v>
      </c>
      <c r="H13345" t="n">
        <v>0</v>
      </c>
      <c r="I13345" t="n">
        <v>0</v>
      </c>
      <c r="J13345" t="n">
        <v>0</v>
      </c>
      <c r="K13345" t="n">
        <v>0</v>
      </c>
      <c r="L13345" t="n">
        <v>0</v>
      </c>
      <c r="M13345" t="n">
        <v>0</v>
      </c>
      <c r="N13345" t="n">
        <v>0</v>
      </c>
      <c r="O13345" t="n">
        <v>0</v>
      </c>
      <c r="P13345" t="n">
        <v>0</v>
      </c>
      <c r="Q13345" t="n">
        <v>0</v>
      </c>
      <c r="R13345" s="2" t="inlineStr"/>
    </row>
    <row r="13346" ht="15" customHeight="1">
      <c r="A13346" t="inlineStr">
        <is>
          <t>A 48884-2023</t>
        </is>
      </c>
      <c r="B13346" s="1" t="n">
        <v>45209</v>
      </c>
      <c r="C13346" s="1" t="n">
        <v>45952</v>
      </c>
      <c r="D13346" t="inlineStr">
        <is>
          <t>VÄSTRA GÖTALANDS LÄN</t>
        </is>
      </c>
      <c r="E13346" t="inlineStr">
        <is>
          <t>KARLSBORG</t>
        </is>
      </c>
      <c r="G13346" t="n">
        <v>0.3</v>
      </c>
      <c r="H13346" t="n">
        <v>0</v>
      </c>
      <c r="I13346" t="n">
        <v>0</v>
      </c>
      <c r="J13346" t="n">
        <v>0</v>
      </c>
      <c r="K13346" t="n">
        <v>0</v>
      </c>
      <c r="L13346" t="n">
        <v>0</v>
      </c>
      <c r="M13346" t="n">
        <v>0</v>
      </c>
      <c r="N13346" t="n">
        <v>0</v>
      </c>
      <c r="O13346" t="n">
        <v>0</v>
      </c>
      <c r="P13346" t="n">
        <v>0</v>
      </c>
      <c r="Q13346" t="n">
        <v>0</v>
      </c>
      <c r="R13346" s="2" t="inlineStr"/>
    </row>
    <row r="13347" ht="15" customHeight="1">
      <c r="A13347" t="inlineStr">
        <is>
          <t>A 21587-2023</t>
        </is>
      </c>
      <c r="B13347" s="1" t="n">
        <v>45063.60025462963</v>
      </c>
      <c r="C13347" s="1" t="n">
        <v>45952</v>
      </c>
      <c r="D13347" t="inlineStr">
        <is>
          <t>VÄSTRA GÖTALANDS LÄN</t>
        </is>
      </c>
      <c r="E13347" t="inlineStr">
        <is>
          <t>MARK</t>
        </is>
      </c>
      <c r="G13347" t="n">
        <v>10.4</v>
      </c>
      <c r="H13347" t="n">
        <v>0</v>
      </c>
      <c r="I13347" t="n">
        <v>0</v>
      </c>
      <c r="J13347" t="n">
        <v>0</v>
      </c>
      <c r="K13347" t="n">
        <v>0</v>
      </c>
      <c r="L13347" t="n">
        <v>0</v>
      </c>
      <c r="M13347" t="n">
        <v>0</v>
      </c>
      <c r="N13347" t="n">
        <v>0</v>
      </c>
      <c r="O13347" t="n">
        <v>0</v>
      </c>
      <c r="P13347" t="n">
        <v>0</v>
      </c>
      <c r="Q13347" t="n">
        <v>0</v>
      </c>
      <c r="R13347" s="2" t="inlineStr"/>
    </row>
    <row r="13348" ht="15" customHeight="1">
      <c r="A13348" t="inlineStr">
        <is>
          <t>A 43834-2025</t>
        </is>
      </c>
      <c r="B13348" s="1" t="n">
        <v>45912</v>
      </c>
      <c r="C13348" s="1" t="n">
        <v>45952</v>
      </c>
      <c r="D13348" t="inlineStr">
        <is>
          <t>VÄSTRA GÖTALANDS LÄN</t>
        </is>
      </c>
      <c r="E13348" t="inlineStr">
        <is>
          <t>MUNKEDAL</t>
        </is>
      </c>
      <c r="F13348" t="inlineStr">
        <is>
          <t>Övriga Aktiebolag</t>
        </is>
      </c>
      <c r="G13348" t="n">
        <v>7.2</v>
      </c>
      <c r="H13348" t="n">
        <v>0</v>
      </c>
      <c r="I13348" t="n">
        <v>0</v>
      </c>
      <c r="J13348" t="n">
        <v>0</v>
      </c>
      <c r="K13348" t="n">
        <v>0</v>
      </c>
      <c r="L13348" t="n">
        <v>0</v>
      </c>
      <c r="M13348" t="n">
        <v>0</v>
      </c>
      <c r="N13348" t="n">
        <v>0</v>
      </c>
      <c r="O13348" t="n">
        <v>0</v>
      </c>
      <c r="P13348" t="n">
        <v>0</v>
      </c>
      <c r="Q13348" t="n">
        <v>0</v>
      </c>
      <c r="R13348" s="2" t="inlineStr"/>
    </row>
    <row r="13349" ht="15" customHeight="1">
      <c r="A13349" t="inlineStr">
        <is>
          <t>A 36665-2025</t>
        </is>
      </c>
      <c r="B13349" s="1" t="n">
        <v>45873</v>
      </c>
      <c r="C13349" s="1" t="n">
        <v>45952</v>
      </c>
      <c r="D13349" t="inlineStr">
        <is>
          <t>VÄSTRA GÖTALANDS LÄN</t>
        </is>
      </c>
      <c r="E13349" t="inlineStr">
        <is>
          <t>FALKÖPING</t>
        </is>
      </c>
      <c r="G13349" t="n">
        <v>1.2</v>
      </c>
      <c r="H13349" t="n">
        <v>0</v>
      </c>
      <c r="I13349" t="n">
        <v>0</v>
      </c>
      <c r="J13349" t="n">
        <v>0</v>
      </c>
      <c r="K13349" t="n">
        <v>0</v>
      </c>
      <c r="L13349" t="n">
        <v>0</v>
      </c>
      <c r="M13349" t="n">
        <v>0</v>
      </c>
      <c r="N13349" t="n">
        <v>0</v>
      </c>
      <c r="O13349" t="n">
        <v>0</v>
      </c>
      <c r="P13349" t="n">
        <v>0</v>
      </c>
      <c r="Q13349" t="n">
        <v>0</v>
      </c>
      <c r="R13349" s="2" t="inlineStr"/>
    </row>
    <row r="13350" ht="15" customHeight="1">
      <c r="A13350" t="inlineStr">
        <is>
          <t>A 36719-2025</t>
        </is>
      </c>
      <c r="B13350" s="1" t="n">
        <v>45872</v>
      </c>
      <c r="C13350" s="1" t="n">
        <v>45952</v>
      </c>
      <c r="D13350" t="inlineStr">
        <is>
          <t>VÄSTRA GÖTALANDS LÄN</t>
        </is>
      </c>
      <c r="E13350" t="inlineStr">
        <is>
          <t>ORUST</t>
        </is>
      </c>
      <c r="G13350" t="n">
        <v>0.7</v>
      </c>
      <c r="H13350" t="n">
        <v>0</v>
      </c>
      <c r="I13350" t="n">
        <v>0</v>
      </c>
      <c r="J13350" t="n">
        <v>0</v>
      </c>
      <c r="K13350" t="n">
        <v>0</v>
      </c>
      <c r="L13350" t="n">
        <v>0</v>
      </c>
      <c r="M13350" t="n">
        <v>0</v>
      </c>
      <c r="N13350" t="n">
        <v>0</v>
      </c>
      <c r="O13350" t="n">
        <v>0</v>
      </c>
      <c r="P13350" t="n">
        <v>0</v>
      </c>
      <c r="Q13350" t="n">
        <v>0</v>
      </c>
      <c r="R13350" s="2" t="inlineStr"/>
    </row>
    <row r="13351" ht="15" customHeight="1">
      <c r="A13351" t="inlineStr">
        <is>
          <t>A 36738-2025</t>
        </is>
      </c>
      <c r="B13351" s="1" t="n">
        <v>45873.53010416667</v>
      </c>
      <c r="C13351" s="1" t="n">
        <v>45952</v>
      </c>
      <c r="D13351" t="inlineStr">
        <is>
          <t>VÄSTRA GÖTALANDS LÄN</t>
        </is>
      </c>
      <c r="E13351" t="inlineStr">
        <is>
          <t>MARIESTAD</t>
        </is>
      </c>
      <c r="G13351" t="n">
        <v>2</v>
      </c>
      <c r="H13351" t="n">
        <v>0</v>
      </c>
      <c r="I13351" t="n">
        <v>0</v>
      </c>
      <c r="J13351" t="n">
        <v>0</v>
      </c>
      <c r="K13351" t="n">
        <v>0</v>
      </c>
      <c r="L13351" t="n">
        <v>0</v>
      </c>
      <c r="M13351" t="n">
        <v>0</v>
      </c>
      <c r="N13351" t="n">
        <v>0</v>
      </c>
      <c r="O13351" t="n">
        <v>0</v>
      </c>
      <c r="P13351" t="n">
        <v>0</v>
      </c>
      <c r="Q13351" t="n">
        <v>0</v>
      </c>
      <c r="R13351" s="2" t="inlineStr"/>
    </row>
    <row r="13352" ht="15" customHeight="1">
      <c r="A13352" t="inlineStr">
        <is>
          <t>A 36803-2025</t>
        </is>
      </c>
      <c r="B13352" s="1" t="n">
        <v>45873.6764699074</v>
      </c>
      <c r="C13352" s="1" t="n">
        <v>45952</v>
      </c>
      <c r="D13352" t="inlineStr">
        <is>
          <t>VÄSTRA GÖTALANDS LÄN</t>
        </is>
      </c>
      <c r="E13352" t="inlineStr">
        <is>
          <t>MARK</t>
        </is>
      </c>
      <c r="G13352" t="n">
        <v>6.2</v>
      </c>
      <c r="H13352" t="n">
        <v>0</v>
      </c>
      <c r="I13352" t="n">
        <v>0</v>
      </c>
      <c r="J13352" t="n">
        <v>0</v>
      </c>
      <c r="K13352" t="n">
        <v>0</v>
      </c>
      <c r="L13352" t="n">
        <v>0</v>
      </c>
      <c r="M13352" t="n">
        <v>0</v>
      </c>
      <c r="N13352" t="n">
        <v>0</v>
      </c>
      <c r="O13352" t="n">
        <v>0</v>
      </c>
      <c r="P13352" t="n">
        <v>0</v>
      </c>
      <c r="Q13352" t="n">
        <v>0</v>
      </c>
      <c r="R13352" s="2" t="inlineStr"/>
    </row>
    <row r="13353" ht="15" customHeight="1">
      <c r="A13353" t="inlineStr">
        <is>
          <t>A 16538-2023</t>
        </is>
      </c>
      <c r="B13353" s="1" t="n">
        <v>45029</v>
      </c>
      <c r="C13353" s="1" t="n">
        <v>45952</v>
      </c>
      <c r="D13353" t="inlineStr">
        <is>
          <t>VÄSTRA GÖTALANDS LÄN</t>
        </is>
      </c>
      <c r="E13353" t="inlineStr">
        <is>
          <t>MARK</t>
        </is>
      </c>
      <c r="G13353" t="n">
        <v>1.1</v>
      </c>
      <c r="H13353" t="n">
        <v>0</v>
      </c>
      <c r="I13353" t="n">
        <v>0</v>
      </c>
      <c r="J13353" t="n">
        <v>0</v>
      </c>
      <c r="K13353" t="n">
        <v>0</v>
      </c>
      <c r="L13353" t="n">
        <v>0</v>
      </c>
      <c r="M13353" t="n">
        <v>0</v>
      </c>
      <c r="N13353" t="n">
        <v>0</v>
      </c>
      <c r="O13353" t="n">
        <v>0</v>
      </c>
      <c r="P13353" t="n">
        <v>0</v>
      </c>
      <c r="Q13353" t="n">
        <v>0</v>
      </c>
      <c r="R13353" s="2" t="inlineStr"/>
    </row>
    <row r="13354" ht="15" customHeight="1">
      <c r="A13354" t="inlineStr">
        <is>
          <t>A 16539-2023</t>
        </is>
      </c>
      <c r="B13354" s="1" t="n">
        <v>45029</v>
      </c>
      <c r="C13354" s="1" t="n">
        <v>45952</v>
      </c>
      <c r="D13354" t="inlineStr">
        <is>
          <t>VÄSTRA GÖTALANDS LÄN</t>
        </is>
      </c>
      <c r="E13354" t="inlineStr">
        <is>
          <t>MARK</t>
        </is>
      </c>
      <c r="G13354" t="n">
        <v>2</v>
      </c>
      <c r="H13354" t="n">
        <v>0</v>
      </c>
      <c r="I13354" t="n">
        <v>0</v>
      </c>
      <c r="J13354" t="n">
        <v>0</v>
      </c>
      <c r="K13354" t="n">
        <v>0</v>
      </c>
      <c r="L13354" t="n">
        <v>0</v>
      </c>
      <c r="M13354" t="n">
        <v>0</v>
      </c>
      <c r="N13354" t="n">
        <v>0</v>
      </c>
      <c r="O13354" t="n">
        <v>0</v>
      </c>
      <c r="P13354" t="n">
        <v>0</v>
      </c>
      <c r="Q13354" t="n">
        <v>0</v>
      </c>
      <c r="R13354" s="2" t="inlineStr"/>
    </row>
    <row r="13355" ht="15" customHeight="1">
      <c r="A13355" t="inlineStr">
        <is>
          <t>A 4306-2024</t>
        </is>
      </c>
      <c r="B13355" s="1" t="n">
        <v>45324.63686342593</v>
      </c>
      <c r="C13355" s="1" t="n">
        <v>45952</v>
      </c>
      <c r="D13355" t="inlineStr">
        <is>
          <t>VÄSTRA GÖTALANDS LÄN</t>
        </is>
      </c>
      <c r="E13355" t="inlineStr">
        <is>
          <t>MARK</t>
        </is>
      </c>
      <c r="G13355" t="n">
        <v>1.1</v>
      </c>
      <c r="H13355" t="n">
        <v>0</v>
      </c>
      <c r="I13355" t="n">
        <v>0</v>
      </c>
      <c r="J13355" t="n">
        <v>0</v>
      </c>
      <c r="K13355" t="n">
        <v>0</v>
      </c>
      <c r="L13355" t="n">
        <v>0</v>
      </c>
      <c r="M13355" t="n">
        <v>0</v>
      </c>
      <c r="N13355" t="n">
        <v>0</v>
      </c>
      <c r="O13355" t="n">
        <v>0</v>
      </c>
      <c r="P13355" t="n">
        <v>0</v>
      </c>
      <c r="Q13355" t="n">
        <v>0</v>
      </c>
      <c r="R13355" s="2" t="inlineStr"/>
    </row>
    <row r="13356" ht="15" customHeight="1">
      <c r="A13356" t="inlineStr">
        <is>
          <t>A 36661-2025</t>
        </is>
      </c>
      <c r="B13356" s="1" t="n">
        <v>45873.36136574074</v>
      </c>
      <c r="C13356" s="1" t="n">
        <v>45952</v>
      </c>
      <c r="D13356" t="inlineStr">
        <is>
          <t>VÄSTRA GÖTALANDS LÄN</t>
        </is>
      </c>
      <c r="E13356" t="inlineStr">
        <is>
          <t>SVENLJUNGA</t>
        </is>
      </c>
      <c r="G13356" t="n">
        <v>1.7</v>
      </c>
      <c r="H13356" t="n">
        <v>0</v>
      </c>
      <c r="I13356" t="n">
        <v>0</v>
      </c>
      <c r="J13356" t="n">
        <v>0</v>
      </c>
      <c r="K13356" t="n">
        <v>0</v>
      </c>
      <c r="L13356" t="n">
        <v>0</v>
      </c>
      <c r="M13356" t="n">
        <v>0</v>
      </c>
      <c r="N13356" t="n">
        <v>0</v>
      </c>
      <c r="O13356" t="n">
        <v>0</v>
      </c>
      <c r="P13356" t="n">
        <v>0</v>
      </c>
      <c r="Q13356" t="n">
        <v>0</v>
      </c>
      <c r="R13356" s="2" t="inlineStr"/>
    </row>
    <row r="13357" ht="15" customHeight="1">
      <c r="A13357" t="inlineStr">
        <is>
          <t>A 8886-2025</t>
        </is>
      </c>
      <c r="B13357" s="1" t="n">
        <v>45713.39217592592</v>
      </c>
      <c r="C13357" s="1" t="n">
        <v>45952</v>
      </c>
      <c r="D13357" t="inlineStr">
        <is>
          <t>VÄSTRA GÖTALANDS LÄN</t>
        </is>
      </c>
      <c r="E13357" t="inlineStr">
        <is>
          <t>MARK</t>
        </is>
      </c>
      <c r="G13357" t="n">
        <v>0.9</v>
      </c>
      <c r="H13357" t="n">
        <v>0</v>
      </c>
      <c r="I13357" t="n">
        <v>0</v>
      </c>
      <c r="J13357" t="n">
        <v>0</v>
      </c>
      <c r="K13357" t="n">
        <v>0</v>
      </c>
      <c r="L13357" t="n">
        <v>0</v>
      </c>
      <c r="M13357" t="n">
        <v>0</v>
      </c>
      <c r="N13357" t="n">
        <v>0</v>
      </c>
      <c r="O13357" t="n">
        <v>0</v>
      </c>
      <c r="P13357" t="n">
        <v>0</v>
      </c>
      <c r="Q13357" t="n">
        <v>0</v>
      </c>
      <c r="R13357" s="2" t="inlineStr"/>
    </row>
    <row r="13358" ht="15" customHeight="1">
      <c r="A13358" t="inlineStr">
        <is>
          <t>A 13450-2025</t>
        </is>
      </c>
      <c r="B13358" s="1" t="n">
        <v>45736.37754629629</v>
      </c>
      <c r="C13358" s="1" t="n">
        <v>45952</v>
      </c>
      <c r="D13358" t="inlineStr">
        <is>
          <t>VÄSTRA GÖTALANDS LÄN</t>
        </is>
      </c>
      <c r="E13358" t="inlineStr">
        <is>
          <t>GÖTENE</t>
        </is>
      </c>
      <c r="G13358" t="n">
        <v>1.7</v>
      </c>
      <c r="H13358" t="n">
        <v>0</v>
      </c>
      <c r="I13358" t="n">
        <v>0</v>
      </c>
      <c r="J13358" t="n">
        <v>0</v>
      </c>
      <c r="K13358" t="n">
        <v>0</v>
      </c>
      <c r="L13358" t="n">
        <v>0</v>
      </c>
      <c r="M13358" t="n">
        <v>0</v>
      </c>
      <c r="N13358" t="n">
        <v>0</v>
      </c>
      <c r="O13358" t="n">
        <v>0</v>
      </c>
      <c r="P13358" t="n">
        <v>0</v>
      </c>
      <c r="Q13358" t="n">
        <v>0</v>
      </c>
      <c r="R13358" s="2" t="inlineStr"/>
    </row>
    <row r="13359" ht="15" customHeight="1">
      <c r="A13359" t="inlineStr">
        <is>
          <t>A 15147-2025</t>
        </is>
      </c>
      <c r="B13359" s="1" t="n">
        <v>45744.45267361111</v>
      </c>
      <c r="C13359" s="1" t="n">
        <v>45952</v>
      </c>
      <c r="D13359" t="inlineStr">
        <is>
          <t>VÄSTRA GÖTALANDS LÄN</t>
        </is>
      </c>
      <c r="E13359" t="inlineStr">
        <is>
          <t>GULLSPÅNG</t>
        </is>
      </c>
      <c r="G13359" t="n">
        <v>9.4</v>
      </c>
      <c r="H13359" t="n">
        <v>0</v>
      </c>
      <c r="I13359" t="n">
        <v>0</v>
      </c>
      <c r="J13359" t="n">
        <v>0</v>
      </c>
      <c r="K13359" t="n">
        <v>0</v>
      </c>
      <c r="L13359" t="n">
        <v>0</v>
      </c>
      <c r="M13359" t="n">
        <v>0</v>
      </c>
      <c r="N13359" t="n">
        <v>0</v>
      </c>
      <c r="O13359" t="n">
        <v>0</v>
      </c>
      <c r="P13359" t="n">
        <v>0</v>
      </c>
      <c r="Q13359" t="n">
        <v>0</v>
      </c>
      <c r="R13359" s="2" t="inlineStr"/>
    </row>
    <row r="13360" ht="15" customHeight="1">
      <c r="A13360" t="inlineStr">
        <is>
          <t>A 2730-2023</t>
        </is>
      </c>
      <c r="B13360" s="1" t="n">
        <v>44944.56824074074</v>
      </c>
      <c r="C13360" s="1" t="n">
        <v>45952</v>
      </c>
      <c r="D13360" t="inlineStr">
        <is>
          <t>VÄSTRA GÖTALANDS LÄN</t>
        </is>
      </c>
      <c r="E13360" t="inlineStr">
        <is>
          <t>MARK</t>
        </is>
      </c>
      <c r="G13360" t="n">
        <v>3.9</v>
      </c>
      <c r="H13360" t="n">
        <v>0</v>
      </c>
      <c r="I13360" t="n">
        <v>0</v>
      </c>
      <c r="J13360" t="n">
        <v>0</v>
      </c>
      <c r="K13360" t="n">
        <v>0</v>
      </c>
      <c r="L13360" t="n">
        <v>0</v>
      </c>
      <c r="M13360" t="n">
        <v>0</v>
      </c>
      <c r="N13360" t="n">
        <v>0</v>
      </c>
      <c r="O13360" t="n">
        <v>0</v>
      </c>
      <c r="P13360" t="n">
        <v>0</v>
      </c>
      <c r="Q13360" t="n">
        <v>0</v>
      </c>
      <c r="R13360" s="2" t="inlineStr"/>
    </row>
    <row r="13361" ht="15" customHeight="1">
      <c r="A13361" t="inlineStr">
        <is>
          <t>A 52486-2023</t>
        </is>
      </c>
      <c r="B13361" s="1" t="n">
        <v>45225.44538194445</v>
      </c>
      <c r="C13361" s="1" t="n">
        <v>45952</v>
      </c>
      <c r="D13361" t="inlineStr">
        <is>
          <t>VÄSTRA GÖTALANDS LÄN</t>
        </is>
      </c>
      <c r="E13361" t="inlineStr">
        <is>
          <t>BORÅS</t>
        </is>
      </c>
      <c r="G13361" t="n">
        <v>0.5</v>
      </c>
      <c r="H13361" t="n">
        <v>0</v>
      </c>
      <c r="I13361" t="n">
        <v>0</v>
      </c>
      <c r="J13361" t="n">
        <v>0</v>
      </c>
      <c r="K13361" t="n">
        <v>0</v>
      </c>
      <c r="L13361" t="n">
        <v>0</v>
      </c>
      <c r="M13361" t="n">
        <v>0</v>
      </c>
      <c r="N13361" t="n">
        <v>0</v>
      </c>
      <c r="O13361" t="n">
        <v>0</v>
      </c>
      <c r="P13361" t="n">
        <v>0</v>
      </c>
      <c r="Q13361" t="n">
        <v>0</v>
      </c>
      <c r="R13361" s="2" t="inlineStr"/>
    </row>
    <row r="13362" ht="15" customHeight="1">
      <c r="A13362" t="inlineStr">
        <is>
          <t>A 59272-2023</t>
        </is>
      </c>
      <c r="B13362" s="1" t="n">
        <v>45253.55487268518</v>
      </c>
      <c r="C13362" s="1" t="n">
        <v>45952</v>
      </c>
      <c r="D13362" t="inlineStr">
        <is>
          <t>VÄSTRA GÖTALANDS LÄN</t>
        </is>
      </c>
      <c r="E13362" t="inlineStr">
        <is>
          <t>VARA</t>
        </is>
      </c>
      <c r="G13362" t="n">
        <v>0.9</v>
      </c>
      <c r="H13362" t="n">
        <v>0</v>
      </c>
      <c r="I13362" t="n">
        <v>0</v>
      </c>
      <c r="J13362" t="n">
        <v>0</v>
      </c>
      <c r="K13362" t="n">
        <v>0</v>
      </c>
      <c r="L13362" t="n">
        <v>0</v>
      </c>
      <c r="M13362" t="n">
        <v>0</v>
      </c>
      <c r="N13362" t="n">
        <v>0</v>
      </c>
      <c r="O13362" t="n">
        <v>0</v>
      </c>
      <c r="P13362" t="n">
        <v>0</v>
      </c>
      <c r="Q13362" t="n">
        <v>0</v>
      </c>
      <c r="R13362" s="2" t="inlineStr"/>
    </row>
    <row r="13363" ht="15" customHeight="1">
      <c r="A13363" t="inlineStr">
        <is>
          <t>A 59273-2023</t>
        </is>
      </c>
      <c r="B13363" s="1" t="n">
        <v>45253.55516203704</v>
      </c>
      <c r="C13363" s="1" t="n">
        <v>45952</v>
      </c>
      <c r="D13363" t="inlineStr">
        <is>
          <t>VÄSTRA GÖTALANDS LÄN</t>
        </is>
      </c>
      <c r="E13363" t="inlineStr">
        <is>
          <t>TIBRO</t>
        </is>
      </c>
      <c r="G13363" t="n">
        <v>0.7</v>
      </c>
      <c r="H13363" t="n">
        <v>0</v>
      </c>
      <c r="I13363" t="n">
        <v>0</v>
      </c>
      <c r="J13363" t="n">
        <v>0</v>
      </c>
      <c r="K13363" t="n">
        <v>0</v>
      </c>
      <c r="L13363" t="n">
        <v>0</v>
      </c>
      <c r="M13363" t="n">
        <v>0</v>
      </c>
      <c r="N13363" t="n">
        <v>0</v>
      </c>
      <c r="O13363" t="n">
        <v>0</v>
      </c>
      <c r="P13363" t="n">
        <v>0</v>
      </c>
      <c r="Q13363" t="n">
        <v>0</v>
      </c>
      <c r="R13363" s="2" t="inlineStr"/>
    </row>
    <row r="13364" ht="15" customHeight="1">
      <c r="A13364" t="inlineStr">
        <is>
          <t>A 23990-2025</t>
        </is>
      </c>
      <c r="B13364" s="1" t="n">
        <v>45796.40141203703</v>
      </c>
      <c r="C13364" s="1" t="n">
        <v>45952</v>
      </c>
      <c r="D13364" t="inlineStr">
        <is>
          <t>VÄSTRA GÖTALANDS LÄN</t>
        </is>
      </c>
      <c r="E13364" t="inlineStr">
        <is>
          <t>MARK</t>
        </is>
      </c>
      <c r="G13364" t="n">
        <v>1.4</v>
      </c>
      <c r="H13364" t="n">
        <v>0</v>
      </c>
      <c r="I13364" t="n">
        <v>0</v>
      </c>
      <c r="J13364" t="n">
        <v>0</v>
      </c>
      <c r="K13364" t="n">
        <v>0</v>
      </c>
      <c r="L13364" t="n">
        <v>0</v>
      </c>
      <c r="M13364" t="n">
        <v>0</v>
      </c>
      <c r="N13364" t="n">
        <v>0</v>
      </c>
      <c r="O13364" t="n">
        <v>0</v>
      </c>
      <c r="P13364" t="n">
        <v>0</v>
      </c>
      <c r="Q13364" t="n">
        <v>0</v>
      </c>
      <c r="R13364" s="2" t="inlineStr"/>
    </row>
    <row r="13365" ht="15" customHeight="1">
      <c r="A13365" t="inlineStr">
        <is>
          <t>A 18449-2024</t>
        </is>
      </c>
      <c r="B13365" s="1" t="n">
        <v>45425.46256944445</v>
      </c>
      <c r="C13365" s="1" t="n">
        <v>45952</v>
      </c>
      <c r="D13365" t="inlineStr">
        <is>
          <t>VÄSTRA GÖTALANDS LÄN</t>
        </is>
      </c>
      <c r="E13365" t="inlineStr">
        <is>
          <t>TÖREBODA</t>
        </is>
      </c>
      <c r="G13365" t="n">
        <v>0.9</v>
      </c>
      <c r="H13365" t="n">
        <v>0</v>
      </c>
      <c r="I13365" t="n">
        <v>0</v>
      </c>
      <c r="J13365" t="n">
        <v>0</v>
      </c>
      <c r="K13365" t="n">
        <v>0</v>
      </c>
      <c r="L13365" t="n">
        <v>0</v>
      </c>
      <c r="M13365" t="n">
        <v>0</v>
      </c>
      <c r="N13365" t="n">
        <v>0</v>
      </c>
      <c r="O13365" t="n">
        <v>0</v>
      </c>
      <c r="P13365" t="n">
        <v>0</v>
      </c>
      <c r="Q13365" t="n">
        <v>0</v>
      </c>
      <c r="R13365" s="2" t="inlineStr"/>
    </row>
    <row r="13366" ht="15" customHeight="1">
      <c r="A13366" t="inlineStr">
        <is>
          <t>A 18453-2024</t>
        </is>
      </c>
      <c r="B13366" s="1" t="n">
        <v>45425.4653587963</v>
      </c>
      <c r="C13366" s="1" t="n">
        <v>45952</v>
      </c>
      <c r="D13366" t="inlineStr">
        <is>
          <t>VÄSTRA GÖTALANDS LÄN</t>
        </is>
      </c>
      <c r="E13366" t="inlineStr">
        <is>
          <t>DALS-ED</t>
        </is>
      </c>
      <c r="G13366" t="n">
        <v>1.9</v>
      </c>
      <c r="H13366" t="n">
        <v>0</v>
      </c>
      <c r="I13366" t="n">
        <v>0</v>
      </c>
      <c r="J13366" t="n">
        <v>0</v>
      </c>
      <c r="K13366" t="n">
        <v>0</v>
      </c>
      <c r="L13366" t="n">
        <v>0</v>
      </c>
      <c r="M13366" t="n">
        <v>0</v>
      </c>
      <c r="N13366" t="n">
        <v>0</v>
      </c>
      <c r="O13366" t="n">
        <v>0</v>
      </c>
      <c r="P13366" t="n">
        <v>0</v>
      </c>
      <c r="Q13366" t="n">
        <v>0</v>
      </c>
      <c r="R13366" s="2" t="inlineStr"/>
    </row>
    <row r="13367" ht="15" customHeight="1">
      <c r="A13367" t="inlineStr">
        <is>
          <t>A 45881-2024</t>
        </is>
      </c>
      <c r="B13367" s="1" t="n">
        <v>45580</v>
      </c>
      <c r="C13367" s="1" t="n">
        <v>45952</v>
      </c>
      <c r="D13367" t="inlineStr">
        <is>
          <t>VÄSTRA GÖTALANDS LÄN</t>
        </is>
      </c>
      <c r="E13367" t="inlineStr">
        <is>
          <t>TIBRO</t>
        </is>
      </c>
      <c r="G13367" t="n">
        <v>1.9</v>
      </c>
      <c r="H13367" t="n">
        <v>0</v>
      </c>
      <c r="I13367" t="n">
        <v>0</v>
      </c>
      <c r="J13367" t="n">
        <v>0</v>
      </c>
      <c r="K13367" t="n">
        <v>0</v>
      </c>
      <c r="L13367" t="n">
        <v>0</v>
      </c>
      <c r="M13367" t="n">
        <v>0</v>
      </c>
      <c r="N13367" t="n">
        <v>0</v>
      </c>
      <c r="O13367" t="n">
        <v>0</v>
      </c>
      <c r="P13367" t="n">
        <v>0</v>
      </c>
      <c r="Q13367" t="n">
        <v>0</v>
      </c>
      <c r="R13367" s="2" t="inlineStr"/>
    </row>
    <row r="13368" ht="15" customHeight="1">
      <c r="A13368" t="inlineStr">
        <is>
          <t>A 28084-2024</t>
        </is>
      </c>
      <c r="B13368" s="1" t="n">
        <v>45476.5928587963</v>
      </c>
      <c r="C13368" s="1" t="n">
        <v>45952</v>
      </c>
      <c r="D13368" t="inlineStr">
        <is>
          <t>VÄSTRA GÖTALANDS LÄN</t>
        </is>
      </c>
      <c r="E13368" t="inlineStr">
        <is>
          <t>MARK</t>
        </is>
      </c>
      <c r="G13368" t="n">
        <v>4.2</v>
      </c>
      <c r="H13368" t="n">
        <v>0</v>
      </c>
      <c r="I13368" t="n">
        <v>0</v>
      </c>
      <c r="J13368" t="n">
        <v>0</v>
      </c>
      <c r="K13368" t="n">
        <v>0</v>
      </c>
      <c r="L13368" t="n">
        <v>0</v>
      </c>
      <c r="M13368" t="n">
        <v>0</v>
      </c>
      <c r="N13368" t="n">
        <v>0</v>
      </c>
      <c r="O13368" t="n">
        <v>0</v>
      </c>
      <c r="P13368" t="n">
        <v>0</v>
      </c>
      <c r="Q13368" t="n">
        <v>0</v>
      </c>
      <c r="R13368" s="2" t="inlineStr"/>
    </row>
    <row r="13369" ht="15" customHeight="1">
      <c r="A13369" t="inlineStr">
        <is>
          <t>A 44062-2025</t>
        </is>
      </c>
      <c r="B13369" s="1" t="n">
        <v>45915.53877314815</v>
      </c>
      <c r="C13369" s="1" t="n">
        <v>45952</v>
      </c>
      <c r="D13369" t="inlineStr">
        <is>
          <t>VÄSTRA GÖTALANDS LÄN</t>
        </is>
      </c>
      <c r="E13369" t="inlineStr">
        <is>
          <t>UDDEVALLA</t>
        </is>
      </c>
      <c r="G13369" t="n">
        <v>2.2</v>
      </c>
      <c r="H13369" t="n">
        <v>0</v>
      </c>
      <c r="I13369" t="n">
        <v>0</v>
      </c>
      <c r="J13369" t="n">
        <v>0</v>
      </c>
      <c r="K13369" t="n">
        <v>0</v>
      </c>
      <c r="L13369" t="n">
        <v>0</v>
      </c>
      <c r="M13369" t="n">
        <v>0</v>
      </c>
      <c r="N13369" t="n">
        <v>0</v>
      </c>
      <c r="O13369" t="n">
        <v>0</v>
      </c>
      <c r="P13369" t="n">
        <v>0</v>
      </c>
      <c r="Q13369" t="n">
        <v>0</v>
      </c>
      <c r="R13369" s="2" t="inlineStr"/>
    </row>
    <row r="13370" ht="15" customHeight="1">
      <c r="A13370" t="inlineStr">
        <is>
          <t>A 43620-2024</t>
        </is>
      </c>
      <c r="B13370" s="1" t="n">
        <v>45569.481875</v>
      </c>
      <c r="C13370" s="1" t="n">
        <v>45952</v>
      </c>
      <c r="D13370" t="inlineStr">
        <is>
          <t>VÄSTRA GÖTALANDS LÄN</t>
        </is>
      </c>
      <c r="E13370" t="inlineStr">
        <is>
          <t>VARA</t>
        </is>
      </c>
      <c r="F13370" t="inlineStr">
        <is>
          <t>Kyrkan</t>
        </is>
      </c>
      <c r="G13370" t="n">
        <v>1.3</v>
      </c>
      <c r="H13370" t="n">
        <v>0</v>
      </c>
      <c r="I13370" t="n">
        <v>0</v>
      </c>
      <c r="J13370" t="n">
        <v>0</v>
      </c>
      <c r="K13370" t="n">
        <v>0</v>
      </c>
      <c r="L13370" t="n">
        <v>0</v>
      </c>
      <c r="M13370" t="n">
        <v>0</v>
      </c>
      <c r="N13370" t="n">
        <v>0</v>
      </c>
      <c r="O13370" t="n">
        <v>0</v>
      </c>
      <c r="P13370" t="n">
        <v>0</v>
      </c>
      <c r="Q13370" t="n">
        <v>0</v>
      </c>
      <c r="R13370" s="2" t="inlineStr"/>
    </row>
    <row r="13371" ht="15" customHeight="1">
      <c r="A13371" t="inlineStr">
        <is>
          <t>A 35608-2023</t>
        </is>
      </c>
      <c r="B13371" s="1" t="n">
        <v>45146</v>
      </c>
      <c r="C13371" s="1" t="n">
        <v>45952</v>
      </c>
      <c r="D13371" t="inlineStr">
        <is>
          <t>VÄSTRA GÖTALANDS LÄN</t>
        </is>
      </c>
      <c r="E13371" t="inlineStr">
        <is>
          <t>VARA</t>
        </is>
      </c>
      <c r="G13371" t="n">
        <v>0.7</v>
      </c>
      <c r="H13371" t="n">
        <v>0</v>
      </c>
      <c r="I13371" t="n">
        <v>0</v>
      </c>
      <c r="J13371" t="n">
        <v>0</v>
      </c>
      <c r="K13371" t="n">
        <v>0</v>
      </c>
      <c r="L13371" t="n">
        <v>0</v>
      </c>
      <c r="M13371" t="n">
        <v>0</v>
      </c>
      <c r="N13371" t="n">
        <v>0</v>
      </c>
      <c r="O13371" t="n">
        <v>0</v>
      </c>
      <c r="P13371" t="n">
        <v>0</v>
      </c>
      <c r="Q13371" t="n">
        <v>0</v>
      </c>
      <c r="R13371" s="2" t="inlineStr"/>
    </row>
    <row r="13372" ht="15" customHeight="1">
      <c r="A13372" t="inlineStr">
        <is>
          <t>A 44083-2025</t>
        </is>
      </c>
      <c r="B13372" s="1" t="n">
        <v>45915.55395833333</v>
      </c>
      <c r="C13372" s="1" t="n">
        <v>45952</v>
      </c>
      <c r="D13372" t="inlineStr">
        <is>
          <t>VÄSTRA GÖTALANDS LÄN</t>
        </is>
      </c>
      <c r="E13372" t="inlineStr">
        <is>
          <t>DALS-ED</t>
        </is>
      </c>
      <c r="G13372" t="n">
        <v>2.2</v>
      </c>
      <c r="H13372" t="n">
        <v>0</v>
      </c>
      <c r="I13372" t="n">
        <v>0</v>
      </c>
      <c r="J13372" t="n">
        <v>0</v>
      </c>
      <c r="K13372" t="n">
        <v>0</v>
      </c>
      <c r="L13372" t="n">
        <v>0</v>
      </c>
      <c r="M13372" t="n">
        <v>0</v>
      </c>
      <c r="N13372" t="n">
        <v>0</v>
      </c>
      <c r="O13372" t="n">
        <v>0</v>
      </c>
      <c r="P13372" t="n">
        <v>0</v>
      </c>
      <c r="Q13372" t="n">
        <v>0</v>
      </c>
      <c r="R13372" s="2" t="inlineStr"/>
    </row>
    <row r="13373" ht="15" customHeight="1">
      <c r="A13373" t="inlineStr">
        <is>
          <t>A 18528-2023</t>
        </is>
      </c>
      <c r="B13373" s="1" t="n">
        <v>45042.69927083333</v>
      </c>
      <c r="C13373" s="1" t="n">
        <v>45952</v>
      </c>
      <c r="D13373" t="inlineStr">
        <is>
          <t>VÄSTRA GÖTALANDS LÄN</t>
        </is>
      </c>
      <c r="E13373" t="inlineStr">
        <is>
          <t>ÅMÅL</t>
        </is>
      </c>
      <c r="G13373" t="n">
        <v>2.8</v>
      </c>
      <c r="H13373" t="n">
        <v>0</v>
      </c>
      <c r="I13373" t="n">
        <v>0</v>
      </c>
      <c r="J13373" t="n">
        <v>0</v>
      </c>
      <c r="K13373" t="n">
        <v>0</v>
      </c>
      <c r="L13373" t="n">
        <v>0</v>
      </c>
      <c r="M13373" t="n">
        <v>0</v>
      </c>
      <c r="N13373" t="n">
        <v>0</v>
      </c>
      <c r="O13373" t="n">
        <v>0</v>
      </c>
      <c r="P13373" t="n">
        <v>0</v>
      </c>
      <c r="Q13373" t="n">
        <v>0</v>
      </c>
      <c r="R13373" s="2" t="inlineStr"/>
    </row>
    <row r="13374" ht="15" customHeight="1">
      <c r="A13374" t="inlineStr">
        <is>
          <t>A 61584-2023</t>
        </is>
      </c>
      <c r="B13374" s="1" t="n">
        <v>45261</v>
      </c>
      <c r="C13374" s="1" t="n">
        <v>45952</v>
      </c>
      <c r="D13374" t="inlineStr">
        <is>
          <t>VÄSTRA GÖTALANDS LÄN</t>
        </is>
      </c>
      <c r="E13374" t="inlineStr">
        <is>
          <t>MUNKEDAL</t>
        </is>
      </c>
      <c r="F13374" t="inlineStr">
        <is>
          <t>Övriga Aktiebolag</t>
        </is>
      </c>
      <c r="G13374" t="n">
        <v>2.7</v>
      </c>
      <c r="H13374" t="n">
        <v>0</v>
      </c>
      <c r="I13374" t="n">
        <v>0</v>
      </c>
      <c r="J13374" t="n">
        <v>0</v>
      </c>
      <c r="K13374" t="n">
        <v>0</v>
      </c>
      <c r="L13374" t="n">
        <v>0</v>
      </c>
      <c r="M13374" t="n">
        <v>0</v>
      </c>
      <c r="N13374" t="n">
        <v>0</v>
      </c>
      <c r="O13374" t="n">
        <v>0</v>
      </c>
      <c r="P13374" t="n">
        <v>0</v>
      </c>
      <c r="Q13374" t="n">
        <v>0</v>
      </c>
      <c r="R13374" s="2" t="inlineStr"/>
    </row>
    <row r="13375" ht="15" customHeight="1">
      <c r="A13375" t="inlineStr">
        <is>
          <t>A 43185-2024</t>
        </is>
      </c>
      <c r="B13375" s="1" t="n">
        <v>45567.66493055555</v>
      </c>
      <c r="C13375" s="1" t="n">
        <v>45952</v>
      </c>
      <c r="D13375" t="inlineStr">
        <is>
          <t>VÄSTRA GÖTALANDS LÄN</t>
        </is>
      </c>
      <c r="E13375" t="inlineStr">
        <is>
          <t>BORÅS</t>
        </is>
      </c>
      <c r="G13375" t="n">
        <v>0.6</v>
      </c>
      <c r="H13375" t="n">
        <v>0</v>
      </c>
      <c r="I13375" t="n">
        <v>0</v>
      </c>
      <c r="J13375" t="n">
        <v>0</v>
      </c>
      <c r="K13375" t="n">
        <v>0</v>
      </c>
      <c r="L13375" t="n">
        <v>0</v>
      </c>
      <c r="M13375" t="n">
        <v>0</v>
      </c>
      <c r="N13375" t="n">
        <v>0</v>
      </c>
      <c r="O13375" t="n">
        <v>0</v>
      </c>
      <c r="P13375" t="n">
        <v>0</v>
      </c>
      <c r="Q13375" t="n">
        <v>0</v>
      </c>
      <c r="R13375" s="2" t="inlineStr"/>
    </row>
    <row r="13376" ht="15" customHeight="1">
      <c r="A13376" t="inlineStr">
        <is>
          <t>A 9197-2024</t>
        </is>
      </c>
      <c r="B13376" s="1" t="n">
        <v>45358.46297453704</v>
      </c>
      <c r="C13376" s="1" t="n">
        <v>45952</v>
      </c>
      <c r="D13376" t="inlineStr">
        <is>
          <t>VÄSTRA GÖTALANDS LÄN</t>
        </is>
      </c>
      <c r="E13376" t="inlineStr">
        <is>
          <t>MARK</t>
        </is>
      </c>
      <c r="G13376" t="n">
        <v>0.6</v>
      </c>
      <c r="H13376" t="n">
        <v>0</v>
      </c>
      <c r="I13376" t="n">
        <v>0</v>
      </c>
      <c r="J13376" t="n">
        <v>0</v>
      </c>
      <c r="K13376" t="n">
        <v>0</v>
      </c>
      <c r="L13376" t="n">
        <v>0</v>
      </c>
      <c r="M13376" t="n">
        <v>0</v>
      </c>
      <c r="N13376" t="n">
        <v>0</v>
      </c>
      <c r="O13376" t="n">
        <v>0</v>
      </c>
      <c r="P13376" t="n">
        <v>0</v>
      </c>
      <c r="Q13376" t="n">
        <v>0</v>
      </c>
      <c r="R13376" s="2" t="inlineStr"/>
    </row>
    <row r="13377" ht="15" customHeight="1">
      <c r="A13377" t="inlineStr">
        <is>
          <t>A 43775-2025</t>
        </is>
      </c>
      <c r="B13377" s="1" t="n">
        <v>45912.50739583333</v>
      </c>
      <c r="C13377" s="1" t="n">
        <v>45952</v>
      </c>
      <c r="D13377" t="inlineStr">
        <is>
          <t>VÄSTRA GÖTALANDS LÄN</t>
        </is>
      </c>
      <c r="E13377" t="inlineStr">
        <is>
          <t>GULLSPÅNG</t>
        </is>
      </c>
      <c r="G13377" t="n">
        <v>1.5</v>
      </c>
      <c r="H13377" t="n">
        <v>0</v>
      </c>
      <c r="I13377" t="n">
        <v>0</v>
      </c>
      <c r="J13377" t="n">
        <v>0</v>
      </c>
      <c r="K13377" t="n">
        <v>0</v>
      </c>
      <c r="L13377" t="n">
        <v>0</v>
      </c>
      <c r="M13377" t="n">
        <v>0</v>
      </c>
      <c r="N13377" t="n">
        <v>0</v>
      </c>
      <c r="O13377" t="n">
        <v>0</v>
      </c>
      <c r="P13377" t="n">
        <v>0</v>
      </c>
      <c r="Q13377" t="n">
        <v>0</v>
      </c>
      <c r="R13377" s="2" t="inlineStr"/>
    </row>
    <row r="13378" ht="15" customHeight="1">
      <c r="A13378" t="inlineStr">
        <is>
          <t>A 26860-2024</t>
        </is>
      </c>
      <c r="B13378" s="1" t="n">
        <v>45470.60431712963</v>
      </c>
      <c r="C13378" s="1" t="n">
        <v>45952</v>
      </c>
      <c r="D13378" t="inlineStr">
        <is>
          <t>VÄSTRA GÖTALANDS LÄN</t>
        </is>
      </c>
      <c r="E13378" t="inlineStr">
        <is>
          <t>ULRICEHAMN</t>
        </is>
      </c>
      <c r="G13378" t="n">
        <v>5.5</v>
      </c>
      <c r="H13378" t="n">
        <v>0</v>
      </c>
      <c r="I13378" t="n">
        <v>0</v>
      </c>
      <c r="J13378" t="n">
        <v>0</v>
      </c>
      <c r="K13378" t="n">
        <v>0</v>
      </c>
      <c r="L13378" t="n">
        <v>0</v>
      </c>
      <c r="M13378" t="n">
        <v>0</v>
      </c>
      <c r="N13378" t="n">
        <v>0</v>
      </c>
      <c r="O13378" t="n">
        <v>0</v>
      </c>
      <c r="P13378" t="n">
        <v>0</v>
      </c>
      <c r="Q13378" t="n">
        <v>0</v>
      </c>
      <c r="R13378" s="2" t="inlineStr"/>
    </row>
    <row r="13379" ht="15" customHeight="1">
      <c r="A13379" t="inlineStr">
        <is>
          <t>A 47817-2024</t>
        </is>
      </c>
      <c r="B13379" s="1" t="n">
        <v>45588.62341435185</v>
      </c>
      <c r="C13379" s="1" t="n">
        <v>45952</v>
      </c>
      <c r="D13379" t="inlineStr">
        <is>
          <t>VÄSTRA GÖTALANDS LÄN</t>
        </is>
      </c>
      <c r="E13379" t="inlineStr">
        <is>
          <t>SVENLJUNGA</t>
        </is>
      </c>
      <c r="G13379" t="n">
        <v>0.4</v>
      </c>
      <c r="H13379" t="n">
        <v>0</v>
      </c>
      <c r="I13379" t="n">
        <v>0</v>
      </c>
      <c r="J13379" t="n">
        <v>0</v>
      </c>
      <c r="K13379" t="n">
        <v>0</v>
      </c>
      <c r="L13379" t="n">
        <v>0</v>
      </c>
      <c r="M13379" t="n">
        <v>0</v>
      </c>
      <c r="N13379" t="n">
        <v>0</v>
      </c>
      <c r="O13379" t="n">
        <v>0</v>
      </c>
      <c r="P13379" t="n">
        <v>0</v>
      </c>
      <c r="Q13379" t="n">
        <v>0</v>
      </c>
      <c r="R13379" s="2" t="inlineStr"/>
    </row>
    <row r="13380" ht="15" customHeight="1">
      <c r="A13380" t="inlineStr">
        <is>
          <t>A 44074-2025</t>
        </is>
      </c>
      <c r="B13380" s="1" t="n">
        <v>45915.54888888889</v>
      </c>
      <c r="C13380" s="1" t="n">
        <v>45952</v>
      </c>
      <c r="D13380" t="inlineStr">
        <is>
          <t>VÄSTRA GÖTALANDS LÄN</t>
        </is>
      </c>
      <c r="E13380" t="inlineStr">
        <is>
          <t>TÖREBODA</t>
        </is>
      </c>
      <c r="G13380" t="n">
        <v>1</v>
      </c>
      <c r="H13380" t="n">
        <v>0</v>
      </c>
      <c r="I13380" t="n">
        <v>0</v>
      </c>
      <c r="J13380" t="n">
        <v>0</v>
      </c>
      <c r="K13380" t="n">
        <v>0</v>
      </c>
      <c r="L13380" t="n">
        <v>0</v>
      </c>
      <c r="M13380" t="n">
        <v>0</v>
      </c>
      <c r="N13380" t="n">
        <v>0</v>
      </c>
      <c r="O13380" t="n">
        <v>0</v>
      </c>
      <c r="P13380" t="n">
        <v>0</v>
      </c>
      <c r="Q13380" t="n">
        <v>0</v>
      </c>
      <c r="R13380" s="2" t="inlineStr"/>
    </row>
    <row r="13381" ht="15" customHeight="1">
      <c r="A13381" t="inlineStr">
        <is>
          <t>A 43908-2025</t>
        </is>
      </c>
      <c r="B13381" s="1" t="n">
        <v>45913.84703703703</v>
      </c>
      <c r="C13381" s="1" t="n">
        <v>45952</v>
      </c>
      <c r="D13381" t="inlineStr">
        <is>
          <t>VÄSTRA GÖTALANDS LÄN</t>
        </is>
      </c>
      <c r="E13381" t="inlineStr">
        <is>
          <t>SVENLJUNGA</t>
        </is>
      </c>
      <c r="G13381" t="n">
        <v>3.9</v>
      </c>
      <c r="H13381" t="n">
        <v>0</v>
      </c>
      <c r="I13381" t="n">
        <v>0</v>
      </c>
      <c r="J13381" t="n">
        <v>0</v>
      </c>
      <c r="K13381" t="n">
        <v>0</v>
      </c>
      <c r="L13381" t="n">
        <v>0</v>
      </c>
      <c r="M13381" t="n">
        <v>0</v>
      </c>
      <c r="N13381" t="n">
        <v>0</v>
      </c>
      <c r="O13381" t="n">
        <v>0</v>
      </c>
      <c r="P13381" t="n">
        <v>0</v>
      </c>
      <c r="Q13381" t="n">
        <v>0</v>
      </c>
      <c r="R13381" s="2" t="inlineStr"/>
    </row>
    <row r="13382" ht="15" customHeight="1">
      <c r="A13382" t="inlineStr">
        <is>
          <t>A 43920-2025</t>
        </is>
      </c>
      <c r="B13382" s="1" t="n">
        <v>45914.9278587963</v>
      </c>
      <c r="C13382" s="1" t="n">
        <v>45952</v>
      </c>
      <c r="D13382" t="inlineStr">
        <is>
          <t>VÄSTRA GÖTALANDS LÄN</t>
        </is>
      </c>
      <c r="E13382" t="inlineStr">
        <is>
          <t>BENGTSFORS</t>
        </is>
      </c>
      <c r="G13382" t="n">
        <v>0.4</v>
      </c>
      <c r="H13382" t="n">
        <v>0</v>
      </c>
      <c r="I13382" t="n">
        <v>0</v>
      </c>
      <c r="J13382" t="n">
        <v>0</v>
      </c>
      <c r="K13382" t="n">
        <v>0</v>
      </c>
      <c r="L13382" t="n">
        <v>0</v>
      </c>
      <c r="M13382" t="n">
        <v>0</v>
      </c>
      <c r="N13382" t="n">
        <v>0</v>
      </c>
      <c r="O13382" t="n">
        <v>0</v>
      </c>
      <c r="P13382" t="n">
        <v>0</v>
      </c>
      <c r="Q13382" t="n">
        <v>0</v>
      </c>
      <c r="R13382" s="2" t="inlineStr"/>
    </row>
    <row r="13383" ht="15" customHeight="1">
      <c r="A13383" t="inlineStr">
        <is>
          <t>A 43926-2025</t>
        </is>
      </c>
      <c r="B13383" s="1" t="n">
        <v>45915.31939814815</v>
      </c>
      <c r="C13383" s="1" t="n">
        <v>45952</v>
      </c>
      <c r="D13383" t="inlineStr">
        <is>
          <t>VÄSTRA GÖTALANDS LÄN</t>
        </is>
      </c>
      <c r="E13383" t="inlineStr">
        <is>
          <t>TIDAHOLM</t>
        </is>
      </c>
      <c r="G13383" t="n">
        <v>1.3</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44086-2025</t>
        </is>
      </c>
      <c r="B13384" s="1" t="n">
        <v>45914</v>
      </c>
      <c r="C13384" s="1" t="n">
        <v>45952</v>
      </c>
      <c r="D13384" t="inlineStr">
        <is>
          <t>VÄSTRA GÖTALANDS LÄN</t>
        </is>
      </c>
      <c r="E13384" t="inlineStr">
        <is>
          <t>UDDEVALLA</t>
        </is>
      </c>
      <c r="G13384" t="n">
        <v>2.5</v>
      </c>
      <c r="H13384" t="n">
        <v>0</v>
      </c>
      <c r="I13384" t="n">
        <v>0</v>
      </c>
      <c r="J13384" t="n">
        <v>0</v>
      </c>
      <c r="K13384" t="n">
        <v>0</v>
      </c>
      <c r="L13384" t="n">
        <v>0</v>
      </c>
      <c r="M13384" t="n">
        <v>0</v>
      </c>
      <c r="N13384" t="n">
        <v>0</v>
      </c>
      <c r="O13384" t="n">
        <v>0</v>
      </c>
      <c r="P13384" t="n">
        <v>0</v>
      </c>
      <c r="Q13384" t="n">
        <v>0</v>
      </c>
      <c r="R13384" s="2" t="inlineStr"/>
    </row>
    <row r="13385" ht="15" customHeight="1">
      <c r="A13385" t="inlineStr">
        <is>
          <t>A 44104-2025</t>
        </is>
      </c>
      <c r="B13385" s="1" t="n">
        <v>45915.56895833334</v>
      </c>
      <c r="C13385" s="1" t="n">
        <v>45952</v>
      </c>
      <c r="D13385" t="inlineStr">
        <is>
          <t>VÄSTRA GÖTALANDS LÄN</t>
        </is>
      </c>
      <c r="E13385" t="inlineStr">
        <is>
          <t>LILLA EDET</t>
        </is>
      </c>
      <c r="G13385" t="n">
        <v>1.5</v>
      </c>
      <c r="H13385" t="n">
        <v>0</v>
      </c>
      <c r="I13385" t="n">
        <v>0</v>
      </c>
      <c r="J13385" t="n">
        <v>0</v>
      </c>
      <c r="K13385" t="n">
        <v>0</v>
      </c>
      <c r="L13385" t="n">
        <v>0</v>
      </c>
      <c r="M13385" t="n">
        <v>0</v>
      </c>
      <c r="N13385" t="n">
        <v>0</v>
      </c>
      <c r="O13385" t="n">
        <v>0</v>
      </c>
      <c r="P13385" t="n">
        <v>0</v>
      </c>
      <c r="Q13385" t="n">
        <v>0</v>
      </c>
      <c r="R13385" s="2" t="inlineStr"/>
    </row>
    <row r="13386" ht="15" customHeight="1">
      <c r="A13386" t="inlineStr">
        <is>
          <t>A 43654-2025</t>
        </is>
      </c>
      <c r="B13386" s="1" t="n">
        <v>45912.33157407407</v>
      </c>
      <c r="C13386" s="1" t="n">
        <v>45952</v>
      </c>
      <c r="D13386" t="inlineStr">
        <is>
          <t>VÄSTRA GÖTALANDS LÄN</t>
        </is>
      </c>
      <c r="E13386" t="inlineStr">
        <is>
          <t>TRANEMO</t>
        </is>
      </c>
      <c r="G13386" t="n">
        <v>0.9</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44668-2023</t>
        </is>
      </c>
      <c r="B13387" s="1" t="n">
        <v>45189.72548611111</v>
      </c>
      <c r="C13387" s="1" t="n">
        <v>45952</v>
      </c>
      <c r="D13387" t="inlineStr">
        <is>
          <t>VÄSTRA GÖTALANDS LÄN</t>
        </is>
      </c>
      <c r="E13387" t="inlineStr">
        <is>
          <t>VÅRGÅRDA</t>
        </is>
      </c>
      <c r="G13387" t="n">
        <v>1.1</v>
      </c>
      <c r="H13387" t="n">
        <v>0</v>
      </c>
      <c r="I13387" t="n">
        <v>0</v>
      </c>
      <c r="J13387" t="n">
        <v>0</v>
      </c>
      <c r="K13387" t="n">
        <v>0</v>
      </c>
      <c r="L13387" t="n">
        <v>0</v>
      </c>
      <c r="M13387" t="n">
        <v>0</v>
      </c>
      <c r="N13387" t="n">
        <v>0</v>
      </c>
      <c r="O13387" t="n">
        <v>0</v>
      </c>
      <c r="P13387" t="n">
        <v>0</v>
      </c>
      <c r="Q13387" t="n">
        <v>0</v>
      </c>
      <c r="R13387" s="2" t="inlineStr"/>
    </row>
    <row r="13388" ht="15" customHeight="1">
      <c r="A13388" t="inlineStr">
        <is>
          <t>A 44683-2023</t>
        </is>
      </c>
      <c r="B13388" s="1" t="n">
        <v>45189.9100925926</v>
      </c>
      <c r="C13388" s="1" t="n">
        <v>45952</v>
      </c>
      <c r="D13388" t="inlineStr">
        <is>
          <t>VÄSTRA GÖTALANDS LÄN</t>
        </is>
      </c>
      <c r="E13388" t="inlineStr">
        <is>
          <t>HERRLJUNGA</t>
        </is>
      </c>
      <c r="G13388" t="n">
        <v>4.3</v>
      </c>
      <c r="H13388" t="n">
        <v>0</v>
      </c>
      <c r="I13388" t="n">
        <v>0</v>
      </c>
      <c r="J13388" t="n">
        <v>0</v>
      </c>
      <c r="K13388" t="n">
        <v>0</v>
      </c>
      <c r="L13388" t="n">
        <v>0</v>
      </c>
      <c r="M13388" t="n">
        <v>0</v>
      </c>
      <c r="N13388" t="n">
        <v>0</v>
      </c>
      <c r="O13388" t="n">
        <v>0</v>
      </c>
      <c r="P13388" t="n">
        <v>0</v>
      </c>
      <c r="Q13388" t="n">
        <v>0</v>
      </c>
      <c r="R13388" s="2" t="inlineStr"/>
    </row>
    <row r="13389" ht="15" customHeight="1">
      <c r="A13389" t="inlineStr">
        <is>
          <t>A 59083-2022</t>
        </is>
      </c>
      <c r="B13389" s="1" t="n">
        <v>44904.37513888889</v>
      </c>
      <c r="C13389" s="1" t="n">
        <v>45952</v>
      </c>
      <c r="D13389" t="inlineStr">
        <is>
          <t>VÄSTRA GÖTALANDS LÄN</t>
        </is>
      </c>
      <c r="E13389" t="inlineStr">
        <is>
          <t>MARK</t>
        </is>
      </c>
      <c r="G13389" t="n">
        <v>2</v>
      </c>
      <c r="H13389" t="n">
        <v>0</v>
      </c>
      <c r="I13389" t="n">
        <v>0</v>
      </c>
      <c r="J13389" t="n">
        <v>0</v>
      </c>
      <c r="K13389" t="n">
        <v>0</v>
      </c>
      <c r="L13389" t="n">
        <v>0</v>
      </c>
      <c r="M13389" t="n">
        <v>0</v>
      </c>
      <c r="N13389" t="n">
        <v>0</v>
      </c>
      <c r="O13389" t="n">
        <v>0</v>
      </c>
      <c r="P13389" t="n">
        <v>0</v>
      </c>
      <c r="Q13389" t="n">
        <v>0</v>
      </c>
      <c r="R13389" s="2" t="inlineStr"/>
    </row>
    <row r="13390" ht="15" customHeight="1">
      <c r="A13390" t="inlineStr">
        <is>
          <t>A 6644-2021</t>
        </is>
      </c>
      <c r="B13390" s="1" t="n">
        <v>44236</v>
      </c>
      <c r="C13390" s="1" t="n">
        <v>45952</v>
      </c>
      <c r="D13390" t="inlineStr">
        <is>
          <t>VÄSTRA GÖTALANDS LÄN</t>
        </is>
      </c>
      <c r="E13390" t="inlineStr">
        <is>
          <t>MARK</t>
        </is>
      </c>
      <c r="G13390" t="n">
        <v>5.1</v>
      </c>
      <c r="H13390" t="n">
        <v>0</v>
      </c>
      <c r="I13390" t="n">
        <v>0</v>
      </c>
      <c r="J13390" t="n">
        <v>0</v>
      </c>
      <c r="K13390" t="n">
        <v>0</v>
      </c>
      <c r="L13390" t="n">
        <v>0</v>
      </c>
      <c r="M13390" t="n">
        <v>0</v>
      </c>
      <c r="N13390" t="n">
        <v>0</v>
      </c>
      <c r="O13390" t="n">
        <v>0</v>
      </c>
      <c r="P13390" t="n">
        <v>0</v>
      </c>
      <c r="Q13390" t="n">
        <v>0</v>
      </c>
      <c r="R13390" s="2" t="inlineStr"/>
    </row>
    <row r="13391" ht="15" customHeight="1">
      <c r="A13391" t="inlineStr">
        <is>
          <t>A 53204-2024</t>
        </is>
      </c>
      <c r="B13391" s="1" t="n">
        <v>45612.44818287037</v>
      </c>
      <c r="C13391" s="1" t="n">
        <v>45952</v>
      </c>
      <c r="D13391" t="inlineStr">
        <is>
          <t>VÄSTRA GÖTALANDS LÄN</t>
        </is>
      </c>
      <c r="E13391" t="inlineStr">
        <is>
          <t>BORÅS</t>
        </is>
      </c>
      <c r="G13391" t="n">
        <v>3.1</v>
      </c>
      <c r="H13391" t="n">
        <v>0</v>
      </c>
      <c r="I13391" t="n">
        <v>0</v>
      </c>
      <c r="J13391" t="n">
        <v>0</v>
      </c>
      <c r="K13391" t="n">
        <v>0</v>
      </c>
      <c r="L13391" t="n">
        <v>0</v>
      </c>
      <c r="M13391" t="n">
        <v>0</v>
      </c>
      <c r="N13391" t="n">
        <v>0</v>
      </c>
      <c r="O13391" t="n">
        <v>0</v>
      </c>
      <c r="P13391" t="n">
        <v>0</v>
      </c>
      <c r="Q13391" t="n">
        <v>0</v>
      </c>
      <c r="R13391" s="2" t="inlineStr"/>
    </row>
    <row r="13392" ht="15" customHeight="1">
      <c r="A13392" t="inlineStr">
        <is>
          <t>A 53767-2024</t>
        </is>
      </c>
      <c r="B13392" s="1" t="n">
        <v>45615.52331018518</v>
      </c>
      <c r="C13392" s="1" t="n">
        <v>45952</v>
      </c>
      <c r="D13392" t="inlineStr">
        <is>
          <t>VÄSTRA GÖTALANDS LÄN</t>
        </is>
      </c>
      <c r="E13392" t="inlineStr">
        <is>
          <t>SVENLJUNGA</t>
        </is>
      </c>
      <c r="G13392" t="n">
        <v>2.6</v>
      </c>
      <c r="H13392" t="n">
        <v>0</v>
      </c>
      <c r="I13392" t="n">
        <v>0</v>
      </c>
      <c r="J13392" t="n">
        <v>0</v>
      </c>
      <c r="K13392" t="n">
        <v>0</v>
      </c>
      <c r="L13392" t="n">
        <v>0</v>
      </c>
      <c r="M13392" t="n">
        <v>0</v>
      </c>
      <c r="N13392" t="n">
        <v>0</v>
      </c>
      <c r="O13392" t="n">
        <v>0</v>
      </c>
      <c r="P13392" t="n">
        <v>0</v>
      </c>
      <c r="Q13392" t="n">
        <v>0</v>
      </c>
      <c r="R13392" s="2" t="inlineStr"/>
    </row>
    <row r="13393" ht="15" customHeight="1">
      <c r="A13393" t="inlineStr">
        <is>
          <t>A 29011-2023</t>
        </is>
      </c>
      <c r="B13393" s="1" t="n">
        <v>45104</v>
      </c>
      <c r="C13393" s="1" t="n">
        <v>45952</v>
      </c>
      <c r="D13393" t="inlineStr">
        <is>
          <t>VÄSTRA GÖTALANDS LÄN</t>
        </is>
      </c>
      <c r="E13393" t="inlineStr">
        <is>
          <t>SKÖVDE</t>
        </is>
      </c>
      <c r="F13393" t="inlineStr">
        <is>
          <t>Kommuner</t>
        </is>
      </c>
      <c r="G13393" t="n">
        <v>5.4</v>
      </c>
      <c r="H13393" t="n">
        <v>0</v>
      </c>
      <c r="I13393" t="n">
        <v>0</v>
      </c>
      <c r="J13393" t="n">
        <v>0</v>
      </c>
      <c r="K13393" t="n">
        <v>0</v>
      </c>
      <c r="L13393" t="n">
        <v>0</v>
      </c>
      <c r="M13393" t="n">
        <v>0</v>
      </c>
      <c r="N13393" t="n">
        <v>0</v>
      </c>
      <c r="O13393" t="n">
        <v>0</v>
      </c>
      <c r="P13393" t="n">
        <v>0</v>
      </c>
      <c r="Q13393" t="n">
        <v>0</v>
      </c>
      <c r="R13393" s="2" t="inlineStr"/>
    </row>
    <row r="13394" ht="15" customHeight="1">
      <c r="A13394" t="inlineStr">
        <is>
          <t>A 23948-2025</t>
        </is>
      </c>
      <c r="B13394" s="1" t="n">
        <v>45796.34909722222</v>
      </c>
      <c r="C13394" s="1" t="n">
        <v>45952</v>
      </c>
      <c r="D13394" t="inlineStr">
        <is>
          <t>VÄSTRA GÖTALANDS LÄN</t>
        </is>
      </c>
      <c r="E13394" t="inlineStr">
        <is>
          <t>MARK</t>
        </is>
      </c>
      <c r="G13394" t="n">
        <v>6.2</v>
      </c>
      <c r="H13394" t="n">
        <v>0</v>
      </c>
      <c r="I13394" t="n">
        <v>0</v>
      </c>
      <c r="J13394" t="n">
        <v>0</v>
      </c>
      <c r="K13394" t="n">
        <v>0</v>
      </c>
      <c r="L13394" t="n">
        <v>0</v>
      </c>
      <c r="M13394" t="n">
        <v>0</v>
      </c>
      <c r="N13394" t="n">
        <v>0</v>
      </c>
      <c r="O13394" t="n">
        <v>0</v>
      </c>
      <c r="P13394" t="n">
        <v>0</v>
      </c>
      <c r="Q13394" t="n">
        <v>0</v>
      </c>
      <c r="R13394" s="2" t="inlineStr"/>
    </row>
    <row r="13395" ht="15" customHeight="1">
      <c r="A13395" t="inlineStr">
        <is>
          <t>A 36652-2025</t>
        </is>
      </c>
      <c r="B13395" s="1" t="n">
        <v>45872.76523148148</v>
      </c>
      <c r="C13395" s="1" t="n">
        <v>45952</v>
      </c>
      <c r="D13395" t="inlineStr">
        <is>
          <t>VÄSTRA GÖTALANDS LÄN</t>
        </is>
      </c>
      <c r="E13395" t="inlineStr">
        <is>
          <t>MARK</t>
        </is>
      </c>
      <c r="G13395" t="n">
        <v>1.7</v>
      </c>
      <c r="H13395" t="n">
        <v>0</v>
      </c>
      <c r="I13395" t="n">
        <v>0</v>
      </c>
      <c r="J13395" t="n">
        <v>0</v>
      </c>
      <c r="K13395" t="n">
        <v>0</v>
      </c>
      <c r="L13395" t="n">
        <v>0</v>
      </c>
      <c r="M13395" t="n">
        <v>0</v>
      </c>
      <c r="N13395" t="n">
        <v>0</v>
      </c>
      <c r="O13395" t="n">
        <v>0</v>
      </c>
      <c r="P13395" t="n">
        <v>0</v>
      </c>
      <c r="Q13395" t="n">
        <v>0</v>
      </c>
      <c r="R13395" s="2" t="inlineStr"/>
    </row>
    <row r="13396" ht="15" customHeight="1">
      <c r="A13396" t="inlineStr">
        <is>
          <t>A 37341-2024</t>
        </is>
      </c>
      <c r="B13396" s="1" t="n">
        <v>45540</v>
      </c>
      <c r="C13396" s="1" t="n">
        <v>45952</v>
      </c>
      <c r="D13396" t="inlineStr">
        <is>
          <t>VÄSTRA GÖTALANDS LÄN</t>
        </is>
      </c>
      <c r="E13396" t="inlineStr">
        <is>
          <t>BENGTSFORS</t>
        </is>
      </c>
      <c r="G13396" t="n">
        <v>1.8</v>
      </c>
      <c r="H13396" t="n">
        <v>0</v>
      </c>
      <c r="I13396" t="n">
        <v>0</v>
      </c>
      <c r="J13396" t="n">
        <v>0</v>
      </c>
      <c r="K13396" t="n">
        <v>0</v>
      </c>
      <c r="L13396" t="n">
        <v>0</v>
      </c>
      <c r="M13396" t="n">
        <v>0</v>
      </c>
      <c r="N13396" t="n">
        <v>0</v>
      </c>
      <c r="O13396" t="n">
        <v>0</v>
      </c>
      <c r="P13396" t="n">
        <v>0</v>
      </c>
      <c r="Q13396" t="n">
        <v>0</v>
      </c>
      <c r="R13396" s="2" t="inlineStr"/>
    </row>
    <row r="13397" ht="15" customHeight="1">
      <c r="A13397" t="inlineStr">
        <is>
          <t>A 36691-2025</t>
        </is>
      </c>
      <c r="B13397" s="1" t="n">
        <v>45872</v>
      </c>
      <c r="C13397" s="1" t="n">
        <v>45952</v>
      </c>
      <c r="D13397" t="inlineStr">
        <is>
          <t>VÄSTRA GÖTALANDS LÄN</t>
        </is>
      </c>
      <c r="E13397" t="inlineStr">
        <is>
          <t>TANUM</t>
        </is>
      </c>
      <c r="G13397" t="n">
        <v>0.6</v>
      </c>
      <c r="H13397" t="n">
        <v>0</v>
      </c>
      <c r="I13397" t="n">
        <v>0</v>
      </c>
      <c r="J13397" t="n">
        <v>0</v>
      </c>
      <c r="K13397" t="n">
        <v>0</v>
      </c>
      <c r="L13397" t="n">
        <v>0</v>
      </c>
      <c r="M13397" t="n">
        <v>0</v>
      </c>
      <c r="N13397" t="n">
        <v>0</v>
      </c>
      <c r="O13397" t="n">
        <v>0</v>
      </c>
      <c r="P13397" t="n">
        <v>0</v>
      </c>
      <c r="Q13397" t="n">
        <v>0</v>
      </c>
      <c r="R13397" s="2" t="inlineStr"/>
    </row>
    <row r="13398" ht="15" customHeight="1">
      <c r="A13398" t="inlineStr">
        <is>
          <t>A 60353-2023</t>
        </is>
      </c>
      <c r="B13398" s="1" t="n">
        <v>45257</v>
      </c>
      <c r="C13398" s="1" t="n">
        <v>45952</v>
      </c>
      <c r="D13398" t="inlineStr">
        <is>
          <t>VÄSTRA GÖTALANDS LÄN</t>
        </is>
      </c>
      <c r="E13398" t="inlineStr">
        <is>
          <t>TIDAHOLM</t>
        </is>
      </c>
      <c r="G13398" t="n">
        <v>1.7</v>
      </c>
      <c r="H13398" t="n">
        <v>0</v>
      </c>
      <c r="I13398" t="n">
        <v>0</v>
      </c>
      <c r="J13398" t="n">
        <v>0</v>
      </c>
      <c r="K13398" t="n">
        <v>0</v>
      </c>
      <c r="L13398" t="n">
        <v>0</v>
      </c>
      <c r="M13398" t="n">
        <v>0</v>
      </c>
      <c r="N13398" t="n">
        <v>0</v>
      </c>
      <c r="O13398" t="n">
        <v>0</v>
      </c>
      <c r="P13398" t="n">
        <v>0</v>
      </c>
      <c r="Q13398" t="n">
        <v>0</v>
      </c>
      <c r="R13398" s="2" t="inlineStr"/>
    </row>
    <row r="13399" ht="15" customHeight="1">
      <c r="A13399" t="inlineStr">
        <is>
          <t>A 31714-2023</t>
        </is>
      </c>
      <c r="B13399" s="1" t="n">
        <v>45117.83711805556</v>
      </c>
      <c r="C13399" s="1" t="n">
        <v>45952</v>
      </c>
      <c r="D13399" t="inlineStr">
        <is>
          <t>VÄSTRA GÖTALANDS LÄN</t>
        </is>
      </c>
      <c r="E13399" t="inlineStr">
        <is>
          <t>BOLLEBYGD</t>
        </is>
      </c>
      <c r="G13399" t="n">
        <v>2.4</v>
      </c>
      <c r="H13399" t="n">
        <v>0</v>
      </c>
      <c r="I13399" t="n">
        <v>0</v>
      </c>
      <c r="J13399" t="n">
        <v>0</v>
      </c>
      <c r="K13399" t="n">
        <v>0</v>
      </c>
      <c r="L13399" t="n">
        <v>0</v>
      </c>
      <c r="M13399" t="n">
        <v>0</v>
      </c>
      <c r="N13399" t="n">
        <v>0</v>
      </c>
      <c r="O13399" t="n">
        <v>0</v>
      </c>
      <c r="P13399" t="n">
        <v>0</v>
      </c>
      <c r="Q13399" t="n">
        <v>0</v>
      </c>
      <c r="R13399" s="2" t="inlineStr"/>
    </row>
    <row r="13400" ht="15" customHeight="1">
      <c r="A13400" t="inlineStr">
        <is>
          <t>A 31718-2023</t>
        </is>
      </c>
      <c r="B13400" s="1" t="n">
        <v>45117.88568287037</v>
      </c>
      <c r="C13400" s="1" t="n">
        <v>45952</v>
      </c>
      <c r="D13400" t="inlineStr">
        <is>
          <t>VÄSTRA GÖTALANDS LÄN</t>
        </is>
      </c>
      <c r="E13400" t="inlineStr">
        <is>
          <t>BOLLEBYGD</t>
        </is>
      </c>
      <c r="G13400" t="n">
        <v>3.6</v>
      </c>
      <c r="H13400" t="n">
        <v>0</v>
      </c>
      <c r="I13400" t="n">
        <v>0</v>
      </c>
      <c r="J13400" t="n">
        <v>0</v>
      </c>
      <c r="K13400" t="n">
        <v>0</v>
      </c>
      <c r="L13400" t="n">
        <v>0</v>
      </c>
      <c r="M13400" t="n">
        <v>0</v>
      </c>
      <c r="N13400" t="n">
        <v>0</v>
      </c>
      <c r="O13400" t="n">
        <v>0</v>
      </c>
      <c r="P13400" t="n">
        <v>0</v>
      </c>
      <c r="Q13400" t="n">
        <v>0</v>
      </c>
      <c r="R13400" s="2" t="inlineStr"/>
    </row>
    <row r="13401" ht="15" customHeight="1">
      <c r="A13401" t="inlineStr">
        <is>
          <t>A 17563-2025</t>
        </is>
      </c>
      <c r="B13401" s="1" t="n">
        <v>45757.63945601852</v>
      </c>
      <c r="C13401" s="1" t="n">
        <v>45952</v>
      </c>
      <c r="D13401" t="inlineStr">
        <is>
          <t>VÄSTRA GÖTALANDS LÄN</t>
        </is>
      </c>
      <c r="E13401" t="inlineStr">
        <is>
          <t>ULRICEHAMN</t>
        </is>
      </c>
      <c r="G13401" t="n">
        <v>0.7</v>
      </c>
      <c r="H13401" t="n">
        <v>0</v>
      </c>
      <c r="I13401" t="n">
        <v>0</v>
      </c>
      <c r="J13401" t="n">
        <v>0</v>
      </c>
      <c r="K13401" t="n">
        <v>0</v>
      </c>
      <c r="L13401" t="n">
        <v>0</v>
      </c>
      <c r="M13401" t="n">
        <v>0</v>
      </c>
      <c r="N13401" t="n">
        <v>0</v>
      </c>
      <c r="O13401" t="n">
        <v>0</v>
      </c>
      <c r="P13401" t="n">
        <v>0</v>
      </c>
      <c r="Q13401" t="n">
        <v>0</v>
      </c>
      <c r="R13401" s="2" t="inlineStr"/>
    </row>
    <row r="13402" ht="15" customHeight="1">
      <c r="A13402" t="inlineStr">
        <is>
          <t>A 17586-2025</t>
        </is>
      </c>
      <c r="B13402" s="1" t="n">
        <v>45757.67545138889</v>
      </c>
      <c r="C13402" s="1" t="n">
        <v>45952</v>
      </c>
      <c r="D13402" t="inlineStr">
        <is>
          <t>VÄSTRA GÖTALANDS LÄN</t>
        </is>
      </c>
      <c r="E13402" t="inlineStr">
        <is>
          <t>ULRICEHAMN</t>
        </is>
      </c>
      <c r="G13402" t="n">
        <v>1.4</v>
      </c>
      <c r="H13402" t="n">
        <v>0</v>
      </c>
      <c r="I13402" t="n">
        <v>0</v>
      </c>
      <c r="J13402" t="n">
        <v>0</v>
      </c>
      <c r="K13402" t="n">
        <v>0</v>
      </c>
      <c r="L13402" t="n">
        <v>0</v>
      </c>
      <c r="M13402" t="n">
        <v>0</v>
      </c>
      <c r="N13402" t="n">
        <v>0</v>
      </c>
      <c r="O13402" t="n">
        <v>0</v>
      </c>
      <c r="P13402" t="n">
        <v>0</v>
      </c>
      <c r="Q13402" t="n">
        <v>0</v>
      </c>
      <c r="R13402" s="2" t="inlineStr"/>
    </row>
    <row r="13403" ht="15" customHeight="1">
      <c r="A13403" t="inlineStr">
        <is>
          <t>A 6374-2025</t>
        </is>
      </c>
      <c r="B13403" s="1" t="n">
        <v>45699.40152777778</v>
      </c>
      <c r="C13403" s="1" t="n">
        <v>45952</v>
      </c>
      <c r="D13403" t="inlineStr">
        <is>
          <t>VÄSTRA GÖTALANDS LÄN</t>
        </is>
      </c>
      <c r="E13403" t="inlineStr">
        <is>
          <t>BORÅS</t>
        </is>
      </c>
      <c r="G13403" t="n">
        <v>1.7</v>
      </c>
      <c r="H13403" t="n">
        <v>0</v>
      </c>
      <c r="I13403" t="n">
        <v>0</v>
      </c>
      <c r="J13403" t="n">
        <v>0</v>
      </c>
      <c r="K13403" t="n">
        <v>0</v>
      </c>
      <c r="L13403" t="n">
        <v>0</v>
      </c>
      <c r="M13403" t="n">
        <v>0</v>
      </c>
      <c r="N13403" t="n">
        <v>0</v>
      </c>
      <c r="O13403" t="n">
        <v>0</v>
      </c>
      <c r="P13403" t="n">
        <v>0</v>
      </c>
      <c r="Q13403" t="n">
        <v>0</v>
      </c>
      <c r="R13403" s="2" t="inlineStr"/>
    </row>
    <row r="13404" ht="15" customHeight="1">
      <c r="A13404" t="inlineStr">
        <is>
          <t>A 17588-2025</t>
        </is>
      </c>
      <c r="B13404" s="1" t="n">
        <v>45757.67739583334</v>
      </c>
      <c r="C13404" s="1" t="n">
        <v>45952</v>
      </c>
      <c r="D13404" t="inlineStr">
        <is>
          <t>VÄSTRA GÖTALANDS LÄN</t>
        </is>
      </c>
      <c r="E13404" t="inlineStr">
        <is>
          <t>ULRICEHAMN</t>
        </is>
      </c>
      <c r="G13404" t="n">
        <v>2.5</v>
      </c>
      <c r="H13404" t="n">
        <v>0</v>
      </c>
      <c r="I13404" t="n">
        <v>0</v>
      </c>
      <c r="J13404" t="n">
        <v>0</v>
      </c>
      <c r="K13404" t="n">
        <v>0</v>
      </c>
      <c r="L13404" t="n">
        <v>0</v>
      </c>
      <c r="M13404" t="n">
        <v>0</v>
      </c>
      <c r="N13404" t="n">
        <v>0</v>
      </c>
      <c r="O13404" t="n">
        <v>0</v>
      </c>
      <c r="P13404" t="n">
        <v>0</v>
      </c>
      <c r="Q13404" t="n">
        <v>0</v>
      </c>
      <c r="R13404" s="2" t="inlineStr"/>
    </row>
    <row r="13405" ht="15" customHeight="1">
      <c r="A13405" t="inlineStr">
        <is>
          <t>A 9644-2025</t>
        </is>
      </c>
      <c r="B13405" s="1" t="n">
        <v>45715.8704050926</v>
      </c>
      <c r="C13405" s="1" t="n">
        <v>45952</v>
      </c>
      <c r="D13405" t="inlineStr">
        <is>
          <t>VÄSTRA GÖTALANDS LÄN</t>
        </is>
      </c>
      <c r="E13405" t="inlineStr">
        <is>
          <t>TRANEMO</t>
        </is>
      </c>
      <c r="G13405" t="n">
        <v>2.4</v>
      </c>
      <c r="H13405" t="n">
        <v>0</v>
      </c>
      <c r="I13405" t="n">
        <v>0</v>
      </c>
      <c r="J13405" t="n">
        <v>0</v>
      </c>
      <c r="K13405" t="n">
        <v>0</v>
      </c>
      <c r="L13405" t="n">
        <v>0</v>
      </c>
      <c r="M13405" t="n">
        <v>0</v>
      </c>
      <c r="N13405" t="n">
        <v>0</v>
      </c>
      <c r="O13405" t="n">
        <v>0</v>
      </c>
      <c r="P13405" t="n">
        <v>0</v>
      </c>
      <c r="Q13405" t="n">
        <v>0</v>
      </c>
      <c r="R13405" s="2" t="inlineStr"/>
    </row>
    <row r="13406" ht="15" customHeight="1">
      <c r="A13406" t="inlineStr">
        <is>
          <t>A 17611-2025</t>
        </is>
      </c>
      <c r="B13406" s="1" t="n">
        <v>45757.79642361111</v>
      </c>
      <c r="C13406" s="1" t="n">
        <v>45952</v>
      </c>
      <c r="D13406" t="inlineStr">
        <is>
          <t>VÄSTRA GÖTALANDS LÄN</t>
        </is>
      </c>
      <c r="E13406" t="inlineStr">
        <is>
          <t>TIBRO</t>
        </is>
      </c>
      <c r="G13406" t="n">
        <v>2.7</v>
      </c>
      <c r="H13406" t="n">
        <v>0</v>
      </c>
      <c r="I13406" t="n">
        <v>0</v>
      </c>
      <c r="J13406" t="n">
        <v>0</v>
      </c>
      <c r="K13406" t="n">
        <v>0</v>
      </c>
      <c r="L13406" t="n">
        <v>0</v>
      </c>
      <c r="M13406" t="n">
        <v>0</v>
      </c>
      <c r="N13406" t="n">
        <v>0</v>
      </c>
      <c r="O13406" t="n">
        <v>0</v>
      </c>
      <c r="P13406" t="n">
        <v>0</v>
      </c>
      <c r="Q13406" t="n">
        <v>0</v>
      </c>
      <c r="R13406" s="2" t="inlineStr"/>
    </row>
    <row r="13407" ht="15" customHeight="1">
      <c r="A13407" t="inlineStr">
        <is>
          <t>A 17616-2025</t>
        </is>
      </c>
      <c r="B13407" s="1" t="n">
        <v>45757.82684027778</v>
      </c>
      <c r="C13407" s="1" t="n">
        <v>45952</v>
      </c>
      <c r="D13407" t="inlineStr">
        <is>
          <t>VÄSTRA GÖTALANDS LÄN</t>
        </is>
      </c>
      <c r="E13407" t="inlineStr">
        <is>
          <t>HÄRRYDA</t>
        </is>
      </c>
      <c r="G13407" t="n">
        <v>1.2</v>
      </c>
      <c r="H13407" t="n">
        <v>0</v>
      </c>
      <c r="I13407" t="n">
        <v>0</v>
      </c>
      <c r="J13407" t="n">
        <v>0</v>
      </c>
      <c r="K13407" t="n">
        <v>0</v>
      </c>
      <c r="L13407" t="n">
        <v>0</v>
      </c>
      <c r="M13407" t="n">
        <v>0</v>
      </c>
      <c r="N13407" t="n">
        <v>0</v>
      </c>
      <c r="O13407" t="n">
        <v>0</v>
      </c>
      <c r="P13407" t="n">
        <v>0</v>
      </c>
      <c r="Q13407" t="n">
        <v>0</v>
      </c>
      <c r="R13407" s="2" t="inlineStr"/>
    </row>
    <row r="13408" ht="15" customHeight="1">
      <c r="A13408" t="inlineStr">
        <is>
          <t>A 51497-2022</t>
        </is>
      </c>
      <c r="B13408" s="1" t="n">
        <v>44869</v>
      </c>
      <c r="C13408" s="1" t="n">
        <v>45952</v>
      </c>
      <c r="D13408" t="inlineStr">
        <is>
          <t>VÄSTRA GÖTALANDS LÄN</t>
        </is>
      </c>
      <c r="E13408" t="inlineStr">
        <is>
          <t>MARK</t>
        </is>
      </c>
      <c r="G13408" t="n">
        <v>1.5</v>
      </c>
      <c r="H13408" t="n">
        <v>0</v>
      </c>
      <c r="I13408" t="n">
        <v>0</v>
      </c>
      <c r="J13408" t="n">
        <v>0</v>
      </c>
      <c r="K13408" t="n">
        <v>0</v>
      </c>
      <c r="L13408" t="n">
        <v>0</v>
      </c>
      <c r="M13408" t="n">
        <v>0</v>
      </c>
      <c r="N13408" t="n">
        <v>0</v>
      </c>
      <c r="O13408" t="n">
        <v>0</v>
      </c>
      <c r="P13408" t="n">
        <v>0</v>
      </c>
      <c r="Q13408" t="n">
        <v>0</v>
      </c>
      <c r="R13408" s="2" t="inlineStr"/>
    </row>
    <row r="13409" ht="15" customHeight="1">
      <c r="A13409" t="inlineStr">
        <is>
          <t>A 3114-2024</t>
        </is>
      </c>
      <c r="B13409" s="1" t="n">
        <v>45316.4958449074</v>
      </c>
      <c r="C13409" s="1" t="n">
        <v>45952</v>
      </c>
      <c r="D13409" t="inlineStr">
        <is>
          <t>VÄSTRA GÖTALANDS LÄN</t>
        </is>
      </c>
      <c r="E13409" t="inlineStr">
        <is>
          <t>MARK</t>
        </is>
      </c>
      <c r="G13409" t="n">
        <v>1.4</v>
      </c>
      <c r="H13409" t="n">
        <v>0</v>
      </c>
      <c r="I13409" t="n">
        <v>0</v>
      </c>
      <c r="J13409" t="n">
        <v>0</v>
      </c>
      <c r="K13409" t="n">
        <v>0</v>
      </c>
      <c r="L13409" t="n">
        <v>0</v>
      </c>
      <c r="M13409" t="n">
        <v>0</v>
      </c>
      <c r="N13409" t="n">
        <v>0</v>
      </c>
      <c r="O13409" t="n">
        <v>0</v>
      </c>
      <c r="P13409" t="n">
        <v>0</v>
      </c>
      <c r="Q13409" t="n">
        <v>0</v>
      </c>
      <c r="R13409" s="2" t="inlineStr"/>
    </row>
    <row r="13410" ht="15" customHeight="1">
      <c r="A13410" t="inlineStr">
        <is>
          <t>A 5715-2024</t>
        </is>
      </c>
      <c r="B13410" s="1" t="n">
        <v>45334</v>
      </c>
      <c r="C13410" s="1" t="n">
        <v>45952</v>
      </c>
      <c r="D13410" t="inlineStr">
        <is>
          <t>VÄSTRA GÖTALANDS LÄN</t>
        </is>
      </c>
      <c r="E13410" t="inlineStr">
        <is>
          <t>ORUST</t>
        </is>
      </c>
      <c r="G13410" t="n">
        <v>1.5</v>
      </c>
      <c r="H13410" t="n">
        <v>0</v>
      </c>
      <c r="I13410" t="n">
        <v>0</v>
      </c>
      <c r="J13410" t="n">
        <v>0</v>
      </c>
      <c r="K13410" t="n">
        <v>0</v>
      </c>
      <c r="L13410" t="n">
        <v>0</v>
      </c>
      <c r="M13410" t="n">
        <v>0</v>
      </c>
      <c r="N13410" t="n">
        <v>0</v>
      </c>
      <c r="O13410" t="n">
        <v>0</v>
      </c>
      <c r="P13410" t="n">
        <v>0</v>
      </c>
      <c r="Q13410" t="n">
        <v>0</v>
      </c>
      <c r="R13410" s="2" t="inlineStr"/>
    </row>
    <row r="13411" ht="15" customHeight="1">
      <c r="A13411" t="inlineStr">
        <is>
          <t>A 40169-2023</t>
        </is>
      </c>
      <c r="B13411" s="1" t="n">
        <v>45169</v>
      </c>
      <c r="C13411" s="1" t="n">
        <v>45952</v>
      </c>
      <c r="D13411" t="inlineStr">
        <is>
          <t>VÄSTRA GÖTALANDS LÄN</t>
        </is>
      </c>
      <c r="E13411" t="inlineStr">
        <is>
          <t>TRANEMO</t>
        </is>
      </c>
      <c r="G13411" t="n">
        <v>0.5</v>
      </c>
      <c r="H13411" t="n">
        <v>0</v>
      </c>
      <c r="I13411" t="n">
        <v>0</v>
      </c>
      <c r="J13411" t="n">
        <v>0</v>
      </c>
      <c r="K13411" t="n">
        <v>0</v>
      </c>
      <c r="L13411" t="n">
        <v>0</v>
      </c>
      <c r="M13411" t="n">
        <v>0</v>
      </c>
      <c r="N13411" t="n">
        <v>0</v>
      </c>
      <c r="O13411" t="n">
        <v>0</v>
      </c>
      <c r="P13411" t="n">
        <v>0</v>
      </c>
      <c r="Q13411" t="n">
        <v>0</v>
      </c>
      <c r="R13411" s="2" t="inlineStr"/>
    </row>
    <row r="13412" ht="15" customHeight="1">
      <c r="A13412" t="inlineStr">
        <is>
          <t>A 48915-2023</t>
        </is>
      </c>
      <c r="B13412" s="1" t="n">
        <v>45209.54509259259</v>
      </c>
      <c r="C13412" s="1" t="n">
        <v>45952</v>
      </c>
      <c r="D13412" t="inlineStr">
        <is>
          <t>VÄSTRA GÖTALANDS LÄN</t>
        </is>
      </c>
      <c r="E13412" t="inlineStr">
        <is>
          <t>MARK</t>
        </is>
      </c>
      <c r="G13412" t="n">
        <v>0.9</v>
      </c>
      <c r="H13412" t="n">
        <v>0</v>
      </c>
      <c r="I13412" t="n">
        <v>0</v>
      </c>
      <c r="J13412" t="n">
        <v>0</v>
      </c>
      <c r="K13412" t="n">
        <v>0</v>
      </c>
      <c r="L13412" t="n">
        <v>0</v>
      </c>
      <c r="M13412" t="n">
        <v>0</v>
      </c>
      <c r="N13412" t="n">
        <v>0</v>
      </c>
      <c r="O13412" t="n">
        <v>0</v>
      </c>
      <c r="P13412" t="n">
        <v>0</v>
      </c>
      <c r="Q13412" t="n">
        <v>0</v>
      </c>
      <c r="R13412" s="2" t="inlineStr"/>
    </row>
    <row r="13413" ht="15" customHeight="1">
      <c r="A13413" t="inlineStr">
        <is>
          <t>A 44453-2025</t>
        </is>
      </c>
      <c r="B13413" s="1" t="n">
        <v>45916.60880787037</v>
      </c>
      <c r="C13413" s="1" t="n">
        <v>45952</v>
      </c>
      <c r="D13413" t="inlineStr">
        <is>
          <t>VÄSTRA GÖTALANDS LÄN</t>
        </is>
      </c>
      <c r="E13413" t="inlineStr">
        <is>
          <t>MUNKEDAL</t>
        </is>
      </c>
      <c r="G13413" t="n">
        <v>1.1</v>
      </c>
      <c r="H13413" t="n">
        <v>0</v>
      </c>
      <c r="I13413" t="n">
        <v>0</v>
      </c>
      <c r="J13413" t="n">
        <v>0</v>
      </c>
      <c r="K13413" t="n">
        <v>0</v>
      </c>
      <c r="L13413" t="n">
        <v>0</v>
      </c>
      <c r="M13413" t="n">
        <v>0</v>
      </c>
      <c r="N13413" t="n">
        <v>0</v>
      </c>
      <c r="O13413" t="n">
        <v>0</v>
      </c>
      <c r="P13413" t="n">
        <v>0</v>
      </c>
      <c r="Q13413" t="n">
        <v>0</v>
      </c>
      <c r="R13413" s="2" t="inlineStr"/>
    </row>
    <row r="13414" ht="15" customHeight="1">
      <c r="A13414" t="inlineStr">
        <is>
          <t>A 44393-2025</t>
        </is>
      </c>
      <c r="B13414" s="1" t="n">
        <v>45916.49414351852</v>
      </c>
      <c r="C13414" s="1" t="n">
        <v>45952</v>
      </c>
      <c r="D13414" t="inlineStr">
        <is>
          <t>VÄSTRA GÖTALANDS LÄN</t>
        </is>
      </c>
      <c r="E13414" t="inlineStr">
        <is>
          <t>HERRLJUNGA</t>
        </is>
      </c>
      <c r="G13414" t="n">
        <v>1</v>
      </c>
      <c r="H13414" t="n">
        <v>0</v>
      </c>
      <c r="I13414" t="n">
        <v>0</v>
      </c>
      <c r="J13414" t="n">
        <v>0</v>
      </c>
      <c r="K13414" t="n">
        <v>0</v>
      </c>
      <c r="L13414" t="n">
        <v>0</v>
      </c>
      <c r="M13414" t="n">
        <v>0</v>
      </c>
      <c r="N13414" t="n">
        <v>0</v>
      </c>
      <c r="O13414" t="n">
        <v>0</v>
      </c>
      <c r="P13414" t="n">
        <v>0</v>
      </c>
      <c r="Q13414" t="n">
        <v>0</v>
      </c>
      <c r="R13414" s="2" t="inlineStr"/>
    </row>
    <row r="13415" ht="15" customHeight="1">
      <c r="A13415" t="inlineStr">
        <is>
          <t>A 45608-2022</t>
        </is>
      </c>
      <c r="B13415" s="1" t="n">
        <v>44845.58590277778</v>
      </c>
      <c r="C13415" s="1" t="n">
        <v>45952</v>
      </c>
      <c r="D13415" t="inlineStr">
        <is>
          <t>VÄSTRA GÖTALANDS LÄN</t>
        </is>
      </c>
      <c r="E13415" t="inlineStr">
        <is>
          <t>LIDKÖPING</t>
        </is>
      </c>
      <c r="G13415" t="n">
        <v>17</v>
      </c>
      <c r="H13415" t="n">
        <v>0</v>
      </c>
      <c r="I13415" t="n">
        <v>0</v>
      </c>
      <c r="J13415" t="n">
        <v>0</v>
      </c>
      <c r="K13415" t="n">
        <v>0</v>
      </c>
      <c r="L13415" t="n">
        <v>0</v>
      </c>
      <c r="M13415" t="n">
        <v>0</v>
      </c>
      <c r="N13415" t="n">
        <v>0</v>
      </c>
      <c r="O13415" t="n">
        <v>0</v>
      </c>
      <c r="P13415" t="n">
        <v>0</v>
      </c>
      <c r="Q13415" t="n">
        <v>0</v>
      </c>
      <c r="R13415" s="2" t="inlineStr"/>
    </row>
    <row r="13416" ht="15" customHeight="1">
      <c r="A13416" t="inlineStr">
        <is>
          <t>A 36884-2025</t>
        </is>
      </c>
      <c r="B13416" s="1" t="n">
        <v>45874.44050925926</v>
      </c>
      <c r="C13416" s="1" t="n">
        <v>45952</v>
      </c>
      <c r="D13416" t="inlineStr">
        <is>
          <t>VÄSTRA GÖTALANDS LÄN</t>
        </is>
      </c>
      <c r="E13416" t="inlineStr">
        <is>
          <t>TANUM</t>
        </is>
      </c>
      <c r="G13416" t="n">
        <v>1</v>
      </c>
      <c r="H13416" t="n">
        <v>0</v>
      </c>
      <c r="I13416" t="n">
        <v>0</v>
      </c>
      <c r="J13416" t="n">
        <v>0</v>
      </c>
      <c r="K13416" t="n">
        <v>0</v>
      </c>
      <c r="L13416" t="n">
        <v>0</v>
      </c>
      <c r="M13416" t="n">
        <v>0</v>
      </c>
      <c r="N13416" t="n">
        <v>0</v>
      </c>
      <c r="O13416" t="n">
        <v>0</v>
      </c>
      <c r="P13416" t="n">
        <v>0</v>
      </c>
      <c r="Q13416" t="n">
        <v>0</v>
      </c>
      <c r="R13416" s="2" t="inlineStr"/>
    </row>
    <row r="13417" ht="15" customHeight="1">
      <c r="A13417" t="inlineStr">
        <is>
          <t>A 60268-2024</t>
        </is>
      </c>
      <c r="B13417" s="1" t="n">
        <v>45642.86667824074</v>
      </c>
      <c r="C13417" s="1" t="n">
        <v>45952</v>
      </c>
      <c r="D13417" t="inlineStr">
        <is>
          <t>VÄSTRA GÖTALANDS LÄN</t>
        </is>
      </c>
      <c r="E13417" t="inlineStr">
        <is>
          <t>TÖREBODA</t>
        </is>
      </c>
      <c r="G13417" t="n">
        <v>3.4</v>
      </c>
      <c r="H13417" t="n">
        <v>0</v>
      </c>
      <c r="I13417" t="n">
        <v>0</v>
      </c>
      <c r="J13417" t="n">
        <v>0</v>
      </c>
      <c r="K13417" t="n">
        <v>0</v>
      </c>
      <c r="L13417" t="n">
        <v>0</v>
      </c>
      <c r="M13417" t="n">
        <v>0</v>
      </c>
      <c r="N13417" t="n">
        <v>0</v>
      </c>
      <c r="O13417" t="n">
        <v>0</v>
      </c>
      <c r="P13417" t="n">
        <v>0</v>
      </c>
      <c r="Q13417" t="n">
        <v>0</v>
      </c>
      <c r="R13417" s="2" t="inlineStr"/>
    </row>
    <row r="13418" ht="15" customHeight="1">
      <c r="A13418" t="inlineStr">
        <is>
          <t>A 8552-2024</t>
        </is>
      </c>
      <c r="B13418" s="1" t="n">
        <v>45351</v>
      </c>
      <c r="C13418" s="1" t="n">
        <v>45952</v>
      </c>
      <c r="D13418" t="inlineStr">
        <is>
          <t>VÄSTRA GÖTALANDS LÄN</t>
        </is>
      </c>
      <c r="E13418" t="inlineStr">
        <is>
          <t>MUNKEDAL</t>
        </is>
      </c>
      <c r="F13418" t="inlineStr">
        <is>
          <t>Övriga Aktiebolag</t>
        </is>
      </c>
      <c r="G13418" t="n">
        <v>22.5</v>
      </c>
      <c r="H13418" t="n">
        <v>0</v>
      </c>
      <c r="I13418" t="n">
        <v>0</v>
      </c>
      <c r="J13418" t="n">
        <v>0</v>
      </c>
      <c r="K13418" t="n">
        <v>0</v>
      </c>
      <c r="L13418" t="n">
        <v>0</v>
      </c>
      <c r="M13418" t="n">
        <v>0</v>
      </c>
      <c r="N13418" t="n">
        <v>0</v>
      </c>
      <c r="O13418" t="n">
        <v>0</v>
      </c>
      <c r="P13418" t="n">
        <v>0</v>
      </c>
      <c r="Q13418" t="n">
        <v>0</v>
      </c>
      <c r="R13418" s="2" t="inlineStr"/>
    </row>
    <row r="13419" ht="15" customHeight="1">
      <c r="A13419" t="inlineStr">
        <is>
          <t>A 44310-2025</t>
        </is>
      </c>
      <c r="B13419" s="1" t="n">
        <v>45916.38266203704</v>
      </c>
      <c r="C13419" s="1" t="n">
        <v>45952</v>
      </c>
      <c r="D13419" t="inlineStr">
        <is>
          <t>VÄSTRA GÖTALANDS LÄN</t>
        </is>
      </c>
      <c r="E13419" t="inlineStr">
        <is>
          <t>MELLERUD</t>
        </is>
      </c>
      <c r="G13419" t="n">
        <v>6.2</v>
      </c>
      <c r="H13419" t="n">
        <v>0</v>
      </c>
      <c r="I13419" t="n">
        <v>0</v>
      </c>
      <c r="J13419" t="n">
        <v>0</v>
      </c>
      <c r="K13419" t="n">
        <v>0</v>
      </c>
      <c r="L13419" t="n">
        <v>0</v>
      </c>
      <c r="M13419" t="n">
        <v>0</v>
      </c>
      <c r="N13419" t="n">
        <v>0</v>
      </c>
      <c r="O13419" t="n">
        <v>0</v>
      </c>
      <c r="P13419" t="n">
        <v>0</v>
      </c>
      <c r="Q13419" t="n">
        <v>0</v>
      </c>
      <c r="R13419" s="2" t="inlineStr"/>
    </row>
    <row r="13420" ht="15" customHeight="1">
      <c r="A13420" t="inlineStr">
        <is>
          <t>A 44367-2025</t>
        </is>
      </c>
      <c r="B13420" s="1" t="n">
        <v>45916.45898148148</v>
      </c>
      <c r="C13420" s="1" t="n">
        <v>45952</v>
      </c>
      <c r="D13420" t="inlineStr">
        <is>
          <t>VÄSTRA GÖTALANDS LÄN</t>
        </is>
      </c>
      <c r="E13420" t="inlineStr">
        <is>
          <t>LIDKÖPING</t>
        </is>
      </c>
      <c r="G13420" t="n">
        <v>2.2</v>
      </c>
      <c r="H13420" t="n">
        <v>0</v>
      </c>
      <c r="I13420" t="n">
        <v>0</v>
      </c>
      <c r="J13420" t="n">
        <v>0</v>
      </c>
      <c r="K13420" t="n">
        <v>0</v>
      </c>
      <c r="L13420" t="n">
        <v>0</v>
      </c>
      <c r="M13420" t="n">
        <v>0</v>
      </c>
      <c r="N13420" t="n">
        <v>0</v>
      </c>
      <c r="O13420" t="n">
        <v>0</v>
      </c>
      <c r="P13420" t="n">
        <v>0</v>
      </c>
      <c r="Q13420" t="n">
        <v>0</v>
      </c>
      <c r="R13420" s="2" t="inlineStr"/>
    </row>
    <row r="13421" ht="15" customHeight="1">
      <c r="A13421" t="inlineStr">
        <is>
          <t>A 44379-2025</t>
        </is>
      </c>
      <c r="B13421" s="1" t="n">
        <v>45916.48246527778</v>
      </c>
      <c r="C13421" s="1" t="n">
        <v>45952</v>
      </c>
      <c r="D13421" t="inlineStr">
        <is>
          <t>VÄSTRA GÖTALANDS LÄN</t>
        </is>
      </c>
      <c r="E13421" t="inlineStr">
        <is>
          <t>HERRLJUNGA</t>
        </is>
      </c>
      <c r="G13421" t="n">
        <v>1.5</v>
      </c>
      <c r="H13421" t="n">
        <v>0</v>
      </c>
      <c r="I13421" t="n">
        <v>0</v>
      </c>
      <c r="J13421" t="n">
        <v>0</v>
      </c>
      <c r="K13421" t="n">
        <v>0</v>
      </c>
      <c r="L13421" t="n">
        <v>0</v>
      </c>
      <c r="M13421" t="n">
        <v>0</v>
      </c>
      <c r="N13421" t="n">
        <v>0</v>
      </c>
      <c r="O13421" t="n">
        <v>0</v>
      </c>
      <c r="P13421" t="n">
        <v>0</v>
      </c>
      <c r="Q13421" t="n">
        <v>0</v>
      </c>
      <c r="R13421" s="2" t="inlineStr"/>
    </row>
    <row r="13422" ht="15" customHeight="1">
      <c r="A13422" t="inlineStr">
        <is>
          <t>A 52957-2022</t>
        </is>
      </c>
      <c r="B13422" s="1" t="n">
        <v>44875.70405092592</v>
      </c>
      <c r="C13422" s="1" t="n">
        <v>45952</v>
      </c>
      <c r="D13422" t="inlineStr">
        <is>
          <t>VÄSTRA GÖTALANDS LÄN</t>
        </is>
      </c>
      <c r="E13422" t="inlineStr">
        <is>
          <t>BORÅS</t>
        </is>
      </c>
      <c r="G13422" t="n">
        <v>5.8</v>
      </c>
      <c r="H13422" t="n">
        <v>0</v>
      </c>
      <c r="I13422" t="n">
        <v>0</v>
      </c>
      <c r="J13422" t="n">
        <v>0</v>
      </c>
      <c r="K13422" t="n">
        <v>0</v>
      </c>
      <c r="L13422" t="n">
        <v>0</v>
      </c>
      <c r="M13422" t="n">
        <v>0</v>
      </c>
      <c r="N13422" t="n">
        <v>0</v>
      </c>
      <c r="O13422" t="n">
        <v>0</v>
      </c>
      <c r="P13422" t="n">
        <v>0</v>
      </c>
      <c r="Q13422" t="n">
        <v>0</v>
      </c>
      <c r="R13422" s="2" t="inlineStr"/>
    </row>
    <row r="13423" ht="15" customHeight="1">
      <c r="A13423" t="inlineStr">
        <is>
          <t>A 44363-2025</t>
        </is>
      </c>
      <c r="B13423" s="1" t="n">
        <v>45915</v>
      </c>
      <c r="C13423" s="1" t="n">
        <v>45952</v>
      </c>
      <c r="D13423" t="inlineStr">
        <is>
          <t>VÄSTRA GÖTALANDS LÄN</t>
        </is>
      </c>
      <c r="E13423" t="inlineStr">
        <is>
          <t>GULLSPÅNG</t>
        </is>
      </c>
      <c r="G13423" t="n">
        <v>1.5</v>
      </c>
      <c r="H13423" t="n">
        <v>0</v>
      </c>
      <c r="I13423" t="n">
        <v>0</v>
      </c>
      <c r="J13423" t="n">
        <v>0</v>
      </c>
      <c r="K13423" t="n">
        <v>0</v>
      </c>
      <c r="L13423" t="n">
        <v>0</v>
      </c>
      <c r="M13423" t="n">
        <v>0</v>
      </c>
      <c r="N13423" t="n">
        <v>0</v>
      </c>
      <c r="O13423" t="n">
        <v>0</v>
      </c>
      <c r="P13423" t="n">
        <v>0</v>
      </c>
      <c r="Q13423" t="n">
        <v>0</v>
      </c>
      <c r="R13423" s="2" t="inlineStr"/>
    </row>
    <row r="13424" ht="15" customHeight="1">
      <c r="A13424" t="inlineStr">
        <is>
          <t>A 56602-2023</t>
        </is>
      </c>
      <c r="B13424" s="1" t="n">
        <v>45243.6625</v>
      </c>
      <c r="C13424" s="1" t="n">
        <v>45952</v>
      </c>
      <c r="D13424" t="inlineStr">
        <is>
          <t>VÄSTRA GÖTALANDS LÄN</t>
        </is>
      </c>
      <c r="E13424" t="inlineStr">
        <is>
          <t>STRÖMSTAD</t>
        </is>
      </c>
      <c r="G13424" t="n">
        <v>5</v>
      </c>
      <c r="H13424" t="n">
        <v>0</v>
      </c>
      <c r="I13424" t="n">
        <v>0</v>
      </c>
      <c r="J13424" t="n">
        <v>0</v>
      </c>
      <c r="K13424" t="n">
        <v>0</v>
      </c>
      <c r="L13424" t="n">
        <v>0</v>
      </c>
      <c r="M13424" t="n">
        <v>0</v>
      </c>
      <c r="N13424" t="n">
        <v>0</v>
      </c>
      <c r="O13424" t="n">
        <v>0</v>
      </c>
      <c r="P13424" t="n">
        <v>0</v>
      </c>
      <c r="Q13424" t="n">
        <v>0</v>
      </c>
      <c r="R13424" s="2" t="inlineStr"/>
    </row>
    <row r="13425" ht="15" customHeight="1">
      <c r="A13425" t="inlineStr">
        <is>
          <t>A 56626-2023</t>
        </is>
      </c>
      <c r="B13425" s="1" t="n">
        <v>45243.69475694445</v>
      </c>
      <c r="C13425" s="1" t="n">
        <v>45952</v>
      </c>
      <c r="D13425" t="inlineStr">
        <is>
          <t>VÄSTRA GÖTALANDS LÄN</t>
        </is>
      </c>
      <c r="E13425" t="inlineStr">
        <is>
          <t>SVENLJUNGA</t>
        </is>
      </c>
      <c r="G13425" t="n">
        <v>1.3</v>
      </c>
      <c r="H13425" t="n">
        <v>0</v>
      </c>
      <c r="I13425" t="n">
        <v>0</v>
      </c>
      <c r="J13425" t="n">
        <v>0</v>
      </c>
      <c r="K13425" t="n">
        <v>0</v>
      </c>
      <c r="L13425" t="n">
        <v>0</v>
      </c>
      <c r="M13425" t="n">
        <v>0</v>
      </c>
      <c r="N13425" t="n">
        <v>0</v>
      </c>
      <c r="O13425" t="n">
        <v>0</v>
      </c>
      <c r="P13425" t="n">
        <v>0</v>
      </c>
      <c r="Q13425" t="n">
        <v>0</v>
      </c>
      <c r="R13425" s="2" t="inlineStr"/>
    </row>
    <row r="13426" ht="15" customHeight="1">
      <c r="A13426" t="inlineStr">
        <is>
          <t>A 36838-2025</t>
        </is>
      </c>
      <c r="B13426" s="1" t="n">
        <v>45874.37011574074</v>
      </c>
      <c r="C13426" s="1" t="n">
        <v>45952</v>
      </c>
      <c r="D13426" t="inlineStr">
        <is>
          <t>VÄSTRA GÖTALANDS LÄN</t>
        </is>
      </c>
      <c r="E13426" t="inlineStr">
        <is>
          <t>VÅRGÅRDA</t>
        </is>
      </c>
      <c r="G13426" t="n">
        <v>3.2</v>
      </c>
      <c r="H13426" t="n">
        <v>0</v>
      </c>
      <c r="I13426" t="n">
        <v>0</v>
      </c>
      <c r="J13426" t="n">
        <v>0</v>
      </c>
      <c r="K13426" t="n">
        <v>0</v>
      </c>
      <c r="L13426" t="n">
        <v>0</v>
      </c>
      <c r="M13426" t="n">
        <v>0</v>
      </c>
      <c r="N13426" t="n">
        <v>0</v>
      </c>
      <c r="O13426" t="n">
        <v>0</v>
      </c>
      <c r="P13426" t="n">
        <v>0</v>
      </c>
      <c r="Q13426" t="n">
        <v>0</v>
      </c>
      <c r="R13426" s="2" t="inlineStr"/>
    </row>
    <row r="13427" ht="15" customHeight="1">
      <c r="A13427" t="inlineStr">
        <is>
          <t>A 20460-2022</t>
        </is>
      </c>
      <c r="B13427" s="1" t="n">
        <v>44699.60015046296</v>
      </c>
      <c r="C13427" s="1" t="n">
        <v>45952</v>
      </c>
      <c r="D13427" t="inlineStr">
        <is>
          <t>VÄSTRA GÖTALANDS LÄN</t>
        </is>
      </c>
      <c r="E13427" t="inlineStr">
        <is>
          <t>TRANEMO</t>
        </is>
      </c>
      <c r="G13427" t="n">
        <v>1.2</v>
      </c>
      <c r="H13427" t="n">
        <v>0</v>
      </c>
      <c r="I13427" t="n">
        <v>0</v>
      </c>
      <c r="J13427" t="n">
        <v>0</v>
      </c>
      <c r="K13427" t="n">
        <v>0</v>
      </c>
      <c r="L13427" t="n">
        <v>0</v>
      </c>
      <c r="M13427" t="n">
        <v>0</v>
      </c>
      <c r="N13427" t="n">
        <v>0</v>
      </c>
      <c r="O13427" t="n">
        <v>0</v>
      </c>
      <c r="P13427" t="n">
        <v>0</v>
      </c>
      <c r="Q13427" t="n">
        <v>0</v>
      </c>
      <c r="R13427" s="2" t="inlineStr"/>
    </row>
    <row r="13428" ht="15" customHeight="1">
      <c r="A13428" t="inlineStr">
        <is>
          <t>A 36374-2025</t>
        </is>
      </c>
      <c r="B13428" s="1" t="n">
        <v>45868</v>
      </c>
      <c r="C13428" s="1" t="n">
        <v>45952</v>
      </c>
      <c r="D13428" t="inlineStr">
        <is>
          <t>VÄSTRA GÖTALANDS LÄN</t>
        </is>
      </c>
      <c r="E13428" t="inlineStr">
        <is>
          <t>MARK</t>
        </is>
      </c>
      <c r="G13428" t="n">
        <v>1.5</v>
      </c>
      <c r="H13428" t="n">
        <v>0</v>
      </c>
      <c r="I13428" t="n">
        <v>0</v>
      </c>
      <c r="J13428" t="n">
        <v>0</v>
      </c>
      <c r="K13428" t="n">
        <v>0</v>
      </c>
      <c r="L13428" t="n">
        <v>0</v>
      </c>
      <c r="M13428" t="n">
        <v>0</v>
      </c>
      <c r="N13428" t="n">
        <v>0</v>
      </c>
      <c r="O13428" t="n">
        <v>0</v>
      </c>
      <c r="P13428" t="n">
        <v>0</v>
      </c>
      <c r="Q13428" t="n">
        <v>0</v>
      </c>
      <c r="R13428" s="2" t="inlineStr"/>
    </row>
    <row r="13429" ht="15" customHeight="1">
      <c r="A13429" t="inlineStr">
        <is>
          <t>A 12854-2024</t>
        </is>
      </c>
      <c r="B13429" s="1" t="n">
        <v>45384.91399305555</v>
      </c>
      <c r="C13429" s="1" t="n">
        <v>45952</v>
      </c>
      <c r="D13429" t="inlineStr">
        <is>
          <t>VÄSTRA GÖTALANDS LÄN</t>
        </is>
      </c>
      <c r="E13429" t="inlineStr">
        <is>
          <t>TANUM</t>
        </is>
      </c>
      <c r="G13429" t="n">
        <v>5.7</v>
      </c>
      <c r="H13429" t="n">
        <v>0</v>
      </c>
      <c r="I13429" t="n">
        <v>0</v>
      </c>
      <c r="J13429" t="n">
        <v>0</v>
      </c>
      <c r="K13429" t="n">
        <v>0</v>
      </c>
      <c r="L13429" t="n">
        <v>0</v>
      </c>
      <c r="M13429" t="n">
        <v>0</v>
      </c>
      <c r="N13429" t="n">
        <v>0</v>
      </c>
      <c r="O13429" t="n">
        <v>0</v>
      </c>
      <c r="P13429" t="n">
        <v>0</v>
      </c>
      <c r="Q13429" t="n">
        <v>0</v>
      </c>
      <c r="R13429" s="2" t="inlineStr"/>
    </row>
    <row r="13430" ht="15" customHeight="1">
      <c r="A13430" t="inlineStr">
        <is>
          <t>A 37041-2025</t>
        </is>
      </c>
      <c r="B13430" s="1" t="n">
        <v>45875</v>
      </c>
      <c r="C13430" s="1" t="n">
        <v>45952</v>
      </c>
      <c r="D13430" t="inlineStr">
        <is>
          <t>VÄSTRA GÖTALANDS LÄN</t>
        </is>
      </c>
      <c r="E13430" t="inlineStr">
        <is>
          <t>MARIESTAD</t>
        </is>
      </c>
      <c r="F13430" t="inlineStr">
        <is>
          <t>Sveaskog</t>
        </is>
      </c>
      <c r="G13430" t="n">
        <v>1.9</v>
      </c>
      <c r="H13430" t="n">
        <v>0</v>
      </c>
      <c r="I13430" t="n">
        <v>0</v>
      </c>
      <c r="J13430" t="n">
        <v>0</v>
      </c>
      <c r="K13430" t="n">
        <v>0</v>
      </c>
      <c r="L13430" t="n">
        <v>0</v>
      </c>
      <c r="M13430" t="n">
        <v>0</v>
      </c>
      <c r="N13430" t="n">
        <v>0</v>
      </c>
      <c r="O13430" t="n">
        <v>0</v>
      </c>
      <c r="P13430" t="n">
        <v>0</v>
      </c>
      <c r="Q13430" t="n">
        <v>0</v>
      </c>
      <c r="R13430" s="2" t="inlineStr"/>
    </row>
    <row r="13431" ht="15" customHeight="1">
      <c r="A13431" t="inlineStr">
        <is>
          <t>A 37060-2025</t>
        </is>
      </c>
      <c r="B13431" s="1" t="n">
        <v>45875.3753125</v>
      </c>
      <c r="C13431" s="1" t="n">
        <v>45952</v>
      </c>
      <c r="D13431" t="inlineStr">
        <is>
          <t>VÄSTRA GÖTALANDS LÄN</t>
        </is>
      </c>
      <c r="E13431" t="inlineStr">
        <is>
          <t>MARK</t>
        </is>
      </c>
      <c r="G13431" t="n">
        <v>1.6</v>
      </c>
      <c r="H13431" t="n">
        <v>0</v>
      </c>
      <c r="I13431" t="n">
        <v>0</v>
      </c>
      <c r="J13431" t="n">
        <v>0</v>
      </c>
      <c r="K13431" t="n">
        <v>0</v>
      </c>
      <c r="L13431" t="n">
        <v>0</v>
      </c>
      <c r="M13431" t="n">
        <v>0</v>
      </c>
      <c r="N13431" t="n">
        <v>0</v>
      </c>
      <c r="O13431" t="n">
        <v>0</v>
      </c>
      <c r="P13431" t="n">
        <v>0</v>
      </c>
      <c r="Q13431" t="n">
        <v>0</v>
      </c>
      <c r="R13431" s="2" t="inlineStr"/>
    </row>
    <row r="13432" ht="15" customHeight="1">
      <c r="A13432" t="inlineStr">
        <is>
          <t>A 44595-2025</t>
        </is>
      </c>
      <c r="B13432" s="1" t="n">
        <v>45917.42762731481</v>
      </c>
      <c r="C13432" s="1" t="n">
        <v>45952</v>
      </c>
      <c r="D13432" t="inlineStr">
        <is>
          <t>VÄSTRA GÖTALANDS LÄN</t>
        </is>
      </c>
      <c r="E13432" t="inlineStr">
        <is>
          <t>KARLSBORG</t>
        </is>
      </c>
      <c r="G13432" t="n">
        <v>5.3</v>
      </c>
      <c r="H13432" t="n">
        <v>0</v>
      </c>
      <c r="I13432" t="n">
        <v>0</v>
      </c>
      <c r="J13432" t="n">
        <v>0</v>
      </c>
      <c r="K13432" t="n">
        <v>0</v>
      </c>
      <c r="L13432" t="n">
        <v>0</v>
      </c>
      <c r="M13432" t="n">
        <v>0</v>
      </c>
      <c r="N13432" t="n">
        <v>0</v>
      </c>
      <c r="O13432" t="n">
        <v>0</v>
      </c>
      <c r="P13432" t="n">
        <v>0</v>
      </c>
      <c r="Q13432" t="n">
        <v>0</v>
      </c>
      <c r="R13432" s="2" t="inlineStr"/>
    </row>
    <row r="13433" ht="15" customHeight="1">
      <c r="A13433" t="inlineStr">
        <is>
          <t>A 44604-2025</t>
        </is>
      </c>
      <c r="B13433" s="1" t="n">
        <v>45908</v>
      </c>
      <c r="C13433" s="1" t="n">
        <v>45952</v>
      </c>
      <c r="D13433" t="inlineStr">
        <is>
          <t>VÄSTRA GÖTALANDS LÄN</t>
        </is>
      </c>
      <c r="E13433" t="inlineStr">
        <is>
          <t>MUNKEDAL</t>
        </is>
      </c>
      <c r="G13433" t="n">
        <v>0.8</v>
      </c>
      <c r="H13433" t="n">
        <v>0</v>
      </c>
      <c r="I13433" t="n">
        <v>0</v>
      </c>
      <c r="J13433" t="n">
        <v>0</v>
      </c>
      <c r="K13433" t="n">
        <v>0</v>
      </c>
      <c r="L13433" t="n">
        <v>0</v>
      </c>
      <c r="M13433" t="n">
        <v>0</v>
      </c>
      <c r="N13433" t="n">
        <v>0</v>
      </c>
      <c r="O13433" t="n">
        <v>0</v>
      </c>
      <c r="P13433" t="n">
        <v>0</v>
      </c>
      <c r="Q13433" t="n">
        <v>0</v>
      </c>
      <c r="R13433" s="2" t="inlineStr"/>
    </row>
    <row r="13434" ht="15" customHeight="1">
      <c r="A13434" t="inlineStr">
        <is>
          <t>A 6452-2025</t>
        </is>
      </c>
      <c r="B13434" s="1" t="n">
        <v>45699.55243055556</v>
      </c>
      <c r="C13434" s="1" t="n">
        <v>45952</v>
      </c>
      <c r="D13434" t="inlineStr">
        <is>
          <t>VÄSTRA GÖTALANDS LÄN</t>
        </is>
      </c>
      <c r="E13434" t="inlineStr">
        <is>
          <t>BENGTSFORS</t>
        </is>
      </c>
      <c r="G13434" t="n">
        <v>5.5</v>
      </c>
      <c r="H13434" t="n">
        <v>0</v>
      </c>
      <c r="I13434" t="n">
        <v>0</v>
      </c>
      <c r="J13434" t="n">
        <v>0</v>
      </c>
      <c r="K13434" t="n">
        <v>0</v>
      </c>
      <c r="L13434" t="n">
        <v>0</v>
      </c>
      <c r="M13434" t="n">
        <v>0</v>
      </c>
      <c r="N13434" t="n">
        <v>0</v>
      </c>
      <c r="O13434" t="n">
        <v>0</v>
      </c>
      <c r="P13434" t="n">
        <v>0</v>
      </c>
      <c r="Q13434" t="n">
        <v>0</v>
      </c>
      <c r="R13434" s="2" t="inlineStr"/>
    </row>
    <row r="13435" ht="15" customHeight="1">
      <c r="A13435" t="inlineStr">
        <is>
          <t>A 12238-2025</t>
        </is>
      </c>
      <c r="B13435" s="1" t="n">
        <v>45729.58333333334</v>
      </c>
      <c r="C13435" s="1" t="n">
        <v>45952</v>
      </c>
      <c r="D13435" t="inlineStr">
        <is>
          <t>VÄSTRA GÖTALANDS LÄN</t>
        </is>
      </c>
      <c r="E13435" t="inlineStr">
        <is>
          <t>STRÖMSTAD</t>
        </is>
      </c>
      <c r="G13435" t="n">
        <v>10.6</v>
      </c>
      <c r="H13435" t="n">
        <v>0</v>
      </c>
      <c r="I13435" t="n">
        <v>0</v>
      </c>
      <c r="J13435" t="n">
        <v>0</v>
      </c>
      <c r="K13435" t="n">
        <v>0</v>
      </c>
      <c r="L13435" t="n">
        <v>0</v>
      </c>
      <c r="M13435" t="n">
        <v>0</v>
      </c>
      <c r="N13435" t="n">
        <v>0</v>
      </c>
      <c r="O13435" t="n">
        <v>0</v>
      </c>
      <c r="P13435" t="n">
        <v>0</v>
      </c>
      <c r="Q13435" t="n">
        <v>0</v>
      </c>
      <c r="R13435" s="2" t="inlineStr"/>
    </row>
    <row r="13436" ht="15" customHeight="1">
      <c r="A13436" t="inlineStr">
        <is>
          <t>A 11772-2021</t>
        </is>
      </c>
      <c r="B13436" s="1" t="n">
        <v>44265</v>
      </c>
      <c r="C13436" s="1" t="n">
        <v>45952</v>
      </c>
      <c r="D13436" t="inlineStr">
        <is>
          <t>VÄSTRA GÖTALANDS LÄN</t>
        </is>
      </c>
      <c r="E13436" t="inlineStr">
        <is>
          <t>ULRICEHAMN</t>
        </is>
      </c>
      <c r="G13436" t="n">
        <v>4.8</v>
      </c>
      <c r="H13436" t="n">
        <v>0</v>
      </c>
      <c r="I13436" t="n">
        <v>0</v>
      </c>
      <c r="J13436" t="n">
        <v>0</v>
      </c>
      <c r="K13436" t="n">
        <v>0</v>
      </c>
      <c r="L13436" t="n">
        <v>0</v>
      </c>
      <c r="M13436" t="n">
        <v>0</v>
      </c>
      <c r="N13436" t="n">
        <v>0</v>
      </c>
      <c r="O13436" t="n">
        <v>0</v>
      </c>
      <c r="P13436" t="n">
        <v>0</v>
      </c>
      <c r="Q13436" t="n">
        <v>0</v>
      </c>
      <c r="R13436" s="2" t="inlineStr"/>
    </row>
    <row r="13437" ht="15" customHeight="1">
      <c r="A13437" t="inlineStr">
        <is>
          <t>A 69264-2021</t>
        </is>
      </c>
      <c r="B13437" s="1" t="n">
        <v>44531.43556712963</v>
      </c>
      <c r="C13437" s="1" t="n">
        <v>45952</v>
      </c>
      <c r="D13437" t="inlineStr">
        <is>
          <t>VÄSTRA GÖTALANDS LÄN</t>
        </is>
      </c>
      <c r="E13437" t="inlineStr">
        <is>
          <t>MARK</t>
        </is>
      </c>
      <c r="G13437" t="n">
        <v>1.5</v>
      </c>
      <c r="H13437" t="n">
        <v>0</v>
      </c>
      <c r="I13437" t="n">
        <v>0</v>
      </c>
      <c r="J13437" t="n">
        <v>0</v>
      </c>
      <c r="K13437" t="n">
        <v>0</v>
      </c>
      <c r="L13437" t="n">
        <v>0</v>
      </c>
      <c r="M13437" t="n">
        <v>0</v>
      </c>
      <c r="N13437" t="n">
        <v>0</v>
      </c>
      <c r="O13437" t="n">
        <v>0</v>
      </c>
      <c r="P13437" t="n">
        <v>0</v>
      </c>
      <c r="Q13437" t="n">
        <v>0</v>
      </c>
      <c r="R13437" s="2" t="inlineStr"/>
    </row>
    <row r="13438" ht="15" customHeight="1">
      <c r="A13438" t="inlineStr">
        <is>
          <t>A 4838-2022</t>
        </is>
      </c>
      <c r="B13438" s="1" t="n">
        <v>44592</v>
      </c>
      <c r="C13438" s="1" t="n">
        <v>45952</v>
      </c>
      <c r="D13438" t="inlineStr">
        <is>
          <t>VÄSTRA GÖTALANDS LÄN</t>
        </is>
      </c>
      <c r="E13438" t="inlineStr">
        <is>
          <t>FÄRGELANDA</t>
        </is>
      </c>
      <c r="G13438" t="n">
        <v>1.2</v>
      </c>
      <c r="H13438" t="n">
        <v>0</v>
      </c>
      <c r="I13438" t="n">
        <v>0</v>
      </c>
      <c r="J13438" t="n">
        <v>0</v>
      </c>
      <c r="K13438" t="n">
        <v>0</v>
      </c>
      <c r="L13438" t="n">
        <v>0</v>
      </c>
      <c r="M13438" t="n">
        <v>0</v>
      </c>
      <c r="N13438" t="n">
        <v>0</v>
      </c>
      <c r="O13438" t="n">
        <v>0</v>
      </c>
      <c r="P13438" t="n">
        <v>0</v>
      </c>
      <c r="Q13438" t="n">
        <v>0</v>
      </c>
      <c r="R13438" s="2" t="inlineStr"/>
    </row>
    <row r="13439" ht="15" customHeight="1">
      <c r="A13439" t="inlineStr">
        <is>
          <t>A 37089-2025</t>
        </is>
      </c>
      <c r="B13439" s="1" t="n">
        <v>45875.46065972222</v>
      </c>
      <c r="C13439" s="1" t="n">
        <v>45952</v>
      </c>
      <c r="D13439" t="inlineStr">
        <is>
          <t>VÄSTRA GÖTALANDS LÄN</t>
        </is>
      </c>
      <c r="E13439" t="inlineStr">
        <is>
          <t>HERRLJUNGA</t>
        </is>
      </c>
      <c r="G13439" t="n">
        <v>5.1</v>
      </c>
      <c r="H13439" t="n">
        <v>0</v>
      </c>
      <c r="I13439" t="n">
        <v>0</v>
      </c>
      <c r="J13439" t="n">
        <v>0</v>
      </c>
      <c r="K13439" t="n">
        <v>0</v>
      </c>
      <c r="L13439" t="n">
        <v>0</v>
      </c>
      <c r="M13439" t="n">
        <v>0</v>
      </c>
      <c r="N13439" t="n">
        <v>0</v>
      </c>
      <c r="O13439" t="n">
        <v>0</v>
      </c>
      <c r="P13439" t="n">
        <v>0</v>
      </c>
      <c r="Q13439" t="n">
        <v>0</v>
      </c>
      <c r="R13439" s="2" t="inlineStr"/>
    </row>
    <row r="13440" ht="15" customHeight="1">
      <c r="A13440" t="inlineStr">
        <is>
          <t>A 37090-2025</t>
        </is>
      </c>
      <c r="B13440" s="1" t="n">
        <v>45875.46194444445</v>
      </c>
      <c r="C13440" s="1" t="n">
        <v>45952</v>
      </c>
      <c r="D13440" t="inlineStr">
        <is>
          <t>VÄSTRA GÖTALANDS LÄN</t>
        </is>
      </c>
      <c r="E13440" t="inlineStr">
        <is>
          <t>HERRLJUNGA</t>
        </is>
      </c>
      <c r="G13440" t="n">
        <v>2</v>
      </c>
      <c r="H13440" t="n">
        <v>0</v>
      </c>
      <c r="I13440" t="n">
        <v>0</v>
      </c>
      <c r="J13440" t="n">
        <v>0</v>
      </c>
      <c r="K13440" t="n">
        <v>0</v>
      </c>
      <c r="L13440" t="n">
        <v>0</v>
      </c>
      <c r="M13440" t="n">
        <v>0</v>
      </c>
      <c r="N13440" t="n">
        <v>0</v>
      </c>
      <c r="O13440" t="n">
        <v>0</v>
      </c>
      <c r="P13440" t="n">
        <v>0</v>
      </c>
      <c r="Q13440" t="n">
        <v>0</v>
      </c>
      <c r="R13440" s="2" t="inlineStr"/>
    </row>
    <row r="13441" ht="15" customHeight="1">
      <c r="A13441" t="inlineStr">
        <is>
          <t>A 44552-2025</t>
        </is>
      </c>
      <c r="B13441" s="1" t="n">
        <v>45917.33799768519</v>
      </c>
      <c r="C13441" s="1" t="n">
        <v>45952</v>
      </c>
      <c r="D13441" t="inlineStr">
        <is>
          <t>VÄSTRA GÖTALANDS LÄN</t>
        </is>
      </c>
      <c r="E13441" t="inlineStr">
        <is>
          <t>FÄRGELANDA</t>
        </is>
      </c>
      <c r="G13441" t="n">
        <v>1.7</v>
      </c>
      <c r="H13441" t="n">
        <v>0</v>
      </c>
      <c r="I13441" t="n">
        <v>0</v>
      </c>
      <c r="J13441" t="n">
        <v>0</v>
      </c>
      <c r="K13441" t="n">
        <v>0</v>
      </c>
      <c r="L13441" t="n">
        <v>0</v>
      </c>
      <c r="M13441" t="n">
        <v>0</v>
      </c>
      <c r="N13441" t="n">
        <v>0</v>
      </c>
      <c r="O13441" t="n">
        <v>0</v>
      </c>
      <c r="P13441" t="n">
        <v>0</v>
      </c>
      <c r="Q13441" t="n">
        <v>0</v>
      </c>
      <c r="R13441" s="2" t="inlineStr"/>
    </row>
    <row r="13442" ht="15" customHeight="1">
      <c r="A13442" t="inlineStr">
        <is>
          <t>A 44584-2025</t>
        </is>
      </c>
      <c r="B13442" s="1" t="n">
        <v>45917.41353009259</v>
      </c>
      <c r="C13442" s="1" t="n">
        <v>45952</v>
      </c>
      <c r="D13442" t="inlineStr">
        <is>
          <t>VÄSTRA GÖTALANDS LÄN</t>
        </is>
      </c>
      <c r="E13442" t="inlineStr">
        <is>
          <t>VÄNERSBORG</t>
        </is>
      </c>
      <c r="G13442" t="n">
        <v>0.8</v>
      </c>
      <c r="H13442" t="n">
        <v>0</v>
      </c>
      <c r="I13442" t="n">
        <v>0</v>
      </c>
      <c r="J13442" t="n">
        <v>0</v>
      </c>
      <c r="K13442" t="n">
        <v>0</v>
      </c>
      <c r="L13442" t="n">
        <v>0</v>
      </c>
      <c r="M13442" t="n">
        <v>0</v>
      </c>
      <c r="N13442" t="n">
        <v>0</v>
      </c>
      <c r="O13442" t="n">
        <v>0</v>
      </c>
      <c r="P13442" t="n">
        <v>0</v>
      </c>
      <c r="Q13442" t="n">
        <v>0</v>
      </c>
      <c r="R13442" s="2" t="inlineStr"/>
    </row>
    <row r="13443" ht="15" customHeight="1">
      <c r="A13443" t="inlineStr">
        <is>
          <t>A 44597-2025</t>
        </is>
      </c>
      <c r="B13443" s="1" t="n">
        <v>45917.4290625</v>
      </c>
      <c r="C13443" s="1" t="n">
        <v>45952</v>
      </c>
      <c r="D13443" t="inlineStr">
        <is>
          <t>VÄSTRA GÖTALANDS LÄN</t>
        </is>
      </c>
      <c r="E13443" t="inlineStr">
        <is>
          <t>VÄNERSBORG</t>
        </is>
      </c>
      <c r="G13443" t="n">
        <v>1.2</v>
      </c>
      <c r="H13443" t="n">
        <v>0</v>
      </c>
      <c r="I13443" t="n">
        <v>0</v>
      </c>
      <c r="J13443" t="n">
        <v>0</v>
      </c>
      <c r="K13443" t="n">
        <v>0</v>
      </c>
      <c r="L13443" t="n">
        <v>0</v>
      </c>
      <c r="M13443" t="n">
        <v>0</v>
      </c>
      <c r="N13443" t="n">
        <v>0</v>
      </c>
      <c r="O13443" t="n">
        <v>0</v>
      </c>
      <c r="P13443" t="n">
        <v>0</v>
      </c>
      <c r="Q13443" t="n">
        <v>0</v>
      </c>
      <c r="R13443" s="2" t="inlineStr"/>
    </row>
    <row r="13444" ht="15" customHeight="1">
      <c r="A13444" t="inlineStr">
        <is>
          <t>A 44600-2025</t>
        </is>
      </c>
      <c r="B13444" s="1" t="n">
        <v>45917.43494212963</v>
      </c>
      <c r="C13444" s="1" t="n">
        <v>45952</v>
      </c>
      <c r="D13444" t="inlineStr">
        <is>
          <t>VÄSTRA GÖTALANDS LÄN</t>
        </is>
      </c>
      <c r="E13444" t="inlineStr">
        <is>
          <t>MELLERUD</t>
        </is>
      </c>
      <c r="G13444" t="n">
        <v>7.2</v>
      </c>
      <c r="H13444" t="n">
        <v>0</v>
      </c>
      <c r="I13444" t="n">
        <v>0</v>
      </c>
      <c r="J13444" t="n">
        <v>0</v>
      </c>
      <c r="K13444" t="n">
        <v>0</v>
      </c>
      <c r="L13444" t="n">
        <v>0</v>
      </c>
      <c r="M13444" t="n">
        <v>0</v>
      </c>
      <c r="N13444" t="n">
        <v>0</v>
      </c>
      <c r="O13444" t="n">
        <v>0</v>
      </c>
      <c r="P13444" t="n">
        <v>0</v>
      </c>
      <c r="Q13444" t="n">
        <v>0</v>
      </c>
      <c r="R13444" s="2" t="inlineStr"/>
    </row>
    <row r="13445" ht="15" customHeight="1">
      <c r="A13445" t="inlineStr">
        <is>
          <t>A 44653-2025</t>
        </is>
      </c>
      <c r="B13445" s="1" t="n">
        <v>45917.54449074074</v>
      </c>
      <c r="C13445" s="1" t="n">
        <v>45952</v>
      </c>
      <c r="D13445" t="inlineStr">
        <is>
          <t>VÄSTRA GÖTALANDS LÄN</t>
        </is>
      </c>
      <c r="E13445" t="inlineStr">
        <is>
          <t>BENGTSFORS</t>
        </is>
      </c>
      <c r="G13445" t="n">
        <v>0.9</v>
      </c>
      <c r="H13445" t="n">
        <v>0</v>
      </c>
      <c r="I13445" t="n">
        <v>0</v>
      </c>
      <c r="J13445" t="n">
        <v>0</v>
      </c>
      <c r="K13445" t="n">
        <v>0</v>
      </c>
      <c r="L13445" t="n">
        <v>0</v>
      </c>
      <c r="M13445" t="n">
        <v>0</v>
      </c>
      <c r="N13445" t="n">
        <v>0</v>
      </c>
      <c r="O13445" t="n">
        <v>0</v>
      </c>
      <c r="P13445" t="n">
        <v>0</v>
      </c>
      <c r="Q13445" t="n">
        <v>0</v>
      </c>
      <c r="R13445" s="2" t="inlineStr"/>
    </row>
    <row r="13446" ht="15" customHeight="1">
      <c r="A13446" t="inlineStr">
        <is>
          <t>A 44654-2025</t>
        </is>
      </c>
      <c r="B13446" s="1" t="n">
        <v>45917.54532407408</v>
      </c>
      <c r="C13446" s="1" t="n">
        <v>45952</v>
      </c>
      <c r="D13446" t="inlineStr">
        <is>
          <t>VÄSTRA GÖTALANDS LÄN</t>
        </is>
      </c>
      <c r="E13446" t="inlineStr">
        <is>
          <t>BENGTSFORS</t>
        </is>
      </c>
      <c r="G13446" t="n">
        <v>0.9</v>
      </c>
      <c r="H13446" t="n">
        <v>0</v>
      </c>
      <c r="I13446" t="n">
        <v>0</v>
      </c>
      <c r="J13446" t="n">
        <v>0</v>
      </c>
      <c r="K13446" t="n">
        <v>0</v>
      </c>
      <c r="L13446" t="n">
        <v>0</v>
      </c>
      <c r="M13446" t="n">
        <v>0</v>
      </c>
      <c r="N13446" t="n">
        <v>0</v>
      </c>
      <c r="O13446" t="n">
        <v>0</v>
      </c>
      <c r="P13446" t="n">
        <v>0</v>
      </c>
      <c r="Q13446" t="n">
        <v>0</v>
      </c>
      <c r="R13446" s="2" t="inlineStr"/>
    </row>
    <row r="13447" ht="15" customHeight="1">
      <c r="A13447" t="inlineStr">
        <is>
          <t>A 37195-2025</t>
        </is>
      </c>
      <c r="B13447" s="1" t="n">
        <v>45875.66164351852</v>
      </c>
      <c r="C13447" s="1" t="n">
        <v>45952</v>
      </c>
      <c r="D13447" t="inlineStr">
        <is>
          <t>VÄSTRA GÖTALANDS LÄN</t>
        </is>
      </c>
      <c r="E13447" t="inlineStr">
        <is>
          <t>LIDKÖPING</t>
        </is>
      </c>
      <c r="G13447" t="n">
        <v>0.5</v>
      </c>
      <c r="H13447" t="n">
        <v>0</v>
      </c>
      <c r="I13447" t="n">
        <v>0</v>
      </c>
      <c r="J13447" t="n">
        <v>0</v>
      </c>
      <c r="K13447" t="n">
        <v>0</v>
      </c>
      <c r="L13447" t="n">
        <v>0</v>
      </c>
      <c r="M13447" t="n">
        <v>0</v>
      </c>
      <c r="N13447" t="n">
        <v>0</v>
      </c>
      <c r="O13447" t="n">
        <v>0</v>
      </c>
      <c r="P13447" t="n">
        <v>0</v>
      </c>
      <c r="Q13447" t="n">
        <v>0</v>
      </c>
      <c r="R13447" s="2" t="inlineStr"/>
    </row>
    <row r="13448" ht="15" customHeight="1">
      <c r="A13448" t="inlineStr">
        <is>
          <t>A 36742-2025</t>
        </is>
      </c>
      <c r="B13448" s="1" t="n">
        <v>45873.53761574074</v>
      </c>
      <c r="C13448" s="1" t="n">
        <v>45952</v>
      </c>
      <c r="D13448" t="inlineStr">
        <is>
          <t>VÄSTRA GÖTALANDS LÄN</t>
        </is>
      </c>
      <c r="E13448" t="inlineStr">
        <is>
          <t>TANUM</t>
        </is>
      </c>
      <c r="G13448" t="n">
        <v>6</v>
      </c>
      <c r="H13448" t="n">
        <v>0</v>
      </c>
      <c r="I13448" t="n">
        <v>0</v>
      </c>
      <c r="J13448" t="n">
        <v>0</v>
      </c>
      <c r="K13448" t="n">
        <v>0</v>
      </c>
      <c r="L13448" t="n">
        <v>0</v>
      </c>
      <c r="M13448" t="n">
        <v>0</v>
      </c>
      <c r="N13448" t="n">
        <v>0</v>
      </c>
      <c r="O13448" t="n">
        <v>0</v>
      </c>
      <c r="P13448" t="n">
        <v>0</v>
      </c>
      <c r="Q13448" t="n">
        <v>0</v>
      </c>
      <c r="R13448" s="2" t="inlineStr"/>
    </row>
    <row r="13449" ht="15" customHeight="1">
      <c r="A13449" t="inlineStr">
        <is>
          <t>A 37219-2025</t>
        </is>
      </c>
      <c r="B13449" s="1" t="n">
        <v>45875</v>
      </c>
      <c r="C13449" s="1" t="n">
        <v>45952</v>
      </c>
      <c r="D13449" t="inlineStr">
        <is>
          <t>VÄSTRA GÖTALANDS LÄN</t>
        </is>
      </c>
      <c r="E13449" t="inlineStr">
        <is>
          <t>GULLSPÅNG</t>
        </is>
      </c>
      <c r="G13449" t="n">
        <v>2.6</v>
      </c>
      <c r="H13449" t="n">
        <v>0</v>
      </c>
      <c r="I13449" t="n">
        <v>0</v>
      </c>
      <c r="J13449" t="n">
        <v>0</v>
      </c>
      <c r="K13449" t="n">
        <v>0</v>
      </c>
      <c r="L13449" t="n">
        <v>0</v>
      </c>
      <c r="M13449" t="n">
        <v>0</v>
      </c>
      <c r="N13449" t="n">
        <v>0</v>
      </c>
      <c r="O13449" t="n">
        <v>0</v>
      </c>
      <c r="P13449" t="n">
        <v>0</v>
      </c>
      <c r="Q13449" t="n">
        <v>0</v>
      </c>
      <c r="R13449" s="2" t="inlineStr"/>
    </row>
    <row r="13450" ht="15" customHeight="1">
      <c r="A13450" t="inlineStr">
        <is>
          <t>A 44718-2025</t>
        </is>
      </c>
      <c r="B13450" s="1" t="n">
        <v>45917</v>
      </c>
      <c r="C13450" s="1" t="n">
        <v>45952</v>
      </c>
      <c r="D13450" t="inlineStr">
        <is>
          <t>VÄSTRA GÖTALANDS LÄN</t>
        </is>
      </c>
      <c r="E13450" t="inlineStr">
        <is>
          <t>GULLSPÅNG</t>
        </is>
      </c>
      <c r="G13450" t="n">
        <v>2.1</v>
      </c>
      <c r="H13450" t="n">
        <v>0</v>
      </c>
      <c r="I13450" t="n">
        <v>0</v>
      </c>
      <c r="J13450" t="n">
        <v>0</v>
      </c>
      <c r="K13450" t="n">
        <v>0</v>
      </c>
      <c r="L13450" t="n">
        <v>0</v>
      </c>
      <c r="M13450" t="n">
        <v>0</v>
      </c>
      <c r="N13450" t="n">
        <v>0</v>
      </c>
      <c r="O13450" t="n">
        <v>0</v>
      </c>
      <c r="P13450" t="n">
        <v>0</v>
      </c>
      <c r="Q13450" t="n">
        <v>0</v>
      </c>
      <c r="R13450" s="2" t="inlineStr"/>
    </row>
    <row r="13451" ht="15" customHeight="1">
      <c r="A13451" t="inlineStr">
        <is>
          <t>A 37036-2025</t>
        </is>
      </c>
      <c r="B13451" s="1" t="n">
        <v>45875</v>
      </c>
      <c r="C13451" s="1" t="n">
        <v>45952</v>
      </c>
      <c r="D13451" t="inlineStr">
        <is>
          <t>VÄSTRA GÖTALANDS LÄN</t>
        </is>
      </c>
      <c r="E13451" t="inlineStr">
        <is>
          <t>KARLSBORG</t>
        </is>
      </c>
      <c r="F13451" t="inlineStr">
        <is>
          <t>Kyrkan</t>
        </is>
      </c>
      <c r="G13451" t="n">
        <v>0.9</v>
      </c>
      <c r="H13451" t="n">
        <v>0</v>
      </c>
      <c r="I13451" t="n">
        <v>0</v>
      </c>
      <c r="J13451" t="n">
        <v>0</v>
      </c>
      <c r="K13451" t="n">
        <v>0</v>
      </c>
      <c r="L13451" t="n">
        <v>0</v>
      </c>
      <c r="M13451" t="n">
        <v>0</v>
      </c>
      <c r="N13451" t="n">
        <v>0</v>
      </c>
      <c r="O13451" t="n">
        <v>0</v>
      </c>
      <c r="P13451" t="n">
        <v>0</v>
      </c>
      <c r="Q13451" t="n">
        <v>0</v>
      </c>
      <c r="R13451" s="2" t="inlineStr"/>
    </row>
    <row r="13452" ht="15" customHeight="1">
      <c r="A13452" t="inlineStr">
        <is>
          <t>A 43214-2025</t>
        </is>
      </c>
      <c r="B13452" s="1" t="n">
        <v>45910</v>
      </c>
      <c r="C13452" s="1" t="n">
        <v>45952</v>
      </c>
      <c r="D13452" t="inlineStr">
        <is>
          <t>VÄSTRA GÖTALANDS LÄN</t>
        </is>
      </c>
      <c r="E13452" t="inlineStr">
        <is>
          <t>VÅRGÅRDA</t>
        </is>
      </c>
      <c r="F13452" t="inlineStr">
        <is>
          <t>Allmännings- och besparingsskogar</t>
        </is>
      </c>
      <c r="G13452" t="n">
        <v>13.8</v>
      </c>
      <c r="H13452" t="n">
        <v>0</v>
      </c>
      <c r="I13452" t="n">
        <v>0</v>
      </c>
      <c r="J13452" t="n">
        <v>0</v>
      </c>
      <c r="K13452" t="n">
        <v>0</v>
      </c>
      <c r="L13452" t="n">
        <v>0</v>
      </c>
      <c r="M13452" t="n">
        <v>0</v>
      </c>
      <c r="N13452" t="n">
        <v>0</v>
      </c>
      <c r="O13452" t="n">
        <v>0</v>
      </c>
      <c r="P13452" t="n">
        <v>0</v>
      </c>
      <c r="Q13452" t="n">
        <v>0</v>
      </c>
      <c r="R13452" s="2" t="inlineStr"/>
    </row>
    <row r="13453" ht="15" customHeight="1">
      <c r="A13453" t="inlineStr">
        <is>
          <t>A 36887-2025</t>
        </is>
      </c>
      <c r="B13453" s="1" t="n">
        <v>45874.44613425926</v>
      </c>
      <c r="C13453" s="1" t="n">
        <v>45952</v>
      </c>
      <c r="D13453" t="inlineStr">
        <is>
          <t>VÄSTRA GÖTALANDS LÄN</t>
        </is>
      </c>
      <c r="E13453" t="inlineStr">
        <is>
          <t>TANUM</t>
        </is>
      </c>
      <c r="G13453" t="n">
        <v>1</v>
      </c>
      <c r="H13453" t="n">
        <v>0</v>
      </c>
      <c r="I13453" t="n">
        <v>0</v>
      </c>
      <c r="J13453" t="n">
        <v>0</v>
      </c>
      <c r="K13453" t="n">
        <v>0</v>
      </c>
      <c r="L13453" t="n">
        <v>0</v>
      </c>
      <c r="M13453" t="n">
        <v>0</v>
      </c>
      <c r="N13453" t="n">
        <v>0</v>
      </c>
      <c r="O13453" t="n">
        <v>0</v>
      </c>
      <c r="P13453" t="n">
        <v>0</v>
      </c>
      <c r="Q13453" t="n">
        <v>0</v>
      </c>
      <c r="R13453" s="2" t="inlineStr"/>
    </row>
    <row r="13454" ht="15" customHeight="1">
      <c r="A13454" t="inlineStr">
        <is>
          <t>A 12007-2025</t>
        </is>
      </c>
      <c r="B13454" s="1" t="n">
        <v>45728</v>
      </c>
      <c r="C13454" s="1" t="n">
        <v>45952</v>
      </c>
      <c r="D13454" t="inlineStr">
        <is>
          <t>VÄSTRA GÖTALANDS LÄN</t>
        </is>
      </c>
      <c r="E13454" t="inlineStr">
        <is>
          <t>VARA</t>
        </is>
      </c>
      <c r="G13454" t="n">
        <v>3.7</v>
      </c>
      <c r="H13454" t="n">
        <v>0</v>
      </c>
      <c r="I13454" t="n">
        <v>0</v>
      </c>
      <c r="J13454" t="n">
        <v>0</v>
      </c>
      <c r="K13454" t="n">
        <v>0</v>
      </c>
      <c r="L13454" t="n">
        <v>0</v>
      </c>
      <c r="M13454" t="n">
        <v>0</v>
      </c>
      <c r="N13454" t="n">
        <v>0</v>
      </c>
      <c r="O13454" t="n">
        <v>0</v>
      </c>
      <c r="P13454" t="n">
        <v>0</v>
      </c>
      <c r="Q13454" t="n">
        <v>0</v>
      </c>
      <c r="R13454" s="2" t="inlineStr"/>
    </row>
    <row r="13455" ht="15" customHeight="1">
      <c r="A13455" t="inlineStr">
        <is>
          <t>A 37218-2025</t>
        </is>
      </c>
      <c r="B13455" s="1" t="n">
        <v>45875</v>
      </c>
      <c r="C13455" s="1" t="n">
        <v>45952</v>
      </c>
      <c r="D13455" t="inlineStr">
        <is>
          <t>VÄSTRA GÖTALANDS LÄN</t>
        </is>
      </c>
      <c r="E13455" t="inlineStr">
        <is>
          <t>GULLSPÅNG</t>
        </is>
      </c>
      <c r="G13455" t="n">
        <v>2.4</v>
      </c>
      <c r="H13455" t="n">
        <v>0</v>
      </c>
      <c r="I13455" t="n">
        <v>0</v>
      </c>
      <c r="J13455" t="n">
        <v>0</v>
      </c>
      <c r="K13455" t="n">
        <v>0</v>
      </c>
      <c r="L13455" t="n">
        <v>0</v>
      </c>
      <c r="M13455" t="n">
        <v>0</v>
      </c>
      <c r="N13455" t="n">
        <v>0</v>
      </c>
      <c r="O13455" t="n">
        <v>0</v>
      </c>
      <c r="P13455" t="n">
        <v>0</v>
      </c>
      <c r="Q13455" t="n">
        <v>0</v>
      </c>
      <c r="R13455" s="2" t="inlineStr"/>
    </row>
    <row r="13456" ht="15" customHeight="1">
      <c r="A13456" t="inlineStr">
        <is>
          <t>A 26624-2024</t>
        </is>
      </c>
      <c r="B13456" s="1" t="n">
        <v>45469.76627314815</v>
      </c>
      <c r="C13456" s="1" t="n">
        <v>45952</v>
      </c>
      <c r="D13456" t="inlineStr">
        <is>
          <t>VÄSTRA GÖTALANDS LÄN</t>
        </is>
      </c>
      <c r="E13456" t="inlineStr">
        <is>
          <t>TANUM</t>
        </is>
      </c>
      <c r="G13456" t="n">
        <v>1.3</v>
      </c>
      <c r="H13456" t="n">
        <v>0</v>
      </c>
      <c r="I13456" t="n">
        <v>0</v>
      </c>
      <c r="J13456" t="n">
        <v>0</v>
      </c>
      <c r="K13456" t="n">
        <v>0</v>
      </c>
      <c r="L13456" t="n">
        <v>0</v>
      </c>
      <c r="M13456" t="n">
        <v>0</v>
      </c>
      <c r="N13456" t="n">
        <v>0</v>
      </c>
      <c r="O13456" t="n">
        <v>0</v>
      </c>
      <c r="P13456" t="n">
        <v>0</v>
      </c>
      <c r="Q13456" t="n">
        <v>0</v>
      </c>
      <c r="R13456" s="2" t="inlineStr"/>
    </row>
    <row r="13457" ht="15" customHeight="1">
      <c r="A13457" t="inlineStr">
        <is>
          <t>A 44589-2025</t>
        </is>
      </c>
      <c r="B13457" s="1" t="n">
        <v>45917.42443287037</v>
      </c>
      <c r="C13457" s="1" t="n">
        <v>45952</v>
      </c>
      <c r="D13457" t="inlineStr">
        <is>
          <t>VÄSTRA GÖTALANDS LÄN</t>
        </is>
      </c>
      <c r="E13457" t="inlineStr">
        <is>
          <t>VÄNERSBORG</t>
        </is>
      </c>
      <c r="G13457" t="n">
        <v>0.9</v>
      </c>
      <c r="H13457" t="n">
        <v>0</v>
      </c>
      <c r="I13457" t="n">
        <v>0</v>
      </c>
      <c r="J13457" t="n">
        <v>0</v>
      </c>
      <c r="K13457" t="n">
        <v>0</v>
      </c>
      <c r="L13457" t="n">
        <v>0</v>
      </c>
      <c r="M13457" t="n">
        <v>0</v>
      </c>
      <c r="N13457" t="n">
        <v>0</v>
      </c>
      <c r="O13457" t="n">
        <v>0</v>
      </c>
      <c r="P13457" t="n">
        <v>0</v>
      </c>
      <c r="Q13457" t="n">
        <v>0</v>
      </c>
      <c r="R13457" s="2" t="inlineStr"/>
    </row>
    <row r="13458" ht="15" customHeight="1">
      <c r="A13458" t="inlineStr">
        <is>
          <t>A 56888-2020</t>
        </is>
      </c>
      <c r="B13458" s="1" t="n">
        <v>44138</v>
      </c>
      <c r="C13458" s="1" t="n">
        <v>45952</v>
      </c>
      <c r="D13458" t="inlineStr">
        <is>
          <t>VÄSTRA GÖTALANDS LÄN</t>
        </is>
      </c>
      <c r="E13458" t="inlineStr">
        <is>
          <t>FÄRGELANDA</t>
        </is>
      </c>
      <c r="G13458" t="n">
        <v>2.3</v>
      </c>
      <c r="H13458" t="n">
        <v>0</v>
      </c>
      <c r="I13458" t="n">
        <v>0</v>
      </c>
      <c r="J13458" t="n">
        <v>0</v>
      </c>
      <c r="K13458" t="n">
        <v>0</v>
      </c>
      <c r="L13458" t="n">
        <v>0</v>
      </c>
      <c r="M13458" t="n">
        <v>0</v>
      </c>
      <c r="N13458" t="n">
        <v>0</v>
      </c>
      <c r="O13458" t="n">
        <v>0</v>
      </c>
      <c r="P13458" t="n">
        <v>0</v>
      </c>
      <c r="Q13458" t="n">
        <v>0</v>
      </c>
      <c r="R13458" s="2" t="inlineStr"/>
    </row>
    <row r="13459" ht="15" customHeight="1">
      <c r="A13459" t="inlineStr">
        <is>
          <t>A 1968-2025</t>
        </is>
      </c>
      <c r="B13459" s="1" t="n">
        <v>45671</v>
      </c>
      <c r="C13459" s="1" t="n">
        <v>45952</v>
      </c>
      <c r="D13459" t="inlineStr">
        <is>
          <t>VÄSTRA GÖTALANDS LÄN</t>
        </is>
      </c>
      <c r="E13459" t="inlineStr">
        <is>
          <t>ÅMÅL</t>
        </is>
      </c>
      <c r="F13459" t="inlineStr">
        <is>
          <t>Bergvik skog väst AB</t>
        </is>
      </c>
      <c r="G13459" t="n">
        <v>3.3</v>
      </c>
      <c r="H13459" t="n">
        <v>0</v>
      </c>
      <c r="I13459" t="n">
        <v>0</v>
      </c>
      <c r="J13459" t="n">
        <v>0</v>
      </c>
      <c r="K13459" t="n">
        <v>0</v>
      </c>
      <c r="L13459" t="n">
        <v>0</v>
      </c>
      <c r="M13459" t="n">
        <v>0</v>
      </c>
      <c r="N13459" t="n">
        <v>0</v>
      </c>
      <c r="O13459" t="n">
        <v>0</v>
      </c>
      <c r="P13459" t="n">
        <v>0</v>
      </c>
      <c r="Q13459" t="n">
        <v>0</v>
      </c>
      <c r="R13459" s="2" t="inlineStr"/>
    </row>
    <row r="13460" ht="15" customHeight="1">
      <c r="A13460" t="inlineStr">
        <is>
          <t>A 36858-2025</t>
        </is>
      </c>
      <c r="B13460" s="1" t="n">
        <v>45874.40502314815</v>
      </c>
      <c r="C13460" s="1" t="n">
        <v>45952</v>
      </c>
      <c r="D13460" t="inlineStr">
        <is>
          <t>VÄSTRA GÖTALANDS LÄN</t>
        </is>
      </c>
      <c r="E13460" t="inlineStr">
        <is>
          <t>TANUM</t>
        </is>
      </c>
      <c r="G13460" t="n">
        <v>2.8</v>
      </c>
      <c r="H13460" t="n">
        <v>0</v>
      </c>
      <c r="I13460" t="n">
        <v>0</v>
      </c>
      <c r="J13460" t="n">
        <v>0</v>
      </c>
      <c r="K13460" t="n">
        <v>0</v>
      </c>
      <c r="L13460" t="n">
        <v>0</v>
      </c>
      <c r="M13460" t="n">
        <v>0</v>
      </c>
      <c r="N13460" t="n">
        <v>0</v>
      </c>
      <c r="O13460" t="n">
        <v>0</v>
      </c>
      <c r="P13460" t="n">
        <v>0</v>
      </c>
      <c r="Q13460" t="n">
        <v>0</v>
      </c>
      <c r="R13460" s="2" t="inlineStr"/>
    </row>
    <row r="13461" ht="15" customHeight="1">
      <c r="A13461" t="inlineStr">
        <is>
          <t>A 57934-2022</t>
        </is>
      </c>
      <c r="B13461" s="1" t="n">
        <v>44900.38658564815</v>
      </c>
      <c r="C13461" s="1" t="n">
        <v>45952</v>
      </c>
      <c r="D13461" t="inlineStr">
        <is>
          <t>VÄSTRA GÖTALANDS LÄN</t>
        </is>
      </c>
      <c r="E13461" t="inlineStr">
        <is>
          <t>TIDAHOLM</t>
        </is>
      </c>
      <c r="F13461" t="inlineStr">
        <is>
          <t>Sveaskog</t>
        </is>
      </c>
      <c r="G13461" t="n">
        <v>2.8</v>
      </c>
      <c r="H13461" t="n">
        <v>0</v>
      </c>
      <c r="I13461" t="n">
        <v>0</v>
      </c>
      <c r="J13461" t="n">
        <v>0</v>
      </c>
      <c r="K13461" t="n">
        <v>0</v>
      </c>
      <c r="L13461" t="n">
        <v>0</v>
      </c>
      <c r="M13461" t="n">
        <v>0</v>
      </c>
      <c r="N13461" t="n">
        <v>0</v>
      </c>
      <c r="O13461" t="n">
        <v>0</v>
      </c>
      <c r="P13461" t="n">
        <v>0</v>
      </c>
      <c r="Q13461" t="n">
        <v>0</v>
      </c>
      <c r="R13461" s="2" t="inlineStr"/>
    </row>
    <row r="13462" ht="15" customHeight="1">
      <c r="A13462" t="inlineStr">
        <is>
          <t>A 317-2024</t>
        </is>
      </c>
      <c r="B13462" s="1" t="n">
        <v>45295</v>
      </c>
      <c r="C13462" s="1" t="n">
        <v>45952</v>
      </c>
      <c r="D13462" t="inlineStr">
        <is>
          <t>VÄSTRA GÖTALANDS LÄN</t>
        </is>
      </c>
      <c r="E13462" t="inlineStr">
        <is>
          <t>TÖREBODA</t>
        </is>
      </c>
      <c r="G13462" t="n">
        <v>3.3</v>
      </c>
      <c r="H13462" t="n">
        <v>0</v>
      </c>
      <c r="I13462" t="n">
        <v>0</v>
      </c>
      <c r="J13462" t="n">
        <v>0</v>
      </c>
      <c r="K13462" t="n">
        <v>0</v>
      </c>
      <c r="L13462" t="n">
        <v>0</v>
      </c>
      <c r="M13462" t="n">
        <v>0</v>
      </c>
      <c r="N13462" t="n">
        <v>0</v>
      </c>
      <c r="O13462" t="n">
        <v>0</v>
      </c>
      <c r="P13462" t="n">
        <v>0</v>
      </c>
      <c r="Q13462" t="n">
        <v>0</v>
      </c>
      <c r="R13462" s="2" t="inlineStr"/>
    </row>
    <row r="13463" ht="15" customHeight="1">
      <c r="A13463" t="inlineStr">
        <is>
          <t>A 28053-2023</t>
        </is>
      </c>
      <c r="B13463" s="1" t="n">
        <v>45099.35179398148</v>
      </c>
      <c r="C13463" s="1" t="n">
        <v>45952</v>
      </c>
      <c r="D13463" t="inlineStr">
        <is>
          <t>VÄSTRA GÖTALANDS LÄN</t>
        </is>
      </c>
      <c r="E13463" t="inlineStr">
        <is>
          <t>SVENLJUNGA</t>
        </is>
      </c>
      <c r="G13463" t="n">
        <v>3.5</v>
      </c>
      <c r="H13463" t="n">
        <v>0</v>
      </c>
      <c r="I13463" t="n">
        <v>0</v>
      </c>
      <c r="J13463" t="n">
        <v>0</v>
      </c>
      <c r="K13463" t="n">
        <v>0</v>
      </c>
      <c r="L13463" t="n">
        <v>0</v>
      </c>
      <c r="M13463" t="n">
        <v>0</v>
      </c>
      <c r="N13463" t="n">
        <v>0</v>
      </c>
      <c r="O13463" t="n">
        <v>0</v>
      </c>
      <c r="P13463" t="n">
        <v>0</v>
      </c>
      <c r="Q13463" t="n">
        <v>0</v>
      </c>
      <c r="R13463" s="2" t="inlineStr"/>
    </row>
    <row r="13464" ht="15" customHeight="1">
      <c r="A13464" t="inlineStr">
        <is>
          <t>A 44656-2025</t>
        </is>
      </c>
      <c r="B13464" s="1" t="n">
        <v>45917.54709490741</v>
      </c>
      <c r="C13464" s="1" t="n">
        <v>45952</v>
      </c>
      <c r="D13464" t="inlineStr">
        <is>
          <t>VÄSTRA GÖTALANDS LÄN</t>
        </is>
      </c>
      <c r="E13464" t="inlineStr">
        <is>
          <t>BENGTSFORS</t>
        </is>
      </c>
      <c r="G13464" t="n">
        <v>3.5</v>
      </c>
      <c r="H13464" t="n">
        <v>0</v>
      </c>
      <c r="I13464" t="n">
        <v>0</v>
      </c>
      <c r="J13464" t="n">
        <v>0</v>
      </c>
      <c r="K13464" t="n">
        <v>0</v>
      </c>
      <c r="L13464" t="n">
        <v>0</v>
      </c>
      <c r="M13464" t="n">
        <v>0</v>
      </c>
      <c r="N13464" t="n">
        <v>0</v>
      </c>
      <c r="O13464" t="n">
        <v>0</v>
      </c>
      <c r="P13464" t="n">
        <v>0</v>
      </c>
      <c r="Q13464" t="n">
        <v>0</v>
      </c>
      <c r="R13464" s="2" t="inlineStr"/>
    </row>
    <row r="13465" ht="15" customHeight="1">
      <c r="A13465" t="inlineStr">
        <is>
          <t>A 37100-2025</t>
        </is>
      </c>
      <c r="B13465" s="1" t="n">
        <v>45875.47351851852</v>
      </c>
      <c r="C13465" s="1" t="n">
        <v>45952</v>
      </c>
      <c r="D13465" t="inlineStr">
        <is>
          <t>VÄSTRA GÖTALANDS LÄN</t>
        </is>
      </c>
      <c r="E13465" t="inlineStr">
        <is>
          <t>MUNKEDAL</t>
        </is>
      </c>
      <c r="G13465" t="n">
        <v>1.9</v>
      </c>
      <c r="H13465" t="n">
        <v>0</v>
      </c>
      <c r="I13465" t="n">
        <v>0</v>
      </c>
      <c r="J13465" t="n">
        <v>0</v>
      </c>
      <c r="K13465" t="n">
        <v>0</v>
      </c>
      <c r="L13465" t="n">
        <v>0</v>
      </c>
      <c r="M13465" t="n">
        <v>0</v>
      </c>
      <c r="N13465" t="n">
        <v>0</v>
      </c>
      <c r="O13465" t="n">
        <v>0</v>
      </c>
      <c r="P13465" t="n">
        <v>0</v>
      </c>
      <c r="Q13465" t="n">
        <v>0</v>
      </c>
      <c r="R13465" s="2" t="inlineStr"/>
    </row>
    <row r="13466" ht="15" customHeight="1">
      <c r="A13466" t="inlineStr">
        <is>
          <t>A 37125-2025</t>
        </is>
      </c>
      <c r="B13466" s="1" t="n">
        <v>45875.52809027778</v>
      </c>
      <c r="C13466" s="1" t="n">
        <v>45952</v>
      </c>
      <c r="D13466" t="inlineStr">
        <is>
          <t>VÄSTRA GÖTALANDS LÄN</t>
        </is>
      </c>
      <c r="E13466" t="inlineStr">
        <is>
          <t>LIDKÖPING</t>
        </is>
      </c>
      <c r="G13466" t="n">
        <v>1.3</v>
      </c>
      <c r="H13466" t="n">
        <v>0</v>
      </c>
      <c r="I13466" t="n">
        <v>0</v>
      </c>
      <c r="J13466" t="n">
        <v>0</v>
      </c>
      <c r="K13466" t="n">
        <v>0</v>
      </c>
      <c r="L13466" t="n">
        <v>0</v>
      </c>
      <c r="M13466" t="n">
        <v>0</v>
      </c>
      <c r="N13466" t="n">
        <v>0</v>
      </c>
      <c r="O13466" t="n">
        <v>0</v>
      </c>
      <c r="P13466" t="n">
        <v>0</v>
      </c>
      <c r="Q13466" t="n">
        <v>0</v>
      </c>
      <c r="R13466" s="2" t="inlineStr"/>
    </row>
    <row r="13467" ht="15" customHeight="1">
      <c r="A13467" t="inlineStr">
        <is>
          <t>A 61314-2020</t>
        </is>
      </c>
      <c r="B13467" s="1" t="n">
        <v>44155</v>
      </c>
      <c r="C13467" s="1" t="n">
        <v>45952</v>
      </c>
      <c r="D13467" t="inlineStr">
        <is>
          <t>VÄSTRA GÖTALANDS LÄN</t>
        </is>
      </c>
      <c r="E13467" t="inlineStr">
        <is>
          <t>BOLLEBYGD</t>
        </is>
      </c>
      <c r="G13467" t="n">
        <v>1.6</v>
      </c>
      <c r="H13467" t="n">
        <v>0</v>
      </c>
      <c r="I13467" t="n">
        <v>0</v>
      </c>
      <c r="J13467" t="n">
        <v>0</v>
      </c>
      <c r="K13467" t="n">
        <v>0</v>
      </c>
      <c r="L13467" t="n">
        <v>0</v>
      </c>
      <c r="M13467" t="n">
        <v>0</v>
      </c>
      <c r="N13467" t="n">
        <v>0</v>
      </c>
      <c r="O13467" t="n">
        <v>0</v>
      </c>
      <c r="P13467" t="n">
        <v>0</v>
      </c>
      <c r="Q13467" t="n">
        <v>0</v>
      </c>
      <c r="R13467" s="2" t="inlineStr"/>
    </row>
    <row r="13468" ht="15" customHeight="1">
      <c r="A13468" t="inlineStr">
        <is>
          <t>A 38508-2024</t>
        </is>
      </c>
      <c r="B13468" s="1" t="n">
        <v>45546.54806712963</v>
      </c>
      <c r="C13468" s="1" t="n">
        <v>45952</v>
      </c>
      <c r="D13468" t="inlineStr">
        <is>
          <t>VÄSTRA GÖTALANDS LÄN</t>
        </is>
      </c>
      <c r="E13468" t="inlineStr">
        <is>
          <t>ALINGSÅS</t>
        </is>
      </c>
      <c r="G13468" t="n">
        <v>2.6</v>
      </c>
      <c r="H13468" t="n">
        <v>0</v>
      </c>
      <c r="I13468" t="n">
        <v>0</v>
      </c>
      <c r="J13468" t="n">
        <v>0</v>
      </c>
      <c r="K13468" t="n">
        <v>0</v>
      </c>
      <c r="L13468" t="n">
        <v>0</v>
      </c>
      <c r="M13468" t="n">
        <v>0</v>
      </c>
      <c r="N13468" t="n">
        <v>0</v>
      </c>
      <c r="O13468" t="n">
        <v>0</v>
      </c>
      <c r="P13468" t="n">
        <v>0</v>
      </c>
      <c r="Q13468" t="n">
        <v>0</v>
      </c>
      <c r="R13468" s="2" t="inlineStr"/>
    </row>
    <row r="13469" ht="15" customHeight="1">
      <c r="A13469" t="inlineStr">
        <is>
          <t>A 24434-2023</t>
        </is>
      </c>
      <c r="B13469" s="1" t="n">
        <v>45082.51859953703</v>
      </c>
      <c r="C13469" s="1" t="n">
        <v>45952</v>
      </c>
      <c r="D13469" t="inlineStr">
        <is>
          <t>VÄSTRA GÖTALANDS LÄN</t>
        </is>
      </c>
      <c r="E13469" t="inlineStr">
        <is>
          <t>SVENLJUNGA</t>
        </is>
      </c>
      <c r="F13469" t="inlineStr">
        <is>
          <t>Kommuner</t>
        </is>
      </c>
      <c r="G13469" t="n">
        <v>1.6</v>
      </c>
      <c r="H13469" t="n">
        <v>0</v>
      </c>
      <c r="I13469" t="n">
        <v>0</v>
      </c>
      <c r="J13469" t="n">
        <v>0</v>
      </c>
      <c r="K13469" t="n">
        <v>0</v>
      </c>
      <c r="L13469" t="n">
        <v>0</v>
      </c>
      <c r="M13469" t="n">
        <v>0</v>
      </c>
      <c r="N13469" t="n">
        <v>0</v>
      </c>
      <c r="O13469" t="n">
        <v>0</v>
      </c>
      <c r="P13469" t="n">
        <v>0</v>
      </c>
      <c r="Q13469" t="n">
        <v>0</v>
      </c>
      <c r="R13469" s="2" t="inlineStr"/>
    </row>
    <row r="13470" ht="15" customHeight="1">
      <c r="A13470" t="inlineStr">
        <is>
          <t>A 24461-2023</t>
        </is>
      </c>
      <c r="B13470" s="1" t="n">
        <v>45082</v>
      </c>
      <c r="C13470" s="1" t="n">
        <v>45952</v>
      </c>
      <c r="D13470" t="inlineStr">
        <is>
          <t>VÄSTRA GÖTALANDS LÄN</t>
        </is>
      </c>
      <c r="E13470" t="inlineStr">
        <is>
          <t>KUNGÄLV</t>
        </is>
      </c>
      <c r="G13470" t="n">
        <v>1.5</v>
      </c>
      <c r="H13470" t="n">
        <v>0</v>
      </c>
      <c r="I13470" t="n">
        <v>0</v>
      </c>
      <c r="J13470" t="n">
        <v>0</v>
      </c>
      <c r="K13470" t="n">
        <v>0</v>
      </c>
      <c r="L13470" t="n">
        <v>0</v>
      </c>
      <c r="M13470" t="n">
        <v>0</v>
      </c>
      <c r="N13470" t="n">
        <v>0</v>
      </c>
      <c r="O13470" t="n">
        <v>0</v>
      </c>
      <c r="P13470" t="n">
        <v>0</v>
      </c>
      <c r="Q13470" t="n">
        <v>0</v>
      </c>
      <c r="R13470" s="2" t="inlineStr"/>
    </row>
    <row r="13471" ht="15" customHeight="1">
      <c r="A13471" t="inlineStr">
        <is>
          <t>A 25173-2023</t>
        </is>
      </c>
      <c r="B13471" s="1" t="n">
        <v>45086</v>
      </c>
      <c r="C13471" s="1" t="n">
        <v>45952</v>
      </c>
      <c r="D13471" t="inlineStr">
        <is>
          <t>VÄSTRA GÖTALANDS LÄN</t>
        </is>
      </c>
      <c r="E13471" t="inlineStr">
        <is>
          <t>ULRICEHAMN</t>
        </is>
      </c>
      <c r="G13471" t="n">
        <v>0.5</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44778-2025</t>
        </is>
      </c>
      <c r="B13472" s="1" t="n">
        <v>45917.86079861111</v>
      </c>
      <c r="C13472" s="1" t="n">
        <v>45952</v>
      </c>
      <c r="D13472" t="inlineStr">
        <is>
          <t>VÄSTRA GÖTALANDS LÄN</t>
        </is>
      </c>
      <c r="E13472" t="inlineStr">
        <is>
          <t>LERUM</t>
        </is>
      </c>
      <c r="G13472" t="n">
        <v>1</v>
      </c>
      <c r="H13472" t="n">
        <v>0</v>
      </c>
      <c r="I13472" t="n">
        <v>0</v>
      </c>
      <c r="J13472" t="n">
        <v>0</v>
      </c>
      <c r="K13472" t="n">
        <v>0</v>
      </c>
      <c r="L13472" t="n">
        <v>0</v>
      </c>
      <c r="M13472" t="n">
        <v>0</v>
      </c>
      <c r="N13472" t="n">
        <v>0</v>
      </c>
      <c r="O13472" t="n">
        <v>0</v>
      </c>
      <c r="P13472" t="n">
        <v>0</v>
      </c>
      <c r="Q13472" t="n">
        <v>0</v>
      </c>
      <c r="R13472" s="2" t="inlineStr"/>
    </row>
    <row r="13473" ht="15" customHeight="1">
      <c r="A13473" t="inlineStr">
        <is>
          <t>A 42852-2025</t>
        </is>
      </c>
      <c r="B13473" s="1" t="n">
        <v>45908</v>
      </c>
      <c r="C13473" s="1" t="n">
        <v>45952</v>
      </c>
      <c r="D13473" t="inlineStr">
        <is>
          <t>VÄSTRA GÖTALANDS LÄN</t>
        </is>
      </c>
      <c r="E13473" t="inlineStr">
        <is>
          <t>MUNKEDAL</t>
        </is>
      </c>
      <c r="G13473" t="n">
        <v>2.6</v>
      </c>
      <c r="H13473" t="n">
        <v>0</v>
      </c>
      <c r="I13473" t="n">
        <v>0</v>
      </c>
      <c r="J13473" t="n">
        <v>0</v>
      </c>
      <c r="K13473" t="n">
        <v>0</v>
      </c>
      <c r="L13473" t="n">
        <v>0</v>
      </c>
      <c r="M13473" t="n">
        <v>0</v>
      </c>
      <c r="N13473" t="n">
        <v>0</v>
      </c>
      <c r="O13473" t="n">
        <v>0</v>
      </c>
      <c r="P13473" t="n">
        <v>0</v>
      </c>
      <c r="Q13473" t="n">
        <v>0</v>
      </c>
      <c r="R13473" s="2" t="inlineStr"/>
    </row>
    <row r="13474" ht="15" customHeight="1">
      <c r="A13474" t="inlineStr">
        <is>
          <t>A 44583-2025</t>
        </is>
      </c>
      <c r="B13474" s="1" t="n">
        <v>45917.40908564815</v>
      </c>
      <c r="C13474" s="1" t="n">
        <v>45952</v>
      </c>
      <c r="D13474" t="inlineStr">
        <is>
          <t>VÄSTRA GÖTALANDS LÄN</t>
        </is>
      </c>
      <c r="E13474" t="inlineStr">
        <is>
          <t>VÄNERSBORG</t>
        </is>
      </c>
      <c r="G13474" t="n">
        <v>3.4</v>
      </c>
      <c r="H13474" t="n">
        <v>0</v>
      </c>
      <c r="I13474" t="n">
        <v>0</v>
      </c>
      <c r="J13474" t="n">
        <v>0</v>
      </c>
      <c r="K13474" t="n">
        <v>0</v>
      </c>
      <c r="L13474" t="n">
        <v>0</v>
      </c>
      <c r="M13474" t="n">
        <v>0</v>
      </c>
      <c r="N13474" t="n">
        <v>0</v>
      </c>
      <c r="O13474" t="n">
        <v>0</v>
      </c>
      <c r="P13474" t="n">
        <v>0</v>
      </c>
      <c r="Q13474" t="n">
        <v>0</v>
      </c>
      <c r="R13474" s="2" t="inlineStr"/>
    </row>
    <row r="13475" ht="15" customHeight="1">
      <c r="A13475" t="inlineStr">
        <is>
          <t>A 44608-2025</t>
        </is>
      </c>
      <c r="B13475" s="1" t="n">
        <v>45917.44861111111</v>
      </c>
      <c r="C13475" s="1" t="n">
        <v>45952</v>
      </c>
      <c r="D13475" t="inlineStr">
        <is>
          <t>VÄSTRA GÖTALANDS LÄN</t>
        </is>
      </c>
      <c r="E13475" t="inlineStr">
        <is>
          <t>MELLERUD</t>
        </is>
      </c>
      <c r="G13475" t="n">
        <v>1.2</v>
      </c>
      <c r="H13475" t="n">
        <v>0</v>
      </c>
      <c r="I13475" t="n">
        <v>0</v>
      </c>
      <c r="J13475" t="n">
        <v>0</v>
      </c>
      <c r="K13475" t="n">
        <v>0</v>
      </c>
      <c r="L13475" t="n">
        <v>0</v>
      </c>
      <c r="M13475" t="n">
        <v>0</v>
      </c>
      <c r="N13475" t="n">
        <v>0</v>
      </c>
      <c r="O13475" t="n">
        <v>0</v>
      </c>
      <c r="P13475" t="n">
        <v>0</v>
      </c>
      <c r="Q13475" t="n">
        <v>0</v>
      </c>
      <c r="R13475" s="2" t="inlineStr"/>
    </row>
    <row r="13476" ht="15" customHeight="1">
      <c r="A13476" t="inlineStr">
        <is>
          <t>A 33148-2023</t>
        </is>
      </c>
      <c r="B13476" s="1" t="n">
        <v>45126</v>
      </c>
      <c r="C13476" s="1" t="n">
        <v>45952</v>
      </c>
      <c r="D13476" t="inlineStr">
        <is>
          <t>VÄSTRA GÖTALANDS LÄN</t>
        </is>
      </c>
      <c r="E13476" t="inlineStr">
        <is>
          <t>BORÅS</t>
        </is>
      </c>
      <c r="G13476" t="n">
        <v>2.1</v>
      </c>
      <c r="H13476" t="n">
        <v>0</v>
      </c>
      <c r="I13476" t="n">
        <v>0</v>
      </c>
      <c r="J13476" t="n">
        <v>0</v>
      </c>
      <c r="K13476" t="n">
        <v>0</v>
      </c>
      <c r="L13476" t="n">
        <v>0</v>
      </c>
      <c r="M13476" t="n">
        <v>0</v>
      </c>
      <c r="N13476" t="n">
        <v>0</v>
      </c>
      <c r="O13476" t="n">
        <v>0</v>
      </c>
      <c r="P13476" t="n">
        <v>0</v>
      </c>
      <c r="Q13476" t="n">
        <v>0</v>
      </c>
      <c r="R13476" s="2" t="inlineStr"/>
    </row>
    <row r="13477" ht="15" customHeight="1">
      <c r="A13477" t="inlineStr">
        <is>
          <t>A 44575-2025</t>
        </is>
      </c>
      <c r="B13477" s="1" t="n">
        <v>45917.40004629629</v>
      </c>
      <c r="C13477" s="1" t="n">
        <v>45952</v>
      </c>
      <c r="D13477" t="inlineStr">
        <is>
          <t>VÄSTRA GÖTALANDS LÄN</t>
        </is>
      </c>
      <c r="E13477" t="inlineStr">
        <is>
          <t>VÄNERSBORG</t>
        </is>
      </c>
      <c r="G13477" t="n">
        <v>2.1</v>
      </c>
      <c r="H13477" t="n">
        <v>0</v>
      </c>
      <c r="I13477" t="n">
        <v>0</v>
      </c>
      <c r="J13477" t="n">
        <v>0</v>
      </c>
      <c r="K13477" t="n">
        <v>0</v>
      </c>
      <c r="L13477" t="n">
        <v>0</v>
      </c>
      <c r="M13477" t="n">
        <v>0</v>
      </c>
      <c r="N13477" t="n">
        <v>0</v>
      </c>
      <c r="O13477" t="n">
        <v>0</v>
      </c>
      <c r="P13477" t="n">
        <v>0</v>
      </c>
      <c r="Q13477" t="n">
        <v>0</v>
      </c>
      <c r="R13477" s="2" t="inlineStr"/>
    </row>
    <row r="13478" ht="15" customHeight="1">
      <c r="A13478" t="inlineStr">
        <is>
          <t>A 44578-2025</t>
        </is>
      </c>
      <c r="B13478" s="1" t="n">
        <v>45917.40295138889</v>
      </c>
      <c r="C13478" s="1" t="n">
        <v>45952</v>
      </c>
      <c r="D13478" t="inlineStr">
        <is>
          <t>VÄSTRA GÖTALANDS LÄN</t>
        </is>
      </c>
      <c r="E13478" t="inlineStr">
        <is>
          <t>VÄNERSBORG</t>
        </is>
      </c>
      <c r="G13478" t="n">
        <v>1.7</v>
      </c>
      <c r="H13478" t="n">
        <v>0</v>
      </c>
      <c r="I13478" t="n">
        <v>0</v>
      </c>
      <c r="J13478" t="n">
        <v>0</v>
      </c>
      <c r="K13478" t="n">
        <v>0</v>
      </c>
      <c r="L13478" t="n">
        <v>0</v>
      </c>
      <c r="M13478" t="n">
        <v>0</v>
      </c>
      <c r="N13478" t="n">
        <v>0</v>
      </c>
      <c r="O13478" t="n">
        <v>0</v>
      </c>
      <c r="P13478" t="n">
        <v>0</v>
      </c>
      <c r="Q13478" t="n">
        <v>0</v>
      </c>
      <c r="R13478" s="2" t="inlineStr"/>
    </row>
    <row r="13479" ht="15" customHeight="1">
      <c r="A13479" t="inlineStr">
        <is>
          <t>A 44588-2025</t>
        </is>
      </c>
      <c r="B13479" s="1" t="n">
        <v>45917.4165625</v>
      </c>
      <c r="C13479" s="1" t="n">
        <v>45952</v>
      </c>
      <c r="D13479" t="inlineStr">
        <is>
          <t>VÄSTRA GÖTALANDS LÄN</t>
        </is>
      </c>
      <c r="E13479" t="inlineStr">
        <is>
          <t>VÄNERSBORG</t>
        </is>
      </c>
      <c r="G13479" t="n">
        <v>0.9</v>
      </c>
      <c r="H13479" t="n">
        <v>0</v>
      </c>
      <c r="I13479" t="n">
        <v>0</v>
      </c>
      <c r="J13479" t="n">
        <v>0</v>
      </c>
      <c r="K13479" t="n">
        <v>0</v>
      </c>
      <c r="L13479" t="n">
        <v>0</v>
      </c>
      <c r="M13479" t="n">
        <v>0</v>
      </c>
      <c r="N13479" t="n">
        <v>0</v>
      </c>
      <c r="O13479" t="n">
        <v>0</v>
      </c>
      <c r="P13479" t="n">
        <v>0</v>
      </c>
      <c r="Q13479" t="n">
        <v>0</v>
      </c>
      <c r="R13479" s="2" t="inlineStr"/>
    </row>
    <row r="13480" ht="15" customHeight="1">
      <c r="A13480" t="inlineStr">
        <is>
          <t>A 16796-2021</t>
        </is>
      </c>
      <c r="B13480" s="1" t="n">
        <v>44295</v>
      </c>
      <c r="C13480" s="1" t="n">
        <v>45952</v>
      </c>
      <c r="D13480" t="inlineStr">
        <is>
          <t>VÄSTRA GÖTALANDS LÄN</t>
        </is>
      </c>
      <c r="E13480" t="inlineStr">
        <is>
          <t>KARLSBORG</t>
        </is>
      </c>
      <c r="G13480" t="n">
        <v>1.4</v>
      </c>
      <c r="H13480" t="n">
        <v>0</v>
      </c>
      <c r="I13480" t="n">
        <v>0</v>
      </c>
      <c r="J13480" t="n">
        <v>0</v>
      </c>
      <c r="K13480" t="n">
        <v>0</v>
      </c>
      <c r="L13480" t="n">
        <v>0</v>
      </c>
      <c r="M13480" t="n">
        <v>0</v>
      </c>
      <c r="N13480" t="n">
        <v>0</v>
      </c>
      <c r="O13480" t="n">
        <v>0</v>
      </c>
      <c r="P13480" t="n">
        <v>0</v>
      </c>
      <c r="Q13480" t="n">
        <v>0</v>
      </c>
      <c r="R13480" s="2" t="inlineStr"/>
    </row>
    <row r="13481" ht="15" customHeight="1">
      <c r="A13481" t="inlineStr">
        <is>
          <t>A 44720-2025</t>
        </is>
      </c>
      <c r="B13481" s="1" t="n">
        <v>45917</v>
      </c>
      <c r="C13481" s="1" t="n">
        <v>45952</v>
      </c>
      <c r="D13481" t="inlineStr">
        <is>
          <t>VÄSTRA GÖTALANDS LÄN</t>
        </is>
      </c>
      <c r="E13481" t="inlineStr">
        <is>
          <t>GULLSPÅNG</t>
        </is>
      </c>
      <c r="G13481" t="n">
        <v>3.3</v>
      </c>
      <c r="H13481" t="n">
        <v>0</v>
      </c>
      <c r="I13481" t="n">
        <v>0</v>
      </c>
      <c r="J13481" t="n">
        <v>0</v>
      </c>
      <c r="K13481" t="n">
        <v>0</v>
      </c>
      <c r="L13481" t="n">
        <v>0</v>
      </c>
      <c r="M13481" t="n">
        <v>0</v>
      </c>
      <c r="N13481" t="n">
        <v>0</v>
      </c>
      <c r="O13481" t="n">
        <v>0</v>
      </c>
      <c r="P13481" t="n">
        <v>0</v>
      </c>
      <c r="Q13481" t="n">
        <v>0</v>
      </c>
      <c r="R13481" s="2" t="inlineStr"/>
    </row>
    <row r="13482" ht="15" customHeight="1">
      <c r="A13482" t="inlineStr">
        <is>
          <t>A 49595-2024</t>
        </is>
      </c>
      <c r="B13482" s="1" t="n">
        <v>45596.55809027778</v>
      </c>
      <c r="C13482" s="1" t="n">
        <v>45952</v>
      </c>
      <c r="D13482" t="inlineStr">
        <is>
          <t>VÄSTRA GÖTALANDS LÄN</t>
        </is>
      </c>
      <c r="E13482" t="inlineStr">
        <is>
          <t>BENGTSFORS</t>
        </is>
      </c>
      <c r="G13482" t="n">
        <v>3.5</v>
      </c>
      <c r="H13482" t="n">
        <v>0</v>
      </c>
      <c r="I13482" t="n">
        <v>0</v>
      </c>
      <c r="J13482" t="n">
        <v>0</v>
      </c>
      <c r="K13482" t="n">
        <v>0</v>
      </c>
      <c r="L13482" t="n">
        <v>0</v>
      </c>
      <c r="M13482" t="n">
        <v>0</v>
      </c>
      <c r="N13482" t="n">
        <v>0</v>
      </c>
      <c r="O13482" t="n">
        <v>0</v>
      </c>
      <c r="P13482" t="n">
        <v>0</v>
      </c>
      <c r="Q13482" t="n">
        <v>0</v>
      </c>
      <c r="R13482" s="2" t="inlineStr"/>
    </row>
    <row r="13483" ht="15" customHeight="1">
      <c r="A13483" t="inlineStr">
        <is>
          <t>A 44425-2025</t>
        </is>
      </c>
      <c r="B13483" s="1" t="n">
        <v>45916.55859953703</v>
      </c>
      <c r="C13483" s="1" t="n">
        <v>45952</v>
      </c>
      <c r="D13483" t="inlineStr">
        <is>
          <t>VÄSTRA GÖTALANDS LÄN</t>
        </is>
      </c>
      <c r="E13483" t="inlineStr">
        <is>
          <t>MARK</t>
        </is>
      </c>
      <c r="G13483" t="n">
        <v>0.8</v>
      </c>
      <c r="H13483" t="n">
        <v>0</v>
      </c>
      <c r="I13483" t="n">
        <v>0</v>
      </c>
      <c r="J13483" t="n">
        <v>0</v>
      </c>
      <c r="K13483" t="n">
        <v>0</v>
      </c>
      <c r="L13483" t="n">
        <v>0</v>
      </c>
      <c r="M13483" t="n">
        <v>0</v>
      </c>
      <c r="N13483" t="n">
        <v>0</v>
      </c>
      <c r="O13483" t="n">
        <v>0</v>
      </c>
      <c r="P13483" t="n">
        <v>0</v>
      </c>
      <c r="Q13483" t="n">
        <v>0</v>
      </c>
      <c r="R13483" s="2" t="inlineStr"/>
    </row>
    <row r="13484" ht="15" customHeight="1">
      <c r="A13484" t="inlineStr">
        <is>
          <t>A 49634-2024</t>
        </is>
      </c>
      <c r="B13484" s="1" t="n">
        <v>45596.59591435185</v>
      </c>
      <c r="C13484" s="1" t="n">
        <v>45952</v>
      </c>
      <c r="D13484" t="inlineStr">
        <is>
          <t>VÄSTRA GÖTALANDS LÄN</t>
        </is>
      </c>
      <c r="E13484" t="inlineStr">
        <is>
          <t>SOTENÄS</t>
        </is>
      </c>
      <c r="G13484" t="n">
        <v>0.7</v>
      </c>
      <c r="H13484" t="n">
        <v>0</v>
      </c>
      <c r="I13484" t="n">
        <v>0</v>
      </c>
      <c r="J13484" t="n">
        <v>0</v>
      </c>
      <c r="K13484" t="n">
        <v>0</v>
      </c>
      <c r="L13484" t="n">
        <v>0</v>
      </c>
      <c r="M13484" t="n">
        <v>0</v>
      </c>
      <c r="N13484" t="n">
        <v>0</v>
      </c>
      <c r="O13484" t="n">
        <v>0</v>
      </c>
      <c r="P13484" t="n">
        <v>0</v>
      </c>
      <c r="Q13484" t="n">
        <v>0</v>
      </c>
      <c r="R13484" s="2" t="inlineStr"/>
    </row>
    <row r="13485" ht="15" customHeight="1">
      <c r="A13485" t="inlineStr">
        <is>
          <t>A 44783-2025</t>
        </is>
      </c>
      <c r="B13485" s="1" t="n">
        <v>45917.89658564814</v>
      </c>
      <c r="C13485" s="1" t="n">
        <v>45952</v>
      </c>
      <c r="D13485" t="inlineStr">
        <is>
          <t>VÄSTRA GÖTALANDS LÄN</t>
        </is>
      </c>
      <c r="E13485" t="inlineStr">
        <is>
          <t>BORÅS</t>
        </is>
      </c>
      <c r="G13485" t="n">
        <v>0.8</v>
      </c>
      <c r="H13485" t="n">
        <v>0</v>
      </c>
      <c r="I13485" t="n">
        <v>0</v>
      </c>
      <c r="J13485" t="n">
        <v>0</v>
      </c>
      <c r="K13485" t="n">
        <v>0</v>
      </c>
      <c r="L13485" t="n">
        <v>0</v>
      </c>
      <c r="M13485" t="n">
        <v>0</v>
      </c>
      <c r="N13485" t="n">
        <v>0</v>
      </c>
      <c r="O13485" t="n">
        <v>0</v>
      </c>
      <c r="P13485" t="n">
        <v>0</v>
      </c>
      <c r="Q13485" t="n">
        <v>0</v>
      </c>
      <c r="R13485" s="2" t="inlineStr"/>
    </row>
    <row r="13486" ht="15" customHeight="1">
      <c r="A13486" t="inlineStr">
        <is>
          <t>A 58000-2024</t>
        </is>
      </c>
      <c r="B13486" s="1" t="n">
        <v>45631</v>
      </c>
      <c r="C13486" s="1" t="n">
        <v>45952</v>
      </c>
      <c r="D13486" t="inlineStr">
        <is>
          <t>VÄSTRA GÖTALANDS LÄN</t>
        </is>
      </c>
      <c r="E13486" t="inlineStr">
        <is>
          <t>BORÅS</t>
        </is>
      </c>
      <c r="G13486" t="n">
        <v>1.9</v>
      </c>
      <c r="H13486" t="n">
        <v>0</v>
      </c>
      <c r="I13486" t="n">
        <v>0</v>
      </c>
      <c r="J13486" t="n">
        <v>0</v>
      </c>
      <c r="K13486" t="n">
        <v>0</v>
      </c>
      <c r="L13486" t="n">
        <v>0</v>
      </c>
      <c r="M13486" t="n">
        <v>0</v>
      </c>
      <c r="N13486" t="n">
        <v>0</v>
      </c>
      <c r="O13486" t="n">
        <v>0</v>
      </c>
      <c r="P13486" t="n">
        <v>0</v>
      </c>
      <c r="Q13486" t="n">
        <v>0</v>
      </c>
      <c r="R13486" s="2" t="inlineStr"/>
    </row>
    <row r="13487" ht="15" customHeight="1">
      <c r="A13487" t="inlineStr">
        <is>
          <t>A 18635-2023</t>
        </is>
      </c>
      <c r="B13487" s="1" t="n">
        <v>45043</v>
      </c>
      <c r="C13487" s="1" t="n">
        <v>45952</v>
      </c>
      <c r="D13487" t="inlineStr">
        <is>
          <t>VÄSTRA GÖTALANDS LÄN</t>
        </is>
      </c>
      <c r="E13487" t="inlineStr">
        <is>
          <t>SVENLJUNGA</t>
        </is>
      </c>
      <c r="G13487" t="n">
        <v>3.4</v>
      </c>
      <c r="H13487" t="n">
        <v>0</v>
      </c>
      <c r="I13487" t="n">
        <v>0</v>
      </c>
      <c r="J13487" t="n">
        <v>0</v>
      </c>
      <c r="K13487" t="n">
        <v>0</v>
      </c>
      <c r="L13487" t="n">
        <v>0</v>
      </c>
      <c r="M13487" t="n">
        <v>0</v>
      </c>
      <c r="N13487" t="n">
        <v>0</v>
      </c>
      <c r="O13487" t="n">
        <v>0</v>
      </c>
      <c r="P13487" t="n">
        <v>0</v>
      </c>
      <c r="Q13487" t="n">
        <v>0</v>
      </c>
      <c r="R13487" s="2" t="inlineStr"/>
    </row>
    <row r="13488" ht="15" customHeight="1">
      <c r="A13488" t="inlineStr">
        <is>
          <t>A 52318-2024</t>
        </is>
      </c>
      <c r="B13488" s="1" t="n">
        <v>45608.95855324074</v>
      </c>
      <c r="C13488" s="1" t="n">
        <v>45952</v>
      </c>
      <c r="D13488" t="inlineStr">
        <is>
          <t>VÄSTRA GÖTALANDS LÄN</t>
        </is>
      </c>
      <c r="E13488" t="inlineStr">
        <is>
          <t>FALKÖPING</t>
        </is>
      </c>
      <c r="G13488" t="n">
        <v>2.3</v>
      </c>
      <c r="H13488" t="n">
        <v>0</v>
      </c>
      <c r="I13488" t="n">
        <v>0</v>
      </c>
      <c r="J13488" t="n">
        <v>0</v>
      </c>
      <c r="K13488" t="n">
        <v>0</v>
      </c>
      <c r="L13488" t="n">
        <v>0</v>
      </c>
      <c r="M13488" t="n">
        <v>0</v>
      </c>
      <c r="N13488" t="n">
        <v>0</v>
      </c>
      <c r="O13488" t="n">
        <v>0</v>
      </c>
      <c r="P13488" t="n">
        <v>0</v>
      </c>
      <c r="Q13488" t="n">
        <v>0</v>
      </c>
      <c r="R13488" s="2" t="inlineStr"/>
    </row>
    <row r="13489" ht="15" customHeight="1">
      <c r="A13489" t="inlineStr">
        <is>
          <t>A 44573-2025</t>
        </is>
      </c>
      <c r="B13489" s="1" t="n">
        <v>45917.3941550926</v>
      </c>
      <c r="C13489" s="1" t="n">
        <v>45952</v>
      </c>
      <c r="D13489" t="inlineStr">
        <is>
          <t>VÄSTRA GÖTALANDS LÄN</t>
        </is>
      </c>
      <c r="E13489" t="inlineStr">
        <is>
          <t>MELLERUD</t>
        </is>
      </c>
      <c r="G13489" t="n">
        <v>5.5</v>
      </c>
      <c r="H13489" t="n">
        <v>0</v>
      </c>
      <c r="I13489" t="n">
        <v>0</v>
      </c>
      <c r="J13489" t="n">
        <v>0</v>
      </c>
      <c r="K13489" t="n">
        <v>0</v>
      </c>
      <c r="L13489" t="n">
        <v>0</v>
      </c>
      <c r="M13489" t="n">
        <v>0</v>
      </c>
      <c r="N13489" t="n">
        <v>0</v>
      </c>
      <c r="O13489" t="n">
        <v>0</v>
      </c>
      <c r="P13489" t="n">
        <v>0</v>
      </c>
      <c r="Q13489" t="n">
        <v>0</v>
      </c>
      <c r="R13489" s="2" t="inlineStr"/>
    </row>
    <row r="13490" ht="15" customHeight="1">
      <c r="A13490" t="inlineStr">
        <is>
          <t>A 44366-2025</t>
        </is>
      </c>
      <c r="B13490" s="1" t="n">
        <v>45916.45835648148</v>
      </c>
      <c r="C13490" s="1" t="n">
        <v>45952</v>
      </c>
      <c r="D13490" t="inlineStr">
        <is>
          <t>VÄSTRA GÖTALANDS LÄN</t>
        </is>
      </c>
      <c r="E13490" t="inlineStr">
        <is>
          <t>KARLSBORG</t>
        </is>
      </c>
      <c r="F13490" t="inlineStr">
        <is>
          <t>Kyrkan</t>
        </is>
      </c>
      <c r="G13490" t="n">
        <v>1</v>
      </c>
      <c r="H13490" t="n">
        <v>0</v>
      </c>
      <c r="I13490" t="n">
        <v>0</v>
      </c>
      <c r="J13490" t="n">
        <v>0</v>
      </c>
      <c r="K13490" t="n">
        <v>0</v>
      </c>
      <c r="L13490" t="n">
        <v>0</v>
      </c>
      <c r="M13490" t="n">
        <v>0</v>
      </c>
      <c r="N13490" t="n">
        <v>0</v>
      </c>
      <c r="O13490" t="n">
        <v>0</v>
      </c>
      <c r="P13490" t="n">
        <v>0</v>
      </c>
      <c r="Q13490" t="n">
        <v>0</v>
      </c>
      <c r="R13490" s="2" t="inlineStr"/>
    </row>
    <row r="13491" ht="15" customHeight="1">
      <c r="A13491" t="inlineStr">
        <is>
          <t>A 13880-2024</t>
        </is>
      </c>
      <c r="B13491" s="1" t="n">
        <v>45391.59994212963</v>
      </c>
      <c r="C13491" s="1" t="n">
        <v>45952</v>
      </c>
      <c r="D13491" t="inlineStr">
        <is>
          <t>VÄSTRA GÖTALANDS LÄN</t>
        </is>
      </c>
      <c r="E13491" t="inlineStr">
        <is>
          <t>KUNGÄLV</t>
        </is>
      </c>
      <c r="G13491" t="n">
        <v>2.4</v>
      </c>
      <c r="H13491" t="n">
        <v>0</v>
      </c>
      <c r="I13491" t="n">
        <v>0</v>
      </c>
      <c r="J13491" t="n">
        <v>0</v>
      </c>
      <c r="K13491" t="n">
        <v>0</v>
      </c>
      <c r="L13491" t="n">
        <v>0</v>
      </c>
      <c r="M13491" t="n">
        <v>0</v>
      </c>
      <c r="N13491" t="n">
        <v>0</v>
      </c>
      <c r="O13491" t="n">
        <v>0</v>
      </c>
      <c r="P13491" t="n">
        <v>0</v>
      </c>
      <c r="Q13491" t="n">
        <v>0</v>
      </c>
      <c r="R13491" s="2" t="inlineStr"/>
    </row>
    <row r="13492" ht="15" customHeight="1">
      <c r="A13492" t="inlineStr">
        <is>
          <t>A 13887-2024</t>
        </is>
      </c>
      <c r="B13492" s="1" t="n">
        <v>45391.61759259259</v>
      </c>
      <c r="C13492" s="1" t="n">
        <v>45952</v>
      </c>
      <c r="D13492" t="inlineStr">
        <is>
          <t>VÄSTRA GÖTALANDS LÄN</t>
        </is>
      </c>
      <c r="E13492" t="inlineStr">
        <is>
          <t>LILLA EDET</t>
        </is>
      </c>
      <c r="G13492" t="n">
        <v>11.3</v>
      </c>
      <c r="H13492" t="n">
        <v>0</v>
      </c>
      <c r="I13492" t="n">
        <v>0</v>
      </c>
      <c r="J13492" t="n">
        <v>0</v>
      </c>
      <c r="K13492" t="n">
        <v>0</v>
      </c>
      <c r="L13492" t="n">
        <v>0</v>
      </c>
      <c r="M13492" t="n">
        <v>0</v>
      </c>
      <c r="N13492" t="n">
        <v>0</v>
      </c>
      <c r="O13492" t="n">
        <v>0</v>
      </c>
      <c r="P13492" t="n">
        <v>0</v>
      </c>
      <c r="Q13492" t="n">
        <v>0</v>
      </c>
      <c r="R13492" s="2" t="inlineStr"/>
    </row>
    <row r="13493" ht="15" customHeight="1">
      <c r="A13493" t="inlineStr">
        <is>
          <t>A 23662-2023</t>
        </is>
      </c>
      <c r="B13493" s="1" t="n">
        <v>45077</v>
      </c>
      <c r="C13493" s="1" t="n">
        <v>45952</v>
      </c>
      <c r="D13493" t="inlineStr">
        <is>
          <t>VÄSTRA GÖTALANDS LÄN</t>
        </is>
      </c>
      <c r="E13493" t="inlineStr">
        <is>
          <t>TÖREBODA</t>
        </is>
      </c>
      <c r="F13493" t="inlineStr">
        <is>
          <t>Övriga Aktiebolag</t>
        </is>
      </c>
      <c r="G13493" t="n">
        <v>3.2</v>
      </c>
      <c r="H13493" t="n">
        <v>0</v>
      </c>
      <c r="I13493" t="n">
        <v>0</v>
      </c>
      <c r="J13493" t="n">
        <v>0</v>
      </c>
      <c r="K13493" t="n">
        <v>0</v>
      </c>
      <c r="L13493" t="n">
        <v>0</v>
      </c>
      <c r="M13493" t="n">
        <v>0</v>
      </c>
      <c r="N13493" t="n">
        <v>0</v>
      </c>
      <c r="O13493" t="n">
        <v>0</v>
      </c>
      <c r="P13493" t="n">
        <v>0</v>
      </c>
      <c r="Q13493" t="n">
        <v>0</v>
      </c>
      <c r="R13493" s="2" t="inlineStr"/>
    </row>
    <row r="13494" ht="15" customHeight="1">
      <c r="A13494" t="inlineStr">
        <is>
          <t>A 39762-2024</t>
        </is>
      </c>
      <c r="B13494" s="1" t="n">
        <v>45552.70372685185</v>
      </c>
      <c r="C13494" s="1" t="n">
        <v>45952</v>
      </c>
      <c r="D13494" t="inlineStr">
        <is>
          <t>VÄSTRA GÖTALANDS LÄN</t>
        </is>
      </c>
      <c r="E13494" t="inlineStr">
        <is>
          <t>ULRICEHAMN</t>
        </is>
      </c>
      <c r="G13494" t="n">
        <v>3</v>
      </c>
      <c r="H13494" t="n">
        <v>0</v>
      </c>
      <c r="I13494" t="n">
        <v>0</v>
      </c>
      <c r="J13494" t="n">
        <v>0</v>
      </c>
      <c r="K13494" t="n">
        <v>0</v>
      </c>
      <c r="L13494" t="n">
        <v>0</v>
      </c>
      <c r="M13494" t="n">
        <v>0</v>
      </c>
      <c r="N13494" t="n">
        <v>0</v>
      </c>
      <c r="O13494" t="n">
        <v>0</v>
      </c>
      <c r="P13494" t="n">
        <v>0</v>
      </c>
      <c r="Q13494" t="n">
        <v>0</v>
      </c>
      <c r="R13494" s="2" t="inlineStr"/>
    </row>
    <row r="13495" ht="15" customHeight="1">
      <c r="A13495" t="inlineStr">
        <is>
          <t>A 39763-2024</t>
        </is>
      </c>
      <c r="B13495" s="1" t="n">
        <v>45552.70619212963</v>
      </c>
      <c r="C13495" s="1" t="n">
        <v>45952</v>
      </c>
      <c r="D13495" t="inlineStr">
        <is>
          <t>VÄSTRA GÖTALANDS LÄN</t>
        </is>
      </c>
      <c r="E13495" t="inlineStr">
        <is>
          <t>ULRICEHAMN</t>
        </is>
      </c>
      <c r="G13495" t="n">
        <v>6.7</v>
      </c>
      <c r="H13495" t="n">
        <v>0</v>
      </c>
      <c r="I13495" t="n">
        <v>0</v>
      </c>
      <c r="J13495" t="n">
        <v>0</v>
      </c>
      <c r="K13495" t="n">
        <v>0</v>
      </c>
      <c r="L13495" t="n">
        <v>0</v>
      </c>
      <c r="M13495" t="n">
        <v>0</v>
      </c>
      <c r="N13495" t="n">
        <v>0</v>
      </c>
      <c r="O13495" t="n">
        <v>0</v>
      </c>
      <c r="P13495" t="n">
        <v>0</v>
      </c>
      <c r="Q13495" t="n">
        <v>0</v>
      </c>
      <c r="R13495" s="2" t="inlineStr"/>
    </row>
    <row r="13496" ht="15" customHeight="1">
      <c r="A13496" t="inlineStr">
        <is>
          <t>A 36881-2025</t>
        </is>
      </c>
      <c r="B13496" s="1" t="n">
        <v>45874.43638888889</v>
      </c>
      <c r="C13496" s="1" t="n">
        <v>45952</v>
      </c>
      <c r="D13496" t="inlineStr">
        <is>
          <t>VÄSTRA GÖTALANDS LÄN</t>
        </is>
      </c>
      <c r="E13496" t="inlineStr">
        <is>
          <t>BENGTSFORS</t>
        </is>
      </c>
      <c r="G13496" t="n">
        <v>2.7</v>
      </c>
      <c r="H13496" t="n">
        <v>0</v>
      </c>
      <c r="I13496" t="n">
        <v>0</v>
      </c>
      <c r="J13496" t="n">
        <v>0</v>
      </c>
      <c r="K13496" t="n">
        <v>0</v>
      </c>
      <c r="L13496" t="n">
        <v>0</v>
      </c>
      <c r="M13496" t="n">
        <v>0</v>
      </c>
      <c r="N13496" t="n">
        <v>0</v>
      </c>
      <c r="O13496" t="n">
        <v>0</v>
      </c>
      <c r="P13496" t="n">
        <v>0</v>
      </c>
      <c r="Q13496" t="n">
        <v>0</v>
      </c>
      <c r="R13496" s="2" t="inlineStr"/>
    </row>
    <row r="13497" ht="15" customHeight="1">
      <c r="A13497" t="inlineStr">
        <is>
          <t>A 47509-2024</t>
        </is>
      </c>
      <c r="B13497" s="1" t="n">
        <v>45587.60949074074</v>
      </c>
      <c r="C13497" s="1" t="n">
        <v>45952</v>
      </c>
      <c r="D13497" t="inlineStr">
        <is>
          <t>VÄSTRA GÖTALANDS LÄN</t>
        </is>
      </c>
      <c r="E13497" t="inlineStr">
        <is>
          <t>LILLA EDET</t>
        </is>
      </c>
      <c r="G13497" t="n">
        <v>2.6</v>
      </c>
      <c r="H13497" t="n">
        <v>0</v>
      </c>
      <c r="I13497" t="n">
        <v>0</v>
      </c>
      <c r="J13497" t="n">
        <v>0</v>
      </c>
      <c r="K13497" t="n">
        <v>0</v>
      </c>
      <c r="L13497" t="n">
        <v>0</v>
      </c>
      <c r="M13497" t="n">
        <v>0</v>
      </c>
      <c r="N13497" t="n">
        <v>0</v>
      </c>
      <c r="O13497" t="n">
        <v>0</v>
      </c>
      <c r="P13497" t="n">
        <v>0</v>
      </c>
      <c r="Q13497" t="n">
        <v>0</v>
      </c>
      <c r="R13497" s="2" t="inlineStr"/>
    </row>
    <row r="13498" ht="15" customHeight="1">
      <c r="A13498" t="inlineStr">
        <is>
          <t>A 47583-2024</t>
        </is>
      </c>
      <c r="B13498" s="1" t="n">
        <v>45587.77702546296</v>
      </c>
      <c r="C13498" s="1" t="n">
        <v>45952</v>
      </c>
      <c r="D13498" t="inlineStr">
        <is>
          <t>VÄSTRA GÖTALANDS LÄN</t>
        </is>
      </c>
      <c r="E13498" t="inlineStr">
        <is>
          <t>VÅRGÅRDA</t>
        </is>
      </c>
      <c r="F13498" t="inlineStr">
        <is>
          <t>Kyrkan</t>
        </is>
      </c>
      <c r="G13498" t="n">
        <v>1.3</v>
      </c>
      <c r="H13498" t="n">
        <v>0</v>
      </c>
      <c r="I13498" t="n">
        <v>0</v>
      </c>
      <c r="J13498" t="n">
        <v>0</v>
      </c>
      <c r="K13498" t="n">
        <v>0</v>
      </c>
      <c r="L13498" t="n">
        <v>0</v>
      </c>
      <c r="M13498" t="n">
        <v>0</v>
      </c>
      <c r="N13498" t="n">
        <v>0</v>
      </c>
      <c r="O13498" t="n">
        <v>0</v>
      </c>
      <c r="P13498" t="n">
        <v>0</v>
      </c>
      <c r="Q13498" t="n">
        <v>0</v>
      </c>
      <c r="R13498" s="2" t="inlineStr"/>
    </row>
    <row r="13499" ht="15" customHeight="1">
      <c r="A13499" t="inlineStr">
        <is>
          <t>A 37110-2025</t>
        </is>
      </c>
      <c r="B13499" s="1" t="n">
        <v>45875.49515046296</v>
      </c>
      <c r="C13499" s="1" t="n">
        <v>45952</v>
      </c>
      <c r="D13499" t="inlineStr">
        <is>
          <t>VÄSTRA GÖTALANDS LÄN</t>
        </is>
      </c>
      <c r="E13499" t="inlineStr">
        <is>
          <t>HERRLJUNGA</t>
        </is>
      </c>
      <c r="G13499" t="n">
        <v>3</v>
      </c>
      <c r="H13499" t="n">
        <v>0</v>
      </c>
      <c r="I13499" t="n">
        <v>0</v>
      </c>
      <c r="J13499" t="n">
        <v>0</v>
      </c>
      <c r="K13499" t="n">
        <v>0</v>
      </c>
      <c r="L13499" t="n">
        <v>0</v>
      </c>
      <c r="M13499" t="n">
        <v>0</v>
      </c>
      <c r="N13499" t="n">
        <v>0</v>
      </c>
      <c r="O13499" t="n">
        <v>0</v>
      </c>
      <c r="P13499" t="n">
        <v>0</v>
      </c>
      <c r="Q13499" t="n">
        <v>0</v>
      </c>
      <c r="R13499" s="2" t="inlineStr"/>
    </row>
    <row r="13500" ht="15" customHeight="1">
      <c r="A13500" t="inlineStr">
        <is>
          <t>A 21503-2024</t>
        </is>
      </c>
      <c r="B13500" s="1" t="n">
        <v>45441</v>
      </c>
      <c r="C13500" s="1" t="n">
        <v>45952</v>
      </c>
      <c r="D13500" t="inlineStr">
        <is>
          <t>VÄSTRA GÖTALANDS LÄN</t>
        </is>
      </c>
      <c r="E13500" t="inlineStr">
        <is>
          <t>MARIESTAD</t>
        </is>
      </c>
      <c r="F13500" t="inlineStr">
        <is>
          <t>Kommuner</t>
        </is>
      </c>
      <c r="G13500" t="n">
        <v>3.3</v>
      </c>
      <c r="H13500" t="n">
        <v>0</v>
      </c>
      <c r="I13500" t="n">
        <v>0</v>
      </c>
      <c r="J13500" t="n">
        <v>0</v>
      </c>
      <c r="K13500" t="n">
        <v>0</v>
      </c>
      <c r="L13500" t="n">
        <v>0</v>
      </c>
      <c r="M13500" t="n">
        <v>0</v>
      </c>
      <c r="N13500" t="n">
        <v>0</v>
      </c>
      <c r="O13500" t="n">
        <v>0</v>
      </c>
      <c r="P13500" t="n">
        <v>0</v>
      </c>
      <c r="Q13500" t="n">
        <v>0</v>
      </c>
      <c r="R13500" s="2" t="inlineStr"/>
    </row>
    <row r="13501" ht="15" customHeight="1">
      <c r="A13501" t="inlineStr">
        <is>
          <t>A 37171-2025</t>
        </is>
      </c>
      <c r="B13501" s="1" t="n">
        <v>45875.6099537037</v>
      </c>
      <c r="C13501" s="1" t="n">
        <v>45952</v>
      </c>
      <c r="D13501" t="inlineStr">
        <is>
          <t>VÄSTRA GÖTALANDS LÄN</t>
        </is>
      </c>
      <c r="E13501" t="inlineStr">
        <is>
          <t>MARIESTAD</t>
        </is>
      </c>
      <c r="G13501" t="n">
        <v>0.7</v>
      </c>
      <c r="H13501" t="n">
        <v>0</v>
      </c>
      <c r="I13501" t="n">
        <v>0</v>
      </c>
      <c r="J13501" t="n">
        <v>0</v>
      </c>
      <c r="K13501" t="n">
        <v>0</v>
      </c>
      <c r="L13501" t="n">
        <v>0</v>
      </c>
      <c r="M13501" t="n">
        <v>0</v>
      </c>
      <c r="N13501" t="n">
        <v>0</v>
      </c>
      <c r="O13501" t="n">
        <v>0</v>
      </c>
      <c r="P13501" t="n">
        <v>0</v>
      </c>
      <c r="Q13501" t="n">
        <v>0</v>
      </c>
      <c r="R13501" s="2" t="inlineStr"/>
    </row>
    <row r="13502" ht="15" customHeight="1">
      <c r="A13502" t="inlineStr">
        <is>
          <t>A 49357-2024</t>
        </is>
      </c>
      <c r="B13502" s="1" t="n">
        <v>45595.61976851852</v>
      </c>
      <c r="C13502" s="1" t="n">
        <v>45952</v>
      </c>
      <c r="D13502" t="inlineStr">
        <is>
          <t>VÄSTRA GÖTALANDS LÄN</t>
        </is>
      </c>
      <c r="E13502" t="inlineStr">
        <is>
          <t>VÅRGÅRDA</t>
        </is>
      </c>
      <c r="G13502" t="n">
        <v>2.3</v>
      </c>
      <c r="H13502" t="n">
        <v>0</v>
      </c>
      <c r="I13502" t="n">
        <v>0</v>
      </c>
      <c r="J13502" t="n">
        <v>0</v>
      </c>
      <c r="K13502" t="n">
        <v>0</v>
      </c>
      <c r="L13502" t="n">
        <v>0</v>
      </c>
      <c r="M13502" t="n">
        <v>0</v>
      </c>
      <c r="N13502" t="n">
        <v>0</v>
      </c>
      <c r="O13502" t="n">
        <v>0</v>
      </c>
      <c r="P13502" t="n">
        <v>0</v>
      </c>
      <c r="Q13502" t="n">
        <v>0</v>
      </c>
      <c r="R13502" s="2" t="inlineStr"/>
    </row>
    <row r="13503" ht="15" customHeight="1">
      <c r="A13503" t="inlineStr">
        <is>
          <t>A 24787-2021</t>
        </is>
      </c>
      <c r="B13503" s="1" t="n">
        <v>44340</v>
      </c>
      <c r="C13503" s="1" t="n">
        <v>45952</v>
      </c>
      <c r="D13503" t="inlineStr">
        <is>
          <t>VÄSTRA GÖTALANDS LÄN</t>
        </is>
      </c>
      <c r="E13503" t="inlineStr">
        <is>
          <t>MARK</t>
        </is>
      </c>
      <c r="G13503" t="n">
        <v>1.2</v>
      </c>
      <c r="H13503" t="n">
        <v>0</v>
      </c>
      <c r="I13503" t="n">
        <v>0</v>
      </c>
      <c r="J13503" t="n">
        <v>0</v>
      </c>
      <c r="K13503" t="n">
        <v>0</v>
      </c>
      <c r="L13503" t="n">
        <v>0</v>
      </c>
      <c r="M13503" t="n">
        <v>0</v>
      </c>
      <c r="N13503" t="n">
        <v>0</v>
      </c>
      <c r="O13503" t="n">
        <v>0</v>
      </c>
      <c r="P13503" t="n">
        <v>0</v>
      </c>
      <c r="Q13503" t="n">
        <v>0</v>
      </c>
      <c r="R13503" s="2" t="inlineStr"/>
    </row>
    <row r="13504" ht="15" customHeight="1">
      <c r="A13504" t="inlineStr">
        <is>
          <t>A 37067-2025</t>
        </is>
      </c>
      <c r="B13504" s="1" t="n">
        <v>45875</v>
      </c>
      <c r="C13504" s="1" t="n">
        <v>45952</v>
      </c>
      <c r="D13504" t="inlineStr">
        <is>
          <t>VÄSTRA GÖTALANDS LÄN</t>
        </is>
      </c>
      <c r="E13504" t="inlineStr">
        <is>
          <t>FÄRGELANDA</t>
        </is>
      </c>
      <c r="G13504" t="n">
        <v>4.9</v>
      </c>
      <c r="H13504" t="n">
        <v>0</v>
      </c>
      <c r="I13504" t="n">
        <v>0</v>
      </c>
      <c r="J13504" t="n">
        <v>0</v>
      </c>
      <c r="K13504" t="n">
        <v>0</v>
      </c>
      <c r="L13504" t="n">
        <v>0</v>
      </c>
      <c r="M13504" t="n">
        <v>0</v>
      </c>
      <c r="N13504" t="n">
        <v>0</v>
      </c>
      <c r="O13504" t="n">
        <v>0</v>
      </c>
      <c r="P13504" t="n">
        <v>0</v>
      </c>
      <c r="Q13504" t="n">
        <v>0</v>
      </c>
      <c r="R13504" s="2" t="inlineStr"/>
    </row>
    <row r="13505" ht="15" customHeight="1">
      <c r="A13505" t="inlineStr">
        <is>
          <t>A 37098-2025</t>
        </is>
      </c>
      <c r="B13505" s="1" t="n">
        <v>45875.4712037037</v>
      </c>
      <c r="C13505" s="1" t="n">
        <v>45952</v>
      </c>
      <c r="D13505" t="inlineStr">
        <is>
          <t>VÄSTRA GÖTALANDS LÄN</t>
        </is>
      </c>
      <c r="E13505" t="inlineStr">
        <is>
          <t>MARIESTAD</t>
        </is>
      </c>
      <c r="G13505" t="n">
        <v>3.3</v>
      </c>
      <c r="H13505" t="n">
        <v>0</v>
      </c>
      <c r="I13505" t="n">
        <v>0</v>
      </c>
      <c r="J13505" t="n">
        <v>0</v>
      </c>
      <c r="K13505" t="n">
        <v>0</v>
      </c>
      <c r="L13505" t="n">
        <v>0</v>
      </c>
      <c r="M13505" t="n">
        <v>0</v>
      </c>
      <c r="N13505" t="n">
        <v>0</v>
      </c>
      <c r="O13505" t="n">
        <v>0</v>
      </c>
      <c r="P13505" t="n">
        <v>0</v>
      </c>
      <c r="Q13505" t="n">
        <v>0</v>
      </c>
      <c r="R13505" s="2" t="inlineStr"/>
    </row>
    <row r="13506" ht="15" customHeight="1">
      <c r="A13506" t="inlineStr">
        <is>
          <t>A 54922-2023</t>
        </is>
      </c>
      <c r="B13506" s="1" t="n">
        <v>45236.67905092592</v>
      </c>
      <c r="C13506" s="1" t="n">
        <v>45952</v>
      </c>
      <c r="D13506" t="inlineStr">
        <is>
          <t>VÄSTRA GÖTALANDS LÄN</t>
        </is>
      </c>
      <c r="E13506" t="inlineStr">
        <is>
          <t>HERRLJUNGA</t>
        </is>
      </c>
      <c r="G13506" t="n">
        <v>2.6</v>
      </c>
      <c r="H13506" t="n">
        <v>0</v>
      </c>
      <c r="I13506" t="n">
        <v>0</v>
      </c>
      <c r="J13506" t="n">
        <v>0</v>
      </c>
      <c r="K13506" t="n">
        <v>0</v>
      </c>
      <c r="L13506" t="n">
        <v>0</v>
      </c>
      <c r="M13506" t="n">
        <v>0</v>
      </c>
      <c r="N13506" t="n">
        <v>0</v>
      </c>
      <c r="O13506" t="n">
        <v>0</v>
      </c>
      <c r="P13506" t="n">
        <v>0</v>
      </c>
      <c r="Q13506" t="n">
        <v>0</v>
      </c>
      <c r="R13506" s="2" t="inlineStr"/>
    </row>
    <row r="13507" ht="15" customHeight="1">
      <c r="A13507" t="inlineStr">
        <is>
          <t>A 57699-2023</t>
        </is>
      </c>
      <c r="B13507" s="1" t="n">
        <v>45246</v>
      </c>
      <c r="C13507" s="1" t="n">
        <v>45952</v>
      </c>
      <c r="D13507" t="inlineStr">
        <is>
          <t>VÄSTRA GÖTALANDS LÄN</t>
        </is>
      </c>
      <c r="E13507" t="inlineStr">
        <is>
          <t>VÄNERSBORG</t>
        </is>
      </c>
      <c r="G13507" t="n">
        <v>4</v>
      </c>
      <c r="H13507" t="n">
        <v>0</v>
      </c>
      <c r="I13507" t="n">
        <v>0</v>
      </c>
      <c r="J13507" t="n">
        <v>0</v>
      </c>
      <c r="K13507" t="n">
        <v>0</v>
      </c>
      <c r="L13507" t="n">
        <v>0</v>
      </c>
      <c r="M13507" t="n">
        <v>0</v>
      </c>
      <c r="N13507" t="n">
        <v>0</v>
      </c>
      <c r="O13507" t="n">
        <v>0</v>
      </c>
      <c r="P13507" t="n">
        <v>0</v>
      </c>
      <c r="Q13507" t="n">
        <v>0</v>
      </c>
      <c r="R13507" s="2" t="inlineStr"/>
    </row>
    <row r="13508" ht="15" customHeight="1">
      <c r="A13508" t="inlineStr">
        <is>
          <t>A 37132-2025</t>
        </is>
      </c>
      <c r="B13508" s="1" t="n">
        <v>45875.54393518518</v>
      </c>
      <c r="C13508" s="1" t="n">
        <v>45952</v>
      </c>
      <c r="D13508" t="inlineStr">
        <is>
          <t>VÄSTRA GÖTALANDS LÄN</t>
        </is>
      </c>
      <c r="E13508" t="inlineStr">
        <is>
          <t>MARK</t>
        </is>
      </c>
      <c r="G13508" t="n">
        <v>1.3</v>
      </c>
      <c r="H13508" t="n">
        <v>0</v>
      </c>
      <c r="I13508" t="n">
        <v>0</v>
      </c>
      <c r="J13508" t="n">
        <v>0</v>
      </c>
      <c r="K13508" t="n">
        <v>0</v>
      </c>
      <c r="L13508" t="n">
        <v>0</v>
      </c>
      <c r="M13508" t="n">
        <v>0</v>
      </c>
      <c r="N13508" t="n">
        <v>0</v>
      </c>
      <c r="O13508" t="n">
        <v>0</v>
      </c>
      <c r="P13508" t="n">
        <v>0</v>
      </c>
      <c r="Q13508" t="n">
        <v>0</v>
      </c>
      <c r="R13508" s="2" t="inlineStr"/>
    </row>
    <row r="13509" ht="15" customHeight="1">
      <c r="A13509" t="inlineStr">
        <is>
          <t>A 37153-2025</t>
        </is>
      </c>
      <c r="B13509" s="1" t="n">
        <v>45875.58526620371</v>
      </c>
      <c r="C13509" s="1" t="n">
        <v>45952</v>
      </c>
      <c r="D13509" t="inlineStr">
        <is>
          <t>VÄSTRA GÖTALANDS LÄN</t>
        </is>
      </c>
      <c r="E13509" t="inlineStr">
        <is>
          <t>MARK</t>
        </is>
      </c>
      <c r="G13509" t="n">
        <v>1.2</v>
      </c>
      <c r="H13509" t="n">
        <v>0</v>
      </c>
      <c r="I13509" t="n">
        <v>0</v>
      </c>
      <c r="J13509" t="n">
        <v>0</v>
      </c>
      <c r="K13509" t="n">
        <v>0</v>
      </c>
      <c r="L13509" t="n">
        <v>0</v>
      </c>
      <c r="M13509" t="n">
        <v>0</v>
      </c>
      <c r="N13509" t="n">
        <v>0</v>
      </c>
      <c r="O13509" t="n">
        <v>0</v>
      </c>
      <c r="P13509" t="n">
        <v>0</v>
      </c>
      <c r="Q13509" t="n">
        <v>0</v>
      </c>
      <c r="R13509" s="2" t="inlineStr"/>
    </row>
    <row r="13510" ht="15" customHeight="1">
      <c r="A13510" t="inlineStr">
        <is>
          <t>A 10448-2025</t>
        </is>
      </c>
      <c r="B13510" s="1" t="n">
        <v>45720</v>
      </c>
      <c r="C13510" s="1" t="n">
        <v>45952</v>
      </c>
      <c r="D13510" t="inlineStr">
        <is>
          <t>VÄSTRA GÖTALANDS LÄN</t>
        </is>
      </c>
      <c r="E13510" t="inlineStr">
        <is>
          <t>TÖREBODA</t>
        </is>
      </c>
      <c r="G13510" t="n">
        <v>1.5</v>
      </c>
      <c r="H13510" t="n">
        <v>0</v>
      </c>
      <c r="I13510" t="n">
        <v>0</v>
      </c>
      <c r="J13510" t="n">
        <v>0</v>
      </c>
      <c r="K13510" t="n">
        <v>0</v>
      </c>
      <c r="L13510" t="n">
        <v>0</v>
      </c>
      <c r="M13510" t="n">
        <v>0</v>
      </c>
      <c r="N13510" t="n">
        <v>0</v>
      </c>
      <c r="O13510" t="n">
        <v>0</v>
      </c>
      <c r="P13510" t="n">
        <v>0</v>
      </c>
      <c r="Q13510" t="n">
        <v>0</v>
      </c>
      <c r="R13510" s="2" t="inlineStr"/>
    </row>
    <row r="13511" ht="15" customHeight="1">
      <c r="A13511" t="inlineStr">
        <is>
          <t>A 3733-2024</t>
        </is>
      </c>
      <c r="B13511" s="1" t="n">
        <v>45321</v>
      </c>
      <c r="C13511" s="1" t="n">
        <v>45952</v>
      </c>
      <c r="D13511" t="inlineStr">
        <is>
          <t>VÄSTRA GÖTALANDS LÄN</t>
        </is>
      </c>
      <c r="E13511" t="inlineStr">
        <is>
          <t>BORÅS</t>
        </is>
      </c>
      <c r="F13511" t="inlineStr">
        <is>
          <t>Kommuner</t>
        </is>
      </c>
      <c r="G13511" t="n">
        <v>3.6</v>
      </c>
      <c r="H13511" t="n">
        <v>0</v>
      </c>
      <c r="I13511" t="n">
        <v>0</v>
      </c>
      <c r="J13511" t="n">
        <v>0</v>
      </c>
      <c r="K13511" t="n">
        <v>0</v>
      </c>
      <c r="L13511" t="n">
        <v>0</v>
      </c>
      <c r="M13511" t="n">
        <v>0</v>
      </c>
      <c r="N13511" t="n">
        <v>0</v>
      </c>
      <c r="O13511" t="n">
        <v>0</v>
      </c>
      <c r="P13511" t="n">
        <v>0</v>
      </c>
      <c r="Q13511" t="n">
        <v>0</v>
      </c>
      <c r="R13511" s="2" t="inlineStr"/>
    </row>
    <row r="13512" ht="15" customHeight="1">
      <c r="A13512" t="inlineStr">
        <is>
          <t>A 62041-2024</t>
        </is>
      </c>
      <c r="B13512" s="1" t="n">
        <v>45656.35159722222</v>
      </c>
      <c r="C13512" s="1" t="n">
        <v>45952</v>
      </c>
      <c r="D13512" t="inlineStr">
        <is>
          <t>VÄSTRA GÖTALANDS LÄN</t>
        </is>
      </c>
      <c r="E13512" t="inlineStr">
        <is>
          <t>UDDEVALLA</t>
        </is>
      </c>
      <c r="F13512" t="inlineStr">
        <is>
          <t>Kommuner</t>
        </is>
      </c>
      <c r="G13512" t="n">
        <v>1.1</v>
      </c>
      <c r="H13512" t="n">
        <v>0</v>
      </c>
      <c r="I13512" t="n">
        <v>0</v>
      </c>
      <c r="J13512" t="n">
        <v>0</v>
      </c>
      <c r="K13512" t="n">
        <v>0</v>
      </c>
      <c r="L13512" t="n">
        <v>0</v>
      </c>
      <c r="M13512" t="n">
        <v>0</v>
      </c>
      <c r="N13512" t="n">
        <v>0</v>
      </c>
      <c r="O13512" t="n">
        <v>0</v>
      </c>
      <c r="P13512" t="n">
        <v>0</v>
      </c>
      <c r="Q13512" t="n">
        <v>0</v>
      </c>
      <c r="R13512" s="2" t="inlineStr"/>
    </row>
    <row r="13513" ht="15" customHeight="1">
      <c r="A13513" t="inlineStr">
        <is>
          <t>A 37164-2025</t>
        </is>
      </c>
      <c r="B13513" s="1" t="n">
        <v>45875.60344907407</v>
      </c>
      <c r="C13513" s="1" t="n">
        <v>45952</v>
      </c>
      <c r="D13513" t="inlineStr">
        <is>
          <t>VÄSTRA GÖTALANDS LÄN</t>
        </is>
      </c>
      <c r="E13513" t="inlineStr">
        <is>
          <t>MARK</t>
        </is>
      </c>
      <c r="G13513" t="n">
        <v>2.5</v>
      </c>
      <c r="H13513" t="n">
        <v>0</v>
      </c>
      <c r="I13513" t="n">
        <v>0</v>
      </c>
      <c r="J13513" t="n">
        <v>0</v>
      </c>
      <c r="K13513" t="n">
        <v>0</v>
      </c>
      <c r="L13513" t="n">
        <v>0</v>
      </c>
      <c r="M13513" t="n">
        <v>0</v>
      </c>
      <c r="N13513" t="n">
        <v>0</v>
      </c>
      <c r="O13513" t="n">
        <v>0</v>
      </c>
      <c r="P13513" t="n">
        <v>0</v>
      </c>
      <c r="Q13513" t="n">
        <v>0</v>
      </c>
      <c r="R13513" s="2" t="inlineStr"/>
    </row>
    <row r="13514" ht="15" customHeight="1">
      <c r="A13514" t="inlineStr">
        <is>
          <t>A 37190-2025</t>
        </is>
      </c>
      <c r="B13514" s="1" t="n">
        <v>45875.64939814815</v>
      </c>
      <c r="C13514" s="1" t="n">
        <v>45952</v>
      </c>
      <c r="D13514" t="inlineStr">
        <is>
          <t>VÄSTRA GÖTALANDS LÄN</t>
        </is>
      </c>
      <c r="E13514" t="inlineStr">
        <is>
          <t>LILLA EDET</t>
        </is>
      </c>
      <c r="G13514" t="n">
        <v>3.3</v>
      </c>
      <c r="H13514" t="n">
        <v>0</v>
      </c>
      <c r="I13514" t="n">
        <v>0</v>
      </c>
      <c r="J13514" t="n">
        <v>0</v>
      </c>
      <c r="K13514" t="n">
        <v>0</v>
      </c>
      <c r="L13514" t="n">
        <v>0</v>
      </c>
      <c r="M13514" t="n">
        <v>0</v>
      </c>
      <c r="N13514" t="n">
        <v>0</v>
      </c>
      <c r="O13514" t="n">
        <v>0</v>
      </c>
      <c r="P13514" t="n">
        <v>0</v>
      </c>
      <c r="Q13514" t="n">
        <v>0</v>
      </c>
      <c r="R13514" s="2" t="inlineStr"/>
    </row>
    <row r="13515" ht="15" customHeight="1">
      <c r="A13515" t="inlineStr">
        <is>
          <t>A 40145-2021</t>
        </is>
      </c>
      <c r="B13515" s="1" t="n">
        <v>44418</v>
      </c>
      <c r="C13515" s="1" t="n">
        <v>45952</v>
      </c>
      <c r="D13515" t="inlineStr">
        <is>
          <t>VÄSTRA GÖTALANDS LÄN</t>
        </is>
      </c>
      <c r="E13515" t="inlineStr">
        <is>
          <t>TANUM</t>
        </is>
      </c>
      <c r="G13515" t="n">
        <v>1.9</v>
      </c>
      <c r="H13515" t="n">
        <v>0</v>
      </c>
      <c r="I13515" t="n">
        <v>0</v>
      </c>
      <c r="J13515" t="n">
        <v>0</v>
      </c>
      <c r="K13515" t="n">
        <v>0</v>
      </c>
      <c r="L13515" t="n">
        <v>0</v>
      </c>
      <c r="M13515" t="n">
        <v>0</v>
      </c>
      <c r="N13515" t="n">
        <v>0</v>
      </c>
      <c r="O13515" t="n">
        <v>0</v>
      </c>
      <c r="P13515" t="n">
        <v>0</v>
      </c>
      <c r="Q13515" t="n">
        <v>0</v>
      </c>
      <c r="R13515" s="2" t="inlineStr"/>
    </row>
    <row r="13516" ht="15" customHeight="1">
      <c r="A13516" t="inlineStr">
        <is>
          <t>A 13334-2022</t>
        </is>
      </c>
      <c r="B13516" s="1" t="n">
        <v>44645.37586805555</v>
      </c>
      <c r="C13516" s="1" t="n">
        <v>45952</v>
      </c>
      <c r="D13516" t="inlineStr">
        <is>
          <t>VÄSTRA GÖTALANDS LÄN</t>
        </is>
      </c>
      <c r="E13516" t="inlineStr">
        <is>
          <t>VÄNERSBORG</t>
        </is>
      </c>
      <c r="G13516" t="n">
        <v>1.2</v>
      </c>
      <c r="H13516" t="n">
        <v>0</v>
      </c>
      <c r="I13516" t="n">
        <v>0</v>
      </c>
      <c r="J13516" t="n">
        <v>0</v>
      </c>
      <c r="K13516" t="n">
        <v>0</v>
      </c>
      <c r="L13516" t="n">
        <v>0</v>
      </c>
      <c r="M13516" t="n">
        <v>0</v>
      </c>
      <c r="N13516" t="n">
        <v>0</v>
      </c>
      <c r="O13516" t="n">
        <v>0</v>
      </c>
      <c r="P13516" t="n">
        <v>0</v>
      </c>
      <c r="Q13516" t="n">
        <v>0</v>
      </c>
      <c r="R13516" s="2" t="inlineStr"/>
    </row>
    <row r="13517" ht="15" customHeight="1">
      <c r="A13517" t="inlineStr">
        <is>
          <t>A 44777-2025</t>
        </is>
      </c>
      <c r="B13517" s="1" t="n">
        <v>45917.85200231482</v>
      </c>
      <c r="C13517" s="1" t="n">
        <v>45952</v>
      </c>
      <c r="D13517" t="inlineStr">
        <is>
          <t>VÄSTRA GÖTALANDS LÄN</t>
        </is>
      </c>
      <c r="E13517" t="inlineStr">
        <is>
          <t>BORÅS</t>
        </is>
      </c>
      <c r="G13517" t="n">
        <v>1.4</v>
      </c>
      <c r="H13517" t="n">
        <v>0</v>
      </c>
      <c r="I13517" t="n">
        <v>0</v>
      </c>
      <c r="J13517" t="n">
        <v>0</v>
      </c>
      <c r="K13517" t="n">
        <v>0</v>
      </c>
      <c r="L13517" t="n">
        <v>0</v>
      </c>
      <c r="M13517" t="n">
        <v>0</v>
      </c>
      <c r="N13517" t="n">
        <v>0</v>
      </c>
      <c r="O13517" t="n">
        <v>0</v>
      </c>
      <c r="P13517" t="n">
        <v>0</v>
      </c>
      <c r="Q13517" t="n">
        <v>0</v>
      </c>
      <c r="R13517" s="2" t="inlineStr"/>
    </row>
    <row r="13518" ht="15" customHeight="1">
      <c r="A13518" t="inlineStr">
        <is>
          <t>A 39899-2023</t>
        </is>
      </c>
      <c r="B13518" s="1" t="n">
        <v>45166</v>
      </c>
      <c r="C13518" s="1" t="n">
        <v>45952</v>
      </c>
      <c r="D13518" t="inlineStr">
        <is>
          <t>VÄSTRA GÖTALANDS LÄN</t>
        </is>
      </c>
      <c r="E13518" t="inlineStr">
        <is>
          <t>VÄNERSBORG</t>
        </is>
      </c>
      <c r="G13518" t="n">
        <v>15.6</v>
      </c>
      <c r="H13518" t="n">
        <v>0</v>
      </c>
      <c r="I13518" t="n">
        <v>0</v>
      </c>
      <c r="J13518" t="n">
        <v>0</v>
      </c>
      <c r="K13518" t="n">
        <v>0</v>
      </c>
      <c r="L13518" t="n">
        <v>0</v>
      </c>
      <c r="M13518" t="n">
        <v>0</v>
      </c>
      <c r="N13518" t="n">
        <v>0</v>
      </c>
      <c r="O13518" t="n">
        <v>0</v>
      </c>
      <c r="P13518" t="n">
        <v>0</v>
      </c>
      <c r="Q13518" t="n">
        <v>0</v>
      </c>
      <c r="R13518" s="2" t="inlineStr"/>
    </row>
    <row r="13519" ht="15" customHeight="1">
      <c r="A13519" t="inlineStr">
        <is>
          <t>A 39962-2023</t>
        </is>
      </c>
      <c r="B13519" s="1" t="n">
        <v>45168</v>
      </c>
      <c r="C13519" s="1" t="n">
        <v>45952</v>
      </c>
      <c r="D13519" t="inlineStr">
        <is>
          <t>VÄSTRA GÖTALANDS LÄN</t>
        </is>
      </c>
      <c r="E13519" t="inlineStr">
        <is>
          <t>FÄRGELANDA</t>
        </is>
      </c>
      <c r="G13519" t="n">
        <v>2.4</v>
      </c>
      <c r="H13519" t="n">
        <v>0</v>
      </c>
      <c r="I13519" t="n">
        <v>0</v>
      </c>
      <c r="J13519" t="n">
        <v>0</v>
      </c>
      <c r="K13519" t="n">
        <v>0</v>
      </c>
      <c r="L13519" t="n">
        <v>0</v>
      </c>
      <c r="M13519" t="n">
        <v>0</v>
      </c>
      <c r="N13519" t="n">
        <v>0</v>
      </c>
      <c r="O13519" t="n">
        <v>0</v>
      </c>
      <c r="P13519" t="n">
        <v>0</v>
      </c>
      <c r="Q13519" t="n">
        <v>0</v>
      </c>
      <c r="R13519" s="2" t="inlineStr"/>
    </row>
    <row r="13520" ht="15" customHeight="1">
      <c r="A13520" t="inlineStr">
        <is>
          <t>A 36948-2025</t>
        </is>
      </c>
      <c r="B13520" s="1" t="n">
        <v>45874.59667824074</v>
      </c>
      <c r="C13520" s="1" t="n">
        <v>45952</v>
      </c>
      <c r="D13520" t="inlineStr">
        <is>
          <t>VÄSTRA GÖTALANDS LÄN</t>
        </is>
      </c>
      <c r="E13520" t="inlineStr">
        <is>
          <t>MUNKEDAL</t>
        </is>
      </c>
      <c r="G13520" t="n">
        <v>2.7</v>
      </c>
      <c r="H13520" t="n">
        <v>0</v>
      </c>
      <c r="I13520" t="n">
        <v>0</v>
      </c>
      <c r="J13520" t="n">
        <v>0</v>
      </c>
      <c r="K13520" t="n">
        <v>0</v>
      </c>
      <c r="L13520" t="n">
        <v>0</v>
      </c>
      <c r="M13520" t="n">
        <v>0</v>
      </c>
      <c r="N13520" t="n">
        <v>0</v>
      </c>
      <c r="O13520" t="n">
        <v>0</v>
      </c>
      <c r="P13520" t="n">
        <v>0</v>
      </c>
      <c r="Q13520" t="n">
        <v>0</v>
      </c>
      <c r="R13520" s="2" t="inlineStr"/>
    </row>
    <row r="13521" ht="15" customHeight="1">
      <c r="A13521" t="inlineStr">
        <is>
          <t>A 44780-2025</t>
        </is>
      </c>
      <c r="B13521" s="1" t="n">
        <v>45917.8653125</v>
      </c>
      <c r="C13521" s="1" t="n">
        <v>45952</v>
      </c>
      <c r="D13521" t="inlineStr">
        <is>
          <t>VÄSTRA GÖTALANDS LÄN</t>
        </is>
      </c>
      <c r="E13521" t="inlineStr">
        <is>
          <t>LERUM</t>
        </is>
      </c>
      <c r="G13521" t="n">
        <v>1.3</v>
      </c>
      <c r="H13521" t="n">
        <v>0</v>
      </c>
      <c r="I13521" t="n">
        <v>0</v>
      </c>
      <c r="J13521" t="n">
        <v>0</v>
      </c>
      <c r="K13521" t="n">
        <v>0</v>
      </c>
      <c r="L13521" t="n">
        <v>0</v>
      </c>
      <c r="M13521" t="n">
        <v>0</v>
      </c>
      <c r="N13521" t="n">
        <v>0</v>
      </c>
      <c r="O13521" t="n">
        <v>0</v>
      </c>
      <c r="P13521" t="n">
        <v>0</v>
      </c>
      <c r="Q13521" t="n">
        <v>0</v>
      </c>
      <c r="R13521" s="2" t="inlineStr"/>
    </row>
    <row r="13522" ht="15" customHeight="1">
      <c r="A13522" t="inlineStr">
        <is>
          <t>A 44781-2025</t>
        </is>
      </c>
      <c r="B13522" s="1" t="n">
        <v>45917.86940972223</v>
      </c>
      <c r="C13522" s="1" t="n">
        <v>45952</v>
      </c>
      <c r="D13522" t="inlineStr">
        <is>
          <t>VÄSTRA GÖTALANDS LÄN</t>
        </is>
      </c>
      <c r="E13522" t="inlineStr">
        <is>
          <t>BORÅS</t>
        </is>
      </c>
      <c r="G13522" t="n">
        <v>3.4</v>
      </c>
      <c r="H13522" t="n">
        <v>0</v>
      </c>
      <c r="I13522" t="n">
        <v>0</v>
      </c>
      <c r="J13522" t="n">
        <v>0</v>
      </c>
      <c r="K13522" t="n">
        <v>0</v>
      </c>
      <c r="L13522" t="n">
        <v>0</v>
      </c>
      <c r="M13522" t="n">
        <v>0</v>
      </c>
      <c r="N13522" t="n">
        <v>0</v>
      </c>
      <c r="O13522" t="n">
        <v>0</v>
      </c>
      <c r="P13522" t="n">
        <v>0</v>
      </c>
      <c r="Q13522" t="n">
        <v>0</v>
      </c>
      <c r="R13522" s="2" t="inlineStr"/>
    </row>
    <row r="13523" ht="15" customHeight="1">
      <c r="A13523" t="inlineStr">
        <is>
          <t>A 5486-2021</t>
        </is>
      </c>
      <c r="B13523" s="1" t="n">
        <v>44230</v>
      </c>
      <c r="C13523" s="1" t="n">
        <v>45952</v>
      </c>
      <c r="D13523" t="inlineStr">
        <is>
          <t>VÄSTRA GÖTALANDS LÄN</t>
        </is>
      </c>
      <c r="E13523" t="inlineStr">
        <is>
          <t>TRANEMO</t>
        </is>
      </c>
      <c r="G13523" t="n">
        <v>1.3</v>
      </c>
      <c r="H13523" t="n">
        <v>0</v>
      </c>
      <c r="I13523" t="n">
        <v>0</v>
      </c>
      <c r="J13523" t="n">
        <v>0</v>
      </c>
      <c r="K13523" t="n">
        <v>0</v>
      </c>
      <c r="L13523" t="n">
        <v>0</v>
      </c>
      <c r="M13523" t="n">
        <v>0</v>
      </c>
      <c r="N13523" t="n">
        <v>0</v>
      </c>
      <c r="O13523" t="n">
        <v>0</v>
      </c>
      <c r="P13523" t="n">
        <v>0</v>
      </c>
      <c r="Q13523" t="n">
        <v>0</v>
      </c>
      <c r="R13523" s="2" t="inlineStr"/>
    </row>
    <row r="13524" ht="15" customHeight="1">
      <c r="A13524" t="inlineStr">
        <is>
          <t>A 36961-2025</t>
        </is>
      </c>
      <c r="B13524" s="1" t="n">
        <v>45874.62365740741</v>
      </c>
      <c r="C13524" s="1" t="n">
        <v>45952</v>
      </c>
      <c r="D13524" t="inlineStr">
        <is>
          <t>VÄSTRA GÖTALANDS LÄN</t>
        </is>
      </c>
      <c r="E13524" t="inlineStr">
        <is>
          <t>HJO</t>
        </is>
      </c>
      <c r="G13524" t="n">
        <v>0.9</v>
      </c>
      <c r="H13524" t="n">
        <v>0</v>
      </c>
      <c r="I13524" t="n">
        <v>0</v>
      </c>
      <c r="J13524" t="n">
        <v>0</v>
      </c>
      <c r="K13524" t="n">
        <v>0</v>
      </c>
      <c r="L13524" t="n">
        <v>0</v>
      </c>
      <c r="M13524" t="n">
        <v>0</v>
      </c>
      <c r="N13524" t="n">
        <v>0</v>
      </c>
      <c r="O13524" t="n">
        <v>0</v>
      </c>
      <c r="P13524" t="n">
        <v>0</v>
      </c>
      <c r="Q13524" t="n">
        <v>0</v>
      </c>
      <c r="R13524" s="2" t="inlineStr"/>
    </row>
    <row r="13525" ht="15" customHeight="1">
      <c r="A13525" t="inlineStr">
        <is>
          <t>A 5569-2023</t>
        </is>
      </c>
      <c r="B13525" s="1" t="n">
        <v>44960.48239583334</v>
      </c>
      <c r="C13525" s="1" t="n">
        <v>45952</v>
      </c>
      <c r="D13525" t="inlineStr">
        <is>
          <t>VÄSTRA GÖTALANDS LÄN</t>
        </is>
      </c>
      <c r="E13525" t="inlineStr">
        <is>
          <t>DALS-ED</t>
        </is>
      </c>
      <c r="G13525" t="n">
        <v>10.4</v>
      </c>
      <c r="H13525" t="n">
        <v>0</v>
      </c>
      <c r="I13525" t="n">
        <v>0</v>
      </c>
      <c r="J13525" t="n">
        <v>0</v>
      </c>
      <c r="K13525" t="n">
        <v>0</v>
      </c>
      <c r="L13525" t="n">
        <v>0</v>
      </c>
      <c r="M13525" t="n">
        <v>0</v>
      </c>
      <c r="N13525" t="n">
        <v>0</v>
      </c>
      <c r="O13525" t="n">
        <v>0</v>
      </c>
      <c r="P13525" t="n">
        <v>0</v>
      </c>
      <c r="Q13525" t="n">
        <v>0</v>
      </c>
      <c r="R13525" s="2" t="inlineStr"/>
    </row>
    <row r="13526" ht="15" customHeight="1">
      <c r="A13526" t="inlineStr">
        <is>
          <t>A 17113-2025</t>
        </is>
      </c>
      <c r="B13526" s="1" t="n">
        <v>45755.67962962963</v>
      </c>
      <c r="C13526" s="1" t="n">
        <v>45952</v>
      </c>
      <c r="D13526" t="inlineStr">
        <is>
          <t>VÄSTRA GÖTALANDS LÄN</t>
        </is>
      </c>
      <c r="E13526" t="inlineStr">
        <is>
          <t>TRANEMO</t>
        </is>
      </c>
      <c r="G13526" t="n">
        <v>2.7</v>
      </c>
      <c r="H13526" t="n">
        <v>0</v>
      </c>
      <c r="I13526" t="n">
        <v>0</v>
      </c>
      <c r="J13526" t="n">
        <v>0</v>
      </c>
      <c r="K13526" t="n">
        <v>0</v>
      </c>
      <c r="L13526" t="n">
        <v>0</v>
      </c>
      <c r="M13526" t="n">
        <v>0</v>
      </c>
      <c r="N13526" t="n">
        <v>0</v>
      </c>
      <c r="O13526" t="n">
        <v>0</v>
      </c>
      <c r="P13526" t="n">
        <v>0</v>
      </c>
      <c r="Q13526" t="n">
        <v>0</v>
      </c>
      <c r="R13526" s="2" t="inlineStr"/>
    </row>
    <row r="13527" ht="15" customHeight="1">
      <c r="A13527" t="inlineStr">
        <is>
          <t>A 44499-2025</t>
        </is>
      </c>
      <c r="B13527" s="1" t="n">
        <v>45916.67724537037</v>
      </c>
      <c r="C13527" s="1" t="n">
        <v>45952</v>
      </c>
      <c r="D13527" t="inlineStr">
        <is>
          <t>VÄSTRA GÖTALANDS LÄN</t>
        </is>
      </c>
      <c r="E13527" t="inlineStr">
        <is>
          <t>HERRLJUNGA</t>
        </is>
      </c>
      <c r="F13527" t="inlineStr">
        <is>
          <t>Kyrkan</t>
        </is>
      </c>
      <c r="G13527" t="n">
        <v>3.5</v>
      </c>
      <c r="H13527" t="n">
        <v>0</v>
      </c>
      <c r="I13527" t="n">
        <v>0</v>
      </c>
      <c r="J13527" t="n">
        <v>0</v>
      </c>
      <c r="K13527" t="n">
        <v>0</v>
      </c>
      <c r="L13527" t="n">
        <v>0</v>
      </c>
      <c r="M13527" t="n">
        <v>0</v>
      </c>
      <c r="N13527" t="n">
        <v>0</v>
      </c>
      <c r="O13527" t="n">
        <v>0</v>
      </c>
      <c r="P13527" t="n">
        <v>0</v>
      </c>
      <c r="Q13527" t="n">
        <v>0</v>
      </c>
      <c r="R13527" s="2" t="inlineStr"/>
    </row>
    <row r="13528" ht="15" customHeight="1">
      <c r="A13528" t="inlineStr">
        <is>
          <t>A 44546-2025</t>
        </is>
      </c>
      <c r="B13528" s="1" t="n">
        <v>45917.32519675926</v>
      </c>
      <c r="C13528" s="1" t="n">
        <v>45952</v>
      </c>
      <c r="D13528" t="inlineStr">
        <is>
          <t>VÄSTRA GÖTALANDS LÄN</t>
        </is>
      </c>
      <c r="E13528" t="inlineStr">
        <is>
          <t>MELLERUD</t>
        </is>
      </c>
      <c r="G13528" t="n">
        <v>3.3</v>
      </c>
      <c r="H13528" t="n">
        <v>0</v>
      </c>
      <c r="I13528" t="n">
        <v>0</v>
      </c>
      <c r="J13528" t="n">
        <v>0</v>
      </c>
      <c r="K13528" t="n">
        <v>0</v>
      </c>
      <c r="L13528" t="n">
        <v>0</v>
      </c>
      <c r="M13528" t="n">
        <v>0</v>
      </c>
      <c r="N13528" t="n">
        <v>0</v>
      </c>
      <c r="O13528" t="n">
        <v>0</v>
      </c>
      <c r="P13528" t="n">
        <v>0</v>
      </c>
      <c r="Q13528" t="n">
        <v>0</v>
      </c>
      <c r="R13528" s="2" t="inlineStr"/>
    </row>
    <row r="13529" ht="15" customHeight="1">
      <c r="A13529" t="inlineStr">
        <is>
          <t>A 44504-2025</t>
        </is>
      </c>
      <c r="B13529" s="1" t="n">
        <v>45916.67870370371</v>
      </c>
      <c r="C13529" s="1" t="n">
        <v>45952</v>
      </c>
      <c r="D13529" t="inlineStr">
        <is>
          <t>VÄSTRA GÖTALANDS LÄN</t>
        </is>
      </c>
      <c r="E13529" t="inlineStr">
        <is>
          <t>BENGTSFORS</t>
        </is>
      </c>
      <c r="G13529" t="n">
        <v>7.1</v>
      </c>
      <c r="H13529" t="n">
        <v>0</v>
      </c>
      <c r="I13529" t="n">
        <v>0</v>
      </c>
      <c r="J13529" t="n">
        <v>0</v>
      </c>
      <c r="K13529" t="n">
        <v>0</v>
      </c>
      <c r="L13529" t="n">
        <v>0</v>
      </c>
      <c r="M13529" t="n">
        <v>0</v>
      </c>
      <c r="N13529" t="n">
        <v>0</v>
      </c>
      <c r="O13529" t="n">
        <v>0</v>
      </c>
      <c r="P13529" t="n">
        <v>0</v>
      </c>
      <c r="Q13529" t="n">
        <v>0</v>
      </c>
      <c r="R13529" s="2" t="inlineStr"/>
    </row>
    <row r="13530" ht="15" customHeight="1">
      <c r="A13530" t="inlineStr">
        <is>
          <t>A 44315-2025</t>
        </is>
      </c>
      <c r="B13530" s="1" t="n">
        <v>45916.38990740741</v>
      </c>
      <c r="C13530" s="1" t="n">
        <v>45952</v>
      </c>
      <c r="D13530" t="inlineStr">
        <is>
          <t>VÄSTRA GÖTALANDS LÄN</t>
        </is>
      </c>
      <c r="E13530" t="inlineStr">
        <is>
          <t>BENGTSFORS</t>
        </is>
      </c>
      <c r="G13530" t="n">
        <v>1.5</v>
      </c>
      <c r="H13530" t="n">
        <v>0</v>
      </c>
      <c r="I13530" t="n">
        <v>0</v>
      </c>
      <c r="J13530" t="n">
        <v>0</v>
      </c>
      <c r="K13530" t="n">
        <v>0</v>
      </c>
      <c r="L13530" t="n">
        <v>0</v>
      </c>
      <c r="M13530" t="n">
        <v>0</v>
      </c>
      <c r="N13530" t="n">
        <v>0</v>
      </c>
      <c r="O13530" t="n">
        <v>0</v>
      </c>
      <c r="P13530" t="n">
        <v>0</v>
      </c>
      <c r="Q13530" t="n">
        <v>0</v>
      </c>
      <c r="R13530" s="2" t="inlineStr"/>
    </row>
    <row r="13531" ht="15" customHeight="1">
      <c r="A13531" t="inlineStr">
        <is>
          <t>A 5617-2024</t>
        </is>
      </c>
      <c r="B13531" s="1" t="n">
        <v>45334.58319444444</v>
      </c>
      <c r="C13531" s="1" t="n">
        <v>45952</v>
      </c>
      <c r="D13531" t="inlineStr">
        <is>
          <t>VÄSTRA GÖTALANDS LÄN</t>
        </is>
      </c>
      <c r="E13531" t="inlineStr">
        <is>
          <t>ORUST</t>
        </is>
      </c>
      <c r="G13531" t="n">
        <v>2</v>
      </c>
      <c r="H13531" t="n">
        <v>0</v>
      </c>
      <c r="I13531" t="n">
        <v>0</v>
      </c>
      <c r="J13531" t="n">
        <v>0</v>
      </c>
      <c r="K13531" t="n">
        <v>0</v>
      </c>
      <c r="L13531" t="n">
        <v>0</v>
      </c>
      <c r="M13531" t="n">
        <v>0</v>
      </c>
      <c r="N13531" t="n">
        <v>0</v>
      </c>
      <c r="O13531" t="n">
        <v>0</v>
      </c>
      <c r="P13531" t="n">
        <v>0</v>
      </c>
      <c r="Q13531" t="n">
        <v>0</v>
      </c>
      <c r="R13531" s="2" t="inlineStr"/>
      <c r="U13531">
        <f>HYPERLINK("https://klasma.github.io/Logging_1421/knärot/A 5617-2024 karta knärot.png", "A 5617-2024")</f>
        <v/>
      </c>
      <c r="V13531">
        <f>HYPERLINK("https://klasma.github.io/Logging_1421/klagomål/A 5617-2024 FSC-klagomål.docx", "A 5617-2024")</f>
        <v/>
      </c>
      <c r="W13531">
        <f>HYPERLINK("https://klasma.github.io/Logging_1421/klagomålsmail/A 5617-2024 FSC-klagomål mail.docx", "A 5617-2024")</f>
        <v/>
      </c>
      <c r="X13531">
        <f>HYPERLINK("https://klasma.github.io/Logging_1421/tillsyn/A 5617-2024 tillsynsbegäran.docx", "A 5617-2024")</f>
        <v/>
      </c>
      <c r="Y13531">
        <f>HYPERLINK("https://klasma.github.io/Logging_1421/tillsynsmail/A 5617-2024 tillsynsbegäran mail.docx", "A 5617-2024")</f>
        <v/>
      </c>
    </row>
    <row r="13532" ht="15" customHeight="1">
      <c r="A13532" t="inlineStr">
        <is>
          <t>A 5656-2024</t>
        </is>
      </c>
      <c r="B13532" s="1" t="n">
        <v>45334</v>
      </c>
      <c r="C13532" s="1" t="n">
        <v>45952</v>
      </c>
      <c r="D13532" t="inlineStr">
        <is>
          <t>VÄSTRA GÖTALANDS LÄN</t>
        </is>
      </c>
      <c r="E13532" t="inlineStr">
        <is>
          <t>SKÖVDE</t>
        </is>
      </c>
      <c r="G13532" t="n">
        <v>5</v>
      </c>
      <c r="H13532" t="n">
        <v>0</v>
      </c>
      <c r="I13532" t="n">
        <v>0</v>
      </c>
      <c r="J13532" t="n">
        <v>0</v>
      </c>
      <c r="K13532" t="n">
        <v>0</v>
      </c>
      <c r="L13532" t="n">
        <v>0</v>
      </c>
      <c r="M13532" t="n">
        <v>0</v>
      </c>
      <c r="N13532" t="n">
        <v>0</v>
      </c>
      <c r="O13532" t="n">
        <v>0</v>
      </c>
      <c r="P13532" t="n">
        <v>0</v>
      </c>
      <c r="Q13532" t="n">
        <v>0</v>
      </c>
      <c r="R13532" s="2" t="inlineStr"/>
    </row>
    <row r="13533" ht="15" customHeight="1">
      <c r="A13533" t="inlineStr">
        <is>
          <t>A 5669-2024</t>
        </is>
      </c>
      <c r="B13533" s="1" t="n">
        <v>45334.66134259259</v>
      </c>
      <c r="C13533" s="1" t="n">
        <v>45952</v>
      </c>
      <c r="D13533" t="inlineStr">
        <is>
          <t>VÄSTRA GÖTALANDS LÄN</t>
        </is>
      </c>
      <c r="E13533" t="inlineStr">
        <is>
          <t>TRANEMO</t>
        </is>
      </c>
      <c r="G13533" t="n">
        <v>1</v>
      </c>
      <c r="H13533" t="n">
        <v>0</v>
      </c>
      <c r="I13533" t="n">
        <v>0</v>
      </c>
      <c r="J13533" t="n">
        <v>0</v>
      </c>
      <c r="K13533" t="n">
        <v>0</v>
      </c>
      <c r="L13533" t="n">
        <v>0</v>
      </c>
      <c r="M13533" t="n">
        <v>0</v>
      </c>
      <c r="N13533" t="n">
        <v>0</v>
      </c>
      <c r="O13533" t="n">
        <v>0</v>
      </c>
      <c r="P13533" t="n">
        <v>0</v>
      </c>
      <c r="Q13533" t="n">
        <v>0</v>
      </c>
      <c r="R13533" s="2" t="inlineStr"/>
    </row>
    <row r="13534" ht="15" customHeight="1">
      <c r="A13534" t="inlineStr">
        <is>
          <t>A 36532-2024</t>
        </is>
      </c>
      <c r="B13534" s="1" t="n">
        <v>45537.44701388889</v>
      </c>
      <c r="C13534" s="1" t="n">
        <v>45952</v>
      </c>
      <c r="D13534" t="inlineStr">
        <is>
          <t>VÄSTRA GÖTALANDS LÄN</t>
        </is>
      </c>
      <c r="E13534" t="inlineStr">
        <is>
          <t>BOLLEBYGD</t>
        </is>
      </c>
      <c r="G13534" t="n">
        <v>1.8</v>
      </c>
      <c r="H13534" t="n">
        <v>0</v>
      </c>
      <c r="I13534" t="n">
        <v>0</v>
      </c>
      <c r="J13534" t="n">
        <v>0</v>
      </c>
      <c r="K13534" t="n">
        <v>0</v>
      </c>
      <c r="L13534" t="n">
        <v>0</v>
      </c>
      <c r="M13534" t="n">
        <v>0</v>
      </c>
      <c r="N13534" t="n">
        <v>0</v>
      </c>
      <c r="O13534" t="n">
        <v>0</v>
      </c>
      <c r="P13534" t="n">
        <v>0</v>
      </c>
      <c r="Q13534" t="n">
        <v>0</v>
      </c>
      <c r="R13534" s="2" t="inlineStr"/>
    </row>
    <row r="13535" ht="15" customHeight="1">
      <c r="A13535" t="inlineStr">
        <is>
          <t>A 53976-2023</t>
        </is>
      </c>
      <c r="B13535" s="1" t="n">
        <v>45231.64703703704</v>
      </c>
      <c r="C13535" s="1" t="n">
        <v>45952</v>
      </c>
      <c r="D13535" t="inlineStr">
        <is>
          <t>VÄSTRA GÖTALANDS LÄN</t>
        </is>
      </c>
      <c r="E13535" t="inlineStr">
        <is>
          <t>BORÅS</t>
        </is>
      </c>
      <c r="G13535" t="n">
        <v>5.2</v>
      </c>
      <c r="H13535" t="n">
        <v>0</v>
      </c>
      <c r="I13535" t="n">
        <v>0</v>
      </c>
      <c r="J13535" t="n">
        <v>0</v>
      </c>
      <c r="K13535" t="n">
        <v>0</v>
      </c>
      <c r="L13535" t="n">
        <v>0</v>
      </c>
      <c r="M13535" t="n">
        <v>0</v>
      </c>
      <c r="N13535" t="n">
        <v>0</v>
      </c>
      <c r="O13535" t="n">
        <v>0</v>
      </c>
      <c r="P13535" t="n">
        <v>0</v>
      </c>
      <c r="Q13535" t="n">
        <v>0</v>
      </c>
      <c r="R13535" s="2" t="inlineStr"/>
    </row>
    <row r="13536" ht="15" customHeight="1">
      <c r="A13536" t="inlineStr">
        <is>
          <t>A 44530-2025</t>
        </is>
      </c>
      <c r="B13536" s="1" t="n">
        <v>45916.75508101852</v>
      </c>
      <c r="C13536" s="1" t="n">
        <v>45952</v>
      </c>
      <c r="D13536" t="inlineStr">
        <is>
          <t>VÄSTRA GÖTALANDS LÄN</t>
        </is>
      </c>
      <c r="E13536" t="inlineStr">
        <is>
          <t>ALINGSÅS</t>
        </is>
      </c>
      <c r="G13536" t="n">
        <v>3</v>
      </c>
      <c r="H13536" t="n">
        <v>0</v>
      </c>
      <c r="I13536" t="n">
        <v>0</v>
      </c>
      <c r="J13536" t="n">
        <v>0</v>
      </c>
      <c r="K13536" t="n">
        <v>0</v>
      </c>
      <c r="L13536" t="n">
        <v>0</v>
      </c>
      <c r="M13536" t="n">
        <v>0</v>
      </c>
      <c r="N13536" t="n">
        <v>0</v>
      </c>
      <c r="O13536" t="n">
        <v>0</v>
      </c>
      <c r="P13536" t="n">
        <v>0</v>
      </c>
      <c r="Q13536" t="n">
        <v>0</v>
      </c>
      <c r="R13536" s="2" t="inlineStr"/>
    </row>
    <row r="13537" ht="15" customHeight="1">
      <c r="A13537" t="inlineStr">
        <is>
          <t>A 44537-2025</t>
        </is>
      </c>
      <c r="B13537" s="1" t="n">
        <v>45917.23777777778</v>
      </c>
      <c r="C13537" s="1" t="n">
        <v>45952</v>
      </c>
      <c r="D13537" t="inlineStr">
        <is>
          <t>VÄSTRA GÖTALANDS LÄN</t>
        </is>
      </c>
      <c r="E13537" t="inlineStr">
        <is>
          <t>TRANEMO</t>
        </is>
      </c>
      <c r="G13537" t="n">
        <v>2.1</v>
      </c>
      <c r="H13537" t="n">
        <v>0</v>
      </c>
      <c r="I13537" t="n">
        <v>0</v>
      </c>
      <c r="J13537" t="n">
        <v>0</v>
      </c>
      <c r="K13537" t="n">
        <v>0</v>
      </c>
      <c r="L13537" t="n">
        <v>0</v>
      </c>
      <c r="M13537" t="n">
        <v>0</v>
      </c>
      <c r="N13537" t="n">
        <v>0</v>
      </c>
      <c r="O13537" t="n">
        <v>0</v>
      </c>
      <c r="P13537" t="n">
        <v>0</v>
      </c>
      <c r="Q13537" t="n">
        <v>0</v>
      </c>
      <c r="R13537" s="2" t="inlineStr"/>
    </row>
    <row r="13538" ht="15" customHeight="1">
      <c r="A13538" t="inlineStr">
        <is>
          <t>A 29648-2025</t>
        </is>
      </c>
      <c r="B13538" s="1" t="n">
        <v>45825</v>
      </c>
      <c r="C13538" s="1" t="n">
        <v>45952</v>
      </c>
      <c r="D13538" t="inlineStr">
        <is>
          <t>VÄSTRA GÖTALANDS LÄN</t>
        </is>
      </c>
      <c r="E13538" t="inlineStr">
        <is>
          <t>TIBRO</t>
        </is>
      </c>
      <c r="G13538" t="n">
        <v>1.9</v>
      </c>
      <c r="H13538" t="n">
        <v>0</v>
      </c>
      <c r="I13538" t="n">
        <v>0</v>
      </c>
      <c r="J13538" t="n">
        <v>0</v>
      </c>
      <c r="K13538" t="n">
        <v>0</v>
      </c>
      <c r="L13538" t="n">
        <v>0</v>
      </c>
      <c r="M13538" t="n">
        <v>0</v>
      </c>
      <c r="N13538" t="n">
        <v>0</v>
      </c>
      <c r="O13538" t="n">
        <v>0</v>
      </c>
      <c r="P13538" t="n">
        <v>0</v>
      </c>
      <c r="Q13538" t="n">
        <v>0</v>
      </c>
      <c r="R13538" s="2" t="inlineStr"/>
    </row>
    <row r="13539" ht="15" customHeight="1">
      <c r="A13539" t="inlineStr">
        <is>
          <t>A 36963-2025</t>
        </is>
      </c>
      <c r="B13539" s="1" t="n">
        <v>45874.63193287037</v>
      </c>
      <c r="C13539" s="1" t="n">
        <v>45952</v>
      </c>
      <c r="D13539" t="inlineStr">
        <is>
          <t>VÄSTRA GÖTALANDS LÄN</t>
        </is>
      </c>
      <c r="E13539" t="inlineStr">
        <is>
          <t>MELLERUD</t>
        </is>
      </c>
      <c r="G13539" t="n">
        <v>0.7</v>
      </c>
      <c r="H13539" t="n">
        <v>0</v>
      </c>
      <c r="I13539" t="n">
        <v>0</v>
      </c>
      <c r="J13539" t="n">
        <v>0</v>
      </c>
      <c r="K13539" t="n">
        <v>0</v>
      </c>
      <c r="L13539" t="n">
        <v>0</v>
      </c>
      <c r="M13539" t="n">
        <v>0</v>
      </c>
      <c r="N13539" t="n">
        <v>0</v>
      </c>
      <c r="O13539" t="n">
        <v>0</v>
      </c>
      <c r="P13539" t="n">
        <v>0</v>
      </c>
      <c r="Q13539" t="n">
        <v>0</v>
      </c>
      <c r="R13539" s="2" t="inlineStr"/>
    </row>
    <row r="13540" ht="15" customHeight="1">
      <c r="A13540" t="inlineStr">
        <is>
          <t>A 45007-2025</t>
        </is>
      </c>
      <c r="B13540" s="1" t="n">
        <v>45918.66829861111</v>
      </c>
      <c r="C13540" s="1" t="n">
        <v>45952</v>
      </c>
      <c r="D13540" t="inlineStr">
        <is>
          <t>VÄSTRA GÖTALANDS LÄN</t>
        </is>
      </c>
      <c r="E13540" t="inlineStr">
        <is>
          <t>GÖTENE</t>
        </is>
      </c>
      <c r="G13540" t="n">
        <v>0</v>
      </c>
      <c r="H13540" t="n">
        <v>0</v>
      </c>
      <c r="I13540" t="n">
        <v>0</v>
      </c>
      <c r="J13540" t="n">
        <v>0</v>
      </c>
      <c r="K13540" t="n">
        <v>0</v>
      </c>
      <c r="L13540" t="n">
        <v>0</v>
      </c>
      <c r="M13540" t="n">
        <v>0</v>
      </c>
      <c r="N13540" t="n">
        <v>0</v>
      </c>
      <c r="O13540" t="n">
        <v>0</v>
      </c>
      <c r="P13540" t="n">
        <v>0</v>
      </c>
      <c r="Q13540" t="n">
        <v>0</v>
      </c>
      <c r="R13540" s="2" t="inlineStr"/>
    </row>
    <row r="13541" ht="15" customHeight="1">
      <c r="A13541" t="inlineStr">
        <is>
          <t>A 53374-2023</t>
        </is>
      </c>
      <c r="B13541" s="1" t="n">
        <v>45229</v>
      </c>
      <c r="C13541" s="1" t="n">
        <v>45952</v>
      </c>
      <c r="D13541" t="inlineStr">
        <is>
          <t>VÄSTRA GÖTALANDS LÄN</t>
        </is>
      </c>
      <c r="E13541" t="inlineStr">
        <is>
          <t>VARA</t>
        </is>
      </c>
      <c r="G13541" t="n">
        <v>1.6</v>
      </c>
      <c r="H13541" t="n">
        <v>0</v>
      </c>
      <c r="I13541" t="n">
        <v>0</v>
      </c>
      <c r="J13541" t="n">
        <v>0</v>
      </c>
      <c r="K13541" t="n">
        <v>0</v>
      </c>
      <c r="L13541" t="n">
        <v>0</v>
      </c>
      <c r="M13541" t="n">
        <v>0</v>
      </c>
      <c r="N13541" t="n">
        <v>0</v>
      </c>
      <c r="O13541" t="n">
        <v>0</v>
      </c>
      <c r="P13541" t="n">
        <v>0</v>
      </c>
      <c r="Q13541" t="n">
        <v>0</v>
      </c>
      <c r="R13541" s="2" t="inlineStr"/>
    </row>
    <row r="13542" ht="15" customHeight="1">
      <c r="A13542" t="inlineStr">
        <is>
          <t>A 31486-2021</t>
        </is>
      </c>
      <c r="B13542" s="1" t="n">
        <v>44369.43783564815</v>
      </c>
      <c r="C13542" s="1" t="n">
        <v>45952</v>
      </c>
      <c r="D13542" t="inlineStr">
        <is>
          <t>VÄSTRA GÖTALANDS LÄN</t>
        </is>
      </c>
      <c r="E13542" t="inlineStr">
        <is>
          <t>TJÖRN</t>
        </is>
      </c>
      <c r="G13542" t="n">
        <v>4.8</v>
      </c>
      <c r="H13542" t="n">
        <v>0</v>
      </c>
      <c r="I13542" t="n">
        <v>0</v>
      </c>
      <c r="J13542" t="n">
        <v>0</v>
      </c>
      <c r="K13542" t="n">
        <v>0</v>
      </c>
      <c r="L13542" t="n">
        <v>0</v>
      </c>
      <c r="M13542" t="n">
        <v>0</v>
      </c>
      <c r="N13542" t="n">
        <v>0</v>
      </c>
      <c r="O13542" t="n">
        <v>0</v>
      </c>
      <c r="P13542" t="n">
        <v>0</v>
      </c>
      <c r="Q13542" t="n">
        <v>0</v>
      </c>
      <c r="R13542" s="2" t="inlineStr"/>
    </row>
    <row r="13543" ht="15" customHeight="1">
      <c r="A13543" t="inlineStr">
        <is>
          <t>A 45088-2025</t>
        </is>
      </c>
      <c r="B13543" s="1" t="n">
        <v>45919.37598379629</v>
      </c>
      <c r="C13543" s="1" t="n">
        <v>45952</v>
      </c>
      <c r="D13543" t="inlineStr">
        <is>
          <t>VÄSTRA GÖTALANDS LÄN</t>
        </is>
      </c>
      <c r="E13543" t="inlineStr">
        <is>
          <t>TJÖRN</t>
        </is>
      </c>
      <c r="G13543" t="n">
        <v>0.9</v>
      </c>
      <c r="H13543" t="n">
        <v>0</v>
      </c>
      <c r="I13543" t="n">
        <v>0</v>
      </c>
      <c r="J13543" t="n">
        <v>0</v>
      </c>
      <c r="K13543" t="n">
        <v>0</v>
      </c>
      <c r="L13543" t="n">
        <v>0</v>
      </c>
      <c r="M13543" t="n">
        <v>0</v>
      </c>
      <c r="N13543" t="n">
        <v>0</v>
      </c>
      <c r="O13543" t="n">
        <v>0</v>
      </c>
      <c r="P13543" t="n">
        <v>0</v>
      </c>
      <c r="Q13543" t="n">
        <v>0</v>
      </c>
      <c r="R13543" s="2" t="inlineStr"/>
    </row>
    <row r="13544" ht="15" customHeight="1">
      <c r="A13544" t="inlineStr">
        <is>
          <t>A 45010-2025</t>
        </is>
      </c>
      <c r="B13544" s="1" t="n">
        <v>45918.67211805555</v>
      </c>
      <c r="C13544" s="1" t="n">
        <v>45952</v>
      </c>
      <c r="D13544" t="inlineStr">
        <is>
          <t>VÄSTRA GÖTALANDS LÄN</t>
        </is>
      </c>
      <c r="E13544" t="inlineStr">
        <is>
          <t>GÖTENE</t>
        </is>
      </c>
      <c r="G13544" t="n">
        <v>1.3</v>
      </c>
      <c r="H13544" t="n">
        <v>0</v>
      </c>
      <c r="I13544" t="n">
        <v>0</v>
      </c>
      <c r="J13544" t="n">
        <v>0</v>
      </c>
      <c r="K13544" t="n">
        <v>0</v>
      </c>
      <c r="L13544" t="n">
        <v>0</v>
      </c>
      <c r="M13544" t="n">
        <v>0</v>
      </c>
      <c r="N13544" t="n">
        <v>0</v>
      </c>
      <c r="O13544" t="n">
        <v>0</v>
      </c>
      <c r="P13544" t="n">
        <v>0</v>
      </c>
      <c r="Q13544" t="n">
        <v>0</v>
      </c>
      <c r="R13544" s="2" t="inlineStr"/>
    </row>
    <row r="13545" ht="15" customHeight="1">
      <c r="A13545" t="inlineStr">
        <is>
          <t>A 37264-2025</t>
        </is>
      </c>
      <c r="B13545" s="1" t="n">
        <v>45876.45918981481</v>
      </c>
      <c r="C13545" s="1" t="n">
        <v>45952</v>
      </c>
      <c r="D13545" t="inlineStr">
        <is>
          <t>VÄSTRA GÖTALANDS LÄN</t>
        </is>
      </c>
      <c r="E13545" t="inlineStr">
        <is>
          <t>TRANEMO</t>
        </is>
      </c>
      <c r="G13545" t="n">
        <v>3.5</v>
      </c>
      <c r="H13545" t="n">
        <v>0</v>
      </c>
      <c r="I13545" t="n">
        <v>0</v>
      </c>
      <c r="J13545" t="n">
        <v>0</v>
      </c>
      <c r="K13545" t="n">
        <v>0</v>
      </c>
      <c r="L13545" t="n">
        <v>0</v>
      </c>
      <c r="M13545" t="n">
        <v>0</v>
      </c>
      <c r="N13545" t="n">
        <v>0</v>
      </c>
      <c r="O13545" t="n">
        <v>0</v>
      </c>
      <c r="P13545" t="n">
        <v>0</v>
      </c>
      <c r="Q13545" t="n">
        <v>0</v>
      </c>
      <c r="R13545" s="2" t="inlineStr"/>
    </row>
    <row r="13546" ht="15" customHeight="1">
      <c r="A13546" t="inlineStr">
        <is>
          <t>A 37299-2025</t>
        </is>
      </c>
      <c r="B13546" s="1" t="n">
        <v>45876.5759375</v>
      </c>
      <c r="C13546" s="1" t="n">
        <v>45952</v>
      </c>
      <c r="D13546" t="inlineStr">
        <is>
          <t>VÄSTRA GÖTALANDS LÄN</t>
        </is>
      </c>
      <c r="E13546" t="inlineStr">
        <is>
          <t>LIDKÖPING</t>
        </is>
      </c>
      <c r="G13546" t="n">
        <v>4</v>
      </c>
      <c r="H13546" t="n">
        <v>0</v>
      </c>
      <c r="I13546" t="n">
        <v>0</v>
      </c>
      <c r="J13546" t="n">
        <v>0</v>
      </c>
      <c r="K13546" t="n">
        <v>0</v>
      </c>
      <c r="L13546" t="n">
        <v>0</v>
      </c>
      <c r="M13546" t="n">
        <v>0</v>
      </c>
      <c r="N13546" t="n">
        <v>0</v>
      </c>
      <c r="O13546" t="n">
        <v>0</v>
      </c>
      <c r="P13546" t="n">
        <v>0</v>
      </c>
      <c r="Q13546" t="n">
        <v>0</v>
      </c>
      <c r="R13546" s="2" t="inlineStr"/>
    </row>
    <row r="13547" ht="15" customHeight="1">
      <c r="A13547" t="inlineStr">
        <is>
          <t>A 45013-2025</t>
        </is>
      </c>
      <c r="B13547" s="1" t="n">
        <v>45918.67410879629</v>
      </c>
      <c r="C13547" s="1" t="n">
        <v>45952</v>
      </c>
      <c r="D13547" t="inlineStr">
        <is>
          <t>VÄSTRA GÖTALANDS LÄN</t>
        </is>
      </c>
      <c r="E13547" t="inlineStr">
        <is>
          <t>GÖTENE</t>
        </is>
      </c>
      <c r="G13547" t="n">
        <v>1.3</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45036-2025</t>
        </is>
      </c>
      <c r="B13548" s="1" t="n">
        <v>45918.70782407407</v>
      </c>
      <c r="C13548" s="1" t="n">
        <v>45952</v>
      </c>
      <c r="D13548" t="inlineStr">
        <is>
          <t>VÄSTRA GÖTALANDS LÄN</t>
        </is>
      </c>
      <c r="E13548" t="inlineStr">
        <is>
          <t>MARIESTAD</t>
        </is>
      </c>
      <c r="G13548" t="n">
        <v>1</v>
      </c>
      <c r="H13548" t="n">
        <v>0</v>
      </c>
      <c r="I13548" t="n">
        <v>0</v>
      </c>
      <c r="J13548" t="n">
        <v>0</v>
      </c>
      <c r="K13548" t="n">
        <v>0</v>
      </c>
      <c r="L13548" t="n">
        <v>0</v>
      </c>
      <c r="M13548" t="n">
        <v>0</v>
      </c>
      <c r="N13548" t="n">
        <v>0</v>
      </c>
      <c r="O13548" t="n">
        <v>0</v>
      </c>
      <c r="P13548" t="n">
        <v>0</v>
      </c>
      <c r="Q13548" t="n">
        <v>0</v>
      </c>
      <c r="R13548" s="2" t="inlineStr"/>
    </row>
    <row r="13549" ht="15" customHeight="1">
      <c r="A13549" t="inlineStr">
        <is>
          <t>A 45124-2025</t>
        </is>
      </c>
      <c r="B13549" s="1" t="n">
        <v>45919.43206018519</v>
      </c>
      <c r="C13549" s="1" t="n">
        <v>45952</v>
      </c>
      <c r="D13549" t="inlineStr">
        <is>
          <t>VÄSTRA GÖTALANDS LÄN</t>
        </is>
      </c>
      <c r="E13549" t="inlineStr">
        <is>
          <t>KUNGÄLV</t>
        </is>
      </c>
      <c r="G13549" t="n">
        <v>3.7</v>
      </c>
      <c r="H13549" t="n">
        <v>0</v>
      </c>
      <c r="I13549" t="n">
        <v>0</v>
      </c>
      <c r="J13549" t="n">
        <v>0</v>
      </c>
      <c r="K13549" t="n">
        <v>0</v>
      </c>
      <c r="L13549" t="n">
        <v>0</v>
      </c>
      <c r="M13549" t="n">
        <v>0</v>
      </c>
      <c r="N13549" t="n">
        <v>0</v>
      </c>
      <c r="O13549" t="n">
        <v>0</v>
      </c>
      <c r="P13549" t="n">
        <v>0</v>
      </c>
      <c r="Q13549" t="n">
        <v>0</v>
      </c>
      <c r="R13549" s="2" t="inlineStr"/>
    </row>
    <row r="13550" ht="15" customHeight="1">
      <c r="A13550" t="inlineStr">
        <is>
          <t>A 45251-2025</t>
        </is>
      </c>
      <c r="B13550" s="1" t="n">
        <v>45919.61405092593</v>
      </c>
      <c r="C13550" s="1" t="n">
        <v>45952</v>
      </c>
      <c r="D13550" t="inlineStr">
        <is>
          <t>VÄSTRA GÖTALANDS LÄN</t>
        </is>
      </c>
      <c r="E13550" t="inlineStr">
        <is>
          <t>TÖREBODA</t>
        </is>
      </c>
      <c r="G13550" t="n">
        <v>3.5</v>
      </c>
      <c r="H13550" t="n">
        <v>0</v>
      </c>
      <c r="I13550" t="n">
        <v>0</v>
      </c>
      <c r="J13550" t="n">
        <v>0</v>
      </c>
      <c r="K13550" t="n">
        <v>0</v>
      </c>
      <c r="L13550" t="n">
        <v>0</v>
      </c>
      <c r="M13550" t="n">
        <v>0</v>
      </c>
      <c r="N13550" t="n">
        <v>0</v>
      </c>
      <c r="O13550" t="n">
        <v>0</v>
      </c>
      <c r="P13550" t="n">
        <v>0</v>
      </c>
      <c r="Q13550" t="n">
        <v>0</v>
      </c>
      <c r="R13550" s="2" t="inlineStr"/>
    </row>
    <row r="13551" ht="15" customHeight="1">
      <c r="A13551" t="inlineStr">
        <is>
          <t>A 45256-2025</t>
        </is>
      </c>
      <c r="B13551" s="1" t="n">
        <v>45919.62141203704</v>
      </c>
      <c r="C13551" s="1" t="n">
        <v>45952</v>
      </c>
      <c r="D13551" t="inlineStr">
        <is>
          <t>VÄSTRA GÖTALANDS LÄN</t>
        </is>
      </c>
      <c r="E13551" t="inlineStr">
        <is>
          <t>KARLSBORG</t>
        </is>
      </c>
      <c r="G13551" t="n">
        <v>1</v>
      </c>
      <c r="H13551" t="n">
        <v>0</v>
      </c>
      <c r="I13551" t="n">
        <v>0</v>
      </c>
      <c r="J13551" t="n">
        <v>0</v>
      </c>
      <c r="K13551" t="n">
        <v>0</v>
      </c>
      <c r="L13551" t="n">
        <v>0</v>
      </c>
      <c r="M13551" t="n">
        <v>0</v>
      </c>
      <c r="N13551" t="n">
        <v>0</v>
      </c>
      <c r="O13551" t="n">
        <v>0</v>
      </c>
      <c r="P13551" t="n">
        <v>0</v>
      </c>
      <c r="Q13551" t="n">
        <v>0</v>
      </c>
      <c r="R13551" s="2" t="inlineStr"/>
    </row>
    <row r="13552" ht="15" customHeight="1">
      <c r="A13552" t="inlineStr">
        <is>
          <t>A 45223-2025</t>
        </is>
      </c>
      <c r="B13552" s="1" t="n">
        <v>45919.58</v>
      </c>
      <c r="C13552" s="1" t="n">
        <v>45952</v>
      </c>
      <c r="D13552" t="inlineStr">
        <is>
          <t>VÄSTRA GÖTALANDS LÄN</t>
        </is>
      </c>
      <c r="E13552" t="inlineStr">
        <is>
          <t>ESSUNGA</t>
        </is>
      </c>
      <c r="G13552" t="n">
        <v>0.9</v>
      </c>
      <c r="H13552" t="n">
        <v>0</v>
      </c>
      <c r="I13552" t="n">
        <v>0</v>
      </c>
      <c r="J13552" t="n">
        <v>0</v>
      </c>
      <c r="K13552" t="n">
        <v>0</v>
      </c>
      <c r="L13552" t="n">
        <v>0</v>
      </c>
      <c r="M13552" t="n">
        <v>0</v>
      </c>
      <c r="N13552" t="n">
        <v>0</v>
      </c>
      <c r="O13552" t="n">
        <v>0</v>
      </c>
      <c r="P13552" t="n">
        <v>0</v>
      </c>
      <c r="Q13552" t="n">
        <v>0</v>
      </c>
      <c r="R13552" s="2" t="inlineStr"/>
    </row>
    <row r="13553" ht="15" customHeight="1">
      <c r="A13553" t="inlineStr">
        <is>
          <t>A 45228-2025</t>
        </is>
      </c>
      <c r="B13553" s="1" t="n">
        <v>45919.58493055555</v>
      </c>
      <c r="C13553" s="1" t="n">
        <v>45952</v>
      </c>
      <c r="D13553" t="inlineStr">
        <is>
          <t>VÄSTRA GÖTALANDS LÄN</t>
        </is>
      </c>
      <c r="E13553" t="inlineStr">
        <is>
          <t>TROLLHÄTTAN</t>
        </is>
      </c>
      <c r="G13553" t="n">
        <v>10.7</v>
      </c>
      <c r="H13553" t="n">
        <v>0</v>
      </c>
      <c r="I13553" t="n">
        <v>0</v>
      </c>
      <c r="J13553" t="n">
        <v>0</v>
      </c>
      <c r="K13553" t="n">
        <v>0</v>
      </c>
      <c r="L13553" t="n">
        <v>0</v>
      </c>
      <c r="M13553" t="n">
        <v>0</v>
      </c>
      <c r="N13553" t="n">
        <v>0</v>
      </c>
      <c r="O13553" t="n">
        <v>0</v>
      </c>
      <c r="P13553" t="n">
        <v>0</v>
      </c>
      <c r="Q13553" t="n">
        <v>0</v>
      </c>
      <c r="R13553" s="2" t="inlineStr"/>
    </row>
    <row r="13554" ht="15" customHeight="1">
      <c r="A13554" t="inlineStr">
        <is>
          <t>A 2060-2023</t>
        </is>
      </c>
      <c r="B13554" s="1" t="n">
        <v>44939</v>
      </c>
      <c r="C13554" s="1" t="n">
        <v>45952</v>
      </c>
      <c r="D13554" t="inlineStr">
        <is>
          <t>VÄSTRA GÖTALANDS LÄN</t>
        </is>
      </c>
      <c r="E13554" t="inlineStr">
        <is>
          <t>HJO</t>
        </is>
      </c>
      <c r="G13554" t="n">
        <v>2.6</v>
      </c>
      <c r="H13554" t="n">
        <v>0</v>
      </c>
      <c r="I13554" t="n">
        <v>0</v>
      </c>
      <c r="J13554" t="n">
        <v>0</v>
      </c>
      <c r="K13554" t="n">
        <v>0</v>
      </c>
      <c r="L13554" t="n">
        <v>0</v>
      </c>
      <c r="M13554" t="n">
        <v>0</v>
      </c>
      <c r="N13554" t="n">
        <v>0</v>
      </c>
      <c r="O13554" t="n">
        <v>0</v>
      </c>
      <c r="P13554" t="n">
        <v>0</v>
      </c>
      <c r="Q13554" t="n">
        <v>0</v>
      </c>
      <c r="R13554" s="2" t="inlineStr"/>
    </row>
    <row r="13555" ht="15" customHeight="1">
      <c r="A13555" t="inlineStr">
        <is>
          <t>A 45247-2025</t>
        </is>
      </c>
      <c r="B13555" s="1" t="n">
        <v>45919.60940972222</v>
      </c>
      <c r="C13555" s="1" t="n">
        <v>45952</v>
      </c>
      <c r="D13555" t="inlineStr">
        <is>
          <t>VÄSTRA GÖTALANDS LÄN</t>
        </is>
      </c>
      <c r="E13555" t="inlineStr">
        <is>
          <t>KARLSBORG</t>
        </is>
      </c>
      <c r="G13555" t="n">
        <v>5.1</v>
      </c>
      <c r="H13555" t="n">
        <v>0</v>
      </c>
      <c r="I13555" t="n">
        <v>0</v>
      </c>
      <c r="J13555" t="n">
        <v>0</v>
      </c>
      <c r="K13555" t="n">
        <v>0</v>
      </c>
      <c r="L13555" t="n">
        <v>0</v>
      </c>
      <c r="M13555" t="n">
        <v>0</v>
      </c>
      <c r="N13555" t="n">
        <v>0</v>
      </c>
      <c r="O13555" t="n">
        <v>0</v>
      </c>
      <c r="P13555" t="n">
        <v>0</v>
      </c>
      <c r="Q13555" t="n">
        <v>0</v>
      </c>
      <c r="R13555" s="2" t="inlineStr"/>
    </row>
    <row r="13556" ht="15" customHeight="1">
      <c r="A13556" t="inlineStr">
        <is>
          <t>A 2070-2023</t>
        </is>
      </c>
      <c r="B13556" s="1" t="n">
        <v>44939</v>
      </c>
      <c r="C13556" s="1" t="n">
        <v>45952</v>
      </c>
      <c r="D13556" t="inlineStr">
        <is>
          <t>VÄSTRA GÖTALANDS LÄN</t>
        </is>
      </c>
      <c r="E13556" t="inlineStr">
        <is>
          <t>HJO</t>
        </is>
      </c>
      <c r="G13556" t="n">
        <v>11.6</v>
      </c>
      <c r="H13556" t="n">
        <v>0</v>
      </c>
      <c r="I13556" t="n">
        <v>0</v>
      </c>
      <c r="J13556" t="n">
        <v>0</v>
      </c>
      <c r="K13556" t="n">
        <v>0</v>
      </c>
      <c r="L13556" t="n">
        <v>0</v>
      </c>
      <c r="M13556" t="n">
        <v>0</v>
      </c>
      <c r="N13556" t="n">
        <v>0</v>
      </c>
      <c r="O13556" t="n">
        <v>0</v>
      </c>
      <c r="P13556" t="n">
        <v>0</v>
      </c>
      <c r="Q13556" t="n">
        <v>0</v>
      </c>
      <c r="R13556" s="2" t="inlineStr"/>
    </row>
    <row r="13557" ht="15" customHeight="1">
      <c r="A13557" t="inlineStr">
        <is>
          <t>A 45264-2025</t>
        </is>
      </c>
      <c r="B13557" s="1" t="n">
        <v>45919.64902777778</v>
      </c>
      <c r="C13557" s="1" t="n">
        <v>45952</v>
      </c>
      <c r="D13557" t="inlineStr">
        <is>
          <t>VÄSTRA GÖTALANDS LÄN</t>
        </is>
      </c>
      <c r="E13557" t="inlineStr">
        <is>
          <t>TIDAHOLM</t>
        </is>
      </c>
      <c r="G13557" t="n">
        <v>2.5</v>
      </c>
      <c r="H13557" t="n">
        <v>0</v>
      </c>
      <c r="I13557" t="n">
        <v>0</v>
      </c>
      <c r="J13557" t="n">
        <v>0</v>
      </c>
      <c r="K13557" t="n">
        <v>0</v>
      </c>
      <c r="L13557" t="n">
        <v>0</v>
      </c>
      <c r="M13557" t="n">
        <v>0</v>
      </c>
      <c r="N13557" t="n">
        <v>0</v>
      </c>
      <c r="O13557" t="n">
        <v>0</v>
      </c>
      <c r="P13557" t="n">
        <v>0</v>
      </c>
      <c r="Q13557" t="n">
        <v>0</v>
      </c>
      <c r="R13557" s="2" t="inlineStr"/>
    </row>
    <row r="13558" ht="15" customHeight="1">
      <c r="A13558" t="inlineStr">
        <is>
          <t>A 32191-2024</t>
        </is>
      </c>
      <c r="B13558" s="1" t="n">
        <v>45511.6528587963</v>
      </c>
      <c r="C13558" s="1" t="n">
        <v>45952</v>
      </c>
      <c r="D13558" t="inlineStr">
        <is>
          <t>VÄSTRA GÖTALANDS LÄN</t>
        </is>
      </c>
      <c r="E13558" t="inlineStr">
        <is>
          <t>FALKÖPING</t>
        </is>
      </c>
      <c r="G13558" t="n">
        <v>2</v>
      </c>
      <c r="H13558" t="n">
        <v>0</v>
      </c>
      <c r="I13558" t="n">
        <v>0</v>
      </c>
      <c r="J13558" t="n">
        <v>0</v>
      </c>
      <c r="K13558" t="n">
        <v>0</v>
      </c>
      <c r="L13558" t="n">
        <v>0</v>
      </c>
      <c r="M13558" t="n">
        <v>0</v>
      </c>
      <c r="N13558" t="n">
        <v>0</v>
      </c>
      <c r="O13558" t="n">
        <v>0</v>
      </c>
      <c r="P13558" t="n">
        <v>0</v>
      </c>
      <c r="Q13558" t="n">
        <v>0</v>
      </c>
      <c r="R13558" s="2" t="inlineStr"/>
    </row>
    <row r="13559" ht="15" customHeight="1">
      <c r="A13559" t="inlineStr">
        <is>
          <t>A 43884-2021</t>
        </is>
      </c>
      <c r="B13559" s="1" t="n">
        <v>44434</v>
      </c>
      <c r="C13559" s="1" t="n">
        <v>45952</v>
      </c>
      <c r="D13559" t="inlineStr">
        <is>
          <t>VÄSTRA GÖTALANDS LÄN</t>
        </is>
      </c>
      <c r="E13559" t="inlineStr">
        <is>
          <t>TANUM</t>
        </is>
      </c>
      <c r="G13559" t="n">
        <v>1</v>
      </c>
      <c r="H13559" t="n">
        <v>0</v>
      </c>
      <c r="I13559" t="n">
        <v>0</v>
      </c>
      <c r="J13559" t="n">
        <v>0</v>
      </c>
      <c r="K13559" t="n">
        <v>0</v>
      </c>
      <c r="L13559" t="n">
        <v>0</v>
      </c>
      <c r="M13559" t="n">
        <v>0</v>
      </c>
      <c r="N13559" t="n">
        <v>0</v>
      </c>
      <c r="O13559" t="n">
        <v>0</v>
      </c>
      <c r="P13559" t="n">
        <v>0</v>
      </c>
      <c r="Q13559" t="n">
        <v>0</v>
      </c>
      <c r="R13559" s="2" t="inlineStr"/>
    </row>
    <row r="13560" ht="15" customHeight="1">
      <c r="A13560" t="inlineStr">
        <is>
          <t>A 43889-2021</t>
        </is>
      </c>
      <c r="B13560" s="1" t="n">
        <v>44434</v>
      </c>
      <c r="C13560" s="1" t="n">
        <v>45952</v>
      </c>
      <c r="D13560" t="inlineStr">
        <is>
          <t>VÄSTRA GÖTALANDS LÄN</t>
        </is>
      </c>
      <c r="E13560" t="inlineStr">
        <is>
          <t>TANUM</t>
        </is>
      </c>
      <c r="G13560" t="n">
        <v>1.5</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45158-2025</t>
        </is>
      </c>
      <c r="B13561" s="1" t="n">
        <v>45919.48245370371</v>
      </c>
      <c r="C13561" s="1" t="n">
        <v>45952</v>
      </c>
      <c r="D13561" t="inlineStr">
        <is>
          <t>VÄSTRA GÖTALANDS LÄN</t>
        </is>
      </c>
      <c r="E13561" t="inlineStr">
        <is>
          <t>TJÖRN</t>
        </is>
      </c>
      <c r="G13561" t="n">
        <v>2.7</v>
      </c>
      <c r="H13561" t="n">
        <v>0</v>
      </c>
      <c r="I13561" t="n">
        <v>0</v>
      </c>
      <c r="J13561" t="n">
        <v>0</v>
      </c>
      <c r="K13561" t="n">
        <v>0</v>
      </c>
      <c r="L13561" t="n">
        <v>0</v>
      </c>
      <c r="M13561" t="n">
        <v>0</v>
      </c>
      <c r="N13561" t="n">
        <v>0</v>
      </c>
      <c r="O13561" t="n">
        <v>0</v>
      </c>
      <c r="P13561" t="n">
        <v>0</v>
      </c>
      <c r="Q13561" t="n">
        <v>0</v>
      </c>
      <c r="R13561" s="2" t="inlineStr"/>
    </row>
    <row r="13562" ht="15" customHeight="1">
      <c r="A13562" t="inlineStr">
        <is>
          <t>A 45165-2025</t>
        </is>
      </c>
      <c r="B13562" s="1" t="n">
        <v>45919.49084490741</v>
      </c>
      <c r="C13562" s="1" t="n">
        <v>45952</v>
      </c>
      <c r="D13562" t="inlineStr">
        <is>
          <t>VÄSTRA GÖTALANDS LÄN</t>
        </is>
      </c>
      <c r="E13562" t="inlineStr">
        <is>
          <t>TIDAHOLM</t>
        </is>
      </c>
      <c r="G13562" t="n">
        <v>0.9</v>
      </c>
      <c r="H13562" t="n">
        <v>0</v>
      </c>
      <c r="I13562" t="n">
        <v>0</v>
      </c>
      <c r="J13562" t="n">
        <v>0</v>
      </c>
      <c r="K13562" t="n">
        <v>0</v>
      </c>
      <c r="L13562" t="n">
        <v>0</v>
      </c>
      <c r="M13562" t="n">
        <v>0</v>
      </c>
      <c r="N13562" t="n">
        <v>0</v>
      </c>
      <c r="O13562" t="n">
        <v>0</v>
      </c>
      <c r="P13562" t="n">
        <v>0</v>
      </c>
      <c r="Q13562" t="n">
        <v>0</v>
      </c>
      <c r="R13562" s="2" t="inlineStr"/>
    </row>
    <row r="13563" ht="15" customHeight="1">
      <c r="A13563" t="inlineStr">
        <is>
          <t>A 36154-2024</t>
        </is>
      </c>
      <c r="B13563" s="1" t="n">
        <v>45534</v>
      </c>
      <c r="C13563" s="1" t="n">
        <v>45952</v>
      </c>
      <c r="D13563" t="inlineStr">
        <is>
          <t>VÄSTRA GÖTALANDS LÄN</t>
        </is>
      </c>
      <c r="E13563" t="inlineStr">
        <is>
          <t>TANUM</t>
        </is>
      </c>
      <c r="G13563" t="n">
        <v>1.8</v>
      </c>
      <c r="H13563" t="n">
        <v>0</v>
      </c>
      <c r="I13563" t="n">
        <v>0</v>
      </c>
      <c r="J13563" t="n">
        <v>0</v>
      </c>
      <c r="K13563" t="n">
        <v>0</v>
      </c>
      <c r="L13563" t="n">
        <v>0</v>
      </c>
      <c r="M13563" t="n">
        <v>0</v>
      </c>
      <c r="N13563" t="n">
        <v>0</v>
      </c>
      <c r="O13563" t="n">
        <v>0</v>
      </c>
      <c r="P13563" t="n">
        <v>0</v>
      </c>
      <c r="Q13563" t="n">
        <v>0</v>
      </c>
      <c r="R13563" s="2" t="inlineStr"/>
    </row>
    <row r="13564" ht="15" customHeight="1">
      <c r="A13564" t="inlineStr">
        <is>
          <t>A 32450-2023</t>
        </is>
      </c>
      <c r="B13564" s="1" t="n">
        <v>45120</v>
      </c>
      <c r="C13564" s="1" t="n">
        <v>45952</v>
      </c>
      <c r="D13564" t="inlineStr">
        <is>
          <t>VÄSTRA GÖTALANDS LÄN</t>
        </is>
      </c>
      <c r="E13564" t="inlineStr">
        <is>
          <t>BORÅS</t>
        </is>
      </c>
      <c r="G13564" t="n">
        <v>4.2</v>
      </c>
      <c r="H13564" t="n">
        <v>0</v>
      </c>
      <c r="I13564" t="n">
        <v>0</v>
      </c>
      <c r="J13564" t="n">
        <v>0</v>
      </c>
      <c r="K13564" t="n">
        <v>0</v>
      </c>
      <c r="L13564" t="n">
        <v>0</v>
      </c>
      <c r="M13564" t="n">
        <v>0</v>
      </c>
      <c r="N13564" t="n">
        <v>0</v>
      </c>
      <c r="O13564" t="n">
        <v>0</v>
      </c>
      <c r="P13564" t="n">
        <v>0</v>
      </c>
      <c r="Q13564" t="n">
        <v>0</v>
      </c>
      <c r="R13564" s="2" t="inlineStr"/>
    </row>
    <row r="13565" ht="15" customHeight="1">
      <c r="A13565" t="inlineStr">
        <is>
          <t>A 3008-2025</t>
        </is>
      </c>
      <c r="B13565" s="1" t="n">
        <v>45678</v>
      </c>
      <c r="C13565" s="1" t="n">
        <v>45952</v>
      </c>
      <c r="D13565" t="inlineStr">
        <is>
          <t>VÄSTRA GÖTALANDS LÄN</t>
        </is>
      </c>
      <c r="E13565" t="inlineStr">
        <is>
          <t>BORÅS</t>
        </is>
      </c>
      <c r="F13565" t="inlineStr">
        <is>
          <t>Kommuner</t>
        </is>
      </c>
      <c r="G13565" t="n">
        <v>2.4</v>
      </c>
      <c r="H13565" t="n">
        <v>0</v>
      </c>
      <c r="I13565" t="n">
        <v>0</v>
      </c>
      <c r="J13565" t="n">
        <v>0</v>
      </c>
      <c r="K13565" t="n">
        <v>0</v>
      </c>
      <c r="L13565" t="n">
        <v>0</v>
      </c>
      <c r="M13565" t="n">
        <v>0</v>
      </c>
      <c r="N13565" t="n">
        <v>0</v>
      </c>
      <c r="O13565" t="n">
        <v>0</v>
      </c>
      <c r="P13565" t="n">
        <v>0</v>
      </c>
      <c r="Q13565" t="n">
        <v>0</v>
      </c>
      <c r="R13565" s="2" t="inlineStr"/>
    </row>
    <row r="13566" ht="15" customHeight="1">
      <c r="A13566" t="inlineStr">
        <is>
          <t>A 4597-2025</t>
        </is>
      </c>
      <c r="B13566" s="1" t="n">
        <v>45687.54652777778</v>
      </c>
      <c r="C13566" s="1" t="n">
        <v>45952</v>
      </c>
      <c r="D13566" t="inlineStr">
        <is>
          <t>VÄSTRA GÖTALANDS LÄN</t>
        </is>
      </c>
      <c r="E13566" t="inlineStr">
        <is>
          <t>BENGTSFORS</t>
        </is>
      </c>
      <c r="G13566" t="n">
        <v>3.5</v>
      </c>
      <c r="H13566" t="n">
        <v>0</v>
      </c>
      <c r="I13566" t="n">
        <v>0</v>
      </c>
      <c r="J13566" t="n">
        <v>0</v>
      </c>
      <c r="K13566" t="n">
        <v>0</v>
      </c>
      <c r="L13566" t="n">
        <v>0</v>
      </c>
      <c r="M13566" t="n">
        <v>0</v>
      </c>
      <c r="N13566" t="n">
        <v>0</v>
      </c>
      <c r="O13566" t="n">
        <v>0</v>
      </c>
      <c r="P13566" t="n">
        <v>0</v>
      </c>
      <c r="Q13566" t="n">
        <v>0</v>
      </c>
      <c r="R13566" s="2" t="inlineStr"/>
    </row>
    <row r="13567" ht="15" customHeight="1">
      <c r="A13567" t="inlineStr">
        <is>
          <t>A 44990-2025</t>
        </is>
      </c>
      <c r="B13567" s="1" t="n">
        <v>45918.65589120371</v>
      </c>
      <c r="C13567" s="1" t="n">
        <v>45952</v>
      </c>
      <c r="D13567" t="inlineStr">
        <is>
          <t>VÄSTRA GÖTALANDS LÄN</t>
        </is>
      </c>
      <c r="E13567" t="inlineStr">
        <is>
          <t>FÄRGELANDA</t>
        </is>
      </c>
      <c r="G13567" t="n">
        <v>5.3</v>
      </c>
      <c r="H13567" t="n">
        <v>0</v>
      </c>
      <c r="I13567" t="n">
        <v>0</v>
      </c>
      <c r="J13567" t="n">
        <v>0</v>
      </c>
      <c r="K13567" t="n">
        <v>0</v>
      </c>
      <c r="L13567" t="n">
        <v>0</v>
      </c>
      <c r="M13567" t="n">
        <v>0</v>
      </c>
      <c r="N13567" t="n">
        <v>0</v>
      </c>
      <c r="O13567" t="n">
        <v>0</v>
      </c>
      <c r="P13567" t="n">
        <v>0</v>
      </c>
      <c r="Q13567" t="n">
        <v>0</v>
      </c>
      <c r="R13567" s="2" t="inlineStr"/>
    </row>
    <row r="13568" ht="15" customHeight="1">
      <c r="A13568" t="inlineStr">
        <is>
          <t>A 45011-2025</t>
        </is>
      </c>
      <c r="B13568" s="1" t="n">
        <v>45918.67297453704</v>
      </c>
      <c r="C13568" s="1" t="n">
        <v>45952</v>
      </c>
      <c r="D13568" t="inlineStr">
        <is>
          <t>VÄSTRA GÖTALANDS LÄN</t>
        </is>
      </c>
      <c r="E13568" t="inlineStr">
        <is>
          <t>GÖTENE</t>
        </is>
      </c>
      <c r="G13568" t="n">
        <v>5.4</v>
      </c>
      <c r="H13568" t="n">
        <v>0</v>
      </c>
      <c r="I13568" t="n">
        <v>0</v>
      </c>
      <c r="J13568" t="n">
        <v>0</v>
      </c>
      <c r="K13568" t="n">
        <v>0</v>
      </c>
      <c r="L13568" t="n">
        <v>0</v>
      </c>
      <c r="M13568" t="n">
        <v>0</v>
      </c>
      <c r="N13568" t="n">
        <v>0</v>
      </c>
      <c r="O13568" t="n">
        <v>0</v>
      </c>
      <c r="P13568" t="n">
        <v>0</v>
      </c>
      <c r="Q13568" t="n">
        <v>0</v>
      </c>
      <c r="R13568" s="2" t="inlineStr"/>
    </row>
    <row r="13569" ht="15" customHeight="1">
      <c r="A13569" t="inlineStr">
        <is>
          <t>A 44819-2025</t>
        </is>
      </c>
      <c r="B13569" s="1" t="n">
        <v>45918.38085648148</v>
      </c>
      <c r="C13569" s="1" t="n">
        <v>45952</v>
      </c>
      <c r="D13569" t="inlineStr">
        <is>
          <t>VÄSTRA GÖTALANDS LÄN</t>
        </is>
      </c>
      <c r="E13569" t="inlineStr">
        <is>
          <t>SKARA</t>
        </is>
      </c>
      <c r="F13569" t="inlineStr">
        <is>
          <t>Sveaskog</t>
        </is>
      </c>
      <c r="G13569" t="n">
        <v>0.7</v>
      </c>
      <c r="H13569" t="n">
        <v>0</v>
      </c>
      <c r="I13569" t="n">
        <v>0</v>
      </c>
      <c r="J13569" t="n">
        <v>0</v>
      </c>
      <c r="K13569" t="n">
        <v>0</v>
      </c>
      <c r="L13569" t="n">
        <v>0</v>
      </c>
      <c r="M13569" t="n">
        <v>0</v>
      </c>
      <c r="N13569" t="n">
        <v>0</v>
      </c>
      <c r="O13569" t="n">
        <v>0</v>
      </c>
      <c r="P13569" t="n">
        <v>0</v>
      </c>
      <c r="Q13569" t="n">
        <v>0</v>
      </c>
      <c r="R13569" s="2" t="inlineStr"/>
    </row>
    <row r="13570" ht="15" customHeight="1">
      <c r="A13570" t="inlineStr">
        <is>
          <t>A 14325-2024</t>
        </is>
      </c>
      <c r="B13570" s="1" t="n">
        <v>45393.69880787037</v>
      </c>
      <c r="C13570" s="1" t="n">
        <v>45952</v>
      </c>
      <c r="D13570" t="inlineStr">
        <is>
          <t>VÄSTRA GÖTALANDS LÄN</t>
        </is>
      </c>
      <c r="E13570" t="inlineStr">
        <is>
          <t>GULLSPÅNG</t>
        </is>
      </c>
      <c r="F13570" t="inlineStr">
        <is>
          <t>Kommuner</t>
        </is>
      </c>
      <c r="G13570" t="n">
        <v>7.1</v>
      </c>
      <c r="H13570" t="n">
        <v>0</v>
      </c>
      <c r="I13570" t="n">
        <v>0</v>
      </c>
      <c r="J13570" t="n">
        <v>0</v>
      </c>
      <c r="K13570" t="n">
        <v>0</v>
      </c>
      <c r="L13570" t="n">
        <v>0</v>
      </c>
      <c r="M13570" t="n">
        <v>0</v>
      </c>
      <c r="N13570" t="n">
        <v>0</v>
      </c>
      <c r="O13570" t="n">
        <v>0</v>
      </c>
      <c r="P13570" t="n">
        <v>0</v>
      </c>
      <c r="Q13570" t="n">
        <v>0</v>
      </c>
      <c r="R13570" s="2" t="inlineStr"/>
    </row>
    <row r="13571" ht="15" customHeight="1">
      <c r="A13571" t="inlineStr">
        <is>
          <t>A 44834-2025</t>
        </is>
      </c>
      <c r="B13571" s="1" t="n">
        <v>45918.41196759259</v>
      </c>
      <c r="C13571" s="1" t="n">
        <v>45952</v>
      </c>
      <c r="D13571" t="inlineStr">
        <is>
          <t>VÄSTRA GÖTALANDS LÄN</t>
        </is>
      </c>
      <c r="E13571" t="inlineStr">
        <is>
          <t>ULRICEHAMN</t>
        </is>
      </c>
      <c r="G13571" t="n">
        <v>3.6</v>
      </c>
      <c r="H13571" t="n">
        <v>0</v>
      </c>
      <c r="I13571" t="n">
        <v>0</v>
      </c>
      <c r="J13571" t="n">
        <v>0</v>
      </c>
      <c r="K13571" t="n">
        <v>0</v>
      </c>
      <c r="L13571" t="n">
        <v>0</v>
      </c>
      <c r="M13571" t="n">
        <v>0</v>
      </c>
      <c r="N13571" t="n">
        <v>0</v>
      </c>
      <c r="O13571" t="n">
        <v>0</v>
      </c>
      <c r="P13571" t="n">
        <v>0</v>
      </c>
      <c r="Q13571" t="n">
        <v>0</v>
      </c>
      <c r="R13571" s="2" t="inlineStr"/>
    </row>
    <row r="13572" ht="15" customHeight="1">
      <c r="A13572" t="inlineStr">
        <is>
          <t>A 14339-2024</t>
        </is>
      </c>
      <c r="B13572" s="1" t="n">
        <v>45393.72733796296</v>
      </c>
      <c r="C13572" s="1" t="n">
        <v>45952</v>
      </c>
      <c r="D13572" t="inlineStr">
        <is>
          <t>VÄSTRA GÖTALANDS LÄN</t>
        </is>
      </c>
      <c r="E13572" t="inlineStr">
        <is>
          <t>MUNKEDAL</t>
        </is>
      </c>
      <c r="G13572" t="n">
        <v>1</v>
      </c>
      <c r="H13572" t="n">
        <v>0</v>
      </c>
      <c r="I13572" t="n">
        <v>0</v>
      </c>
      <c r="J13572" t="n">
        <v>0</v>
      </c>
      <c r="K13572" t="n">
        <v>0</v>
      </c>
      <c r="L13572" t="n">
        <v>0</v>
      </c>
      <c r="M13572" t="n">
        <v>0</v>
      </c>
      <c r="N13572" t="n">
        <v>0</v>
      </c>
      <c r="O13572" t="n">
        <v>0</v>
      </c>
      <c r="P13572" t="n">
        <v>0</v>
      </c>
      <c r="Q13572" t="n">
        <v>0</v>
      </c>
      <c r="R13572" s="2" t="inlineStr"/>
    </row>
    <row r="13573" ht="15" customHeight="1">
      <c r="A13573" t="inlineStr">
        <is>
          <t>A 41072-2023</t>
        </is>
      </c>
      <c r="B13573" s="1" t="n">
        <v>45170</v>
      </c>
      <c r="C13573" s="1" t="n">
        <v>45952</v>
      </c>
      <c r="D13573" t="inlineStr">
        <is>
          <t>VÄSTRA GÖTALANDS LÄN</t>
        </is>
      </c>
      <c r="E13573" t="inlineStr">
        <is>
          <t>STRÖMSTAD</t>
        </is>
      </c>
      <c r="G13573" t="n">
        <v>7.8</v>
      </c>
      <c r="H13573" t="n">
        <v>0</v>
      </c>
      <c r="I13573" t="n">
        <v>0</v>
      </c>
      <c r="J13573" t="n">
        <v>0</v>
      </c>
      <c r="K13573" t="n">
        <v>0</v>
      </c>
      <c r="L13573" t="n">
        <v>0</v>
      </c>
      <c r="M13573" t="n">
        <v>0</v>
      </c>
      <c r="N13573" t="n">
        <v>0</v>
      </c>
      <c r="O13573" t="n">
        <v>0</v>
      </c>
      <c r="P13573" t="n">
        <v>0</v>
      </c>
      <c r="Q13573" t="n">
        <v>0</v>
      </c>
      <c r="R13573" s="2" t="inlineStr"/>
    </row>
    <row r="13574" ht="15" customHeight="1">
      <c r="A13574" t="inlineStr">
        <is>
          <t>A 41118-2023</t>
        </is>
      </c>
      <c r="B13574" s="1" t="n">
        <v>45173</v>
      </c>
      <c r="C13574" s="1" t="n">
        <v>45952</v>
      </c>
      <c r="D13574" t="inlineStr">
        <is>
          <t>VÄSTRA GÖTALANDS LÄN</t>
        </is>
      </c>
      <c r="E13574" t="inlineStr">
        <is>
          <t>BENGTSFORS</t>
        </is>
      </c>
      <c r="G13574" t="n">
        <v>1.3</v>
      </c>
      <c r="H13574" t="n">
        <v>0</v>
      </c>
      <c r="I13574" t="n">
        <v>0</v>
      </c>
      <c r="J13574" t="n">
        <v>0</v>
      </c>
      <c r="K13574" t="n">
        <v>0</v>
      </c>
      <c r="L13574" t="n">
        <v>0</v>
      </c>
      <c r="M13574" t="n">
        <v>0</v>
      </c>
      <c r="N13574" t="n">
        <v>0</v>
      </c>
      <c r="O13574" t="n">
        <v>0</v>
      </c>
      <c r="P13574" t="n">
        <v>0</v>
      </c>
      <c r="Q13574" t="n">
        <v>0</v>
      </c>
      <c r="R13574" s="2" t="inlineStr"/>
    </row>
    <row r="13575" ht="15" customHeight="1">
      <c r="A13575" t="inlineStr">
        <is>
          <t>A 23731-2021</t>
        </is>
      </c>
      <c r="B13575" s="1" t="n">
        <v>44334</v>
      </c>
      <c r="C13575" s="1" t="n">
        <v>45952</v>
      </c>
      <c r="D13575" t="inlineStr">
        <is>
          <t>VÄSTRA GÖTALANDS LÄN</t>
        </is>
      </c>
      <c r="E13575" t="inlineStr">
        <is>
          <t>FALKÖPING</t>
        </is>
      </c>
      <c r="G13575" t="n">
        <v>3.8</v>
      </c>
      <c r="H13575" t="n">
        <v>0</v>
      </c>
      <c r="I13575" t="n">
        <v>0</v>
      </c>
      <c r="J13575" t="n">
        <v>0</v>
      </c>
      <c r="K13575" t="n">
        <v>0</v>
      </c>
      <c r="L13575" t="n">
        <v>0</v>
      </c>
      <c r="M13575" t="n">
        <v>0</v>
      </c>
      <c r="N13575" t="n">
        <v>0</v>
      </c>
      <c r="O13575" t="n">
        <v>0</v>
      </c>
      <c r="P13575" t="n">
        <v>0</v>
      </c>
      <c r="Q13575" t="n">
        <v>0</v>
      </c>
      <c r="R13575" s="2" t="inlineStr"/>
    </row>
    <row r="13576" ht="15" customHeight="1">
      <c r="A13576" t="inlineStr">
        <is>
          <t>A 45322-2024</t>
        </is>
      </c>
      <c r="B13576" s="1" t="n">
        <v>45576.44601851852</v>
      </c>
      <c r="C13576" s="1" t="n">
        <v>45952</v>
      </c>
      <c r="D13576" t="inlineStr">
        <is>
          <t>VÄSTRA GÖTALANDS LÄN</t>
        </is>
      </c>
      <c r="E13576" t="inlineStr">
        <is>
          <t>ALINGSÅS</t>
        </is>
      </c>
      <c r="G13576" t="n">
        <v>0.5</v>
      </c>
      <c r="H13576" t="n">
        <v>0</v>
      </c>
      <c r="I13576" t="n">
        <v>0</v>
      </c>
      <c r="J13576" t="n">
        <v>0</v>
      </c>
      <c r="K13576" t="n">
        <v>0</v>
      </c>
      <c r="L13576" t="n">
        <v>0</v>
      </c>
      <c r="M13576" t="n">
        <v>0</v>
      </c>
      <c r="N13576" t="n">
        <v>0</v>
      </c>
      <c r="O13576" t="n">
        <v>0</v>
      </c>
      <c r="P13576" t="n">
        <v>0</v>
      </c>
      <c r="Q13576" t="n">
        <v>0</v>
      </c>
      <c r="R13576" s="2" t="inlineStr"/>
    </row>
    <row r="13577" ht="15" customHeight="1">
      <c r="A13577" t="inlineStr">
        <is>
          <t>A 37898-2022</t>
        </is>
      </c>
      <c r="B13577" s="1" t="n">
        <v>44811.40451388889</v>
      </c>
      <c r="C13577" s="1" t="n">
        <v>45952</v>
      </c>
      <c r="D13577" t="inlineStr">
        <is>
          <t>VÄSTRA GÖTALANDS LÄN</t>
        </is>
      </c>
      <c r="E13577" t="inlineStr">
        <is>
          <t>FÄRGELANDA</t>
        </is>
      </c>
      <c r="G13577" t="n">
        <v>1.2</v>
      </c>
      <c r="H13577" t="n">
        <v>0</v>
      </c>
      <c r="I13577" t="n">
        <v>0</v>
      </c>
      <c r="J13577" t="n">
        <v>0</v>
      </c>
      <c r="K13577" t="n">
        <v>0</v>
      </c>
      <c r="L13577" t="n">
        <v>0</v>
      </c>
      <c r="M13577" t="n">
        <v>0</v>
      </c>
      <c r="N13577" t="n">
        <v>0</v>
      </c>
      <c r="O13577" t="n">
        <v>0</v>
      </c>
      <c r="P13577" t="n">
        <v>0</v>
      </c>
      <c r="Q13577" t="n">
        <v>0</v>
      </c>
      <c r="R13577" s="2" t="inlineStr"/>
    </row>
    <row r="13578" ht="15" customHeight="1">
      <c r="A13578" t="inlineStr">
        <is>
          <t>A 37910-2022</t>
        </is>
      </c>
      <c r="B13578" s="1" t="n">
        <v>44811</v>
      </c>
      <c r="C13578" s="1" t="n">
        <v>45952</v>
      </c>
      <c r="D13578" t="inlineStr">
        <is>
          <t>VÄSTRA GÖTALANDS LÄN</t>
        </is>
      </c>
      <c r="E13578" t="inlineStr">
        <is>
          <t>HERRLJUNGA</t>
        </is>
      </c>
      <c r="G13578" t="n">
        <v>4.9</v>
      </c>
      <c r="H13578" t="n">
        <v>0</v>
      </c>
      <c r="I13578" t="n">
        <v>0</v>
      </c>
      <c r="J13578" t="n">
        <v>0</v>
      </c>
      <c r="K13578" t="n">
        <v>0</v>
      </c>
      <c r="L13578" t="n">
        <v>0</v>
      </c>
      <c r="M13578" t="n">
        <v>0</v>
      </c>
      <c r="N13578" t="n">
        <v>0</v>
      </c>
      <c r="O13578" t="n">
        <v>0</v>
      </c>
      <c r="P13578" t="n">
        <v>0</v>
      </c>
      <c r="Q13578" t="n">
        <v>0</v>
      </c>
      <c r="R13578" s="2" t="inlineStr"/>
    </row>
    <row r="13579" ht="15" customHeight="1">
      <c r="A13579" t="inlineStr">
        <is>
          <t>A 37505-2025</t>
        </is>
      </c>
      <c r="B13579" s="1" t="n">
        <v>45877.65163194444</v>
      </c>
      <c r="C13579" s="1" t="n">
        <v>45952</v>
      </c>
      <c r="D13579" t="inlineStr">
        <is>
          <t>VÄSTRA GÖTALANDS LÄN</t>
        </is>
      </c>
      <c r="E13579" t="inlineStr">
        <is>
          <t>MARK</t>
        </is>
      </c>
      <c r="G13579" t="n">
        <v>1.2</v>
      </c>
      <c r="H13579" t="n">
        <v>0</v>
      </c>
      <c r="I13579" t="n">
        <v>0</v>
      </c>
      <c r="J13579" t="n">
        <v>0</v>
      </c>
      <c r="K13579" t="n">
        <v>0</v>
      </c>
      <c r="L13579" t="n">
        <v>0</v>
      </c>
      <c r="M13579" t="n">
        <v>0</v>
      </c>
      <c r="N13579" t="n">
        <v>0</v>
      </c>
      <c r="O13579" t="n">
        <v>0</v>
      </c>
      <c r="P13579" t="n">
        <v>0</v>
      </c>
      <c r="Q13579" t="n">
        <v>0</v>
      </c>
      <c r="R13579" s="2" t="inlineStr"/>
    </row>
    <row r="13580" ht="15" customHeight="1">
      <c r="A13580" t="inlineStr">
        <is>
          <t>A 37443-2025</t>
        </is>
      </c>
      <c r="B13580" s="1" t="n">
        <v>45877.54152777778</v>
      </c>
      <c r="C13580" s="1" t="n">
        <v>45952</v>
      </c>
      <c r="D13580" t="inlineStr">
        <is>
          <t>VÄSTRA GÖTALANDS LÄN</t>
        </is>
      </c>
      <c r="E13580" t="inlineStr">
        <is>
          <t>KUNGÄLV</t>
        </is>
      </c>
      <c r="F13580" t="inlineStr">
        <is>
          <t>Kyrkan</t>
        </is>
      </c>
      <c r="G13580" t="n">
        <v>0.7</v>
      </c>
      <c r="H13580" t="n">
        <v>0</v>
      </c>
      <c r="I13580" t="n">
        <v>0</v>
      </c>
      <c r="J13580" t="n">
        <v>0</v>
      </c>
      <c r="K13580" t="n">
        <v>0</v>
      </c>
      <c r="L13580" t="n">
        <v>0</v>
      </c>
      <c r="M13580" t="n">
        <v>0</v>
      </c>
      <c r="N13580" t="n">
        <v>0</v>
      </c>
      <c r="O13580" t="n">
        <v>0</v>
      </c>
      <c r="P13580" t="n">
        <v>0</v>
      </c>
      <c r="Q13580" t="n">
        <v>0</v>
      </c>
      <c r="R13580" s="2" t="inlineStr"/>
    </row>
    <row r="13581" ht="15" customHeight="1">
      <c r="A13581" t="inlineStr">
        <is>
          <t>A 45132-2025</t>
        </is>
      </c>
      <c r="B13581" s="1" t="n">
        <v>45919.44319444444</v>
      </c>
      <c r="C13581" s="1" t="n">
        <v>45952</v>
      </c>
      <c r="D13581" t="inlineStr">
        <is>
          <t>VÄSTRA GÖTALANDS LÄN</t>
        </is>
      </c>
      <c r="E13581" t="inlineStr">
        <is>
          <t>LERUM</t>
        </is>
      </c>
      <c r="G13581" t="n">
        <v>0.2</v>
      </c>
      <c r="H13581" t="n">
        <v>0</v>
      </c>
      <c r="I13581" t="n">
        <v>0</v>
      </c>
      <c r="J13581" t="n">
        <v>0</v>
      </c>
      <c r="K13581" t="n">
        <v>0</v>
      </c>
      <c r="L13581" t="n">
        <v>0</v>
      </c>
      <c r="M13581" t="n">
        <v>0</v>
      </c>
      <c r="N13581" t="n">
        <v>0</v>
      </c>
      <c r="O13581" t="n">
        <v>0</v>
      </c>
      <c r="P13581" t="n">
        <v>0</v>
      </c>
      <c r="Q13581" t="n">
        <v>0</v>
      </c>
      <c r="R13581" s="2" t="inlineStr"/>
    </row>
    <row r="13582" ht="15" customHeight="1">
      <c r="A13582" t="inlineStr">
        <is>
          <t>A 15971-2023</t>
        </is>
      </c>
      <c r="B13582" s="1" t="n">
        <v>45022.71006944445</v>
      </c>
      <c r="C13582" s="1" t="n">
        <v>45952</v>
      </c>
      <c r="D13582" t="inlineStr">
        <is>
          <t>VÄSTRA GÖTALANDS LÄN</t>
        </is>
      </c>
      <c r="E13582" t="inlineStr">
        <is>
          <t>MELLERUD</t>
        </is>
      </c>
      <c r="G13582" t="n">
        <v>1.5</v>
      </c>
      <c r="H13582" t="n">
        <v>0</v>
      </c>
      <c r="I13582" t="n">
        <v>0</v>
      </c>
      <c r="J13582" t="n">
        <v>0</v>
      </c>
      <c r="K13582" t="n">
        <v>0</v>
      </c>
      <c r="L13582" t="n">
        <v>0</v>
      </c>
      <c r="M13582" t="n">
        <v>0</v>
      </c>
      <c r="N13582" t="n">
        <v>0</v>
      </c>
      <c r="O13582" t="n">
        <v>0</v>
      </c>
      <c r="P13582" t="n">
        <v>0</v>
      </c>
      <c r="Q13582" t="n">
        <v>0</v>
      </c>
      <c r="R13582" s="2" t="inlineStr"/>
    </row>
    <row r="13583" ht="15" customHeight="1">
      <c r="A13583" t="inlineStr">
        <is>
          <t>A 17319-2023</t>
        </is>
      </c>
      <c r="B13583" s="1" t="n">
        <v>45035</v>
      </c>
      <c r="C13583" s="1" t="n">
        <v>45952</v>
      </c>
      <c r="D13583" t="inlineStr">
        <is>
          <t>VÄSTRA GÖTALANDS LÄN</t>
        </is>
      </c>
      <c r="E13583" t="inlineStr">
        <is>
          <t>TRANEMO</t>
        </is>
      </c>
      <c r="G13583" t="n">
        <v>0.7</v>
      </c>
      <c r="H13583" t="n">
        <v>0</v>
      </c>
      <c r="I13583" t="n">
        <v>0</v>
      </c>
      <c r="J13583" t="n">
        <v>0</v>
      </c>
      <c r="K13583" t="n">
        <v>0</v>
      </c>
      <c r="L13583" t="n">
        <v>0</v>
      </c>
      <c r="M13583" t="n">
        <v>0</v>
      </c>
      <c r="N13583" t="n">
        <v>0</v>
      </c>
      <c r="O13583" t="n">
        <v>0</v>
      </c>
      <c r="P13583" t="n">
        <v>0</v>
      </c>
      <c r="Q13583" t="n">
        <v>0</v>
      </c>
      <c r="R13583" s="2" t="inlineStr"/>
    </row>
    <row r="13584" ht="15" customHeight="1">
      <c r="A13584" t="inlineStr">
        <is>
          <t>A 17327-2023</t>
        </is>
      </c>
      <c r="B13584" s="1" t="n">
        <v>45035.55740740741</v>
      </c>
      <c r="C13584" s="1" t="n">
        <v>45952</v>
      </c>
      <c r="D13584" t="inlineStr">
        <is>
          <t>VÄSTRA GÖTALANDS LÄN</t>
        </is>
      </c>
      <c r="E13584" t="inlineStr">
        <is>
          <t>TRANEMO</t>
        </is>
      </c>
      <c r="G13584" t="n">
        <v>0.9</v>
      </c>
      <c r="H13584" t="n">
        <v>0</v>
      </c>
      <c r="I13584" t="n">
        <v>0</v>
      </c>
      <c r="J13584" t="n">
        <v>0</v>
      </c>
      <c r="K13584" t="n">
        <v>0</v>
      </c>
      <c r="L13584" t="n">
        <v>0</v>
      </c>
      <c r="M13584" t="n">
        <v>0</v>
      </c>
      <c r="N13584" t="n">
        <v>0</v>
      </c>
      <c r="O13584" t="n">
        <v>0</v>
      </c>
      <c r="P13584" t="n">
        <v>0</v>
      </c>
      <c r="Q13584" t="n">
        <v>0</v>
      </c>
      <c r="R13584" s="2" t="inlineStr"/>
    </row>
    <row r="13585" ht="15" customHeight="1">
      <c r="A13585" t="inlineStr">
        <is>
          <t>A 44915-2025</t>
        </is>
      </c>
      <c r="B13585" s="1" t="n">
        <v>45918.54668981482</v>
      </c>
      <c r="C13585" s="1" t="n">
        <v>45952</v>
      </c>
      <c r="D13585" t="inlineStr">
        <is>
          <t>VÄSTRA GÖTALANDS LÄN</t>
        </is>
      </c>
      <c r="E13585" t="inlineStr">
        <is>
          <t>LILLA EDET</t>
        </is>
      </c>
      <c r="G13585" t="n">
        <v>1.2</v>
      </c>
      <c r="H13585" t="n">
        <v>0</v>
      </c>
      <c r="I13585" t="n">
        <v>0</v>
      </c>
      <c r="J13585" t="n">
        <v>0</v>
      </c>
      <c r="K13585" t="n">
        <v>0</v>
      </c>
      <c r="L13585" t="n">
        <v>0</v>
      </c>
      <c r="M13585" t="n">
        <v>0</v>
      </c>
      <c r="N13585" t="n">
        <v>0</v>
      </c>
      <c r="O13585" t="n">
        <v>0</v>
      </c>
      <c r="P13585" t="n">
        <v>0</v>
      </c>
      <c r="Q13585" t="n">
        <v>0</v>
      </c>
      <c r="R13585" s="2" t="inlineStr"/>
    </row>
    <row r="13586" ht="15" customHeight="1">
      <c r="A13586" t="inlineStr">
        <is>
          <t>A 18970-2023</t>
        </is>
      </c>
      <c r="B13586" s="1" t="n">
        <v>45044</v>
      </c>
      <c r="C13586" s="1" t="n">
        <v>45952</v>
      </c>
      <c r="D13586" t="inlineStr">
        <is>
          <t>VÄSTRA GÖTALANDS LÄN</t>
        </is>
      </c>
      <c r="E13586" t="inlineStr">
        <is>
          <t>ÅMÅL</t>
        </is>
      </c>
      <c r="G13586" t="n">
        <v>1.9</v>
      </c>
      <c r="H13586" t="n">
        <v>0</v>
      </c>
      <c r="I13586" t="n">
        <v>0</v>
      </c>
      <c r="J13586" t="n">
        <v>0</v>
      </c>
      <c r="K13586" t="n">
        <v>0</v>
      </c>
      <c r="L13586" t="n">
        <v>0</v>
      </c>
      <c r="M13586" t="n">
        <v>0</v>
      </c>
      <c r="N13586" t="n">
        <v>0</v>
      </c>
      <c r="O13586" t="n">
        <v>0</v>
      </c>
      <c r="P13586" t="n">
        <v>0</v>
      </c>
      <c r="Q13586" t="n">
        <v>0</v>
      </c>
      <c r="R13586" s="2" t="inlineStr"/>
    </row>
    <row r="13587" ht="15" customHeight="1">
      <c r="A13587" t="inlineStr">
        <is>
          <t>A 53317-2024</t>
        </is>
      </c>
      <c r="B13587" s="1" t="n">
        <v>45614.39809027778</v>
      </c>
      <c r="C13587" s="1" t="n">
        <v>45952</v>
      </c>
      <c r="D13587" t="inlineStr">
        <is>
          <t>VÄSTRA GÖTALANDS LÄN</t>
        </is>
      </c>
      <c r="E13587" t="inlineStr">
        <is>
          <t>MELLERUD</t>
        </is>
      </c>
      <c r="G13587" t="n">
        <v>0.3</v>
      </c>
      <c r="H13587" t="n">
        <v>0</v>
      </c>
      <c r="I13587" t="n">
        <v>0</v>
      </c>
      <c r="J13587" t="n">
        <v>0</v>
      </c>
      <c r="K13587" t="n">
        <v>0</v>
      </c>
      <c r="L13587" t="n">
        <v>0</v>
      </c>
      <c r="M13587" t="n">
        <v>0</v>
      </c>
      <c r="N13587" t="n">
        <v>0</v>
      </c>
      <c r="O13587" t="n">
        <v>0</v>
      </c>
      <c r="P13587" t="n">
        <v>0</v>
      </c>
      <c r="Q13587" t="n">
        <v>0</v>
      </c>
      <c r="R13587" s="2" t="inlineStr"/>
    </row>
    <row r="13588" ht="15" customHeight="1">
      <c r="A13588" t="inlineStr">
        <is>
          <t>A 53318-2024</t>
        </is>
      </c>
      <c r="B13588" s="1" t="n">
        <v>45614.40048611111</v>
      </c>
      <c r="C13588" s="1" t="n">
        <v>45952</v>
      </c>
      <c r="D13588" t="inlineStr">
        <is>
          <t>VÄSTRA GÖTALANDS LÄN</t>
        </is>
      </c>
      <c r="E13588" t="inlineStr">
        <is>
          <t>MELLERUD</t>
        </is>
      </c>
      <c r="G13588" t="n">
        <v>0.7</v>
      </c>
      <c r="H13588" t="n">
        <v>0</v>
      </c>
      <c r="I13588" t="n">
        <v>0</v>
      </c>
      <c r="J13588" t="n">
        <v>0</v>
      </c>
      <c r="K13588" t="n">
        <v>0</v>
      </c>
      <c r="L13588" t="n">
        <v>0</v>
      </c>
      <c r="M13588" t="n">
        <v>0</v>
      </c>
      <c r="N13588" t="n">
        <v>0</v>
      </c>
      <c r="O13588" t="n">
        <v>0</v>
      </c>
      <c r="P13588" t="n">
        <v>0</v>
      </c>
      <c r="Q13588" t="n">
        <v>0</v>
      </c>
      <c r="R13588" s="2" t="inlineStr"/>
    </row>
    <row r="13589" ht="15" customHeight="1">
      <c r="A13589" t="inlineStr">
        <is>
          <t>A 41714-2024</t>
        </is>
      </c>
      <c r="B13589" s="1" t="n">
        <v>45560.72877314815</v>
      </c>
      <c r="C13589" s="1" t="n">
        <v>45952</v>
      </c>
      <c r="D13589" t="inlineStr">
        <is>
          <t>VÄSTRA GÖTALANDS LÄN</t>
        </is>
      </c>
      <c r="E13589" t="inlineStr">
        <is>
          <t>MUNKEDAL</t>
        </is>
      </c>
      <c r="G13589" t="n">
        <v>2.1</v>
      </c>
      <c r="H13589" t="n">
        <v>0</v>
      </c>
      <c r="I13589" t="n">
        <v>0</v>
      </c>
      <c r="J13589" t="n">
        <v>0</v>
      </c>
      <c r="K13589" t="n">
        <v>0</v>
      </c>
      <c r="L13589" t="n">
        <v>0</v>
      </c>
      <c r="M13589" t="n">
        <v>0</v>
      </c>
      <c r="N13589" t="n">
        <v>0</v>
      </c>
      <c r="O13589" t="n">
        <v>0</v>
      </c>
      <c r="P13589" t="n">
        <v>0</v>
      </c>
      <c r="Q13589" t="n">
        <v>0</v>
      </c>
      <c r="R13589" s="2" t="inlineStr"/>
    </row>
    <row r="13590" ht="15" customHeight="1">
      <c r="A13590" t="inlineStr">
        <is>
          <t>A 34448-2023</t>
        </is>
      </c>
      <c r="B13590" s="1" t="n">
        <v>45139</v>
      </c>
      <c r="C13590" s="1" t="n">
        <v>45952</v>
      </c>
      <c r="D13590" t="inlineStr">
        <is>
          <t>VÄSTRA GÖTALANDS LÄN</t>
        </is>
      </c>
      <c r="E13590" t="inlineStr">
        <is>
          <t>ULRICEHAMN</t>
        </is>
      </c>
      <c r="G13590" t="n">
        <v>1</v>
      </c>
      <c r="H13590" t="n">
        <v>0</v>
      </c>
      <c r="I13590" t="n">
        <v>0</v>
      </c>
      <c r="J13590" t="n">
        <v>0</v>
      </c>
      <c r="K13590" t="n">
        <v>0</v>
      </c>
      <c r="L13590" t="n">
        <v>0</v>
      </c>
      <c r="M13590" t="n">
        <v>0</v>
      </c>
      <c r="N13590" t="n">
        <v>0</v>
      </c>
      <c r="O13590" t="n">
        <v>0</v>
      </c>
      <c r="P13590" t="n">
        <v>0</v>
      </c>
      <c r="Q13590" t="n">
        <v>0</v>
      </c>
      <c r="R13590" s="2" t="inlineStr"/>
    </row>
    <row r="13591" ht="15" customHeight="1">
      <c r="A13591" t="inlineStr">
        <is>
          <t>A 34569-2023</t>
        </is>
      </c>
      <c r="B13591" s="1" t="n">
        <v>45140</v>
      </c>
      <c r="C13591" s="1" t="n">
        <v>45952</v>
      </c>
      <c r="D13591" t="inlineStr">
        <is>
          <t>VÄSTRA GÖTALANDS LÄN</t>
        </is>
      </c>
      <c r="E13591" t="inlineStr">
        <is>
          <t>SKARA</t>
        </is>
      </c>
      <c r="G13591" t="n">
        <v>0.5</v>
      </c>
      <c r="H13591" t="n">
        <v>0</v>
      </c>
      <c r="I13591" t="n">
        <v>0</v>
      </c>
      <c r="J13591" t="n">
        <v>0</v>
      </c>
      <c r="K13591" t="n">
        <v>0</v>
      </c>
      <c r="L13591" t="n">
        <v>0</v>
      </c>
      <c r="M13591" t="n">
        <v>0</v>
      </c>
      <c r="N13591" t="n">
        <v>0</v>
      </c>
      <c r="O13591" t="n">
        <v>0</v>
      </c>
      <c r="P13591" t="n">
        <v>0</v>
      </c>
      <c r="Q13591" t="n">
        <v>0</v>
      </c>
      <c r="R13591" s="2" t="inlineStr"/>
    </row>
    <row r="13592" ht="15" customHeight="1">
      <c r="A13592" t="inlineStr">
        <is>
          <t>A 26208-2021</t>
        </is>
      </c>
      <c r="B13592" s="1" t="n">
        <v>44347</v>
      </c>
      <c r="C13592" s="1" t="n">
        <v>45952</v>
      </c>
      <c r="D13592" t="inlineStr">
        <is>
          <t>VÄSTRA GÖTALANDS LÄN</t>
        </is>
      </c>
      <c r="E13592" t="inlineStr">
        <is>
          <t>TÖREBODA</t>
        </is>
      </c>
      <c r="G13592" t="n">
        <v>1.2</v>
      </c>
      <c r="H13592" t="n">
        <v>0</v>
      </c>
      <c r="I13592" t="n">
        <v>0</v>
      </c>
      <c r="J13592" t="n">
        <v>0</v>
      </c>
      <c r="K13592" t="n">
        <v>0</v>
      </c>
      <c r="L13592" t="n">
        <v>0</v>
      </c>
      <c r="M13592" t="n">
        <v>0</v>
      </c>
      <c r="N13592" t="n">
        <v>0</v>
      </c>
      <c r="O13592" t="n">
        <v>0</v>
      </c>
      <c r="P13592" t="n">
        <v>0</v>
      </c>
      <c r="Q13592" t="n">
        <v>0</v>
      </c>
      <c r="R13592" s="2" t="inlineStr"/>
    </row>
    <row r="13593" ht="15" customHeight="1">
      <c r="A13593" t="inlineStr">
        <is>
          <t>A 34211-2023</t>
        </is>
      </c>
      <c r="B13593" s="1" t="n">
        <v>45138</v>
      </c>
      <c r="C13593" s="1" t="n">
        <v>45952</v>
      </c>
      <c r="D13593" t="inlineStr">
        <is>
          <t>VÄSTRA GÖTALANDS LÄN</t>
        </is>
      </c>
      <c r="E13593" t="inlineStr">
        <is>
          <t>SKÖVDE</t>
        </is>
      </c>
      <c r="G13593" t="n">
        <v>0.7</v>
      </c>
      <c r="H13593" t="n">
        <v>0</v>
      </c>
      <c r="I13593" t="n">
        <v>0</v>
      </c>
      <c r="J13593" t="n">
        <v>0</v>
      </c>
      <c r="K13593" t="n">
        <v>0</v>
      </c>
      <c r="L13593" t="n">
        <v>0</v>
      </c>
      <c r="M13593" t="n">
        <v>0</v>
      </c>
      <c r="N13593" t="n">
        <v>0</v>
      </c>
      <c r="O13593" t="n">
        <v>0</v>
      </c>
      <c r="P13593" t="n">
        <v>0</v>
      </c>
      <c r="Q13593" t="n">
        <v>0</v>
      </c>
      <c r="R13593" s="2" t="inlineStr"/>
    </row>
    <row r="13594" ht="15" customHeight="1">
      <c r="A13594" t="inlineStr">
        <is>
          <t>A 44898-2025</t>
        </is>
      </c>
      <c r="B13594" s="1" t="n">
        <v>45918.50545138889</v>
      </c>
      <c r="C13594" s="1" t="n">
        <v>45952</v>
      </c>
      <c r="D13594" t="inlineStr">
        <is>
          <t>VÄSTRA GÖTALANDS LÄN</t>
        </is>
      </c>
      <c r="E13594" t="inlineStr">
        <is>
          <t>TIDAHOLM</t>
        </is>
      </c>
      <c r="G13594" t="n">
        <v>3.3</v>
      </c>
      <c r="H13594" t="n">
        <v>0</v>
      </c>
      <c r="I13594" t="n">
        <v>0</v>
      </c>
      <c r="J13594" t="n">
        <v>0</v>
      </c>
      <c r="K13594" t="n">
        <v>0</v>
      </c>
      <c r="L13594" t="n">
        <v>0</v>
      </c>
      <c r="M13594" t="n">
        <v>0</v>
      </c>
      <c r="N13594" t="n">
        <v>0</v>
      </c>
      <c r="O13594" t="n">
        <v>0</v>
      </c>
      <c r="P13594" t="n">
        <v>0</v>
      </c>
      <c r="Q13594" t="n">
        <v>0</v>
      </c>
      <c r="R13594" s="2" t="inlineStr"/>
    </row>
    <row r="13595" ht="15" customHeight="1">
      <c r="A13595" t="inlineStr">
        <is>
          <t>A 44786-2025</t>
        </is>
      </c>
      <c r="B13595" s="1" t="n">
        <v>45918.27836805556</v>
      </c>
      <c r="C13595" s="1" t="n">
        <v>45952</v>
      </c>
      <c r="D13595" t="inlineStr">
        <is>
          <t>VÄSTRA GÖTALANDS LÄN</t>
        </is>
      </c>
      <c r="E13595" t="inlineStr">
        <is>
          <t>TRANEMO</t>
        </is>
      </c>
      <c r="G13595" t="n">
        <v>1.1</v>
      </c>
      <c r="H13595" t="n">
        <v>0</v>
      </c>
      <c r="I13595" t="n">
        <v>0</v>
      </c>
      <c r="J13595" t="n">
        <v>0</v>
      </c>
      <c r="K13595" t="n">
        <v>0</v>
      </c>
      <c r="L13595" t="n">
        <v>0</v>
      </c>
      <c r="M13595" t="n">
        <v>0</v>
      </c>
      <c r="N13595" t="n">
        <v>0</v>
      </c>
      <c r="O13595" t="n">
        <v>0</v>
      </c>
      <c r="P13595" t="n">
        <v>0</v>
      </c>
      <c r="Q13595" t="n">
        <v>0</v>
      </c>
      <c r="R13595" s="2" t="inlineStr"/>
    </row>
    <row r="13596" ht="15" customHeight="1">
      <c r="A13596" t="inlineStr">
        <is>
          <t>A 12938-2022</t>
        </is>
      </c>
      <c r="B13596" s="1" t="n">
        <v>44642</v>
      </c>
      <c r="C13596" s="1" t="n">
        <v>45952</v>
      </c>
      <c r="D13596" t="inlineStr">
        <is>
          <t>VÄSTRA GÖTALANDS LÄN</t>
        </is>
      </c>
      <c r="E13596" t="inlineStr">
        <is>
          <t>VARA</t>
        </is>
      </c>
      <c r="G13596" t="n">
        <v>2.7</v>
      </c>
      <c r="H13596" t="n">
        <v>0</v>
      </c>
      <c r="I13596" t="n">
        <v>0</v>
      </c>
      <c r="J13596" t="n">
        <v>0</v>
      </c>
      <c r="K13596" t="n">
        <v>0</v>
      </c>
      <c r="L13596" t="n">
        <v>0</v>
      </c>
      <c r="M13596" t="n">
        <v>0</v>
      </c>
      <c r="N13596" t="n">
        <v>0</v>
      </c>
      <c r="O13596" t="n">
        <v>0</v>
      </c>
      <c r="P13596" t="n">
        <v>0</v>
      </c>
      <c r="Q13596" t="n">
        <v>0</v>
      </c>
      <c r="R13596" s="2" t="inlineStr"/>
    </row>
    <row r="13597" ht="15" customHeight="1">
      <c r="A13597" t="inlineStr">
        <is>
          <t>A 43780-2024</t>
        </is>
      </c>
      <c r="B13597" s="1" t="n">
        <v>45570.45927083334</v>
      </c>
      <c r="C13597" s="1" t="n">
        <v>45952</v>
      </c>
      <c r="D13597" t="inlineStr">
        <is>
          <t>VÄSTRA GÖTALANDS LÄN</t>
        </is>
      </c>
      <c r="E13597" t="inlineStr">
        <is>
          <t>TANUM</t>
        </is>
      </c>
      <c r="G13597" t="n">
        <v>5.3</v>
      </c>
      <c r="H13597" t="n">
        <v>0</v>
      </c>
      <c r="I13597" t="n">
        <v>0</v>
      </c>
      <c r="J13597" t="n">
        <v>0</v>
      </c>
      <c r="K13597" t="n">
        <v>0</v>
      </c>
      <c r="L13597" t="n">
        <v>0</v>
      </c>
      <c r="M13597" t="n">
        <v>0</v>
      </c>
      <c r="N13597" t="n">
        <v>0</v>
      </c>
      <c r="O13597" t="n">
        <v>0</v>
      </c>
      <c r="P13597" t="n">
        <v>0</v>
      </c>
      <c r="Q13597" t="n">
        <v>0</v>
      </c>
      <c r="R13597" s="2" t="inlineStr"/>
    </row>
    <row r="13598" ht="15" customHeight="1">
      <c r="A13598" t="inlineStr">
        <is>
          <t>A 1191-2023</t>
        </is>
      </c>
      <c r="B13598" s="1" t="n">
        <v>44935</v>
      </c>
      <c r="C13598" s="1" t="n">
        <v>45952</v>
      </c>
      <c r="D13598" t="inlineStr">
        <is>
          <t>VÄSTRA GÖTALANDS LÄN</t>
        </is>
      </c>
      <c r="E13598" t="inlineStr">
        <is>
          <t>BENGTSFORS</t>
        </is>
      </c>
      <c r="G13598" t="n">
        <v>2.3</v>
      </c>
      <c r="H13598" t="n">
        <v>0</v>
      </c>
      <c r="I13598" t="n">
        <v>0</v>
      </c>
      <c r="J13598" t="n">
        <v>0</v>
      </c>
      <c r="K13598" t="n">
        <v>0</v>
      </c>
      <c r="L13598" t="n">
        <v>0</v>
      </c>
      <c r="M13598" t="n">
        <v>0</v>
      </c>
      <c r="N13598" t="n">
        <v>0</v>
      </c>
      <c r="O13598" t="n">
        <v>0</v>
      </c>
      <c r="P13598" t="n">
        <v>0</v>
      </c>
      <c r="Q13598" t="n">
        <v>0</v>
      </c>
      <c r="R13598" s="2" t="inlineStr"/>
    </row>
    <row r="13599" ht="15" customHeight="1">
      <c r="A13599" t="inlineStr">
        <is>
          <t>A 44818-2025</t>
        </is>
      </c>
      <c r="B13599" s="1" t="n">
        <v>45918.37908564815</v>
      </c>
      <c r="C13599" s="1" t="n">
        <v>45952</v>
      </c>
      <c r="D13599" t="inlineStr">
        <is>
          <t>VÄSTRA GÖTALANDS LÄN</t>
        </is>
      </c>
      <c r="E13599" t="inlineStr">
        <is>
          <t>ULRICEHAMN</t>
        </is>
      </c>
      <c r="G13599" t="n">
        <v>2.7</v>
      </c>
      <c r="H13599" t="n">
        <v>0</v>
      </c>
      <c r="I13599" t="n">
        <v>0</v>
      </c>
      <c r="J13599" t="n">
        <v>0</v>
      </c>
      <c r="K13599" t="n">
        <v>0</v>
      </c>
      <c r="L13599" t="n">
        <v>0</v>
      </c>
      <c r="M13599" t="n">
        <v>0</v>
      </c>
      <c r="N13599" t="n">
        <v>0</v>
      </c>
      <c r="O13599" t="n">
        <v>0</v>
      </c>
      <c r="P13599" t="n">
        <v>0</v>
      </c>
      <c r="Q13599" t="n">
        <v>0</v>
      </c>
      <c r="R13599" s="2" t="inlineStr"/>
    </row>
    <row r="13600" ht="15" customHeight="1">
      <c r="A13600" t="inlineStr">
        <is>
          <t>A 45025-2025</t>
        </is>
      </c>
      <c r="B13600" s="1" t="n">
        <v>45918.69027777778</v>
      </c>
      <c r="C13600" s="1" t="n">
        <v>45952</v>
      </c>
      <c r="D13600" t="inlineStr">
        <is>
          <t>VÄSTRA GÖTALANDS LÄN</t>
        </is>
      </c>
      <c r="E13600" t="inlineStr">
        <is>
          <t>MARK</t>
        </is>
      </c>
      <c r="G13600" t="n">
        <v>2.4</v>
      </c>
      <c r="H13600" t="n">
        <v>0</v>
      </c>
      <c r="I13600" t="n">
        <v>0</v>
      </c>
      <c r="J13600" t="n">
        <v>0</v>
      </c>
      <c r="K13600" t="n">
        <v>0</v>
      </c>
      <c r="L13600" t="n">
        <v>0</v>
      </c>
      <c r="M13600" t="n">
        <v>0</v>
      </c>
      <c r="N13600" t="n">
        <v>0</v>
      </c>
      <c r="O13600" t="n">
        <v>0</v>
      </c>
      <c r="P13600" t="n">
        <v>0</v>
      </c>
      <c r="Q13600" t="n">
        <v>0</v>
      </c>
      <c r="R13600" s="2" t="inlineStr"/>
    </row>
    <row r="13601" ht="15" customHeight="1">
      <c r="A13601" t="inlineStr">
        <is>
          <t>A 49371-2023</t>
        </is>
      </c>
      <c r="B13601" s="1" t="n">
        <v>45211.36153935185</v>
      </c>
      <c r="C13601" s="1" t="n">
        <v>45952</v>
      </c>
      <c r="D13601" t="inlineStr">
        <is>
          <t>VÄSTRA GÖTALANDS LÄN</t>
        </is>
      </c>
      <c r="E13601" t="inlineStr">
        <is>
          <t>MARIESTAD</t>
        </is>
      </c>
      <c r="G13601" t="n">
        <v>2.8</v>
      </c>
      <c r="H13601" t="n">
        <v>0</v>
      </c>
      <c r="I13601" t="n">
        <v>0</v>
      </c>
      <c r="J13601" t="n">
        <v>0</v>
      </c>
      <c r="K13601" t="n">
        <v>0</v>
      </c>
      <c r="L13601" t="n">
        <v>0</v>
      </c>
      <c r="M13601" t="n">
        <v>0</v>
      </c>
      <c r="N13601" t="n">
        <v>0</v>
      </c>
      <c r="O13601" t="n">
        <v>0</v>
      </c>
      <c r="P13601" t="n">
        <v>0</v>
      </c>
      <c r="Q13601" t="n">
        <v>0</v>
      </c>
      <c r="R13601" s="2" t="inlineStr"/>
    </row>
    <row r="13602" ht="15" customHeight="1">
      <c r="A13602" t="inlineStr">
        <is>
          <t>A 62931-2023</t>
        </is>
      </c>
      <c r="B13602" s="1" t="n">
        <v>45272.47856481482</v>
      </c>
      <c r="C13602" s="1" t="n">
        <v>45952</v>
      </c>
      <c r="D13602" t="inlineStr">
        <is>
          <t>VÄSTRA GÖTALANDS LÄN</t>
        </is>
      </c>
      <c r="E13602" t="inlineStr">
        <is>
          <t>TANUM</t>
        </is>
      </c>
      <c r="G13602" t="n">
        <v>1.1</v>
      </c>
      <c r="H13602" t="n">
        <v>0</v>
      </c>
      <c r="I13602" t="n">
        <v>0</v>
      </c>
      <c r="J13602" t="n">
        <v>0</v>
      </c>
      <c r="K13602" t="n">
        <v>0</v>
      </c>
      <c r="L13602" t="n">
        <v>0</v>
      </c>
      <c r="M13602" t="n">
        <v>0</v>
      </c>
      <c r="N13602" t="n">
        <v>0</v>
      </c>
      <c r="O13602" t="n">
        <v>0</v>
      </c>
      <c r="P13602" t="n">
        <v>0</v>
      </c>
      <c r="Q13602" t="n">
        <v>0</v>
      </c>
      <c r="R13602" s="2" t="inlineStr"/>
    </row>
    <row r="13603" ht="15" customHeight="1">
      <c r="A13603" t="inlineStr">
        <is>
          <t>A 45091-2025</t>
        </is>
      </c>
      <c r="B13603" s="1" t="n">
        <v>45919.38120370371</v>
      </c>
      <c r="C13603" s="1" t="n">
        <v>45952</v>
      </c>
      <c r="D13603" t="inlineStr">
        <is>
          <t>VÄSTRA GÖTALANDS LÄN</t>
        </is>
      </c>
      <c r="E13603" t="inlineStr">
        <is>
          <t>HERRLJUNGA</t>
        </is>
      </c>
      <c r="G13603" t="n">
        <v>0.8</v>
      </c>
      <c r="H13603" t="n">
        <v>0</v>
      </c>
      <c r="I13603" t="n">
        <v>0</v>
      </c>
      <c r="J13603" t="n">
        <v>0</v>
      </c>
      <c r="K13603" t="n">
        <v>0</v>
      </c>
      <c r="L13603" t="n">
        <v>0</v>
      </c>
      <c r="M13603" t="n">
        <v>0</v>
      </c>
      <c r="N13603" t="n">
        <v>0</v>
      </c>
      <c r="O13603" t="n">
        <v>0</v>
      </c>
      <c r="P13603" t="n">
        <v>0</v>
      </c>
      <c r="Q13603" t="n">
        <v>0</v>
      </c>
      <c r="R13603" s="2" t="inlineStr"/>
    </row>
    <row r="13604" ht="15" customHeight="1">
      <c r="A13604" t="inlineStr">
        <is>
          <t>A 45157-2025</t>
        </is>
      </c>
      <c r="B13604" s="1" t="n">
        <v>45919.48144675926</v>
      </c>
      <c r="C13604" s="1" t="n">
        <v>45952</v>
      </c>
      <c r="D13604" t="inlineStr">
        <is>
          <t>VÄSTRA GÖTALANDS LÄN</t>
        </is>
      </c>
      <c r="E13604" t="inlineStr">
        <is>
          <t>UDDEVALLA</t>
        </is>
      </c>
      <c r="G13604" t="n">
        <v>19.4</v>
      </c>
      <c r="H13604" t="n">
        <v>0</v>
      </c>
      <c r="I13604" t="n">
        <v>0</v>
      </c>
      <c r="J13604" t="n">
        <v>0</v>
      </c>
      <c r="K13604" t="n">
        <v>0</v>
      </c>
      <c r="L13604" t="n">
        <v>0</v>
      </c>
      <c r="M13604" t="n">
        <v>0</v>
      </c>
      <c r="N13604" t="n">
        <v>0</v>
      </c>
      <c r="O13604" t="n">
        <v>0</v>
      </c>
      <c r="P13604" t="n">
        <v>0</v>
      </c>
      <c r="Q13604" t="n">
        <v>0</v>
      </c>
      <c r="R13604" s="2" t="inlineStr"/>
    </row>
    <row r="13605" ht="15" customHeight="1">
      <c r="A13605" t="inlineStr">
        <is>
          <t>A 59890-2021</t>
        </is>
      </c>
      <c r="B13605" s="1" t="n">
        <v>44494</v>
      </c>
      <c r="C13605" s="1" t="n">
        <v>45952</v>
      </c>
      <c r="D13605" t="inlineStr">
        <is>
          <t>VÄSTRA GÖTALANDS LÄN</t>
        </is>
      </c>
      <c r="E13605" t="inlineStr">
        <is>
          <t>KARLSBORG</t>
        </is>
      </c>
      <c r="F13605" t="inlineStr">
        <is>
          <t>Övriga statliga verk och myndigheter</t>
        </is>
      </c>
      <c r="G13605" t="n">
        <v>1.7</v>
      </c>
      <c r="H13605" t="n">
        <v>0</v>
      </c>
      <c r="I13605" t="n">
        <v>0</v>
      </c>
      <c r="J13605" t="n">
        <v>0</v>
      </c>
      <c r="K13605" t="n">
        <v>0</v>
      </c>
      <c r="L13605" t="n">
        <v>0</v>
      </c>
      <c r="M13605" t="n">
        <v>0</v>
      </c>
      <c r="N13605" t="n">
        <v>0</v>
      </c>
      <c r="O13605" t="n">
        <v>0</v>
      </c>
      <c r="P13605" t="n">
        <v>0</v>
      </c>
      <c r="Q13605" t="n">
        <v>0</v>
      </c>
      <c r="R13605" s="2" t="inlineStr"/>
    </row>
    <row r="13606" ht="15" customHeight="1">
      <c r="A13606" t="inlineStr">
        <is>
          <t>A 16475-2024</t>
        </is>
      </c>
      <c r="B13606" s="1" t="n">
        <v>45408.24853009259</v>
      </c>
      <c r="C13606" s="1" t="n">
        <v>45952</v>
      </c>
      <c r="D13606" t="inlineStr">
        <is>
          <t>VÄSTRA GÖTALANDS LÄN</t>
        </is>
      </c>
      <c r="E13606" t="inlineStr">
        <is>
          <t>ULRICEHAMN</t>
        </is>
      </c>
      <c r="G13606" t="n">
        <v>1.1</v>
      </c>
      <c r="H13606" t="n">
        <v>0</v>
      </c>
      <c r="I13606" t="n">
        <v>0</v>
      </c>
      <c r="J13606" t="n">
        <v>0</v>
      </c>
      <c r="K13606" t="n">
        <v>0</v>
      </c>
      <c r="L13606" t="n">
        <v>0</v>
      </c>
      <c r="M13606" t="n">
        <v>0</v>
      </c>
      <c r="N13606" t="n">
        <v>0</v>
      </c>
      <c r="O13606" t="n">
        <v>0</v>
      </c>
      <c r="P13606" t="n">
        <v>0</v>
      </c>
      <c r="Q13606" t="n">
        <v>0</v>
      </c>
      <c r="R13606" s="2" t="inlineStr"/>
    </row>
    <row r="13607" ht="15" customHeight="1">
      <c r="A13607" t="inlineStr">
        <is>
          <t>A 45170-2025</t>
        </is>
      </c>
      <c r="B13607" s="1" t="n">
        <v>45919.50083333333</v>
      </c>
      <c r="C13607" s="1" t="n">
        <v>45952</v>
      </c>
      <c r="D13607" t="inlineStr">
        <is>
          <t>VÄSTRA GÖTALANDS LÄN</t>
        </is>
      </c>
      <c r="E13607" t="inlineStr">
        <is>
          <t>TIDAHOLM</t>
        </is>
      </c>
      <c r="G13607" t="n">
        <v>0.5</v>
      </c>
      <c r="H13607" t="n">
        <v>0</v>
      </c>
      <c r="I13607" t="n">
        <v>0</v>
      </c>
      <c r="J13607" t="n">
        <v>0</v>
      </c>
      <c r="K13607" t="n">
        <v>0</v>
      </c>
      <c r="L13607" t="n">
        <v>0</v>
      </c>
      <c r="M13607" t="n">
        <v>0</v>
      </c>
      <c r="N13607" t="n">
        <v>0</v>
      </c>
      <c r="O13607" t="n">
        <v>0</v>
      </c>
      <c r="P13607" t="n">
        <v>0</v>
      </c>
      <c r="Q13607" t="n">
        <v>0</v>
      </c>
      <c r="R13607" s="2" t="inlineStr"/>
    </row>
    <row r="13608" ht="15" customHeight="1">
      <c r="A13608" t="inlineStr">
        <is>
          <t>A 57193-2023</t>
        </is>
      </c>
      <c r="B13608" s="1" t="n">
        <v>45239</v>
      </c>
      <c r="C13608" s="1" t="n">
        <v>45952</v>
      </c>
      <c r="D13608" t="inlineStr">
        <is>
          <t>VÄSTRA GÖTALANDS LÄN</t>
        </is>
      </c>
      <c r="E13608" t="inlineStr">
        <is>
          <t>ÅMÅL</t>
        </is>
      </c>
      <c r="G13608" t="n">
        <v>2.9</v>
      </c>
      <c r="H13608" t="n">
        <v>0</v>
      </c>
      <c r="I13608" t="n">
        <v>0</v>
      </c>
      <c r="J13608" t="n">
        <v>0</v>
      </c>
      <c r="K13608" t="n">
        <v>0</v>
      </c>
      <c r="L13608" t="n">
        <v>0</v>
      </c>
      <c r="M13608" t="n">
        <v>0</v>
      </c>
      <c r="N13608" t="n">
        <v>0</v>
      </c>
      <c r="O13608" t="n">
        <v>0</v>
      </c>
      <c r="P13608" t="n">
        <v>0</v>
      </c>
      <c r="Q13608" t="n">
        <v>0</v>
      </c>
      <c r="R13608" s="2" t="inlineStr"/>
    </row>
    <row r="13609" ht="15" customHeight="1">
      <c r="A13609" t="inlineStr">
        <is>
          <t>A 9108-2022</t>
        </is>
      </c>
      <c r="B13609" s="1" t="n">
        <v>44615</v>
      </c>
      <c r="C13609" s="1" t="n">
        <v>45952</v>
      </c>
      <c r="D13609" t="inlineStr">
        <is>
          <t>VÄSTRA GÖTALANDS LÄN</t>
        </is>
      </c>
      <c r="E13609" t="inlineStr">
        <is>
          <t>VARA</t>
        </is>
      </c>
      <c r="G13609" t="n">
        <v>2.5</v>
      </c>
      <c r="H13609" t="n">
        <v>0</v>
      </c>
      <c r="I13609" t="n">
        <v>0</v>
      </c>
      <c r="J13609" t="n">
        <v>0</v>
      </c>
      <c r="K13609" t="n">
        <v>0</v>
      </c>
      <c r="L13609" t="n">
        <v>0</v>
      </c>
      <c r="M13609" t="n">
        <v>0</v>
      </c>
      <c r="N13609" t="n">
        <v>0</v>
      </c>
      <c r="O13609" t="n">
        <v>0</v>
      </c>
      <c r="P13609" t="n">
        <v>0</v>
      </c>
      <c r="Q13609" t="n">
        <v>0</v>
      </c>
      <c r="R13609" s="2" t="inlineStr"/>
    </row>
    <row r="13610" ht="15" customHeight="1">
      <c r="A13610" t="inlineStr">
        <is>
          <t>A 9177-2022</t>
        </is>
      </c>
      <c r="B13610" s="1" t="n">
        <v>44615</v>
      </c>
      <c r="C13610" s="1" t="n">
        <v>45952</v>
      </c>
      <c r="D13610" t="inlineStr">
        <is>
          <t>VÄSTRA GÖTALANDS LÄN</t>
        </is>
      </c>
      <c r="E13610" t="inlineStr">
        <is>
          <t>HJO</t>
        </is>
      </c>
      <c r="G13610" t="n">
        <v>1.2</v>
      </c>
      <c r="H13610" t="n">
        <v>0</v>
      </c>
      <c r="I13610" t="n">
        <v>0</v>
      </c>
      <c r="J13610" t="n">
        <v>0</v>
      </c>
      <c r="K13610" t="n">
        <v>0</v>
      </c>
      <c r="L13610" t="n">
        <v>0</v>
      </c>
      <c r="M13610" t="n">
        <v>0</v>
      </c>
      <c r="N13610" t="n">
        <v>0</v>
      </c>
      <c r="O13610" t="n">
        <v>0</v>
      </c>
      <c r="P13610" t="n">
        <v>0</v>
      </c>
      <c r="Q13610" t="n">
        <v>0</v>
      </c>
      <c r="R13610" s="2" t="inlineStr"/>
    </row>
    <row r="13611" ht="15" customHeight="1">
      <c r="A13611" t="inlineStr">
        <is>
          <t>A 25924-2024</t>
        </is>
      </c>
      <c r="B13611" s="1" t="n">
        <v>45467.61216435185</v>
      </c>
      <c r="C13611" s="1" t="n">
        <v>45952</v>
      </c>
      <c r="D13611" t="inlineStr">
        <is>
          <t>VÄSTRA GÖTALANDS LÄN</t>
        </is>
      </c>
      <c r="E13611" t="inlineStr">
        <is>
          <t>DALS-ED</t>
        </is>
      </c>
      <c r="G13611" t="n">
        <v>0.9</v>
      </c>
      <c r="H13611" t="n">
        <v>0</v>
      </c>
      <c r="I13611" t="n">
        <v>0</v>
      </c>
      <c r="J13611" t="n">
        <v>0</v>
      </c>
      <c r="K13611" t="n">
        <v>0</v>
      </c>
      <c r="L13611" t="n">
        <v>0</v>
      </c>
      <c r="M13611" t="n">
        <v>0</v>
      </c>
      <c r="N13611" t="n">
        <v>0</v>
      </c>
      <c r="O13611" t="n">
        <v>0</v>
      </c>
      <c r="P13611" t="n">
        <v>0</v>
      </c>
      <c r="Q13611" t="n">
        <v>0</v>
      </c>
      <c r="R13611" s="2" t="inlineStr"/>
    </row>
    <row r="13612" ht="15" customHeight="1">
      <c r="A13612" t="inlineStr">
        <is>
          <t>A 7990-2024</t>
        </is>
      </c>
      <c r="B13612" s="1" t="n">
        <v>45350</v>
      </c>
      <c r="C13612" s="1" t="n">
        <v>45952</v>
      </c>
      <c r="D13612" t="inlineStr">
        <is>
          <t>VÄSTRA GÖTALANDS LÄN</t>
        </is>
      </c>
      <c r="E13612" t="inlineStr">
        <is>
          <t>LERUM</t>
        </is>
      </c>
      <c r="G13612" t="n">
        <v>0.9</v>
      </c>
      <c r="H13612" t="n">
        <v>0</v>
      </c>
      <c r="I13612" t="n">
        <v>0</v>
      </c>
      <c r="J13612" t="n">
        <v>0</v>
      </c>
      <c r="K13612" t="n">
        <v>0</v>
      </c>
      <c r="L13612" t="n">
        <v>0</v>
      </c>
      <c r="M13612" t="n">
        <v>0</v>
      </c>
      <c r="N13612" t="n">
        <v>0</v>
      </c>
      <c r="O13612" t="n">
        <v>0</v>
      </c>
      <c r="P13612" t="n">
        <v>0</v>
      </c>
      <c r="Q13612" t="n">
        <v>0</v>
      </c>
      <c r="R13612" s="2" t="inlineStr"/>
    </row>
    <row r="13613" ht="15" customHeight="1">
      <c r="A13613" t="inlineStr">
        <is>
          <t>A 44997-2025</t>
        </is>
      </c>
      <c r="B13613" s="1" t="n">
        <v>45918.65954861111</v>
      </c>
      <c r="C13613" s="1" t="n">
        <v>45952</v>
      </c>
      <c r="D13613" t="inlineStr">
        <is>
          <t>VÄSTRA GÖTALANDS LÄN</t>
        </is>
      </c>
      <c r="E13613" t="inlineStr">
        <is>
          <t>TRANEMO</t>
        </is>
      </c>
      <c r="G13613" t="n">
        <v>1.8</v>
      </c>
      <c r="H13613" t="n">
        <v>0</v>
      </c>
      <c r="I13613" t="n">
        <v>0</v>
      </c>
      <c r="J13613" t="n">
        <v>0</v>
      </c>
      <c r="K13613" t="n">
        <v>0</v>
      </c>
      <c r="L13613" t="n">
        <v>0</v>
      </c>
      <c r="M13613" t="n">
        <v>0</v>
      </c>
      <c r="N13613" t="n">
        <v>0</v>
      </c>
      <c r="O13613" t="n">
        <v>0</v>
      </c>
      <c r="P13613" t="n">
        <v>0</v>
      </c>
      <c r="Q13613" t="n">
        <v>0</v>
      </c>
      <c r="R13613" s="2" t="inlineStr"/>
    </row>
    <row r="13614" ht="15" customHeight="1">
      <c r="A13614" t="inlineStr">
        <is>
          <t>A 58672-2022</t>
        </is>
      </c>
      <c r="B13614" s="1" t="n">
        <v>44902</v>
      </c>
      <c r="C13614" s="1" t="n">
        <v>45952</v>
      </c>
      <c r="D13614" t="inlineStr">
        <is>
          <t>VÄSTRA GÖTALANDS LÄN</t>
        </is>
      </c>
      <c r="E13614" t="inlineStr">
        <is>
          <t>LIDKÖPING</t>
        </is>
      </c>
      <c r="G13614" t="n">
        <v>2.4</v>
      </c>
      <c r="H13614" t="n">
        <v>0</v>
      </c>
      <c r="I13614" t="n">
        <v>0</v>
      </c>
      <c r="J13614" t="n">
        <v>0</v>
      </c>
      <c r="K13614" t="n">
        <v>0</v>
      </c>
      <c r="L13614" t="n">
        <v>0</v>
      </c>
      <c r="M13614" t="n">
        <v>0</v>
      </c>
      <c r="N13614" t="n">
        <v>0</v>
      </c>
      <c r="O13614" t="n">
        <v>0</v>
      </c>
      <c r="P13614" t="n">
        <v>0</v>
      </c>
      <c r="Q13614" t="n">
        <v>0</v>
      </c>
      <c r="R13614" s="2" t="inlineStr"/>
    </row>
    <row r="13615" ht="15" customHeight="1">
      <c r="A13615" t="inlineStr">
        <is>
          <t>A 6875-2022</t>
        </is>
      </c>
      <c r="B13615" s="1" t="n">
        <v>44602</v>
      </c>
      <c r="C13615" s="1" t="n">
        <v>45952</v>
      </c>
      <c r="D13615" t="inlineStr">
        <is>
          <t>VÄSTRA GÖTALANDS LÄN</t>
        </is>
      </c>
      <c r="E13615" t="inlineStr">
        <is>
          <t>UDDEVALLA</t>
        </is>
      </c>
      <c r="G13615" t="n">
        <v>9.6</v>
      </c>
      <c r="H13615" t="n">
        <v>0</v>
      </c>
      <c r="I13615" t="n">
        <v>0</v>
      </c>
      <c r="J13615" t="n">
        <v>0</v>
      </c>
      <c r="K13615" t="n">
        <v>0</v>
      </c>
      <c r="L13615" t="n">
        <v>0</v>
      </c>
      <c r="M13615" t="n">
        <v>0</v>
      </c>
      <c r="N13615" t="n">
        <v>0</v>
      </c>
      <c r="O13615" t="n">
        <v>0</v>
      </c>
      <c r="P13615" t="n">
        <v>0</v>
      </c>
      <c r="Q13615" t="n">
        <v>0</v>
      </c>
      <c r="R13615" s="2" t="inlineStr"/>
    </row>
    <row r="13616" ht="15" customHeight="1">
      <c r="A13616" t="inlineStr">
        <is>
          <t>A 37311-2025</t>
        </is>
      </c>
      <c r="B13616" s="1" t="n">
        <v>45876.59644675926</v>
      </c>
      <c r="C13616" s="1" t="n">
        <v>45952</v>
      </c>
      <c r="D13616" t="inlineStr">
        <is>
          <t>VÄSTRA GÖTALANDS LÄN</t>
        </is>
      </c>
      <c r="E13616" t="inlineStr">
        <is>
          <t>STRÖMSTAD</t>
        </is>
      </c>
      <c r="G13616" t="n">
        <v>3.9</v>
      </c>
      <c r="H13616" t="n">
        <v>0</v>
      </c>
      <c r="I13616" t="n">
        <v>0</v>
      </c>
      <c r="J13616" t="n">
        <v>0</v>
      </c>
      <c r="K13616" t="n">
        <v>0</v>
      </c>
      <c r="L13616" t="n">
        <v>0</v>
      </c>
      <c r="M13616" t="n">
        <v>0</v>
      </c>
      <c r="N13616" t="n">
        <v>0</v>
      </c>
      <c r="O13616" t="n">
        <v>0</v>
      </c>
      <c r="P13616" t="n">
        <v>0</v>
      </c>
      <c r="Q13616" t="n">
        <v>0</v>
      </c>
      <c r="R13616" s="2" t="inlineStr"/>
    </row>
    <row r="13617" ht="15" customHeight="1">
      <c r="A13617" t="inlineStr">
        <is>
          <t>A 37315-2025</t>
        </is>
      </c>
      <c r="B13617" s="1" t="n">
        <v>45876.61038194445</v>
      </c>
      <c r="C13617" s="1" t="n">
        <v>45952</v>
      </c>
      <c r="D13617" t="inlineStr">
        <is>
          <t>VÄSTRA GÖTALANDS LÄN</t>
        </is>
      </c>
      <c r="E13617" t="inlineStr">
        <is>
          <t>ULRICEHAMN</t>
        </is>
      </c>
      <c r="G13617" t="n">
        <v>2</v>
      </c>
      <c r="H13617" t="n">
        <v>0</v>
      </c>
      <c r="I13617" t="n">
        <v>0</v>
      </c>
      <c r="J13617" t="n">
        <v>0</v>
      </c>
      <c r="K13617" t="n">
        <v>0</v>
      </c>
      <c r="L13617" t="n">
        <v>0</v>
      </c>
      <c r="M13617" t="n">
        <v>0</v>
      </c>
      <c r="N13617" t="n">
        <v>0</v>
      </c>
      <c r="O13617" t="n">
        <v>0</v>
      </c>
      <c r="P13617" t="n">
        <v>0</v>
      </c>
      <c r="Q13617" t="n">
        <v>0</v>
      </c>
      <c r="R13617" s="2" t="inlineStr"/>
    </row>
    <row r="13618" ht="15" customHeight="1">
      <c r="A13618" t="inlineStr">
        <is>
          <t>A 45248-2025</t>
        </is>
      </c>
      <c r="B13618" s="1" t="n">
        <v>45919.61190972223</v>
      </c>
      <c r="C13618" s="1" t="n">
        <v>45952</v>
      </c>
      <c r="D13618" t="inlineStr">
        <is>
          <t>VÄSTRA GÖTALANDS LÄN</t>
        </is>
      </c>
      <c r="E13618" t="inlineStr">
        <is>
          <t>TIBRO</t>
        </is>
      </c>
      <c r="G13618" t="n">
        <v>1.4</v>
      </c>
      <c r="H13618" t="n">
        <v>0</v>
      </c>
      <c r="I13618" t="n">
        <v>0</v>
      </c>
      <c r="J13618" t="n">
        <v>0</v>
      </c>
      <c r="K13618" t="n">
        <v>0</v>
      </c>
      <c r="L13618" t="n">
        <v>0</v>
      </c>
      <c r="M13618" t="n">
        <v>0</v>
      </c>
      <c r="N13618" t="n">
        <v>0</v>
      </c>
      <c r="O13618" t="n">
        <v>0</v>
      </c>
      <c r="P13618" t="n">
        <v>0</v>
      </c>
      <c r="Q13618" t="n">
        <v>0</v>
      </c>
      <c r="R13618" s="2" t="inlineStr"/>
    </row>
    <row r="13619" ht="15" customHeight="1">
      <c r="A13619" t="inlineStr">
        <is>
          <t>A 32997-2025</t>
        </is>
      </c>
      <c r="B13619" s="1" t="n">
        <v>45840.33818287037</v>
      </c>
      <c r="C13619" s="1" t="n">
        <v>45952</v>
      </c>
      <c r="D13619" t="inlineStr">
        <is>
          <t>VÄSTRA GÖTALANDS LÄN</t>
        </is>
      </c>
      <c r="E13619" t="inlineStr">
        <is>
          <t>STENUNGSUND</t>
        </is>
      </c>
      <c r="G13619" t="n">
        <v>1.6</v>
      </c>
      <c r="H13619" t="n">
        <v>0</v>
      </c>
      <c r="I13619" t="n">
        <v>0</v>
      </c>
      <c r="J13619" t="n">
        <v>0</v>
      </c>
      <c r="K13619" t="n">
        <v>0</v>
      </c>
      <c r="L13619" t="n">
        <v>0</v>
      </c>
      <c r="M13619" t="n">
        <v>0</v>
      </c>
      <c r="N13619" t="n">
        <v>0</v>
      </c>
      <c r="O13619" t="n">
        <v>0</v>
      </c>
      <c r="P13619" t="n">
        <v>0</v>
      </c>
      <c r="Q13619" t="n">
        <v>0</v>
      </c>
      <c r="R13619" s="2" t="inlineStr"/>
    </row>
    <row r="13620" ht="15" customHeight="1">
      <c r="A13620" t="inlineStr">
        <is>
          <t>A 8473-2025</t>
        </is>
      </c>
      <c r="B13620" s="1" t="n">
        <v>45709.47435185185</v>
      </c>
      <c r="C13620" s="1" t="n">
        <v>45952</v>
      </c>
      <c r="D13620" t="inlineStr">
        <is>
          <t>VÄSTRA GÖTALANDS LÄN</t>
        </is>
      </c>
      <c r="E13620" t="inlineStr">
        <is>
          <t>TANUM</t>
        </is>
      </c>
      <c r="G13620" t="n">
        <v>1.3</v>
      </c>
      <c r="H13620" t="n">
        <v>0</v>
      </c>
      <c r="I13620" t="n">
        <v>0</v>
      </c>
      <c r="J13620" t="n">
        <v>0</v>
      </c>
      <c r="K13620" t="n">
        <v>0</v>
      </c>
      <c r="L13620" t="n">
        <v>0</v>
      </c>
      <c r="M13620" t="n">
        <v>0</v>
      </c>
      <c r="N13620" t="n">
        <v>0</v>
      </c>
      <c r="O13620" t="n">
        <v>0</v>
      </c>
      <c r="P13620" t="n">
        <v>0</v>
      </c>
      <c r="Q13620" t="n">
        <v>0</v>
      </c>
      <c r="R13620" s="2" t="inlineStr"/>
    </row>
    <row r="13621" ht="15" customHeight="1">
      <c r="A13621" t="inlineStr">
        <is>
          <t>A 37340-2025</t>
        </is>
      </c>
      <c r="B13621" s="1" t="n">
        <v>45876.68804398148</v>
      </c>
      <c r="C13621" s="1" t="n">
        <v>45952</v>
      </c>
      <c r="D13621" t="inlineStr">
        <is>
          <t>VÄSTRA GÖTALANDS LÄN</t>
        </is>
      </c>
      <c r="E13621" t="inlineStr">
        <is>
          <t>TROLLHÄTTAN</t>
        </is>
      </c>
      <c r="G13621" t="n">
        <v>1.5</v>
      </c>
      <c r="H13621" t="n">
        <v>0</v>
      </c>
      <c r="I13621" t="n">
        <v>0</v>
      </c>
      <c r="J13621" t="n">
        <v>0</v>
      </c>
      <c r="K13621" t="n">
        <v>0</v>
      </c>
      <c r="L13621" t="n">
        <v>0</v>
      </c>
      <c r="M13621" t="n">
        <v>0</v>
      </c>
      <c r="N13621" t="n">
        <v>0</v>
      </c>
      <c r="O13621" t="n">
        <v>0</v>
      </c>
      <c r="P13621" t="n">
        <v>0</v>
      </c>
      <c r="Q13621" t="n">
        <v>0</v>
      </c>
      <c r="R13621" s="2" t="inlineStr"/>
    </row>
    <row r="13622" ht="15" customHeight="1">
      <c r="A13622" t="inlineStr">
        <is>
          <t>A 37367-2025</t>
        </is>
      </c>
      <c r="B13622" s="1" t="n">
        <v>45877.34076388889</v>
      </c>
      <c r="C13622" s="1" t="n">
        <v>45952</v>
      </c>
      <c r="D13622" t="inlineStr">
        <is>
          <t>VÄSTRA GÖTALANDS LÄN</t>
        </is>
      </c>
      <c r="E13622" t="inlineStr">
        <is>
          <t>ULRICEHAMN</t>
        </is>
      </c>
      <c r="G13622" t="n">
        <v>0.8</v>
      </c>
      <c r="H13622" t="n">
        <v>0</v>
      </c>
      <c r="I13622" t="n">
        <v>0</v>
      </c>
      <c r="J13622" t="n">
        <v>0</v>
      </c>
      <c r="K13622" t="n">
        <v>0</v>
      </c>
      <c r="L13622" t="n">
        <v>0</v>
      </c>
      <c r="M13622" t="n">
        <v>0</v>
      </c>
      <c r="N13622" t="n">
        <v>0</v>
      </c>
      <c r="O13622" t="n">
        <v>0</v>
      </c>
      <c r="P13622" t="n">
        <v>0</v>
      </c>
      <c r="Q13622" t="n">
        <v>0</v>
      </c>
      <c r="R13622" s="2" t="inlineStr"/>
    </row>
    <row r="13623" ht="15" customHeight="1">
      <c r="A13623" t="inlineStr">
        <is>
          <t>A 37413-2025</t>
        </is>
      </c>
      <c r="B13623" s="1" t="n">
        <v>45877.46954861111</v>
      </c>
      <c r="C13623" s="1" t="n">
        <v>45952</v>
      </c>
      <c r="D13623" t="inlineStr">
        <is>
          <t>VÄSTRA GÖTALANDS LÄN</t>
        </is>
      </c>
      <c r="E13623" t="inlineStr">
        <is>
          <t>BORÅS</t>
        </is>
      </c>
      <c r="G13623" t="n">
        <v>0.5</v>
      </c>
      <c r="H13623" t="n">
        <v>0</v>
      </c>
      <c r="I13623" t="n">
        <v>0</v>
      </c>
      <c r="J13623" t="n">
        <v>0</v>
      </c>
      <c r="K13623" t="n">
        <v>0</v>
      </c>
      <c r="L13623" t="n">
        <v>0</v>
      </c>
      <c r="M13623" t="n">
        <v>0</v>
      </c>
      <c r="N13623" t="n">
        <v>0</v>
      </c>
      <c r="O13623" t="n">
        <v>0</v>
      </c>
      <c r="P13623" t="n">
        <v>0</v>
      </c>
      <c r="Q13623" t="n">
        <v>0</v>
      </c>
      <c r="R13623" s="2" t="inlineStr"/>
    </row>
    <row r="13624" ht="15" customHeight="1">
      <c r="A13624" t="inlineStr">
        <is>
          <t>A 44810-2025</t>
        </is>
      </c>
      <c r="B13624" s="1" t="n">
        <v>45918.37016203703</v>
      </c>
      <c r="C13624" s="1" t="n">
        <v>45952</v>
      </c>
      <c r="D13624" t="inlineStr">
        <is>
          <t>VÄSTRA GÖTALANDS LÄN</t>
        </is>
      </c>
      <c r="E13624" t="inlineStr">
        <is>
          <t>FALKÖPING</t>
        </is>
      </c>
      <c r="F13624" t="inlineStr">
        <is>
          <t>Kyrkan</t>
        </is>
      </c>
      <c r="G13624" t="n">
        <v>5.4</v>
      </c>
      <c r="H13624" t="n">
        <v>0</v>
      </c>
      <c r="I13624" t="n">
        <v>0</v>
      </c>
      <c r="J13624" t="n">
        <v>0</v>
      </c>
      <c r="K13624" t="n">
        <v>0</v>
      </c>
      <c r="L13624" t="n">
        <v>0</v>
      </c>
      <c r="M13624" t="n">
        <v>0</v>
      </c>
      <c r="N13624" t="n">
        <v>0</v>
      </c>
      <c r="O13624" t="n">
        <v>0</v>
      </c>
      <c r="P13624" t="n">
        <v>0</v>
      </c>
      <c r="Q13624" t="n">
        <v>0</v>
      </c>
      <c r="R13624" s="2" t="inlineStr"/>
    </row>
    <row r="13625" ht="15" customHeight="1">
      <c r="A13625" t="inlineStr">
        <is>
          <t>A 44841-2025</t>
        </is>
      </c>
      <c r="B13625" s="1" t="n">
        <v>45918.4284375</v>
      </c>
      <c r="C13625" s="1" t="n">
        <v>45952</v>
      </c>
      <c r="D13625" t="inlineStr">
        <is>
          <t>VÄSTRA GÖTALANDS LÄN</t>
        </is>
      </c>
      <c r="E13625" t="inlineStr">
        <is>
          <t>VÄNERSBORG</t>
        </is>
      </c>
      <c r="G13625" t="n">
        <v>1</v>
      </c>
      <c r="H13625" t="n">
        <v>0</v>
      </c>
      <c r="I13625" t="n">
        <v>0</v>
      </c>
      <c r="J13625" t="n">
        <v>0</v>
      </c>
      <c r="K13625" t="n">
        <v>0</v>
      </c>
      <c r="L13625" t="n">
        <v>0</v>
      </c>
      <c r="M13625" t="n">
        <v>0</v>
      </c>
      <c r="N13625" t="n">
        <v>0</v>
      </c>
      <c r="O13625" t="n">
        <v>0</v>
      </c>
      <c r="P13625" t="n">
        <v>0</v>
      </c>
      <c r="Q13625" t="n">
        <v>0</v>
      </c>
      <c r="R13625" s="2" t="inlineStr"/>
    </row>
    <row r="13626" ht="15" customHeight="1">
      <c r="A13626" t="inlineStr">
        <is>
          <t>A 31230-2023</t>
        </is>
      </c>
      <c r="B13626" s="1" t="n">
        <v>45114.33414351852</v>
      </c>
      <c r="C13626" s="1" t="n">
        <v>45952</v>
      </c>
      <c r="D13626" t="inlineStr">
        <is>
          <t>VÄSTRA GÖTALANDS LÄN</t>
        </is>
      </c>
      <c r="E13626" t="inlineStr">
        <is>
          <t>MARIESTAD</t>
        </is>
      </c>
      <c r="G13626" t="n">
        <v>1.4</v>
      </c>
      <c r="H13626" t="n">
        <v>0</v>
      </c>
      <c r="I13626" t="n">
        <v>0</v>
      </c>
      <c r="J13626" t="n">
        <v>0</v>
      </c>
      <c r="K13626" t="n">
        <v>0</v>
      </c>
      <c r="L13626" t="n">
        <v>0</v>
      </c>
      <c r="M13626" t="n">
        <v>0</v>
      </c>
      <c r="N13626" t="n">
        <v>0</v>
      </c>
      <c r="O13626" t="n">
        <v>0</v>
      </c>
      <c r="P13626" t="n">
        <v>0</v>
      </c>
      <c r="Q13626" t="n">
        <v>0</v>
      </c>
      <c r="R13626" s="2" t="inlineStr"/>
    </row>
    <row r="13627" ht="15" customHeight="1">
      <c r="A13627" t="inlineStr">
        <is>
          <t>A 44913-2025</t>
        </is>
      </c>
      <c r="B13627" s="1" t="n">
        <v>45918.54395833334</v>
      </c>
      <c r="C13627" s="1" t="n">
        <v>45952</v>
      </c>
      <c r="D13627" t="inlineStr">
        <is>
          <t>VÄSTRA GÖTALANDS LÄN</t>
        </is>
      </c>
      <c r="E13627" t="inlineStr">
        <is>
          <t>ULRICEHAMN</t>
        </is>
      </c>
      <c r="G13627" t="n">
        <v>4.2</v>
      </c>
      <c r="H13627" t="n">
        <v>0</v>
      </c>
      <c r="I13627" t="n">
        <v>0</v>
      </c>
      <c r="J13627" t="n">
        <v>0</v>
      </c>
      <c r="K13627" t="n">
        <v>0</v>
      </c>
      <c r="L13627" t="n">
        <v>0</v>
      </c>
      <c r="M13627" t="n">
        <v>0</v>
      </c>
      <c r="N13627" t="n">
        <v>0</v>
      </c>
      <c r="O13627" t="n">
        <v>0</v>
      </c>
      <c r="P13627" t="n">
        <v>0</v>
      </c>
      <c r="Q13627" t="n">
        <v>0</v>
      </c>
      <c r="R13627" s="2" t="inlineStr"/>
    </row>
    <row r="13628" ht="15" customHeight="1">
      <c r="A13628" t="inlineStr">
        <is>
          <t>A 39854-2024</t>
        </is>
      </c>
      <c r="B13628" s="1" t="n">
        <v>45553.43869212963</v>
      </c>
      <c r="C13628" s="1" t="n">
        <v>45952</v>
      </c>
      <c r="D13628" t="inlineStr">
        <is>
          <t>VÄSTRA GÖTALANDS LÄN</t>
        </is>
      </c>
      <c r="E13628" t="inlineStr">
        <is>
          <t>FALKÖPING</t>
        </is>
      </c>
      <c r="G13628" t="n">
        <v>0.6</v>
      </c>
      <c r="H13628" t="n">
        <v>0</v>
      </c>
      <c r="I13628" t="n">
        <v>0</v>
      </c>
      <c r="J13628" t="n">
        <v>0</v>
      </c>
      <c r="K13628" t="n">
        <v>0</v>
      </c>
      <c r="L13628" t="n">
        <v>0</v>
      </c>
      <c r="M13628" t="n">
        <v>0</v>
      </c>
      <c r="N13628" t="n">
        <v>0</v>
      </c>
      <c r="O13628" t="n">
        <v>0</v>
      </c>
      <c r="P13628" t="n">
        <v>0</v>
      </c>
      <c r="Q13628" t="n">
        <v>0</v>
      </c>
      <c r="R13628" s="2" t="inlineStr"/>
    </row>
    <row r="13629" ht="15" customHeight="1">
      <c r="A13629" t="inlineStr">
        <is>
          <t>A 44914-2025</t>
        </is>
      </c>
      <c r="B13629" s="1" t="n">
        <v>45918.54420138889</v>
      </c>
      <c r="C13629" s="1" t="n">
        <v>45952</v>
      </c>
      <c r="D13629" t="inlineStr">
        <is>
          <t>VÄSTRA GÖTALANDS LÄN</t>
        </is>
      </c>
      <c r="E13629" t="inlineStr">
        <is>
          <t>LILLA EDET</t>
        </is>
      </c>
      <c r="G13629" t="n">
        <v>2</v>
      </c>
      <c r="H13629" t="n">
        <v>0</v>
      </c>
      <c r="I13629" t="n">
        <v>0</v>
      </c>
      <c r="J13629" t="n">
        <v>0</v>
      </c>
      <c r="K13629" t="n">
        <v>0</v>
      </c>
      <c r="L13629" t="n">
        <v>0</v>
      </c>
      <c r="M13629" t="n">
        <v>0</v>
      </c>
      <c r="N13629" t="n">
        <v>0</v>
      </c>
      <c r="O13629" t="n">
        <v>0</v>
      </c>
      <c r="P13629" t="n">
        <v>0</v>
      </c>
      <c r="Q13629" t="n">
        <v>0</v>
      </c>
      <c r="R13629" s="2" t="inlineStr"/>
    </row>
    <row r="13630" ht="15" customHeight="1">
      <c r="A13630" t="inlineStr">
        <is>
          <t>A 44918-2025</t>
        </is>
      </c>
      <c r="B13630" s="1" t="n">
        <v>45918.5504050926</v>
      </c>
      <c r="C13630" s="1" t="n">
        <v>45952</v>
      </c>
      <c r="D13630" t="inlineStr">
        <is>
          <t>VÄSTRA GÖTALANDS LÄN</t>
        </is>
      </c>
      <c r="E13630" t="inlineStr">
        <is>
          <t>LILLA EDET</t>
        </is>
      </c>
      <c r="G13630" t="n">
        <v>5.7</v>
      </c>
      <c r="H13630" t="n">
        <v>0</v>
      </c>
      <c r="I13630" t="n">
        <v>0</v>
      </c>
      <c r="J13630" t="n">
        <v>0</v>
      </c>
      <c r="K13630" t="n">
        <v>0</v>
      </c>
      <c r="L13630" t="n">
        <v>0</v>
      </c>
      <c r="M13630" t="n">
        <v>0</v>
      </c>
      <c r="N13630" t="n">
        <v>0</v>
      </c>
      <c r="O13630" t="n">
        <v>0</v>
      </c>
      <c r="P13630" t="n">
        <v>0</v>
      </c>
      <c r="Q13630" t="n">
        <v>0</v>
      </c>
      <c r="R13630" s="2" t="inlineStr"/>
    </row>
    <row r="13631" ht="15" customHeight="1">
      <c r="A13631" t="inlineStr">
        <is>
          <t>A 44701-2025</t>
        </is>
      </c>
      <c r="B13631" s="1" t="n">
        <v>45917</v>
      </c>
      <c r="C13631" s="1" t="n">
        <v>45952</v>
      </c>
      <c r="D13631" t="inlineStr">
        <is>
          <t>VÄSTRA GÖTALANDS LÄN</t>
        </is>
      </c>
      <c r="E13631" t="inlineStr">
        <is>
          <t>BENGTSFORS</t>
        </is>
      </c>
      <c r="G13631" t="n">
        <v>3.2</v>
      </c>
      <c r="H13631" t="n">
        <v>0</v>
      </c>
      <c r="I13631" t="n">
        <v>0</v>
      </c>
      <c r="J13631" t="n">
        <v>0</v>
      </c>
      <c r="K13631" t="n">
        <v>0</v>
      </c>
      <c r="L13631" t="n">
        <v>0</v>
      </c>
      <c r="M13631" t="n">
        <v>0</v>
      </c>
      <c r="N13631" t="n">
        <v>0</v>
      </c>
      <c r="O13631" t="n">
        <v>0</v>
      </c>
      <c r="P13631" t="n">
        <v>0</v>
      </c>
      <c r="Q13631" t="n">
        <v>0</v>
      </c>
      <c r="R13631" s="2" t="inlineStr"/>
    </row>
    <row r="13632" ht="15" customHeight="1">
      <c r="A13632" t="inlineStr">
        <is>
          <t>A 37410-2025</t>
        </is>
      </c>
      <c r="B13632" s="1" t="n">
        <v>45877.4678125</v>
      </c>
      <c r="C13632" s="1" t="n">
        <v>45952</v>
      </c>
      <c r="D13632" t="inlineStr">
        <is>
          <t>VÄSTRA GÖTALANDS LÄN</t>
        </is>
      </c>
      <c r="E13632" t="inlineStr">
        <is>
          <t>SVENLJUNGA</t>
        </is>
      </c>
      <c r="G13632" t="n">
        <v>1.1</v>
      </c>
      <c r="H13632" t="n">
        <v>0</v>
      </c>
      <c r="I13632" t="n">
        <v>0</v>
      </c>
      <c r="J13632" t="n">
        <v>0</v>
      </c>
      <c r="K13632" t="n">
        <v>0</v>
      </c>
      <c r="L13632" t="n">
        <v>0</v>
      </c>
      <c r="M13632" t="n">
        <v>0</v>
      </c>
      <c r="N13632" t="n">
        <v>0</v>
      </c>
      <c r="O13632" t="n">
        <v>0</v>
      </c>
      <c r="P13632" t="n">
        <v>0</v>
      </c>
      <c r="Q13632" t="n">
        <v>0</v>
      </c>
      <c r="R13632" s="2" t="inlineStr"/>
    </row>
    <row r="13633" ht="15" customHeight="1">
      <c r="A13633" t="inlineStr">
        <is>
          <t>A 14981-2025</t>
        </is>
      </c>
      <c r="B13633" s="1" t="n">
        <v>45743.59576388889</v>
      </c>
      <c r="C13633" s="1" t="n">
        <v>45952</v>
      </c>
      <c r="D13633" t="inlineStr">
        <is>
          <t>VÄSTRA GÖTALANDS LÄN</t>
        </is>
      </c>
      <c r="E13633" t="inlineStr">
        <is>
          <t>STENUNGSUND</t>
        </is>
      </c>
      <c r="G13633" t="n">
        <v>4.8</v>
      </c>
      <c r="H13633" t="n">
        <v>0</v>
      </c>
      <c r="I13633" t="n">
        <v>0</v>
      </c>
      <c r="J13633" t="n">
        <v>0</v>
      </c>
      <c r="K13633" t="n">
        <v>0</v>
      </c>
      <c r="L13633" t="n">
        <v>0</v>
      </c>
      <c r="M13633" t="n">
        <v>0</v>
      </c>
      <c r="N13633" t="n">
        <v>0</v>
      </c>
      <c r="O13633" t="n">
        <v>0</v>
      </c>
      <c r="P13633" t="n">
        <v>0</v>
      </c>
      <c r="Q13633" t="n">
        <v>0</v>
      </c>
      <c r="R13633" s="2" t="inlineStr"/>
    </row>
    <row r="13634" ht="15" customHeight="1">
      <c r="A13634" t="inlineStr">
        <is>
          <t>A 37375-2025</t>
        </is>
      </c>
      <c r="B13634" s="1" t="n">
        <v>45877.3594212963</v>
      </c>
      <c r="C13634" s="1" t="n">
        <v>45952</v>
      </c>
      <c r="D13634" t="inlineStr">
        <is>
          <t>VÄSTRA GÖTALANDS LÄN</t>
        </is>
      </c>
      <c r="E13634" t="inlineStr">
        <is>
          <t>TRANEMO</t>
        </is>
      </c>
      <c r="G13634" t="n">
        <v>1.8</v>
      </c>
      <c r="H13634" t="n">
        <v>0</v>
      </c>
      <c r="I13634" t="n">
        <v>0</v>
      </c>
      <c r="J13634" t="n">
        <v>0</v>
      </c>
      <c r="K13634" t="n">
        <v>0</v>
      </c>
      <c r="L13634" t="n">
        <v>0</v>
      </c>
      <c r="M13634" t="n">
        <v>0</v>
      </c>
      <c r="N13634" t="n">
        <v>0</v>
      </c>
      <c r="O13634" t="n">
        <v>0</v>
      </c>
      <c r="P13634" t="n">
        <v>0</v>
      </c>
      <c r="Q13634" t="n">
        <v>0</v>
      </c>
      <c r="R13634" s="2" t="inlineStr"/>
    </row>
    <row r="13635" ht="15" customHeight="1">
      <c r="A13635" t="inlineStr">
        <is>
          <t>A 44991-2025</t>
        </is>
      </c>
      <c r="B13635" s="1" t="n">
        <v>45918.65642361111</v>
      </c>
      <c r="C13635" s="1" t="n">
        <v>45952</v>
      </c>
      <c r="D13635" t="inlineStr">
        <is>
          <t>VÄSTRA GÖTALANDS LÄN</t>
        </is>
      </c>
      <c r="E13635" t="inlineStr">
        <is>
          <t>SVENLJUNGA</t>
        </is>
      </c>
      <c r="G13635" t="n">
        <v>2.8</v>
      </c>
      <c r="H13635" t="n">
        <v>0</v>
      </c>
      <c r="I13635" t="n">
        <v>0</v>
      </c>
      <c r="J13635" t="n">
        <v>0</v>
      </c>
      <c r="K13635" t="n">
        <v>0</v>
      </c>
      <c r="L13635" t="n">
        <v>0</v>
      </c>
      <c r="M13635" t="n">
        <v>0</v>
      </c>
      <c r="N13635" t="n">
        <v>0</v>
      </c>
      <c r="O13635" t="n">
        <v>0</v>
      </c>
      <c r="P13635" t="n">
        <v>0</v>
      </c>
      <c r="Q13635" t="n">
        <v>0</v>
      </c>
      <c r="R13635" s="2" t="inlineStr"/>
    </row>
    <row r="13636" ht="15" customHeight="1">
      <c r="A13636" t="inlineStr">
        <is>
          <t>A 50532-2024</t>
        </is>
      </c>
      <c r="B13636" s="1" t="n">
        <v>45601.56552083333</v>
      </c>
      <c r="C13636" s="1" t="n">
        <v>45952</v>
      </c>
      <c r="D13636" t="inlineStr">
        <is>
          <t>VÄSTRA GÖTALANDS LÄN</t>
        </is>
      </c>
      <c r="E13636" t="inlineStr">
        <is>
          <t>ORUST</t>
        </is>
      </c>
      <c r="G13636" t="n">
        <v>1.8</v>
      </c>
      <c r="H13636" t="n">
        <v>0</v>
      </c>
      <c r="I13636" t="n">
        <v>0</v>
      </c>
      <c r="J13636" t="n">
        <v>0</v>
      </c>
      <c r="K13636" t="n">
        <v>0</v>
      </c>
      <c r="L13636" t="n">
        <v>0</v>
      </c>
      <c r="M13636" t="n">
        <v>0</v>
      </c>
      <c r="N13636" t="n">
        <v>0</v>
      </c>
      <c r="O13636" t="n">
        <v>0</v>
      </c>
      <c r="P13636" t="n">
        <v>0</v>
      </c>
      <c r="Q13636" t="n">
        <v>0</v>
      </c>
      <c r="R13636" s="2" t="inlineStr"/>
    </row>
    <row r="13637" ht="15" customHeight="1">
      <c r="A13637" t="inlineStr">
        <is>
          <t>A 29588-2024</t>
        </is>
      </c>
      <c r="B13637" s="1" t="n">
        <v>45484</v>
      </c>
      <c r="C13637" s="1" t="n">
        <v>45952</v>
      </c>
      <c r="D13637" t="inlineStr">
        <is>
          <t>VÄSTRA GÖTALANDS LÄN</t>
        </is>
      </c>
      <c r="E13637" t="inlineStr">
        <is>
          <t>MUNKEDAL</t>
        </is>
      </c>
      <c r="F13637" t="inlineStr">
        <is>
          <t>Övriga Aktiebolag</t>
        </is>
      </c>
      <c r="G13637" t="n">
        <v>1.5</v>
      </c>
      <c r="H13637" t="n">
        <v>0</v>
      </c>
      <c r="I13637" t="n">
        <v>0</v>
      </c>
      <c r="J13637" t="n">
        <v>0</v>
      </c>
      <c r="K13637" t="n">
        <v>0</v>
      </c>
      <c r="L13637" t="n">
        <v>0</v>
      </c>
      <c r="M13637" t="n">
        <v>0</v>
      </c>
      <c r="N13637" t="n">
        <v>0</v>
      </c>
      <c r="O13637" t="n">
        <v>0</v>
      </c>
      <c r="P13637" t="n">
        <v>0</v>
      </c>
      <c r="Q13637" t="n">
        <v>0</v>
      </c>
      <c r="R13637" s="2" t="inlineStr"/>
    </row>
    <row r="13638" ht="15" customHeight="1">
      <c r="A13638" t="inlineStr">
        <is>
          <t>A 8576-2025</t>
        </is>
      </c>
      <c r="B13638" s="1" t="n">
        <v>45709.6652662037</v>
      </c>
      <c r="C13638" s="1" t="n">
        <v>45952</v>
      </c>
      <c r="D13638" t="inlineStr">
        <is>
          <t>VÄSTRA GÖTALANDS LÄN</t>
        </is>
      </c>
      <c r="E13638" t="inlineStr">
        <is>
          <t>MUNKEDAL</t>
        </is>
      </c>
      <c r="G13638" t="n">
        <v>2.2</v>
      </c>
      <c r="H13638" t="n">
        <v>0</v>
      </c>
      <c r="I13638" t="n">
        <v>0</v>
      </c>
      <c r="J13638" t="n">
        <v>0</v>
      </c>
      <c r="K13638" t="n">
        <v>0</v>
      </c>
      <c r="L13638" t="n">
        <v>0</v>
      </c>
      <c r="M13638" t="n">
        <v>0</v>
      </c>
      <c r="N13638" t="n">
        <v>0</v>
      </c>
      <c r="O13638" t="n">
        <v>0</v>
      </c>
      <c r="P13638" t="n">
        <v>0</v>
      </c>
      <c r="Q13638" t="n">
        <v>0</v>
      </c>
      <c r="R13638" s="2" t="inlineStr"/>
    </row>
    <row r="13639" ht="15" customHeight="1">
      <c r="A13639" t="inlineStr">
        <is>
          <t>A 5269-2025</t>
        </is>
      </c>
      <c r="B13639" s="1" t="n">
        <v>45692.40488425926</v>
      </c>
      <c r="C13639" s="1" t="n">
        <v>45952</v>
      </c>
      <c r="D13639" t="inlineStr">
        <is>
          <t>VÄSTRA GÖTALANDS LÄN</t>
        </is>
      </c>
      <c r="E13639" t="inlineStr">
        <is>
          <t>SVENLJUNGA</t>
        </is>
      </c>
      <c r="F13639" t="inlineStr">
        <is>
          <t>Kyrkan</t>
        </is>
      </c>
      <c r="G13639" t="n">
        <v>0.1</v>
      </c>
      <c r="H13639" t="n">
        <v>0</v>
      </c>
      <c r="I13639" t="n">
        <v>0</v>
      </c>
      <c r="J13639" t="n">
        <v>0</v>
      </c>
      <c r="K13639" t="n">
        <v>0</v>
      </c>
      <c r="L13639" t="n">
        <v>0</v>
      </c>
      <c r="M13639" t="n">
        <v>0</v>
      </c>
      <c r="N13639" t="n">
        <v>0</v>
      </c>
      <c r="O13639" t="n">
        <v>0</v>
      </c>
      <c r="P13639" t="n">
        <v>0</v>
      </c>
      <c r="Q13639" t="n">
        <v>0</v>
      </c>
      <c r="R13639" s="2" t="inlineStr"/>
    </row>
    <row r="13640" ht="15" customHeight="1">
      <c r="A13640" t="inlineStr">
        <is>
          <t>A 8892-2022</t>
        </is>
      </c>
      <c r="B13640" s="1" t="n">
        <v>44614</v>
      </c>
      <c r="C13640" s="1" t="n">
        <v>45952</v>
      </c>
      <c r="D13640" t="inlineStr">
        <is>
          <t>VÄSTRA GÖTALANDS LÄN</t>
        </is>
      </c>
      <c r="E13640" t="inlineStr">
        <is>
          <t>DALS-ED</t>
        </is>
      </c>
      <c r="G13640" t="n">
        <v>0.2</v>
      </c>
      <c r="H13640" t="n">
        <v>0</v>
      </c>
      <c r="I13640" t="n">
        <v>0</v>
      </c>
      <c r="J13640" t="n">
        <v>0</v>
      </c>
      <c r="K13640" t="n">
        <v>0</v>
      </c>
      <c r="L13640" t="n">
        <v>0</v>
      </c>
      <c r="M13640" t="n">
        <v>0</v>
      </c>
      <c r="N13640" t="n">
        <v>0</v>
      </c>
      <c r="O13640" t="n">
        <v>0</v>
      </c>
      <c r="P13640" t="n">
        <v>0</v>
      </c>
      <c r="Q13640" t="n">
        <v>0</v>
      </c>
      <c r="R13640" s="2" t="inlineStr"/>
    </row>
    <row r="13641" ht="15" customHeight="1">
      <c r="A13641" t="inlineStr">
        <is>
          <t>A 17486-2025</t>
        </is>
      </c>
      <c r="B13641" s="1" t="n">
        <v>45757.50133101852</v>
      </c>
      <c r="C13641" s="1" t="n">
        <v>45952</v>
      </c>
      <c r="D13641" t="inlineStr">
        <is>
          <t>VÄSTRA GÖTALANDS LÄN</t>
        </is>
      </c>
      <c r="E13641" t="inlineStr">
        <is>
          <t>FÄRGELANDA</t>
        </is>
      </c>
      <c r="G13641" t="n">
        <v>4.2</v>
      </c>
      <c r="H13641" t="n">
        <v>0</v>
      </c>
      <c r="I13641" t="n">
        <v>0</v>
      </c>
      <c r="J13641" t="n">
        <v>0</v>
      </c>
      <c r="K13641" t="n">
        <v>0</v>
      </c>
      <c r="L13641" t="n">
        <v>0</v>
      </c>
      <c r="M13641" t="n">
        <v>0</v>
      </c>
      <c r="N13641" t="n">
        <v>0</v>
      </c>
      <c r="O13641" t="n">
        <v>0</v>
      </c>
      <c r="P13641" t="n">
        <v>0</v>
      </c>
      <c r="Q13641" t="n">
        <v>0</v>
      </c>
      <c r="R13641" s="2" t="inlineStr"/>
    </row>
    <row r="13642" ht="15" customHeight="1">
      <c r="A13642" t="inlineStr">
        <is>
          <t>A 61904-2022</t>
        </is>
      </c>
      <c r="B13642" s="1" t="n">
        <v>44917.73387731481</v>
      </c>
      <c r="C13642" s="1" t="n">
        <v>45952</v>
      </c>
      <c r="D13642" t="inlineStr">
        <is>
          <t>VÄSTRA GÖTALANDS LÄN</t>
        </is>
      </c>
      <c r="E13642" t="inlineStr">
        <is>
          <t>VÅRGÅRDA</t>
        </is>
      </c>
      <c r="F13642" t="inlineStr">
        <is>
          <t>Kyrkan</t>
        </is>
      </c>
      <c r="G13642" t="n">
        <v>4.3</v>
      </c>
      <c r="H13642" t="n">
        <v>0</v>
      </c>
      <c r="I13642" t="n">
        <v>0</v>
      </c>
      <c r="J13642" t="n">
        <v>0</v>
      </c>
      <c r="K13642" t="n">
        <v>0</v>
      </c>
      <c r="L13642" t="n">
        <v>0</v>
      </c>
      <c r="M13642" t="n">
        <v>0</v>
      </c>
      <c r="N13642" t="n">
        <v>0</v>
      </c>
      <c r="O13642" t="n">
        <v>0</v>
      </c>
      <c r="P13642" t="n">
        <v>0</v>
      </c>
      <c r="Q13642" t="n">
        <v>0</v>
      </c>
      <c r="R13642" s="2" t="inlineStr"/>
    </row>
    <row r="13643" ht="15" customHeight="1">
      <c r="A13643" t="inlineStr">
        <is>
          <t>A 61907-2022</t>
        </is>
      </c>
      <c r="B13643" s="1" t="n">
        <v>44917.73603009259</v>
      </c>
      <c r="C13643" s="1" t="n">
        <v>45952</v>
      </c>
      <c r="D13643" t="inlineStr">
        <is>
          <t>VÄSTRA GÖTALANDS LÄN</t>
        </is>
      </c>
      <c r="E13643" t="inlineStr">
        <is>
          <t>VÅRGÅRDA</t>
        </is>
      </c>
      <c r="F13643" t="inlineStr">
        <is>
          <t>Kyrkan</t>
        </is>
      </c>
      <c r="G13643" t="n">
        <v>3.2</v>
      </c>
      <c r="H13643" t="n">
        <v>0</v>
      </c>
      <c r="I13643" t="n">
        <v>0</v>
      </c>
      <c r="J13643" t="n">
        <v>0</v>
      </c>
      <c r="K13643" t="n">
        <v>0</v>
      </c>
      <c r="L13643" t="n">
        <v>0</v>
      </c>
      <c r="M13643" t="n">
        <v>0</v>
      </c>
      <c r="N13643" t="n">
        <v>0</v>
      </c>
      <c r="O13643" t="n">
        <v>0</v>
      </c>
      <c r="P13643" t="n">
        <v>0</v>
      </c>
      <c r="Q13643" t="n">
        <v>0</v>
      </c>
      <c r="R13643" s="2" t="inlineStr"/>
    </row>
    <row r="13644" ht="15" customHeight="1">
      <c r="A13644" t="inlineStr">
        <is>
          <t>A 61914-2022</t>
        </is>
      </c>
      <c r="B13644" s="1" t="n">
        <v>44917.75925925926</v>
      </c>
      <c r="C13644" s="1" t="n">
        <v>45952</v>
      </c>
      <c r="D13644" t="inlineStr">
        <is>
          <t>VÄSTRA GÖTALANDS LÄN</t>
        </is>
      </c>
      <c r="E13644" t="inlineStr">
        <is>
          <t>FÄRGELANDA</t>
        </is>
      </c>
      <c r="G13644" t="n">
        <v>7.4</v>
      </c>
      <c r="H13644" t="n">
        <v>0</v>
      </c>
      <c r="I13644" t="n">
        <v>0</v>
      </c>
      <c r="J13644" t="n">
        <v>0</v>
      </c>
      <c r="K13644" t="n">
        <v>0</v>
      </c>
      <c r="L13644" t="n">
        <v>0</v>
      </c>
      <c r="M13644" t="n">
        <v>0</v>
      </c>
      <c r="N13644" t="n">
        <v>0</v>
      </c>
      <c r="O13644" t="n">
        <v>0</v>
      </c>
      <c r="P13644" t="n">
        <v>0</v>
      </c>
      <c r="Q13644" t="n">
        <v>0</v>
      </c>
      <c r="R13644" s="2" t="inlineStr"/>
    </row>
    <row r="13645" ht="15" customHeight="1">
      <c r="A13645" t="inlineStr">
        <is>
          <t>A 12113-2024</t>
        </is>
      </c>
      <c r="B13645" s="1" t="n">
        <v>45377.60664351852</v>
      </c>
      <c r="C13645" s="1" t="n">
        <v>45952</v>
      </c>
      <c r="D13645" t="inlineStr">
        <is>
          <t>VÄSTRA GÖTALANDS LÄN</t>
        </is>
      </c>
      <c r="E13645" t="inlineStr">
        <is>
          <t>TRANEMO</t>
        </is>
      </c>
      <c r="G13645" t="n">
        <v>1.3</v>
      </c>
      <c r="H13645" t="n">
        <v>0</v>
      </c>
      <c r="I13645" t="n">
        <v>0</v>
      </c>
      <c r="J13645" t="n">
        <v>0</v>
      </c>
      <c r="K13645" t="n">
        <v>0</v>
      </c>
      <c r="L13645" t="n">
        <v>0</v>
      </c>
      <c r="M13645" t="n">
        <v>0</v>
      </c>
      <c r="N13645" t="n">
        <v>0</v>
      </c>
      <c r="O13645" t="n">
        <v>0</v>
      </c>
      <c r="P13645" t="n">
        <v>0</v>
      </c>
      <c r="Q13645" t="n">
        <v>0</v>
      </c>
      <c r="R13645" s="2" t="inlineStr"/>
    </row>
    <row r="13646" ht="15" customHeight="1">
      <c r="A13646" t="inlineStr">
        <is>
          <t>A 14185-2025</t>
        </is>
      </c>
      <c r="B13646" s="1" t="n">
        <v>45740.54445601852</v>
      </c>
      <c r="C13646" s="1" t="n">
        <v>45952</v>
      </c>
      <c r="D13646" t="inlineStr">
        <is>
          <t>VÄSTRA GÖTALANDS LÄN</t>
        </is>
      </c>
      <c r="E13646" t="inlineStr">
        <is>
          <t>MUNKEDAL</t>
        </is>
      </c>
      <c r="G13646" t="n">
        <v>10</v>
      </c>
      <c r="H13646" t="n">
        <v>0</v>
      </c>
      <c r="I13646" t="n">
        <v>0</v>
      </c>
      <c r="J13646" t="n">
        <v>0</v>
      </c>
      <c r="K13646" t="n">
        <v>0</v>
      </c>
      <c r="L13646" t="n">
        <v>0</v>
      </c>
      <c r="M13646" t="n">
        <v>0</v>
      </c>
      <c r="N13646" t="n">
        <v>0</v>
      </c>
      <c r="O13646" t="n">
        <v>0</v>
      </c>
      <c r="P13646" t="n">
        <v>0</v>
      </c>
      <c r="Q13646" t="n">
        <v>0</v>
      </c>
      <c r="R13646" s="2" t="inlineStr"/>
    </row>
    <row r="13647" ht="15" customHeight="1">
      <c r="A13647" t="inlineStr">
        <is>
          <t>A 44319-2025</t>
        </is>
      </c>
      <c r="B13647" s="1" t="n">
        <v>45916</v>
      </c>
      <c r="C13647" s="1" t="n">
        <v>45952</v>
      </c>
      <c r="D13647" t="inlineStr">
        <is>
          <t>VÄSTRA GÖTALANDS LÄN</t>
        </is>
      </c>
      <c r="E13647" t="inlineStr">
        <is>
          <t>STRÖMSTAD</t>
        </is>
      </c>
      <c r="G13647" t="n">
        <v>1</v>
      </c>
      <c r="H13647" t="n">
        <v>0</v>
      </c>
      <c r="I13647" t="n">
        <v>0</v>
      </c>
      <c r="J13647" t="n">
        <v>0</v>
      </c>
      <c r="K13647" t="n">
        <v>0</v>
      </c>
      <c r="L13647" t="n">
        <v>0</v>
      </c>
      <c r="M13647" t="n">
        <v>0</v>
      </c>
      <c r="N13647" t="n">
        <v>0</v>
      </c>
      <c r="O13647" t="n">
        <v>0</v>
      </c>
      <c r="P13647" t="n">
        <v>0</v>
      </c>
      <c r="Q13647" t="n">
        <v>0</v>
      </c>
      <c r="R13647" s="2" t="inlineStr"/>
    </row>
    <row r="13648" ht="15" customHeight="1">
      <c r="A13648" t="inlineStr">
        <is>
          <t>A 3391-2024</t>
        </is>
      </c>
      <c r="B13648" s="1" t="n">
        <v>45318</v>
      </c>
      <c r="C13648" s="1" t="n">
        <v>45952</v>
      </c>
      <c r="D13648" t="inlineStr">
        <is>
          <t>VÄSTRA GÖTALANDS LÄN</t>
        </is>
      </c>
      <c r="E13648" t="inlineStr">
        <is>
          <t>STRÖMSTAD</t>
        </is>
      </c>
      <c r="F13648" t="inlineStr">
        <is>
          <t>Kommuner</t>
        </is>
      </c>
      <c r="G13648" t="n">
        <v>1.8</v>
      </c>
      <c r="H13648" t="n">
        <v>0</v>
      </c>
      <c r="I13648" t="n">
        <v>0</v>
      </c>
      <c r="J13648" t="n">
        <v>0</v>
      </c>
      <c r="K13648" t="n">
        <v>0</v>
      </c>
      <c r="L13648" t="n">
        <v>0</v>
      </c>
      <c r="M13648" t="n">
        <v>0</v>
      </c>
      <c r="N13648" t="n">
        <v>0</v>
      </c>
      <c r="O13648" t="n">
        <v>0</v>
      </c>
      <c r="P13648" t="n">
        <v>0</v>
      </c>
      <c r="Q13648" t="n">
        <v>0</v>
      </c>
      <c r="R13648" s="2" t="inlineStr"/>
    </row>
    <row r="13649" ht="15" customHeight="1">
      <c r="A13649" t="inlineStr">
        <is>
          <t>A 45009-2025</t>
        </is>
      </c>
      <c r="B13649" s="1" t="n">
        <v>45918.67119212963</v>
      </c>
      <c r="C13649" s="1" t="n">
        <v>45952</v>
      </c>
      <c r="D13649" t="inlineStr">
        <is>
          <t>VÄSTRA GÖTALANDS LÄN</t>
        </is>
      </c>
      <c r="E13649" t="inlineStr">
        <is>
          <t>GÖTENE</t>
        </is>
      </c>
      <c r="G13649" t="n">
        <v>1.9</v>
      </c>
      <c r="H13649" t="n">
        <v>0</v>
      </c>
      <c r="I13649" t="n">
        <v>0</v>
      </c>
      <c r="J13649" t="n">
        <v>0</v>
      </c>
      <c r="K13649" t="n">
        <v>0</v>
      </c>
      <c r="L13649" t="n">
        <v>0</v>
      </c>
      <c r="M13649" t="n">
        <v>0</v>
      </c>
      <c r="N13649" t="n">
        <v>0</v>
      </c>
      <c r="O13649" t="n">
        <v>0</v>
      </c>
      <c r="P13649" t="n">
        <v>0</v>
      </c>
      <c r="Q13649" t="n">
        <v>0</v>
      </c>
      <c r="R13649" s="2" t="inlineStr"/>
    </row>
    <row r="13650" ht="15" customHeight="1">
      <c r="A13650" t="inlineStr">
        <is>
          <t>A 43398-2024</t>
        </is>
      </c>
      <c r="B13650" s="1" t="n">
        <v>45568.61006944445</v>
      </c>
      <c r="C13650" s="1" t="n">
        <v>45952</v>
      </c>
      <c r="D13650" t="inlineStr">
        <is>
          <t>VÄSTRA GÖTALANDS LÄN</t>
        </is>
      </c>
      <c r="E13650" t="inlineStr">
        <is>
          <t>BOLLEBYGD</t>
        </is>
      </c>
      <c r="G13650" t="n">
        <v>1.7</v>
      </c>
      <c r="H13650" t="n">
        <v>0</v>
      </c>
      <c r="I13650" t="n">
        <v>0</v>
      </c>
      <c r="J13650" t="n">
        <v>0</v>
      </c>
      <c r="K13650" t="n">
        <v>0</v>
      </c>
      <c r="L13650" t="n">
        <v>0</v>
      </c>
      <c r="M13650" t="n">
        <v>0</v>
      </c>
      <c r="N13650" t="n">
        <v>0</v>
      </c>
      <c r="O13650" t="n">
        <v>0</v>
      </c>
      <c r="P13650" t="n">
        <v>0</v>
      </c>
      <c r="Q13650" t="n">
        <v>0</v>
      </c>
      <c r="R13650" s="2" t="inlineStr"/>
    </row>
    <row r="13651" ht="15" customHeight="1">
      <c r="A13651" t="inlineStr">
        <is>
          <t>A 45004-2025</t>
        </is>
      </c>
      <c r="B13651" s="1" t="n">
        <v>45918.66608796296</v>
      </c>
      <c r="C13651" s="1" t="n">
        <v>45952</v>
      </c>
      <c r="D13651" t="inlineStr">
        <is>
          <t>VÄSTRA GÖTALANDS LÄN</t>
        </is>
      </c>
      <c r="E13651" t="inlineStr">
        <is>
          <t>HERRLJUNGA</t>
        </is>
      </c>
      <c r="G13651" t="n">
        <v>0.7</v>
      </c>
      <c r="H13651" t="n">
        <v>0</v>
      </c>
      <c r="I13651" t="n">
        <v>0</v>
      </c>
      <c r="J13651" t="n">
        <v>0</v>
      </c>
      <c r="K13651" t="n">
        <v>0</v>
      </c>
      <c r="L13651" t="n">
        <v>0</v>
      </c>
      <c r="M13651" t="n">
        <v>0</v>
      </c>
      <c r="N13651" t="n">
        <v>0</v>
      </c>
      <c r="O13651" t="n">
        <v>0</v>
      </c>
      <c r="P13651" t="n">
        <v>0</v>
      </c>
      <c r="Q13651" t="n">
        <v>0</v>
      </c>
      <c r="R13651" s="2" t="inlineStr"/>
    </row>
    <row r="13652" ht="15" customHeight="1">
      <c r="A13652" t="inlineStr">
        <is>
          <t>A 45005-2025</t>
        </is>
      </c>
      <c r="B13652" s="1" t="n">
        <v>45918.66677083333</v>
      </c>
      <c r="C13652" s="1" t="n">
        <v>45952</v>
      </c>
      <c r="D13652" t="inlineStr">
        <is>
          <t>VÄSTRA GÖTALANDS LÄN</t>
        </is>
      </c>
      <c r="E13652" t="inlineStr">
        <is>
          <t>SVENLJUNGA</t>
        </is>
      </c>
      <c r="G13652" t="n">
        <v>1.3</v>
      </c>
      <c r="H13652" t="n">
        <v>0</v>
      </c>
      <c r="I13652" t="n">
        <v>0</v>
      </c>
      <c r="J13652" t="n">
        <v>0</v>
      </c>
      <c r="K13652" t="n">
        <v>0</v>
      </c>
      <c r="L13652" t="n">
        <v>0</v>
      </c>
      <c r="M13652" t="n">
        <v>0</v>
      </c>
      <c r="N13652" t="n">
        <v>0</v>
      </c>
      <c r="O13652" t="n">
        <v>0</v>
      </c>
      <c r="P13652" t="n">
        <v>0</v>
      </c>
      <c r="Q13652" t="n">
        <v>0</v>
      </c>
      <c r="R13652" s="2" t="inlineStr"/>
    </row>
    <row r="13653" ht="15" customHeight="1">
      <c r="A13653" t="inlineStr">
        <is>
          <t>A 45019-2025</t>
        </is>
      </c>
      <c r="B13653" s="1" t="n">
        <v>45918.67821759259</v>
      </c>
      <c r="C13653" s="1" t="n">
        <v>45952</v>
      </c>
      <c r="D13653" t="inlineStr">
        <is>
          <t>VÄSTRA GÖTALANDS LÄN</t>
        </is>
      </c>
      <c r="E13653" t="inlineStr">
        <is>
          <t>ÅMÅL</t>
        </is>
      </c>
      <c r="G13653" t="n">
        <v>1.9</v>
      </c>
      <c r="H13653" t="n">
        <v>0</v>
      </c>
      <c r="I13653" t="n">
        <v>0</v>
      </c>
      <c r="J13653" t="n">
        <v>0</v>
      </c>
      <c r="K13653" t="n">
        <v>0</v>
      </c>
      <c r="L13653" t="n">
        <v>0</v>
      </c>
      <c r="M13653" t="n">
        <v>0</v>
      </c>
      <c r="N13653" t="n">
        <v>0</v>
      </c>
      <c r="O13653" t="n">
        <v>0</v>
      </c>
      <c r="P13653" t="n">
        <v>0</v>
      </c>
      <c r="Q13653" t="n">
        <v>0</v>
      </c>
      <c r="R13653" s="2" t="inlineStr"/>
    </row>
    <row r="13654" ht="15" customHeight="1">
      <c r="A13654" t="inlineStr">
        <is>
          <t>A 59250-2020</t>
        </is>
      </c>
      <c r="B13654" s="1" t="n">
        <v>44147</v>
      </c>
      <c r="C13654" s="1" t="n">
        <v>45952</v>
      </c>
      <c r="D13654" t="inlineStr">
        <is>
          <t>VÄSTRA GÖTALANDS LÄN</t>
        </is>
      </c>
      <c r="E13654" t="inlineStr">
        <is>
          <t>ULRICEHAMN</t>
        </is>
      </c>
      <c r="G13654" t="n">
        <v>0.7</v>
      </c>
      <c r="H13654" t="n">
        <v>0</v>
      </c>
      <c r="I13654" t="n">
        <v>0</v>
      </c>
      <c r="J13654" t="n">
        <v>0</v>
      </c>
      <c r="K13654" t="n">
        <v>0</v>
      </c>
      <c r="L13654" t="n">
        <v>0</v>
      </c>
      <c r="M13654" t="n">
        <v>0</v>
      </c>
      <c r="N13654" t="n">
        <v>0</v>
      </c>
      <c r="O13654" t="n">
        <v>0</v>
      </c>
      <c r="P13654" t="n">
        <v>0</v>
      </c>
      <c r="Q13654" t="n">
        <v>0</v>
      </c>
      <c r="R13654" s="2" t="inlineStr"/>
    </row>
    <row r="13655" ht="15" customHeight="1">
      <c r="A13655" t="inlineStr">
        <is>
          <t>A 3125-2021</t>
        </is>
      </c>
      <c r="B13655" s="1" t="n">
        <v>44217</v>
      </c>
      <c r="C13655" s="1" t="n">
        <v>45952</v>
      </c>
      <c r="D13655" t="inlineStr">
        <is>
          <t>VÄSTRA GÖTALANDS LÄN</t>
        </is>
      </c>
      <c r="E13655" t="inlineStr">
        <is>
          <t>UDDEVALLA</t>
        </is>
      </c>
      <c r="G13655" t="n">
        <v>2</v>
      </c>
      <c r="H13655" t="n">
        <v>0</v>
      </c>
      <c r="I13655" t="n">
        <v>0</v>
      </c>
      <c r="J13655" t="n">
        <v>0</v>
      </c>
      <c r="K13655" t="n">
        <v>0</v>
      </c>
      <c r="L13655" t="n">
        <v>0</v>
      </c>
      <c r="M13655" t="n">
        <v>0</v>
      </c>
      <c r="N13655" t="n">
        <v>0</v>
      </c>
      <c r="O13655" t="n">
        <v>0</v>
      </c>
      <c r="P13655" t="n">
        <v>0</v>
      </c>
      <c r="Q13655" t="n">
        <v>0</v>
      </c>
      <c r="R13655" s="2" t="inlineStr"/>
    </row>
    <row r="13656" ht="15" customHeight="1">
      <c r="A13656" t="inlineStr">
        <is>
          <t>A 2701-2024</t>
        </is>
      </c>
      <c r="B13656" s="1" t="n">
        <v>45314.46743055555</v>
      </c>
      <c r="C13656" s="1" t="n">
        <v>45952</v>
      </c>
      <c r="D13656" t="inlineStr">
        <is>
          <t>VÄSTRA GÖTALANDS LÄN</t>
        </is>
      </c>
      <c r="E13656" t="inlineStr">
        <is>
          <t>SKARA</t>
        </is>
      </c>
      <c r="G13656" t="n">
        <v>0.4</v>
      </c>
      <c r="H13656" t="n">
        <v>0</v>
      </c>
      <c r="I13656" t="n">
        <v>0</v>
      </c>
      <c r="J13656" t="n">
        <v>0</v>
      </c>
      <c r="K13656" t="n">
        <v>0</v>
      </c>
      <c r="L13656" t="n">
        <v>0</v>
      </c>
      <c r="M13656" t="n">
        <v>0</v>
      </c>
      <c r="N13656" t="n">
        <v>0</v>
      </c>
      <c r="O13656" t="n">
        <v>0</v>
      </c>
      <c r="P13656" t="n">
        <v>0</v>
      </c>
      <c r="Q13656" t="n">
        <v>0</v>
      </c>
      <c r="R13656" s="2" t="inlineStr"/>
    </row>
    <row r="13657" ht="15" customHeight="1">
      <c r="A13657" t="inlineStr">
        <is>
          <t>A 37374-2025</t>
        </is>
      </c>
      <c r="B13657" s="1" t="n">
        <v>45877.35587962963</v>
      </c>
      <c r="C13657" s="1" t="n">
        <v>45952</v>
      </c>
      <c r="D13657" t="inlineStr">
        <is>
          <t>VÄSTRA GÖTALANDS LÄN</t>
        </is>
      </c>
      <c r="E13657" t="inlineStr">
        <is>
          <t>TRANEMO</t>
        </is>
      </c>
      <c r="G13657" t="n">
        <v>5.1</v>
      </c>
      <c r="H13657" t="n">
        <v>0</v>
      </c>
      <c r="I13657" t="n">
        <v>0</v>
      </c>
      <c r="J13657" t="n">
        <v>0</v>
      </c>
      <c r="K13657" t="n">
        <v>0</v>
      </c>
      <c r="L13657" t="n">
        <v>0</v>
      </c>
      <c r="M13657" t="n">
        <v>0</v>
      </c>
      <c r="N13657" t="n">
        <v>0</v>
      </c>
      <c r="O13657" t="n">
        <v>0</v>
      </c>
      <c r="P13657" t="n">
        <v>0</v>
      </c>
      <c r="Q13657" t="n">
        <v>0</v>
      </c>
      <c r="R13657" s="2" t="inlineStr"/>
    </row>
    <row r="13658" ht="15" customHeight="1">
      <c r="A13658" t="inlineStr">
        <is>
          <t>A 37398-2025</t>
        </is>
      </c>
      <c r="B13658" s="1" t="n">
        <v>45877</v>
      </c>
      <c r="C13658" s="1" t="n">
        <v>45952</v>
      </c>
      <c r="D13658" t="inlineStr">
        <is>
          <t>VÄSTRA GÖTALANDS LÄN</t>
        </is>
      </c>
      <c r="E13658" t="inlineStr">
        <is>
          <t>VARA</t>
        </is>
      </c>
      <c r="G13658" t="n">
        <v>5.7</v>
      </c>
      <c r="H13658" t="n">
        <v>0</v>
      </c>
      <c r="I13658" t="n">
        <v>0</v>
      </c>
      <c r="J13658" t="n">
        <v>0</v>
      </c>
      <c r="K13658" t="n">
        <v>0</v>
      </c>
      <c r="L13658" t="n">
        <v>0</v>
      </c>
      <c r="M13658" t="n">
        <v>0</v>
      </c>
      <c r="N13658" t="n">
        <v>0</v>
      </c>
      <c r="O13658" t="n">
        <v>0</v>
      </c>
      <c r="P13658" t="n">
        <v>0</v>
      </c>
      <c r="Q13658" t="n">
        <v>0</v>
      </c>
      <c r="R13658" s="2" t="inlineStr"/>
    </row>
    <row r="13659" ht="15" customHeight="1">
      <c r="A13659" t="inlineStr">
        <is>
          <t>A 11902-2023</t>
        </is>
      </c>
      <c r="B13659" s="1" t="n">
        <v>44995</v>
      </c>
      <c r="C13659" s="1" t="n">
        <v>45952</v>
      </c>
      <c r="D13659" t="inlineStr">
        <is>
          <t>VÄSTRA GÖTALANDS LÄN</t>
        </is>
      </c>
      <c r="E13659" t="inlineStr">
        <is>
          <t>SKARA</t>
        </is>
      </c>
      <c r="G13659" t="n">
        <v>13.5</v>
      </c>
      <c r="H13659" t="n">
        <v>0</v>
      </c>
      <c r="I13659" t="n">
        <v>0</v>
      </c>
      <c r="J13659" t="n">
        <v>0</v>
      </c>
      <c r="K13659" t="n">
        <v>0</v>
      </c>
      <c r="L13659" t="n">
        <v>0</v>
      </c>
      <c r="M13659" t="n">
        <v>0</v>
      </c>
      <c r="N13659" t="n">
        <v>0</v>
      </c>
      <c r="O13659" t="n">
        <v>0</v>
      </c>
      <c r="P13659" t="n">
        <v>0</v>
      </c>
      <c r="Q13659" t="n">
        <v>0</v>
      </c>
      <c r="R13659" s="2" t="inlineStr"/>
    </row>
    <row r="13660" ht="15" customHeight="1">
      <c r="A13660" t="inlineStr">
        <is>
          <t>A 11903-2023</t>
        </is>
      </c>
      <c r="B13660" s="1" t="n">
        <v>44995</v>
      </c>
      <c r="C13660" s="1" t="n">
        <v>45952</v>
      </c>
      <c r="D13660" t="inlineStr">
        <is>
          <t>VÄSTRA GÖTALANDS LÄN</t>
        </is>
      </c>
      <c r="E13660" t="inlineStr">
        <is>
          <t>BORÅS</t>
        </is>
      </c>
      <c r="G13660" t="n">
        <v>1.9</v>
      </c>
      <c r="H13660" t="n">
        <v>0</v>
      </c>
      <c r="I13660" t="n">
        <v>0</v>
      </c>
      <c r="J13660" t="n">
        <v>0</v>
      </c>
      <c r="K13660" t="n">
        <v>0</v>
      </c>
      <c r="L13660" t="n">
        <v>0</v>
      </c>
      <c r="M13660" t="n">
        <v>0</v>
      </c>
      <c r="N13660" t="n">
        <v>0</v>
      </c>
      <c r="O13660" t="n">
        <v>0</v>
      </c>
      <c r="P13660" t="n">
        <v>0</v>
      </c>
      <c r="Q13660" t="n">
        <v>0</v>
      </c>
      <c r="R13660" s="2" t="inlineStr"/>
    </row>
    <row r="13661" ht="15" customHeight="1">
      <c r="A13661" t="inlineStr">
        <is>
          <t>A 37255-2025</t>
        </is>
      </c>
      <c r="B13661" s="1" t="n">
        <v>45876.43549768518</v>
      </c>
      <c r="C13661" s="1" t="n">
        <v>45952</v>
      </c>
      <c r="D13661" t="inlineStr">
        <is>
          <t>VÄSTRA GÖTALANDS LÄN</t>
        </is>
      </c>
      <c r="E13661" t="inlineStr">
        <is>
          <t>HERRLJUNGA</t>
        </is>
      </c>
      <c r="G13661" t="n">
        <v>0.9</v>
      </c>
      <c r="H13661" t="n">
        <v>0</v>
      </c>
      <c r="I13661" t="n">
        <v>0</v>
      </c>
      <c r="J13661" t="n">
        <v>0</v>
      </c>
      <c r="K13661" t="n">
        <v>0</v>
      </c>
      <c r="L13661" t="n">
        <v>0</v>
      </c>
      <c r="M13661" t="n">
        <v>0</v>
      </c>
      <c r="N13661" t="n">
        <v>0</v>
      </c>
      <c r="O13661" t="n">
        <v>0</v>
      </c>
      <c r="P13661" t="n">
        <v>0</v>
      </c>
      <c r="Q13661" t="n">
        <v>0</v>
      </c>
      <c r="R13661" s="2" t="inlineStr"/>
    </row>
    <row r="13662" ht="15" customHeight="1">
      <c r="A13662" t="inlineStr">
        <is>
          <t>A 44926-2025</t>
        </is>
      </c>
      <c r="B13662" s="1" t="n">
        <v>45918.55856481481</v>
      </c>
      <c r="C13662" s="1" t="n">
        <v>45952</v>
      </c>
      <c r="D13662" t="inlineStr">
        <is>
          <t>VÄSTRA GÖTALANDS LÄN</t>
        </is>
      </c>
      <c r="E13662" t="inlineStr">
        <is>
          <t>MÖLNDAL</t>
        </is>
      </c>
      <c r="G13662" t="n">
        <v>3.8</v>
      </c>
      <c r="H13662" t="n">
        <v>0</v>
      </c>
      <c r="I13662" t="n">
        <v>0</v>
      </c>
      <c r="J13662" t="n">
        <v>0</v>
      </c>
      <c r="K13662" t="n">
        <v>0</v>
      </c>
      <c r="L13662" t="n">
        <v>0</v>
      </c>
      <c r="M13662" t="n">
        <v>0</v>
      </c>
      <c r="N13662" t="n">
        <v>0</v>
      </c>
      <c r="O13662" t="n">
        <v>0</v>
      </c>
      <c r="P13662" t="n">
        <v>0</v>
      </c>
      <c r="Q13662" t="n">
        <v>0</v>
      </c>
      <c r="R13662" s="2" t="inlineStr"/>
    </row>
    <row r="13663" ht="15" customHeight="1">
      <c r="A13663" t="inlineStr">
        <is>
          <t>A 29840-2024</t>
        </is>
      </c>
      <c r="B13663" s="1" t="n">
        <v>45485.59770833333</v>
      </c>
      <c r="C13663" s="1" t="n">
        <v>45952</v>
      </c>
      <c r="D13663" t="inlineStr">
        <is>
          <t>VÄSTRA GÖTALANDS LÄN</t>
        </is>
      </c>
      <c r="E13663" t="inlineStr">
        <is>
          <t>TIDAHOLM</t>
        </is>
      </c>
      <c r="G13663" t="n">
        <v>1.1</v>
      </c>
      <c r="H13663" t="n">
        <v>0</v>
      </c>
      <c r="I13663" t="n">
        <v>0</v>
      </c>
      <c r="J13663" t="n">
        <v>0</v>
      </c>
      <c r="K13663" t="n">
        <v>0</v>
      </c>
      <c r="L13663" t="n">
        <v>0</v>
      </c>
      <c r="M13663" t="n">
        <v>0</v>
      </c>
      <c r="N13663" t="n">
        <v>0</v>
      </c>
      <c r="O13663" t="n">
        <v>0</v>
      </c>
      <c r="P13663" t="n">
        <v>0</v>
      </c>
      <c r="Q13663" t="n">
        <v>0</v>
      </c>
      <c r="R13663" s="2" t="inlineStr"/>
    </row>
    <row r="13664" ht="15" customHeight="1">
      <c r="A13664" t="inlineStr">
        <is>
          <t>A 6570-2022</t>
        </is>
      </c>
      <c r="B13664" s="1" t="n">
        <v>44601.60956018518</v>
      </c>
      <c r="C13664" s="1" t="n">
        <v>45952</v>
      </c>
      <c r="D13664" t="inlineStr">
        <is>
          <t>VÄSTRA GÖTALANDS LÄN</t>
        </is>
      </c>
      <c r="E13664" t="inlineStr">
        <is>
          <t>DALS-ED</t>
        </is>
      </c>
      <c r="G13664" t="n">
        <v>2.9</v>
      </c>
      <c r="H13664" t="n">
        <v>0</v>
      </c>
      <c r="I13664" t="n">
        <v>0</v>
      </c>
      <c r="J13664" t="n">
        <v>0</v>
      </c>
      <c r="K13664" t="n">
        <v>0</v>
      </c>
      <c r="L13664" t="n">
        <v>0</v>
      </c>
      <c r="M13664" t="n">
        <v>0</v>
      </c>
      <c r="N13664" t="n">
        <v>0</v>
      </c>
      <c r="O13664" t="n">
        <v>0</v>
      </c>
      <c r="P13664" t="n">
        <v>0</v>
      </c>
      <c r="Q13664" t="n">
        <v>0</v>
      </c>
      <c r="R13664" s="2" t="inlineStr"/>
    </row>
    <row r="13665" ht="15" customHeight="1">
      <c r="A13665" t="inlineStr">
        <is>
          <t>A 44916-2025</t>
        </is>
      </c>
      <c r="B13665" s="1" t="n">
        <v>45918.54886574074</v>
      </c>
      <c r="C13665" s="1" t="n">
        <v>45952</v>
      </c>
      <c r="D13665" t="inlineStr">
        <is>
          <t>VÄSTRA GÖTALANDS LÄN</t>
        </is>
      </c>
      <c r="E13665" t="inlineStr">
        <is>
          <t>LILLA EDET</t>
        </is>
      </c>
      <c r="G13665" t="n">
        <v>1.6</v>
      </c>
      <c r="H13665" t="n">
        <v>0</v>
      </c>
      <c r="I13665" t="n">
        <v>0</v>
      </c>
      <c r="J13665" t="n">
        <v>0</v>
      </c>
      <c r="K13665" t="n">
        <v>0</v>
      </c>
      <c r="L13665" t="n">
        <v>0</v>
      </c>
      <c r="M13665" t="n">
        <v>0</v>
      </c>
      <c r="N13665" t="n">
        <v>0</v>
      </c>
      <c r="O13665" t="n">
        <v>0</v>
      </c>
      <c r="P13665" t="n">
        <v>0</v>
      </c>
      <c r="Q13665" t="n">
        <v>0</v>
      </c>
      <c r="R13665" s="2" t="inlineStr"/>
    </row>
    <row r="13666" ht="15" customHeight="1">
      <c r="A13666" t="inlineStr">
        <is>
          <t>A 6630-2022</t>
        </is>
      </c>
      <c r="B13666" s="1" t="n">
        <v>44601</v>
      </c>
      <c r="C13666" s="1" t="n">
        <v>45952</v>
      </c>
      <c r="D13666" t="inlineStr">
        <is>
          <t>VÄSTRA GÖTALANDS LÄN</t>
        </is>
      </c>
      <c r="E13666" t="inlineStr">
        <is>
          <t>TANUM</t>
        </is>
      </c>
      <c r="G13666" t="n">
        <v>2.5</v>
      </c>
      <c r="H13666" t="n">
        <v>0</v>
      </c>
      <c r="I13666" t="n">
        <v>0</v>
      </c>
      <c r="J13666" t="n">
        <v>0</v>
      </c>
      <c r="K13666" t="n">
        <v>0</v>
      </c>
      <c r="L13666" t="n">
        <v>0</v>
      </c>
      <c r="M13666" t="n">
        <v>0</v>
      </c>
      <c r="N13666" t="n">
        <v>0</v>
      </c>
      <c r="O13666" t="n">
        <v>0</v>
      </c>
      <c r="P13666" t="n">
        <v>0</v>
      </c>
      <c r="Q13666" t="n">
        <v>0</v>
      </c>
      <c r="R13666" s="2" t="inlineStr"/>
    </row>
    <row r="13667" ht="15" customHeight="1">
      <c r="A13667" t="inlineStr">
        <is>
          <t>A 1051-2023</t>
        </is>
      </c>
      <c r="B13667" s="1" t="n">
        <v>44935</v>
      </c>
      <c r="C13667" s="1" t="n">
        <v>45952</v>
      </c>
      <c r="D13667" t="inlineStr">
        <is>
          <t>VÄSTRA GÖTALANDS LÄN</t>
        </is>
      </c>
      <c r="E13667" t="inlineStr">
        <is>
          <t>UDDEVALLA</t>
        </is>
      </c>
      <c r="G13667" t="n">
        <v>2.1</v>
      </c>
      <c r="H13667" t="n">
        <v>0</v>
      </c>
      <c r="I13667" t="n">
        <v>0</v>
      </c>
      <c r="J13667" t="n">
        <v>0</v>
      </c>
      <c r="K13667" t="n">
        <v>0</v>
      </c>
      <c r="L13667" t="n">
        <v>0</v>
      </c>
      <c r="M13667" t="n">
        <v>0</v>
      </c>
      <c r="N13667" t="n">
        <v>0</v>
      </c>
      <c r="O13667" t="n">
        <v>0</v>
      </c>
      <c r="P13667" t="n">
        <v>0</v>
      </c>
      <c r="Q13667" t="n">
        <v>0</v>
      </c>
      <c r="R13667" s="2" t="inlineStr"/>
    </row>
    <row r="13668" ht="15" customHeight="1">
      <c r="A13668" t="inlineStr">
        <is>
          <t>A 37077-2025</t>
        </is>
      </c>
      <c r="B13668" s="1" t="n">
        <v>45875.41504629629</v>
      </c>
      <c r="C13668" s="1" t="n">
        <v>45952</v>
      </c>
      <c r="D13668" t="inlineStr">
        <is>
          <t>VÄSTRA GÖTALANDS LÄN</t>
        </is>
      </c>
      <c r="E13668" t="inlineStr">
        <is>
          <t>TIDAHOLM</t>
        </is>
      </c>
      <c r="G13668" t="n">
        <v>1.6</v>
      </c>
      <c r="H13668" t="n">
        <v>0</v>
      </c>
      <c r="I13668" t="n">
        <v>0</v>
      </c>
      <c r="J13668" t="n">
        <v>0</v>
      </c>
      <c r="K13668" t="n">
        <v>0</v>
      </c>
      <c r="L13668" t="n">
        <v>0</v>
      </c>
      <c r="M13668" t="n">
        <v>0</v>
      </c>
      <c r="N13668" t="n">
        <v>0</v>
      </c>
      <c r="O13668" t="n">
        <v>0</v>
      </c>
      <c r="P13668" t="n">
        <v>0</v>
      </c>
      <c r="Q13668" t="n">
        <v>0</v>
      </c>
      <c r="R13668" s="2" t="inlineStr"/>
    </row>
    <row r="13669" ht="15" customHeight="1">
      <c r="A13669" t="inlineStr">
        <is>
          <t>A 44755-2025</t>
        </is>
      </c>
      <c r="B13669" s="1" t="n">
        <v>45917.69334490741</v>
      </c>
      <c r="C13669" s="1" t="n">
        <v>45952</v>
      </c>
      <c r="D13669" t="inlineStr">
        <is>
          <t>VÄSTRA GÖTALANDS LÄN</t>
        </is>
      </c>
      <c r="E13669" t="inlineStr">
        <is>
          <t>TRANEMO</t>
        </is>
      </c>
      <c r="G13669" t="n">
        <v>1.3</v>
      </c>
      <c r="H13669" t="n">
        <v>0</v>
      </c>
      <c r="I13669" t="n">
        <v>0</v>
      </c>
      <c r="J13669" t="n">
        <v>0</v>
      </c>
      <c r="K13669" t="n">
        <v>0</v>
      </c>
      <c r="L13669" t="n">
        <v>0</v>
      </c>
      <c r="M13669" t="n">
        <v>0</v>
      </c>
      <c r="N13669" t="n">
        <v>0</v>
      </c>
      <c r="O13669" t="n">
        <v>0</v>
      </c>
      <c r="P13669" t="n">
        <v>0</v>
      </c>
      <c r="Q13669" t="n">
        <v>0</v>
      </c>
      <c r="R13669" s="2" t="inlineStr"/>
    </row>
    <row r="13670" ht="15" customHeight="1">
      <c r="A13670" t="inlineStr">
        <is>
          <t>A 44782-2025</t>
        </is>
      </c>
      <c r="B13670" s="1" t="n">
        <v>45917</v>
      </c>
      <c r="C13670" s="1" t="n">
        <v>45952</v>
      </c>
      <c r="D13670" t="inlineStr">
        <is>
          <t>VÄSTRA GÖTALANDS LÄN</t>
        </is>
      </c>
      <c r="E13670" t="inlineStr">
        <is>
          <t>BORÅS</t>
        </is>
      </c>
      <c r="G13670" t="n">
        <v>1.2</v>
      </c>
      <c r="H13670" t="n">
        <v>0</v>
      </c>
      <c r="I13670" t="n">
        <v>0</v>
      </c>
      <c r="J13670" t="n">
        <v>0</v>
      </c>
      <c r="K13670" t="n">
        <v>0</v>
      </c>
      <c r="L13670" t="n">
        <v>0</v>
      </c>
      <c r="M13670" t="n">
        <v>0</v>
      </c>
      <c r="N13670" t="n">
        <v>0</v>
      </c>
      <c r="O13670" t="n">
        <v>0</v>
      </c>
      <c r="P13670" t="n">
        <v>0</v>
      </c>
      <c r="Q13670" t="n">
        <v>0</v>
      </c>
      <c r="R13670" s="2" t="inlineStr"/>
    </row>
    <row r="13671" ht="15" customHeight="1">
      <c r="A13671" t="inlineStr">
        <is>
          <t>A 55897-2024</t>
        </is>
      </c>
      <c r="B13671" s="1" t="n">
        <v>45622</v>
      </c>
      <c r="C13671" s="1" t="n">
        <v>45952</v>
      </c>
      <c r="D13671" t="inlineStr">
        <is>
          <t>VÄSTRA GÖTALANDS LÄN</t>
        </is>
      </c>
      <c r="E13671" t="inlineStr">
        <is>
          <t>LIDKÖPING</t>
        </is>
      </c>
      <c r="G13671" t="n">
        <v>1.8</v>
      </c>
      <c r="H13671" t="n">
        <v>0</v>
      </c>
      <c r="I13671" t="n">
        <v>0</v>
      </c>
      <c r="J13671" t="n">
        <v>0</v>
      </c>
      <c r="K13671" t="n">
        <v>0</v>
      </c>
      <c r="L13671" t="n">
        <v>0</v>
      </c>
      <c r="M13671" t="n">
        <v>0</v>
      </c>
      <c r="N13671" t="n">
        <v>0</v>
      </c>
      <c r="O13671" t="n">
        <v>0</v>
      </c>
      <c r="P13671" t="n">
        <v>0</v>
      </c>
      <c r="Q13671" t="n">
        <v>0</v>
      </c>
      <c r="R13671" s="2" t="inlineStr"/>
    </row>
    <row r="13672" ht="15" customHeight="1">
      <c r="A13672" t="inlineStr">
        <is>
          <t>A 35466-2024</t>
        </is>
      </c>
      <c r="B13672" s="1" t="n">
        <v>45531.46454861111</v>
      </c>
      <c r="C13672" s="1" t="n">
        <v>45952</v>
      </c>
      <c r="D13672" t="inlineStr">
        <is>
          <t>VÄSTRA GÖTALANDS LÄN</t>
        </is>
      </c>
      <c r="E13672" t="inlineStr">
        <is>
          <t>DALS-ED</t>
        </is>
      </c>
      <c r="G13672" t="n">
        <v>4.7</v>
      </c>
      <c r="H13672" t="n">
        <v>0</v>
      </c>
      <c r="I13672" t="n">
        <v>0</v>
      </c>
      <c r="J13672" t="n">
        <v>0</v>
      </c>
      <c r="K13672" t="n">
        <v>0</v>
      </c>
      <c r="L13672" t="n">
        <v>0</v>
      </c>
      <c r="M13672" t="n">
        <v>0</v>
      </c>
      <c r="N13672" t="n">
        <v>0</v>
      </c>
      <c r="O13672" t="n">
        <v>0</v>
      </c>
      <c r="P13672" t="n">
        <v>0</v>
      </c>
      <c r="Q13672" t="n">
        <v>0</v>
      </c>
      <c r="R13672" s="2" t="inlineStr"/>
    </row>
    <row r="13673" ht="15" customHeight="1">
      <c r="A13673" t="inlineStr">
        <is>
          <t>A 29996-2023</t>
        </is>
      </c>
      <c r="B13673" s="1" t="n">
        <v>45109.63346064815</v>
      </c>
      <c r="C13673" s="1" t="n">
        <v>45952</v>
      </c>
      <c r="D13673" t="inlineStr">
        <is>
          <t>VÄSTRA GÖTALANDS LÄN</t>
        </is>
      </c>
      <c r="E13673" t="inlineStr">
        <is>
          <t>ÅMÅL</t>
        </is>
      </c>
      <c r="G13673" t="n">
        <v>2.8</v>
      </c>
      <c r="H13673" t="n">
        <v>0</v>
      </c>
      <c r="I13673" t="n">
        <v>0</v>
      </c>
      <c r="J13673" t="n">
        <v>0</v>
      </c>
      <c r="K13673" t="n">
        <v>0</v>
      </c>
      <c r="L13673" t="n">
        <v>0</v>
      </c>
      <c r="M13673" t="n">
        <v>0</v>
      </c>
      <c r="N13673" t="n">
        <v>0</v>
      </c>
      <c r="O13673" t="n">
        <v>0</v>
      </c>
      <c r="P13673" t="n">
        <v>0</v>
      </c>
      <c r="Q13673" t="n">
        <v>0</v>
      </c>
      <c r="R13673" s="2" t="inlineStr"/>
    </row>
    <row r="13674" ht="15" customHeight="1">
      <c r="A13674" t="inlineStr">
        <is>
          <t>A 44966-2024</t>
        </is>
      </c>
      <c r="B13674" s="1" t="n">
        <v>45575.45644675926</v>
      </c>
      <c r="C13674" s="1" t="n">
        <v>45952</v>
      </c>
      <c r="D13674" t="inlineStr">
        <is>
          <t>VÄSTRA GÖTALANDS LÄN</t>
        </is>
      </c>
      <c r="E13674" t="inlineStr">
        <is>
          <t>TANUM</t>
        </is>
      </c>
      <c r="F13674" t="inlineStr">
        <is>
          <t>Naturvårdsverket</t>
        </is>
      </c>
      <c r="G13674" t="n">
        <v>5.9</v>
      </c>
      <c r="H13674" t="n">
        <v>0</v>
      </c>
      <c r="I13674" t="n">
        <v>0</v>
      </c>
      <c r="J13674" t="n">
        <v>0</v>
      </c>
      <c r="K13674" t="n">
        <v>0</v>
      </c>
      <c r="L13674" t="n">
        <v>0</v>
      </c>
      <c r="M13674" t="n">
        <v>0</v>
      </c>
      <c r="N13674" t="n">
        <v>0</v>
      </c>
      <c r="O13674" t="n">
        <v>0</v>
      </c>
      <c r="P13674" t="n">
        <v>0</v>
      </c>
      <c r="Q13674" t="n">
        <v>0</v>
      </c>
      <c r="R13674" s="2" t="inlineStr"/>
    </row>
    <row r="13675" ht="15" customHeight="1">
      <c r="A13675" t="inlineStr">
        <is>
          <t>A 28449-2023</t>
        </is>
      </c>
      <c r="B13675" s="1" t="n">
        <v>45103</v>
      </c>
      <c r="C13675" s="1" t="n">
        <v>45952</v>
      </c>
      <c r="D13675" t="inlineStr">
        <is>
          <t>VÄSTRA GÖTALANDS LÄN</t>
        </is>
      </c>
      <c r="E13675" t="inlineStr">
        <is>
          <t>DALS-ED</t>
        </is>
      </c>
      <c r="G13675" t="n">
        <v>1</v>
      </c>
      <c r="H13675" t="n">
        <v>0</v>
      </c>
      <c r="I13675" t="n">
        <v>0</v>
      </c>
      <c r="J13675" t="n">
        <v>0</v>
      </c>
      <c r="K13675" t="n">
        <v>0</v>
      </c>
      <c r="L13675" t="n">
        <v>0</v>
      </c>
      <c r="M13675" t="n">
        <v>0</v>
      </c>
      <c r="N13675" t="n">
        <v>0</v>
      </c>
      <c r="O13675" t="n">
        <v>0</v>
      </c>
      <c r="P13675" t="n">
        <v>0</v>
      </c>
      <c r="Q13675" t="n">
        <v>0</v>
      </c>
      <c r="R13675" s="2" t="inlineStr"/>
    </row>
    <row r="13676" ht="15" customHeight="1">
      <c r="A13676" t="inlineStr">
        <is>
          <t>A 59160-2022</t>
        </is>
      </c>
      <c r="B13676" s="1" t="n">
        <v>44897</v>
      </c>
      <c r="C13676" s="1" t="n">
        <v>45952</v>
      </c>
      <c r="D13676" t="inlineStr">
        <is>
          <t>VÄSTRA GÖTALANDS LÄN</t>
        </is>
      </c>
      <c r="E13676" t="inlineStr">
        <is>
          <t>MUNKEDAL</t>
        </is>
      </c>
      <c r="F13676" t="inlineStr">
        <is>
          <t>Kyrkan</t>
        </is>
      </c>
      <c r="G13676" t="n">
        <v>2</v>
      </c>
      <c r="H13676" t="n">
        <v>0</v>
      </c>
      <c r="I13676" t="n">
        <v>0</v>
      </c>
      <c r="J13676" t="n">
        <v>0</v>
      </c>
      <c r="K13676" t="n">
        <v>0</v>
      </c>
      <c r="L13676" t="n">
        <v>0</v>
      </c>
      <c r="M13676" t="n">
        <v>0</v>
      </c>
      <c r="N13676" t="n">
        <v>0</v>
      </c>
      <c r="O13676" t="n">
        <v>0</v>
      </c>
      <c r="P13676" t="n">
        <v>0</v>
      </c>
      <c r="Q13676" t="n">
        <v>0</v>
      </c>
      <c r="R13676" s="2" t="inlineStr"/>
    </row>
    <row r="13677" ht="15" customHeight="1">
      <c r="A13677" t="inlineStr">
        <is>
          <t>A 59605-2023</t>
        </is>
      </c>
      <c r="B13677" s="1" t="n">
        <v>45254.63135416667</v>
      </c>
      <c r="C13677" s="1" t="n">
        <v>45952</v>
      </c>
      <c r="D13677" t="inlineStr">
        <is>
          <t>VÄSTRA GÖTALANDS LÄN</t>
        </is>
      </c>
      <c r="E13677" t="inlineStr">
        <is>
          <t>MARK</t>
        </is>
      </c>
      <c r="G13677" t="n">
        <v>2.9</v>
      </c>
      <c r="H13677" t="n">
        <v>0</v>
      </c>
      <c r="I13677" t="n">
        <v>0</v>
      </c>
      <c r="J13677" t="n">
        <v>0</v>
      </c>
      <c r="K13677" t="n">
        <v>0</v>
      </c>
      <c r="L13677" t="n">
        <v>0</v>
      </c>
      <c r="M13677" t="n">
        <v>0</v>
      </c>
      <c r="N13677" t="n">
        <v>0</v>
      </c>
      <c r="O13677" t="n">
        <v>0</v>
      </c>
      <c r="P13677" t="n">
        <v>0</v>
      </c>
      <c r="Q13677" t="n">
        <v>0</v>
      </c>
      <c r="R13677" s="2" t="inlineStr"/>
    </row>
    <row r="13678" ht="15" customHeight="1">
      <c r="A13678" t="inlineStr">
        <is>
          <t>A 52902-2024</t>
        </is>
      </c>
      <c r="B13678" s="1" t="n">
        <v>45610.68715277778</v>
      </c>
      <c r="C13678" s="1" t="n">
        <v>45952</v>
      </c>
      <c r="D13678" t="inlineStr">
        <is>
          <t>VÄSTRA GÖTALANDS LÄN</t>
        </is>
      </c>
      <c r="E13678" t="inlineStr">
        <is>
          <t>STRÖMSTAD</t>
        </is>
      </c>
      <c r="G13678" t="n">
        <v>6.8</v>
      </c>
      <c r="H13678" t="n">
        <v>0</v>
      </c>
      <c r="I13678" t="n">
        <v>0</v>
      </c>
      <c r="J13678" t="n">
        <v>0</v>
      </c>
      <c r="K13678" t="n">
        <v>0</v>
      </c>
      <c r="L13678" t="n">
        <v>0</v>
      </c>
      <c r="M13678" t="n">
        <v>0</v>
      </c>
      <c r="N13678" t="n">
        <v>0</v>
      </c>
      <c r="O13678" t="n">
        <v>0</v>
      </c>
      <c r="P13678" t="n">
        <v>0</v>
      </c>
      <c r="Q13678" t="n">
        <v>0</v>
      </c>
      <c r="R13678" s="2" t="inlineStr"/>
    </row>
    <row r="13679" ht="15" customHeight="1">
      <c r="A13679" t="inlineStr">
        <is>
          <t>A 37751-2025</t>
        </is>
      </c>
      <c r="B13679" s="1" t="n">
        <v>45880.67349537037</v>
      </c>
      <c r="C13679" s="1" t="n">
        <v>45952</v>
      </c>
      <c r="D13679" t="inlineStr">
        <is>
          <t>VÄSTRA GÖTALANDS LÄN</t>
        </is>
      </c>
      <c r="E13679" t="inlineStr">
        <is>
          <t>ULRICEHAMN</t>
        </is>
      </c>
      <c r="G13679" t="n">
        <v>1</v>
      </c>
      <c r="H13679" t="n">
        <v>0</v>
      </c>
      <c r="I13679" t="n">
        <v>0</v>
      </c>
      <c r="J13679" t="n">
        <v>0</v>
      </c>
      <c r="K13679" t="n">
        <v>0</v>
      </c>
      <c r="L13679" t="n">
        <v>0</v>
      </c>
      <c r="M13679" t="n">
        <v>0</v>
      </c>
      <c r="N13679" t="n">
        <v>0</v>
      </c>
      <c r="O13679" t="n">
        <v>0</v>
      </c>
      <c r="P13679" t="n">
        <v>0</v>
      </c>
      <c r="Q13679" t="n">
        <v>0</v>
      </c>
      <c r="R13679" s="2" t="inlineStr"/>
    </row>
    <row r="13680" ht="15" customHeight="1">
      <c r="A13680" t="inlineStr">
        <is>
          <t>A 37750-2025</t>
        </is>
      </c>
      <c r="B13680" s="1" t="n">
        <v>45880.67012731481</v>
      </c>
      <c r="C13680" s="1" t="n">
        <v>45952</v>
      </c>
      <c r="D13680" t="inlineStr">
        <is>
          <t>VÄSTRA GÖTALANDS LÄN</t>
        </is>
      </c>
      <c r="E13680" t="inlineStr">
        <is>
          <t>ULRICEHAMN</t>
        </is>
      </c>
      <c r="G13680" t="n">
        <v>1.4</v>
      </c>
      <c r="H13680" t="n">
        <v>0</v>
      </c>
      <c r="I13680" t="n">
        <v>0</v>
      </c>
      <c r="J13680" t="n">
        <v>0</v>
      </c>
      <c r="K13680" t="n">
        <v>0</v>
      </c>
      <c r="L13680" t="n">
        <v>0</v>
      </c>
      <c r="M13680" t="n">
        <v>0</v>
      </c>
      <c r="N13680" t="n">
        <v>0</v>
      </c>
      <c r="O13680" t="n">
        <v>0</v>
      </c>
      <c r="P13680" t="n">
        <v>0</v>
      </c>
      <c r="Q13680" t="n">
        <v>0</v>
      </c>
      <c r="R13680" s="2" t="inlineStr"/>
    </row>
    <row r="13681" ht="15" customHeight="1">
      <c r="A13681" t="inlineStr">
        <is>
          <t>A 23065-2024</t>
        </is>
      </c>
      <c r="B13681" s="1" t="n">
        <v>45450.44878472222</v>
      </c>
      <c r="C13681" s="1" t="n">
        <v>45952</v>
      </c>
      <c r="D13681" t="inlineStr">
        <is>
          <t>VÄSTRA GÖTALANDS LÄN</t>
        </is>
      </c>
      <c r="E13681" t="inlineStr">
        <is>
          <t>VARA</t>
        </is>
      </c>
      <c r="G13681" t="n">
        <v>5</v>
      </c>
      <c r="H13681" t="n">
        <v>0</v>
      </c>
      <c r="I13681" t="n">
        <v>0</v>
      </c>
      <c r="J13681" t="n">
        <v>0</v>
      </c>
      <c r="K13681" t="n">
        <v>0</v>
      </c>
      <c r="L13681" t="n">
        <v>0</v>
      </c>
      <c r="M13681" t="n">
        <v>0</v>
      </c>
      <c r="N13681" t="n">
        <v>0</v>
      </c>
      <c r="O13681" t="n">
        <v>0</v>
      </c>
      <c r="P13681" t="n">
        <v>0</v>
      </c>
      <c r="Q13681" t="n">
        <v>0</v>
      </c>
      <c r="R13681" s="2" t="inlineStr"/>
    </row>
    <row r="13682" ht="15" customHeight="1">
      <c r="A13682" t="inlineStr">
        <is>
          <t>A 45483-2025</t>
        </is>
      </c>
      <c r="B13682" s="1" t="n">
        <v>45922.54346064815</v>
      </c>
      <c r="C13682" s="1" t="n">
        <v>45952</v>
      </c>
      <c r="D13682" t="inlineStr">
        <is>
          <t>VÄSTRA GÖTALANDS LÄN</t>
        </is>
      </c>
      <c r="E13682" t="inlineStr">
        <is>
          <t>LERUM</t>
        </is>
      </c>
      <c r="G13682" t="n">
        <v>0.7</v>
      </c>
      <c r="H13682" t="n">
        <v>0</v>
      </c>
      <c r="I13682" t="n">
        <v>0</v>
      </c>
      <c r="J13682" t="n">
        <v>0</v>
      </c>
      <c r="K13682" t="n">
        <v>0</v>
      </c>
      <c r="L13682" t="n">
        <v>0</v>
      </c>
      <c r="M13682" t="n">
        <v>0</v>
      </c>
      <c r="N13682" t="n">
        <v>0</v>
      </c>
      <c r="O13682" t="n">
        <v>0</v>
      </c>
      <c r="P13682" t="n">
        <v>0</v>
      </c>
      <c r="Q13682" t="n">
        <v>0</v>
      </c>
      <c r="R13682" s="2" t="inlineStr"/>
    </row>
    <row r="13683" ht="15" customHeight="1">
      <c r="A13683" t="inlineStr">
        <is>
          <t>A 45757-2025</t>
        </is>
      </c>
      <c r="B13683" s="1" t="n">
        <v>45923.50554398148</v>
      </c>
      <c r="C13683" s="1" t="n">
        <v>45952</v>
      </c>
      <c r="D13683" t="inlineStr">
        <is>
          <t>VÄSTRA GÖTALANDS LÄN</t>
        </is>
      </c>
      <c r="E13683" t="inlineStr">
        <is>
          <t>TRANEMO</t>
        </is>
      </c>
      <c r="G13683" t="n">
        <v>1.9</v>
      </c>
      <c r="H13683" t="n">
        <v>0</v>
      </c>
      <c r="I13683" t="n">
        <v>0</v>
      </c>
      <c r="J13683" t="n">
        <v>0</v>
      </c>
      <c r="K13683" t="n">
        <v>0</v>
      </c>
      <c r="L13683" t="n">
        <v>0</v>
      </c>
      <c r="M13683" t="n">
        <v>0</v>
      </c>
      <c r="N13683" t="n">
        <v>0</v>
      </c>
      <c r="O13683" t="n">
        <v>0</v>
      </c>
      <c r="P13683" t="n">
        <v>0</v>
      </c>
      <c r="Q13683" t="n">
        <v>0</v>
      </c>
      <c r="R13683" s="2" t="inlineStr"/>
    </row>
    <row r="13684" ht="15" customHeight="1">
      <c r="A13684" t="inlineStr">
        <is>
          <t>A 4065-2023</t>
        </is>
      </c>
      <c r="B13684" s="1" t="n">
        <v>44952</v>
      </c>
      <c r="C13684" s="1" t="n">
        <v>45952</v>
      </c>
      <c r="D13684" t="inlineStr">
        <is>
          <t>VÄSTRA GÖTALANDS LÄN</t>
        </is>
      </c>
      <c r="E13684" t="inlineStr">
        <is>
          <t>VÅRGÅRDA</t>
        </is>
      </c>
      <c r="G13684" t="n">
        <v>1.6</v>
      </c>
      <c r="H13684" t="n">
        <v>0</v>
      </c>
      <c r="I13684" t="n">
        <v>0</v>
      </c>
      <c r="J13684" t="n">
        <v>0</v>
      </c>
      <c r="K13684" t="n">
        <v>0</v>
      </c>
      <c r="L13684" t="n">
        <v>0</v>
      </c>
      <c r="M13684" t="n">
        <v>0</v>
      </c>
      <c r="N13684" t="n">
        <v>0</v>
      </c>
      <c r="O13684" t="n">
        <v>0</v>
      </c>
      <c r="P13684" t="n">
        <v>0</v>
      </c>
      <c r="Q13684" t="n">
        <v>0</v>
      </c>
      <c r="R13684" s="2" t="inlineStr"/>
    </row>
    <row r="13685" ht="15" customHeight="1">
      <c r="A13685" t="inlineStr">
        <is>
          <t>A 4098-2023</t>
        </is>
      </c>
      <c r="B13685" s="1" t="n">
        <v>44952</v>
      </c>
      <c r="C13685" s="1" t="n">
        <v>45952</v>
      </c>
      <c r="D13685" t="inlineStr">
        <is>
          <t>VÄSTRA GÖTALANDS LÄN</t>
        </is>
      </c>
      <c r="E13685" t="inlineStr">
        <is>
          <t>TRANEMO</t>
        </is>
      </c>
      <c r="G13685" t="n">
        <v>1.6</v>
      </c>
      <c r="H13685" t="n">
        <v>0</v>
      </c>
      <c r="I13685" t="n">
        <v>0</v>
      </c>
      <c r="J13685" t="n">
        <v>0</v>
      </c>
      <c r="K13685" t="n">
        <v>0</v>
      </c>
      <c r="L13685" t="n">
        <v>0</v>
      </c>
      <c r="M13685" t="n">
        <v>0</v>
      </c>
      <c r="N13685" t="n">
        <v>0</v>
      </c>
      <c r="O13685" t="n">
        <v>0</v>
      </c>
      <c r="P13685" t="n">
        <v>0</v>
      </c>
      <c r="Q13685" t="n">
        <v>0</v>
      </c>
      <c r="R13685" s="2" t="inlineStr"/>
    </row>
    <row r="13686" ht="15" customHeight="1">
      <c r="A13686" t="inlineStr">
        <is>
          <t>A 4107-2023</t>
        </is>
      </c>
      <c r="B13686" s="1" t="n">
        <v>44952</v>
      </c>
      <c r="C13686" s="1" t="n">
        <v>45952</v>
      </c>
      <c r="D13686" t="inlineStr">
        <is>
          <t>VÄSTRA GÖTALANDS LÄN</t>
        </is>
      </c>
      <c r="E13686" t="inlineStr">
        <is>
          <t>DALS-ED</t>
        </is>
      </c>
      <c r="G13686" t="n">
        <v>9.199999999999999</v>
      </c>
      <c r="H13686" t="n">
        <v>0</v>
      </c>
      <c r="I13686" t="n">
        <v>0</v>
      </c>
      <c r="J13686" t="n">
        <v>0</v>
      </c>
      <c r="K13686" t="n">
        <v>0</v>
      </c>
      <c r="L13686" t="n">
        <v>0</v>
      </c>
      <c r="M13686" t="n">
        <v>0</v>
      </c>
      <c r="N13686" t="n">
        <v>0</v>
      </c>
      <c r="O13686" t="n">
        <v>0</v>
      </c>
      <c r="P13686" t="n">
        <v>0</v>
      </c>
      <c r="Q13686" t="n">
        <v>0</v>
      </c>
      <c r="R13686" s="2" t="inlineStr"/>
    </row>
    <row r="13687" ht="15" customHeight="1">
      <c r="A13687" t="inlineStr">
        <is>
          <t>A 4110-2023</t>
        </is>
      </c>
      <c r="B13687" s="1" t="n">
        <v>44952</v>
      </c>
      <c r="C13687" s="1" t="n">
        <v>45952</v>
      </c>
      <c r="D13687" t="inlineStr">
        <is>
          <t>VÄSTRA GÖTALANDS LÄN</t>
        </is>
      </c>
      <c r="E13687" t="inlineStr">
        <is>
          <t>DALS-ED</t>
        </is>
      </c>
      <c r="G13687" t="n">
        <v>27.4</v>
      </c>
      <c r="H13687" t="n">
        <v>0</v>
      </c>
      <c r="I13687" t="n">
        <v>0</v>
      </c>
      <c r="J13687" t="n">
        <v>0</v>
      </c>
      <c r="K13687" t="n">
        <v>0</v>
      </c>
      <c r="L13687" t="n">
        <v>0</v>
      </c>
      <c r="M13687" t="n">
        <v>0</v>
      </c>
      <c r="N13687" t="n">
        <v>0</v>
      </c>
      <c r="O13687" t="n">
        <v>0</v>
      </c>
      <c r="P13687" t="n">
        <v>0</v>
      </c>
      <c r="Q13687" t="n">
        <v>0</v>
      </c>
      <c r="R13687" s="2" t="inlineStr"/>
    </row>
    <row r="13688" ht="15" customHeight="1">
      <c r="A13688" t="inlineStr">
        <is>
          <t>A 4112-2023</t>
        </is>
      </c>
      <c r="B13688" s="1" t="n">
        <v>44952</v>
      </c>
      <c r="C13688" s="1" t="n">
        <v>45952</v>
      </c>
      <c r="D13688" t="inlineStr">
        <is>
          <t>VÄSTRA GÖTALANDS LÄN</t>
        </is>
      </c>
      <c r="E13688" t="inlineStr">
        <is>
          <t>DALS-ED</t>
        </is>
      </c>
      <c r="G13688" t="n">
        <v>7.4</v>
      </c>
      <c r="H13688" t="n">
        <v>0</v>
      </c>
      <c r="I13688" t="n">
        <v>0</v>
      </c>
      <c r="J13688" t="n">
        <v>0</v>
      </c>
      <c r="K13688" t="n">
        <v>0</v>
      </c>
      <c r="L13688" t="n">
        <v>0</v>
      </c>
      <c r="M13688" t="n">
        <v>0</v>
      </c>
      <c r="N13688" t="n">
        <v>0</v>
      </c>
      <c r="O13688" t="n">
        <v>0</v>
      </c>
      <c r="P13688" t="n">
        <v>0</v>
      </c>
      <c r="Q13688" t="n">
        <v>0</v>
      </c>
      <c r="R13688" s="2" t="inlineStr"/>
    </row>
    <row r="13689" ht="15" customHeight="1">
      <c r="A13689" t="inlineStr">
        <is>
          <t>A 43901-2025</t>
        </is>
      </c>
      <c r="B13689" s="1" t="n">
        <v>45913.36832175926</v>
      </c>
      <c r="C13689" s="1" t="n">
        <v>45952</v>
      </c>
      <c r="D13689" t="inlineStr">
        <is>
          <t>VÄSTRA GÖTALANDS LÄN</t>
        </is>
      </c>
      <c r="E13689" t="inlineStr">
        <is>
          <t>ULRICEHAMN</t>
        </is>
      </c>
      <c r="G13689" t="n">
        <v>4.8</v>
      </c>
      <c r="H13689" t="n">
        <v>0</v>
      </c>
      <c r="I13689" t="n">
        <v>0</v>
      </c>
      <c r="J13689" t="n">
        <v>0</v>
      </c>
      <c r="K13689" t="n">
        <v>0</v>
      </c>
      <c r="L13689" t="n">
        <v>0</v>
      </c>
      <c r="M13689" t="n">
        <v>0</v>
      </c>
      <c r="N13689" t="n">
        <v>0</v>
      </c>
      <c r="O13689" t="n">
        <v>0</v>
      </c>
      <c r="P13689" t="n">
        <v>0</v>
      </c>
      <c r="Q13689" t="n">
        <v>0</v>
      </c>
      <c r="R13689" s="2" t="inlineStr"/>
    </row>
    <row r="13690" ht="15" customHeight="1">
      <c r="A13690" t="inlineStr">
        <is>
          <t>A 43919-2025</t>
        </is>
      </c>
      <c r="B13690" s="1" t="n">
        <v>45914.90981481481</v>
      </c>
      <c r="C13690" s="1" t="n">
        <v>45952</v>
      </c>
      <c r="D13690" t="inlineStr">
        <is>
          <t>VÄSTRA GÖTALANDS LÄN</t>
        </is>
      </c>
      <c r="E13690" t="inlineStr">
        <is>
          <t>BORÅS</t>
        </is>
      </c>
      <c r="G13690" t="n">
        <v>0.8</v>
      </c>
      <c r="H13690" t="n">
        <v>0</v>
      </c>
      <c r="I13690" t="n">
        <v>0</v>
      </c>
      <c r="J13690" t="n">
        <v>0</v>
      </c>
      <c r="K13690" t="n">
        <v>0</v>
      </c>
      <c r="L13690" t="n">
        <v>0</v>
      </c>
      <c r="M13690" t="n">
        <v>0</v>
      </c>
      <c r="N13690" t="n">
        <v>0</v>
      </c>
      <c r="O13690" t="n">
        <v>0</v>
      </c>
      <c r="P13690" t="n">
        <v>0</v>
      </c>
      <c r="Q13690" t="n">
        <v>0</v>
      </c>
      <c r="R13690" s="2" t="inlineStr"/>
    </row>
    <row r="13691" ht="15" customHeight="1">
      <c r="A13691" t="inlineStr">
        <is>
          <t>A 15487-2023</t>
        </is>
      </c>
      <c r="B13691" s="1" t="n">
        <v>45020.4646412037</v>
      </c>
      <c r="C13691" s="1" t="n">
        <v>45952</v>
      </c>
      <c r="D13691" t="inlineStr">
        <is>
          <t>VÄSTRA GÖTALANDS LÄN</t>
        </is>
      </c>
      <c r="E13691" t="inlineStr">
        <is>
          <t>SVENLJUNGA</t>
        </is>
      </c>
      <c r="G13691" t="n">
        <v>0.6</v>
      </c>
      <c r="H13691" t="n">
        <v>0</v>
      </c>
      <c r="I13691" t="n">
        <v>0</v>
      </c>
      <c r="J13691" t="n">
        <v>0</v>
      </c>
      <c r="K13691" t="n">
        <v>0</v>
      </c>
      <c r="L13691" t="n">
        <v>0</v>
      </c>
      <c r="M13691" t="n">
        <v>0</v>
      </c>
      <c r="N13691" t="n">
        <v>0</v>
      </c>
      <c r="O13691" t="n">
        <v>0</v>
      </c>
      <c r="P13691" t="n">
        <v>0</v>
      </c>
      <c r="Q13691" t="n">
        <v>0</v>
      </c>
      <c r="R13691" s="2" t="inlineStr"/>
    </row>
    <row r="13692" ht="15" customHeight="1">
      <c r="A13692" t="inlineStr">
        <is>
          <t>A 45513-2025</t>
        </is>
      </c>
      <c r="B13692" s="1" t="n">
        <v>45922.58141203703</v>
      </c>
      <c r="C13692" s="1" t="n">
        <v>45952</v>
      </c>
      <c r="D13692" t="inlineStr">
        <is>
          <t>VÄSTRA GÖTALANDS LÄN</t>
        </is>
      </c>
      <c r="E13692" t="inlineStr">
        <is>
          <t>TRANEMO</t>
        </is>
      </c>
      <c r="G13692" t="n">
        <v>1</v>
      </c>
      <c r="H13692" t="n">
        <v>0</v>
      </c>
      <c r="I13692" t="n">
        <v>0</v>
      </c>
      <c r="J13692" t="n">
        <v>0</v>
      </c>
      <c r="K13692" t="n">
        <v>0</v>
      </c>
      <c r="L13692" t="n">
        <v>0</v>
      </c>
      <c r="M13692" t="n">
        <v>0</v>
      </c>
      <c r="N13692" t="n">
        <v>0</v>
      </c>
      <c r="O13692" t="n">
        <v>0</v>
      </c>
      <c r="P13692" t="n">
        <v>0</v>
      </c>
      <c r="Q13692" t="n">
        <v>0</v>
      </c>
      <c r="R13692" s="2" t="inlineStr"/>
    </row>
    <row r="13693" ht="15" customHeight="1">
      <c r="A13693" t="inlineStr">
        <is>
          <t>A 45656-2025</t>
        </is>
      </c>
      <c r="B13693" s="1" t="n">
        <v>45923.34297453704</v>
      </c>
      <c r="C13693" s="1" t="n">
        <v>45952</v>
      </c>
      <c r="D13693" t="inlineStr">
        <is>
          <t>VÄSTRA GÖTALANDS LÄN</t>
        </is>
      </c>
      <c r="E13693" t="inlineStr">
        <is>
          <t>TANUM</t>
        </is>
      </c>
      <c r="G13693" t="n">
        <v>5.5</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45710-2025</t>
        </is>
      </c>
      <c r="B13694" s="1" t="n">
        <v>45923.4296875</v>
      </c>
      <c r="C13694" s="1" t="n">
        <v>45952</v>
      </c>
      <c r="D13694" t="inlineStr">
        <is>
          <t>VÄSTRA GÖTALANDS LÄN</t>
        </is>
      </c>
      <c r="E13694" t="inlineStr">
        <is>
          <t>STENUNGSUND</t>
        </is>
      </c>
      <c r="G13694" t="n">
        <v>1.3</v>
      </c>
      <c r="H13694" t="n">
        <v>0</v>
      </c>
      <c r="I13694" t="n">
        <v>0</v>
      </c>
      <c r="J13694" t="n">
        <v>0</v>
      </c>
      <c r="K13694" t="n">
        <v>0</v>
      </c>
      <c r="L13694" t="n">
        <v>0</v>
      </c>
      <c r="M13694" t="n">
        <v>0</v>
      </c>
      <c r="N13694" t="n">
        <v>0</v>
      </c>
      <c r="O13694" t="n">
        <v>0</v>
      </c>
      <c r="P13694" t="n">
        <v>0</v>
      </c>
      <c r="Q13694" t="n">
        <v>0</v>
      </c>
      <c r="R13694" s="2" t="inlineStr"/>
    </row>
    <row r="13695" ht="15" customHeight="1">
      <c r="A13695" t="inlineStr">
        <is>
          <t>A 36756-2022</t>
        </is>
      </c>
      <c r="B13695" s="1" t="n">
        <v>44805</v>
      </c>
      <c r="C13695" s="1" t="n">
        <v>45952</v>
      </c>
      <c r="D13695" t="inlineStr">
        <is>
          <t>VÄSTRA GÖTALANDS LÄN</t>
        </is>
      </c>
      <c r="E13695" t="inlineStr">
        <is>
          <t>LERUM</t>
        </is>
      </c>
      <c r="G13695" t="n">
        <v>5</v>
      </c>
      <c r="H13695" t="n">
        <v>0</v>
      </c>
      <c r="I13695" t="n">
        <v>0</v>
      </c>
      <c r="J13695" t="n">
        <v>0</v>
      </c>
      <c r="K13695" t="n">
        <v>0</v>
      </c>
      <c r="L13695" t="n">
        <v>0</v>
      </c>
      <c r="M13695" t="n">
        <v>0</v>
      </c>
      <c r="N13695" t="n">
        <v>0</v>
      </c>
      <c r="O13695" t="n">
        <v>0</v>
      </c>
      <c r="P13695" t="n">
        <v>0</v>
      </c>
      <c r="Q13695" t="n">
        <v>0</v>
      </c>
      <c r="R13695" s="2" t="inlineStr"/>
    </row>
    <row r="13696" ht="15" customHeight="1">
      <c r="A13696" t="inlineStr">
        <is>
          <t>A 20082-2025</t>
        </is>
      </c>
      <c r="B13696" s="1" t="n">
        <v>45772</v>
      </c>
      <c r="C13696" s="1" t="n">
        <v>45952</v>
      </c>
      <c r="D13696" t="inlineStr">
        <is>
          <t>VÄSTRA GÖTALANDS LÄN</t>
        </is>
      </c>
      <c r="E13696" t="inlineStr">
        <is>
          <t>TRANEMO</t>
        </is>
      </c>
      <c r="G13696" t="n">
        <v>1.1</v>
      </c>
      <c r="H13696" t="n">
        <v>0</v>
      </c>
      <c r="I13696" t="n">
        <v>0</v>
      </c>
      <c r="J13696" t="n">
        <v>0</v>
      </c>
      <c r="K13696" t="n">
        <v>0</v>
      </c>
      <c r="L13696" t="n">
        <v>0</v>
      </c>
      <c r="M13696" t="n">
        <v>0</v>
      </c>
      <c r="N13696" t="n">
        <v>0</v>
      </c>
      <c r="O13696" t="n">
        <v>0</v>
      </c>
      <c r="P13696" t="n">
        <v>0</v>
      </c>
      <c r="Q13696" t="n">
        <v>0</v>
      </c>
      <c r="R13696" s="2" t="inlineStr"/>
    </row>
    <row r="13697" ht="15" customHeight="1">
      <c r="A13697" t="inlineStr">
        <is>
          <t>A 20090-2025</t>
        </is>
      </c>
      <c r="B13697" s="1" t="n">
        <v>45772.4628125</v>
      </c>
      <c r="C13697" s="1" t="n">
        <v>45952</v>
      </c>
      <c r="D13697" t="inlineStr">
        <is>
          <t>VÄSTRA GÖTALANDS LÄN</t>
        </is>
      </c>
      <c r="E13697" t="inlineStr">
        <is>
          <t>BENGTSFORS</t>
        </is>
      </c>
      <c r="G13697" t="n">
        <v>1.1</v>
      </c>
      <c r="H13697" t="n">
        <v>0</v>
      </c>
      <c r="I13697" t="n">
        <v>0</v>
      </c>
      <c r="J13697" t="n">
        <v>0</v>
      </c>
      <c r="K13697" t="n">
        <v>0</v>
      </c>
      <c r="L13697" t="n">
        <v>0</v>
      </c>
      <c r="M13697" t="n">
        <v>0</v>
      </c>
      <c r="N13697" t="n">
        <v>0</v>
      </c>
      <c r="O13697" t="n">
        <v>0</v>
      </c>
      <c r="P13697" t="n">
        <v>0</v>
      </c>
      <c r="Q13697" t="n">
        <v>0</v>
      </c>
      <c r="R13697" s="2" t="inlineStr"/>
    </row>
    <row r="13698" ht="15" customHeight="1">
      <c r="A13698" t="inlineStr">
        <is>
          <t>A 60330-2024</t>
        </is>
      </c>
      <c r="B13698" s="1" t="n">
        <v>45643.38454861111</v>
      </c>
      <c r="C13698" s="1" t="n">
        <v>45952</v>
      </c>
      <c r="D13698" t="inlineStr">
        <is>
          <t>VÄSTRA GÖTALANDS LÄN</t>
        </is>
      </c>
      <c r="E13698" t="inlineStr">
        <is>
          <t>FÄRGELANDA</t>
        </is>
      </c>
      <c r="G13698" t="n">
        <v>4.3</v>
      </c>
      <c r="H13698" t="n">
        <v>0</v>
      </c>
      <c r="I13698" t="n">
        <v>0</v>
      </c>
      <c r="J13698" t="n">
        <v>0</v>
      </c>
      <c r="K13698" t="n">
        <v>0</v>
      </c>
      <c r="L13698" t="n">
        <v>0</v>
      </c>
      <c r="M13698" t="n">
        <v>0</v>
      </c>
      <c r="N13698" t="n">
        <v>0</v>
      </c>
      <c r="O13698" t="n">
        <v>0</v>
      </c>
      <c r="P13698" t="n">
        <v>0</v>
      </c>
      <c r="Q13698" t="n">
        <v>0</v>
      </c>
      <c r="R13698" s="2" t="inlineStr"/>
    </row>
    <row r="13699" ht="15" customHeight="1">
      <c r="A13699" t="inlineStr">
        <is>
          <t>A 33136-2024</t>
        </is>
      </c>
      <c r="B13699" s="1" t="n">
        <v>45518.32392361111</v>
      </c>
      <c r="C13699" s="1" t="n">
        <v>45952</v>
      </c>
      <c r="D13699" t="inlineStr">
        <is>
          <t>VÄSTRA GÖTALANDS LÄN</t>
        </is>
      </c>
      <c r="E13699" t="inlineStr">
        <is>
          <t>SVENLJUNGA</t>
        </is>
      </c>
      <c r="G13699" t="n">
        <v>0.8</v>
      </c>
      <c r="H13699" t="n">
        <v>0</v>
      </c>
      <c r="I13699" t="n">
        <v>0</v>
      </c>
      <c r="J13699" t="n">
        <v>0</v>
      </c>
      <c r="K13699" t="n">
        <v>0</v>
      </c>
      <c r="L13699" t="n">
        <v>0</v>
      </c>
      <c r="M13699" t="n">
        <v>0</v>
      </c>
      <c r="N13699" t="n">
        <v>0</v>
      </c>
      <c r="O13699" t="n">
        <v>0</v>
      </c>
      <c r="P13699" t="n">
        <v>0</v>
      </c>
      <c r="Q13699" t="n">
        <v>0</v>
      </c>
      <c r="R13699" s="2" t="inlineStr"/>
    </row>
    <row r="13700" ht="15" customHeight="1">
      <c r="A13700" t="inlineStr">
        <is>
          <t>A 33186-2024</t>
        </is>
      </c>
      <c r="B13700" s="1" t="n">
        <v>45518.46350694444</v>
      </c>
      <c r="C13700" s="1" t="n">
        <v>45952</v>
      </c>
      <c r="D13700" t="inlineStr">
        <is>
          <t>VÄSTRA GÖTALANDS LÄN</t>
        </is>
      </c>
      <c r="E13700" t="inlineStr">
        <is>
          <t>SVENLJUNGA</t>
        </is>
      </c>
      <c r="G13700" t="n">
        <v>1.3</v>
      </c>
      <c r="H13700" t="n">
        <v>0</v>
      </c>
      <c r="I13700" t="n">
        <v>0</v>
      </c>
      <c r="J13700" t="n">
        <v>0</v>
      </c>
      <c r="K13700" t="n">
        <v>0</v>
      </c>
      <c r="L13700" t="n">
        <v>0</v>
      </c>
      <c r="M13700" t="n">
        <v>0</v>
      </c>
      <c r="N13700" t="n">
        <v>0</v>
      </c>
      <c r="O13700" t="n">
        <v>0</v>
      </c>
      <c r="P13700" t="n">
        <v>0</v>
      </c>
      <c r="Q13700" t="n">
        <v>0</v>
      </c>
      <c r="R13700" s="2" t="inlineStr"/>
    </row>
    <row r="13701" ht="15" customHeight="1">
      <c r="A13701" t="inlineStr">
        <is>
          <t>A 30411-2021</t>
        </is>
      </c>
      <c r="B13701" s="1" t="n">
        <v>44364.53988425926</v>
      </c>
      <c r="C13701" s="1" t="n">
        <v>45952</v>
      </c>
      <c r="D13701" t="inlineStr">
        <is>
          <t>VÄSTRA GÖTALANDS LÄN</t>
        </is>
      </c>
      <c r="E13701" t="inlineStr">
        <is>
          <t>HJO</t>
        </is>
      </c>
      <c r="G13701" t="n">
        <v>1.7</v>
      </c>
      <c r="H13701" t="n">
        <v>0</v>
      </c>
      <c r="I13701" t="n">
        <v>0</v>
      </c>
      <c r="J13701" t="n">
        <v>0</v>
      </c>
      <c r="K13701" t="n">
        <v>0</v>
      </c>
      <c r="L13701" t="n">
        <v>0</v>
      </c>
      <c r="M13701" t="n">
        <v>0</v>
      </c>
      <c r="N13701" t="n">
        <v>0</v>
      </c>
      <c r="O13701" t="n">
        <v>0</v>
      </c>
      <c r="P13701" t="n">
        <v>0</v>
      </c>
      <c r="Q13701" t="n">
        <v>0</v>
      </c>
      <c r="R13701" s="2" t="inlineStr"/>
    </row>
    <row r="13702" ht="15" customHeight="1">
      <c r="A13702" t="inlineStr">
        <is>
          <t>A 45330-2025</t>
        </is>
      </c>
      <c r="B13702" s="1" t="n">
        <v>45922.33628472222</v>
      </c>
      <c r="C13702" s="1" t="n">
        <v>45952</v>
      </c>
      <c r="D13702" t="inlineStr">
        <is>
          <t>VÄSTRA GÖTALANDS LÄN</t>
        </is>
      </c>
      <c r="E13702" t="inlineStr">
        <is>
          <t>HERRLJUNGA</t>
        </is>
      </c>
      <c r="G13702" t="n">
        <v>10.6</v>
      </c>
      <c r="H13702" t="n">
        <v>0</v>
      </c>
      <c r="I13702" t="n">
        <v>0</v>
      </c>
      <c r="J13702" t="n">
        <v>0</v>
      </c>
      <c r="K13702" t="n">
        <v>0</v>
      </c>
      <c r="L13702" t="n">
        <v>0</v>
      </c>
      <c r="M13702" t="n">
        <v>0</v>
      </c>
      <c r="N13702" t="n">
        <v>0</v>
      </c>
      <c r="O13702" t="n">
        <v>0</v>
      </c>
      <c r="P13702" t="n">
        <v>0</v>
      </c>
      <c r="Q13702" t="n">
        <v>0</v>
      </c>
      <c r="R13702" s="2" t="inlineStr"/>
    </row>
    <row r="13703" ht="15" customHeight="1">
      <c r="A13703" t="inlineStr">
        <is>
          <t>A 45345-2025</t>
        </is>
      </c>
      <c r="B13703" s="1" t="n">
        <v>45922.34819444444</v>
      </c>
      <c r="C13703" s="1" t="n">
        <v>45952</v>
      </c>
      <c r="D13703" t="inlineStr">
        <is>
          <t>VÄSTRA GÖTALANDS LÄN</t>
        </is>
      </c>
      <c r="E13703" t="inlineStr">
        <is>
          <t>TANUM</t>
        </is>
      </c>
      <c r="G13703" t="n">
        <v>1.3</v>
      </c>
      <c r="H13703" t="n">
        <v>0</v>
      </c>
      <c r="I13703" t="n">
        <v>0</v>
      </c>
      <c r="J13703" t="n">
        <v>0</v>
      </c>
      <c r="K13703" t="n">
        <v>0</v>
      </c>
      <c r="L13703" t="n">
        <v>0</v>
      </c>
      <c r="M13703" t="n">
        <v>0</v>
      </c>
      <c r="N13703" t="n">
        <v>0</v>
      </c>
      <c r="O13703" t="n">
        <v>0</v>
      </c>
      <c r="P13703" t="n">
        <v>0</v>
      </c>
      <c r="Q13703" t="n">
        <v>0</v>
      </c>
      <c r="R13703" s="2" t="inlineStr"/>
    </row>
    <row r="13704" ht="15" customHeight="1">
      <c r="A13704" t="inlineStr">
        <is>
          <t>A 15322-2024</t>
        </is>
      </c>
      <c r="B13704" s="1" t="n">
        <v>45400.66760416667</v>
      </c>
      <c r="C13704" s="1" t="n">
        <v>45952</v>
      </c>
      <c r="D13704" t="inlineStr">
        <is>
          <t>VÄSTRA GÖTALANDS LÄN</t>
        </is>
      </c>
      <c r="E13704" t="inlineStr">
        <is>
          <t>SVENLJUNGA</t>
        </is>
      </c>
      <c r="G13704" t="n">
        <v>3.7</v>
      </c>
      <c r="H13704" t="n">
        <v>0</v>
      </c>
      <c r="I13704" t="n">
        <v>0</v>
      </c>
      <c r="J13704" t="n">
        <v>0</v>
      </c>
      <c r="K13704" t="n">
        <v>0</v>
      </c>
      <c r="L13704" t="n">
        <v>0</v>
      </c>
      <c r="M13704" t="n">
        <v>0</v>
      </c>
      <c r="N13704" t="n">
        <v>0</v>
      </c>
      <c r="O13704" t="n">
        <v>0</v>
      </c>
      <c r="P13704" t="n">
        <v>0</v>
      </c>
      <c r="Q13704" t="n">
        <v>0</v>
      </c>
      <c r="R13704" s="2" t="inlineStr"/>
    </row>
    <row r="13705" ht="15" customHeight="1">
      <c r="A13705" t="inlineStr">
        <is>
          <t>A 6826-2021</t>
        </is>
      </c>
      <c r="B13705" s="1" t="n">
        <v>44237</v>
      </c>
      <c r="C13705" s="1" t="n">
        <v>45952</v>
      </c>
      <c r="D13705" t="inlineStr">
        <is>
          <t>VÄSTRA GÖTALANDS LÄN</t>
        </is>
      </c>
      <c r="E13705" t="inlineStr">
        <is>
          <t>DALS-ED</t>
        </is>
      </c>
      <c r="G13705" t="n">
        <v>3.2</v>
      </c>
      <c r="H13705" t="n">
        <v>0</v>
      </c>
      <c r="I13705" t="n">
        <v>0</v>
      </c>
      <c r="J13705" t="n">
        <v>0</v>
      </c>
      <c r="K13705" t="n">
        <v>0</v>
      </c>
      <c r="L13705" t="n">
        <v>0</v>
      </c>
      <c r="M13705" t="n">
        <v>0</v>
      </c>
      <c r="N13705" t="n">
        <v>0</v>
      </c>
      <c r="O13705" t="n">
        <v>0</v>
      </c>
      <c r="P13705" t="n">
        <v>0</v>
      </c>
      <c r="Q13705" t="n">
        <v>0</v>
      </c>
      <c r="R13705" s="2" t="inlineStr"/>
    </row>
    <row r="13706" ht="15" customHeight="1">
      <c r="A13706" t="inlineStr">
        <is>
          <t>A 43477-2025</t>
        </is>
      </c>
      <c r="B13706" s="1" t="n">
        <v>45911.49023148148</v>
      </c>
      <c r="C13706" s="1" t="n">
        <v>45952</v>
      </c>
      <c r="D13706" t="inlineStr">
        <is>
          <t>VÄSTRA GÖTALANDS LÄN</t>
        </is>
      </c>
      <c r="E13706" t="inlineStr">
        <is>
          <t>MARK</t>
        </is>
      </c>
      <c r="G13706" t="n">
        <v>4.5</v>
      </c>
      <c r="H13706" t="n">
        <v>0</v>
      </c>
      <c r="I13706" t="n">
        <v>0</v>
      </c>
      <c r="J13706" t="n">
        <v>0</v>
      </c>
      <c r="K13706" t="n">
        <v>0</v>
      </c>
      <c r="L13706" t="n">
        <v>0</v>
      </c>
      <c r="M13706" t="n">
        <v>0</v>
      </c>
      <c r="N13706" t="n">
        <v>0</v>
      </c>
      <c r="O13706" t="n">
        <v>0</v>
      </c>
      <c r="P13706" t="n">
        <v>0</v>
      </c>
      <c r="Q13706" t="n">
        <v>0</v>
      </c>
      <c r="R13706" s="2" t="inlineStr"/>
    </row>
    <row r="13707" ht="15" customHeight="1">
      <c r="A13707" t="inlineStr">
        <is>
          <t>A 44878-2025</t>
        </is>
      </c>
      <c r="B13707" s="1" t="n">
        <v>45918</v>
      </c>
      <c r="C13707" s="1" t="n">
        <v>45952</v>
      </c>
      <c r="D13707" t="inlineStr">
        <is>
          <t>VÄSTRA GÖTALANDS LÄN</t>
        </is>
      </c>
      <c r="E13707" t="inlineStr">
        <is>
          <t>SVENLJUNGA</t>
        </is>
      </c>
      <c r="G13707" t="n">
        <v>1.3</v>
      </c>
      <c r="H13707" t="n">
        <v>0</v>
      </c>
      <c r="I13707" t="n">
        <v>0</v>
      </c>
      <c r="J13707" t="n">
        <v>0</v>
      </c>
      <c r="K13707" t="n">
        <v>0</v>
      </c>
      <c r="L13707" t="n">
        <v>0</v>
      </c>
      <c r="M13707" t="n">
        <v>0</v>
      </c>
      <c r="N13707" t="n">
        <v>0</v>
      </c>
      <c r="O13707" t="n">
        <v>0</v>
      </c>
      <c r="P13707" t="n">
        <v>0</v>
      </c>
      <c r="Q13707" t="n">
        <v>0</v>
      </c>
      <c r="R13707" s="2" t="inlineStr"/>
    </row>
    <row r="13708" ht="15" customHeight="1">
      <c r="A13708" t="inlineStr">
        <is>
          <t>A 62205-2023</t>
        </is>
      </c>
      <c r="B13708" s="1" t="n">
        <v>45267.48306712963</v>
      </c>
      <c r="C13708" s="1" t="n">
        <v>45952</v>
      </c>
      <c r="D13708" t="inlineStr">
        <is>
          <t>VÄSTRA GÖTALANDS LÄN</t>
        </is>
      </c>
      <c r="E13708" t="inlineStr">
        <is>
          <t>TRANEMO</t>
        </is>
      </c>
      <c r="G13708" t="n">
        <v>3</v>
      </c>
      <c r="H13708" t="n">
        <v>0</v>
      </c>
      <c r="I13708" t="n">
        <v>0</v>
      </c>
      <c r="J13708" t="n">
        <v>0</v>
      </c>
      <c r="K13708" t="n">
        <v>0</v>
      </c>
      <c r="L13708" t="n">
        <v>0</v>
      </c>
      <c r="M13708" t="n">
        <v>0</v>
      </c>
      <c r="N13708" t="n">
        <v>0</v>
      </c>
      <c r="O13708" t="n">
        <v>0</v>
      </c>
      <c r="P13708" t="n">
        <v>0</v>
      </c>
      <c r="Q13708" t="n">
        <v>0</v>
      </c>
      <c r="R13708" s="2" t="inlineStr"/>
    </row>
    <row r="13709" ht="15" customHeight="1">
      <c r="A13709" t="inlineStr">
        <is>
          <t>A 42434-2024</t>
        </is>
      </c>
      <c r="B13709" s="1" t="n">
        <v>45565.41542824074</v>
      </c>
      <c r="C13709" s="1" t="n">
        <v>45952</v>
      </c>
      <c r="D13709" t="inlineStr">
        <is>
          <t>VÄSTRA GÖTALANDS LÄN</t>
        </is>
      </c>
      <c r="E13709" t="inlineStr">
        <is>
          <t>DALS-ED</t>
        </is>
      </c>
      <c r="G13709" t="n">
        <v>0.9</v>
      </c>
      <c r="H13709" t="n">
        <v>0</v>
      </c>
      <c r="I13709" t="n">
        <v>0</v>
      </c>
      <c r="J13709" t="n">
        <v>0</v>
      </c>
      <c r="K13709" t="n">
        <v>0</v>
      </c>
      <c r="L13709" t="n">
        <v>0</v>
      </c>
      <c r="M13709" t="n">
        <v>0</v>
      </c>
      <c r="N13709" t="n">
        <v>0</v>
      </c>
      <c r="O13709" t="n">
        <v>0</v>
      </c>
      <c r="P13709" t="n">
        <v>0</v>
      </c>
      <c r="Q13709" t="n">
        <v>0</v>
      </c>
      <c r="R13709" s="2" t="inlineStr"/>
    </row>
    <row r="13710" ht="15" customHeight="1">
      <c r="A13710" t="inlineStr">
        <is>
          <t>A 42456-2024</t>
        </is>
      </c>
      <c r="B13710" s="1" t="n">
        <v>45565.46021990741</v>
      </c>
      <c r="C13710" s="1" t="n">
        <v>45952</v>
      </c>
      <c r="D13710" t="inlineStr">
        <is>
          <t>VÄSTRA GÖTALANDS LÄN</t>
        </is>
      </c>
      <c r="E13710" t="inlineStr">
        <is>
          <t>TROLLHÄTTAN</t>
        </is>
      </c>
      <c r="G13710" t="n">
        <v>0.5</v>
      </c>
      <c r="H13710" t="n">
        <v>0</v>
      </c>
      <c r="I13710" t="n">
        <v>0</v>
      </c>
      <c r="J13710" t="n">
        <v>0</v>
      </c>
      <c r="K13710" t="n">
        <v>0</v>
      </c>
      <c r="L13710" t="n">
        <v>0</v>
      </c>
      <c r="M13710" t="n">
        <v>0</v>
      </c>
      <c r="N13710" t="n">
        <v>0</v>
      </c>
      <c r="O13710" t="n">
        <v>0</v>
      </c>
      <c r="P13710" t="n">
        <v>0</v>
      </c>
      <c r="Q13710" t="n">
        <v>0</v>
      </c>
      <c r="R13710" s="2" t="inlineStr"/>
    </row>
    <row r="13711" ht="15" customHeight="1">
      <c r="A13711" t="inlineStr">
        <is>
          <t>A 16330-2025</t>
        </is>
      </c>
      <c r="B13711" s="1" t="n">
        <v>45751.36060185185</v>
      </c>
      <c r="C13711" s="1" t="n">
        <v>45952</v>
      </c>
      <c r="D13711" t="inlineStr">
        <is>
          <t>VÄSTRA GÖTALANDS LÄN</t>
        </is>
      </c>
      <c r="E13711" t="inlineStr">
        <is>
          <t>UDDEVALLA</t>
        </is>
      </c>
      <c r="G13711" t="n">
        <v>2.5</v>
      </c>
      <c r="H13711" t="n">
        <v>0</v>
      </c>
      <c r="I13711" t="n">
        <v>0</v>
      </c>
      <c r="J13711" t="n">
        <v>0</v>
      </c>
      <c r="K13711" t="n">
        <v>0</v>
      </c>
      <c r="L13711" t="n">
        <v>0</v>
      </c>
      <c r="M13711" t="n">
        <v>0</v>
      </c>
      <c r="N13711" t="n">
        <v>0</v>
      </c>
      <c r="O13711" t="n">
        <v>0</v>
      </c>
      <c r="P13711" t="n">
        <v>0</v>
      </c>
      <c r="Q13711" t="n">
        <v>0</v>
      </c>
      <c r="R13711" s="2" t="inlineStr"/>
    </row>
    <row r="13712" ht="15" customHeight="1">
      <c r="A13712" t="inlineStr">
        <is>
          <t>A 45935-2025</t>
        </is>
      </c>
      <c r="B13712" s="1" t="n">
        <v>45923.90445601852</v>
      </c>
      <c r="C13712" s="1" t="n">
        <v>45952</v>
      </c>
      <c r="D13712" t="inlineStr">
        <is>
          <t>VÄSTRA GÖTALANDS LÄN</t>
        </is>
      </c>
      <c r="E13712" t="inlineStr">
        <is>
          <t>MELLERUD</t>
        </is>
      </c>
      <c r="G13712" t="n">
        <v>1.2</v>
      </c>
      <c r="H13712" t="n">
        <v>0</v>
      </c>
      <c r="I13712" t="n">
        <v>0</v>
      </c>
      <c r="J13712" t="n">
        <v>0</v>
      </c>
      <c r="K13712" t="n">
        <v>0</v>
      </c>
      <c r="L13712" t="n">
        <v>0</v>
      </c>
      <c r="M13712" t="n">
        <v>0</v>
      </c>
      <c r="N13712" t="n">
        <v>0</v>
      </c>
      <c r="O13712" t="n">
        <v>0</v>
      </c>
      <c r="P13712" t="n">
        <v>0</v>
      </c>
      <c r="Q13712" t="n">
        <v>0</v>
      </c>
      <c r="R13712" s="2" t="inlineStr"/>
    </row>
    <row r="13713" ht="15" customHeight="1">
      <c r="A13713" t="inlineStr">
        <is>
          <t>A 59266-2023</t>
        </is>
      </c>
      <c r="B13713" s="1" t="n">
        <v>45253.55190972222</v>
      </c>
      <c r="C13713" s="1" t="n">
        <v>45952</v>
      </c>
      <c r="D13713" t="inlineStr">
        <is>
          <t>VÄSTRA GÖTALANDS LÄN</t>
        </is>
      </c>
      <c r="E13713" t="inlineStr">
        <is>
          <t>VARA</t>
        </is>
      </c>
      <c r="G13713" t="n">
        <v>1.1</v>
      </c>
      <c r="H13713" t="n">
        <v>0</v>
      </c>
      <c r="I13713" t="n">
        <v>0</v>
      </c>
      <c r="J13713" t="n">
        <v>0</v>
      </c>
      <c r="K13713" t="n">
        <v>0</v>
      </c>
      <c r="L13713" t="n">
        <v>0</v>
      </c>
      <c r="M13713" t="n">
        <v>0</v>
      </c>
      <c r="N13713" t="n">
        <v>0</v>
      </c>
      <c r="O13713" t="n">
        <v>0</v>
      </c>
      <c r="P13713" t="n">
        <v>0</v>
      </c>
      <c r="Q13713" t="n">
        <v>0</v>
      </c>
      <c r="R13713" s="2" t="inlineStr"/>
    </row>
    <row r="13714" ht="15" customHeight="1">
      <c r="A13714" t="inlineStr">
        <is>
          <t>A 38243-2024</t>
        </is>
      </c>
      <c r="B13714" s="1" t="n">
        <v>45545.57233796296</v>
      </c>
      <c r="C13714" s="1" t="n">
        <v>45952</v>
      </c>
      <c r="D13714" t="inlineStr">
        <is>
          <t>VÄSTRA GÖTALANDS LÄN</t>
        </is>
      </c>
      <c r="E13714" t="inlineStr">
        <is>
          <t>ESSUNGA</t>
        </is>
      </c>
      <c r="G13714" t="n">
        <v>1.6</v>
      </c>
      <c r="H13714" t="n">
        <v>0</v>
      </c>
      <c r="I13714" t="n">
        <v>0</v>
      </c>
      <c r="J13714" t="n">
        <v>0</v>
      </c>
      <c r="K13714" t="n">
        <v>0</v>
      </c>
      <c r="L13714" t="n">
        <v>0</v>
      </c>
      <c r="M13714" t="n">
        <v>0</v>
      </c>
      <c r="N13714" t="n">
        <v>0</v>
      </c>
      <c r="O13714" t="n">
        <v>0</v>
      </c>
      <c r="P13714" t="n">
        <v>0</v>
      </c>
      <c r="Q13714" t="n">
        <v>0</v>
      </c>
      <c r="R13714" s="2" t="inlineStr"/>
    </row>
    <row r="13715" ht="15" customHeight="1">
      <c r="A13715" t="inlineStr">
        <is>
          <t>A 19384-2023</t>
        </is>
      </c>
      <c r="B13715" s="1" t="n">
        <v>45049</v>
      </c>
      <c r="C13715" s="1" t="n">
        <v>45952</v>
      </c>
      <c r="D13715" t="inlineStr">
        <is>
          <t>VÄSTRA GÖTALANDS LÄN</t>
        </is>
      </c>
      <c r="E13715" t="inlineStr">
        <is>
          <t>TIBRO</t>
        </is>
      </c>
      <c r="G13715" t="n">
        <v>1.3</v>
      </c>
      <c r="H13715" t="n">
        <v>0</v>
      </c>
      <c r="I13715" t="n">
        <v>0</v>
      </c>
      <c r="J13715" t="n">
        <v>0</v>
      </c>
      <c r="K13715" t="n">
        <v>0</v>
      </c>
      <c r="L13715" t="n">
        <v>0</v>
      </c>
      <c r="M13715" t="n">
        <v>0</v>
      </c>
      <c r="N13715" t="n">
        <v>0</v>
      </c>
      <c r="O13715" t="n">
        <v>0</v>
      </c>
      <c r="P13715" t="n">
        <v>0</v>
      </c>
      <c r="Q13715" t="n">
        <v>0</v>
      </c>
      <c r="R13715" s="2" t="inlineStr"/>
    </row>
    <row r="13716" ht="15" customHeight="1">
      <c r="A13716" t="inlineStr">
        <is>
          <t>A 19386-2023</t>
        </is>
      </c>
      <c r="B13716" s="1" t="n">
        <v>45049</v>
      </c>
      <c r="C13716" s="1" t="n">
        <v>45952</v>
      </c>
      <c r="D13716" t="inlineStr">
        <is>
          <t>VÄSTRA GÖTALANDS LÄN</t>
        </is>
      </c>
      <c r="E13716" t="inlineStr">
        <is>
          <t>FÄRGELANDA</t>
        </is>
      </c>
      <c r="G13716" t="n">
        <v>5.7</v>
      </c>
      <c r="H13716" t="n">
        <v>0</v>
      </c>
      <c r="I13716" t="n">
        <v>0</v>
      </c>
      <c r="J13716" t="n">
        <v>0</v>
      </c>
      <c r="K13716" t="n">
        <v>0</v>
      </c>
      <c r="L13716" t="n">
        <v>0</v>
      </c>
      <c r="M13716" t="n">
        <v>0</v>
      </c>
      <c r="N13716" t="n">
        <v>0</v>
      </c>
      <c r="O13716" t="n">
        <v>0</v>
      </c>
      <c r="P13716" t="n">
        <v>0</v>
      </c>
      <c r="Q13716" t="n">
        <v>0</v>
      </c>
      <c r="R13716" s="2" t="inlineStr"/>
    </row>
    <row r="13717" ht="15" customHeight="1">
      <c r="A13717" t="inlineStr">
        <is>
          <t>A 37641-2025</t>
        </is>
      </c>
      <c r="B13717" s="1" t="n">
        <v>45880.47754629629</v>
      </c>
      <c r="C13717" s="1" t="n">
        <v>45952</v>
      </c>
      <c r="D13717" t="inlineStr">
        <is>
          <t>VÄSTRA GÖTALANDS LÄN</t>
        </is>
      </c>
      <c r="E13717" t="inlineStr">
        <is>
          <t>TANUM</t>
        </is>
      </c>
      <c r="G13717" t="n">
        <v>5.9</v>
      </c>
      <c r="H13717" t="n">
        <v>0</v>
      </c>
      <c r="I13717" t="n">
        <v>0</v>
      </c>
      <c r="J13717" t="n">
        <v>0</v>
      </c>
      <c r="K13717" t="n">
        <v>0</v>
      </c>
      <c r="L13717" t="n">
        <v>0</v>
      </c>
      <c r="M13717" t="n">
        <v>0</v>
      </c>
      <c r="N13717" t="n">
        <v>0</v>
      </c>
      <c r="O13717" t="n">
        <v>0</v>
      </c>
      <c r="P13717" t="n">
        <v>0</v>
      </c>
      <c r="Q13717" t="n">
        <v>0</v>
      </c>
      <c r="R13717" s="2" t="inlineStr"/>
    </row>
    <row r="13718" ht="15" customHeight="1">
      <c r="A13718" t="inlineStr">
        <is>
          <t>A 37646-2025</t>
        </is>
      </c>
      <c r="B13718" s="1" t="n">
        <v>45880</v>
      </c>
      <c r="C13718" s="1" t="n">
        <v>45952</v>
      </c>
      <c r="D13718" t="inlineStr">
        <is>
          <t>VÄSTRA GÖTALANDS LÄN</t>
        </is>
      </c>
      <c r="E13718" t="inlineStr">
        <is>
          <t>BENGTSFORS</t>
        </is>
      </c>
      <c r="G13718" t="n">
        <v>4.9</v>
      </c>
      <c r="H13718" t="n">
        <v>0</v>
      </c>
      <c r="I13718" t="n">
        <v>0</v>
      </c>
      <c r="J13718" t="n">
        <v>0</v>
      </c>
      <c r="K13718" t="n">
        <v>0</v>
      </c>
      <c r="L13718" t="n">
        <v>0</v>
      </c>
      <c r="M13718" t="n">
        <v>0</v>
      </c>
      <c r="N13718" t="n">
        <v>0</v>
      </c>
      <c r="O13718" t="n">
        <v>0</v>
      </c>
      <c r="P13718" t="n">
        <v>0</v>
      </c>
      <c r="Q13718" t="n">
        <v>0</v>
      </c>
      <c r="R13718" s="2" t="inlineStr"/>
    </row>
    <row r="13719" ht="15" customHeight="1">
      <c r="A13719" t="inlineStr">
        <is>
          <t>A 19492-2023</t>
        </is>
      </c>
      <c r="B13719" s="1" t="n">
        <v>45050.45886574074</v>
      </c>
      <c r="C13719" s="1" t="n">
        <v>45952</v>
      </c>
      <c r="D13719" t="inlineStr">
        <is>
          <t>VÄSTRA GÖTALANDS LÄN</t>
        </is>
      </c>
      <c r="E13719" t="inlineStr">
        <is>
          <t>TRANEMO</t>
        </is>
      </c>
      <c r="G13719" t="n">
        <v>1.5</v>
      </c>
      <c r="H13719" t="n">
        <v>0</v>
      </c>
      <c r="I13719" t="n">
        <v>0</v>
      </c>
      <c r="J13719" t="n">
        <v>0</v>
      </c>
      <c r="K13719" t="n">
        <v>0</v>
      </c>
      <c r="L13719" t="n">
        <v>0</v>
      </c>
      <c r="M13719" t="n">
        <v>0</v>
      </c>
      <c r="N13719" t="n">
        <v>0</v>
      </c>
      <c r="O13719" t="n">
        <v>0</v>
      </c>
      <c r="P13719" t="n">
        <v>0</v>
      </c>
      <c r="Q13719" t="n">
        <v>0</v>
      </c>
      <c r="R13719" s="2" t="inlineStr"/>
    </row>
    <row r="13720" ht="15" customHeight="1">
      <c r="A13720" t="inlineStr">
        <is>
          <t>A 20727-2023</t>
        </is>
      </c>
      <c r="B13720" s="1" t="n">
        <v>45058.48152777777</v>
      </c>
      <c r="C13720" s="1" t="n">
        <v>45952</v>
      </c>
      <c r="D13720" t="inlineStr">
        <is>
          <t>VÄSTRA GÖTALANDS LÄN</t>
        </is>
      </c>
      <c r="E13720" t="inlineStr">
        <is>
          <t>HÄRRYDA</t>
        </is>
      </c>
      <c r="G13720" t="n">
        <v>1</v>
      </c>
      <c r="H13720" t="n">
        <v>0</v>
      </c>
      <c r="I13720" t="n">
        <v>0</v>
      </c>
      <c r="J13720" t="n">
        <v>0</v>
      </c>
      <c r="K13720" t="n">
        <v>0</v>
      </c>
      <c r="L13720" t="n">
        <v>0</v>
      </c>
      <c r="M13720" t="n">
        <v>0</v>
      </c>
      <c r="N13720" t="n">
        <v>0</v>
      </c>
      <c r="O13720" t="n">
        <v>0</v>
      </c>
      <c r="P13720" t="n">
        <v>0</v>
      </c>
      <c r="Q13720" t="n">
        <v>0</v>
      </c>
      <c r="R13720" s="2" t="inlineStr"/>
    </row>
    <row r="13721" ht="15" customHeight="1">
      <c r="A13721" t="inlineStr">
        <is>
          <t>A 45712-2025</t>
        </is>
      </c>
      <c r="B13721" s="1" t="n">
        <v>45923.43152777778</v>
      </c>
      <c r="C13721" s="1" t="n">
        <v>45952</v>
      </c>
      <c r="D13721" t="inlineStr">
        <is>
          <t>VÄSTRA GÖTALANDS LÄN</t>
        </is>
      </c>
      <c r="E13721" t="inlineStr">
        <is>
          <t>VÄNERSBORG</t>
        </is>
      </c>
      <c r="G13721" t="n">
        <v>1.4</v>
      </c>
      <c r="H13721" t="n">
        <v>0</v>
      </c>
      <c r="I13721" t="n">
        <v>0</v>
      </c>
      <c r="J13721" t="n">
        <v>0</v>
      </c>
      <c r="K13721" t="n">
        <v>0</v>
      </c>
      <c r="L13721" t="n">
        <v>0</v>
      </c>
      <c r="M13721" t="n">
        <v>0</v>
      </c>
      <c r="N13721" t="n">
        <v>0</v>
      </c>
      <c r="O13721" t="n">
        <v>0</v>
      </c>
      <c r="P13721" t="n">
        <v>0</v>
      </c>
      <c r="Q13721" t="n">
        <v>0</v>
      </c>
      <c r="R13721" s="2" t="inlineStr"/>
    </row>
    <row r="13722" ht="15" customHeight="1">
      <c r="A13722" t="inlineStr">
        <is>
          <t>A 45736-2025</t>
        </is>
      </c>
      <c r="B13722" s="1" t="n">
        <v>45923.46587962963</v>
      </c>
      <c r="C13722" s="1" t="n">
        <v>45952</v>
      </c>
      <c r="D13722" t="inlineStr">
        <is>
          <t>VÄSTRA GÖTALANDS LÄN</t>
        </is>
      </c>
      <c r="E13722" t="inlineStr">
        <is>
          <t>HJO</t>
        </is>
      </c>
      <c r="G13722" t="n">
        <v>1.4</v>
      </c>
      <c r="H13722" t="n">
        <v>0</v>
      </c>
      <c r="I13722" t="n">
        <v>0</v>
      </c>
      <c r="J13722" t="n">
        <v>0</v>
      </c>
      <c r="K13722" t="n">
        <v>0</v>
      </c>
      <c r="L13722" t="n">
        <v>0</v>
      </c>
      <c r="M13722" t="n">
        <v>0</v>
      </c>
      <c r="N13722" t="n">
        <v>0</v>
      </c>
      <c r="O13722" t="n">
        <v>0</v>
      </c>
      <c r="P13722" t="n">
        <v>0</v>
      </c>
      <c r="Q13722" t="n">
        <v>0</v>
      </c>
      <c r="R13722" s="2" t="inlineStr"/>
    </row>
    <row r="13723" ht="15" customHeight="1">
      <c r="A13723" t="inlineStr">
        <is>
          <t>A 36974-2024</t>
        </is>
      </c>
      <c r="B13723" s="1" t="n">
        <v>45538.89228009259</v>
      </c>
      <c r="C13723" s="1" t="n">
        <v>45952</v>
      </c>
      <c r="D13723" t="inlineStr">
        <is>
          <t>VÄSTRA GÖTALANDS LÄN</t>
        </is>
      </c>
      <c r="E13723" t="inlineStr">
        <is>
          <t>VÅRGÅRDA</t>
        </is>
      </c>
      <c r="G13723" t="n">
        <v>1.5</v>
      </c>
      <c r="H13723" t="n">
        <v>0</v>
      </c>
      <c r="I13723" t="n">
        <v>0</v>
      </c>
      <c r="J13723" t="n">
        <v>0</v>
      </c>
      <c r="K13723" t="n">
        <v>0</v>
      </c>
      <c r="L13723" t="n">
        <v>0</v>
      </c>
      <c r="M13723" t="n">
        <v>0</v>
      </c>
      <c r="N13723" t="n">
        <v>0</v>
      </c>
      <c r="O13723" t="n">
        <v>0</v>
      </c>
      <c r="P13723" t="n">
        <v>0</v>
      </c>
      <c r="Q13723" t="n">
        <v>0</v>
      </c>
      <c r="R13723" s="2" t="inlineStr"/>
    </row>
    <row r="13724" ht="15" customHeight="1">
      <c r="A13724" t="inlineStr">
        <is>
          <t>A 45751-2025</t>
        </is>
      </c>
      <c r="B13724" s="1" t="n">
        <v>45923.48826388889</v>
      </c>
      <c r="C13724" s="1" t="n">
        <v>45952</v>
      </c>
      <c r="D13724" t="inlineStr">
        <is>
          <t>VÄSTRA GÖTALANDS LÄN</t>
        </is>
      </c>
      <c r="E13724" t="inlineStr">
        <is>
          <t>ULRICEHAMN</t>
        </is>
      </c>
      <c r="G13724" t="n">
        <v>3.9</v>
      </c>
      <c r="H13724" t="n">
        <v>0</v>
      </c>
      <c r="I13724" t="n">
        <v>0</v>
      </c>
      <c r="J13724" t="n">
        <v>0</v>
      </c>
      <c r="K13724" t="n">
        <v>0</v>
      </c>
      <c r="L13724" t="n">
        <v>0</v>
      </c>
      <c r="M13724" t="n">
        <v>0</v>
      </c>
      <c r="N13724" t="n">
        <v>0</v>
      </c>
      <c r="O13724" t="n">
        <v>0</v>
      </c>
      <c r="P13724" t="n">
        <v>0</v>
      </c>
      <c r="Q13724" t="n">
        <v>0</v>
      </c>
      <c r="R13724" s="2" t="inlineStr"/>
    </row>
    <row r="13725" ht="15" customHeight="1">
      <c r="A13725" t="inlineStr">
        <is>
          <t>A 55071-2023</t>
        </is>
      </c>
      <c r="B13725" s="1" t="n">
        <v>45237</v>
      </c>
      <c r="C13725" s="1" t="n">
        <v>45952</v>
      </c>
      <c r="D13725" t="inlineStr">
        <is>
          <t>VÄSTRA GÖTALANDS LÄN</t>
        </is>
      </c>
      <c r="E13725" t="inlineStr">
        <is>
          <t>HÄRRYDA</t>
        </is>
      </c>
      <c r="G13725" t="n">
        <v>1.5</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45775-2025</t>
        </is>
      </c>
      <c r="B13726" s="1" t="n">
        <v>45923.54349537037</v>
      </c>
      <c r="C13726" s="1" t="n">
        <v>45952</v>
      </c>
      <c r="D13726" t="inlineStr">
        <is>
          <t>VÄSTRA GÖTALANDS LÄN</t>
        </is>
      </c>
      <c r="E13726" t="inlineStr">
        <is>
          <t>SVENLJUNGA</t>
        </is>
      </c>
      <c r="F13726" t="inlineStr">
        <is>
          <t>Kyrkan</t>
        </is>
      </c>
      <c r="G13726" t="n">
        <v>2.6</v>
      </c>
      <c r="H13726" t="n">
        <v>0</v>
      </c>
      <c r="I13726" t="n">
        <v>0</v>
      </c>
      <c r="J13726" t="n">
        <v>0</v>
      </c>
      <c r="K13726" t="n">
        <v>0</v>
      </c>
      <c r="L13726" t="n">
        <v>0</v>
      </c>
      <c r="M13726" t="n">
        <v>0</v>
      </c>
      <c r="N13726" t="n">
        <v>0</v>
      </c>
      <c r="O13726" t="n">
        <v>0</v>
      </c>
      <c r="P13726" t="n">
        <v>0</v>
      </c>
      <c r="Q13726" t="n">
        <v>0</v>
      </c>
      <c r="R13726" s="2" t="inlineStr"/>
    </row>
    <row r="13727" ht="15" customHeight="1">
      <c r="A13727" t="inlineStr">
        <is>
          <t>A 60342-2020</t>
        </is>
      </c>
      <c r="B13727" s="1" t="n">
        <v>44152.69108796296</v>
      </c>
      <c r="C13727" s="1" t="n">
        <v>45952</v>
      </c>
      <c r="D13727" t="inlineStr">
        <is>
          <t>VÄSTRA GÖTALANDS LÄN</t>
        </is>
      </c>
      <c r="E13727" t="inlineStr">
        <is>
          <t>SKÖVDE</t>
        </is>
      </c>
      <c r="G13727" t="n">
        <v>1.3</v>
      </c>
      <c r="H13727" t="n">
        <v>0</v>
      </c>
      <c r="I13727" t="n">
        <v>0</v>
      </c>
      <c r="J13727" t="n">
        <v>0</v>
      </c>
      <c r="K13727" t="n">
        <v>0</v>
      </c>
      <c r="L13727" t="n">
        <v>0</v>
      </c>
      <c r="M13727" t="n">
        <v>0</v>
      </c>
      <c r="N13727" t="n">
        <v>0</v>
      </c>
      <c r="O13727" t="n">
        <v>0</v>
      </c>
      <c r="P13727" t="n">
        <v>0</v>
      </c>
      <c r="Q13727" t="n">
        <v>0</v>
      </c>
      <c r="R13727" s="2" t="inlineStr"/>
    </row>
    <row r="13728" ht="15" customHeight="1">
      <c r="A13728" t="inlineStr">
        <is>
          <t>A 31321-2025</t>
        </is>
      </c>
      <c r="B13728" s="1" t="n">
        <v>45833</v>
      </c>
      <c r="C13728" s="1" t="n">
        <v>45952</v>
      </c>
      <c r="D13728" t="inlineStr">
        <is>
          <t>VÄSTRA GÖTALANDS LÄN</t>
        </is>
      </c>
      <c r="E13728" t="inlineStr">
        <is>
          <t>MÖLNDAL</t>
        </is>
      </c>
      <c r="G13728" t="n">
        <v>6.4</v>
      </c>
      <c r="H13728" t="n">
        <v>0</v>
      </c>
      <c r="I13728" t="n">
        <v>0</v>
      </c>
      <c r="J13728" t="n">
        <v>0</v>
      </c>
      <c r="K13728" t="n">
        <v>0</v>
      </c>
      <c r="L13728" t="n">
        <v>0</v>
      </c>
      <c r="M13728" t="n">
        <v>0</v>
      </c>
      <c r="N13728" t="n">
        <v>0</v>
      </c>
      <c r="O13728" t="n">
        <v>0</v>
      </c>
      <c r="P13728" t="n">
        <v>0</v>
      </c>
      <c r="Q13728" t="n">
        <v>0</v>
      </c>
      <c r="R13728" s="2" t="inlineStr"/>
    </row>
    <row r="13729" ht="15" customHeight="1">
      <c r="A13729" t="inlineStr">
        <is>
          <t>A 62102-2020</t>
        </is>
      </c>
      <c r="B13729" s="1" t="n">
        <v>44159</v>
      </c>
      <c r="C13729" s="1" t="n">
        <v>45952</v>
      </c>
      <c r="D13729" t="inlineStr">
        <is>
          <t>VÄSTRA GÖTALANDS LÄN</t>
        </is>
      </c>
      <c r="E13729" t="inlineStr">
        <is>
          <t>MARK</t>
        </is>
      </c>
      <c r="F13729" t="inlineStr">
        <is>
          <t>Kommuner</t>
        </is>
      </c>
      <c r="G13729" t="n">
        <v>1.1</v>
      </c>
      <c r="H13729" t="n">
        <v>0</v>
      </c>
      <c r="I13729" t="n">
        <v>0</v>
      </c>
      <c r="J13729" t="n">
        <v>0</v>
      </c>
      <c r="K13729" t="n">
        <v>0</v>
      </c>
      <c r="L13729" t="n">
        <v>0</v>
      </c>
      <c r="M13729" t="n">
        <v>0</v>
      </c>
      <c r="N13729" t="n">
        <v>0</v>
      </c>
      <c r="O13729" t="n">
        <v>0</v>
      </c>
      <c r="P13729" t="n">
        <v>0</v>
      </c>
      <c r="Q13729" t="n">
        <v>0</v>
      </c>
      <c r="R13729" s="2" t="inlineStr"/>
    </row>
    <row r="13730" ht="15" customHeight="1">
      <c r="A13730" t="inlineStr">
        <is>
          <t>A 62104-2020</t>
        </is>
      </c>
      <c r="B13730" s="1" t="n">
        <v>44159</v>
      </c>
      <c r="C13730" s="1" t="n">
        <v>45952</v>
      </c>
      <c r="D13730" t="inlineStr">
        <is>
          <t>VÄSTRA GÖTALANDS LÄN</t>
        </is>
      </c>
      <c r="E13730" t="inlineStr">
        <is>
          <t>MARK</t>
        </is>
      </c>
      <c r="F13730" t="inlineStr">
        <is>
          <t>Kommuner</t>
        </is>
      </c>
      <c r="G13730" t="n">
        <v>5</v>
      </c>
      <c r="H13730" t="n">
        <v>0</v>
      </c>
      <c r="I13730" t="n">
        <v>0</v>
      </c>
      <c r="J13730" t="n">
        <v>0</v>
      </c>
      <c r="K13730" t="n">
        <v>0</v>
      </c>
      <c r="L13730" t="n">
        <v>0</v>
      </c>
      <c r="M13730" t="n">
        <v>0</v>
      </c>
      <c r="N13730" t="n">
        <v>0</v>
      </c>
      <c r="O13730" t="n">
        <v>0</v>
      </c>
      <c r="P13730" t="n">
        <v>0</v>
      </c>
      <c r="Q13730" t="n">
        <v>0</v>
      </c>
      <c r="R13730" s="2" t="inlineStr"/>
    </row>
    <row r="13731" ht="15" customHeight="1">
      <c r="A13731" t="inlineStr">
        <is>
          <t>A 14313-2023</t>
        </is>
      </c>
      <c r="B13731" s="1" t="n">
        <v>45011</v>
      </c>
      <c r="C13731" s="1" t="n">
        <v>45952</v>
      </c>
      <c r="D13731" t="inlineStr">
        <is>
          <t>VÄSTRA GÖTALANDS LÄN</t>
        </is>
      </c>
      <c r="E13731" t="inlineStr">
        <is>
          <t>ALINGSÅS</t>
        </is>
      </c>
      <c r="G13731" t="n">
        <v>3.8</v>
      </c>
      <c r="H13731" t="n">
        <v>0</v>
      </c>
      <c r="I13731" t="n">
        <v>0</v>
      </c>
      <c r="J13731" t="n">
        <v>0</v>
      </c>
      <c r="K13731" t="n">
        <v>0</v>
      </c>
      <c r="L13731" t="n">
        <v>0</v>
      </c>
      <c r="M13731" t="n">
        <v>0</v>
      </c>
      <c r="N13731" t="n">
        <v>0</v>
      </c>
      <c r="O13731" t="n">
        <v>0</v>
      </c>
      <c r="P13731" t="n">
        <v>0</v>
      </c>
      <c r="Q13731" t="n">
        <v>0</v>
      </c>
      <c r="R13731" s="2" t="inlineStr"/>
    </row>
    <row r="13732" ht="15" customHeight="1">
      <c r="A13732" t="inlineStr">
        <is>
          <t>A 7339-2025</t>
        </is>
      </c>
      <c r="B13732" s="1" t="n">
        <v>45703.51598379629</v>
      </c>
      <c r="C13732" s="1" t="n">
        <v>45952</v>
      </c>
      <c r="D13732" t="inlineStr">
        <is>
          <t>VÄSTRA GÖTALANDS LÄN</t>
        </is>
      </c>
      <c r="E13732" t="inlineStr">
        <is>
          <t>BOLLEBYGD</t>
        </is>
      </c>
      <c r="G13732" t="n">
        <v>3.3</v>
      </c>
      <c r="H13732" t="n">
        <v>0</v>
      </c>
      <c r="I13732" t="n">
        <v>0</v>
      </c>
      <c r="J13732" t="n">
        <v>0</v>
      </c>
      <c r="K13732" t="n">
        <v>0</v>
      </c>
      <c r="L13732" t="n">
        <v>0</v>
      </c>
      <c r="M13732" t="n">
        <v>0</v>
      </c>
      <c r="N13732" t="n">
        <v>0</v>
      </c>
      <c r="O13732" t="n">
        <v>0</v>
      </c>
      <c r="P13732" t="n">
        <v>0</v>
      </c>
      <c r="Q13732" t="n">
        <v>0</v>
      </c>
      <c r="R13732" s="2" t="inlineStr"/>
    </row>
    <row r="13733" ht="15" customHeight="1">
      <c r="A13733" t="inlineStr">
        <is>
          <t>A 20233-2025</t>
        </is>
      </c>
      <c r="B13733" s="1" t="n">
        <v>45772.66884259259</v>
      </c>
      <c r="C13733" s="1" t="n">
        <v>45952</v>
      </c>
      <c r="D13733" t="inlineStr">
        <is>
          <t>VÄSTRA GÖTALANDS LÄN</t>
        </is>
      </c>
      <c r="E13733" t="inlineStr">
        <is>
          <t>HERRLJUNGA</t>
        </is>
      </c>
      <c r="G13733" t="n">
        <v>0.9</v>
      </c>
      <c r="H13733" t="n">
        <v>0</v>
      </c>
      <c r="I13733" t="n">
        <v>0</v>
      </c>
      <c r="J13733" t="n">
        <v>0</v>
      </c>
      <c r="K13733" t="n">
        <v>0</v>
      </c>
      <c r="L13733" t="n">
        <v>0</v>
      </c>
      <c r="M13733" t="n">
        <v>0</v>
      </c>
      <c r="N13733" t="n">
        <v>0</v>
      </c>
      <c r="O13733" t="n">
        <v>0</v>
      </c>
      <c r="P13733" t="n">
        <v>0</v>
      </c>
      <c r="Q13733" t="n">
        <v>0</v>
      </c>
      <c r="R13733" s="2" t="inlineStr"/>
    </row>
    <row r="13734" ht="15" customHeight="1">
      <c r="A13734" t="inlineStr">
        <is>
          <t>A 10079-2022</t>
        </is>
      </c>
      <c r="B13734" s="1" t="n">
        <v>44621</v>
      </c>
      <c r="C13734" s="1" t="n">
        <v>45952</v>
      </c>
      <c r="D13734" t="inlineStr">
        <is>
          <t>VÄSTRA GÖTALANDS LÄN</t>
        </is>
      </c>
      <c r="E13734" t="inlineStr">
        <is>
          <t>BENGTSFORS</t>
        </is>
      </c>
      <c r="G13734" t="n">
        <v>2.3</v>
      </c>
      <c r="H13734" t="n">
        <v>0</v>
      </c>
      <c r="I13734" t="n">
        <v>0</v>
      </c>
      <c r="J13734" t="n">
        <v>0</v>
      </c>
      <c r="K13734" t="n">
        <v>0</v>
      </c>
      <c r="L13734" t="n">
        <v>0</v>
      </c>
      <c r="M13734" t="n">
        <v>0</v>
      </c>
      <c r="N13734" t="n">
        <v>0</v>
      </c>
      <c r="O13734" t="n">
        <v>0</v>
      </c>
      <c r="P13734" t="n">
        <v>0</v>
      </c>
      <c r="Q13734" t="n">
        <v>0</v>
      </c>
      <c r="R13734" s="2" t="inlineStr"/>
    </row>
    <row r="13735" ht="15" customHeight="1">
      <c r="A13735" t="inlineStr">
        <is>
          <t>A 45408-2025</t>
        </is>
      </c>
      <c r="B13735" s="1" t="n">
        <v>45922.43204861111</v>
      </c>
      <c r="C13735" s="1" t="n">
        <v>45952</v>
      </c>
      <c r="D13735" t="inlineStr">
        <is>
          <t>VÄSTRA GÖTALANDS LÄN</t>
        </is>
      </c>
      <c r="E13735" t="inlineStr">
        <is>
          <t>GRÄSTORP</t>
        </is>
      </c>
      <c r="G13735" t="n">
        <v>1.7</v>
      </c>
      <c r="H13735" t="n">
        <v>0</v>
      </c>
      <c r="I13735" t="n">
        <v>0</v>
      </c>
      <c r="J13735" t="n">
        <v>0</v>
      </c>
      <c r="K13735" t="n">
        <v>0</v>
      </c>
      <c r="L13735" t="n">
        <v>0</v>
      </c>
      <c r="M13735" t="n">
        <v>0</v>
      </c>
      <c r="N13735" t="n">
        <v>0</v>
      </c>
      <c r="O13735" t="n">
        <v>0</v>
      </c>
      <c r="P13735" t="n">
        <v>0</v>
      </c>
      <c r="Q13735" t="n">
        <v>0</v>
      </c>
      <c r="R13735" s="2" t="inlineStr"/>
    </row>
    <row r="13736" ht="15" customHeight="1">
      <c r="A13736" t="inlineStr">
        <is>
          <t>A 26350-2022</t>
        </is>
      </c>
      <c r="B13736" s="1" t="n">
        <v>44735.63233796296</v>
      </c>
      <c r="C13736" s="1" t="n">
        <v>45952</v>
      </c>
      <c r="D13736" t="inlineStr">
        <is>
          <t>VÄSTRA GÖTALANDS LÄN</t>
        </is>
      </c>
      <c r="E13736" t="inlineStr">
        <is>
          <t>ULRICEHAMN</t>
        </is>
      </c>
      <c r="G13736" t="n">
        <v>2.7</v>
      </c>
      <c r="H13736" t="n">
        <v>0</v>
      </c>
      <c r="I13736" t="n">
        <v>0</v>
      </c>
      <c r="J13736" t="n">
        <v>0</v>
      </c>
      <c r="K13736" t="n">
        <v>0</v>
      </c>
      <c r="L13736" t="n">
        <v>0</v>
      </c>
      <c r="M13736" t="n">
        <v>0</v>
      </c>
      <c r="N13736" t="n">
        <v>0</v>
      </c>
      <c r="O13736" t="n">
        <v>0</v>
      </c>
      <c r="P13736" t="n">
        <v>0</v>
      </c>
      <c r="Q13736" t="n">
        <v>0</v>
      </c>
      <c r="R13736" s="2" t="inlineStr"/>
    </row>
    <row r="13737" ht="15" customHeight="1">
      <c r="A13737" t="inlineStr">
        <is>
          <t>A 45836-2025</t>
        </is>
      </c>
      <c r="B13737" s="1" t="n">
        <v>45923.61116898148</v>
      </c>
      <c r="C13737" s="1" t="n">
        <v>45952</v>
      </c>
      <c r="D13737" t="inlineStr">
        <is>
          <t>VÄSTRA GÖTALANDS LÄN</t>
        </is>
      </c>
      <c r="E13737" t="inlineStr">
        <is>
          <t>FALKÖPING</t>
        </is>
      </c>
      <c r="G13737" t="n">
        <v>1.1</v>
      </c>
      <c r="H13737" t="n">
        <v>0</v>
      </c>
      <c r="I13737" t="n">
        <v>0</v>
      </c>
      <c r="J13737" t="n">
        <v>0</v>
      </c>
      <c r="K13737" t="n">
        <v>0</v>
      </c>
      <c r="L13737" t="n">
        <v>0</v>
      </c>
      <c r="M13737" t="n">
        <v>0</v>
      </c>
      <c r="N13737" t="n">
        <v>0</v>
      </c>
      <c r="O13737" t="n">
        <v>0</v>
      </c>
      <c r="P13737" t="n">
        <v>0</v>
      </c>
      <c r="Q13737" t="n">
        <v>0</v>
      </c>
      <c r="R13737" s="2" t="inlineStr"/>
    </row>
    <row r="13738" ht="15" customHeight="1">
      <c r="A13738" t="inlineStr">
        <is>
          <t>A 25663-2025</t>
        </is>
      </c>
      <c r="B13738" s="1" t="n">
        <v>45803.61898148148</v>
      </c>
      <c r="C13738" s="1" t="n">
        <v>45952</v>
      </c>
      <c r="D13738" t="inlineStr">
        <is>
          <t>VÄSTRA GÖTALANDS LÄN</t>
        </is>
      </c>
      <c r="E13738" t="inlineStr">
        <is>
          <t>BORÅS</t>
        </is>
      </c>
      <c r="G13738" t="n">
        <v>0.7</v>
      </c>
      <c r="H13738" t="n">
        <v>0</v>
      </c>
      <c r="I13738" t="n">
        <v>0</v>
      </c>
      <c r="J13738" t="n">
        <v>0</v>
      </c>
      <c r="K13738" t="n">
        <v>0</v>
      </c>
      <c r="L13738" t="n">
        <v>0</v>
      </c>
      <c r="M13738" t="n">
        <v>0</v>
      </c>
      <c r="N13738" t="n">
        <v>0</v>
      </c>
      <c r="O13738" t="n">
        <v>0</v>
      </c>
      <c r="P13738" t="n">
        <v>0</v>
      </c>
      <c r="Q13738" t="n">
        <v>0</v>
      </c>
      <c r="R13738" s="2" t="inlineStr"/>
    </row>
    <row r="13739" ht="15" customHeight="1">
      <c r="A13739" t="inlineStr">
        <is>
          <t>A 59541-2022</t>
        </is>
      </c>
      <c r="B13739" s="1" t="n">
        <v>44907.57800925926</v>
      </c>
      <c r="C13739" s="1" t="n">
        <v>45952</v>
      </c>
      <c r="D13739" t="inlineStr">
        <is>
          <t>VÄSTRA GÖTALANDS LÄN</t>
        </is>
      </c>
      <c r="E13739" t="inlineStr">
        <is>
          <t>ALINGSÅS</t>
        </is>
      </c>
      <c r="G13739" t="n">
        <v>2.6</v>
      </c>
      <c r="H13739" t="n">
        <v>0</v>
      </c>
      <c r="I13739" t="n">
        <v>0</v>
      </c>
      <c r="J13739" t="n">
        <v>0</v>
      </c>
      <c r="K13739" t="n">
        <v>0</v>
      </c>
      <c r="L13739" t="n">
        <v>0</v>
      </c>
      <c r="M13739" t="n">
        <v>0</v>
      </c>
      <c r="N13739" t="n">
        <v>0</v>
      </c>
      <c r="O13739" t="n">
        <v>0</v>
      </c>
      <c r="P13739" t="n">
        <v>0</v>
      </c>
      <c r="Q13739" t="n">
        <v>0</v>
      </c>
      <c r="R13739" s="2" t="inlineStr"/>
    </row>
    <row r="13740" ht="15" customHeight="1">
      <c r="A13740" t="inlineStr">
        <is>
          <t>A 45336-2025</t>
        </is>
      </c>
      <c r="B13740" s="1" t="n">
        <v>45922.34298611111</v>
      </c>
      <c r="C13740" s="1" t="n">
        <v>45952</v>
      </c>
      <c r="D13740" t="inlineStr">
        <is>
          <t>VÄSTRA GÖTALANDS LÄN</t>
        </is>
      </c>
      <c r="E13740" t="inlineStr">
        <is>
          <t>TANUM</t>
        </is>
      </c>
      <c r="G13740" t="n">
        <v>2.9</v>
      </c>
      <c r="H13740" t="n">
        <v>0</v>
      </c>
      <c r="I13740" t="n">
        <v>0</v>
      </c>
      <c r="J13740" t="n">
        <v>0</v>
      </c>
      <c r="K13740" t="n">
        <v>0</v>
      </c>
      <c r="L13740" t="n">
        <v>0</v>
      </c>
      <c r="M13740" t="n">
        <v>0</v>
      </c>
      <c r="N13740" t="n">
        <v>0</v>
      </c>
      <c r="O13740" t="n">
        <v>0</v>
      </c>
      <c r="P13740" t="n">
        <v>0</v>
      </c>
      <c r="Q13740" t="n">
        <v>0</v>
      </c>
      <c r="R13740" s="2" t="inlineStr"/>
    </row>
    <row r="13741" ht="15" customHeight="1">
      <c r="A13741" t="inlineStr">
        <is>
          <t>A 45349-2025</t>
        </is>
      </c>
      <c r="B13741" s="1" t="n">
        <v>45922.35612268518</v>
      </c>
      <c r="C13741" s="1" t="n">
        <v>45952</v>
      </c>
      <c r="D13741" t="inlineStr">
        <is>
          <t>VÄSTRA GÖTALANDS LÄN</t>
        </is>
      </c>
      <c r="E13741" t="inlineStr">
        <is>
          <t>TÖREBODA</t>
        </is>
      </c>
      <c r="G13741" t="n">
        <v>1.5</v>
      </c>
      <c r="H13741" t="n">
        <v>0</v>
      </c>
      <c r="I13741" t="n">
        <v>0</v>
      </c>
      <c r="J13741" t="n">
        <v>0</v>
      </c>
      <c r="K13741" t="n">
        <v>0</v>
      </c>
      <c r="L13741" t="n">
        <v>0</v>
      </c>
      <c r="M13741" t="n">
        <v>0</v>
      </c>
      <c r="N13741" t="n">
        <v>0</v>
      </c>
      <c r="O13741" t="n">
        <v>0</v>
      </c>
      <c r="P13741" t="n">
        <v>0</v>
      </c>
      <c r="Q13741" t="n">
        <v>0</v>
      </c>
      <c r="R13741" s="2" t="inlineStr"/>
    </row>
    <row r="13742" ht="15" customHeight="1">
      <c r="A13742" t="inlineStr">
        <is>
          <t>A 67375-2021</t>
        </is>
      </c>
      <c r="B13742" s="1" t="n">
        <v>44523.90597222222</v>
      </c>
      <c r="C13742" s="1" t="n">
        <v>45952</v>
      </c>
      <c r="D13742" t="inlineStr">
        <is>
          <t>VÄSTRA GÖTALANDS LÄN</t>
        </is>
      </c>
      <c r="E13742" t="inlineStr">
        <is>
          <t>TRANEMO</t>
        </is>
      </c>
      <c r="G13742" t="n">
        <v>1.3</v>
      </c>
      <c r="H13742" t="n">
        <v>0</v>
      </c>
      <c r="I13742" t="n">
        <v>0</v>
      </c>
      <c r="J13742" t="n">
        <v>0</v>
      </c>
      <c r="K13742" t="n">
        <v>0</v>
      </c>
      <c r="L13742" t="n">
        <v>0</v>
      </c>
      <c r="M13742" t="n">
        <v>0</v>
      </c>
      <c r="N13742" t="n">
        <v>0</v>
      </c>
      <c r="O13742" t="n">
        <v>0</v>
      </c>
      <c r="P13742" t="n">
        <v>0</v>
      </c>
      <c r="Q13742" t="n">
        <v>0</v>
      </c>
      <c r="R13742" s="2" t="inlineStr"/>
    </row>
    <row r="13743" ht="15" customHeight="1">
      <c r="A13743" t="inlineStr">
        <is>
          <t>A 45742-2025</t>
        </is>
      </c>
      <c r="B13743" s="1" t="n">
        <v>45923.46953703704</v>
      </c>
      <c r="C13743" s="1" t="n">
        <v>45952</v>
      </c>
      <c r="D13743" t="inlineStr">
        <is>
          <t>VÄSTRA GÖTALANDS LÄN</t>
        </is>
      </c>
      <c r="E13743" t="inlineStr">
        <is>
          <t>HJO</t>
        </is>
      </c>
      <c r="G13743" t="n">
        <v>0.6</v>
      </c>
      <c r="H13743" t="n">
        <v>0</v>
      </c>
      <c r="I13743" t="n">
        <v>0</v>
      </c>
      <c r="J13743" t="n">
        <v>0</v>
      </c>
      <c r="K13743" t="n">
        <v>0</v>
      </c>
      <c r="L13743" t="n">
        <v>0</v>
      </c>
      <c r="M13743" t="n">
        <v>0</v>
      </c>
      <c r="N13743" t="n">
        <v>0</v>
      </c>
      <c r="O13743" t="n">
        <v>0</v>
      </c>
      <c r="P13743" t="n">
        <v>0</v>
      </c>
      <c r="Q13743" t="n">
        <v>0</v>
      </c>
      <c r="R13743" s="2" t="inlineStr"/>
    </row>
    <row r="13744" ht="15" customHeight="1">
      <c r="A13744" t="inlineStr">
        <is>
          <t>A 17240-2023</t>
        </is>
      </c>
      <c r="B13744" s="1" t="n">
        <v>45035.35192129629</v>
      </c>
      <c r="C13744" s="1" t="n">
        <v>45952</v>
      </c>
      <c r="D13744" t="inlineStr">
        <is>
          <t>VÄSTRA GÖTALANDS LÄN</t>
        </is>
      </c>
      <c r="E13744" t="inlineStr">
        <is>
          <t>UDDEVALLA</t>
        </is>
      </c>
      <c r="G13744" t="n">
        <v>0.7</v>
      </c>
      <c r="H13744" t="n">
        <v>0</v>
      </c>
      <c r="I13744" t="n">
        <v>0</v>
      </c>
      <c r="J13744" t="n">
        <v>0</v>
      </c>
      <c r="K13744" t="n">
        <v>0</v>
      </c>
      <c r="L13744" t="n">
        <v>0</v>
      </c>
      <c r="M13744" t="n">
        <v>0</v>
      </c>
      <c r="N13744" t="n">
        <v>0</v>
      </c>
      <c r="O13744" t="n">
        <v>0</v>
      </c>
      <c r="P13744" t="n">
        <v>0</v>
      </c>
      <c r="Q13744" t="n">
        <v>0</v>
      </c>
      <c r="R13744" s="2" t="inlineStr"/>
    </row>
    <row r="13745" ht="15" customHeight="1">
      <c r="A13745" t="inlineStr">
        <is>
          <t>A 17242-2023</t>
        </is>
      </c>
      <c r="B13745" s="1" t="n">
        <v>45035.35361111111</v>
      </c>
      <c r="C13745" s="1" t="n">
        <v>45952</v>
      </c>
      <c r="D13745" t="inlineStr">
        <is>
          <t>VÄSTRA GÖTALANDS LÄN</t>
        </is>
      </c>
      <c r="E13745" t="inlineStr">
        <is>
          <t>UDDEVALLA</t>
        </is>
      </c>
      <c r="G13745" t="n">
        <v>0.3</v>
      </c>
      <c r="H13745" t="n">
        <v>0</v>
      </c>
      <c r="I13745" t="n">
        <v>0</v>
      </c>
      <c r="J13745" t="n">
        <v>0</v>
      </c>
      <c r="K13745" t="n">
        <v>0</v>
      </c>
      <c r="L13745" t="n">
        <v>0</v>
      </c>
      <c r="M13745" t="n">
        <v>0</v>
      </c>
      <c r="N13745" t="n">
        <v>0</v>
      </c>
      <c r="O13745" t="n">
        <v>0</v>
      </c>
      <c r="P13745" t="n">
        <v>0</v>
      </c>
      <c r="Q13745" t="n">
        <v>0</v>
      </c>
      <c r="R13745" s="2" t="inlineStr"/>
    </row>
    <row r="13746" ht="15" customHeight="1">
      <c r="A13746" t="inlineStr">
        <is>
          <t>A 58755-2022</t>
        </is>
      </c>
      <c r="B13746" s="1" t="n">
        <v>44903</v>
      </c>
      <c r="C13746" s="1" t="n">
        <v>45952</v>
      </c>
      <c r="D13746" t="inlineStr">
        <is>
          <t>VÄSTRA GÖTALANDS LÄN</t>
        </is>
      </c>
      <c r="E13746" t="inlineStr">
        <is>
          <t>TÖREBODA</t>
        </is>
      </c>
      <c r="G13746" t="n">
        <v>3.2</v>
      </c>
      <c r="H13746" t="n">
        <v>0</v>
      </c>
      <c r="I13746" t="n">
        <v>0</v>
      </c>
      <c r="J13746" t="n">
        <v>0</v>
      </c>
      <c r="K13746" t="n">
        <v>0</v>
      </c>
      <c r="L13746" t="n">
        <v>0</v>
      </c>
      <c r="M13746" t="n">
        <v>0</v>
      </c>
      <c r="N13746" t="n">
        <v>0</v>
      </c>
      <c r="O13746" t="n">
        <v>0</v>
      </c>
      <c r="P13746" t="n">
        <v>0</v>
      </c>
      <c r="Q13746" t="n">
        <v>0</v>
      </c>
      <c r="R13746" s="2" t="inlineStr"/>
    </row>
    <row r="13747" ht="15" customHeight="1">
      <c r="A13747" t="inlineStr">
        <is>
          <t>A 37560-2025</t>
        </is>
      </c>
      <c r="B13747" s="1" t="n">
        <v>45880</v>
      </c>
      <c r="C13747" s="1" t="n">
        <v>45952</v>
      </c>
      <c r="D13747" t="inlineStr">
        <is>
          <t>VÄSTRA GÖTALANDS LÄN</t>
        </is>
      </c>
      <c r="E13747" t="inlineStr">
        <is>
          <t>ULRICEHAMN</t>
        </is>
      </c>
      <c r="G13747" t="n">
        <v>2.3</v>
      </c>
      <c r="H13747" t="n">
        <v>0</v>
      </c>
      <c r="I13747" t="n">
        <v>0</v>
      </c>
      <c r="J13747" t="n">
        <v>0</v>
      </c>
      <c r="K13747" t="n">
        <v>0</v>
      </c>
      <c r="L13747" t="n">
        <v>0</v>
      </c>
      <c r="M13747" t="n">
        <v>0</v>
      </c>
      <c r="N13747" t="n">
        <v>0</v>
      </c>
      <c r="O13747" t="n">
        <v>0</v>
      </c>
      <c r="P13747" t="n">
        <v>0</v>
      </c>
      <c r="Q13747" t="n">
        <v>0</v>
      </c>
      <c r="R13747" s="2" t="inlineStr"/>
    </row>
    <row r="13748" ht="15" customHeight="1">
      <c r="A13748" t="inlineStr">
        <is>
          <t>A 37570-2025</t>
        </is>
      </c>
      <c r="B13748" s="1" t="n">
        <v>45880.37358796296</v>
      </c>
      <c r="C13748" s="1" t="n">
        <v>45952</v>
      </c>
      <c r="D13748" t="inlineStr">
        <is>
          <t>VÄSTRA GÖTALANDS LÄN</t>
        </is>
      </c>
      <c r="E13748" t="inlineStr">
        <is>
          <t>MÖLNDAL</t>
        </is>
      </c>
      <c r="G13748" t="n">
        <v>0.9</v>
      </c>
      <c r="H13748" t="n">
        <v>0</v>
      </c>
      <c r="I13748" t="n">
        <v>0</v>
      </c>
      <c r="J13748" t="n">
        <v>0</v>
      </c>
      <c r="K13748" t="n">
        <v>0</v>
      </c>
      <c r="L13748" t="n">
        <v>0</v>
      </c>
      <c r="M13748" t="n">
        <v>0</v>
      </c>
      <c r="N13748" t="n">
        <v>0</v>
      </c>
      <c r="O13748" t="n">
        <v>0</v>
      </c>
      <c r="P13748" t="n">
        <v>0</v>
      </c>
      <c r="Q13748" t="n">
        <v>0</v>
      </c>
      <c r="R13748" s="2" t="inlineStr"/>
    </row>
    <row r="13749" ht="15" customHeight="1">
      <c r="A13749" t="inlineStr">
        <is>
          <t>A 58598-2021</t>
        </is>
      </c>
      <c r="B13749" s="1" t="n">
        <v>44489</v>
      </c>
      <c r="C13749" s="1" t="n">
        <v>45952</v>
      </c>
      <c r="D13749" t="inlineStr">
        <is>
          <t>VÄSTRA GÖTALANDS LÄN</t>
        </is>
      </c>
      <c r="E13749" t="inlineStr">
        <is>
          <t>MARIESTAD</t>
        </is>
      </c>
      <c r="F13749" t="inlineStr">
        <is>
          <t>Sveaskog</t>
        </is>
      </c>
      <c r="G13749" t="n">
        <v>0.8</v>
      </c>
      <c r="H13749" t="n">
        <v>0</v>
      </c>
      <c r="I13749" t="n">
        <v>0</v>
      </c>
      <c r="J13749" t="n">
        <v>0</v>
      </c>
      <c r="K13749" t="n">
        <v>0</v>
      </c>
      <c r="L13749" t="n">
        <v>0</v>
      </c>
      <c r="M13749" t="n">
        <v>0</v>
      </c>
      <c r="N13749" t="n">
        <v>0</v>
      </c>
      <c r="O13749" t="n">
        <v>0</v>
      </c>
      <c r="P13749" t="n">
        <v>0</v>
      </c>
      <c r="Q13749" t="n">
        <v>0</v>
      </c>
      <c r="R13749" s="2" t="inlineStr"/>
    </row>
    <row r="13750" ht="15" customHeight="1">
      <c r="A13750" t="inlineStr">
        <is>
          <t>A 33764-2021</t>
        </is>
      </c>
      <c r="B13750" s="1" t="n">
        <v>44378</v>
      </c>
      <c r="C13750" s="1" t="n">
        <v>45952</v>
      </c>
      <c r="D13750" t="inlineStr">
        <is>
          <t>VÄSTRA GÖTALANDS LÄN</t>
        </is>
      </c>
      <c r="E13750" t="inlineStr">
        <is>
          <t>ALINGSÅS</t>
        </is>
      </c>
      <c r="G13750" t="n">
        <v>4.4</v>
      </c>
      <c r="H13750" t="n">
        <v>0</v>
      </c>
      <c r="I13750" t="n">
        <v>0</v>
      </c>
      <c r="J13750" t="n">
        <v>0</v>
      </c>
      <c r="K13750" t="n">
        <v>0</v>
      </c>
      <c r="L13750" t="n">
        <v>0</v>
      </c>
      <c r="M13750" t="n">
        <v>0</v>
      </c>
      <c r="N13750" t="n">
        <v>0</v>
      </c>
      <c r="O13750" t="n">
        <v>0</v>
      </c>
      <c r="P13750" t="n">
        <v>0</v>
      </c>
      <c r="Q13750" t="n">
        <v>0</v>
      </c>
      <c r="R13750" s="2" t="inlineStr"/>
    </row>
    <row r="13751" ht="15" customHeight="1">
      <c r="A13751" t="inlineStr">
        <is>
          <t>A 59404-2022</t>
        </is>
      </c>
      <c r="B13751" s="1" t="n">
        <v>44906.9374537037</v>
      </c>
      <c r="C13751" s="1" t="n">
        <v>45952</v>
      </c>
      <c r="D13751" t="inlineStr">
        <is>
          <t>VÄSTRA GÖTALANDS LÄN</t>
        </is>
      </c>
      <c r="E13751" t="inlineStr">
        <is>
          <t>KARLSBORG</t>
        </is>
      </c>
      <c r="G13751" t="n">
        <v>0.5</v>
      </c>
      <c r="H13751" t="n">
        <v>0</v>
      </c>
      <c r="I13751" t="n">
        <v>0</v>
      </c>
      <c r="J13751" t="n">
        <v>0</v>
      </c>
      <c r="K13751" t="n">
        <v>0</v>
      </c>
      <c r="L13751" t="n">
        <v>0</v>
      </c>
      <c r="M13751" t="n">
        <v>0</v>
      </c>
      <c r="N13751" t="n">
        <v>0</v>
      </c>
      <c r="O13751" t="n">
        <v>0</v>
      </c>
      <c r="P13751" t="n">
        <v>0</v>
      </c>
      <c r="Q13751" t="n">
        <v>0</v>
      </c>
      <c r="R13751" s="2" t="inlineStr"/>
    </row>
    <row r="13752" ht="15" customHeight="1">
      <c r="A13752" t="inlineStr">
        <is>
          <t>A 43642-2025</t>
        </is>
      </c>
      <c r="B13752" s="1" t="n">
        <v>45911.87665509259</v>
      </c>
      <c r="C13752" s="1" t="n">
        <v>45952</v>
      </c>
      <c r="D13752" t="inlineStr">
        <is>
          <t>VÄSTRA GÖTALANDS LÄN</t>
        </is>
      </c>
      <c r="E13752" t="inlineStr">
        <is>
          <t>SVENLJUNGA</t>
        </is>
      </c>
      <c r="G13752" t="n">
        <v>1.7</v>
      </c>
      <c r="H13752" t="n">
        <v>0</v>
      </c>
      <c r="I13752" t="n">
        <v>0</v>
      </c>
      <c r="J13752" t="n">
        <v>0</v>
      </c>
      <c r="K13752" t="n">
        <v>0</v>
      </c>
      <c r="L13752" t="n">
        <v>0</v>
      </c>
      <c r="M13752" t="n">
        <v>0</v>
      </c>
      <c r="N13752" t="n">
        <v>0</v>
      </c>
      <c r="O13752" t="n">
        <v>0</v>
      </c>
      <c r="P13752" t="n">
        <v>0</v>
      </c>
      <c r="Q13752" t="n">
        <v>0</v>
      </c>
      <c r="R13752" s="2" t="inlineStr"/>
    </row>
    <row r="13753" ht="15" customHeight="1">
      <c r="A13753" t="inlineStr">
        <is>
          <t>A 45601-2025</t>
        </is>
      </c>
      <c r="B13753" s="1" t="n">
        <v>45922.68894675926</v>
      </c>
      <c r="C13753" s="1" t="n">
        <v>45952</v>
      </c>
      <c r="D13753" t="inlineStr">
        <is>
          <t>VÄSTRA GÖTALANDS LÄN</t>
        </is>
      </c>
      <c r="E13753" t="inlineStr">
        <is>
          <t>UDDEVALLA</t>
        </is>
      </c>
      <c r="G13753" t="n">
        <v>3.6</v>
      </c>
      <c r="H13753" t="n">
        <v>0</v>
      </c>
      <c r="I13753" t="n">
        <v>0</v>
      </c>
      <c r="J13753" t="n">
        <v>0</v>
      </c>
      <c r="K13753" t="n">
        <v>0</v>
      </c>
      <c r="L13753" t="n">
        <v>0</v>
      </c>
      <c r="M13753" t="n">
        <v>0</v>
      </c>
      <c r="N13753" t="n">
        <v>0</v>
      </c>
      <c r="O13753" t="n">
        <v>0</v>
      </c>
      <c r="P13753" t="n">
        <v>0</v>
      </c>
      <c r="Q13753" t="n">
        <v>0</v>
      </c>
      <c r="R13753" s="2" t="inlineStr"/>
    </row>
    <row r="13754" ht="15" customHeight="1">
      <c r="A13754" t="inlineStr">
        <is>
          <t>A 18927-2022</t>
        </is>
      </c>
      <c r="B13754" s="1" t="n">
        <v>44690.64334490741</v>
      </c>
      <c r="C13754" s="1" t="n">
        <v>45952</v>
      </c>
      <c r="D13754" t="inlineStr">
        <is>
          <t>VÄSTRA GÖTALANDS LÄN</t>
        </is>
      </c>
      <c r="E13754" t="inlineStr">
        <is>
          <t>FALKÖPING</t>
        </is>
      </c>
      <c r="F13754" t="inlineStr">
        <is>
          <t>Kommuner</t>
        </is>
      </c>
      <c r="G13754" t="n">
        <v>1.2</v>
      </c>
      <c r="H13754" t="n">
        <v>0</v>
      </c>
      <c r="I13754" t="n">
        <v>0</v>
      </c>
      <c r="J13754" t="n">
        <v>0</v>
      </c>
      <c r="K13754" t="n">
        <v>0</v>
      </c>
      <c r="L13754" t="n">
        <v>0</v>
      </c>
      <c r="M13754" t="n">
        <v>0</v>
      </c>
      <c r="N13754" t="n">
        <v>0</v>
      </c>
      <c r="O13754" t="n">
        <v>0</v>
      </c>
      <c r="P13754" t="n">
        <v>0</v>
      </c>
      <c r="Q13754" t="n">
        <v>0</v>
      </c>
      <c r="R13754" s="2" t="inlineStr"/>
    </row>
    <row r="13755" ht="15" customHeight="1">
      <c r="A13755" t="inlineStr">
        <is>
          <t>A 37612-2025</t>
        </is>
      </c>
      <c r="B13755" s="1" t="n">
        <v>45880.4324537037</v>
      </c>
      <c r="C13755" s="1" t="n">
        <v>45952</v>
      </c>
      <c r="D13755" t="inlineStr">
        <is>
          <t>VÄSTRA GÖTALANDS LÄN</t>
        </is>
      </c>
      <c r="E13755" t="inlineStr">
        <is>
          <t>TRANEMO</t>
        </is>
      </c>
      <c r="G13755" t="n">
        <v>1.4</v>
      </c>
      <c r="H13755" t="n">
        <v>0</v>
      </c>
      <c r="I13755" t="n">
        <v>0</v>
      </c>
      <c r="J13755" t="n">
        <v>0</v>
      </c>
      <c r="K13755" t="n">
        <v>0</v>
      </c>
      <c r="L13755" t="n">
        <v>0</v>
      </c>
      <c r="M13755" t="n">
        <v>0</v>
      </c>
      <c r="N13755" t="n">
        <v>0</v>
      </c>
      <c r="O13755" t="n">
        <v>0</v>
      </c>
      <c r="P13755" t="n">
        <v>0</v>
      </c>
      <c r="Q13755" t="n">
        <v>0</v>
      </c>
      <c r="R13755" s="2" t="inlineStr"/>
    </row>
    <row r="13756" ht="15" customHeight="1">
      <c r="A13756" t="inlineStr">
        <is>
          <t>A 14929-2024</t>
        </is>
      </c>
      <c r="B13756" s="1" t="n">
        <v>45398.64460648148</v>
      </c>
      <c r="C13756" s="1" t="n">
        <v>45952</v>
      </c>
      <c r="D13756" t="inlineStr">
        <is>
          <t>VÄSTRA GÖTALANDS LÄN</t>
        </is>
      </c>
      <c r="E13756" t="inlineStr">
        <is>
          <t>LILLA EDET</t>
        </is>
      </c>
      <c r="G13756" t="n">
        <v>5.1</v>
      </c>
      <c r="H13756" t="n">
        <v>0</v>
      </c>
      <c r="I13756" t="n">
        <v>0</v>
      </c>
      <c r="J13756" t="n">
        <v>0</v>
      </c>
      <c r="K13756" t="n">
        <v>0</v>
      </c>
      <c r="L13756" t="n">
        <v>0</v>
      </c>
      <c r="M13756" t="n">
        <v>0</v>
      </c>
      <c r="N13756" t="n">
        <v>0</v>
      </c>
      <c r="O13756" t="n">
        <v>0</v>
      </c>
      <c r="P13756" t="n">
        <v>0</v>
      </c>
      <c r="Q13756" t="n">
        <v>0</v>
      </c>
      <c r="R13756" s="2" t="inlineStr"/>
    </row>
    <row r="13757" ht="15" customHeight="1">
      <c r="A13757" t="inlineStr">
        <is>
          <t>A 45637-2025</t>
        </is>
      </c>
      <c r="B13757" s="1" t="n">
        <v>45922.85560185185</v>
      </c>
      <c r="C13757" s="1" t="n">
        <v>45952</v>
      </c>
      <c r="D13757" t="inlineStr">
        <is>
          <t>VÄSTRA GÖTALANDS LÄN</t>
        </is>
      </c>
      <c r="E13757" t="inlineStr">
        <is>
          <t>ULRICEHAMN</t>
        </is>
      </c>
      <c r="G13757" t="n">
        <v>1.6</v>
      </c>
      <c r="H13757" t="n">
        <v>0</v>
      </c>
      <c r="I13757" t="n">
        <v>0</v>
      </c>
      <c r="J13757" t="n">
        <v>0</v>
      </c>
      <c r="K13757" t="n">
        <v>0</v>
      </c>
      <c r="L13757" t="n">
        <v>0</v>
      </c>
      <c r="M13757" t="n">
        <v>0</v>
      </c>
      <c r="N13757" t="n">
        <v>0</v>
      </c>
      <c r="O13757" t="n">
        <v>0</v>
      </c>
      <c r="P13757" t="n">
        <v>0</v>
      </c>
      <c r="Q13757" t="n">
        <v>0</v>
      </c>
      <c r="R13757" s="2" t="inlineStr"/>
    </row>
    <row r="13758" ht="15" customHeight="1">
      <c r="A13758" t="inlineStr">
        <is>
          <t>A 11653-2023</t>
        </is>
      </c>
      <c r="B13758" s="1" t="n">
        <v>44994.45799768518</v>
      </c>
      <c r="C13758" s="1" t="n">
        <v>45952</v>
      </c>
      <c r="D13758" t="inlineStr">
        <is>
          <t>VÄSTRA GÖTALANDS LÄN</t>
        </is>
      </c>
      <c r="E13758" t="inlineStr">
        <is>
          <t>MARK</t>
        </is>
      </c>
      <c r="G13758" t="n">
        <v>1.2</v>
      </c>
      <c r="H13758" t="n">
        <v>0</v>
      </c>
      <c r="I13758" t="n">
        <v>0</v>
      </c>
      <c r="J13758" t="n">
        <v>0</v>
      </c>
      <c r="K13758" t="n">
        <v>0</v>
      </c>
      <c r="L13758" t="n">
        <v>0</v>
      </c>
      <c r="M13758" t="n">
        <v>0</v>
      </c>
      <c r="N13758" t="n">
        <v>0</v>
      </c>
      <c r="O13758" t="n">
        <v>0</v>
      </c>
      <c r="P13758" t="n">
        <v>0</v>
      </c>
      <c r="Q13758" t="n">
        <v>0</v>
      </c>
      <c r="R13758" s="2" t="inlineStr"/>
    </row>
    <row r="13759" ht="15" customHeight="1">
      <c r="A13759" t="inlineStr">
        <is>
          <t>A 12318-2022</t>
        </is>
      </c>
      <c r="B13759" s="1" t="n">
        <v>44637</v>
      </c>
      <c r="C13759" s="1" t="n">
        <v>45952</v>
      </c>
      <c r="D13759" t="inlineStr">
        <is>
          <t>VÄSTRA GÖTALANDS LÄN</t>
        </is>
      </c>
      <c r="E13759" t="inlineStr">
        <is>
          <t>ALINGSÅS</t>
        </is>
      </c>
      <c r="G13759" t="n">
        <v>3</v>
      </c>
      <c r="H13759" t="n">
        <v>0</v>
      </c>
      <c r="I13759" t="n">
        <v>0</v>
      </c>
      <c r="J13759" t="n">
        <v>0</v>
      </c>
      <c r="K13759" t="n">
        <v>0</v>
      </c>
      <c r="L13759" t="n">
        <v>0</v>
      </c>
      <c r="M13759" t="n">
        <v>0</v>
      </c>
      <c r="N13759" t="n">
        <v>0</v>
      </c>
      <c r="O13759" t="n">
        <v>0</v>
      </c>
      <c r="P13759" t="n">
        <v>0</v>
      </c>
      <c r="Q13759" t="n">
        <v>0</v>
      </c>
      <c r="R13759" s="2" t="inlineStr"/>
    </row>
    <row r="13760" ht="15" customHeight="1">
      <c r="A13760" t="inlineStr">
        <is>
          <t>A 37199-2022</t>
        </is>
      </c>
      <c r="B13760" s="1" t="n">
        <v>44806.63469907407</v>
      </c>
      <c r="C13760" s="1" t="n">
        <v>45952</v>
      </c>
      <c r="D13760" t="inlineStr">
        <is>
          <t>VÄSTRA GÖTALANDS LÄN</t>
        </is>
      </c>
      <c r="E13760" t="inlineStr">
        <is>
          <t>BENGTSFORS</t>
        </is>
      </c>
      <c r="G13760" t="n">
        <v>1.1</v>
      </c>
      <c r="H13760" t="n">
        <v>0</v>
      </c>
      <c r="I13760" t="n">
        <v>0</v>
      </c>
      <c r="J13760" t="n">
        <v>0</v>
      </c>
      <c r="K13760" t="n">
        <v>0</v>
      </c>
      <c r="L13760" t="n">
        <v>0</v>
      </c>
      <c r="M13760" t="n">
        <v>0</v>
      </c>
      <c r="N13760" t="n">
        <v>0</v>
      </c>
      <c r="O13760" t="n">
        <v>0</v>
      </c>
      <c r="P13760" t="n">
        <v>0</v>
      </c>
      <c r="Q13760" t="n">
        <v>0</v>
      </c>
      <c r="R13760" s="2" t="inlineStr"/>
    </row>
    <row r="13761" ht="15" customHeight="1">
      <c r="A13761" t="inlineStr">
        <is>
          <t>A 38036-2025</t>
        </is>
      </c>
      <c r="B13761" s="1" t="n">
        <v>45881</v>
      </c>
      <c r="C13761" s="1" t="n">
        <v>45952</v>
      </c>
      <c r="D13761" t="inlineStr">
        <is>
          <t>VÄSTRA GÖTALANDS LÄN</t>
        </is>
      </c>
      <c r="E13761" t="inlineStr">
        <is>
          <t>LYSEKIL</t>
        </is>
      </c>
      <c r="G13761" t="n">
        <v>1</v>
      </c>
      <c r="H13761" t="n">
        <v>0</v>
      </c>
      <c r="I13761" t="n">
        <v>0</v>
      </c>
      <c r="J13761" t="n">
        <v>0</v>
      </c>
      <c r="K13761" t="n">
        <v>0</v>
      </c>
      <c r="L13761" t="n">
        <v>0</v>
      </c>
      <c r="M13761" t="n">
        <v>0</v>
      </c>
      <c r="N13761" t="n">
        <v>0</v>
      </c>
      <c r="O13761" t="n">
        <v>0</v>
      </c>
      <c r="P13761" t="n">
        <v>0</v>
      </c>
      <c r="Q13761" t="n">
        <v>0</v>
      </c>
      <c r="R13761" s="2" t="inlineStr"/>
    </row>
    <row r="13762" ht="15" customHeight="1">
      <c r="A13762" t="inlineStr">
        <is>
          <t>A 37781-2025</t>
        </is>
      </c>
      <c r="B13762" s="1" t="n">
        <v>45880</v>
      </c>
      <c r="C13762" s="1" t="n">
        <v>45952</v>
      </c>
      <c r="D13762" t="inlineStr">
        <is>
          <t>VÄSTRA GÖTALANDS LÄN</t>
        </is>
      </c>
      <c r="E13762" t="inlineStr">
        <is>
          <t>TIDAHOLM</t>
        </is>
      </c>
      <c r="G13762" t="n">
        <v>0.9</v>
      </c>
      <c r="H13762" t="n">
        <v>0</v>
      </c>
      <c r="I13762" t="n">
        <v>0</v>
      </c>
      <c r="J13762" t="n">
        <v>0</v>
      </c>
      <c r="K13762" t="n">
        <v>0</v>
      </c>
      <c r="L13762" t="n">
        <v>0</v>
      </c>
      <c r="M13762" t="n">
        <v>0</v>
      </c>
      <c r="N13762" t="n">
        <v>0</v>
      </c>
      <c r="O13762" t="n">
        <v>0</v>
      </c>
      <c r="P13762" t="n">
        <v>0</v>
      </c>
      <c r="Q13762" t="n">
        <v>0</v>
      </c>
      <c r="R13762" s="2" t="inlineStr"/>
    </row>
    <row r="13763" ht="15" customHeight="1">
      <c r="A13763" t="inlineStr">
        <is>
          <t>A 37152-2025</t>
        </is>
      </c>
      <c r="B13763" s="1" t="n">
        <v>45875</v>
      </c>
      <c r="C13763" s="1" t="n">
        <v>45952</v>
      </c>
      <c r="D13763" t="inlineStr">
        <is>
          <t>VÄSTRA GÖTALANDS LÄN</t>
        </is>
      </c>
      <c r="E13763" t="inlineStr">
        <is>
          <t>LILLA EDET</t>
        </is>
      </c>
      <c r="G13763" t="n">
        <v>2.6</v>
      </c>
      <c r="H13763" t="n">
        <v>0</v>
      </c>
      <c r="I13763" t="n">
        <v>0</v>
      </c>
      <c r="J13763" t="n">
        <v>0</v>
      </c>
      <c r="K13763" t="n">
        <v>0</v>
      </c>
      <c r="L13763" t="n">
        <v>0</v>
      </c>
      <c r="M13763" t="n">
        <v>0</v>
      </c>
      <c r="N13763" t="n">
        <v>0</v>
      </c>
      <c r="O13763" t="n">
        <v>0</v>
      </c>
      <c r="P13763" t="n">
        <v>0</v>
      </c>
      <c r="Q13763" t="n">
        <v>0</v>
      </c>
      <c r="R13763" s="2" t="inlineStr"/>
    </row>
    <row r="13764" ht="15" customHeight="1">
      <c r="A13764" t="inlineStr">
        <is>
          <t>A 45525-2025</t>
        </is>
      </c>
      <c r="B13764" s="1" t="n">
        <v>45922.59641203703</v>
      </c>
      <c r="C13764" s="1" t="n">
        <v>45952</v>
      </c>
      <c r="D13764" t="inlineStr">
        <is>
          <t>VÄSTRA GÖTALANDS LÄN</t>
        </is>
      </c>
      <c r="E13764" t="inlineStr">
        <is>
          <t>TRANEMO</t>
        </is>
      </c>
      <c r="G13764" t="n">
        <v>2.7</v>
      </c>
      <c r="H13764" t="n">
        <v>0</v>
      </c>
      <c r="I13764" t="n">
        <v>0</v>
      </c>
      <c r="J13764" t="n">
        <v>0</v>
      </c>
      <c r="K13764" t="n">
        <v>0</v>
      </c>
      <c r="L13764" t="n">
        <v>0</v>
      </c>
      <c r="M13764" t="n">
        <v>0</v>
      </c>
      <c r="N13764" t="n">
        <v>0</v>
      </c>
      <c r="O13764" t="n">
        <v>0</v>
      </c>
      <c r="P13764" t="n">
        <v>0</v>
      </c>
      <c r="Q13764" t="n">
        <v>0</v>
      </c>
      <c r="R13764" s="2" t="inlineStr"/>
    </row>
    <row r="13765" ht="15" customHeight="1">
      <c r="A13765" t="inlineStr">
        <is>
          <t>A 11518-2024</t>
        </is>
      </c>
      <c r="B13765" s="1" t="n">
        <v>45373</v>
      </c>
      <c r="C13765" s="1" t="n">
        <v>45952</v>
      </c>
      <c r="D13765" t="inlineStr">
        <is>
          <t>VÄSTRA GÖTALANDS LÄN</t>
        </is>
      </c>
      <c r="E13765" t="inlineStr">
        <is>
          <t>MARK</t>
        </is>
      </c>
      <c r="G13765" t="n">
        <v>0.6</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45537-2025</t>
        </is>
      </c>
      <c r="B13766" s="1" t="n">
        <v>45922.61059027778</v>
      </c>
      <c r="C13766" s="1" t="n">
        <v>45952</v>
      </c>
      <c r="D13766" t="inlineStr">
        <is>
          <t>VÄSTRA GÖTALANDS LÄN</t>
        </is>
      </c>
      <c r="E13766" t="inlineStr">
        <is>
          <t>VÄNERSBORG</t>
        </is>
      </c>
      <c r="G13766" t="n">
        <v>0.9</v>
      </c>
      <c r="H13766" t="n">
        <v>0</v>
      </c>
      <c r="I13766" t="n">
        <v>0</v>
      </c>
      <c r="J13766" t="n">
        <v>0</v>
      </c>
      <c r="K13766" t="n">
        <v>0</v>
      </c>
      <c r="L13766" t="n">
        <v>0</v>
      </c>
      <c r="M13766" t="n">
        <v>0</v>
      </c>
      <c r="N13766" t="n">
        <v>0</v>
      </c>
      <c r="O13766" t="n">
        <v>0</v>
      </c>
      <c r="P13766" t="n">
        <v>0</v>
      </c>
      <c r="Q13766" t="n">
        <v>0</v>
      </c>
      <c r="R13766" s="2" t="inlineStr"/>
    </row>
    <row r="13767" ht="15" customHeight="1">
      <c r="A13767" t="inlineStr">
        <is>
          <t>A 45540-2025</t>
        </is>
      </c>
      <c r="B13767" s="1" t="n">
        <v>45922.61466435185</v>
      </c>
      <c r="C13767" s="1" t="n">
        <v>45952</v>
      </c>
      <c r="D13767" t="inlineStr">
        <is>
          <t>VÄSTRA GÖTALANDS LÄN</t>
        </is>
      </c>
      <c r="E13767" t="inlineStr">
        <is>
          <t>STRÖMSTAD</t>
        </is>
      </c>
      <c r="G13767" t="n">
        <v>0.7</v>
      </c>
      <c r="H13767" t="n">
        <v>0</v>
      </c>
      <c r="I13767" t="n">
        <v>0</v>
      </c>
      <c r="J13767" t="n">
        <v>0</v>
      </c>
      <c r="K13767" t="n">
        <v>0</v>
      </c>
      <c r="L13767" t="n">
        <v>0</v>
      </c>
      <c r="M13767" t="n">
        <v>0</v>
      </c>
      <c r="N13767" t="n">
        <v>0</v>
      </c>
      <c r="O13767" t="n">
        <v>0</v>
      </c>
      <c r="P13767" t="n">
        <v>0</v>
      </c>
      <c r="Q13767" t="n">
        <v>0</v>
      </c>
      <c r="R13767" s="2" t="inlineStr"/>
    </row>
    <row r="13768" ht="15" customHeight="1">
      <c r="A13768" t="inlineStr">
        <is>
          <t>A 45872-2025</t>
        </is>
      </c>
      <c r="B13768" s="1" t="n">
        <v>45923.65538194445</v>
      </c>
      <c r="C13768" s="1" t="n">
        <v>45952</v>
      </c>
      <c r="D13768" t="inlineStr">
        <is>
          <t>VÄSTRA GÖTALANDS LÄN</t>
        </is>
      </c>
      <c r="E13768" t="inlineStr">
        <is>
          <t>BENGTSFORS</t>
        </is>
      </c>
      <c r="G13768" t="n">
        <v>8.800000000000001</v>
      </c>
      <c r="H13768" t="n">
        <v>0</v>
      </c>
      <c r="I13768" t="n">
        <v>0</v>
      </c>
      <c r="J13768" t="n">
        <v>0</v>
      </c>
      <c r="K13768" t="n">
        <v>0</v>
      </c>
      <c r="L13768" t="n">
        <v>0</v>
      </c>
      <c r="M13768" t="n">
        <v>0</v>
      </c>
      <c r="N13768" t="n">
        <v>0</v>
      </c>
      <c r="O13768" t="n">
        <v>0</v>
      </c>
      <c r="P13768" t="n">
        <v>0</v>
      </c>
      <c r="Q13768" t="n">
        <v>0</v>
      </c>
      <c r="R13768" s="2" t="inlineStr"/>
    </row>
    <row r="13769" ht="15" customHeight="1">
      <c r="A13769" t="inlineStr">
        <is>
          <t>A 44707-2021</t>
        </is>
      </c>
      <c r="B13769" s="1" t="n">
        <v>44438.36449074074</v>
      </c>
      <c r="C13769" s="1" t="n">
        <v>45952</v>
      </c>
      <c r="D13769" t="inlineStr">
        <is>
          <t>VÄSTRA GÖTALANDS LÄN</t>
        </is>
      </c>
      <c r="E13769" t="inlineStr">
        <is>
          <t>GULLSPÅNG</t>
        </is>
      </c>
      <c r="G13769" t="n">
        <v>1.7</v>
      </c>
      <c r="H13769" t="n">
        <v>0</v>
      </c>
      <c r="I13769" t="n">
        <v>0</v>
      </c>
      <c r="J13769" t="n">
        <v>0</v>
      </c>
      <c r="K13769" t="n">
        <v>0</v>
      </c>
      <c r="L13769" t="n">
        <v>0</v>
      </c>
      <c r="M13769" t="n">
        <v>0</v>
      </c>
      <c r="N13769" t="n">
        <v>0</v>
      </c>
      <c r="O13769" t="n">
        <v>0</v>
      </c>
      <c r="P13769" t="n">
        <v>0</v>
      </c>
      <c r="Q13769" t="n">
        <v>0</v>
      </c>
      <c r="R13769" s="2" t="inlineStr"/>
    </row>
    <row r="13770" ht="15" customHeight="1">
      <c r="A13770" t="inlineStr">
        <is>
          <t>A 37744-2025</t>
        </is>
      </c>
      <c r="B13770" s="1" t="n">
        <v>45880.66527777778</v>
      </c>
      <c r="C13770" s="1" t="n">
        <v>45952</v>
      </c>
      <c r="D13770" t="inlineStr">
        <is>
          <t>VÄSTRA GÖTALANDS LÄN</t>
        </is>
      </c>
      <c r="E13770" t="inlineStr">
        <is>
          <t>MARK</t>
        </is>
      </c>
      <c r="G13770" t="n">
        <v>0.5</v>
      </c>
      <c r="H13770" t="n">
        <v>0</v>
      </c>
      <c r="I13770" t="n">
        <v>0</v>
      </c>
      <c r="J13770" t="n">
        <v>0</v>
      </c>
      <c r="K13770" t="n">
        <v>0</v>
      </c>
      <c r="L13770" t="n">
        <v>0</v>
      </c>
      <c r="M13770" t="n">
        <v>0</v>
      </c>
      <c r="N13770" t="n">
        <v>0</v>
      </c>
      <c r="O13770" t="n">
        <v>0</v>
      </c>
      <c r="P13770" t="n">
        <v>0</v>
      </c>
      <c r="Q13770" t="n">
        <v>0</v>
      </c>
      <c r="R13770" s="2" t="inlineStr"/>
    </row>
    <row r="13771" ht="15" customHeight="1">
      <c r="A13771" t="inlineStr">
        <is>
          <t>A 37920-2025</t>
        </is>
      </c>
      <c r="B13771" s="1" t="n">
        <v>45881.57488425926</v>
      </c>
      <c r="C13771" s="1" t="n">
        <v>45952</v>
      </c>
      <c r="D13771" t="inlineStr">
        <is>
          <t>VÄSTRA GÖTALANDS LÄN</t>
        </is>
      </c>
      <c r="E13771" t="inlineStr">
        <is>
          <t>GULLSPÅNG</t>
        </is>
      </c>
      <c r="G13771" t="n">
        <v>0.7</v>
      </c>
      <c r="H13771" t="n">
        <v>0</v>
      </c>
      <c r="I13771" t="n">
        <v>0</v>
      </c>
      <c r="J13771" t="n">
        <v>0</v>
      </c>
      <c r="K13771" t="n">
        <v>0</v>
      </c>
      <c r="L13771" t="n">
        <v>0</v>
      </c>
      <c r="M13771" t="n">
        <v>0</v>
      </c>
      <c r="N13771" t="n">
        <v>0</v>
      </c>
      <c r="O13771" t="n">
        <v>0</v>
      </c>
      <c r="P13771" t="n">
        <v>0</v>
      </c>
      <c r="Q13771" t="n">
        <v>0</v>
      </c>
      <c r="R13771" s="2" t="inlineStr"/>
    </row>
    <row r="13772" ht="15" customHeight="1">
      <c r="A13772" t="inlineStr">
        <is>
          <t>A 37934-2025</t>
        </is>
      </c>
      <c r="B13772" s="1" t="n">
        <v>45881.59488425926</v>
      </c>
      <c r="C13772" s="1" t="n">
        <v>45952</v>
      </c>
      <c r="D13772" t="inlineStr">
        <is>
          <t>VÄSTRA GÖTALANDS LÄN</t>
        </is>
      </c>
      <c r="E13772" t="inlineStr">
        <is>
          <t>MUNKEDAL</t>
        </is>
      </c>
      <c r="G13772" t="n">
        <v>1.6</v>
      </c>
      <c r="H13772" t="n">
        <v>0</v>
      </c>
      <c r="I13772" t="n">
        <v>0</v>
      </c>
      <c r="J13772" t="n">
        <v>0</v>
      </c>
      <c r="K13772" t="n">
        <v>0</v>
      </c>
      <c r="L13772" t="n">
        <v>0</v>
      </c>
      <c r="M13772" t="n">
        <v>0</v>
      </c>
      <c r="N13772" t="n">
        <v>0</v>
      </c>
      <c r="O13772" t="n">
        <v>0</v>
      </c>
      <c r="P13772" t="n">
        <v>0</v>
      </c>
      <c r="Q13772" t="n">
        <v>0</v>
      </c>
      <c r="R13772" s="2" t="inlineStr"/>
    </row>
    <row r="13773" ht="15" customHeight="1">
      <c r="A13773" t="inlineStr">
        <is>
          <t>A 45396-2025</t>
        </is>
      </c>
      <c r="B13773" s="1" t="n">
        <v>45922.41402777778</v>
      </c>
      <c r="C13773" s="1" t="n">
        <v>45952</v>
      </c>
      <c r="D13773" t="inlineStr">
        <is>
          <t>VÄSTRA GÖTALANDS LÄN</t>
        </is>
      </c>
      <c r="E13773" t="inlineStr">
        <is>
          <t>LERUM</t>
        </is>
      </c>
      <c r="G13773" t="n">
        <v>4.4</v>
      </c>
      <c r="H13773" t="n">
        <v>0</v>
      </c>
      <c r="I13773" t="n">
        <v>0</v>
      </c>
      <c r="J13773" t="n">
        <v>0</v>
      </c>
      <c r="K13773" t="n">
        <v>0</v>
      </c>
      <c r="L13773" t="n">
        <v>0</v>
      </c>
      <c r="M13773" t="n">
        <v>0</v>
      </c>
      <c r="N13773" t="n">
        <v>0</v>
      </c>
      <c r="O13773" t="n">
        <v>0</v>
      </c>
      <c r="P13773" t="n">
        <v>0</v>
      </c>
      <c r="Q13773" t="n">
        <v>0</v>
      </c>
      <c r="R13773" s="2" t="inlineStr"/>
    </row>
    <row r="13774" ht="15" customHeight="1">
      <c r="A13774" t="inlineStr">
        <is>
          <t>A 18772-2025</t>
        </is>
      </c>
      <c r="B13774" s="1" t="n">
        <v>45763</v>
      </c>
      <c r="C13774" s="1" t="n">
        <v>45952</v>
      </c>
      <c r="D13774" t="inlineStr">
        <is>
          <t>VÄSTRA GÖTALANDS LÄN</t>
        </is>
      </c>
      <c r="E13774" t="inlineStr">
        <is>
          <t>GULLSPÅNG</t>
        </is>
      </c>
      <c r="G13774" t="n">
        <v>1.5</v>
      </c>
      <c r="H13774" t="n">
        <v>0</v>
      </c>
      <c r="I13774" t="n">
        <v>0</v>
      </c>
      <c r="J13774" t="n">
        <v>0</v>
      </c>
      <c r="K13774" t="n">
        <v>0</v>
      </c>
      <c r="L13774" t="n">
        <v>0</v>
      </c>
      <c r="M13774" t="n">
        <v>0</v>
      </c>
      <c r="N13774" t="n">
        <v>0</v>
      </c>
      <c r="O13774" t="n">
        <v>0</v>
      </c>
      <c r="P13774" t="n">
        <v>0</v>
      </c>
      <c r="Q13774" t="n">
        <v>0</v>
      </c>
      <c r="R13774" s="2" t="inlineStr"/>
    </row>
    <row r="13775" ht="15" customHeight="1">
      <c r="A13775" t="inlineStr">
        <is>
          <t>A 30456-2023</t>
        </is>
      </c>
      <c r="B13775" s="1" t="n">
        <v>45111.57811342592</v>
      </c>
      <c r="C13775" s="1" t="n">
        <v>45952</v>
      </c>
      <c r="D13775" t="inlineStr">
        <is>
          <t>VÄSTRA GÖTALANDS LÄN</t>
        </is>
      </c>
      <c r="E13775" t="inlineStr">
        <is>
          <t>MUNKEDAL</t>
        </is>
      </c>
      <c r="F13775" t="inlineStr">
        <is>
          <t>Naturvårdsverket</t>
        </is>
      </c>
      <c r="G13775" t="n">
        <v>0.6</v>
      </c>
      <c r="H13775" t="n">
        <v>0</v>
      </c>
      <c r="I13775" t="n">
        <v>0</v>
      </c>
      <c r="J13775" t="n">
        <v>0</v>
      </c>
      <c r="K13775" t="n">
        <v>0</v>
      </c>
      <c r="L13775" t="n">
        <v>0</v>
      </c>
      <c r="M13775" t="n">
        <v>0</v>
      </c>
      <c r="N13775" t="n">
        <v>0</v>
      </c>
      <c r="O13775" t="n">
        <v>0</v>
      </c>
      <c r="P13775" t="n">
        <v>0</v>
      </c>
      <c r="Q13775" t="n">
        <v>0</v>
      </c>
      <c r="R13775" s="2" t="inlineStr"/>
    </row>
    <row r="13776" ht="15" customHeight="1">
      <c r="A13776" t="inlineStr">
        <is>
          <t>A 30554-2023</t>
        </is>
      </c>
      <c r="B13776" s="1" t="n">
        <v>45111.86663194445</v>
      </c>
      <c r="C13776" s="1" t="n">
        <v>45952</v>
      </c>
      <c r="D13776" t="inlineStr">
        <is>
          <t>VÄSTRA GÖTALANDS LÄN</t>
        </is>
      </c>
      <c r="E13776" t="inlineStr">
        <is>
          <t>MUNKEDAL</t>
        </is>
      </c>
      <c r="G13776" t="n">
        <v>4.1</v>
      </c>
      <c r="H13776" t="n">
        <v>0</v>
      </c>
      <c r="I13776" t="n">
        <v>0</v>
      </c>
      <c r="J13776" t="n">
        <v>0</v>
      </c>
      <c r="K13776" t="n">
        <v>0</v>
      </c>
      <c r="L13776" t="n">
        <v>0</v>
      </c>
      <c r="M13776" t="n">
        <v>0</v>
      </c>
      <c r="N13776" t="n">
        <v>0</v>
      </c>
      <c r="O13776" t="n">
        <v>0</v>
      </c>
      <c r="P13776" t="n">
        <v>0</v>
      </c>
      <c r="Q13776" t="n">
        <v>0</v>
      </c>
      <c r="R13776" s="2" t="inlineStr"/>
    </row>
    <row r="13777" ht="15" customHeight="1">
      <c r="A13777" t="inlineStr">
        <is>
          <t>A 14458-2024</t>
        </is>
      </c>
      <c r="B13777" s="1" t="n">
        <v>45394</v>
      </c>
      <c r="C13777" s="1" t="n">
        <v>45952</v>
      </c>
      <c r="D13777" t="inlineStr">
        <is>
          <t>VÄSTRA GÖTALANDS LÄN</t>
        </is>
      </c>
      <c r="E13777" t="inlineStr">
        <is>
          <t>ALE</t>
        </is>
      </c>
      <c r="G13777" t="n">
        <v>0.5</v>
      </c>
      <c r="H13777" t="n">
        <v>0</v>
      </c>
      <c r="I13777" t="n">
        <v>0</v>
      </c>
      <c r="J13777" t="n">
        <v>0</v>
      </c>
      <c r="K13777" t="n">
        <v>0</v>
      </c>
      <c r="L13777" t="n">
        <v>0</v>
      </c>
      <c r="M13777" t="n">
        <v>0</v>
      </c>
      <c r="N13777" t="n">
        <v>0</v>
      </c>
      <c r="O13777" t="n">
        <v>0</v>
      </c>
      <c r="P13777" t="n">
        <v>0</v>
      </c>
      <c r="Q13777" t="n">
        <v>0</v>
      </c>
      <c r="R13777" s="2" t="inlineStr"/>
    </row>
    <row r="13778" ht="15" customHeight="1">
      <c r="A13778" t="inlineStr">
        <is>
          <t>A 37639-2025</t>
        </is>
      </c>
      <c r="B13778" s="1" t="n">
        <v>45880.47399305556</v>
      </c>
      <c r="C13778" s="1" t="n">
        <v>45952</v>
      </c>
      <c r="D13778" t="inlineStr">
        <is>
          <t>VÄSTRA GÖTALANDS LÄN</t>
        </is>
      </c>
      <c r="E13778" t="inlineStr">
        <is>
          <t>TANUM</t>
        </is>
      </c>
      <c r="G13778" t="n">
        <v>1.6</v>
      </c>
      <c r="H13778" t="n">
        <v>0</v>
      </c>
      <c r="I13778" t="n">
        <v>0</v>
      </c>
      <c r="J13778" t="n">
        <v>0</v>
      </c>
      <c r="K13778" t="n">
        <v>0</v>
      </c>
      <c r="L13778" t="n">
        <v>0</v>
      </c>
      <c r="M13778" t="n">
        <v>0</v>
      </c>
      <c r="N13778" t="n">
        <v>0</v>
      </c>
      <c r="O13778" t="n">
        <v>0</v>
      </c>
      <c r="P13778" t="n">
        <v>0</v>
      </c>
      <c r="Q13778" t="n">
        <v>0</v>
      </c>
      <c r="R13778" s="2" t="inlineStr"/>
    </row>
    <row r="13779" ht="15" customHeight="1">
      <c r="A13779" t="inlineStr">
        <is>
          <t>A 65145-2023</t>
        </is>
      </c>
      <c r="B13779" s="1" t="n">
        <v>45288</v>
      </c>
      <c r="C13779" s="1" t="n">
        <v>45952</v>
      </c>
      <c r="D13779" t="inlineStr">
        <is>
          <t>VÄSTRA GÖTALANDS LÄN</t>
        </is>
      </c>
      <c r="E13779" t="inlineStr">
        <is>
          <t>MARK</t>
        </is>
      </c>
      <c r="G13779" t="n">
        <v>18.2</v>
      </c>
      <c r="H13779" t="n">
        <v>0</v>
      </c>
      <c r="I13779" t="n">
        <v>0</v>
      </c>
      <c r="J13779" t="n">
        <v>0</v>
      </c>
      <c r="K13779" t="n">
        <v>0</v>
      </c>
      <c r="L13779" t="n">
        <v>0</v>
      </c>
      <c r="M13779" t="n">
        <v>0</v>
      </c>
      <c r="N13779" t="n">
        <v>0</v>
      </c>
      <c r="O13779" t="n">
        <v>0</v>
      </c>
      <c r="P13779" t="n">
        <v>0</v>
      </c>
      <c r="Q13779" t="n">
        <v>0</v>
      </c>
      <c r="R13779" s="2" t="inlineStr"/>
    </row>
    <row r="13780" ht="15" customHeight="1">
      <c r="A13780" t="inlineStr">
        <is>
          <t>A 60491-2021</t>
        </is>
      </c>
      <c r="B13780" s="1" t="n">
        <v>44496.48324074074</v>
      </c>
      <c r="C13780" s="1" t="n">
        <v>45952</v>
      </c>
      <c r="D13780" t="inlineStr">
        <is>
          <t>VÄSTRA GÖTALANDS LÄN</t>
        </is>
      </c>
      <c r="E13780" t="inlineStr">
        <is>
          <t>BENGTSFORS</t>
        </is>
      </c>
      <c r="G13780" t="n">
        <v>2.7</v>
      </c>
      <c r="H13780" t="n">
        <v>0</v>
      </c>
      <c r="I13780" t="n">
        <v>0</v>
      </c>
      <c r="J13780" t="n">
        <v>0</v>
      </c>
      <c r="K13780" t="n">
        <v>0</v>
      </c>
      <c r="L13780" t="n">
        <v>0</v>
      </c>
      <c r="M13780" t="n">
        <v>0</v>
      </c>
      <c r="N13780" t="n">
        <v>0</v>
      </c>
      <c r="O13780" t="n">
        <v>0</v>
      </c>
      <c r="P13780" t="n">
        <v>0</v>
      </c>
      <c r="Q13780" t="n">
        <v>0</v>
      </c>
      <c r="R13780" s="2" t="inlineStr"/>
    </row>
    <row r="13781" ht="15" customHeight="1">
      <c r="A13781" t="inlineStr">
        <is>
          <t>A 65197-2023</t>
        </is>
      </c>
      <c r="B13781" s="1" t="n">
        <v>45289</v>
      </c>
      <c r="C13781" s="1" t="n">
        <v>45952</v>
      </c>
      <c r="D13781" t="inlineStr">
        <is>
          <t>VÄSTRA GÖTALANDS LÄN</t>
        </is>
      </c>
      <c r="E13781" t="inlineStr">
        <is>
          <t>MARIESTAD</t>
        </is>
      </c>
      <c r="F13781" t="inlineStr">
        <is>
          <t>Sveaskog</t>
        </is>
      </c>
      <c r="G13781" t="n">
        <v>0.1</v>
      </c>
      <c r="H13781" t="n">
        <v>0</v>
      </c>
      <c r="I13781" t="n">
        <v>0</v>
      </c>
      <c r="J13781" t="n">
        <v>0</v>
      </c>
      <c r="K13781" t="n">
        <v>0</v>
      </c>
      <c r="L13781" t="n">
        <v>0</v>
      </c>
      <c r="M13781" t="n">
        <v>0</v>
      </c>
      <c r="N13781" t="n">
        <v>0</v>
      </c>
      <c r="O13781" t="n">
        <v>0</v>
      </c>
      <c r="P13781" t="n">
        <v>0</v>
      </c>
      <c r="Q13781" t="n">
        <v>0</v>
      </c>
      <c r="R13781" s="2" t="inlineStr"/>
    </row>
    <row r="13782" ht="15" customHeight="1">
      <c r="A13782" t="inlineStr">
        <is>
          <t>A 65200-2023</t>
        </is>
      </c>
      <c r="B13782" s="1" t="n">
        <v>45289.42331018519</v>
      </c>
      <c r="C13782" s="1" t="n">
        <v>45952</v>
      </c>
      <c r="D13782" t="inlineStr">
        <is>
          <t>VÄSTRA GÖTALANDS LÄN</t>
        </is>
      </c>
      <c r="E13782" t="inlineStr">
        <is>
          <t>BORÅS</t>
        </is>
      </c>
      <c r="G13782" t="n">
        <v>12.5</v>
      </c>
      <c r="H13782" t="n">
        <v>0</v>
      </c>
      <c r="I13782" t="n">
        <v>0</v>
      </c>
      <c r="J13782" t="n">
        <v>0</v>
      </c>
      <c r="K13782" t="n">
        <v>0</v>
      </c>
      <c r="L13782" t="n">
        <v>0</v>
      </c>
      <c r="M13782" t="n">
        <v>0</v>
      </c>
      <c r="N13782" t="n">
        <v>0</v>
      </c>
      <c r="O13782" t="n">
        <v>0</v>
      </c>
      <c r="P13782" t="n">
        <v>0</v>
      </c>
      <c r="Q13782" t="n">
        <v>0</v>
      </c>
      <c r="R13782" s="2" t="inlineStr"/>
    </row>
    <row r="13783" ht="15" customHeight="1">
      <c r="A13783" t="inlineStr">
        <is>
          <t>A 7120-2024</t>
        </is>
      </c>
      <c r="B13783" s="1" t="n">
        <v>45344</v>
      </c>
      <c r="C13783" s="1" t="n">
        <v>45952</v>
      </c>
      <c r="D13783" t="inlineStr">
        <is>
          <t>VÄSTRA GÖTALANDS LÄN</t>
        </is>
      </c>
      <c r="E13783" t="inlineStr">
        <is>
          <t>TÖREBODA</t>
        </is>
      </c>
      <c r="G13783" t="n">
        <v>0.8</v>
      </c>
      <c r="H13783" t="n">
        <v>0</v>
      </c>
      <c r="I13783" t="n">
        <v>0</v>
      </c>
      <c r="J13783" t="n">
        <v>0</v>
      </c>
      <c r="K13783" t="n">
        <v>0</v>
      </c>
      <c r="L13783" t="n">
        <v>0</v>
      </c>
      <c r="M13783" t="n">
        <v>0</v>
      </c>
      <c r="N13783" t="n">
        <v>0</v>
      </c>
      <c r="O13783" t="n">
        <v>0</v>
      </c>
      <c r="P13783" t="n">
        <v>0</v>
      </c>
      <c r="Q13783" t="n">
        <v>0</v>
      </c>
      <c r="R13783" s="2" t="inlineStr"/>
    </row>
    <row r="13784" ht="15" customHeight="1">
      <c r="A13784" t="inlineStr">
        <is>
          <t>A 45888-2025</t>
        </is>
      </c>
      <c r="B13784" s="1" t="n">
        <v>45923.66642361111</v>
      </c>
      <c r="C13784" s="1" t="n">
        <v>45952</v>
      </c>
      <c r="D13784" t="inlineStr">
        <is>
          <t>VÄSTRA GÖTALANDS LÄN</t>
        </is>
      </c>
      <c r="E13784" t="inlineStr">
        <is>
          <t>MARK</t>
        </is>
      </c>
      <c r="G13784" t="n">
        <v>2.7</v>
      </c>
      <c r="H13784" t="n">
        <v>0</v>
      </c>
      <c r="I13784" t="n">
        <v>0</v>
      </c>
      <c r="J13784" t="n">
        <v>0</v>
      </c>
      <c r="K13784" t="n">
        <v>0</v>
      </c>
      <c r="L13784" t="n">
        <v>0</v>
      </c>
      <c r="M13784" t="n">
        <v>0</v>
      </c>
      <c r="N13784" t="n">
        <v>0</v>
      </c>
      <c r="O13784" t="n">
        <v>0</v>
      </c>
      <c r="P13784" t="n">
        <v>0</v>
      </c>
      <c r="Q13784" t="n">
        <v>0</v>
      </c>
      <c r="R13784" s="2" t="inlineStr"/>
    </row>
    <row r="13785" ht="15" customHeight="1">
      <c r="A13785" t="inlineStr">
        <is>
          <t>A 15841-2024</t>
        </is>
      </c>
      <c r="B13785" s="1" t="n">
        <v>45404.72262731481</v>
      </c>
      <c r="C13785" s="1" t="n">
        <v>45952</v>
      </c>
      <c r="D13785" t="inlineStr">
        <is>
          <t>VÄSTRA GÖTALANDS LÄN</t>
        </is>
      </c>
      <c r="E13785" t="inlineStr">
        <is>
          <t>DALS-ED</t>
        </is>
      </c>
      <c r="G13785" t="n">
        <v>4.4</v>
      </c>
      <c r="H13785" t="n">
        <v>0</v>
      </c>
      <c r="I13785" t="n">
        <v>0</v>
      </c>
      <c r="J13785" t="n">
        <v>0</v>
      </c>
      <c r="K13785" t="n">
        <v>0</v>
      </c>
      <c r="L13785" t="n">
        <v>0</v>
      </c>
      <c r="M13785" t="n">
        <v>0</v>
      </c>
      <c r="N13785" t="n">
        <v>0</v>
      </c>
      <c r="O13785" t="n">
        <v>0</v>
      </c>
      <c r="P13785" t="n">
        <v>0</v>
      </c>
      <c r="Q13785" t="n">
        <v>0</v>
      </c>
      <c r="R13785" s="2" t="inlineStr"/>
    </row>
    <row r="13786" ht="15" customHeight="1">
      <c r="A13786" t="inlineStr">
        <is>
          <t>A 22808-2023</t>
        </is>
      </c>
      <c r="B13786" s="1" t="n">
        <v>45072</v>
      </c>
      <c r="C13786" s="1" t="n">
        <v>45952</v>
      </c>
      <c r="D13786" t="inlineStr">
        <is>
          <t>VÄSTRA GÖTALANDS LÄN</t>
        </is>
      </c>
      <c r="E13786" t="inlineStr">
        <is>
          <t>FALKÖPING</t>
        </is>
      </c>
      <c r="G13786" t="n">
        <v>2.2</v>
      </c>
      <c r="H13786" t="n">
        <v>0</v>
      </c>
      <c r="I13786" t="n">
        <v>0</v>
      </c>
      <c r="J13786" t="n">
        <v>0</v>
      </c>
      <c r="K13786" t="n">
        <v>0</v>
      </c>
      <c r="L13786" t="n">
        <v>0</v>
      </c>
      <c r="M13786" t="n">
        <v>0</v>
      </c>
      <c r="N13786" t="n">
        <v>0</v>
      </c>
      <c r="O13786" t="n">
        <v>0</v>
      </c>
      <c r="P13786" t="n">
        <v>0</v>
      </c>
      <c r="Q13786" t="n">
        <v>0</v>
      </c>
      <c r="R13786" s="2" t="inlineStr"/>
    </row>
    <row r="13787" ht="15" customHeight="1">
      <c r="A13787" t="inlineStr">
        <is>
          <t>A 45821-2025</t>
        </is>
      </c>
      <c r="B13787" s="1" t="n">
        <v>45923.59707175926</v>
      </c>
      <c r="C13787" s="1" t="n">
        <v>45952</v>
      </c>
      <c r="D13787" t="inlineStr">
        <is>
          <t>VÄSTRA GÖTALANDS LÄN</t>
        </is>
      </c>
      <c r="E13787" t="inlineStr">
        <is>
          <t>TIBRO</t>
        </is>
      </c>
      <c r="G13787" t="n">
        <v>1.4</v>
      </c>
      <c r="H13787" t="n">
        <v>0</v>
      </c>
      <c r="I13787" t="n">
        <v>0</v>
      </c>
      <c r="J13787" t="n">
        <v>0</v>
      </c>
      <c r="K13787" t="n">
        <v>0</v>
      </c>
      <c r="L13787" t="n">
        <v>0</v>
      </c>
      <c r="M13787" t="n">
        <v>0</v>
      </c>
      <c r="N13787" t="n">
        <v>0</v>
      </c>
      <c r="O13787" t="n">
        <v>0</v>
      </c>
      <c r="P13787" t="n">
        <v>0</v>
      </c>
      <c r="Q13787" t="n">
        <v>0</v>
      </c>
      <c r="R13787" s="2" t="inlineStr"/>
    </row>
    <row r="13788" ht="15" customHeight="1">
      <c r="A13788" t="inlineStr">
        <is>
          <t>A 45293-2025</t>
        </is>
      </c>
      <c r="B13788" s="1" t="n">
        <v>45920.43634259259</v>
      </c>
      <c r="C13788" s="1" t="n">
        <v>45952</v>
      </c>
      <c r="D13788" t="inlineStr">
        <is>
          <t>VÄSTRA GÖTALANDS LÄN</t>
        </is>
      </c>
      <c r="E13788" t="inlineStr">
        <is>
          <t>VÅRGÅRDA</t>
        </is>
      </c>
      <c r="G13788" t="n">
        <v>1.8</v>
      </c>
      <c r="H13788" t="n">
        <v>0</v>
      </c>
      <c r="I13788" t="n">
        <v>0</v>
      </c>
      <c r="J13788" t="n">
        <v>0</v>
      </c>
      <c r="K13788" t="n">
        <v>0</v>
      </c>
      <c r="L13788" t="n">
        <v>0</v>
      </c>
      <c r="M13788" t="n">
        <v>0</v>
      </c>
      <c r="N13788" t="n">
        <v>0</v>
      </c>
      <c r="O13788" t="n">
        <v>0</v>
      </c>
      <c r="P13788" t="n">
        <v>0</v>
      </c>
      <c r="Q13788" t="n">
        <v>0</v>
      </c>
      <c r="R13788" s="2" t="inlineStr"/>
    </row>
    <row r="13789" ht="15" customHeight="1">
      <c r="A13789" t="inlineStr">
        <is>
          <t>A 45363-2025</t>
        </is>
      </c>
      <c r="B13789" s="1" t="n">
        <v>45922.38008101852</v>
      </c>
      <c r="C13789" s="1" t="n">
        <v>45952</v>
      </c>
      <c r="D13789" t="inlineStr">
        <is>
          <t>VÄSTRA GÖTALANDS LÄN</t>
        </is>
      </c>
      <c r="E13789" t="inlineStr">
        <is>
          <t>LERUM</t>
        </is>
      </c>
      <c r="G13789" t="n">
        <v>0.7</v>
      </c>
      <c r="H13789" t="n">
        <v>0</v>
      </c>
      <c r="I13789" t="n">
        <v>0</v>
      </c>
      <c r="J13789" t="n">
        <v>0</v>
      </c>
      <c r="K13789" t="n">
        <v>0</v>
      </c>
      <c r="L13789" t="n">
        <v>0</v>
      </c>
      <c r="M13789" t="n">
        <v>0</v>
      </c>
      <c r="N13789" t="n">
        <v>0</v>
      </c>
      <c r="O13789" t="n">
        <v>0</v>
      </c>
      <c r="P13789" t="n">
        <v>0</v>
      </c>
      <c r="Q13789" t="n">
        <v>0</v>
      </c>
      <c r="R13789" s="2" t="inlineStr"/>
    </row>
    <row r="13790" ht="15" customHeight="1">
      <c r="A13790" t="inlineStr">
        <is>
          <t>A 37549-2025</t>
        </is>
      </c>
      <c r="B13790" s="1" t="n">
        <v>45879.8837037037</v>
      </c>
      <c r="C13790" s="1" t="n">
        <v>45952</v>
      </c>
      <c r="D13790" t="inlineStr">
        <is>
          <t>VÄSTRA GÖTALANDS LÄN</t>
        </is>
      </c>
      <c r="E13790" t="inlineStr">
        <is>
          <t>BENGTSFORS</t>
        </is>
      </c>
      <c r="G13790" t="n">
        <v>1.7</v>
      </c>
      <c r="H13790" t="n">
        <v>0</v>
      </c>
      <c r="I13790" t="n">
        <v>0</v>
      </c>
      <c r="J13790" t="n">
        <v>0</v>
      </c>
      <c r="K13790" t="n">
        <v>0</v>
      </c>
      <c r="L13790" t="n">
        <v>0</v>
      </c>
      <c r="M13790" t="n">
        <v>0</v>
      </c>
      <c r="N13790" t="n">
        <v>0</v>
      </c>
      <c r="O13790" t="n">
        <v>0</v>
      </c>
      <c r="P13790" t="n">
        <v>0</v>
      </c>
      <c r="Q13790" t="n">
        <v>0</v>
      </c>
      <c r="R13790" s="2" t="inlineStr"/>
    </row>
    <row r="13791" ht="15" customHeight="1">
      <c r="A13791" t="inlineStr">
        <is>
          <t>A 45510-2025</t>
        </is>
      </c>
      <c r="B13791" s="1" t="n">
        <v>45922</v>
      </c>
      <c r="C13791" s="1" t="n">
        <v>45952</v>
      </c>
      <c r="D13791" t="inlineStr">
        <is>
          <t>VÄSTRA GÖTALANDS LÄN</t>
        </is>
      </c>
      <c r="E13791" t="inlineStr">
        <is>
          <t>BORÅS</t>
        </is>
      </c>
      <c r="F13791" t="inlineStr">
        <is>
          <t>Kommuner</t>
        </is>
      </c>
      <c r="G13791" t="n">
        <v>6.1</v>
      </c>
      <c r="H13791" t="n">
        <v>0</v>
      </c>
      <c r="I13791" t="n">
        <v>0</v>
      </c>
      <c r="J13791" t="n">
        <v>0</v>
      </c>
      <c r="K13791" t="n">
        <v>0</v>
      </c>
      <c r="L13791" t="n">
        <v>0</v>
      </c>
      <c r="M13791" t="n">
        <v>0</v>
      </c>
      <c r="N13791" t="n">
        <v>0</v>
      </c>
      <c r="O13791" t="n">
        <v>0</v>
      </c>
      <c r="P13791" t="n">
        <v>0</v>
      </c>
      <c r="Q13791" t="n">
        <v>0</v>
      </c>
      <c r="R13791" s="2" t="inlineStr"/>
    </row>
    <row r="13792" ht="15" customHeight="1">
      <c r="A13792" t="inlineStr">
        <is>
          <t>A 37934-2023</t>
        </is>
      </c>
      <c r="B13792" s="1" t="n">
        <v>45160.52923611111</v>
      </c>
      <c r="C13792" s="1" t="n">
        <v>45952</v>
      </c>
      <c r="D13792" t="inlineStr">
        <is>
          <t>VÄSTRA GÖTALANDS LÄN</t>
        </is>
      </c>
      <c r="E13792" t="inlineStr">
        <is>
          <t>TIDAHOLM</t>
        </is>
      </c>
      <c r="G13792" t="n">
        <v>1.8</v>
      </c>
      <c r="H13792" t="n">
        <v>0</v>
      </c>
      <c r="I13792" t="n">
        <v>0</v>
      </c>
      <c r="J13792" t="n">
        <v>0</v>
      </c>
      <c r="K13792" t="n">
        <v>0</v>
      </c>
      <c r="L13792" t="n">
        <v>0</v>
      </c>
      <c r="M13792" t="n">
        <v>0</v>
      </c>
      <c r="N13792" t="n">
        <v>0</v>
      </c>
      <c r="O13792" t="n">
        <v>0</v>
      </c>
      <c r="P13792" t="n">
        <v>0</v>
      </c>
      <c r="Q13792" t="n">
        <v>0</v>
      </c>
      <c r="R13792" s="2" t="inlineStr"/>
    </row>
    <row r="13793" ht="15" customHeight="1">
      <c r="A13793" t="inlineStr">
        <is>
          <t>A 52299-2024</t>
        </is>
      </c>
      <c r="B13793" s="1" t="n">
        <v>45608.73741898148</v>
      </c>
      <c r="C13793" s="1" t="n">
        <v>45952</v>
      </c>
      <c r="D13793" t="inlineStr">
        <is>
          <t>VÄSTRA GÖTALANDS LÄN</t>
        </is>
      </c>
      <c r="E13793" t="inlineStr">
        <is>
          <t>ALINGSÅS</t>
        </is>
      </c>
      <c r="G13793" t="n">
        <v>0.7</v>
      </c>
      <c r="H13793" t="n">
        <v>0</v>
      </c>
      <c r="I13793" t="n">
        <v>0</v>
      </c>
      <c r="J13793" t="n">
        <v>0</v>
      </c>
      <c r="K13793" t="n">
        <v>0</v>
      </c>
      <c r="L13793" t="n">
        <v>0</v>
      </c>
      <c r="M13793" t="n">
        <v>0</v>
      </c>
      <c r="N13793" t="n">
        <v>0</v>
      </c>
      <c r="O13793" t="n">
        <v>0</v>
      </c>
      <c r="P13793" t="n">
        <v>0</v>
      </c>
      <c r="Q13793" t="n">
        <v>0</v>
      </c>
      <c r="R13793" s="2" t="inlineStr"/>
    </row>
    <row r="13794" ht="15" customHeight="1">
      <c r="A13794" t="inlineStr">
        <is>
          <t>A 52317-2024</t>
        </is>
      </c>
      <c r="B13794" s="1" t="n">
        <v>45608.95311342592</v>
      </c>
      <c r="C13794" s="1" t="n">
        <v>45952</v>
      </c>
      <c r="D13794" t="inlineStr">
        <is>
          <t>VÄSTRA GÖTALANDS LÄN</t>
        </is>
      </c>
      <c r="E13794" t="inlineStr">
        <is>
          <t>FALKÖPING</t>
        </is>
      </c>
      <c r="G13794" t="n">
        <v>2.3</v>
      </c>
      <c r="H13794" t="n">
        <v>0</v>
      </c>
      <c r="I13794" t="n">
        <v>0</v>
      </c>
      <c r="J13794" t="n">
        <v>0</v>
      </c>
      <c r="K13794" t="n">
        <v>0</v>
      </c>
      <c r="L13794" t="n">
        <v>0</v>
      </c>
      <c r="M13794" t="n">
        <v>0</v>
      </c>
      <c r="N13794" t="n">
        <v>0</v>
      </c>
      <c r="O13794" t="n">
        <v>0</v>
      </c>
      <c r="P13794" t="n">
        <v>0</v>
      </c>
      <c r="Q13794" t="n">
        <v>0</v>
      </c>
      <c r="R13794" s="2" t="inlineStr"/>
    </row>
    <row r="13795" ht="15" customHeight="1">
      <c r="A13795" t="inlineStr">
        <is>
          <t>A 45669-2025</t>
        </is>
      </c>
      <c r="B13795" s="1" t="n">
        <v>45923.35321759259</v>
      </c>
      <c r="C13795" s="1" t="n">
        <v>45952</v>
      </c>
      <c r="D13795" t="inlineStr">
        <is>
          <t>VÄSTRA GÖTALANDS LÄN</t>
        </is>
      </c>
      <c r="E13795" t="inlineStr">
        <is>
          <t>FÄRGELANDA</t>
        </is>
      </c>
      <c r="G13795" t="n">
        <v>1.9</v>
      </c>
      <c r="H13795" t="n">
        <v>0</v>
      </c>
      <c r="I13795" t="n">
        <v>0</v>
      </c>
      <c r="J13795" t="n">
        <v>0</v>
      </c>
      <c r="K13795" t="n">
        <v>0</v>
      </c>
      <c r="L13795" t="n">
        <v>0</v>
      </c>
      <c r="M13795" t="n">
        <v>0</v>
      </c>
      <c r="N13795" t="n">
        <v>0</v>
      </c>
      <c r="O13795" t="n">
        <v>0</v>
      </c>
      <c r="P13795" t="n">
        <v>0</v>
      </c>
      <c r="Q13795" t="n">
        <v>0</v>
      </c>
      <c r="R13795" s="2" t="inlineStr"/>
    </row>
    <row r="13796" ht="15" customHeight="1">
      <c r="A13796" t="inlineStr">
        <is>
          <t>A 45853-2025</t>
        </is>
      </c>
      <c r="B13796" s="1" t="n">
        <v>45923.6297337963</v>
      </c>
      <c r="C13796" s="1" t="n">
        <v>45952</v>
      </c>
      <c r="D13796" t="inlineStr">
        <is>
          <t>VÄSTRA GÖTALANDS LÄN</t>
        </is>
      </c>
      <c r="E13796" t="inlineStr">
        <is>
          <t>VÅRGÅRDA</t>
        </is>
      </c>
      <c r="G13796" t="n">
        <v>2.1</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45861-2025</t>
        </is>
      </c>
      <c r="B13797" s="1" t="n">
        <v>45923.64278935185</v>
      </c>
      <c r="C13797" s="1" t="n">
        <v>45952</v>
      </c>
      <c r="D13797" t="inlineStr">
        <is>
          <t>VÄSTRA GÖTALANDS LÄN</t>
        </is>
      </c>
      <c r="E13797" t="inlineStr">
        <is>
          <t>MELLERUD</t>
        </is>
      </c>
      <c r="G13797" t="n">
        <v>10.2</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45530-2025</t>
        </is>
      </c>
      <c r="B13798" s="1" t="n">
        <v>45922.60380787037</v>
      </c>
      <c r="C13798" s="1" t="n">
        <v>45952</v>
      </c>
      <c r="D13798" t="inlineStr">
        <is>
          <t>VÄSTRA GÖTALANDS LÄN</t>
        </is>
      </c>
      <c r="E13798" t="inlineStr">
        <is>
          <t>TRANEMO</t>
        </is>
      </c>
      <c r="G13798" t="n">
        <v>2.5</v>
      </c>
      <c r="H13798" t="n">
        <v>0</v>
      </c>
      <c r="I13798" t="n">
        <v>0</v>
      </c>
      <c r="J13798" t="n">
        <v>0</v>
      </c>
      <c r="K13798" t="n">
        <v>0</v>
      </c>
      <c r="L13798" t="n">
        <v>0</v>
      </c>
      <c r="M13798" t="n">
        <v>0</v>
      </c>
      <c r="N13798" t="n">
        <v>0</v>
      </c>
      <c r="O13798" t="n">
        <v>0</v>
      </c>
      <c r="P13798" t="n">
        <v>0</v>
      </c>
      <c r="Q13798" t="n">
        <v>0</v>
      </c>
      <c r="R13798" s="2" t="inlineStr"/>
    </row>
    <row r="13799" ht="15" customHeight="1">
      <c r="A13799" t="inlineStr">
        <is>
          <t>A 45897-2025</t>
        </is>
      </c>
      <c r="B13799" s="1" t="n">
        <v>45923.67934027778</v>
      </c>
      <c r="C13799" s="1" t="n">
        <v>45952</v>
      </c>
      <c r="D13799" t="inlineStr">
        <is>
          <t>VÄSTRA GÖTALANDS LÄN</t>
        </is>
      </c>
      <c r="E13799" t="inlineStr">
        <is>
          <t>MARK</t>
        </is>
      </c>
      <c r="G13799" t="n">
        <v>3.2</v>
      </c>
      <c r="H13799" t="n">
        <v>0</v>
      </c>
      <c r="I13799" t="n">
        <v>0</v>
      </c>
      <c r="J13799" t="n">
        <v>0</v>
      </c>
      <c r="K13799" t="n">
        <v>0</v>
      </c>
      <c r="L13799" t="n">
        <v>0</v>
      </c>
      <c r="M13799" t="n">
        <v>0</v>
      </c>
      <c r="N13799" t="n">
        <v>0</v>
      </c>
      <c r="O13799" t="n">
        <v>0</v>
      </c>
      <c r="P13799" t="n">
        <v>0</v>
      </c>
      <c r="Q13799" t="n">
        <v>0</v>
      </c>
      <c r="R13799" s="2" t="inlineStr"/>
    </row>
    <row r="13800" ht="15" customHeight="1">
      <c r="A13800" t="inlineStr">
        <is>
          <t>A 4584-2022</t>
        </is>
      </c>
      <c r="B13800" s="1" t="n">
        <v>44591.90067129629</v>
      </c>
      <c r="C13800" s="1" t="n">
        <v>45952</v>
      </c>
      <c r="D13800" t="inlineStr">
        <is>
          <t>VÄSTRA GÖTALANDS LÄN</t>
        </is>
      </c>
      <c r="E13800" t="inlineStr">
        <is>
          <t>TANUM</t>
        </is>
      </c>
      <c r="G13800" t="n">
        <v>2</v>
      </c>
      <c r="H13800" t="n">
        <v>0</v>
      </c>
      <c r="I13800" t="n">
        <v>0</v>
      </c>
      <c r="J13800" t="n">
        <v>0</v>
      </c>
      <c r="K13800" t="n">
        <v>0</v>
      </c>
      <c r="L13800" t="n">
        <v>0</v>
      </c>
      <c r="M13800" t="n">
        <v>0</v>
      </c>
      <c r="N13800" t="n">
        <v>0</v>
      </c>
      <c r="O13800" t="n">
        <v>0</v>
      </c>
      <c r="P13800" t="n">
        <v>0</v>
      </c>
      <c r="Q13800" t="n">
        <v>0</v>
      </c>
      <c r="R13800" s="2" t="inlineStr"/>
    </row>
    <row r="13801" ht="15" customHeight="1">
      <c r="A13801" t="inlineStr">
        <is>
          <t>A 37706-2025</t>
        </is>
      </c>
      <c r="B13801" s="1" t="n">
        <v>45880.59420138889</v>
      </c>
      <c r="C13801" s="1" t="n">
        <v>45952</v>
      </c>
      <c r="D13801" t="inlineStr">
        <is>
          <t>VÄSTRA GÖTALANDS LÄN</t>
        </is>
      </c>
      <c r="E13801" t="inlineStr">
        <is>
          <t>ULRICEHAMN</t>
        </is>
      </c>
      <c r="G13801" t="n">
        <v>1.5</v>
      </c>
      <c r="H13801" t="n">
        <v>0</v>
      </c>
      <c r="I13801" t="n">
        <v>0</v>
      </c>
      <c r="J13801" t="n">
        <v>0</v>
      </c>
      <c r="K13801" t="n">
        <v>0</v>
      </c>
      <c r="L13801" t="n">
        <v>0</v>
      </c>
      <c r="M13801" t="n">
        <v>0</v>
      </c>
      <c r="N13801" t="n">
        <v>0</v>
      </c>
      <c r="O13801" t="n">
        <v>0</v>
      </c>
      <c r="P13801" t="n">
        <v>0</v>
      </c>
      <c r="Q13801" t="n">
        <v>0</v>
      </c>
      <c r="R13801" s="2" t="inlineStr"/>
    </row>
    <row r="13802" ht="15" customHeight="1">
      <c r="A13802" t="inlineStr">
        <is>
          <t>A 45567-2025</t>
        </is>
      </c>
      <c r="B13802" s="1" t="n">
        <v>45922.65501157408</v>
      </c>
      <c r="C13802" s="1" t="n">
        <v>45952</v>
      </c>
      <c r="D13802" t="inlineStr">
        <is>
          <t>VÄSTRA GÖTALANDS LÄN</t>
        </is>
      </c>
      <c r="E13802" t="inlineStr">
        <is>
          <t>UDDEVALLA</t>
        </is>
      </c>
      <c r="G13802" t="n">
        <v>3.1</v>
      </c>
      <c r="H13802" t="n">
        <v>0</v>
      </c>
      <c r="I13802" t="n">
        <v>0</v>
      </c>
      <c r="J13802" t="n">
        <v>0</v>
      </c>
      <c r="K13802" t="n">
        <v>0</v>
      </c>
      <c r="L13802" t="n">
        <v>0</v>
      </c>
      <c r="M13802" t="n">
        <v>0</v>
      </c>
      <c r="N13802" t="n">
        <v>0</v>
      </c>
      <c r="O13802" t="n">
        <v>0</v>
      </c>
      <c r="P13802" t="n">
        <v>0</v>
      </c>
      <c r="Q13802" t="n">
        <v>0</v>
      </c>
      <c r="R13802" s="2" t="inlineStr"/>
    </row>
    <row r="13803" ht="15" customHeight="1">
      <c r="A13803" t="inlineStr">
        <is>
          <t>A 22183-2023</t>
        </is>
      </c>
      <c r="B13803" s="1" t="n">
        <v>45069</v>
      </c>
      <c r="C13803" s="1" t="n">
        <v>45952</v>
      </c>
      <c r="D13803" t="inlineStr">
        <is>
          <t>VÄSTRA GÖTALANDS LÄN</t>
        </is>
      </c>
      <c r="E13803" t="inlineStr">
        <is>
          <t>SVENLJUNGA</t>
        </is>
      </c>
      <c r="G13803" t="n">
        <v>1</v>
      </c>
      <c r="H13803" t="n">
        <v>0</v>
      </c>
      <c r="I13803" t="n">
        <v>0</v>
      </c>
      <c r="J13803" t="n">
        <v>0</v>
      </c>
      <c r="K13803" t="n">
        <v>0</v>
      </c>
      <c r="L13803" t="n">
        <v>0</v>
      </c>
      <c r="M13803" t="n">
        <v>0</v>
      </c>
      <c r="N13803" t="n">
        <v>0</v>
      </c>
      <c r="O13803" t="n">
        <v>0</v>
      </c>
      <c r="P13803" t="n">
        <v>0</v>
      </c>
      <c r="Q13803" t="n">
        <v>0</v>
      </c>
      <c r="R13803" s="2" t="inlineStr"/>
    </row>
    <row r="13804" ht="15" customHeight="1">
      <c r="A13804" t="inlineStr">
        <is>
          <t>A 22185-2023</t>
        </is>
      </c>
      <c r="B13804" s="1" t="n">
        <v>45069</v>
      </c>
      <c r="C13804" s="1" t="n">
        <v>45952</v>
      </c>
      <c r="D13804" t="inlineStr">
        <is>
          <t>VÄSTRA GÖTALANDS LÄN</t>
        </is>
      </c>
      <c r="E13804" t="inlineStr">
        <is>
          <t>SVENLJUNGA</t>
        </is>
      </c>
      <c r="G13804" t="n">
        <v>0.7</v>
      </c>
      <c r="H13804" t="n">
        <v>0</v>
      </c>
      <c r="I13804" t="n">
        <v>0</v>
      </c>
      <c r="J13804" t="n">
        <v>0</v>
      </c>
      <c r="K13804" t="n">
        <v>0</v>
      </c>
      <c r="L13804" t="n">
        <v>0</v>
      </c>
      <c r="M13804" t="n">
        <v>0</v>
      </c>
      <c r="N13804" t="n">
        <v>0</v>
      </c>
      <c r="O13804" t="n">
        <v>0</v>
      </c>
      <c r="P13804" t="n">
        <v>0</v>
      </c>
      <c r="Q13804" t="n">
        <v>0</v>
      </c>
      <c r="R13804" s="2" t="inlineStr"/>
    </row>
    <row r="13805" ht="15" customHeight="1">
      <c r="A13805" t="inlineStr">
        <is>
          <t>A 22246-2023</t>
        </is>
      </c>
      <c r="B13805" s="1" t="n">
        <v>45070.30204861111</v>
      </c>
      <c r="C13805" s="1" t="n">
        <v>45952</v>
      </c>
      <c r="D13805" t="inlineStr">
        <is>
          <t>VÄSTRA GÖTALANDS LÄN</t>
        </is>
      </c>
      <c r="E13805" t="inlineStr">
        <is>
          <t>MARK</t>
        </is>
      </c>
      <c r="G13805" t="n">
        <v>0.9</v>
      </c>
      <c r="H13805" t="n">
        <v>0</v>
      </c>
      <c r="I13805" t="n">
        <v>0</v>
      </c>
      <c r="J13805" t="n">
        <v>0</v>
      </c>
      <c r="K13805" t="n">
        <v>0</v>
      </c>
      <c r="L13805" t="n">
        <v>0</v>
      </c>
      <c r="M13805" t="n">
        <v>0</v>
      </c>
      <c r="N13805" t="n">
        <v>0</v>
      </c>
      <c r="O13805" t="n">
        <v>0</v>
      </c>
      <c r="P13805" t="n">
        <v>0</v>
      </c>
      <c r="Q13805" t="n">
        <v>0</v>
      </c>
      <c r="R13805" s="2" t="inlineStr"/>
    </row>
    <row r="13806" ht="15" customHeight="1">
      <c r="A13806" t="inlineStr">
        <is>
          <t>A 45292-2025</t>
        </is>
      </c>
      <c r="B13806" s="1" t="n">
        <v>45920.43488425926</v>
      </c>
      <c r="C13806" s="1" t="n">
        <v>45952</v>
      </c>
      <c r="D13806" t="inlineStr">
        <is>
          <t>VÄSTRA GÖTALANDS LÄN</t>
        </is>
      </c>
      <c r="E13806" t="inlineStr">
        <is>
          <t>VÅRGÅRDA</t>
        </is>
      </c>
      <c r="G13806" t="n">
        <v>2.1</v>
      </c>
      <c r="H13806" t="n">
        <v>0</v>
      </c>
      <c r="I13806" t="n">
        <v>0</v>
      </c>
      <c r="J13806" t="n">
        <v>0</v>
      </c>
      <c r="K13806" t="n">
        <v>0</v>
      </c>
      <c r="L13806" t="n">
        <v>0</v>
      </c>
      <c r="M13806" t="n">
        <v>0</v>
      </c>
      <c r="N13806" t="n">
        <v>0</v>
      </c>
      <c r="O13806" t="n">
        <v>0</v>
      </c>
      <c r="P13806" t="n">
        <v>0</v>
      </c>
      <c r="Q13806" t="n">
        <v>0</v>
      </c>
      <c r="R13806" s="2" t="inlineStr"/>
    </row>
    <row r="13807" ht="15" customHeight="1">
      <c r="A13807" t="inlineStr">
        <is>
          <t>A 3992-2023</t>
        </is>
      </c>
      <c r="B13807" s="1" t="n">
        <v>44952</v>
      </c>
      <c r="C13807" s="1" t="n">
        <v>45952</v>
      </c>
      <c r="D13807" t="inlineStr">
        <is>
          <t>VÄSTRA GÖTALANDS LÄN</t>
        </is>
      </c>
      <c r="E13807" t="inlineStr">
        <is>
          <t>MELLERUD</t>
        </is>
      </c>
      <c r="G13807" t="n">
        <v>0.7</v>
      </c>
      <c r="H13807" t="n">
        <v>0</v>
      </c>
      <c r="I13807" t="n">
        <v>0</v>
      </c>
      <c r="J13807" t="n">
        <v>0</v>
      </c>
      <c r="K13807" t="n">
        <v>0</v>
      </c>
      <c r="L13807" t="n">
        <v>0</v>
      </c>
      <c r="M13807" t="n">
        <v>0</v>
      </c>
      <c r="N13807" t="n">
        <v>0</v>
      </c>
      <c r="O13807" t="n">
        <v>0</v>
      </c>
      <c r="P13807" t="n">
        <v>0</v>
      </c>
      <c r="Q13807" t="n">
        <v>0</v>
      </c>
      <c r="R13807" s="2" t="inlineStr"/>
    </row>
    <row r="13808" ht="15" customHeight="1">
      <c r="A13808" t="inlineStr">
        <is>
          <t>A 37637-2025</t>
        </is>
      </c>
      <c r="B13808" s="1" t="n">
        <v>45880.47231481481</v>
      </c>
      <c r="C13808" s="1" t="n">
        <v>45952</v>
      </c>
      <c r="D13808" t="inlineStr">
        <is>
          <t>VÄSTRA GÖTALANDS LÄN</t>
        </is>
      </c>
      <c r="E13808" t="inlineStr">
        <is>
          <t>TANUM</t>
        </is>
      </c>
      <c r="G13808" t="n">
        <v>1.8</v>
      </c>
      <c r="H13808" t="n">
        <v>0</v>
      </c>
      <c r="I13808" t="n">
        <v>0</v>
      </c>
      <c r="J13808" t="n">
        <v>0</v>
      </c>
      <c r="K13808" t="n">
        <v>0</v>
      </c>
      <c r="L13808" t="n">
        <v>0</v>
      </c>
      <c r="M13808" t="n">
        <v>0</v>
      </c>
      <c r="N13808" t="n">
        <v>0</v>
      </c>
      <c r="O13808" t="n">
        <v>0</v>
      </c>
      <c r="P13808" t="n">
        <v>0</v>
      </c>
      <c r="Q13808" t="n">
        <v>0</v>
      </c>
      <c r="R13808" s="2" t="inlineStr"/>
    </row>
    <row r="13809" ht="15" customHeight="1">
      <c r="A13809" t="inlineStr">
        <is>
          <t>A 37648-2025</t>
        </is>
      </c>
      <c r="B13809" s="1" t="n">
        <v>45880</v>
      </c>
      <c r="C13809" s="1" t="n">
        <v>45952</v>
      </c>
      <c r="D13809" t="inlineStr">
        <is>
          <t>VÄSTRA GÖTALANDS LÄN</t>
        </is>
      </c>
      <c r="E13809" t="inlineStr">
        <is>
          <t>BENGTSFORS</t>
        </is>
      </c>
      <c r="G13809" t="n">
        <v>1.4</v>
      </c>
      <c r="H13809" t="n">
        <v>0</v>
      </c>
      <c r="I13809" t="n">
        <v>0</v>
      </c>
      <c r="J13809" t="n">
        <v>0</v>
      </c>
      <c r="K13809" t="n">
        <v>0</v>
      </c>
      <c r="L13809" t="n">
        <v>0</v>
      </c>
      <c r="M13809" t="n">
        <v>0</v>
      </c>
      <c r="N13809" t="n">
        <v>0</v>
      </c>
      <c r="O13809" t="n">
        <v>0</v>
      </c>
      <c r="P13809" t="n">
        <v>0</v>
      </c>
      <c r="Q13809" t="n">
        <v>0</v>
      </c>
      <c r="R13809" s="2" t="inlineStr"/>
    </row>
    <row r="13810" ht="15" customHeight="1">
      <c r="A13810" t="inlineStr">
        <is>
          <t>A 4043-2023</t>
        </is>
      </c>
      <c r="B13810" s="1" t="n">
        <v>44952.60282407407</v>
      </c>
      <c r="C13810" s="1" t="n">
        <v>45952</v>
      </c>
      <c r="D13810" t="inlineStr">
        <is>
          <t>VÄSTRA GÖTALANDS LÄN</t>
        </is>
      </c>
      <c r="E13810" t="inlineStr">
        <is>
          <t>DALS-ED</t>
        </is>
      </c>
      <c r="G13810" t="n">
        <v>1.2</v>
      </c>
      <c r="H13810" t="n">
        <v>0</v>
      </c>
      <c r="I13810" t="n">
        <v>0</v>
      </c>
      <c r="J13810" t="n">
        <v>0</v>
      </c>
      <c r="K13810" t="n">
        <v>0</v>
      </c>
      <c r="L13810" t="n">
        <v>0</v>
      </c>
      <c r="M13810" t="n">
        <v>0</v>
      </c>
      <c r="N13810" t="n">
        <v>0</v>
      </c>
      <c r="O13810" t="n">
        <v>0</v>
      </c>
      <c r="P13810" t="n">
        <v>0</v>
      </c>
      <c r="Q13810" t="n">
        <v>0</v>
      </c>
      <c r="R13810" s="2" t="inlineStr"/>
    </row>
    <row r="13811" ht="15" customHeight="1">
      <c r="A13811" t="inlineStr">
        <is>
          <t>A 45633-2025</t>
        </is>
      </c>
      <c r="B13811" s="1" t="n">
        <v>45922.85010416667</v>
      </c>
      <c r="C13811" s="1" t="n">
        <v>45952</v>
      </c>
      <c r="D13811" t="inlineStr">
        <is>
          <t>VÄSTRA GÖTALANDS LÄN</t>
        </is>
      </c>
      <c r="E13811" t="inlineStr">
        <is>
          <t>HERRLJUNGA</t>
        </is>
      </c>
      <c r="G13811" t="n">
        <v>1.4</v>
      </c>
      <c r="H13811" t="n">
        <v>0</v>
      </c>
      <c r="I13811" t="n">
        <v>0</v>
      </c>
      <c r="J13811" t="n">
        <v>0</v>
      </c>
      <c r="K13811" t="n">
        <v>0</v>
      </c>
      <c r="L13811" t="n">
        <v>0</v>
      </c>
      <c r="M13811" t="n">
        <v>0</v>
      </c>
      <c r="N13811" t="n">
        <v>0</v>
      </c>
      <c r="O13811" t="n">
        <v>0</v>
      </c>
      <c r="P13811" t="n">
        <v>0</v>
      </c>
      <c r="Q13811" t="n">
        <v>0</v>
      </c>
      <c r="R13811" s="2" t="inlineStr"/>
    </row>
    <row r="13812" ht="15" customHeight="1">
      <c r="A13812" t="inlineStr">
        <is>
          <t>A 45636-2025</t>
        </is>
      </c>
      <c r="B13812" s="1" t="n">
        <v>45922.85353009259</v>
      </c>
      <c r="C13812" s="1" t="n">
        <v>45952</v>
      </c>
      <c r="D13812" t="inlineStr">
        <is>
          <t>VÄSTRA GÖTALANDS LÄN</t>
        </is>
      </c>
      <c r="E13812" t="inlineStr">
        <is>
          <t>HERRLJUNGA</t>
        </is>
      </c>
      <c r="G13812" t="n">
        <v>1.8</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45638-2025</t>
        </is>
      </c>
      <c r="B13813" s="1" t="n">
        <v>45922.85699074074</v>
      </c>
      <c r="C13813" s="1" t="n">
        <v>45952</v>
      </c>
      <c r="D13813" t="inlineStr">
        <is>
          <t>VÄSTRA GÖTALANDS LÄN</t>
        </is>
      </c>
      <c r="E13813" t="inlineStr">
        <is>
          <t>ULRICEHAMN</t>
        </is>
      </c>
      <c r="G13813" t="n">
        <v>0.6</v>
      </c>
      <c r="H13813" t="n">
        <v>0</v>
      </c>
      <c r="I13813" t="n">
        <v>0</v>
      </c>
      <c r="J13813" t="n">
        <v>0</v>
      </c>
      <c r="K13813" t="n">
        <v>0</v>
      </c>
      <c r="L13813" t="n">
        <v>0</v>
      </c>
      <c r="M13813" t="n">
        <v>0</v>
      </c>
      <c r="N13813" t="n">
        <v>0</v>
      </c>
      <c r="O13813" t="n">
        <v>0</v>
      </c>
      <c r="P13813" t="n">
        <v>0</v>
      </c>
      <c r="Q13813" t="n">
        <v>0</v>
      </c>
      <c r="R13813" s="2" t="inlineStr"/>
    </row>
    <row r="13814" ht="15" customHeight="1">
      <c r="A13814" t="inlineStr">
        <is>
          <t>A 45486-2025</t>
        </is>
      </c>
      <c r="B13814" s="1" t="n">
        <v>45921</v>
      </c>
      <c r="C13814" s="1" t="n">
        <v>45952</v>
      </c>
      <c r="D13814" t="inlineStr">
        <is>
          <t>VÄSTRA GÖTALANDS LÄN</t>
        </is>
      </c>
      <c r="E13814" t="inlineStr">
        <is>
          <t>MUNKEDAL</t>
        </is>
      </c>
      <c r="G13814" t="n">
        <v>1.8</v>
      </c>
      <c r="H13814" t="n">
        <v>0</v>
      </c>
      <c r="I13814" t="n">
        <v>0</v>
      </c>
      <c r="J13814" t="n">
        <v>0</v>
      </c>
      <c r="K13814" t="n">
        <v>0</v>
      </c>
      <c r="L13814" t="n">
        <v>0</v>
      </c>
      <c r="M13814" t="n">
        <v>0</v>
      </c>
      <c r="N13814" t="n">
        <v>0</v>
      </c>
      <c r="O13814" t="n">
        <v>0</v>
      </c>
      <c r="P13814" t="n">
        <v>0</v>
      </c>
      <c r="Q13814" t="n">
        <v>0</v>
      </c>
      <c r="R13814" s="2" t="inlineStr"/>
    </row>
    <row r="13815" ht="15" customHeight="1">
      <c r="A13815" t="inlineStr">
        <is>
          <t>A 32772-2025</t>
        </is>
      </c>
      <c r="B13815" s="1" t="n">
        <v>45839.46179398148</v>
      </c>
      <c r="C13815" s="1" t="n">
        <v>45952</v>
      </c>
      <c r="D13815" t="inlineStr">
        <is>
          <t>VÄSTRA GÖTALANDS LÄN</t>
        </is>
      </c>
      <c r="E13815" t="inlineStr">
        <is>
          <t>HERRLJUNGA</t>
        </is>
      </c>
      <c r="G13815" t="n">
        <v>2.5</v>
      </c>
      <c r="H13815" t="n">
        <v>0</v>
      </c>
      <c r="I13815" t="n">
        <v>0</v>
      </c>
      <c r="J13815" t="n">
        <v>0</v>
      </c>
      <c r="K13815" t="n">
        <v>0</v>
      </c>
      <c r="L13815" t="n">
        <v>0</v>
      </c>
      <c r="M13815" t="n">
        <v>0</v>
      </c>
      <c r="N13815" t="n">
        <v>0</v>
      </c>
      <c r="O13815" t="n">
        <v>0</v>
      </c>
      <c r="P13815" t="n">
        <v>0</v>
      </c>
      <c r="Q13815" t="n">
        <v>0</v>
      </c>
      <c r="R13815" s="2" t="inlineStr"/>
    </row>
    <row r="13816" ht="15" customHeight="1">
      <c r="A13816" t="inlineStr">
        <is>
          <t>A 45502-2025</t>
        </is>
      </c>
      <c r="B13816" s="1" t="n">
        <v>45922.57309027778</v>
      </c>
      <c r="C13816" s="1" t="n">
        <v>45952</v>
      </c>
      <c r="D13816" t="inlineStr">
        <is>
          <t>VÄSTRA GÖTALANDS LÄN</t>
        </is>
      </c>
      <c r="E13816" t="inlineStr">
        <is>
          <t>TRANEMO</t>
        </is>
      </c>
      <c r="G13816" t="n">
        <v>1.6</v>
      </c>
      <c r="H13816" t="n">
        <v>0</v>
      </c>
      <c r="I13816" t="n">
        <v>0</v>
      </c>
      <c r="J13816" t="n">
        <v>0</v>
      </c>
      <c r="K13816" t="n">
        <v>0</v>
      </c>
      <c r="L13816" t="n">
        <v>0</v>
      </c>
      <c r="M13816" t="n">
        <v>0</v>
      </c>
      <c r="N13816" t="n">
        <v>0</v>
      </c>
      <c r="O13816" t="n">
        <v>0</v>
      </c>
      <c r="P13816" t="n">
        <v>0</v>
      </c>
      <c r="Q13816" t="n">
        <v>0</v>
      </c>
      <c r="R13816" s="2" t="inlineStr"/>
    </row>
    <row r="13817" ht="15" customHeight="1">
      <c r="A13817" t="inlineStr">
        <is>
          <t>A 45505-2025</t>
        </is>
      </c>
      <c r="B13817" s="1" t="n">
        <v>45922</v>
      </c>
      <c r="C13817" s="1" t="n">
        <v>45952</v>
      </c>
      <c r="D13817" t="inlineStr">
        <is>
          <t>VÄSTRA GÖTALANDS LÄN</t>
        </is>
      </c>
      <c r="E13817" t="inlineStr">
        <is>
          <t>BORÅS</t>
        </is>
      </c>
      <c r="F13817" t="inlineStr">
        <is>
          <t>Kommuner</t>
        </is>
      </c>
      <c r="G13817" t="n">
        <v>3.4</v>
      </c>
      <c r="H13817" t="n">
        <v>0</v>
      </c>
      <c r="I13817" t="n">
        <v>0</v>
      </c>
      <c r="J13817" t="n">
        <v>0</v>
      </c>
      <c r="K13817" t="n">
        <v>0</v>
      </c>
      <c r="L13817" t="n">
        <v>0</v>
      </c>
      <c r="M13817" t="n">
        <v>0</v>
      </c>
      <c r="N13817" t="n">
        <v>0</v>
      </c>
      <c r="O13817" t="n">
        <v>0</v>
      </c>
      <c r="P13817" t="n">
        <v>0</v>
      </c>
      <c r="Q13817" t="n">
        <v>0</v>
      </c>
      <c r="R13817" s="2" t="inlineStr"/>
    </row>
    <row r="13818" ht="15" customHeight="1">
      <c r="A13818" t="inlineStr">
        <is>
          <t>A 4519-2024</t>
        </is>
      </c>
      <c r="B13818" s="1" t="n">
        <v>45327</v>
      </c>
      <c r="C13818" s="1" t="n">
        <v>45952</v>
      </c>
      <c r="D13818" t="inlineStr">
        <is>
          <t>VÄSTRA GÖTALANDS LÄN</t>
        </is>
      </c>
      <c r="E13818" t="inlineStr">
        <is>
          <t>HERRLJUNGA</t>
        </is>
      </c>
      <c r="G13818" t="n">
        <v>7.7</v>
      </c>
      <c r="H13818" t="n">
        <v>0</v>
      </c>
      <c r="I13818" t="n">
        <v>0</v>
      </c>
      <c r="J13818" t="n">
        <v>0</v>
      </c>
      <c r="K13818" t="n">
        <v>0</v>
      </c>
      <c r="L13818" t="n">
        <v>0</v>
      </c>
      <c r="M13818" t="n">
        <v>0</v>
      </c>
      <c r="N13818" t="n">
        <v>0</v>
      </c>
      <c r="O13818" t="n">
        <v>0</v>
      </c>
      <c r="P13818" t="n">
        <v>0</v>
      </c>
      <c r="Q13818" t="n">
        <v>0</v>
      </c>
      <c r="R13818" s="2" t="inlineStr"/>
    </row>
    <row r="13819" ht="15" customHeight="1">
      <c r="A13819" t="inlineStr">
        <is>
          <t>A 61626-2022</t>
        </is>
      </c>
      <c r="B13819" s="1" t="n">
        <v>44916.6887037037</v>
      </c>
      <c r="C13819" s="1" t="n">
        <v>45952</v>
      </c>
      <c r="D13819" t="inlineStr">
        <is>
          <t>VÄSTRA GÖTALANDS LÄN</t>
        </is>
      </c>
      <c r="E13819" t="inlineStr">
        <is>
          <t>DALS-ED</t>
        </is>
      </c>
      <c r="G13819" t="n">
        <v>0.5</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37929-2025</t>
        </is>
      </c>
      <c r="B13820" s="1" t="n">
        <v>45881.58626157408</v>
      </c>
      <c r="C13820" s="1" t="n">
        <v>45952</v>
      </c>
      <c r="D13820" t="inlineStr">
        <is>
          <t>VÄSTRA GÖTALANDS LÄN</t>
        </is>
      </c>
      <c r="E13820" t="inlineStr">
        <is>
          <t>BENGTSFORS</t>
        </is>
      </c>
      <c r="G13820" t="n">
        <v>1.4</v>
      </c>
      <c r="H13820" t="n">
        <v>0</v>
      </c>
      <c r="I13820" t="n">
        <v>0</v>
      </c>
      <c r="J13820" t="n">
        <v>0</v>
      </c>
      <c r="K13820" t="n">
        <v>0</v>
      </c>
      <c r="L13820" t="n">
        <v>0</v>
      </c>
      <c r="M13820" t="n">
        <v>0</v>
      </c>
      <c r="N13820" t="n">
        <v>0</v>
      </c>
      <c r="O13820" t="n">
        <v>0</v>
      </c>
      <c r="P13820" t="n">
        <v>0</v>
      </c>
      <c r="Q13820" t="n">
        <v>0</v>
      </c>
      <c r="R13820" s="2" t="inlineStr"/>
    </row>
    <row r="13821" ht="15" customHeight="1">
      <c r="A13821" t="inlineStr">
        <is>
          <t>A 45484-2025</t>
        </is>
      </c>
      <c r="B13821" s="1" t="n">
        <v>45922.54543981481</v>
      </c>
      <c r="C13821" s="1" t="n">
        <v>45952</v>
      </c>
      <c r="D13821" t="inlineStr">
        <is>
          <t>VÄSTRA GÖTALANDS LÄN</t>
        </is>
      </c>
      <c r="E13821" t="inlineStr">
        <is>
          <t>MARIESTAD</t>
        </is>
      </c>
      <c r="F13821" t="inlineStr">
        <is>
          <t>Kyrkan</t>
        </is>
      </c>
      <c r="G13821" t="n">
        <v>1.8</v>
      </c>
      <c r="H13821" t="n">
        <v>0</v>
      </c>
      <c r="I13821" t="n">
        <v>0</v>
      </c>
      <c r="J13821" t="n">
        <v>0</v>
      </c>
      <c r="K13821" t="n">
        <v>0</v>
      </c>
      <c r="L13821" t="n">
        <v>0</v>
      </c>
      <c r="M13821" t="n">
        <v>0</v>
      </c>
      <c r="N13821" t="n">
        <v>0</v>
      </c>
      <c r="O13821" t="n">
        <v>0</v>
      </c>
      <c r="P13821" t="n">
        <v>0</v>
      </c>
      <c r="Q13821" t="n">
        <v>0</v>
      </c>
      <c r="R13821" s="2" t="inlineStr"/>
    </row>
    <row r="13822" ht="15" customHeight="1">
      <c r="A13822" t="inlineStr">
        <is>
          <t>A 45491-2025</t>
        </is>
      </c>
      <c r="B13822" s="1" t="n">
        <v>45922</v>
      </c>
      <c r="C13822" s="1" t="n">
        <v>45952</v>
      </c>
      <c r="D13822" t="inlineStr">
        <is>
          <t>VÄSTRA GÖTALANDS LÄN</t>
        </is>
      </c>
      <c r="E13822" t="inlineStr">
        <is>
          <t>BORÅS</t>
        </is>
      </c>
      <c r="F13822" t="inlineStr">
        <is>
          <t>Kommuner</t>
        </is>
      </c>
      <c r="G13822" t="n">
        <v>3.6</v>
      </c>
      <c r="H13822" t="n">
        <v>0</v>
      </c>
      <c r="I13822" t="n">
        <v>0</v>
      </c>
      <c r="J13822" t="n">
        <v>0</v>
      </c>
      <c r="K13822" t="n">
        <v>0</v>
      </c>
      <c r="L13822" t="n">
        <v>0</v>
      </c>
      <c r="M13822" t="n">
        <v>0</v>
      </c>
      <c r="N13822" t="n">
        <v>0</v>
      </c>
      <c r="O13822" t="n">
        <v>0</v>
      </c>
      <c r="P13822" t="n">
        <v>0</v>
      </c>
      <c r="Q13822" t="n">
        <v>0</v>
      </c>
      <c r="R13822" s="2" t="inlineStr"/>
    </row>
    <row r="13823" ht="15" customHeight="1">
      <c r="A13823" t="inlineStr">
        <is>
          <t>A 45610-2025</t>
        </is>
      </c>
      <c r="B13823" s="1" t="n">
        <v>45922.7158449074</v>
      </c>
      <c r="C13823" s="1" t="n">
        <v>45952</v>
      </c>
      <c r="D13823" t="inlineStr">
        <is>
          <t>VÄSTRA GÖTALANDS LÄN</t>
        </is>
      </c>
      <c r="E13823" t="inlineStr">
        <is>
          <t>ALINGSÅS</t>
        </is>
      </c>
      <c r="G13823" t="n">
        <v>2.8</v>
      </c>
      <c r="H13823" t="n">
        <v>0</v>
      </c>
      <c r="I13823" t="n">
        <v>0</v>
      </c>
      <c r="J13823" t="n">
        <v>0</v>
      </c>
      <c r="K13823" t="n">
        <v>0</v>
      </c>
      <c r="L13823" t="n">
        <v>0</v>
      </c>
      <c r="M13823" t="n">
        <v>0</v>
      </c>
      <c r="N13823" t="n">
        <v>0</v>
      </c>
      <c r="O13823" t="n">
        <v>0</v>
      </c>
      <c r="P13823" t="n">
        <v>0</v>
      </c>
      <c r="Q13823" t="n">
        <v>0</v>
      </c>
      <c r="R13823" s="2" t="inlineStr"/>
    </row>
    <row r="13824" ht="15" customHeight="1">
      <c r="A13824" t="inlineStr">
        <is>
          <t>A 45635-2025</t>
        </is>
      </c>
      <c r="B13824" s="1" t="n">
        <v>45922.85178240741</v>
      </c>
      <c r="C13824" s="1" t="n">
        <v>45952</v>
      </c>
      <c r="D13824" t="inlineStr">
        <is>
          <t>VÄSTRA GÖTALANDS LÄN</t>
        </is>
      </c>
      <c r="E13824" t="inlineStr">
        <is>
          <t>HERRLJUNGA</t>
        </is>
      </c>
      <c r="G13824" t="n">
        <v>2.6</v>
      </c>
      <c r="H13824" t="n">
        <v>0</v>
      </c>
      <c r="I13824" t="n">
        <v>0</v>
      </c>
      <c r="J13824" t="n">
        <v>0</v>
      </c>
      <c r="K13824" t="n">
        <v>0</v>
      </c>
      <c r="L13824" t="n">
        <v>0</v>
      </c>
      <c r="M13824" t="n">
        <v>0</v>
      </c>
      <c r="N13824" t="n">
        <v>0</v>
      </c>
      <c r="O13824" t="n">
        <v>0</v>
      </c>
      <c r="P13824" t="n">
        <v>0</v>
      </c>
      <c r="Q13824" t="n">
        <v>0</v>
      </c>
      <c r="R13824" s="2" t="inlineStr"/>
    </row>
    <row r="13825" ht="15" customHeight="1">
      <c r="A13825" t="inlineStr">
        <is>
          <t>A 37925-2025</t>
        </is>
      </c>
      <c r="B13825" s="1" t="n">
        <v>45881.57799768518</v>
      </c>
      <c r="C13825" s="1" t="n">
        <v>45952</v>
      </c>
      <c r="D13825" t="inlineStr">
        <is>
          <t>VÄSTRA GÖTALANDS LÄN</t>
        </is>
      </c>
      <c r="E13825" t="inlineStr">
        <is>
          <t>GULLSPÅNG</t>
        </is>
      </c>
      <c r="G13825" t="n">
        <v>0.5</v>
      </c>
      <c r="H13825" t="n">
        <v>0</v>
      </c>
      <c r="I13825" t="n">
        <v>0</v>
      </c>
      <c r="J13825" t="n">
        <v>0</v>
      </c>
      <c r="K13825" t="n">
        <v>0</v>
      </c>
      <c r="L13825" t="n">
        <v>0</v>
      </c>
      <c r="M13825" t="n">
        <v>0</v>
      </c>
      <c r="N13825" t="n">
        <v>0</v>
      </c>
      <c r="O13825" t="n">
        <v>0</v>
      </c>
      <c r="P13825" t="n">
        <v>0</v>
      </c>
      <c r="Q13825" t="n">
        <v>0</v>
      </c>
      <c r="R13825" s="2" t="inlineStr"/>
    </row>
    <row r="13826" ht="15" customHeight="1">
      <c r="A13826" t="inlineStr">
        <is>
          <t>A 20968-2023</t>
        </is>
      </c>
      <c r="B13826" s="1" t="n">
        <v>45061</v>
      </c>
      <c r="C13826" s="1" t="n">
        <v>45952</v>
      </c>
      <c r="D13826" t="inlineStr">
        <is>
          <t>VÄSTRA GÖTALANDS LÄN</t>
        </is>
      </c>
      <c r="E13826" t="inlineStr">
        <is>
          <t>STRÖMSTAD</t>
        </is>
      </c>
      <c r="G13826" t="n">
        <v>5.1</v>
      </c>
      <c r="H13826" t="n">
        <v>0</v>
      </c>
      <c r="I13826" t="n">
        <v>0</v>
      </c>
      <c r="J13826" t="n">
        <v>0</v>
      </c>
      <c r="K13826" t="n">
        <v>0</v>
      </c>
      <c r="L13826" t="n">
        <v>0</v>
      </c>
      <c r="M13826" t="n">
        <v>0</v>
      </c>
      <c r="N13826" t="n">
        <v>0</v>
      </c>
      <c r="O13826" t="n">
        <v>0</v>
      </c>
      <c r="P13826" t="n">
        <v>0</v>
      </c>
      <c r="Q13826" t="n">
        <v>0</v>
      </c>
      <c r="R13826" s="2" t="inlineStr"/>
    </row>
    <row r="13827" ht="15" customHeight="1">
      <c r="A13827" t="inlineStr">
        <is>
          <t>A 9309-2025</t>
        </is>
      </c>
      <c r="B13827" s="1" t="n">
        <v>45714.68129629629</v>
      </c>
      <c r="C13827" s="1" t="n">
        <v>45952</v>
      </c>
      <c r="D13827" t="inlineStr">
        <is>
          <t>VÄSTRA GÖTALANDS LÄN</t>
        </is>
      </c>
      <c r="E13827" t="inlineStr">
        <is>
          <t>SVENLJUNGA</t>
        </is>
      </c>
      <c r="G13827" t="n">
        <v>1.7</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45262-2025</t>
        </is>
      </c>
      <c r="B13828" s="1" t="n">
        <v>45919</v>
      </c>
      <c r="C13828" s="1" t="n">
        <v>45952</v>
      </c>
      <c r="D13828" t="inlineStr">
        <is>
          <t>VÄSTRA GÖTALANDS LÄN</t>
        </is>
      </c>
      <c r="E13828" t="inlineStr">
        <is>
          <t>TÖREBODA</t>
        </is>
      </c>
      <c r="G13828" t="n">
        <v>0.7</v>
      </c>
      <c r="H13828" t="n">
        <v>0</v>
      </c>
      <c r="I13828" t="n">
        <v>0</v>
      </c>
      <c r="J13828" t="n">
        <v>0</v>
      </c>
      <c r="K13828" t="n">
        <v>0</v>
      </c>
      <c r="L13828" t="n">
        <v>0</v>
      </c>
      <c r="M13828" t="n">
        <v>0</v>
      </c>
      <c r="N13828" t="n">
        <v>0</v>
      </c>
      <c r="O13828" t="n">
        <v>0</v>
      </c>
      <c r="P13828" t="n">
        <v>0</v>
      </c>
      <c r="Q13828" t="n">
        <v>0</v>
      </c>
      <c r="R13828" s="2" t="inlineStr"/>
    </row>
    <row r="13829" ht="15" customHeight="1">
      <c r="A13829" t="inlineStr">
        <is>
          <t>A 37533-2025</t>
        </is>
      </c>
      <c r="B13829" s="1" t="n">
        <v>45878.46230324074</v>
      </c>
      <c r="C13829" s="1" t="n">
        <v>45952</v>
      </c>
      <c r="D13829" t="inlineStr">
        <is>
          <t>VÄSTRA GÖTALANDS LÄN</t>
        </is>
      </c>
      <c r="E13829" t="inlineStr">
        <is>
          <t>TIDAHOLM</t>
        </is>
      </c>
      <c r="G13829" t="n">
        <v>3.6</v>
      </c>
      <c r="H13829" t="n">
        <v>0</v>
      </c>
      <c r="I13829" t="n">
        <v>0</v>
      </c>
      <c r="J13829" t="n">
        <v>0</v>
      </c>
      <c r="K13829" t="n">
        <v>0</v>
      </c>
      <c r="L13829" t="n">
        <v>0</v>
      </c>
      <c r="M13829" t="n">
        <v>0</v>
      </c>
      <c r="N13829" t="n">
        <v>0</v>
      </c>
      <c r="O13829" t="n">
        <v>0</v>
      </c>
      <c r="P13829" t="n">
        <v>0</v>
      </c>
      <c r="Q13829" t="n">
        <v>0</v>
      </c>
      <c r="R13829" s="2" t="inlineStr"/>
    </row>
    <row r="13830" ht="15" customHeight="1">
      <c r="A13830" t="inlineStr">
        <is>
          <t>A 34708-2023</t>
        </is>
      </c>
      <c r="B13830" s="1" t="n">
        <v>45140.9924537037</v>
      </c>
      <c r="C13830" s="1" t="n">
        <v>45952</v>
      </c>
      <c r="D13830" t="inlineStr">
        <is>
          <t>VÄSTRA GÖTALANDS LÄN</t>
        </is>
      </c>
      <c r="E13830" t="inlineStr">
        <is>
          <t>VARA</t>
        </is>
      </c>
      <c r="G13830" t="n">
        <v>1.9</v>
      </c>
      <c r="H13830" t="n">
        <v>0</v>
      </c>
      <c r="I13830" t="n">
        <v>0</v>
      </c>
      <c r="J13830" t="n">
        <v>0</v>
      </c>
      <c r="K13830" t="n">
        <v>0</v>
      </c>
      <c r="L13830" t="n">
        <v>0</v>
      </c>
      <c r="M13830" t="n">
        <v>0</v>
      </c>
      <c r="N13830" t="n">
        <v>0</v>
      </c>
      <c r="O13830" t="n">
        <v>0</v>
      </c>
      <c r="P13830" t="n">
        <v>0</v>
      </c>
      <c r="Q13830" t="n">
        <v>0</v>
      </c>
      <c r="R13830" s="2" t="inlineStr"/>
    </row>
    <row r="13831" ht="15" customHeight="1">
      <c r="A13831" t="inlineStr">
        <is>
          <t>A 38355-2024</t>
        </is>
      </c>
      <c r="B13831" s="1" t="n">
        <v>45545.75199074074</v>
      </c>
      <c r="C13831" s="1" t="n">
        <v>45952</v>
      </c>
      <c r="D13831" t="inlineStr">
        <is>
          <t>VÄSTRA GÖTALANDS LÄN</t>
        </is>
      </c>
      <c r="E13831" t="inlineStr">
        <is>
          <t>BORÅS</t>
        </is>
      </c>
      <c r="G13831" t="n">
        <v>0.9</v>
      </c>
      <c r="H13831" t="n">
        <v>0</v>
      </c>
      <c r="I13831" t="n">
        <v>0</v>
      </c>
      <c r="J13831" t="n">
        <v>0</v>
      </c>
      <c r="K13831" t="n">
        <v>0</v>
      </c>
      <c r="L13831" t="n">
        <v>0</v>
      </c>
      <c r="M13831" t="n">
        <v>0</v>
      </c>
      <c r="N13831" t="n">
        <v>0</v>
      </c>
      <c r="O13831" t="n">
        <v>0</v>
      </c>
      <c r="P13831" t="n">
        <v>0</v>
      </c>
      <c r="Q13831" t="n">
        <v>0</v>
      </c>
      <c r="R13831" s="2" t="inlineStr"/>
    </row>
    <row r="13832" ht="15" customHeight="1">
      <c r="A13832" t="inlineStr">
        <is>
          <t>A 38357-2024</t>
        </is>
      </c>
      <c r="B13832" s="1" t="n">
        <v>45545.7605787037</v>
      </c>
      <c r="C13832" s="1" t="n">
        <v>45952</v>
      </c>
      <c r="D13832" t="inlineStr">
        <is>
          <t>VÄSTRA GÖTALANDS LÄN</t>
        </is>
      </c>
      <c r="E13832" t="inlineStr">
        <is>
          <t>MARK</t>
        </is>
      </c>
      <c r="G13832" t="n">
        <v>2.5</v>
      </c>
      <c r="H13832" t="n">
        <v>0</v>
      </c>
      <c r="I13832" t="n">
        <v>0</v>
      </c>
      <c r="J13832" t="n">
        <v>0</v>
      </c>
      <c r="K13832" t="n">
        <v>0</v>
      </c>
      <c r="L13832" t="n">
        <v>0</v>
      </c>
      <c r="M13832" t="n">
        <v>0</v>
      </c>
      <c r="N13832" t="n">
        <v>0</v>
      </c>
      <c r="O13832" t="n">
        <v>0</v>
      </c>
      <c r="P13832" t="n">
        <v>0</v>
      </c>
      <c r="Q13832" t="n">
        <v>0</v>
      </c>
      <c r="R13832" s="2" t="inlineStr"/>
    </row>
    <row r="13833" ht="15" customHeight="1">
      <c r="A13833" t="inlineStr">
        <is>
          <t>A 44647-2025</t>
        </is>
      </c>
      <c r="B13833" s="1" t="n">
        <v>45917.53954861111</v>
      </c>
      <c r="C13833" s="1" t="n">
        <v>45952</v>
      </c>
      <c r="D13833" t="inlineStr">
        <is>
          <t>VÄSTRA GÖTALANDS LÄN</t>
        </is>
      </c>
      <c r="E13833" t="inlineStr">
        <is>
          <t>BENGTSFORS</t>
        </is>
      </c>
      <c r="G13833" t="n">
        <v>3.5</v>
      </c>
      <c r="H13833" t="n">
        <v>0</v>
      </c>
      <c r="I13833" t="n">
        <v>0</v>
      </c>
      <c r="J13833" t="n">
        <v>0</v>
      </c>
      <c r="K13833" t="n">
        <v>0</v>
      </c>
      <c r="L13833" t="n">
        <v>0</v>
      </c>
      <c r="M13833" t="n">
        <v>0</v>
      </c>
      <c r="N13833" t="n">
        <v>0</v>
      </c>
      <c r="O13833" t="n">
        <v>0</v>
      </c>
      <c r="P13833" t="n">
        <v>0</v>
      </c>
      <c r="Q13833" t="n">
        <v>0</v>
      </c>
      <c r="R13833" s="2" t="inlineStr"/>
    </row>
    <row r="13834" ht="15" customHeight="1">
      <c r="A13834" t="inlineStr">
        <is>
          <t>A 45494-2025</t>
        </is>
      </c>
      <c r="B13834" s="1" t="n">
        <v>45922.56030092593</v>
      </c>
      <c r="C13834" s="1" t="n">
        <v>45952</v>
      </c>
      <c r="D13834" t="inlineStr">
        <is>
          <t>VÄSTRA GÖTALANDS LÄN</t>
        </is>
      </c>
      <c r="E13834" t="inlineStr">
        <is>
          <t>DALS-ED</t>
        </is>
      </c>
      <c r="G13834" t="n">
        <v>2.8</v>
      </c>
      <c r="H13834" t="n">
        <v>0</v>
      </c>
      <c r="I13834" t="n">
        <v>0</v>
      </c>
      <c r="J13834" t="n">
        <v>0</v>
      </c>
      <c r="K13834" t="n">
        <v>0</v>
      </c>
      <c r="L13834" t="n">
        <v>0</v>
      </c>
      <c r="M13834" t="n">
        <v>0</v>
      </c>
      <c r="N13834" t="n">
        <v>0</v>
      </c>
      <c r="O13834" t="n">
        <v>0</v>
      </c>
      <c r="P13834" t="n">
        <v>0</v>
      </c>
      <c r="Q13834" t="n">
        <v>0</v>
      </c>
      <c r="R13834" s="2" t="inlineStr"/>
    </row>
    <row r="13835" ht="15" customHeight="1">
      <c r="A13835" t="inlineStr">
        <is>
          <t>A 42821-2023</t>
        </is>
      </c>
      <c r="B13835" s="1" t="n">
        <v>45182.36564814814</v>
      </c>
      <c r="C13835" s="1" t="n">
        <v>45952</v>
      </c>
      <c r="D13835" t="inlineStr">
        <is>
          <t>VÄSTRA GÖTALANDS LÄN</t>
        </is>
      </c>
      <c r="E13835" t="inlineStr">
        <is>
          <t>DALS-ED</t>
        </is>
      </c>
      <c r="G13835" t="n">
        <v>1.1</v>
      </c>
      <c r="H13835" t="n">
        <v>0</v>
      </c>
      <c r="I13835" t="n">
        <v>0</v>
      </c>
      <c r="J13835" t="n">
        <v>0</v>
      </c>
      <c r="K13835" t="n">
        <v>0</v>
      </c>
      <c r="L13835" t="n">
        <v>0</v>
      </c>
      <c r="M13835" t="n">
        <v>0</v>
      </c>
      <c r="N13835" t="n">
        <v>0</v>
      </c>
      <c r="O13835" t="n">
        <v>0</v>
      </c>
      <c r="P13835" t="n">
        <v>0</v>
      </c>
      <c r="Q13835" t="n">
        <v>0</v>
      </c>
      <c r="R13835" s="2" t="inlineStr"/>
    </row>
    <row r="13836" ht="15" customHeight="1">
      <c r="A13836" t="inlineStr">
        <is>
          <t>A 45347-2025</t>
        </is>
      </c>
      <c r="B13836" s="1" t="n">
        <v>45922.35247685185</v>
      </c>
      <c r="C13836" s="1" t="n">
        <v>45952</v>
      </c>
      <c r="D13836" t="inlineStr">
        <is>
          <t>VÄSTRA GÖTALANDS LÄN</t>
        </is>
      </c>
      <c r="E13836" t="inlineStr">
        <is>
          <t>MARIESTAD</t>
        </is>
      </c>
      <c r="G13836" t="n">
        <v>3.6</v>
      </c>
      <c r="H13836" t="n">
        <v>0</v>
      </c>
      <c r="I13836" t="n">
        <v>0</v>
      </c>
      <c r="J13836" t="n">
        <v>0</v>
      </c>
      <c r="K13836" t="n">
        <v>0</v>
      </c>
      <c r="L13836" t="n">
        <v>0</v>
      </c>
      <c r="M13836" t="n">
        <v>0</v>
      </c>
      <c r="N13836" t="n">
        <v>0</v>
      </c>
      <c r="O13836" t="n">
        <v>0</v>
      </c>
      <c r="P13836" t="n">
        <v>0</v>
      </c>
      <c r="Q13836" t="n">
        <v>0</v>
      </c>
      <c r="R13836" s="2" t="inlineStr"/>
    </row>
    <row r="13837" ht="15" customHeight="1">
      <c r="A13837" t="inlineStr">
        <is>
          <t>A 6907-2023</t>
        </is>
      </c>
      <c r="B13837" s="1" t="n">
        <v>44967</v>
      </c>
      <c r="C13837" s="1" t="n">
        <v>45952</v>
      </c>
      <c r="D13837" t="inlineStr">
        <is>
          <t>VÄSTRA GÖTALANDS LÄN</t>
        </is>
      </c>
      <c r="E13837" t="inlineStr">
        <is>
          <t>LIDKÖPING</t>
        </is>
      </c>
      <c r="G13837" t="n">
        <v>8.5</v>
      </c>
      <c r="H13837" t="n">
        <v>0</v>
      </c>
      <c r="I13837" t="n">
        <v>0</v>
      </c>
      <c r="J13837" t="n">
        <v>0</v>
      </c>
      <c r="K13837" t="n">
        <v>0</v>
      </c>
      <c r="L13837" t="n">
        <v>0</v>
      </c>
      <c r="M13837" t="n">
        <v>0</v>
      </c>
      <c r="N13837" t="n">
        <v>0</v>
      </c>
      <c r="O13837" t="n">
        <v>0</v>
      </c>
      <c r="P13837" t="n">
        <v>0</v>
      </c>
      <c r="Q13837" t="n">
        <v>0</v>
      </c>
      <c r="R13837" s="2" t="inlineStr"/>
    </row>
    <row r="13838" ht="15" customHeight="1">
      <c r="A13838" t="inlineStr">
        <is>
          <t>A 34528-2023</t>
        </is>
      </c>
      <c r="B13838" s="1" t="n">
        <v>45134</v>
      </c>
      <c r="C13838" s="1" t="n">
        <v>45952</v>
      </c>
      <c r="D13838" t="inlineStr">
        <is>
          <t>VÄSTRA GÖTALANDS LÄN</t>
        </is>
      </c>
      <c r="E13838" t="inlineStr">
        <is>
          <t>SKÖVDE</t>
        </is>
      </c>
      <c r="G13838" t="n">
        <v>2.8</v>
      </c>
      <c r="H13838" t="n">
        <v>0</v>
      </c>
      <c r="I13838" t="n">
        <v>0</v>
      </c>
      <c r="J13838" t="n">
        <v>0</v>
      </c>
      <c r="K13838" t="n">
        <v>0</v>
      </c>
      <c r="L13838" t="n">
        <v>0</v>
      </c>
      <c r="M13838" t="n">
        <v>0</v>
      </c>
      <c r="N13838" t="n">
        <v>0</v>
      </c>
      <c r="O13838" t="n">
        <v>0</v>
      </c>
      <c r="P13838" t="n">
        <v>0</v>
      </c>
      <c r="Q13838" t="n">
        <v>0</v>
      </c>
      <c r="R13838" s="2" t="inlineStr"/>
    </row>
    <row r="13839" ht="15" customHeight="1">
      <c r="A13839" t="inlineStr">
        <is>
          <t>A 2982-2021</t>
        </is>
      </c>
      <c r="B13839" s="1" t="n">
        <v>44214</v>
      </c>
      <c r="C13839" s="1" t="n">
        <v>45952</v>
      </c>
      <c r="D13839" t="inlineStr">
        <is>
          <t>VÄSTRA GÖTALANDS LÄN</t>
        </is>
      </c>
      <c r="E13839" t="inlineStr">
        <is>
          <t>TROLLHÄTTAN</t>
        </is>
      </c>
      <c r="F13839" t="inlineStr">
        <is>
          <t>Kyrkan</t>
        </is>
      </c>
      <c r="G13839" t="n">
        <v>1.9</v>
      </c>
      <c r="H13839" t="n">
        <v>0</v>
      </c>
      <c r="I13839" t="n">
        <v>0</v>
      </c>
      <c r="J13839" t="n">
        <v>0</v>
      </c>
      <c r="K13839" t="n">
        <v>0</v>
      </c>
      <c r="L13839" t="n">
        <v>0</v>
      </c>
      <c r="M13839" t="n">
        <v>0</v>
      </c>
      <c r="N13839" t="n">
        <v>0</v>
      </c>
      <c r="O13839" t="n">
        <v>0</v>
      </c>
      <c r="P13839" t="n">
        <v>0</v>
      </c>
      <c r="Q13839" t="n">
        <v>0</v>
      </c>
      <c r="R13839" s="2" t="inlineStr"/>
    </row>
    <row r="13840" ht="15" customHeight="1">
      <c r="A13840" t="inlineStr">
        <is>
          <t>A 46135-2025</t>
        </is>
      </c>
      <c r="B13840" s="1" t="n">
        <v>45924.59836805556</v>
      </c>
      <c r="C13840" s="1" t="n">
        <v>45952</v>
      </c>
      <c r="D13840" t="inlineStr">
        <is>
          <t>VÄSTRA GÖTALANDS LÄN</t>
        </is>
      </c>
      <c r="E13840" t="inlineStr">
        <is>
          <t>TÖREBODA</t>
        </is>
      </c>
      <c r="G13840" t="n">
        <v>0.6</v>
      </c>
      <c r="H13840" t="n">
        <v>0</v>
      </c>
      <c r="I13840" t="n">
        <v>0</v>
      </c>
      <c r="J13840" t="n">
        <v>0</v>
      </c>
      <c r="K13840" t="n">
        <v>0</v>
      </c>
      <c r="L13840" t="n">
        <v>0</v>
      </c>
      <c r="M13840" t="n">
        <v>0</v>
      </c>
      <c r="N13840" t="n">
        <v>0</v>
      </c>
      <c r="O13840" t="n">
        <v>0</v>
      </c>
      <c r="P13840" t="n">
        <v>0</v>
      </c>
      <c r="Q13840" t="n">
        <v>0</v>
      </c>
      <c r="R13840" s="2" t="inlineStr"/>
    </row>
    <row r="13841" ht="15" customHeight="1">
      <c r="A13841" t="inlineStr">
        <is>
          <t>A 55163-2023</t>
        </is>
      </c>
      <c r="B13841" s="1" t="n">
        <v>45237</v>
      </c>
      <c r="C13841" s="1" t="n">
        <v>45952</v>
      </c>
      <c r="D13841" t="inlineStr">
        <is>
          <t>VÄSTRA GÖTALANDS LÄN</t>
        </is>
      </c>
      <c r="E13841" t="inlineStr">
        <is>
          <t>GULLSPÅNG</t>
        </is>
      </c>
      <c r="G13841" t="n">
        <v>2</v>
      </c>
      <c r="H13841" t="n">
        <v>0</v>
      </c>
      <c r="I13841" t="n">
        <v>0</v>
      </c>
      <c r="J13841" t="n">
        <v>0</v>
      </c>
      <c r="K13841" t="n">
        <v>0</v>
      </c>
      <c r="L13841" t="n">
        <v>0</v>
      </c>
      <c r="M13841" t="n">
        <v>0</v>
      </c>
      <c r="N13841" t="n">
        <v>0</v>
      </c>
      <c r="O13841" t="n">
        <v>0</v>
      </c>
      <c r="P13841" t="n">
        <v>0</v>
      </c>
      <c r="Q13841" t="n">
        <v>0</v>
      </c>
      <c r="R13841" s="2" t="inlineStr"/>
    </row>
    <row r="13842" ht="15" customHeight="1">
      <c r="A13842" t="inlineStr">
        <is>
          <t>A 7590-2025</t>
        </is>
      </c>
      <c r="B13842" s="1" t="n">
        <v>45705.64208333333</v>
      </c>
      <c r="C13842" s="1" t="n">
        <v>45952</v>
      </c>
      <c r="D13842" t="inlineStr">
        <is>
          <t>VÄSTRA GÖTALANDS LÄN</t>
        </is>
      </c>
      <c r="E13842" t="inlineStr">
        <is>
          <t>FALKÖPING</t>
        </is>
      </c>
      <c r="G13842" t="n">
        <v>3.2</v>
      </c>
      <c r="H13842" t="n">
        <v>0</v>
      </c>
      <c r="I13842" t="n">
        <v>0</v>
      </c>
      <c r="J13842" t="n">
        <v>0</v>
      </c>
      <c r="K13842" t="n">
        <v>0</v>
      </c>
      <c r="L13842" t="n">
        <v>0</v>
      </c>
      <c r="M13842" t="n">
        <v>0</v>
      </c>
      <c r="N13842" t="n">
        <v>0</v>
      </c>
      <c r="O13842" t="n">
        <v>0</v>
      </c>
      <c r="P13842" t="n">
        <v>0</v>
      </c>
      <c r="Q13842" t="n">
        <v>0</v>
      </c>
      <c r="R13842" s="2" t="inlineStr"/>
    </row>
    <row r="13843" ht="15" customHeight="1">
      <c r="A13843" t="inlineStr">
        <is>
          <t>A 10410-2023</t>
        </is>
      </c>
      <c r="B13843" s="1" t="n">
        <v>44987.49986111111</v>
      </c>
      <c r="C13843" s="1" t="n">
        <v>45952</v>
      </c>
      <c r="D13843" t="inlineStr">
        <is>
          <t>VÄSTRA GÖTALANDS LÄN</t>
        </is>
      </c>
      <c r="E13843" t="inlineStr">
        <is>
          <t>BORÅS</t>
        </is>
      </c>
      <c r="G13843" t="n">
        <v>2.7</v>
      </c>
      <c r="H13843" t="n">
        <v>0</v>
      </c>
      <c r="I13843" t="n">
        <v>0</v>
      </c>
      <c r="J13843" t="n">
        <v>0</v>
      </c>
      <c r="K13843" t="n">
        <v>0</v>
      </c>
      <c r="L13843" t="n">
        <v>0</v>
      </c>
      <c r="M13843" t="n">
        <v>0</v>
      </c>
      <c r="N13843" t="n">
        <v>0</v>
      </c>
      <c r="O13843" t="n">
        <v>0</v>
      </c>
      <c r="P13843" t="n">
        <v>0</v>
      </c>
      <c r="Q13843" t="n">
        <v>0</v>
      </c>
      <c r="R13843" s="2" t="inlineStr"/>
    </row>
    <row r="13844" ht="15" customHeight="1">
      <c r="A13844" t="inlineStr">
        <is>
          <t>A 64453-2021</t>
        </is>
      </c>
      <c r="B13844" s="1" t="n">
        <v>44511.50591435185</v>
      </c>
      <c r="C13844" s="1" t="n">
        <v>45952</v>
      </c>
      <c r="D13844" t="inlineStr">
        <is>
          <t>VÄSTRA GÖTALANDS LÄN</t>
        </is>
      </c>
      <c r="E13844" t="inlineStr">
        <is>
          <t>TRANEMO</t>
        </is>
      </c>
      <c r="G13844" t="n">
        <v>1.9</v>
      </c>
      <c r="H13844" t="n">
        <v>0</v>
      </c>
      <c r="I13844" t="n">
        <v>0</v>
      </c>
      <c r="J13844" t="n">
        <v>0</v>
      </c>
      <c r="K13844" t="n">
        <v>0</v>
      </c>
      <c r="L13844" t="n">
        <v>0</v>
      </c>
      <c r="M13844" t="n">
        <v>0</v>
      </c>
      <c r="N13844" t="n">
        <v>0</v>
      </c>
      <c r="O13844" t="n">
        <v>0</v>
      </c>
      <c r="P13844" t="n">
        <v>0</v>
      </c>
      <c r="Q13844" t="n">
        <v>0</v>
      </c>
      <c r="R13844" s="2" t="inlineStr"/>
    </row>
    <row r="13845" ht="15" customHeight="1">
      <c r="A13845" t="inlineStr">
        <is>
          <t>A 64460-2021</t>
        </is>
      </c>
      <c r="B13845" s="1" t="n">
        <v>44511.52870370371</v>
      </c>
      <c r="C13845" s="1" t="n">
        <v>45952</v>
      </c>
      <c r="D13845" t="inlineStr">
        <is>
          <t>VÄSTRA GÖTALANDS LÄN</t>
        </is>
      </c>
      <c r="E13845" t="inlineStr">
        <is>
          <t>TRANEMO</t>
        </is>
      </c>
      <c r="G13845" t="n">
        <v>1.7</v>
      </c>
      <c r="H13845" t="n">
        <v>0</v>
      </c>
      <c r="I13845" t="n">
        <v>0</v>
      </c>
      <c r="J13845" t="n">
        <v>0</v>
      </c>
      <c r="K13845" t="n">
        <v>0</v>
      </c>
      <c r="L13845" t="n">
        <v>0</v>
      </c>
      <c r="M13845" t="n">
        <v>0</v>
      </c>
      <c r="N13845" t="n">
        <v>0</v>
      </c>
      <c r="O13845" t="n">
        <v>0</v>
      </c>
      <c r="P13845" t="n">
        <v>0</v>
      </c>
      <c r="Q13845" t="n">
        <v>0</v>
      </c>
      <c r="R13845" s="2" t="inlineStr"/>
    </row>
    <row r="13846" ht="15" customHeight="1">
      <c r="A13846" t="inlineStr">
        <is>
          <t>A 19168-2025</t>
        </is>
      </c>
      <c r="B13846" s="1" t="n">
        <v>45769.38744212963</v>
      </c>
      <c r="C13846" s="1" t="n">
        <v>45952</v>
      </c>
      <c r="D13846" t="inlineStr">
        <is>
          <t>VÄSTRA GÖTALANDS LÄN</t>
        </is>
      </c>
      <c r="E13846" t="inlineStr">
        <is>
          <t>BORÅS</t>
        </is>
      </c>
      <c r="G13846" t="n">
        <v>2.5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10913-2024</t>
        </is>
      </c>
      <c r="B13847" s="1" t="n">
        <v>45370.39414351852</v>
      </c>
      <c r="C13847" s="1" t="n">
        <v>45952</v>
      </c>
      <c r="D13847" t="inlineStr">
        <is>
          <t>VÄSTRA GÖTALANDS LÄN</t>
        </is>
      </c>
      <c r="E13847" t="inlineStr">
        <is>
          <t>SKARA</t>
        </is>
      </c>
      <c r="G13847" t="n">
        <v>0.8</v>
      </c>
      <c r="H13847" t="n">
        <v>0</v>
      </c>
      <c r="I13847" t="n">
        <v>0</v>
      </c>
      <c r="J13847" t="n">
        <v>0</v>
      </c>
      <c r="K13847" t="n">
        <v>0</v>
      </c>
      <c r="L13847" t="n">
        <v>0</v>
      </c>
      <c r="M13847" t="n">
        <v>0</v>
      </c>
      <c r="N13847" t="n">
        <v>0</v>
      </c>
      <c r="O13847" t="n">
        <v>0</v>
      </c>
      <c r="P13847" t="n">
        <v>0</v>
      </c>
      <c r="Q13847" t="n">
        <v>0</v>
      </c>
      <c r="R13847" s="2" t="inlineStr"/>
    </row>
    <row r="13848" ht="15" customHeight="1">
      <c r="A13848" t="inlineStr">
        <is>
          <t>A 7962-2024</t>
        </is>
      </c>
      <c r="B13848" s="1" t="n">
        <v>45350.57357638889</v>
      </c>
      <c r="C13848" s="1" t="n">
        <v>45952</v>
      </c>
      <c r="D13848" t="inlineStr">
        <is>
          <t>VÄSTRA GÖTALANDS LÄN</t>
        </is>
      </c>
      <c r="E13848" t="inlineStr">
        <is>
          <t>VÅRGÅRDA</t>
        </is>
      </c>
      <c r="G13848" t="n">
        <v>1.9</v>
      </c>
      <c r="H13848" t="n">
        <v>0</v>
      </c>
      <c r="I13848" t="n">
        <v>0</v>
      </c>
      <c r="J13848" t="n">
        <v>0</v>
      </c>
      <c r="K13848" t="n">
        <v>0</v>
      </c>
      <c r="L13848" t="n">
        <v>0</v>
      </c>
      <c r="M13848" t="n">
        <v>0</v>
      </c>
      <c r="N13848" t="n">
        <v>0</v>
      </c>
      <c r="O13848" t="n">
        <v>0</v>
      </c>
      <c r="P13848" t="n">
        <v>0</v>
      </c>
      <c r="Q13848" t="n">
        <v>0</v>
      </c>
      <c r="R13848" s="2" t="inlineStr"/>
    </row>
    <row r="13849" ht="15" customHeight="1">
      <c r="A13849" t="inlineStr">
        <is>
          <t>A 38133-2025</t>
        </is>
      </c>
      <c r="B13849" s="1" t="n">
        <v>45882.56203703704</v>
      </c>
      <c r="C13849" s="1" t="n">
        <v>45952</v>
      </c>
      <c r="D13849" t="inlineStr">
        <is>
          <t>VÄSTRA GÖTALANDS LÄN</t>
        </is>
      </c>
      <c r="E13849" t="inlineStr">
        <is>
          <t>UDDEVALLA</t>
        </is>
      </c>
      <c r="G13849" t="n">
        <v>2.3</v>
      </c>
      <c r="H13849" t="n">
        <v>0</v>
      </c>
      <c r="I13849" t="n">
        <v>0</v>
      </c>
      <c r="J13849" t="n">
        <v>0</v>
      </c>
      <c r="K13849" t="n">
        <v>0</v>
      </c>
      <c r="L13849" t="n">
        <v>0</v>
      </c>
      <c r="M13849" t="n">
        <v>0</v>
      </c>
      <c r="N13849" t="n">
        <v>0</v>
      </c>
      <c r="O13849" t="n">
        <v>0</v>
      </c>
      <c r="P13849" t="n">
        <v>0</v>
      </c>
      <c r="Q13849" t="n">
        <v>0</v>
      </c>
      <c r="R13849" s="2" t="inlineStr"/>
    </row>
    <row r="13850" ht="15" customHeight="1">
      <c r="A13850" t="inlineStr">
        <is>
          <t>A 2058-2025</t>
        </is>
      </c>
      <c r="B13850" s="1" t="n">
        <v>45671</v>
      </c>
      <c r="C13850" s="1" t="n">
        <v>45952</v>
      </c>
      <c r="D13850" t="inlineStr">
        <is>
          <t>VÄSTRA GÖTALANDS LÄN</t>
        </is>
      </c>
      <c r="E13850" t="inlineStr">
        <is>
          <t>LYSEKIL</t>
        </is>
      </c>
      <c r="G13850" t="n">
        <v>3.4</v>
      </c>
      <c r="H13850" t="n">
        <v>0</v>
      </c>
      <c r="I13850" t="n">
        <v>0</v>
      </c>
      <c r="J13850" t="n">
        <v>0</v>
      </c>
      <c r="K13850" t="n">
        <v>0</v>
      </c>
      <c r="L13850" t="n">
        <v>0</v>
      </c>
      <c r="M13850" t="n">
        <v>0</v>
      </c>
      <c r="N13850" t="n">
        <v>0</v>
      </c>
      <c r="O13850" t="n">
        <v>0</v>
      </c>
      <c r="P13850" t="n">
        <v>0</v>
      </c>
      <c r="Q13850" t="n">
        <v>0</v>
      </c>
      <c r="R13850" s="2" t="inlineStr"/>
    </row>
    <row r="13851" ht="15" customHeight="1">
      <c r="A13851" t="inlineStr">
        <is>
          <t>A 47866-2024</t>
        </is>
      </c>
      <c r="B13851" s="1" t="n">
        <v>45588.69111111111</v>
      </c>
      <c r="C13851" s="1" t="n">
        <v>45952</v>
      </c>
      <c r="D13851" t="inlineStr">
        <is>
          <t>VÄSTRA GÖTALANDS LÄN</t>
        </is>
      </c>
      <c r="E13851" t="inlineStr">
        <is>
          <t>LERUM</t>
        </is>
      </c>
      <c r="G13851" t="n">
        <v>3.4</v>
      </c>
      <c r="H13851" t="n">
        <v>0</v>
      </c>
      <c r="I13851" t="n">
        <v>0</v>
      </c>
      <c r="J13851" t="n">
        <v>0</v>
      </c>
      <c r="K13851" t="n">
        <v>0</v>
      </c>
      <c r="L13851" t="n">
        <v>0</v>
      </c>
      <c r="M13851" t="n">
        <v>0</v>
      </c>
      <c r="N13851" t="n">
        <v>0</v>
      </c>
      <c r="O13851" t="n">
        <v>0</v>
      </c>
      <c r="P13851" t="n">
        <v>0</v>
      </c>
      <c r="Q13851" t="n">
        <v>0</v>
      </c>
      <c r="R13851" s="2" t="inlineStr"/>
    </row>
    <row r="13852" ht="15" customHeight="1">
      <c r="A13852" t="inlineStr">
        <is>
          <t>A 2115-2025</t>
        </is>
      </c>
      <c r="B13852" s="1" t="n">
        <v>45672</v>
      </c>
      <c r="C13852" s="1" t="n">
        <v>45952</v>
      </c>
      <c r="D13852" t="inlineStr">
        <is>
          <t>VÄSTRA GÖTALANDS LÄN</t>
        </is>
      </c>
      <c r="E13852" t="inlineStr">
        <is>
          <t>UDDEVALLA</t>
        </is>
      </c>
      <c r="G13852" t="n">
        <v>14.1</v>
      </c>
      <c r="H13852" t="n">
        <v>0</v>
      </c>
      <c r="I13852" t="n">
        <v>0</v>
      </c>
      <c r="J13852" t="n">
        <v>0</v>
      </c>
      <c r="K13852" t="n">
        <v>0</v>
      </c>
      <c r="L13852" t="n">
        <v>0</v>
      </c>
      <c r="M13852" t="n">
        <v>0</v>
      </c>
      <c r="N13852" t="n">
        <v>0</v>
      </c>
      <c r="O13852" t="n">
        <v>0</v>
      </c>
      <c r="P13852" t="n">
        <v>0</v>
      </c>
      <c r="Q13852" t="n">
        <v>0</v>
      </c>
      <c r="R13852" s="2" t="inlineStr"/>
    </row>
    <row r="13853" ht="15" customHeight="1">
      <c r="A13853" t="inlineStr">
        <is>
          <t>A 10889-2025</t>
        </is>
      </c>
      <c r="B13853" s="1" t="n">
        <v>45722</v>
      </c>
      <c r="C13853" s="1" t="n">
        <v>45952</v>
      </c>
      <c r="D13853" t="inlineStr">
        <is>
          <t>VÄSTRA GÖTALANDS LÄN</t>
        </is>
      </c>
      <c r="E13853" t="inlineStr">
        <is>
          <t>TANUM</t>
        </is>
      </c>
      <c r="G13853" t="n">
        <v>4</v>
      </c>
      <c r="H13853" t="n">
        <v>0</v>
      </c>
      <c r="I13853" t="n">
        <v>0</v>
      </c>
      <c r="J13853" t="n">
        <v>0</v>
      </c>
      <c r="K13853" t="n">
        <v>0</v>
      </c>
      <c r="L13853" t="n">
        <v>0</v>
      </c>
      <c r="M13853" t="n">
        <v>0</v>
      </c>
      <c r="N13853" t="n">
        <v>0</v>
      </c>
      <c r="O13853" t="n">
        <v>0</v>
      </c>
      <c r="P13853" t="n">
        <v>0</v>
      </c>
      <c r="Q13853" t="n">
        <v>0</v>
      </c>
      <c r="R13853" s="2" t="inlineStr"/>
    </row>
    <row r="13854" ht="15" customHeight="1">
      <c r="A13854" t="inlineStr">
        <is>
          <t>A 38313-2025</t>
        </is>
      </c>
      <c r="B13854" s="1" t="n">
        <v>45883.47704861111</v>
      </c>
      <c r="C13854" s="1" t="n">
        <v>45952</v>
      </c>
      <c r="D13854" t="inlineStr">
        <is>
          <t>VÄSTRA GÖTALANDS LÄN</t>
        </is>
      </c>
      <c r="E13854" t="inlineStr">
        <is>
          <t>ULRICEHAMN</t>
        </is>
      </c>
      <c r="G13854" t="n">
        <v>1.8</v>
      </c>
      <c r="H13854" t="n">
        <v>0</v>
      </c>
      <c r="I13854" t="n">
        <v>0</v>
      </c>
      <c r="J13854" t="n">
        <v>0</v>
      </c>
      <c r="K13854" t="n">
        <v>0</v>
      </c>
      <c r="L13854" t="n">
        <v>0</v>
      </c>
      <c r="M13854" t="n">
        <v>0</v>
      </c>
      <c r="N13854" t="n">
        <v>0</v>
      </c>
      <c r="O13854" t="n">
        <v>0</v>
      </c>
      <c r="P13854" t="n">
        <v>0</v>
      </c>
      <c r="Q13854" t="n">
        <v>0</v>
      </c>
      <c r="R13854" s="2" t="inlineStr"/>
    </row>
    <row r="13855" ht="15" customHeight="1">
      <c r="A13855" t="inlineStr">
        <is>
          <t>A 45950-2025</t>
        </is>
      </c>
      <c r="B13855" s="1" t="n">
        <v>45924.34196759259</v>
      </c>
      <c r="C13855" s="1" t="n">
        <v>45952</v>
      </c>
      <c r="D13855" t="inlineStr">
        <is>
          <t>VÄSTRA GÖTALANDS LÄN</t>
        </is>
      </c>
      <c r="E13855" t="inlineStr">
        <is>
          <t>VÄNERSBORG</t>
        </is>
      </c>
      <c r="G13855" t="n">
        <v>2.5</v>
      </c>
      <c r="H13855" t="n">
        <v>0</v>
      </c>
      <c r="I13855" t="n">
        <v>0</v>
      </c>
      <c r="J13855" t="n">
        <v>0</v>
      </c>
      <c r="K13855" t="n">
        <v>0</v>
      </c>
      <c r="L13855" t="n">
        <v>0</v>
      </c>
      <c r="M13855" t="n">
        <v>0</v>
      </c>
      <c r="N13855" t="n">
        <v>0</v>
      </c>
      <c r="O13855" t="n">
        <v>0</v>
      </c>
      <c r="P13855" t="n">
        <v>0</v>
      </c>
      <c r="Q13855" t="n">
        <v>0</v>
      </c>
      <c r="R13855" s="2" t="inlineStr"/>
    </row>
    <row r="13856" ht="15" customHeight="1">
      <c r="A13856" t="inlineStr">
        <is>
          <t>A 4433-2025</t>
        </is>
      </c>
      <c r="B13856" s="1" t="n">
        <v>45686.49392361111</v>
      </c>
      <c r="C13856" s="1" t="n">
        <v>45952</v>
      </c>
      <c r="D13856" t="inlineStr">
        <is>
          <t>VÄSTRA GÖTALANDS LÄN</t>
        </is>
      </c>
      <c r="E13856" t="inlineStr">
        <is>
          <t>HÄRRYDA</t>
        </is>
      </c>
      <c r="G13856" t="n">
        <v>4.3</v>
      </c>
      <c r="H13856" t="n">
        <v>0</v>
      </c>
      <c r="I13856" t="n">
        <v>0</v>
      </c>
      <c r="J13856" t="n">
        <v>0</v>
      </c>
      <c r="K13856" t="n">
        <v>0</v>
      </c>
      <c r="L13856" t="n">
        <v>0</v>
      </c>
      <c r="M13856" t="n">
        <v>0</v>
      </c>
      <c r="N13856" t="n">
        <v>0</v>
      </c>
      <c r="O13856" t="n">
        <v>0</v>
      </c>
      <c r="P13856" t="n">
        <v>0</v>
      </c>
      <c r="Q13856" t="n">
        <v>0</v>
      </c>
      <c r="R13856" s="2" t="inlineStr"/>
    </row>
    <row r="13857" ht="15" customHeight="1">
      <c r="A13857" t="inlineStr">
        <is>
          <t>A 60658-2024</t>
        </is>
      </c>
      <c r="B13857" s="1" t="n">
        <v>45644.44567129629</v>
      </c>
      <c r="C13857" s="1" t="n">
        <v>45952</v>
      </c>
      <c r="D13857" t="inlineStr">
        <is>
          <t>VÄSTRA GÖTALANDS LÄN</t>
        </is>
      </c>
      <c r="E13857" t="inlineStr">
        <is>
          <t>GRÄSTORP</t>
        </is>
      </c>
      <c r="G13857" t="n">
        <v>16.9</v>
      </c>
      <c r="H13857" t="n">
        <v>0</v>
      </c>
      <c r="I13857" t="n">
        <v>0</v>
      </c>
      <c r="J13857" t="n">
        <v>0</v>
      </c>
      <c r="K13857" t="n">
        <v>0</v>
      </c>
      <c r="L13857" t="n">
        <v>0</v>
      </c>
      <c r="M13857" t="n">
        <v>0</v>
      </c>
      <c r="N13857" t="n">
        <v>0</v>
      </c>
      <c r="O13857" t="n">
        <v>0</v>
      </c>
      <c r="P13857" t="n">
        <v>0</v>
      </c>
      <c r="Q13857" t="n">
        <v>0</v>
      </c>
      <c r="R13857" s="2" t="inlineStr"/>
    </row>
    <row r="13858" ht="15" customHeight="1">
      <c r="A13858" t="inlineStr">
        <is>
          <t>A 38290-2025</t>
        </is>
      </c>
      <c r="B13858" s="1" t="n">
        <v>45883.44046296296</v>
      </c>
      <c r="C13858" s="1" t="n">
        <v>45952</v>
      </c>
      <c r="D13858" t="inlineStr">
        <is>
          <t>VÄSTRA GÖTALANDS LÄN</t>
        </is>
      </c>
      <c r="E13858" t="inlineStr">
        <is>
          <t>KARLSBORG</t>
        </is>
      </c>
      <c r="G13858" t="n">
        <v>0.7</v>
      </c>
      <c r="H13858" t="n">
        <v>0</v>
      </c>
      <c r="I13858" t="n">
        <v>0</v>
      </c>
      <c r="J13858" t="n">
        <v>0</v>
      </c>
      <c r="K13858" t="n">
        <v>0</v>
      </c>
      <c r="L13858" t="n">
        <v>0</v>
      </c>
      <c r="M13858" t="n">
        <v>0</v>
      </c>
      <c r="N13858" t="n">
        <v>0</v>
      </c>
      <c r="O13858" t="n">
        <v>0</v>
      </c>
      <c r="P13858" t="n">
        <v>0</v>
      </c>
      <c r="Q13858" t="n">
        <v>0</v>
      </c>
      <c r="R13858" s="2" t="inlineStr"/>
    </row>
    <row r="13859" ht="15" customHeight="1">
      <c r="A13859" t="inlineStr">
        <is>
          <t>A 61269-2023</t>
        </is>
      </c>
      <c r="B13859" s="1" t="n">
        <v>45264.49877314815</v>
      </c>
      <c r="C13859" s="1" t="n">
        <v>45952</v>
      </c>
      <c r="D13859" t="inlineStr">
        <is>
          <t>VÄSTRA GÖTALANDS LÄN</t>
        </is>
      </c>
      <c r="E13859" t="inlineStr">
        <is>
          <t>MARK</t>
        </is>
      </c>
      <c r="G13859" t="n">
        <v>0.6</v>
      </c>
      <c r="H13859" t="n">
        <v>0</v>
      </c>
      <c r="I13859" t="n">
        <v>0</v>
      </c>
      <c r="J13859" t="n">
        <v>0</v>
      </c>
      <c r="K13859" t="n">
        <v>0</v>
      </c>
      <c r="L13859" t="n">
        <v>0</v>
      </c>
      <c r="M13859" t="n">
        <v>0</v>
      </c>
      <c r="N13859" t="n">
        <v>0</v>
      </c>
      <c r="O13859" t="n">
        <v>0</v>
      </c>
      <c r="P13859" t="n">
        <v>0</v>
      </c>
      <c r="Q13859" t="n">
        <v>0</v>
      </c>
      <c r="R13859" s="2" t="inlineStr"/>
    </row>
    <row r="13860" ht="15" customHeight="1">
      <c r="A13860" t="inlineStr">
        <is>
          <t>A 20807-2025</t>
        </is>
      </c>
      <c r="B13860" s="1" t="n">
        <v>45776.65706018519</v>
      </c>
      <c r="C13860" s="1" t="n">
        <v>45952</v>
      </c>
      <c r="D13860" t="inlineStr">
        <is>
          <t>VÄSTRA GÖTALANDS LÄN</t>
        </is>
      </c>
      <c r="E13860" t="inlineStr">
        <is>
          <t>VÅRGÅRDA</t>
        </is>
      </c>
      <c r="F13860" t="inlineStr">
        <is>
          <t>Kommuner</t>
        </is>
      </c>
      <c r="G13860" t="n">
        <v>1.7</v>
      </c>
      <c r="H13860" t="n">
        <v>0</v>
      </c>
      <c r="I13860" t="n">
        <v>0</v>
      </c>
      <c r="J13860" t="n">
        <v>0</v>
      </c>
      <c r="K13860" t="n">
        <v>0</v>
      </c>
      <c r="L13860" t="n">
        <v>0</v>
      </c>
      <c r="M13860" t="n">
        <v>0</v>
      </c>
      <c r="N13860" t="n">
        <v>0</v>
      </c>
      <c r="O13860" t="n">
        <v>0</v>
      </c>
      <c r="P13860" t="n">
        <v>0</v>
      </c>
      <c r="Q13860" t="n">
        <v>0</v>
      </c>
      <c r="R13860" s="2" t="inlineStr"/>
    </row>
    <row r="13861" ht="15" customHeight="1">
      <c r="A13861" t="inlineStr">
        <is>
          <t>A 13003-2025</t>
        </is>
      </c>
      <c r="B13861" s="1" t="n">
        <v>45734</v>
      </c>
      <c r="C13861" s="1" t="n">
        <v>45952</v>
      </c>
      <c r="D13861" t="inlineStr">
        <is>
          <t>VÄSTRA GÖTALANDS LÄN</t>
        </is>
      </c>
      <c r="E13861" t="inlineStr">
        <is>
          <t>SVENLJUNGA</t>
        </is>
      </c>
      <c r="G13861" t="n">
        <v>1.4</v>
      </c>
      <c r="H13861" t="n">
        <v>0</v>
      </c>
      <c r="I13861" t="n">
        <v>0</v>
      </c>
      <c r="J13861" t="n">
        <v>0</v>
      </c>
      <c r="K13861" t="n">
        <v>0</v>
      </c>
      <c r="L13861" t="n">
        <v>0</v>
      </c>
      <c r="M13861" t="n">
        <v>0</v>
      </c>
      <c r="N13861" t="n">
        <v>0</v>
      </c>
      <c r="O13861" t="n">
        <v>0</v>
      </c>
      <c r="P13861" t="n">
        <v>0</v>
      </c>
      <c r="Q13861" t="n">
        <v>0</v>
      </c>
      <c r="R13861" s="2" t="inlineStr"/>
    </row>
    <row r="13862" ht="15" customHeight="1">
      <c r="A13862" t="inlineStr">
        <is>
          <t>A 24453-2025</t>
        </is>
      </c>
      <c r="B13862" s="1" t="n">
        <v>45798.34398148148</v>
      </c>
      <c r="C13862" s="1" t="n">
        <v>45952</v>
      </c>
      <c r="D13862" t="inlineStr">
        <is>
          <t>VÄSTRA GÖTALANDS LÄN</t>
        </is>
      </c>
      <c r="E13862" t="inlineStr">
        <is>
          <t>GRÄSTORP</t>
        </is>
      </c>
      <c r="G13862" t="n">
        <v>1.7</v>
      </c>
      <c r="H13862" t="n">
        <v>0</v>
      </c>
      <c r="I13862" t="n">
        <v>0</v>
      </c>
      <c r="J13862" t="n">
        <v>0</v>
      </c>
      <c r="K13862" t="n">
        <v>0</v>
      </c>
      <c r="L13862" t="n">
        <v>0</v>
      </c>
      <c r="M13862" t="n">
        <v>0</v>
      </c>
      <c r="N13862" t="n">
        <v>0</v>
      </c>
      <c r="O13862" t="n">
        <v>0</v>
      </c>
      <c r="P13862" t="n">
        <v>0</v>
      </c>
      <c r="Q13862" t="n">
        <v>0</v>
      </c>
      <c r="R13862" s="2" t="inlineStr"/>
    </row>
    <row r="13863" ht="15" customHeight="1">
      <c r="A13863" t="inlineStr">
        <is>
          <t>A 46284-2025</t>
        </is>
      </c>
      <c r="B13863" s="1" t="n">
        <v>45925.38208333333</v>
      </c>
      <c r="C13863" s="1" t="n">
        <v>45952</v>
      </c>
      <c r="D13863" t="inlineStr">
        <is>
          <t>VÄSTRA GÖTALANDS LÄN</t>
        </is>
      </c>
      <c r="E13863" t="inlineStr">
        <is>
          <t>MARK</t>
        </is>
      </c>
      <c r="G13863" t="n">
        <v>6.7</v>
      </c>
      <c r="H13863" t="n">
        <v>0</v>
      </c>
      <c r="I13863" t="n">
        <v>0</v>
      </c>
      <c r="J13863" t="n">
        <v>0</v>
      </c>
      <c r="K13863" t="n">
        <v>0</v>
      </c>
      <c r="L13863" t="n">
        <v>0</v>
      </c>
      <c r="M13863" t="n">
        <v>0</v>
      </c>
      <c r="N13863" t="n">
        <v>0</v>
      </c>
      <c r="O13863" t="n">
        <v>0</v>
      </c>
      <c r="P13863" t="n">
        <v>0</v>
      </c>
      <c r="Q13863" t="n">
        <v>0</v>
      </c>
      <c r="R13863" s="2" t="inlineStr"/>
    </row>
    <row r="13864" ht="15" customHeight="1">
      <c r="A13864" t="inlineStr">
        <is>
          <t>A 42619-2022</t>
        </is>
      </c>
      <c r="B13864" s="1" t="n">
        <v>44831.86186342593</v>
      </c>
      <c r="C13864" s="1" t="n">
        <v>45952</v>
      </c>
      <c r="D13864" t="inlineStr">
        <is>
          <t>VÄSTRA GÖTALANDS LÄN</t>
        </is>
      </c>
      <c r="E13864" t="inlineStr">
        <is>
          <t>ALINGSÅS</t>
        </is>
      </c>
      <c r="G13864" t="n">
        <v>3.8</v>
      </c>
      <c r="H13864" t="n">
        <v>0</v>
      </c>
      <c r="I13864" t="n">
        <v>0</v>
      </c>
      <c r="J13864" t="n">
        <v>0</v>
      </c>
      <c r="K13864" t="n">
        <v>0</v>
      </c>
      <c r="L13864" t="n">
        <v>0</v>
      </c>
      <c r="M13864" t="n">
        <v>0</v>
      </c>
      <c r="N13864" t="n">
        <v>0</v>
      </c>
      <c r="O13864" t="n">
        <v>0</v>
      </c>
      <c r="P13864" t="n">
        <v>0</v>
      </c>
      <c r="Q13864" t="n">
        <v>0</v>
      </c>
      <c r="R13864" s="2" t="inlineStr"/>
    </row>
    <row r="13865" ht="15" customHeight="1">
      <c r="A13865" t="inlineStr">
        <is>
          <t>A 12401-2024</t>
        </is>
      </c>
      <c r="B13865" s="1" t="n">
        <v>45379.38784722222</v>
      </c>
      <c r="C13865" s="1" t="n">
        <v>45952</v>
      </c>
      <c r="D13865" t="inlineStr">
        <is>
          <t>VÄSTRA GÖTALANDS LÄN</t>
        </is>
      </c>
      <c r="E13865" t="inlineStr">
        <is>
          <t>ULRICEHAMN</t>
        </is>
      </c>
      <c r="G13865" t="n">
        <v>3.2</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46084-2025</t>
        </is>
      </c>
      <c r="B13866" s="1" t="n">
        <v>45924.51282407407</v>
      </c>
      <c r="C13866" s="1" t="n">
        <v>45952</v>
      </c>
      <c r="D13866" t="inlineStr">
        <is>
          <t>VÄSTRA GÖTALANDS LÄN</t>
        </is>
      </c>
      <c r="E13866" t="inlineStr">
        <is>
          <t>ALE</t>
        </is>
      </c>
      <c r="G13866" t="n">
        <v>4.2</v>
      </c>
      <c r="H13866" t="n">
        <v>0</v>
      </c>
      <c r="I13866" t="n">
        <v>0</v>
      </c>
      <c r="J13866" t="n">
        <v>0</v>
      </c>
      <c r="K13866" t="n">
        <v>0</v>
      </c>
      <c r="L13866" t="n">
        <v>0</v>
      </c>
      <c r="M13866" t="n">
        <v>0</v>
      </c>
      <c r="N13866" t="n">
        <v>0</v>
      </c>
      <c r="O13866" t="n">
        <v>0</v>
      </c>
      <c r="P13866" t="n">
        <v>0</v>
      </c>
      <c r="Q13866" t="n">
        <v>0</v>
      </c>
      <c r="R13866" s="2" t="inlineStr"/>
    </row>
    <row r="13867" ht="15" customHeight="1">
      <c r="A13867" t="inlineStr">
        <is>
          <t>A 10286-2024</t>
        </is>
      </c>
      <c r="B13867" s="1" t="n">
        <v>45365</v>
      </c>
      <c r="C13867" s="1" t="n">
        <v>45952</v>
      </c>
      <c r="D13867" t="inlineStr">
        <is>
          <t>VÄSTRA GÖTALANDS LÄN</t>
        </is>
      </c>
      <c r="E13867" t="inlineStr">
        <is>
          <t>UDDEVALLA</t>
        </is>
      </c>
      <c r="G13867" t="n">
        <v>0.9</v>
      </c>
      <c r="H13867" t="n">
        <v>0</v>
      </c>
      <c r="I13867" t="n">
        <v>0</v>
      </c>
      <c r="J13867" t="n">
        <v>0</v>
      </c>
      <c r="K13867" t="n">
        <v>0</v>
      </c>
      <c r="L13867" t="n">
        <v>0</v>
      </c>
      <c r="M13867" t="n">
        <v>0</v>
      </c>
      <c r="N13867" t="n">
        <v>0</v>
      </c>
      <c r="O13867" t="n">
        <v>0</v>
      </c>
      <c r="P13867" t="n">
        <v>0</v>
      </c>
      <c r="Q13867" t="n">
        <v>0</v>
      </c>
      <c r="R13867" s="2" t="inlineStr"/>
    </row>
    <row r="13868" ht="15" customHeight="1">
      <c r="A13868" t="inlineStr">
        <is>
          <t>A 12750-2024</t>
        </is>
      </c>
      <c r="B13868" s="1" t="n">
        <v>45384</v>
      </c>
      <c r="C13868" s="1" t="n">
        <v>45952</v>
      </c>
      <c r="D13868" t="inlineStr">
        <is>
          <t>VÄSTRA GÖTALANDS LÄN</t>
        </is>
      </c>
      <c r="E13868" t="inlineStr">
        <is>
          <t>FALKÖPING</t>
        </is>
      </c>
      <c r="G13868" t="n">
        <v>1.1</v>
      </c>
      <c r="H13868" t="n">
        <v>0</v>
      </c>
      <c r="I13868" t="n">
        <v>0</v>
      </c>
      <c r="J13868" t="n">
        <v>0</v>
      </c>
      <c r="K13868" t="n">
        <v>0</v>
      </c>
      <c r="L13868" t="n">
        <v>0</v>
      </c>
      <c r="M13868" t="n">
        <v>0</v>
      </c>
      <c r="N13868" t="n">
        <v>0</v>
      </c>
      <c r="O13868" t="n">
        <v>0</v>
      </c>
      <c r="P13868" t="n">
        <v>0</v>
      </c>
      <c r="Q13868" t="n">
        <v>0</v>
      </c>
      <c r="R13868" s="2" t="inlineStr"/>
    </row>
    <row r="13869" ht="15" customHeight="1">
      <c r="A13869" t="inlineStr">
        <is>
          <t>A 12754-2024</t>
        </is>
      </c>
      <c r="B13869" s="1" t="n">
        <v>45384</v>
      </c>
      <c r="C13869" s="1" t="n">
        <v>45952</v>
      </c>
      <c r="D13869" t="inlineStr">
        <is>
          <t>VÄSTRA GÖTALANDS LÄN</t>
        </is>
      </c>
      <c r="E13869" t="inlineStr">
        <is>
          <t>FALKÖPING</t>
        </is>
      </c>
      <c r="G13869" t="n">
        <v>0.8</v>
      </c>
      <c r="H13869" t="n">
        <v>0</v>
      </c>
      <c r="I13869" t="n">
        <v>0</v>
      </c>
      <c r="J13869" t="n">
        <v>0</v>
      </c>
      <c r="K13869" t="n">
        <v>0</v>
      </c>
      <c r="L13869" t="n">
        <v>0</v>
      </c>
      <c r="M13869" t="n">
        <v>0</v>
      </c>
      <c r="N13869" t="n">
        <v>0</v>
      </c>
      <c r="O13869" t="n">
        <v>0</v>
      </c>
      <c r="P13869" t="n">
        <v>0</v>
      </c>
      <c r="Q13869" t="n">
        <v>0</v>
      </c>
      <c r="R13869" s="2" t="inlineStr"/>
    </row>
    <row r="13870" ht="15" customHeight="1">
      <c r="A13870" t="inlineStr">
        <is>
          <t>A 26563-2023</t>
        </is>
      </c>
      <c r="B13870" s="1" t="n">
        <v>45092</v>
      </c>
      <c r="C13870" s="1" t="n">
        <v>45952</v>
      </c>
      <c r="D13870" t="inlineStr">
        <is>
          <t>VÄSTRA GÖTALANDS LÄN</t>
        </is>
      </c>
      <c r="E13870" t="inlineStr">
        <is>
          <t>FALKÖPING</t>
        </is>
      </c>
      <c r="G13870" t="n">
        <v>3.1</v>
      </c>
      <c r="H13870" t="n">
        <v>0</v>
      </c>
      <c r="I13870" t="n">
        <v>0</v>
      </c>
      <c r="J13870" t="n">
        <v>0</v>
      </c>
      <c r="K13870" t="n">
        <v>0</v>
      </c>
      <c r="L13870" t="n">
        <v>0</v>
      </c>
      <c r="M13870" t="n">
        <v>0</v>
      </c>
      <c r="N13870" t="n">
        <v>0</v>
      </c>
      <c r="O13870" t="n">
        <v>0</v>
      </c>
      <c r="P13870" t="n">
        <v>0</v>
      </c>
      <c r="Q13870" t="n">
        <v>0</v>
      </c>
      <c r="R13870" s="2" t="inlineStr"/>
    </row>
    <row r="13871" ht="15" customHeight="1">
      <c r="A13871" t="inlineStr">
        <is>
          <t>A 12784-2025</t>
        </is>
      </c>
      <c r="B13871" s="1" t="n">
        <v>45733.59857638889</v>
      </c>
      <c r="C13871" s="1" t="n">
        <v>45952</v>
      </c>
      <c r="D13871" t="inlineStr">
        <is>
          <t>VÄSTRA GÖTALANDS LÄN</t>
        </is>
      </c>
      <c r="E13871" t="inlineStr">
        <is>
          <t>LILLA EDET</t>
        </is>
      </c>
      <c r="G13871" t="n">
        <v>1.2</v>
      </c>
      <c r="H13871" t="n">
        <v>0</v>
      </c>
      <c r="I13871" t="n">
        <v>0</v>
      </c>
      <c r="J13871" t="n">
        <v>0</v>
      </c>
      <c r="K13871" t="n">
        <v>0</v>
      </c>
      <c r="L13871" t="n">
        <v>0</v>
      </c>
      <c r="M13871" t="n">
        <v>0</v>
      </c>
      <c r="N13871" t="n">
        <v>0</v>
      </c>
      <c r="O13871" t="n">
        <v>0</v>
      </c>
      <c r="P13871" t="n">
        <v>0</v>
      </c>
      <c r="Q13871" t="n">
        <v>0</v>
      </c>
      <c r="R13871" s="2" t="inlineStr"/>
    </row>
    <row r="13872" ht="15" customHeight="1">
      <c r="A13872" t="inlineStr">
        <is>
          <t>A 19308-2025</t>
        </is>
      </c>
      <c r="B13872" s="1" t="n">
        <v>45769.56891203704</v>
      </c>
      <c r="C13872" s="1" t="n">
        <v>45952</v>
      </c>
      <c r="D13872" t="inlineStr">
        <is>
          <t>VÄSTRA GÖTALANDS LÄN</t>
        </is>
      </c>
      <c r="E13872" t="inlineStr">
        <is>
          <t>VÅRGÅRDA</t>
        </is>
      </c>
      <c r="F13872" t="inlineStr">
        <is>
          <t>Kommuner</t>
        </is>
      </c>
      <c r="G13872" t="n">
        <v>1.1</v>
      </c>
      <c r="H13872" t="n">
        <v>0</v>
      </c>
      <c r="I13872" t="n">
        <v>0</v>
      </c>
      <c r="J13872" t="n">
        <v>0</v>
      </c>
      <c r="K13872" t="n">
        <v>0</v>
      </c>
      <c r="L13872" t="n">
        <v>0</v>
      </c>
      <c r="M13872" t="n">
        <v>0</v>
      </c>
      <c r="N13872" t="n">
        <v>0</v>
      </c>
      <c r="O13872" t="n">
        <v>0</v>
      </c>
      <c r="P13872" t="n">
        <v>0</v>
      </c>
      <c r="Q13872" t="n">
        <v>0</v>
      </c>
      <c r="R13872" s="2" t="inlineStr"/>
    </row>
    <row r="13873" ht="15" customHeight="1">
      <c r="A13873" t="inlineStr">
        <is>
          <t>A 37889-2025</t>
        </is>
      </c>
      <c r="B13873" s="1" t="n">
        <v>45881.52247685185</v>
      </c>
      <c r="C13873" s="1" t="n">
        <v>45952</v>
      </c>
      <c r="D13873" t="inlineStr">
        <is>
          <t>VÄSTRA GÖTALANDS LÄN</t>
        </is>
      </c>
      <c r="E13873" t="inlineStr">
        <is>
          <t>BENGTSFORS</t>
        </is>
      </c>
      <c r="G13873" t="n">
        <v>1.3</v>
      </c>
      <c r="H13873" t="n">
        <v>0</v>
      </c>
      <c r="I13873" t="n">
        <v>0</v>
      </c>
      <c r="J13873" t="n">
        <v>0</v>
      </c>
      <c r="K13873" t="n">
        <v>0</v>
      </c>
      <c r="L13873" t="n">
        <v>0</v>
      </c>
      <c r="M13873" t="n">
        <v>0</v>
      </c>
      <c r="N13873" t="n">
        <v>0</v>
      </c>
      <c r="O13873" t="n">
        <v>0</v>
      </c>
      <c r="P13873" t="n">
        <v>0</v>
      </c>
      <c r="Q13873" t="n">
        <v>0</v>
      </c>
      <c r="R13873" s="2" t="inlineStr"/>
    </row>
    <row r="13874" ht="15" customHeight="1">
      <c r="A13874" t="inlineStr">
        <is>
          <t>A 46420-2025</t>
        </is>
      </c>
      <c r="B13874" s="1" t="n">
        <v>45925.59826388889</v>
      </c>
      <c r="C13874" s="1" t="n">
        <v>45952</v>
      </c>
      <c r="D13874" t="inlineStr">
        <is>
          <t>VÄSTRA GÖTALANDS LÄN</t>
        </is>
      </c>
      <c r="E13874" t="inlineStr">
        <is>
          <t>TANUM</t>
        </is>
      </c>
      <c r="G13874" t="n">
        <v>3.8</v>
      </c>
      <c r="H13874" t="n">
        <v>0</v>
      </c>
      <c r="I13874" t="n">
        <v>0</v>
      </c>
      <c r="J13874" t="n">
        <v>0</v>
      </c>
      <c r="K13874" t="n">
        <v>0</v>
      </c>
      <c r="L13874" t="n">
        <v>0</v>
      </c>
      <c r="M13874" t="n">
        <v>0</v>
      </c>
      <c r="N13874" t="n">
        <v>0</v>
      </c>
      <c r="O13874" t="n">
        <v>0</v>
      </c>
      <c r="P13874" t="n">
        <v>0</v>
      </c>
      <c r="Q13874" t="n">
        <v>0</v>
      </c>
      <c r="R13874" s="2" t="inlineStr"/>
    </row>
    <row r="13875" ht="15" customHeight="1">
      <c r="A13875" t="inlineStr">
        <is>
          <t>A 54311-2022</t>
        </is>
      </c>
      <c r="B13875" s="1" t="n">
        <v>44882.41185185185</v>
      </c>
      <c r="C13875" s="1" t="n">
        <v>45952</v>
      </c>
      <c r="D13875" t="inlineStr">
        <is>
          <t>VÄSTRA GÖTALANDS LÄN</t>
        </is>
      </c>
      <c r="E13875" t="inlineStr">
        <is>
          <t>BOLLEBYGD</t>
        </is>
      </c>
      <c r="G13875" t="n">
        <v>1.4</v>
      </c>
      <c r="H13875" t="n">
        <v>0</v>
      </c>
      <c r="I13875" t="n">
        <v>0</v>
      </c>
      <c r="J13875" t="n">
        <v>0</v>
      </c>
      <c r="K13875" t="n">
        <v>0</v>
      </c>
      <c r="L13875" t="n">
        <v>0</v>
      </c>
      <c r="M13875" t="n">
        <v>0</v>
      </c>
      <c r="N13875" t="n">
        <v>0</v>
      </c>
      <c r="O13875" t="n">
        <v>0</v>
      </c>
      <c r="P13875" t="n">
        <v>0</v>
      </c>
      <c r="Q13875" t="n">
        <v>0</v>
      </c>
      <c r="R13875" s="2" t="inlineStr"/>
    </row>
    <row r="13876" ht="15" customHeight="1">
      <c r="A13876" t="inlineStr">
        <is>
          <t>A 46504-2025</t>
        </is>
      </c>
      <c r="B13876" s="1" t="n">
        <v>45925.87936342593</v>
      </c>
      <c r="C13876" s="1" t="n">
        <v>45952</v>
      </c>
      <c r="D13876" t="inlineStr">
        <is>
          <t>VÄSTRA GÖTALANDS LÄN</t>
        </is>
      </c>
      <c r="E13876" t="inlineStr">
        <is>
          <t>ULRICEHAMN</t>
        </is>
      </c>
      <c r="G13876" t="n">
        <v>2.8</v>
      </c>
      <c r="H13876" t="n">
        <v>0</v>
      </c>
      <c r="I13876" t="n">
        <v>0</v>
      </c>
      <c r="J13876" t="n">
        <v>0</v>
      </c>
      <c r="K13876" t="n">
        <v>0</v>
      </c>
      <c r="L13876" t="n">
        <v>0</v>
      </c>
      <c r="M13876" t="n">
        <v>0</v>
      </c>
      <c r="N13876" t="n">
        <v>0</v>
      </c>
      <c r="O13876" t="n">
        <v>0</v>
      </c>
      <c r="P13876" t="n">
        <v>0</v>
      </c>
      <c r="Q13876" t="n">
        <v>0</v>
      </c>
      <c r="R13876" s="2" t="inlineStr"/>
    </row>
    <row r="13877" ht="15" customHeight="1">
      <c r="A13877" t="inlineStr">
        <is>
          <t>A 46113-2025</t>
        </is>
      </c>
      <c r="B13877" s="1" t="n">
        <v>45924.57015046296</v>
      </c>
      <c r="C13877" s="1" t="n">
        <v>45952</v>
      </c>
      <c r="D13877" t="inlineStr">
        <is>
          <t>VÄSTRA GÖTALANDS LÄN</t>
        </is>
      </c>
      <c r="E13877" t="inlineStr">
        <is>
          <t>BORÅS</t>
        </is>
      </c>
      <c r="G13877" t="n">
        <v>6.9</v>
      </c>
      <c r="H13877" t="n">
        <v>0</v>
      </c>
      <c r="I13877" t="n">
        <v>0</v>
      </c>
      <c r="J13877" t="n">
        <v>0</v>
      </c>
      <c r="K13877" t="n">
        <v>0</v>
      </c>
      <c r="L13877" t="n">
        <v>0</v>
      </c>
      <c r="M13877" t="n">
        <v>0</v>
      </c>
      <c r="N13877" t="n">
        <v>0</v>
      </c>
      <c r="O13877" t="n">
        <v>0</v>
      </c>
      <c r="P13877" t="n">
        <v>0</v>
      </c>
      <c r="Q13877" t="n">
        <v>0</v>
      </c>
      <c r="R13877" s="2" t="inlineStr"/>
    </row>
    <row r="13878" ht="15" customHeight="1">
      <c r="A13878" t="inlineStr">
        <is>
          <t>A 46290-2025</t>
        </is>
      </c>
      <c r="B13878" s="1" t="n">
        <v>45925.38766203704</v>
      </c>
      <c r="C13878" s="1" t="n">
        <v>45952</v>
      </c>
      <c r="D13878" t="inlineStr">
        <is>
          <t>VÄSTRA GÖTALANDS LÄN</t>
        </is>
      </c>
      <c r="E13878" t="inlineStr">
        <is>
          <t>MARK</t>
        </is>
      </c>
      <c r="G13878" t="n">
        <v>1.3</v>
      </c>
      <c r="H13878" t="n">
        <v>0</v>
      </c>
      <c r="I13878" t="n">
        <v>0</v>
      </c>
      <c r="J13878" t="n">
        <v>0</v>
      </c>
      <c r="K13878" t="n">
        <v>0</v>
      </c>
      <c r="L13878" t="n">
        <v>0</v>
      </c>
      <c r="M13878" t="n">
        <v>0</v>
      </c>
      <c r="N13878" t="n">
        <v>0</v>
      </c>
      <c r="O13878" t="n">
        <v>0</v>
      </c>
      <c r="P13878" t="n">
        <v>0</v>
      </c>
      <c r="Q13878" t="n">
        <v>0</v>
      </c>
      <c r="R13878" s="2" t="inlineStr"/>
    </row>
    <row r="13879" ht="15" customHeight="1">
      <c r="A13879" t="inlineStr">
        <is>
          <t>A 38044-2025</t>
        </is>
      </c>
      <c r="B13879" s="1" t="n">
        <v>45882</v>
      </c>
      <c r="C13879" s="1" t="n">
        <v>45952</v>
      </c>
      <c r="D13879" t="inlineStr">
        <is>
          <t>VÄSTRA GÖTALANDS LÄN</t>
        </is>
      </c>
      <c r="E13879" t="inlineStr">
        <is>
          <t>DALS-ED</t>
        </is>
      </c>
      <c r="F13879" t="inlineStr">
        <is>
          <t>Bergvik skog väst AB</t>
        </is>
      </c>
      <c r="G13879" t="n">
        <v>2.1</v>
      </c>
      <c r="H13879" t="n">
        <v>0</v>
      </c>
      <c r="I13879" t="n">
        <v>0</v>
      </c>
      <c r="J13879" t="n">
        <v>0</v>
      </c>
      <c r="K13879" t="n">
        <v>0</v>
      </c>
      <c r="L13879" t="n">
        <v>0</v>
      </c>
      <c r="M13879" t="n">
        <v>0</v>
      </c>
      <c r="N13879" t="n">
        <v>0</v>
      </c>
      <c r="O13879" t="n">
        <v>0</v>
      </c>
      <c r="P13879" t="n">
        <v>0</v>
      </c>
      <c r="Q13879" t="n">
        <v>0</v>
      </c>
      <c r="R13879" s="2" t="inlineStr"/>
    </row>
    <row r="13880" ht="15" customHeight="1">
      <c r="A13880" t="inlineStr">
        <is>
          <t>A 35718-2025</t>
        </is>
      </c>
      <c r="B13880" s="1" t="n">
        <v>45860.4315162037</v>
      </c>
      <c r="C13880" s="1" t="n">
        <v>45952</v>
      </c>
      <c r="D13880" t="inlineStr">
        <is>
          <t>VÄSTRA GÖTALANDS LÄN</t>
        </is>
      </c>
      <c r="E13880" t="inlineStr">
        <is>
          <t>LILLA EDET</t>
        </is>
      </c>
      <c r="G13880" t="n">
        <v>7.6</v>
      </c>
      <c r="H13880" t="n">
        <v>0</v>
      </c>
      <c r="I13880" t="n">
        <v>0</v>
      </c>
      <c r="J13880" t="n">
        <v>0</v>
      </c>
      <c r="K13880" t="n">
        <v>0</v>
      </c>
      <c r="L13880" t="n">
        <v>0</v>
      </c>
      <c r="M13880" t="n">
        <v>0</v>
      </c>
      <c r="N13880" t="n">
        <v>0</v>
      </c>
      <c r="O13880" t="n">
        <v>0</v>
      </c>
      <c r="P13880" t="n">
        <v>0</v>
      </c>
      <c r="Q13880" t="n">
        <v>0</v>
      </c>
      <c r="R13880" s="2" t="inlineStr"/>
    </row>
    <row r="13881" ht="15" customHeight="1">
      <c r="A13881" t="inlineStr">
        <is>
          <t>A 19849-2025</t>
        </is>
      </c>
      <c r="B13881" s="1" t="n">
        <v>45771.49246527778</v>
      </c>
      <c r="C13881" s="1" t="n">
        <v>45952</v>
      </c>
      <c r="D13881" t="inlineStr">
        <is>
          <t>VÄSTRA GÖTALANDS LÄN</t>
        </is>
      </c>
      <c r="E13881" t="inlineStr">
        <is>
          <t>UDDEVALLA</t>
        </is>
      </c>
      <c r="G13881" t="n">
        <v>5</v>
      </c>
      <c r="H13881" t="n">
        <v>0</v>
      </c>
      <c r="I13881" t="n">
        <v>0</v>
      </c>
      <c r="J13881" t="n">
        <v>0</v>
      </c>
      <c r="K13881" t="n">
        <v>0</v>
      </c>
      <c r="L13881" t="n">
        <v>0</v>
      </c>
      <c r="M13881" t="n">
        <v>0</v>
      </c>
      <c r="N13881" t="n">
        <v>0</v>
      </c>
      <c r="O13881" t="n">
        <v>0</v>
      </c>
      <c r="P13881" t="n">
        <v>0</v>
      </c>
      <c r="Q13881" t="n">
        <v>0</v>
      </c>
      <c r="R13881" s="2" t="inlineStr"/>
    </row>
    <row r="13882" ht="15" customHeight="1">
      <c r="A13882" t="inlineStr">
        <is>
          <t>A 52471-2023</t>
        </is>
      </c>
      <c r="B13882" s="1" t="n">
        <v>45225</v>
      </c>
      <c r="C13882" s="1" t="n">
        <v>45952</v>
      </c>
      <c r="D13882" t="inlineStr">
        <is>
          <t>VÄSTRA GÖTALANDS LÄN</t>
        </is>
      </c>
      <c r="E13882" t="inlineStr">
        <is>
          <t>MELLERUD</t>
        </is>
      </c>
      <c r="G13882" t="n">
        <v>2.5</v>
      </c>
      <c r="H13882" t="n">
        <v>0</v>
      </c>
      <c r="I13882" t="n">
        <v>0</v>
      </c>
      <c r="J13882" t="n">
        <v>0</v>
      </c>
      <c r="K13882" t="n">
        <v>0</v>
      </c>
      <c r="L13882" t="n">
        <v>0</v>
      </c>
      <c r="M13882" t="n">
        <v>0</v>
      </c>
      <c r="N13882" t="n">
        <v>0</v>
      </c>
      <c r="O13882" t="n">
        <v>0</v>
      </c>
      <c r="P13882" t="n">
        <v>0</v>
      </c>
      <c r="Q13882" t="n">
        <v>0</v>
      </c>
      <c r="R13882" s="2" t="inlineStr"/>
    </row>
    <row r="13883" ht="15" customHeight="1">
      <c r="A13883" t="inlineStr">
        <is>
          <t>A 27117-2022</t>
        </is>
      </c>
      <c r="B13883" s="1" t="n">
        <v>44741</v>
      </c>
      <c r="C13883" s="1" t="n">
        <v>45952</v>
      </c>
      <c r="D13883" t="inlineStr">
        <is>
          <t>VÄSTRA GÖTALANDS LÄN</t>
        </is>
      </c>
      <c r="E13883" t="inlineStr">
        <is>
          <t>LIDKÖPING</t>
        </is>
      </c>
      <c r="G13883" t="n">
        <v>4.4</v>
      </c>
      <c r="H13883" t="n">
        <v>0</v>
      </c>
      <c r="I13883" t="n">
        <v>0</v>
      </c>
      <c r="J13883" t="n">
        <v>0</v>
      </c>
      <c r="K13883" t="n">
        <v>0</v>
      </c>
      <c r="L13883" t="n">
        <v>0</v>
      </c>
      <c r="M13883" t="n">
        <v>0</v>
      </c>
      <c r="N13883" t="n">
        <v>0</v>
      </c>
      <c r="O13883" t="n">
        <v>0</v>
      </c>
      <c r="P13883" t="n">
        <v>0</v>
      </c>
      <c r="Q13883" t="n">
        <v>0</v>
      </c>
      <c r="R13883" s="2" t="inlineStr"/>
    </row>
    <row r="13884" ht="15" customHeight="1">
      <c r="A13884" t="inlineStr">
        <is>
          <t>A 31051-2022</t>
        </is>
      </c>
      <c r="B13884" s="1" t="n">
        <v>44769</v>
      </c>
      <c r="C13884" s="1" t="n">
        <v>45952</v>
      </c>
      <c r="D13884" t="inlineStr">
        <is>
          <t>VÄSTRA GÖTALANDS LÄN</t>
        </is>
      </c>
      <c r="E13884" t="inlineStr">
        <is>
          <t>VÄNERSBORG</t>
        </is>
      </c>
      <c r="G13884" t="n">
        <v>1.5</v>
      </c>
      <c r="H13884" t="n">
        <v>0</v>
      </c>
      <c r="I13884" t="n">
        <v>0</v>
      </c>
      <c r="J13884" t="n">
        <v>0</v>
      </c>
      <c r="K13884" t="n">
        <v>0</v>
      </c>
      <c r="L13884" t="n">
        <v>0</v>
      </c>
      <c r="M13884" t="n">
        <v>0</v>
      </c>
      <c r="N13884" t="n">
        <v>0</v>
      </c>
      <c r="O13884" t="n">
        <v>0</v>
      </c>
      <c r="P13884" t="n">
        <v>0</v>
      </c>
      <c r="Q13884" t="n">
        <v>0</v>
      </c>
      <c r="R13884" s="2" t="inlineStr"/>
    </row>
    <row r="13885" ht="15" customHeight="1">
      <c r="A13885" t="inlineStr">
        <is>
          <t>A 37174-2024</t>
        </is>
      </c>
      <c r="B13885" s="1" t="n">
        <v>45539.63673611111</v>
      </c>
      <c r="C13885" s="1" t="n">
        <v>45952</v>
      </c>
      <c r="D13885" t="inlineStr">
        <is>
          <t>VÄSTRA GÖTALANDS LÄN</t>
        </is>
      </c>
      <c r="E13885" t="inlineStr">
        <is>
          <t>ÅMÅL</t>
        </is>
      </c>
      <c r="G13885" t="n">
        <v>8.1</v>
      </c>
      <c r="H13885" t="n">
        <v>0</v>
      </c>
      <c r="I13885" t="n">
        <v>0</v>
      </c>
      <c r="J13885" t="n">
        <v>0</v>
      </c>
      <c r="K13885" t="n">
        <v>0</v>
      </c>
      <c r="L13885" t="n">
        <v>0</v>
      </c>
      <c r="M13885" t="n">
        <v>0</v>
      </c>
      <c r="N13885" t="n">
        <v>0</v>
      </c>
      <c r="O13885" t="n">
        <v>0</v>
      </c>
      <c r="P13885" t="n">
        <v>0</v>
      </c>
      <c r="Q13885" t="n">
        <v>0</v>
      </c>
      <c r="R13885" s="2" t="inlineStr"/>
    </row>
    <row r="13886" ht="15" customHeight="1">
      <c r="A13886" t="inlineStr">
        <is>
          <t>A 20464-2025</t>
        </is>
      </c>
      <c r="B13886" s="1" t="n">
        <v>45775</v>
      </c>
      <c r="C13886" s="1" t="n">
        <v>45952</v>
      </c>
      <c r="D13886" t="inlineStr">
        <is>
          <t>VÄSTRA GÖTALANDS LÄN</t>
        </is>
      </c>
      <c r="E13886" t="inlineStr">
        <is>
          <t>BORÅS</t>
        </is>
      </c>
      <c r="F13886" t="inlineStr">
        <is>
          <t>Kommuner</t>
        </is>
      </c>
      <c r="G13886" t="n">
        <v>2.4</v>
      </c>
      <c r="H13886" t="n">
        <v>0</v>
      </c>
      <c r="I13886" t="n">
        <v>0</v>
      </c>
      <c r="J13886" t="n">
        <v>0</v>
      </c>
      <c r="K13886" t="n">
        <v>0</v>
      </c>
      <c r="L13886" t="n">
        <v>0</v>
      </c>
      <c r="M13886" t="n">
        <v>0</v>
      </c>
      <c r="N13886" t="n">
        <v>0</v>
      </c>
      <c r="O13886" t="n">
        <v>0</v>
      </c>
      <c r="P13886" t="n">
        <v>0</v>
      </c>
      <c r="Q13886" t="n">
        <v>0</v>
      </c>
      <c r="R13886" s="2" t="inlineStr"/>
    </row>
    <row r="13887" ht="15" customHeight="1">
      <c r="A13887" t="inlineStr">
        <is>
          <t>A 17525-2025</t>
        </is>
      </c>
      <c r="B13887" s="1" t="n">
        <v>45757.5817824074</v>
      </c>
      <c r="C13887" s="1" t="n">
        <v>45952</v>
      </c>
      <c r="D13887" t="inlineStr">
        <is>
          <t>VÄSTRA GÖTALANDS LÄN</t>
        </is>
      </c>
      <c r="E13887" t="inlineStr">
        <is>
          <t>STRÖMSTAD</t>
        </is>
      </c>
      <c r="G13887" t="n">
        <v>2.6</v>
      </c>
      <c r="H13887" t="n">
        <v>0</v>
      </c>
      <c r="I13887" t="n">
        <v>0</v>
      </c>
      <c r="J13887" t="n">
        <v>0</v>
      </c>
      <c r="K13887" t="n">
        <v>0</v>
      </c>
      <c r="L13887" t="n">
        <v>0</v>
      </c>
      <c r="M13887" t="n">
        <v>0</v>
      </c>
      <c r="N13887" t="n">
        <v>0</v>
      </c>
      <c r="O13887" t="n">
        <v>0</v>
      </c>
      <c r="P13887" t="n">
        <v>0</v>
      </c>
      <c r="Q13887" t="n">
        <v>0</v>
      </c>
      <c r="R13887" s="2" t="inlineStr"/>
    </row>
    <row r="13888" ht="15" customHeight="1">
      <c r="A13888" t="inlineStr">
        <is>
          <t>A 37803-2025</t>
        </is>
      </c>
      <c r="B13888" s="1" t="n">
        <v>45881</v>
      </c>
      <c r="C13888" s="1" t="n">
        <v>45952</v>
      </c>
      <c r="D13888" t="inlineStr">
        <is>
          <t>VÄSTRA GÖTALANDS LÄN</t>
        </is>
      </c>
      <c r="E13888" t="inlineStr">
        <is>
          <t>HJO</t>
        </is>
      </c>
      <c r="G13888" t="n">
        <v>3.3</v>
      </c>
      <c r="H13888" t="n">
        <v>0</v>
      </c>
      <c r="I13888" t="n">
        <v>0</v>
      </c>
      <c r="J13888" t="n">
        <v>0</v>
      </c>
      <c r="K13888" t="n">
        <v>0</v>
      </c>
      <c r="L13888" t="n">
        <v>0</v>
      </c>
      <c r="M13888" t="n">
        <v>0</v>
      </c>
      <c r="N13888" t="n">
        <v>0</v>
      </c>
      <c r="O13888" t="n">
        <v>0</v>
      </c>
      <c r="P13888" t="n">
        <v>0</v>
      </c>
      <c r="Q13888" t="n">
        <v>0</v>
      </c>
      <c r="R13888" s="2" t="inlineStr"/>
    </row>
    <row r="13889" ht="15" customHeight="1">
      <c r="A13889" t="inlineStr">
        <is>
          <t>A 20534-2024</t>
        </is>
      </c>
      <c r="B13889" s="1" t="n">
        <v>45436.29991898148</v>
      </c>
      <c r="C13889" s="1" t="n">
        <v>45952</v>
      </c>
      <c r="D13889" t="inlineStr">
        <is>
          <t>VÄSTRA GÖTALANDS LÄN</t>
        </is>
      </c>
      <c r="E13889" t="inlineStr">
        <is>
          <t>TRANEMO</t>
        </is>
      </c>
      <c r="G13889" t="n">
        <v>2.3</v>
      </c>
      <c r="H13889" t="n">
        <v>0</v>
      </c>
      <c r="I13889" t="n">
        <v>0</v>
      </c>
      <c r="J13889" t="n">
        <v>0</v>
      </c>
      <c r="K13889" t="n">
        <v>0</v>
      </c>
      <c r="L13889" t="n">
        <v>0</v>
      </c>
      <c r="M13889" t="n">
        <v>0</v>
      </c>
      <c r="N13889" t="n">
        <v>0</v>
      </c>
      <c r="O13889" t="n">
        <v>0</v>
      </c>
      <c r="P13889" t="n">
        <v>0</v>
      </c>
      <c r="Q13889" t="n">
        <v>0</v>
      </c>
      <c r="R13889" s="2" t="inlineStr"/>
    </row>
    <row r="13890" ht="15" customHeight="1">
      <c r="A13890" t="inlineStr">
        <is>
          <t>A 51381-2024</t>
        </is>
      </c>
      <c r="B13890" s="1" t="n">
        <v>45604.39118055555</v>
      </c>
      <c r="C13890" s="1" t="n">
        <v>45952</v>
      </c>
      <c r="D13890" t="inlineStr">
        <is>
          <t>VÄSTRA GÖTALANDS LÄN</t>
        </is>
      </c>
      <c r="E13890" t="inlineStr">
        <is>
          <t>TROLLHÄTTAN</t>
        </is>
      </c>
      <c r="G13890" t="n">
        <v>3.7</v>
      </c>
      <c r="H13890" t="n">
        <v>0</v>
      </c>
      <c r="I13890" t="n">
        <v>0</v>
      </c>
      <c r="J13890" t="n">
        <v>0</v>
      </c>
      <c r="K13890" t="n">
        <v>0</v>
      </c>
      <c r="L13890" t="n">
        <v>0</v>
      </c>
      <c r="M13890" t="n">
        <v>0</v>
      </c>
      <c r="N13890" t="n">
        <v>0</v>
      </c>
      <c r="O13890" t="n">
        <v>0</v>
      </c>
      <c r="P13890" t="n">
        <v>0</v>
      </c>
      <c r="Q13890" t="n">
        <v>0</v>
      </c>
      <c r="R13890" s="2" t="inlineStr"/>
    </row>
    <row r="13891" ht="15" customHeight="1">
      <c r="A13891" t="inlineStr">
        <is>
          <t>A 46366-2025</t>
        </is>
      </c>
      <c r="B13891" s="1" t="n">
        <v>45925.50118055556</v>
      </c>
      <c r="C13891" s="1" t="n">
        <v>45952</v>
      </c>
      <c r="D13891" t="inlineStr">
        <is>
          <t>VÄSTRA GÖTALANDS LÄN</t>
        </is>
      </c>
      <c r="E13891" t="inlineStr">
        <is>
          <t>BORÅS</t>
        </is>
      </c>
      <c r="G13891" t="n">
        <v>1.2</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46378-2025</t>
        </is>
      </c>
      <c r="B13892" s="1" t="n">
        <v>45925.52497685186</v>
      </c>
      <c r="C13892" s="1" t="n">
        <v>45952</v>
      </c>
      <c r="D13892" t="inlineStr">
        <is>
          <t>VÄSTRA GÖTALANDS LÄN</t>
        </is>
      </c>
      <c r="E13892" t="inlineStr">
        <is>
          <t>FALKÖPING</t>
        </is>
      </c>
      <c r="G13892" t="n">
        <v>5.3</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46383-2025</t>
        </is>
      </c>
      <c r="B13893" s="1" t="n">
        <v>45925.52858796297</v>
      </c>
      <c r="C13893" s="1" t="n">
        <v>45952</v>
      </c>
      <c r="D13893" t="inlineStr">
        <is>
          <t>VÄSTRA GÖTALANDS LÄN</t>
        </is>
      </c>
      <c r="E13893" t="inlineStr">
        <is>
          <t>DALS-ED</t>
        </is>
      </c>
      <c r="F13893" t="inlineStr">
        <is>
          <t>Kyrkan</t>
        </is>
      </c>
      <c r="G13893" t="n">
        <v>3.6</v>
      </c>
      <c r="H13893" t="n">
        <v>0</v>
      </c>
      <c r="I13893" t="n">
        <v>0</v>
      </c>
      <c r="J13893" t="n">
        <v>0</v>
      </c>
      <c r="K13893" t="n">
        <v>0</v>
      </c>
      <c r="L13893" t="n">
        <v>0</v>
      </c>
      <c r="M13893" t="n">
        <v>0</v>
      </c>
      <c r="N13893" t="n">
        <v>0</v>
      </c>
      <c r="O13893" t="n">
        <v>0</v>
      </c>
      <c r="P13893" t="n">
        <v>0</v>
      </c>
      <c r="Q13893" t="n">
        <v>0</v>
      </c>
      <c r="R13893" s="2" t="inlineStr"/>
    </row>
    <row r="13894" ht="15" customHeight="1">
      <c r="A13894" t="inlineStr">
        <is>
          <t>A 73351-2021</t>
        </is>
      </c>
      <c r="B13894" s="1" t="n">
        <v>44551.39665509259</v>
      </c>
      <c r="C13894" s="1" t="n">
        <v>45952</v>
      </c>
      <c r="D13894" t="inlineStr">
        <is>
          <t>VÄSTRA GÖTALANDS LÄN</t>
        </is>
      </c>
      <c r="E13894" t="inlineStr">
        <is>
          <t>MELLERUD</t>
        </is>
      </c>
      <c r="G13894" t="n">
        <v>6.1</v>
      </c>
      <c r="H13894" t="n">
        <v>0</v>
      </c>
      <c r="I13894" t="n">
        <v>0</v>
      </c>
      <c r="J13894" t="n">
        <v>0</v>
      </c>
      <c r="K13894" t="n">
        <v>0</v>
      </c>
      <c r="L13894" t="n">
        <v>0</v>
      </c>
      <c r="M13894" t="n">
        <v>0</v>
      </c>
      <c r="N13894" t="n">
        <v>0</v>
      </c>
      <c r="O13894" t="n">
        <v>0</v>
      </c>
      <c r="P13894" t="n">
        <v>0</v>
      </c>
      <c r="Q13894" t="n">
        <v>0</v>
      </c>
      <c r="R13894" s="2" t="inlineStr"/>
    </row>
    <row r="13895" ht="15" customHeight="1">
      <c r="A13895" t="inlineStr">
        <is>
          <t>A 73358-2021</t>
        </is>
      </c>
      <c r="B13895" s="1" t="n">
        <v>44551.40778935186</v>
      </c>
      <c r="C13895" s="1" t="n">
        <v>45952</v>
      </c>
      <c r="D13895" t="inlineStr">
        <is>
          <t>VÄSTRA GÖTALANDS LÄN</t>
        </is>
      </c>
      <c r="E13895" t="inlineStr">
        <is>
          <t>HERRLJUNGA</t>
        </is>
      </c>
      <c r="G13895" t="n">
        <v>5.1</v>
      </c>
      <c r="H13895" t="n">
        <v>0</v>
      </c>
      <c r="I13895" t="n">
        <v>0</v>
      </c>
      <c r="J13895" t="n">
        <v>0</v>
      </c>
      <c r="K13895" t="n">
        <v>0</v>
      </c>
      <c r="L13895" t="n">
        <v>0</v>
      </c>
      <c r="M13895" t="n">
        <v>0</v>
      </c>
      <c r="N13895" t="n">
        <v>0</v>
      </c>
      <c r="O13895" t="n">
        <v>0</v>
      </c>
      <c r="P13895" t="n">
        <v>0</v>
      </c>
      <c r="Q13895" t="n">
        <v>0</v>
      </c>
      <c r="R13895" s="2" t="inlineStr"/>
    </row>
    <row r="13896" ht="15" customHeight="1">
      <c r="A13896" t="inlineStr">
        <is>
          <t>A 39116-2024</t>
        </is>
      </c>
      <c r="B13896" s="1" t="n">
        <v>45548.58743055556</v>
      </c>
      <c r="C13896" s="1" t="n">
        <v>45952</v>
      </c>
      <c r="D13896" t="inlineStr">
        <is>
          <t>VÄSTRA GÖTALANDS LÄN</t>
        </is>
      </c>
      <c r="E13896" t="inlineStr">
        <is>
          <t>MARIESTAD</t>
        </is>
      </c>
      <c r="G13896" t="n">
        <v>2.3</v>
      </c>
      <c r="H13896" t="n">
        <v>0</v>
      </c>
      <c r="I13896" t="n">
        <v>0</v>
      </c>
      <c r="J13896" t="n">
        <v>0</v>
      </c>
      <c r="K13896" t="n">
        <v>0</v>
      </c>
      <c r="L13896" t="n">
        <v>0</v>
      </c>
      <c r="M13896" t="n">
        <v>0</v>
      </c>
      <c r="N13896" t="n">
        <v>0</v>
      </c>
      <c r="O13896" t="n">
        <v>0</v>
      </c>
      <c r="P13896" t="n">
        <v>0</v>
      </c>
      <c r="Q13896" t="n">
        <v>0</v>
      </c>
      <c r="R13896" s="2" t="inlineStr"/>
    </row>
    <row r="13897" ht="15" customHeight="1">
      <c r="A13897" t="inlineStr">
        <is>
          <t>A 46064-2025</t>
        </is>
      </c>
      <c r="B13897" s="1" t="n">
        <v>45924.48055555556</v>
      </c>
      <c r="C13897" s="1" t="n">
        <v>45952</v>
      </c>
      <c r="D13897" t="inlineStr">
        <is>
          <t>VÄSTRA GÖTALANDS LÄN</t>
        </is>
      </c>
      <c r="E13897" t="inlineStr">
        <is>
          <t>ALINGSÅS</t>
        </is>
      </c>
      <c r="G13897" t="n">
        <v>3.6</v>
      </c>
      <c r="H13897" t="n">
        <v>0</v>
      </c>
      <c r="I13897" t="n">
        <v>0</v>
      </c>
      <c r="J13897" t="n">
        <v>0</v>
      </c>
      <c r="K13897" t="n">
        <v>0</v>
      </c>
      <c r="L13897" t="n">
        <v>0</v>
      </c>
      <c r="M13897" t="n">
        <v>0</v>
      </c>
      <c r="N13897" t="n">
        <v>0</v>
      </c>
      <c r="O13897" t="n">
        <v>0</v>
      </c>
      <c r="P13897" t="n">
        <v>0</v>
      </c>
      <c r="Q13897" t="n">
        <v>0</v>
      </c>
      <c r="R13897" s="2" t="inlineStr"/>
    </row>
    <row r="13898" ht="15" customHeight="1">
      <c r="A13898" t="inlineStr">
        <is>
          <t>A 46211-2025</t>
        </is>
      </c>
      <c r="B13898" s="1" t="n">
        <v>45924.71409722222</v>
      </c>
      <c r="C13898" s="1" t="n">
        <v>45952</v>
      </c>
      <c r="D13898" t="inlineStr">
        <is>
          <t>VÄSTRA GÖTALANDS LÄN</t>
        </is>
      </c>
      <c r="E13898" t="inlineStr">
        <is>
          <t>SKARA</t>
        </is>
      </c>
      <c r="F13898" t="inlineStr">
        <is>
          <t>Kyrkan</t>
        </is>
      </c>
      <c r="G13898" t="n">
        <v>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25554-2023</t>
        </is>
      </c>
      <c r="B13899" s="1" t="n">
        <v>45082</v>
      </c>
      <c r="C13899" s="1" t="n">
        <v>45952</v>
      </c>
      <c r="D13899" t="inlineStr">
        <is>
          <t>VÄSTRA GÖTALANDS LÄN</t>
        </is>
      </c>
      <c r="E13899" t="inlineStr">
        <is>
          <t>GULLSPÅNG</t>
        </is>
      </c>
      <c r="G13899" t="n">
        <v>0.6</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43728-2021</t>
        </is>
      </c>
      <c r="B13900" s="1" t="n">
        <v>44433</v>
      </c>
      <c r="C13900" s="1" t="n">
        <v>45952</v>
      </c>
      <c r="D13900" t="inlineStr">
        <is>
          <t>VÄSTRA GÖTALANDS LÄN</t>
        </is>
      </c>
      <c r="E13900" t="inlineStr">
        <is>
          <t>FALKÖPING</t>
        </is>
      </c>
      <c r="G13900" t="n">
        <v>4.9</v>
      </c>
      <c r="H13900" t="n">
        <v>0</v>
      </c>
      <c r="I13900" t="n">
        <v>0</v>
      </c>
      <c r="J13900" t="n">
        <v>0</v>
      </c>
      <c r="K13900" t="n">
        <v>0</v>
      </c>
      <c r="L13900" t="n">
        <v>0</v>
      </c>
      <c r="M13900" t="n">
        <v>0</v>
      </c>
      <c r="N13900" t="n">
        <v>0</v>
      </c>
      <c r="O13900" t="n">
        <v>0</v>
      </c>
      <c r="P13900" t="n">
        <v>0</v>
      </c>
      <c r="Q13900" t="n">
        <v>0</v>
      </c>
      <c r="R13900" s="2" t="inlineStr"/>
    </row>
    <row r="13901" ht="15" customHeight="1">
      <c r="A13901" t="inlineStr">
        <is>
          <t>A 2095-2024</t>
        </is>
      </c>
      <c r="B13901" s="1" t="n">
        <v>45309.44375</v>
      </c>
      <c r="C13901" s="1" t="n">
        <v>45952</v>
      </c>
      <c r="D13901" t="inlineStr">
        <is>
          <t>VÄSTRA GÖTALANDS LÄN</t>
        </is>
      </c>
      <c r="E13901" t="inlineStr">
        <is>
          <t>TANUM</t>
        </is>
      </c>
      <c r="G13901" t="n">
        <v>2.6</v>
      </c>
      <c r="H13901" t="n">
        <v>0</v>
      </c>
      <c r="I13901" t="n">
        <v>0</v>
      </c>
      <c r="J13901" t="n">
        <v>0</v>
      </c>
      <c r="K13901" t="n">
        <v>0</v>
      </c>
      <c r="L13901" t="n">
        <v>0</v>
      </c>
      <c r="M13901" t="n">
        <v>0</v>
      </c>
      <c r="N13901" t="n">
        <v>0</v>
      </c>
      <c r="O13901" t="n">
        <v>0</v>
      </c>
      <c r="P13901" t="n">
        <v>0</v>
      </c>
      <c r="Q13901" t="n">
        <v>0</v>
      </c>
      <c r="R13901" s="2" t="inlineStr"/>
    </row>
    <row r="13902" ht="15" customHeight="1">
      <c r="A13902" t="inlineStr">
        <is>
          <t>A 61695-2023</t>
        </is>
      </c>
      <c r="B13902" s="1" t="n">
        <v>45261</v>
      </c>
      <c r="C13902" s="1" t="n">
        <v>45952</v>
      </c>
      <c r="D13902" t="inlineStr">
        <is>
          <t>VÄSTRA GÖTALANDS LÄN</t>
        </is>
      </c>
      <c r="E13902" t="inlineStr">
        <is>
          <t>MUNKEDAL</t>
        </is>
      </c>
      <c r="F13902" t="inlineStr">
        <is>
          <t>Övriga Aktiebolag</t>
        </is>
      </c>
      <c r="G13902" t="n">
        <v>1.6</v>
      </c>
      <c r="H13902" t="n">
        <v>0</v>
      </c>
      <c r="I13902" t="n">
        <v>0</v>
      </c>
      <c r="J13902" t="n">
        <v>0</v>
      </c>
      <c r="K13902" t="n">
        <v>0</v>
      </c>
      <c r="L13902" t="n">
        <v>0</v>
      </c>
      <c r="M13902" t="n">
        <v>0</v>
      </c>
      <c r="N13902" t="n">
        <v>0</v>
      </c>
      <c r="O13902" t="n">
        <v>0</v>
      </c>
      <c r="P13902" t="n">
        <v>0</v>
      </c>
      <c r="Q13902" t="n">
        <v>0</v>
      </c>
      <c r="R13902" s="2" t="inlineStr"/>
    </row>
    <row r="13903" ht="15" customHeight="1">
      <c r="A13903" t="inlineStr">
        <is>
          <t>A 61705-2023</t>
        </is>
      </c>
      <c r="B13903" s="1" t="n">
        <v>45265.65418981481</v>
      </c>
      <c r="C13903" s="1" t="n">
        <v>45952</v>
      </c>
      <c r="D13903" t="inlineStr">
        <is>
          <t>VÄSTRA GÖTALANDS LÄN</t>
        </is>
      </c>
      <c r="E13903" t="inlineStr">
        <is>
          <t>HERRLJUNGA</t>
        </is>
      </c>
      <c r="G13903" t="n">
        <v>0.9</v>
      </c>
      <c r="H13903" t="n">
        <v>0</v>
      </c>
      <c r="I13903" t="n">
        <v>0</v>
      </c>
      <c r="J13903" t="n">
        <v>0</v>
      </c>
      <c r="K13903" t="n">
        <v>0</v>
      </c>
      <c r="L13903" t="n">
        <v>0</v>
      </c>
      <c r="M13903" t="n">
        <v>0</v>
      </c>
      <c r="N13903" t="n">
        <v>0</v>
      </c>
      <c r="O13903" t="n">
        <v>0</v>
      </c>
      <c r="P13903" t="n">
        <v>0</v>
      </c>
      <c r="Q13903" t="n">
        <v>0</v>
      </c>
      <c r="R13903" s="2" t="inlineStr"/>
    </row>
    <row r="13904" ht="15" customHeight="1">
      <c r="A13904" t="inlineStr">
        <is>
          <t>A 38370-2025</t>
        </is>
      </c>
      <c r="B13904" s="1" t="n">
        <v>45883.55738425926</v>
      </c>
      <c r="C13904" s="1" t="n">
        <v>45952</v>
      </c>
      <c r="D13904" t="inlineStr">
        <is>
          <t>VÄSTRA GÖTALANDS LÄN</t>
        </is>
      </c>
      <c r="E13904" t="inlineStr">
        <is>
          <t>DALS-ED</t>
        </is>
      </c>
      <c r="G13904" t="n">
        <v>2.3</v>
      </c>
      <c r="H13904" t="n">
        <v>0</v>
      </c>
      <c r="I13904" t="n">
        <v>0</v>
      </c>
      <c r="J13904" t="n">
        <v>0</v>
      </c>
      <c r="K13904" t="n">
        <v>0</v>
      </c>
      <c r="L13904" t="n">
        <v>0</v>
      </c>
      <c r="M13904" t="n">
        <v>0</v>
      </c>
      <c r="N13904" t="n">
        <v>0</v>
      </c>
      <c r="O13904" t="n">
        <v>0</v>
      </c>
      <c r="P13904" t="n">
        <v>0</v>
      </c>
      <c r="Q13904" t="n">
        <v>0</v>
      </c>
      <c r="R13904" s="2" t="inlineStr"/>
    </row>
    <row r="13905" ht="15" customHeight="1">
      <c r="A13905" t="inlineStr">
        <is>
          <t>A 38437-2025</t>
        </is>
      </c>
      <c r="B13905" s="1" t="n">
        <v>45883.64337962963</v>
      </c>
      <c r="C13905" s="1" t="n">
        <v>45952</v>
      </c>
      <c r="D13905" t="inlineStr">
        <is>
          <t>VÄSTRA GÖTALANDS LÄN</t>
        </is>
      </c>
      <c r="E13905" t="inlineStr">
        <is>
          <t>TRANEMO</t>
        </is>
      </c>
      <c r="G13905" t="n">
        <v>1.8</v>
      </c>
      <c r="H13905" t="n">
        <v>0</v>
      </c>
      <c r="I13905" t="n">
        <v>0</v>
      </c>
      <c r="J13905" t="n">
        <v>0</v>
      </c>
      <c r="K13905" t="n">
        <v>0</v>
      </c>
      <c r="L13905" t="n">
        <v>0</v>
      </c>
      <c r="M13905" t="n">
        <v>0</v>
      </c>
      <c r="N13905" t="n">
        <v>0</v>
      </c>
      <c r="O13905" t="n">
        <v>0</v>
      </c>
      <c r="P13905" t="n">
        <v>0</v>
      </c>
      <c r="Q13905" t="n">
        <v>0</v>
      </c>
      <c r="R13905" s="2" t="inlineStr"/>
    </row>
    <row r="13906" ht="15" customHeight="1">
      <c r="A13906" t="inlineStr">
        <is>
          <t>A 57201-2020</t>
        </is>
      </c>
      <c r="B13906" s="1" t="n">
        <v>44139</v>
      </c>
      <c r="C13906" s="1" t="n">
        <v>45952</v>
      </c>
      <c r="D13906" t="inlineStr">
        <is>
          <t>VÄSTRA GÖTALANDS LÄN</t>
        </is>
      </c>
      <c r="E13906" t="inlineStr">
        <is>
          <t>DALS-ED</t>
        </is>
      </c>
      <c r="G13906" t="n">
        <v>10.8</v>
      </c>
      <c r="H13906" t="n">
        <v>0</v>
      </c>
      <c r="I13906" t="n">
        <v>0</v>
      </c>
      <c r="J13906" t="n">
        <v>0</v>
      </c>
      <c r="K13906" t="n">
        <v>0</v>
      </c>
      <c r="L13906" t="n">
        <v>0</v>
      </c>
      <c r="M13906" t="n">
        <v>0</v>
      </c>
      <c r="N13906" t="n">
        <v>0</v>
      </c>
      <c r="O13906" t="n">
        <v>0</v>
      </c>
      <c r="P13906" t="n">
        <v>0</v>
      </c>
      <c r="Q13906" t="n">
        <v>0</v>
      </c>
      <c r="R13906" s="2" t="inlineStr"/>
    </row>
    <row r="13907" ht="15" customHeight="1">
      <c r="A13907" t="inlineStr">
        <is>
          <t>A 38052-2025</t>
        </is>
      </c>
      <c r="B13907" s="1" t="n">
        <v>45882</v>
      </c>
      <c r="C13907" s="1" t="n">
        <v>45952</v>
      </c>
      <c r="D13907" t="inlineStr">
        <is>
          <t>VÄSTRA GÖTALANDS LÄN</t>
        </is>
      </c>
      <c r="E13907" t="inlineStr">
        <is>
          <t>HJO</t>
        </is>
      </c>
      <c r="G13907" t="n">
        <v>1</v>
      </c>
      <c r="H13907" t="n">
        <v>0</v>
      </c>
      <c r="I13907" t="n">
        <v>0</v>
      </c>
      <c r="J13907" t="n">
        <v>0</v>
      </c>
      <c r="K13907" t="n">
        <v>0</v>
      </c>
      <c r="L13907" t="n">
        <v>0</v>
      </c>
      <c r="M13907" t="n">
        <v>0</v>
      </c>
      <c r="N13907" t="n">
        <v>0</v>
      </c>
      <c r="O13907" t="n">
        <v>0</v>
      </c>
      <c r="P13907" t="n">
        <v>0</v>
      </c>
      <c r="Q13907" t="n">
        <v>0</v>
      </c>
      <c r="R13907" s="2" t="inlineStr"/>
    </row>
    <row r="13908" ht="15" customHeight="1">
      <c r="A13908" t="inlineStr">
        <is>
          <t>A 46319-2025</t>
        </is>
      </c>
      <c r="B13908" s="1" t="n">
        <v>45925.44780092593</v>
      </c>
      <c r="C13908" s="1" t="n">
        <v>45952</v>
      </c>
      <c r="D13908" t="inlineStr">
        <is>
          <t>VÄSTRA GÖTALANDS LÄN</t>
        </is>
      </c>
      <c r="E13908" t="inlineStr">
        <is>
          <t>UDDEVALLA</t>
        </is>
      </c>
      <c r="G13908" t="n">
        <v>5.1</v>
      </c>
      <c r="H13908" t="n">
        <v>0</v>
      </c>
      <c r="I13908" t="n">
        <v>0</v>
      </c>
      <c r="J13908" t="n">
        <v>0</v>
      </c>
      <c r="K13908" t="n">
        <v>0</v>
      </c>
      <c r="L13908" t="n">
        <v>0</v>
      </c>
      <c r="M13908" t="n">
        <v>0</v>
      </c>
      <c r="N13908" t="n">
        <v>0</v>
      </c>
      <c r="O13908" t="n">
        <v>0</v>
      </c>
      <c r="P13908" t="n">
        <v>0</v>
      </c>
      <c r="Q13908" t="n">
        <v>0</v>
      </c>
      <c r="R13908" s="2" t="inlineStr"/>
    </row>
    <row r="13909" ht="15" customHeight="1">
      <c r="A13909" t="inlineStr">
        <is>
          <t>A 42446-2023</t>
        </is>
      </c>
      <c r="B13909" s="1" t="n">
        <v>45180</v>
      </c>
      <c r="C13909" s="1" t="n">
        <v>45952</v>
      </c>
      <c r="D13909" t="inlineStr">
        <is>
          <t>VÄSTRA GÖTALANDS LÄN</t>
        </is>
      </c>
      <c r="E13909" t="inlineStr">
        <is>
          <t>ALE</t>
        </is>
      </c>
      <c r="G13909" t="n">
        <v>0.8</v>
      </c>
      <c r="H13909" t="n">
        <v>0</v>
      </c>
      <c r="I13909" t="n">
        <v>0</v>
      </c>
      <c r="J13909" t="n">
        <v>0</v>
      </c>
      <c r="K13909" t="n">
        <v>0</v>
      </c>
      <c r="L13909" t="n">
        <v>0</v>
      </c>
      <c r="M13909" t="n">
        <v>0</v>
      </c>
      <c r="N13909" t="n">
        <v>0</v>
      </c>
      <c r="O13909" t="n">
        <v>0</v>
      </c>
      <c r="P13909" t="n">
        <v>0</v>
      </c>
      <c r="Q13909" t="n">
        <v>0</v>
      </c>
      <c r="R13909" s="2" t="inlineStr"/>
    </row>
    <row r="13910" ht="15" customHeight="1">
      <c r="A13910" t="inlineStr">
        <is>
          <t>A 38366-2025</t>
        </is>
      </c>
      <c r="B13910" s="1" t="n">
        <v>45883.55109953704</v>
      </c>
      <c r="C13910" s="1" t="n">
        <v>45952</v>
      </c>
      <c r="D13910" t="inlineStr">
        <is>
          <t>VÄSTRA GÖTALANDS LÄN</t>
        </is>
      </c>
      <c r="E13910" t="inlineStr">
        <is>
          <t>FÄRGELANDA</t>
        </is>
      </c>
      <c r="G13910" t="n">
        <v>7.2</v>
      </c>
      <c r="H13910" t="n">
        <v>0</v>
      </c>
      <c r="I13910" t="n">
        <v>0</v>
      </c>
      <c r="J13910" t="n">
        <v>0</v>
      </c>
      <c r="K13910" t="n">
        <v>0</v>
      </c>
      <c r="L13910" t="n">
        <v>0</v>
      </c>
      <c r="M13910" t="n">
        <v>0</v>
      </c>
      <c r="N13910" t="n">
        <v>0</v>
      </c>
      <c r="O13910" t="n">
        <v>0</v>
      </c>
      <c r="P13910" t="n">
        <v>0</v>
      </c>
      <c r="Q13910" t="n">
        <v>0</v>
      </c>
      <c r="R13910" s="2" t="inlineStr"/>
    </row>
    <row r="13911" ht="15" customHeight="1">
      <c r="A13911" t="inlineStr">
        <is>
          <t>A 38372-2025</t>
        </is>
      </c>
      <c r="B13911" s="1" t="n">
        <v>45883.56460648148</v>
      </c>
      <c r="C13911" s="1" t="n">
        <v>45952</v>
      </c>
      <c r="D13911" t="inlineStr">
        <is>
          <t>VÄSTRA GÖTALANDS LÄN</t>
        </is>
      </c>
      <c r="E13911" t="inlineStr">
        <is>
          <t>DALS-ED</t>
        </is>
      </c>
      <c r="G13911" t="n">
        <v>1.5</v>
      </c>
      <c r="H13911" t="n">
        <v>0</v>
      </c>
      <c r="I13911" t="n">
        <v>0</v>
      </c>
      <c r="J13911" t="n">
        <v>0</v>
      </c>
      <c r="K13911" t="n">
        <v>0</v>
      </c>
      <c r="L13911" t="n">
        <v>0</v>
      </c>
      <c r="M13911" t="n">
        <v>0</v>
      </c>
      <c r="N13911" t="n">
        <v>0</v>
      </c>
      <c r="O13911" t="n">
        <v>0</v>
      </c>
      <c r="P13911" t="n">
        <v>0</v>
      </c>
      <c r="Q13911" t="n">
        <v>0</v>
      </c>
      <c r="R13911" s="2" t="inlineStr"/>
    </row>
    <row r="13912" ht="15" customHeight="1">
      <c r="A13912" t="inlineStr">
        <is>
          <t>A 11691-2025</t>
        </is>
      </c>
      <c r="B13912" s="1" t="n">
        <v>45727.56306712963</v>
      </c>
      <c r="C13912" s="1" t="n">
        <v>45952</v>
      </c>
      <c r="D13912" t="inlineStr">
        <is>
          <t>VÄSTRA GÖTALANDS LÄN</t>
        </is>
      </c>
      <c r="E13912" t="inlineStr">
        <is>
          <t>LIDKÖPING</t>
        </is>
      </c>
      <c r="G13912" t="n">
        <v>4</v>
      </c>
      <c r="H13912" t="n">
        <v>0</v>
      </c>
      <c r="I13912" t="n">
        <v>0</v>
      </c>
      <c r="J13912" t="n">
        <v>0</v>
      </c>
      <c r="K13912" t="n">
        <v>0</v>
      </c>
      <c r="L13912" t="n">
        <v>0</v>
      </c>
      <c r="M13912" t="n">
        <v>0</v>
      </c>
      <c r="N13912" t="n">
        <v>0</v>
      </c>
      <c r="O13912" t="n">
        <v>0</v>
      </c>
      <c r="P13912" t="n">
        <v>0</v>
      </c>
      <c r="Q13912" t="n">
        <v>0</v>
      </c>
      <c r="R13912" s="2" t="inlineStr"/>
    </row>
    <row r="13913" ht="15" customHeight="1">
      <c r="A13913" t="inlineStr">
        <is>
          <t>A 59864-2024</t>
        </is>
      </c>
      <c r="B13913" s="1" t="n">
        <v>45639</v>
      </c>
      <c r="C13913" s="1" t="n">
        <v>45952</v>
      </c>
      <c r="D13913" t="inlineStr">
        <is>
          <t>VÄSTRA GÖTALANDS LÄN</t>
        </is>
      </c>
      <c r="E13913" t="inlineStr">
        <is>
          <t>GULLSPÅNG</t>
        </is>
      </c>
      <c r="G13913" t="n">
        <v>1.6</v>
      </c>
      <c r="H13913" t="n">
        <v>0</v>
      </c>
      <c r="I13913" t="n">
        <v>0</v>
      </c>
      <c r="J13913" t="n">
        <v>0</v>
      </c>
      <c r="K13913" t="n">
        <v>0</v>
      </c>
      <c r="L13913" t="n">
        <v>0</v>
      </c>
      <c r="M13913" t="n">
        <v>0</v>
      </c>
      <c r="N13913" t="n">
        <v>0</v>
      </c>
      <c r="O13913" t="n">
        <v>0</v>
      </c>
      <c r="P13913" t="n">
        <v>0</v>
      </c>
      <c r="Q13913" t="n">
        <v>0</v>
      </c>
      <c r="R13913" s="2" t="inlineStr"/>
    </row>
    <row r="13914" ht="15" customHeight="1">
      <c r="A13914" t="inlineStr">
        <is>
          <t>A 55310-2023</t>
        </is>
      </c>
      <c r="B13914" s="1" t="n">
        <v>45237.89079861111</v>
      </c>
      <c r="C13914" s="1" t="n">
        <v>45952</v>
      </c>
      <c r="D13914" t="inlineStr">
        <is>
          <t>VÄSTRA GÖTALANDS LÄN</t>
        </is>
      </c>
      <c r="E13914" t="inlineStr">
        <is>
          <t>FÄRGELANDA</t>
        </is>
      </c>
      <c r="G13914" t="n">
        <v>3.5</v>
      </c>
      <c r="H13914" t="n">
        <v>0</v>
      </c>
      <c r="I13914" t="n">
        <v>0</v>
      </c>
      <c r="J13914" t="n">
        <v>0</v>
      </c>
      <c r="K13914" t="n">
        <v>0</v>
      </c>
      <c r="L13914" t="n">
        <v>0</v>
      </c>
      <c r="M13914" t="n">
        <v>0</v>
      </c>
      <c r="N13914" t="n">
        <v>0</v>
      </c>
      <c r="O13914" t="n">
        <v>0</v>
      </c>
      <c r="P13914" t="n">
        <v>0</v>
      </c>
      <c r="Q13914" t="n">
        <v>0</v>
      </c>
      <c r="R13914" s="2" t="inlineStr"/>
    </row>
    <row r="13915" ht="15" customHeight="1">
      <c r="A13915" t="inlineStr">
        <is>
          <t>A 28335-2023</t>
        </is>
      </c>
      <c r="B13915" s="1" t="n">
        <v>45099.74278935185</v>
      </c>
      <c r="C13915" s="1" t="n">
        <v>45952</v>
      </c>
      <c r="D13915" t="inlineStr">
        <is>
          <t>VÄSTRA GÖTALANDS LÄN</t>
        </is>
      </c>
      <c r="E13915" t="inlineStr">
        <is>
          <t>GÖTENE</t>
        </is>
      </c>
      <c r="G13915" t="n">
        <v>0.5</v>
      </c>
      <c r="H13915" t="n">
        <v>0</v>
      </c>
      <c r="I13915" t="n">
        <v>0</v>
      </c>
      <c r="J13915" t="n">
        <v>0</v>
      </c>
      <c r="K13915" t="n">
        <v>0</v>
      </c>
      <c r="L13915" t="n">
        <v>0</v>
      </c>
      <c r="M13915" t="n">
        <v>0</v>
      </c>
      <c r="N13915" t="n">
        <v>0</v>
      </c>
      <c r="O13915" t="n">
        <v>0</v>
      </c>
      <c r="P13915" t="n">
        <v>0</v>
      </c>
      <c r="Q13915" t="n">
        <v>0</v>
      </c>
      <c r="R13915" s="2" t="inlineStr"/>
    </row>
    <row r="13916" ht="15" customHeight="1">
      <c r="A13916" t="inlineStr">
        <is>
          <t>A 46122-2025</t>
        </is>
      </c>
      <c r="B13916" s="1" t="n">
        <v>45924.58452546296</v>
      </c>
      <c r="C13916" s="1" t="n">
        <v>45952</v>
      </c>
      <c r="D13916" t="inlineStr">
        <is>
          <t>VÄSTRA GÖTALANDS LÄN</t>
        </is>
      </c>
      <c r="E13916" t="inlineStr">
        <is>
          <t>GULLSPÅNG</t>
        </is>
      </c>
      <c r="G13916" t="n">
        <v>3.6</v>
      </c>
      <c r="H13916" t="n">
        <v>0</v>
      </c>
      <c r="I13916" t="n">
        <v>0</v>
      </c>
      <c r="J13916" t="n">
        <v>0</v>
      </c>
      <c r="K13916" t="n">
        <v>0</v>
      </c>
      <c r="L13916" t="n">
        <v>0</v>
      </c>
      <c r="M13916" t="n">
        <v>0</v>
      </c>
      <c r="N13916" t="n">
        <v>0</v>
      </c>
      <c r="O13916" t="n">
        <v>0</v>
      </c>
      <c r="P13916" t="n">
        <v>0</v>
      </c>
      <c r="Q13916" t="n">
        <v>0</v>
      </c>
      <c r="R13916" s="2" t="inlineStr"/>
    </row>
    <row r="13917" ht="15" customHeight="1">
      <c r="A13917" t="inlineStr">
        <is>
          <t>A 59139-2023</t>
        </is>
      </c>
      <c r="B13917" s="1" t="n">
        <v>45251</v>
      </c>
      <c r="C13917" s="1" t="n">
        <v>45952</v>
      </c>
      <c r="D13917" t="inlineStr">
        <is>
          <t>VÄSTRA GÖTALANDS LÄN</t>
        </is>
      </c>
      <c r="E13917" t="inlineStr">
        <is>
          <t>UDDEVALLA</t>
        </is>
      </c>
      <c r="F13917" t="inlineStr">
        <is>
          <t>Kyrkan</t>
        </is>
      </c>
      <c r="G13917" t="n">
        <v>1</v>
      </c>
      <c r="H13917" t="n">
        <v>0</v>
      </c>
      <c r="I13917" t="n">
        <v>0</v>
      </c>
      <c r="J13917" t="n">
        <v>0</v>
      </c>
      <c r="K13917" t="n">
        <v>0</v>
      </c>
      <c r="L13917" t="n">
        <v>0</v>
      </c>
      <c r="M13917" t="n">
        <v>0</v>
      </c>
      <c r="N13917" t="n">
        <v>0</v>
      </c>
      <c r="O13917" t="n">
        <v>0</v>
      </c>
      <c r="P13917" t="n">
        <v>0</v>
      </c>
      <c r="Q13917" t="n">
        <v>0</v>
      </c>
      <c r="R13917" s="2" t="inlineStr"/>
    </row>
    <row r="13918" ht="15" customHeight="1">
      <c r="A13918" t="inlineStr">
        <is>
          <t>A 21369-2021</t>
        </is>
      </c>
      <c r="B13918" s="1" t="n">
        <v>44321.3083449074</v>
      </c>
      <c r="C13918" s="1" t="n">
        <v>45952</v>
      </c>
      <c r="D13918" t="inlineStr">
        <is>
          <t>VÄSTRA GÖTALANDS LÄN</t>
        </is>
      </c>
      <c r="E13918" t="inlineStr">
        <is>
          <t>HJO</t>
        </is>
      </c>
      <c r="G13918" t="n">
        <v>10.7</v>
      </c>
      <c r="H13918" t="n">
        <v>0</v>
      </c>
      <c r="I13918" t="n">
        <v>0</v>
      </c>
      <c r="J13918" t="n">
        <v>0</v>
      </c>
      <c r="K13918" t="n">
        <v>0</v>
      </c>
      <c r="L13918" t="n">
        <v>0</v>
      </c>
      <c r="M13918" t="n">
        <v>0</v>
      </c>
      <c r="N13918" t="n">
        <v>0</v>
      </c>
      <c r="O13918" t="n">
        <v>0</v>
      </c>
      <c r="P13918" t="n">
        <v>0</v>
      </c>
      <c r="Q13918" t="n">
        <v>0</v>
      </c>
      <c r="R13918" s="2" t="inlineStr"/>
    </row>
    <row r="13919" ht="15" customHeight="1">
      <c r="A13919" t="inlineStr">
        <is>
          <t>A 22443-2023</t>
        </is>
      </c>
      <c r="B13919" s="1" t="n">
        <v>45070</v>
      </c>
      <c r="C13919" s="1" t="n">
        <v>45952</v>
      </c>
      <c r="D13919" t="inlineStr">
        <is>
          <t>VÄSTRA GÖTALANDS LÄN</t>
        </is>
      </c>
      <c r="E13919" t="inlineStr">
        <is>
          <t>BOLLEBYGD</t>
        </is>
      </c>
      <c r="G13919" t="n">
        <v>4.3</v>
      </c>
      <c r="H13919" t="n">
        <v>0</v>
      </c>
      <c r="I13919" t="n">
        <v>0</v>
      </c>
      <c r="J13919" t="n">
        <v>0</v>
      </c>
      <c r="K13919" t="n">
        <v>0</v>
      </c>
      <c r="L13919" t="n">
        <v>0</v>
      </c>
      <c r="M13919" t="n">
        <v>0</v>
      </c>
      <c r="N13919" t="n">
        <v>0</v>
      </c>
      <c r="O13919" t="n">
        <v>0</v>
      </c>
      <c r="P13919" t="n">
        <v>0</v>
      </c>
      <c r="Q13919" t="n">
        <v>0</v>
      </c>
      <c r="R13919" s="2" t="inlineStr"/>
    </row>
    <row r="13920" ht="15" customHeight="1">
      <c r="A13920" t="inlineStr">
        <is>
          <t>A 38441-2025</t>
        </is>
      </c>
      <c r="B13920" s="1" t="n">
        <v>45883.64910879629</v>
      </c>
      <c r="C13920" s="1" t="n">
        <v>45952</v>
      </c>
      <c r="D13920" t="inlineStr">
        <is>
          <t>VÄSTRA GÖTALANDS LÄN</t>
        </is>
      </c>
      <c r="E13920" t="inlineStr">
        <is>
          <t>MELLERUD</t>
        </is>
      </c>
      <c r="G13920" t="n">
        <v>1.1</v>
      </c>
      <c r="H13920" t="n">
        <v>0</v>
      </c>
      <c r="I13920" t="n">
        <v>0</v>
      </c>
      <c r="J13920" t="n">
        <v>0</v>
      </c>
      <c r="K13920" t="n">
        <v>0</v>
      </c>
      <c r="L13920" t="n">
        <v>0</v>
      </c>
      <c r="M13920" t="n">
        <v>0</v>
      </c>
      <c r="N13920" t="n">
        <v>0</v>
      </c>
      <c r="O13920" t="n">
        <v>0</v>
      </c>
      <c r="P13920" t="n">
        <v>0</v>
      </c>
      <c r="Q13920" t="n">
        <v>0</v>
      </c>
      <c r="R13920" s="2" t="inlineStr"/>
    </row>
    <row r="13921" ht="15" customHeight="1">
      <c r="A13921" t="inlineStr">
        <is>
          <t>A 38087-2025</t>
        </is>
      </c>
      <c r="B13921" s="1" t="n">
        <v>45882.47818287037</v>
      </c>
      <c r="C13921" s="1" t="n">
        <v>45952</v>
      </c>
      <c r="D13921" t="inlineStr">
        <is>
          <t>VÄSTRA GÖTALANDS LÄN</t>
        </is>
      </c>
      <c r="E13921" t="inlineStr">
        <is>
          <t>ULRICEHAMN</t>
        </is>
      </c>
      <c r="G13921" t="n">
        <v>4</v>
      </c>
      <c r="H13921" t="n">
        <v>0</v>
      </c>
      <c r="I13921" t="n">
        <v>0</v>
      </c>
      <c r="J13921" t="n">
        <v>0</v>
      </c>
      <c r="K13921" t="n">
        <v>0</v>
      </c>
      <c r="L13921" t="n">
        <v>0</v>
      </c>
      <c r="M13921" t="n">
        <v>0</v>
      </c>
      <c r="N13921" t="n">
        <v>0</v>
      </c>
      <c r="O13921" t="n">
        <v>0</v>
      </c>
      <c r="P13921" t="n">
        <v>0</v>
      </c>
      <c r="Q13921" t="n">
        <v>0</v>
      </c>
      <c r="R13921" s="2" t="inlineStr"/>
    </row>
    <row r="13922" ht="15" customHeight="1">
      <c r="A13922" t="inlineStr">
        <is>
          <t>A 38054-2025</t>
        </is>
      </c>
      <c r="B13922" s="1" t="n">
        <v>45882</v>
      </c>
      <c r="C13922" s="1" t="n">
        <v>45952</v>
      </c>
      <c r="D13922" t="inlineStr">
        <is>
          <t>VÄSTRA GÖTALANDS LÄN</t>
        </is>
      </c>
      <c r="E13922" t="inlineStr">
        <is>
          <t>HJO</t>
        </is>
      </c>
      <c r="G13922" t="n">
        <v>0.6</v>
      </c>
      <c r="H13922" t="n">
        <v>0</v>
      </c>
      <c r="I13922" t="n">
        <v>0</v>
      </c>
      <c r="J13922" t="n">
        <v>0</v>
      </c>
      <c r="K13922" t="n">
        <v>0</v>
      </c>
      <c r="L13922" t="n">
        <v>0</v>
      </c>
      <c r="M13922" t="n">
        <v>0</v>
      </c>
      <c r="N13922" t="n">
        <v>0</v>
      </c>
      <c r="O13922" t="n">
        <v>0</v>
      </c>
      <c r="P13922" t="n">
        <v>0</v>
      </c>
      <c r="Q13922" t="n">
        <v>0</v>
      </c>
      <c r="R13922" s="2" t="inlineStr"/>
    </row>
    <row r="13923" ht="15" customHeight="1">
      <c r="A13923" t="inlineStr">
        <is>
          <t>A 46434-2025</t>
        </is>
      </c>
      <c r="B13923" s="1" t="n">
        <v>45925.63402777778</v>
      </c>
      <c r="C13923" s="1" t="n">
        <v>45952</v>
      </c>
      <c r="D13923" t="inlineStr">
        <is>
          <t>VÄSTRA GÖTALANDS LÄN</t>
        </is>
      </c>
      <c r="E13923" t="inlineStr">
        <is>
          <t>DALS-ED</t>
        </is>
      </c>
      <c r="G13923" t="n">
        <v>11.6</v>
      </c>
      <c r="H13923" t="n">
        <v>0</v>
      </c>
      <c r="I13923" t="n">
        <v>0</v>
      </c>
      <c r="J13923" t="n">
        <v>0</v>
      </c>
      <c r="K13923" t="n">
        <v>0</v>
      </c>
      <c r="L13923" t="n">
        <v>0</v>
      </c>
      <c r="M13923" t="n">
        <v>0</v>
      </c>
      <c r="N13923" t="n">
        <v>0</v>
      </c>
      <c r="O13923" t="n">
        <v>0</v>
      </c>
      <c r="P13923" t="n">
        <v>0</v>
      </c>
      <c r="Q13923" t="n">
        <v>0</v>
      </c>
      <c r="R13923" s="2" t="inlineStr"/>
    </row>
    <row r="13924" ht="15" customHeight="1">
      <c r="A13924" t="inlineStr">
        <is>
          <t>A 38287-2025</t>
        </is>
      </c>
      <c r="B13924" s="1" t="n">
        <v>45882</v>
      </c>
      <c r="C13924" s="1" t="n">
        <v>45952</v>
      </c>
      <c r="D13924" t="inlineStr">
        <is>
          <t>VÄSTRA GÖTALANDS LÄN</t>
        </is>
      </c>
      <c r="E13924" t="inlineStr">
        <is>
          <t>TÖREBODA</t>
        </is>
      </c>
      <c r="G13924" t="n">
        <v>1.5</v>
      </c>
      <c r="H13924" t="n">
        <v>0</v>
      </c>
      <c r="I13924" t="n">
        <v>0</v>
      </c>
      <c r="J13924" t="n">
        <v>0</v>
      </c>
      <c r="K13924" t="n">
        <v>0</v>
      </c>
      <c r="L13924" t="n">
        <v>0</v>
      </c>
      <c r="M13924" t="n">
        <v>0</v>
      </c>
      <c r="N13924" t="n">
        <v>0</v>
      </c>
      <c r="O13924" t="n">
        <v>0</v>
      </c>
      <c r="P13924" t="n">
        <v>0</v>
      </c>
      <c r="Q13924" t="n">
        <v>0</v>
      </c>
      <c r="R13924" s="2" t="inlineStr"/>
    </row>
    <row r="13925" ht="15" customHeight="1">
      <c r="A13925" t="inlineStr">
        <is>
          <t>A 38126-2025</t>
        </is>
      </c>
      <c r="B13925" s="1" t="n">
        <v>45882.55833333333</v>
      </c>
      <c r="C13925" s="1" t="n">
        <v>45952</v>
      </c>
      <c r="D13925" t="inlineStr">
        <is>
          <t>VÄSTRA GÖTALANDS LÄN</t>
        </is>
      </c>
      <c r="E13925" t="inlineStr">
        <is>
          <t>UDDEVALLA</t>
        </is>
      </c>
      <c r="G13925" t="n">
        <v>4.4</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45618-2024</t>
        </is>
      </c>
      <c r="B13926" s="1" t="n">
        <v>45579.45614583333</v>
      </c>
      <c r="C13926" s="1" t="n">
        <v>45952</v>
      </c>
      <c r="D13926" t="inlineStr">
        <is>
          <t>VÄSTRA GÖTALANDS LÄN</t>
        </is>
      </c>
      <c r="E13926" t="inlineStr">
        <is>
          <t>BORÅS</t>
        </is>
      </c>
      <c r="G13926" t="n">
        <v>0.9</v>
      </c>
      <c r="H13926" t="n">
        <v>0</v>
      </c>
      <c r="I13926" t="n">
        <v>0</v>
      </c>
      <c r="J13926" t="n">
        <v>0</v>
      </c>
      <c r="K13926" t="n">
        <v>0</v>
      </c>
      <c r="L13926" t="n">
        <v>0</v>
      </c>
      <c r="M13926" t="n">
        <v>0</v>
      </c>
      <c r="N13926" t="n">
        <v>0</v>
      </c>
      <c r="O13926" t="n">
        <v>0</v>
      </c>
      <c r="P13926" t="n">
        <v>0</v>
      </c>
      <c r="Q13926" t="n">
        <v>0</v>
      </c>
      <c r="R13926" s="2" t="inlineStr"/>
    </row>
    <row r="13927" ht="15" customHeight="1">
      <c r="A13927" t="inlineStr">
        <is>
          <t>A 719-2024</t>
        </is>
      </c>
      <c r="B13927" s="1" t="n">
        <v>45300.4333449074</v>
      </c>
      <c r="C13927" s="1" t="n">
        <v>45952</v>
      </c>
      <c r="D13927" t="inlineStr">
        <is>
          <t>VÄSTRA GÖTALANDS LÄN</t>
        </is>
      </c>
      <c r="E13927" t="inlineStr">
        <is>
          <t>TÖREBODA</t>
        </is>
      </c>
      <c r="G13927" t="n">
        <v>4.4</v>
      </c>
      <c r="H13927" t="n">
        <v>0</v>
      </c>
      <c r="I13927" t="n">
        <v>0</v>
      </c>
      <c r="J13927" t="n">
        <v>0</v>
      </c>
      <c r="K13927" t="n">
        <v>0</v>
      </c>
      <c r="L13927" t="n">
        <v>0</v>
      </c>
      <c r="M13927" t="n">
        <v>0</v>
      </c>
      <c r="N13927" t="n">
        <v>0</v>
      </c>
      <c r="O13927" t="n">
        <v>0</v>
      </c>
      <c r="P13927" t="n">
        <v>0</v>
      </c>
      <c r="Q13927" t="n">
        <v>0</v>
      </c>
      <c r="R13927" s="2" t="inlineStr"/>
    </row>
    <row r="13928" ht="15" customHeight="1">
      <c r="A13928" t="inlineStr">
        <is>
          <t>A 29809-2025</t>
        </is>
      </c>
      <c r="B13928" s="1" t="n">
        <v>45825.75673611111</v>
      </c>
      <c r="C13928" s="1" t="n">
        <v>45952</v>
      </c>
      <c r="D13928" t="inlineStr">
        <is>
          <t>VÄSTRA GÖTALANDS LÄN</t>
        </is>
      </c>
      <c r="E13928" t="inlineStr">
        <is>
          <t>GULLSPÅNG</t>
        </is>
      </c>
      <c r="G13928" t="n">
        <v>3.3</v>
      </c>
      <c r="H13928" t="n">
        <v>0</v>
      </c>
      <c r="I13928" t="n">
        <v>0</v>
      </c>
      <c r="J13928" t="n">
        <v>0</v>
      </c>
      <c r="K13928" t="n">
        <v>0</v>
      </c>
      <c r="L13928" t="n">
        <v>0</v>
      </c>
      <c r="M13928" t="n">
        <v>0</v>
      </c>
      <c r="N13928" t="n">
        <v>0</v>
      </c>
      <c r="O13928" t="n">
        <v>0</v>
      </c>
      <c r="P13928" t="n">
        <v>0</v>
      </c>
      <c r="Q13928" t="n">
        <v>0</v>
      </c>
      <c r="R13928" s="2" t="inlineStr"/>
    </row>
    <row r="13929" ht="15" customHeight="1">
      <c r="A13929" t="inlineStr">
        <is>
          <t>A 45991-2025</t>
        </is>
      </c>
      <c r="B13929" s="1" t="n">
        <v>45924.38940972222</v>
      </c>
      <c r="C13929" s="1" t="n">
        <v>45952</v>
      </c>
      <c r="D13929" t="inlineStr">
        <is>
          <t>VÄSTRA GÖTALANDS LÄN</t>
        </is>
      </c>
      <c r="E13929" t="inlineStr">
        <is>
          <t>MELLERUD</t>
        </is>
      </c>
      <c r="G13929" t="n">
        <v>4.4</v>
      </c>
      <c r="H13929" t="n">
        <v>0</v>
      </c>
      <c r="I13929" t="n">
        <v>0</v>
      </c>
      <c r="J13929" t="n">
        <v>0</v>
      </c>
      <c r="K13929" t="n">
        <v>0</v>
      </c>
      <c r="L13929" t="n">
        <v>0</v>
      </c>
      <c r="M13929" t="n">
        <v>0</v>
      </c>
      <c r="N13929" t="n">
        <v>0</v>
      </c>
      <c r="O13929" t="n">
        <v>0</v>
      </c>
      <c r="P13929" t="n">
        <v>0</v>
      </c>
      <c r="Q13929" t="n">
        <v>0</v>
      </c>
      <c r="R13929" s="2" t="inlineStr"/>
    </row>
    <row r="13930" ht="15" customHeight="1">
      <c r="A13930" t="inlineStr">
        <is>
          <t>A 46368-2025</t>
        </is>
      </c>
      <c r="B13930" s="1" t="n">
        <v>45925.5033912037</v>
      </c>
      <c r="C13930" s="1" t="n">
        <v>45952</v>
      </c>
      <c r="D13930" t="inlineStr">
        <is>
          <t>VÄSTRA GÖTALANDS LÄN</t>
        </is>
      </c>
      <c r="E13930" t="inlineStr">
        <is>
          <t>BORÅS</t>
        </is>
      </c>
      <c r="G13930" t="n">
        <v>1.3</v>
      </c>
      <c r="H13930" t="n">
        <v>0</v>
      </c>
      <c r="I13930" t="n">
        <v>0</v>
      </c>
      <c r="J13930" t="n">
        <v>0</v>
      </c>
      <c r="K13930" t="n">
        <v>0</v>
      </c>
      <c r="L13930" t="n">
        <v>0</v>
      </c>
      <c r="M13930" t="n">
        <v>0</v>
      </c>
      <c r="N13930" t="n">
        <v>0</v>
      </c>
      <c r="O13930" t="n">
        <v>0</v>
      </c>
      <c r="P13930" t="n">
        <v>0</v>
      </c>
      <c r="Q13930" t="n">
        <v>0</v>
      </c>
      <c r="R13930" s="2" t="inlineStr"/>
    </row>
    <row r="13931" ht="15" customHeight="1">
      <c r="A13931" t="inlineStr">
        <is>
          <t>A 46380-2025</t>
        </is>
      </c>
      <c r="B13931" s="1" t="n">
        <v>45925.525625</v>
      </c>
      <c r="C13931" s="1" t="n">
        <v>45952</v>
      </c>
      <c r="D13931" t="inlineStr">
        <is>
          <t>VÄSTRA GÖTALANDS LÄN</t>
        </is>
      </c>
      <c r="E13931" t="inlineStr">
        <is>
          <t>FALKÖPING</t>
        </is>
      </c>
      <c r="G13931" t="n">
        <v>1.1</v>
      </c>
      <c r="H13931" t="n">
        <v>0</v>
      </c>
      <c r="I13931" t="n">
        <v>0</v>
      </c>
      <c r="J13931" t="n">
        <v>0</v>
      </c>
      <c r="K13931" t="n">
        <v>0</v>
      </c>
      <c r="L13931" t="n">
        <v>0</v>
      </c>
      <c r="M13931" t="n">
        <v>0</v>
      </c>
      <c r="N13931" t="n">
        <v>0</v>
      </c>
      <c r="O13931" t="n">
        <v>0</v>
      </c>
      <c r="P13931" t="n">
        <v>0</v>
      </c>
      <c r="Q13931" t="n">
        <v>0</v>
      </c>
      <c r="R13931" s="2" t="inlineStr"/>
    </row>
    <row r="13932" ht="15" customHeight="1">
      <c r="A13932" t="inlineStr">
        <is>
          <t>A 46381-2025</t>
        </is>
      </c>
      <c r="B13932" s="1" t="n">
        <v>45925.52607638889</v>
      </c>
      <c r="C13932" s="1" t="n">
        <v>45952</v>
      </c>
      <c r="D13932" t="inlineStr">
        <is>
          <t>VÄSTRA GÖTALANDS LÄN</t>
        </is>
      </c>
      <c r="E13932" t="inlineStr">
        <is>
          <t>FALKÖPING</t>
        </is>
      </c>
      <c r="G13932" t="n">
        <v>1.4</v>
      </c>
      <c r="H13932" t="n">
        <v>0</v>
      </c>
      <c r="I13932" t="n">
        <v>0</v>
      </c>
      <c r="J13932" t="n">
        <v>0</v>
      </c>
      <c r="K13932" t="n">
        <v>0</v>
      </c>
      <c r="L13932" t="n">
        <v>0</v>
      </c>
      <c r="M13932" t="n">
        <v>0</v>
      </c>
      <c r="N13932" t="n">
        <v>0</v>
      </c>
      <c r="O13932" t="n">
        <v>0</v>
      </c>
      <c r="P13932" t="n">
        <v>0</v>
      </c>
      <c r="Q13932" t="n">
        <v>0</v>
      </c>
      <c r="R13932" s="2" t="inlineStr"/>
    </row>
    <row r="13933" ht="15" customHeight="1">
      <c r="A13933" t="inlineStr">
        <is>
          <t>A 43356-2024</t>
        </is>
      </c>
      <c r="B13933" s="1" t="n">
        <v>45568.57061342592</v>
      </c>
      <c r="C13933" s="1" t="n">
        <v>45952</v>
      </c>
      <c r="D13933" t="inlineStr">
        <is>
          <t>VÄSTRA GÖTALANDS LÄN</t>
        </is>
      </c>
      <c r="E13933" t="inlineStr">
        <is>
          <t>BENGTSFORS</t>
        </is>
      </c>
      <c r="G13933" t="n">
        <v>4.7</v>
      </c>
      <c r="H13933" t="n">
        <v>0</v>
      </c>
      <c r="I13933" t="n">
        <v>0</v>
      </c>
      <c r="J13933" t="n">
        <v>0</v>
      </c>
      <c r="K13933" t="n">
        <v>0</v>
      </c>
      <c r="L13933" t="n">
        <v>0</v>
      </c>
      <c r="M13933" t="n">
        <v>0</v>
      </c>
      <c r="N13933" t="n">
        <v>0</v>
      </c>
      <c r="O13933" t="n">
        <v>0</v>
      </c>
      <c r="P13933" t="n">
        <v>0</v>
      </c>
      <c r="Q13933" t="n">
        <v>0</v>
      </c>
      <c r="R13933" s="2" t="inlineStr"/>
    </row>
    <row r="13934" ht="15" customHeight="1">
      <c r="A13934" t="inlineStr">
        <is>
          <t>A 38377-2025</t>
        </is>
      </c>
      <c r="B13934" s="1" t="n">
        <v>45883.57228009259</v>
      </c>
      <c r="C13934" s="1" t="n">
        <v>45952</v>
      </c>
      <c r="D13934" t="inlineStr">
        <is>
          <t>VÄSTRA GÖTALANDS LÄN</t>
        </is>
      </c>
      <c r="E13934" t="inlineStr">
        <is>
          <t>ULRICEHAMN</t>
        </is>
      </c>
      <c r="G13934" t="n">
        <v>1.5</v>
      </c>
      <c r="H13934" t="n">
        <v>0</v>
      </c>
      <c r="I13934" t="n">
        <v>0</v>
      </c>
      <c r="J13934" t="n">
        <v>0</v>
      </c>
      <c r="K13934" t="n">
        <v>0</v>
      </c>
      <c r="L13934" t="n">
        <v>0</v>
      </c>
      <c r="M13934" t="n">
        <v>0</v>
      </c>
      <c r="N13934" t="n">
        <v>0</v>
      </c>
      <c r="O13934" t="n">
        <v>0</v>
      </c>
      <c r="P13934" t="n">
        <v>0</v>
      </c>
      <c r="Q13934" t="n">
        <v>0</v>
      </c>
      <c r="R13934" s="2" t="inlineStr"/>
    </row>
    <row r="13935" ht="15" customHeight="1">
      <c r="A13935" t="inlineStr">
        <is>
          <t>A 1980-2024</t>
        </is>
      </c>
      <c r="B13935" s="1" t="n">
        <v>45308</v>
      </c>
      <c r="C13935" s="1" t="n">
        <v>45952</v>
      </c>
      <c r="D13935" t="inlineStr">
        <is>
          <t>VÄSTRA GÖTALANDS LÄN</t>
        </is>
      </c>
      <c r="E13935" t="inlineStr">
        <is>
          <t>VARA</t>
        </is>
      </c>
      <c r="G13935" t="n">
        <v>2.9</v>
      </c>
      <c r="H13935" t="n">
        <v>0</v>
      </c>
      <c r="I13935" t="n">
        <v>0</v>
      </c>
      <c r="J13935" t="n">
        <v>0</v>
      </c>
      <c r="K13935" t="n">
        <v>0</v>
      </c>
      <c r="L13935" t="n">
        <v>0</v>
      </c>
      <c r="M13935" t="n">
        <v>0</v>
      </c>
      <c r="N13935" t="n">
        <v>0</v>
      </c>
      <c r="O13935" t="n">
        <v>0</v>
      </c>
      <c r="P13935" t="n">
        <v>0</v>
      </c>
      <c r="Q13935" t="n">
        <v>0</v>
      </c>
      <c r="R13935" s="2" t="inlineStr"/>
    </row>
    <row r="13936" ht="15" customHeight="1">
      <c r="A13936" t="inlineStr">
        <is>
          <t>A 2027-2024</t>
        </is>
      </c>
      <c r="B13936" s="1" t="n">
        <v>45308.76016203704</v>
      </c>
      <c r="C13936" s="1" t="n">
        <v>45952</v>
      </c>
      <c r="D13936" t="inlineStr">
        <is>
          <t>VÄSTRA GÖTALANDS LÄN</t>
        </is>
      </c>
      <c r="E13936" t="inlineStr">
        <is>
          <t>TRANEMO</t>
        </is>
      </c>
      <c r="G13936" t="n">
        <v>3.8</v>
      </c>
      <c r="H13936" t="n">
        <v>0</v>
      </c>
      <c r="I13936" t="n">
        <v>0</v>
      </c>
      <c r="J13936" t="n">
        <v>0</v>
      </c>
      <c r="K13936" t="n">
        <v>0</v>
      </c>
      <c r="L13936" t="n">
        <v>0</v>
      </c>
      <c r="M13936" t="n">
        <v>0</v>
      </c>
      <c r="N13936" t="n">
        <v>0</v>
      </c>
      <c r="O13936" t="n">
        <v>0</v>
      </c>
      <c r="P13936" t="n">
        <v>0</v>
      </c>
      <c r="Q13936" t="n">
        <v>0</v>
      </c>
      <c r="R13936" s="2" t="inlineStr"/>
    </row>
    <row r="13937" ht="15" customHeight="1">
      <c r="A13937" t="inlineStr">
        <is>
          <t>A 38363-2025</t>
        </is>
      </c>
      <c r="B13937" s="1" t="n">
        <v>45883.54059027778</v>
      </c>
      <c r="C13937" s="1" t="n">
        <v>45952</v>
      </c>
      <c r="D13937" t="inlineStr">
        <is>
          <t>VÄSTRA GÖTALANDS LÄN</t>
        </is>
      </c>
      <c r="E13937" t="inlineStr">
        <is>
          <t>FÄRGELANDA</t>
        </is>
      </c>
      <c r="G13937" t="n">
        <v>7.6</v>
      </c>
      <c r="H13937" t="n">
        <v>0</v>
      </c>
      <c r="I13937" t="n">
        <v>0</v>
      </c>
      <c r="J13937" t="n">
        <v>0</v>
      </c>
      <c r="K13937" t="n">
        <v>0</v>
      </c>
      <c r="L13937" t="n">
        <v>0</v>
      </c>
      <c r="M13937" t="n">
        <v>0</v>
      </c>
      <c r="N13937" t="n">
        <v>0</v>
      </c>
      <c r="O13937" t="n">
        <v>0</v>
      </c>
      <c r="P13937" t="n">
        <v>0</v>
      </c>
      <c r="Q13937" t="n">
        <v>0</v>
      </c>
      <c r="R13937" s="2" t="inlineStr"/>
    </row>
    <row r="13938" ht="15" customHeight="1">
      <c r="A13938" t="inlineStr">
        <is>
          <t>A 12002-2021</t>
        </is>
      </c>
      <c r="B13938" s="1" t="n">
        <v>44266</v>
      </c>
      <c r="C13938" s="1" t="n">
        <v>45952</v>
      </c>
      <c r="D13938" t="inlineStr">
        <is>
          <t>VÄSTRA GÖTALANDS LÄN</t>
        </is>
      </c>
      <c r="E13938" t="inlineStr">
        <is>
          <t>FALKÖPING</t>
        </is>
      </c>
      <c r="G13938" t="n">
        <v>4.3</v>
      </c>
      <c r="H13938" t="n">
        <v>0</v>
      </c>
      <c r="I13938" t="n">
        <v>0</v>
      </c>
      <c r="J13938" t="n">
        <v>0</v>
      </c>
      <c r="K13938" t="n">
        <v>0</v>
      </c>
      <c r="L13938" t="n">
        <v>0</v>
      </c>
      <c r="M13938" t="n">
        <v>0</v>
      </c>
      <c r="N13938" t="n">
        <v>0</v>
      </c>
      <c r="O13938" t="n">
        <v>0</v>
      </c>
      <c r="P13938" t="n">
        <v>0</v>
      </c>
      <c r="Q13938" t="n">
        <v>0</v>
      </c>
      <c r="R13938" s="2" t="inlineStr"/>
    </row>
    <row r="13939" ht="15" customHeight="1">
      <c r="A13939" t="inlineStr">
        <is>
          <t>A 46056-2025</t>
        </is>
      </c>
      <c r="B13939" s="1" t="n">
        <v>45924.46421296296</v>
      </c>
      <c r="C13939" s="1" t="n">
        <v>45952</v>
      </c>
      <c r="D13939" t="inlineStr">
        <is>
          <t>VÄSTRA GÖTALANDS LÄN</t>
        </is>
      </c>
      <c r="E13939" t="inlineStr">
        <is>
          <t>MARK</t>
        </is>
      </c>
      <c r="G13939" t="n">
        <v>5.4</v>
      </c>
      <c r="H13939" t="n">
        <v>0</v>
      </c>
      <c r="I13939" t="n">
        <v>0</v>
      </c>
      <c r="J13939" t="n">
        <v>0</v>
      </c>
      <c r="K13939" t="n">
        <v>0</v>
      </c>
      <c r="L13939" t="n">
        <v>0</v>
      </c>
      <c r="M13939" t="n">
        <v>0</v>
      </c>
      <c r="N13939" t="n">
        <v>0</v>
      </c>
      <c r="O13939" t="n">
        <v>0</v>
      </c>
      <c r="P13939" t="n">
        <v>0</v>
      </c>
      <c r="Q13939" t="n">
        <v>0</v>
      </c>
      <c r="R13939" s="2" t="inlineStr"/>
    </row>
    <row r="13940" ht="15" customHeight="1">
      <c r="A13940" t="inlineStr">
        <is>
          <t>A 16710-2025</t>
        </is>
      </c>
      <c r="B13940" s="1" t="n">
        <v>45754</v>
      </c>
      <c r="C13940" s="1" t="n">
        <v>45952</v>
      </c>
      <c r="D13940" t="inlineStr">
        <is>
          <t>VÄSTRA GÖTALANDS LÄN</t>
        </is>
      </c>
      <c r="E13940" t="inlineStr">
        <is>
          <t>GULLSPÅNG</t>
        </is>
      </c>
      <c r="G13940" t="n">
        <v>3.9</v>
      </c>
      <c r="H13940" t="n">
        <v>0</v>
      </c>
      <c r="I13940" t="n">
        <v>0</v>
      </c>
      <c r="J13940" t="n">
        <v>0</v>
      </c>
      <c r="K13940" t="n">
        <v>0</v>
      </c>
      <c r="L13940" t="n">
        <v>0</v>
      </c>
      <c r="M13940" t="n">
        <v>0</v>
      </c>
      <c r="N13940" t="n">
        <v>0</v>
      </c>
      <c r="O13940" t="n">
        <v>0</v>
      </c>
      <c r="P13940" t="n">
        <v>0</v>
      </c>
      <c r="Q13940" t="n">
        <v>0</v>
      </c>
      <c r="R13940" s="2" t="inlineStr"/>
    </row>
    <row r="13941" ht="15" customHeight="1">
      <c r="A13941" t="inlineStr">
        <is>
          <t>A 32239-2021</t>
        </is>
      </c>
      <c r="B13941" s="1" t="n">
        <v>44371</v>
      </c>
      <c r="C13941" s="1" t="n">
        <v>45952</v>
      </c>
      <c r="D13941" t="inlineStr">
        <is>
          <t>VÄSTRA GÖTALANDS LÄN</t>
        </is>
      </c>
      <c r="E13941" t="inlineStr">
        <is>
          <t>BENGTSFORS</t>
        </is>
      </c>
      <c r="G13941" t="n">
        <v>4.5</v>
      </c>
      <c r="H13941" t="n">
        <v>0</v>
      </c>
      <c r="I13941" t="n">
        <v>0</v>
      </c>
      <c r="J13941" t="n">
        <v>0</v>
      </c>
      <c r="K13941" t="n">
        <v>0</v>
      </c>
      <c r="L13941" t="n">
        <v>0</v>
      </c>
      <c r="M13941" t="n">
        <v>0</v>
      </c>
      <c r="N13941" t="n">
        <v>0</v>
      </c>
      <c r="O13941" t="n">
        <v>0</v>
      </c>
      <c r="P13941" t="n">
        <v>0</v>
      </c>
      <c r="Q13941" t="n">
        <v>0</v>
      </c>
      <c r="R13941" s="2" t="inlineStr"/>
    </row>
    <row r="13942" ht="15" customHeight="1">
      <c r="A13942" t="inlineStr">
        <is>
          <t>A 62631-2023</t>
        </is>
      </c>
      <c r="B13942" s="1" t="n">
        <v>45271</v>
      </c>
      <c r="C13942" s="1" t="n">
        <v>45952</v>
      </c>
      <c r="D13942" t="inlineStr">
        <is>
          <t>VÄSTRA GÖTALANDS LÄN</t>
        </is>
      </c>
      <c r="E13942" t="inlineStr">
        <is>
          <t>ULRICEHAMN</t>
        </is>
      </c>
      <c r="F13942" t="inlineStr">
        <is>
          <t>Kyrkan</t>
        </is>
      </c>
      <c r="G13942" t="n">
        <v>2</v>
      </c>
      <c r="H13942" t="n">
        <v>0</v>
      </c>
      <c r="I13942" t="n">
        <v>0</v>
      </c>
      <c r="J13942" t="n">
        <v>0</v>
      </c>
      <c r="K13942" t="n">
        <v>0</v>
      </c>
      <c r="L13942" t="n">
        <v>0</v>
      </c>
      <c r="M13942" t="n">
        <v>0</v>
      </c>
      <c r="N13942" t="n">
        <v>0</v>
      </c>
      <c r="O13942" t="n">
        <v>0</v>
      </c>
      <c r="P13942" t="n">
        <v>0</v>
      </c>
      <c r="Q13942" t="n">
        <v>0</v>
      </c>
      <c r="R13942" s="2" t="inlineStr"/>
    </row>
    <row r="13943" ht="15" customHeight="1">
      <c r="A13943" t="inlineStr">
        <is>
          <t>A 24922-2024</t>
        </is>
      </c>
      <c r="B13943" s="1" t="n">
        <v>45461.60770833334</v>
      </c>
      <c r="C13943" s="1" t="n">
        <v>45952</v>
      </c>
      <c r="D13943" t="inlineStr">
        <is>
          <t>VÄSTRA GÖTALANDS LÄN</t>
        </is>
      </c>
      <c r="E13943" t="inlineStr">
        <is>
          <t>ULRICEHAMN</t>
        </is>
      </c>
      <c r="G13943" t="n">
        <v>0.1</v>
      </c>
      <c r="H13943" t="n">
        <v>0</v>
      </c>
      <c r="I13943" t="n">
        <v>0</v>
      </c>
      <c r="J13943" t="n">
        <v>0</v>
      </c>
      <c r="K13943" t="n">
        <v>0</v>
      </c>
      <c r="L13943" t="n">
        <v>0</v>
      </c>
      <c r="M13943" t="n">
        <v>0</v>
      </c>
      <c r="N13943" t="n">
        <v>0</v>
      </c>
      <c r="O13943" t="n">
        <v>0</v>
      </c>
      <c r="P13943" t="n">
        <v>0</v>
      </c>
      <c r="Q13943" t="n">
        <v>0</v>
      </c>
      <c r="R13943" s="2" t="inlineStr"/>
    </row>
    <row r="13944" ht="15" customHeight="1">
      <c r="A13944" t="inlineStr">
        <is>
          <t>A 37647-2025</t>
        </is>
      </c>
      <c r="B13944" s="1" t="n">
        <v>45880</v>
      </c>
      <c r="C13944" s="1" t="n">
        <v>45952</v>
      </c>
      <c r="D13944" t="inlineStr">
        <is>
          <t>VÄSTRA GÖTALANDS LÄN</t>
        </is>
      </c>
      <c r="E13944" t="inlineStr">
        <is>
          <t>BENGTSFORS</t>
        </is>
      </c>
      <c r="G13944" t="n">
        <v>3.7</v>
      </c>
      <c r="H13944" t="n">
        <v>0</v>
      </c>
      <c r="I13944" t="n">
        <v>0</v>
      </c>
      <c r="J13944" t="n">
        <v>0</v>
      </c>
      <c r="K13944" t="n">
        <v>0</v>
      </c>
      <c r="L13944" t="n">
        <v>0</v>
      </c>
      <c r="M13944" t="n">
        <v>0</v>
      </c>
      <c r="N13944" t="n">
        <v>0</v>
      </c>
      <c r="O13944" t="n">
        <v>0</v>
      </c>
      <c r="P13944" t="n">
        <v>0</v>
      </c>
      <c r="Q13944" t="n">
        <v>0</v>
      </c>
      <c r="R13944" s="2" t="inlineStr"/>
    </row>
    <row r="13945" ht="15" customHeight="1">
      <c r="A13945" t="inlineStr">
        <is>
          <t>A 55814-2020</t>
        </is>
      </c>
      <c r="B13945" s="1" t="n">
        <v>44132</v>
      </c>
      <c r="C13945" s="1" t="n">
        <v>45952</v>
      </c>
      <c r="D13945" t="inlineStr">
        <is>
          <t>VÄSTRA GÖTALANDS LÄN</t>
        </is>
      </c>
      <c r="E13945" t="inlineStr">
        <is>
          <t>FÄRGELANDA</t>
        </is>
      </c>
      <c r="G13945" t="n">
        <v>1.2</v>
      </c>
      <c r="H13945" t="n">
        <v>0</v>
      </c>
      <c r="I13945" t="n">
        <v>0</v>
      </c>
      <c r="J13945" t="n">
        <v>0</v>
      </c>
      <c r="K13945" t="n">
        <v>0</v>
      </c>
      <c r="L13945" t="n">
        <v>0</v>
      </c>
      <c r="M13945" t="n">
        <v>0</v>
      </c>
      <c r="N13945" t="n">
        <v>0</v>
      </c>
      <c r="O13945" t="n">
        <v>0</v>
      </c>
      <c r="P13945" t="n">
        <v>0</v>
      </c>
      <c r="Q13945" t="n">
        <v>0</v>
      </c>
      <c r="R13945" s="2" t="inlineStr"/>
    </row>
    <row r="13946" ht="15" customHeight="1">
      <c r="A13946" t="inlineStr">
        <is>
          <t>A 27667-2023</t>
        </is>
      </c>
      <c r="B13946" s="1" t="n">
        <v>45097.87364583334</v>
      </c>
      <c r="C13946" s="1" t="n">
        <v>45952</v>
      </c>
      <c r="D13946" t="inlineStr">
        <is>
          <t>VÄSTRA GÖTALANDS LÄN</t>
        </is>
      </c>
      <c r="E13946" t="inlineStr">
        <is>
          <t>TRANEMO</t>
        </is>
      </c>
      <c r="G13946" t="n">
        <v>1.7</v>
      </c>
      <c r="H13946" t="n">
        <v>0</v>
      </c>
      <c r="I13946" t="n">
        <v>0</v>
      </c>
      <c r="J13946" t="n">
        <v>0</v>
      </c>
      <c r="K13946" t="n">
        <v>0</v>
      </c>
      <c r="L13946" t="n">
        <v>0</v>
      </c>
      <c r="M13946" t="n">
        <v>0</v>
      </c>
      <c r="N13946" t="n">
        <v>0</v>
      </c>
      <c r="O13946" t="n">
        <v>0</v>
      </c>
      <c r="P13946" t="n">
        <v>0</v>
      </c>
      <c r="Q13946" t="n">
        <v>0</v>
      </c>
      <c r="R13946" s="2" t="inlineStr"/>
    </row>
    <row r="13947" ht="15" customHeight="1">
      <c r="A13947" t="inlineStr">
        <is>
          <t>A 62775-2023</t>
        </is>
      </c>
      <c r="B13947" s="1" t="n">
        <v>45271</v>
      </c>
      <c r="C13947" s="1" t="n">
        <v>45952</v>
      </c>
      <c r="D13947" t="inlineStr">
        <is>
          <t>VÄSTRA GÖTALANDS LÄN</t>
        </is>
      </c>
      <c r="E13947" t="inlineStr">
        <is>
          <t>VARA</t>
        </is>
      </c>
      <c r="G13947" t="n">
        <v>1.4</v>
      </c>
      <c r="H13947" t="n">
        <v>0</v>
      </c>
      <c r="I13947" t="n">
        <v>0</v>
      </c>
      <c r="J13947" t="n">
        <v>0</v>
      </c>
      <c r="K13947" t="n">
        <v>0</v>
      </c>
      <c r="L13947" t="n">
        <v>0</v>
      </c>
      <c r="M13947" t="n">
        <v>0</v>
      </c>
      <c r="N13947" t="n">
        <v>0</v>
      </c>
      <c r="O13947" t="n">
        <v>0</v>
      </c>
      <c r="P13947" t="n">
        <v>0</v>
      </c>
      <c r="Q13947" t="n">
        <v>0</v>
      </c>
      <c r="R13947" s="2" t="inlineStr"/>
    </row>
    <row r="13948" ht="15" customHeight="1">
      <c r="A13948" t="inlineStr">
        <is>
          <t>A 52164-2023</t>
        </is>
      </c>
      <c r="B13948" s="1" t="n">
        <v>45224</v>
      </c>
      <c r="C13948" s="1" t="n">
        <v>45952</v>
      </c>
      <c r="D13948" t="inlineStr">
        <is>
          <t>VÄSTRA GÖTALANDS LÄN</t>
        </is>
      </c>
      <c r="E13948" t="inlineStr">
        <is>
          <t>HÄRRYDA</t>
        </is>
      </c>
      <c r="G13948" t="n">
        <v>5.4</v>
      </c>
      <c r="H13948" t="n">
        <v>0</v>
      </c>
      <c r="I13948" t="n">
        <v>0</v>
      </c>
      <c r="J13948" t="n">
        <v>0</v>
      </c>
      <c r="K13948" t="n">
        <v>0</v>
      </c>
      <c r="L13948" t="n">
        <v>0</v>
      </c>
      <c r="M13948" t="n">
        <v>0</v>
      </c>
      <c r="N13948" t="n">
        <v>0</v>
      </c>
      <c r="O13948" t="n">
        <v>0</v>
      </c>
      <c r="P13948" t="n">
        <v>0</v>
      </c>
      <c r="Q13948" t="n">
        <v>0</v>
      </c>
      <c r="R13948" s="2" t="inlineStr"/>
    </row>
    <row r="13949" ht="15" customHeight="1">
      <c r="A13949" t="inlineStr">
        <is>
          <t>A 52166-2023</t>
        </is>
      </c>
      <c r="B13949" s="1" t="n">
        <v>45224.3316550926</v>
      </c>
      <c r="C13949" s="1" t="n">
        <v>45952</v>
      </c>
      <c r="D13949" t="inlineStr">
        <is>
          <t>VÄSTRA GÖTALANDS LÄN</t>
        </is>
      </c>
      <c r="E13949" t="inlineStr">
        <is>
          <t>HÄRRYDA</t>
        </is>
      </c>
      <c r="G13949" t="n">
        <v>0.9</v>
      </c>
      <c r="H13949" t="n">
        <v>0</v>
      </c>
      <c r="I13949" t="n">
        <v>0</v>
      </c>
      <c r="J13949" t="n">
        <v>0</v>
      </c>
      <c r="K13949" t="n">
        <v>0</v>
      </c>
      <c r="L13949" t="n">
        <v>0</v>
      </c>
      <c r="M13949" t="n">
        <v>0</v>
      </c>
      <c r="N13949" t="n">
        <v>0</v>
      </c>
      <c r="O13949" t="n">
        <v>0</v>
      </c>
      <c r="P13949" t="n">
        <v>0</v>
      </c>
      <c r="Q13949" t="n">
        <v>0</v>
      </c>
      <c r="R13949" s="2" t="inlineStr"/>
    </row>
    <row r="13950" ht="15" customHeight="1">
      <c r="A13950" t="inlineStr">
        <is>
          <t>A 13281-2024</t>
        </is>
      </c>
      <c r="B13950" s="1" t="n">
        <v>45386</v>
      </c>
      <c r="C13950" s="1" t="n">
        <v>45952</v>
      </c>
      <c r="D13950" t="inlineStr">
        <is>
          <t>VÄSTRA GÖTALANDS LÄN</t>
        </is>
      </c>
      <c r="E13950" t="inlineStr">
        <is>
          <t>GÖTENE</t>
        </is>
      </c>
      <c r="G13950" t="n">
        <v>1.1</v>
      </c>
      <c r="H13950" t="n">
        <v>0</v>
      </c>
      <c r="I13950" t="n">
        <v>0</v>
      </c>
      <c r="J13950" t="n">
        <v>0</v>
      </c>
      <c r="K13950" t="n">
        <v>0</v>
      </c>
      <c r="L13950" t="n">
        <v>0</v>
      </c>
      <c r="M13950" t="n">
        <v>0</v>
      </c>
      <c r="N13950" t="n">
        <v>0</v>
      </c>
      <c r="O13950" t="n">
        <v>0</v>
      </c>
      <c r="P13950" t="n">
        <v>0</v>
      </c>
      <c r="Q13950" t="n">
        <v>0</v>
      </c>
      <c r="R13950" s="2" t="inlineStr"/>
    </row>
    <row r="13951" ht="15" customHeight="1">
      <c r="A13951" t="inlineStr">
        <is>
          <t>A 38263-2025</t>
        </is>
      </c>
      <c r="B13951" s="1" t="n">
        <v>45883.40136574074</v>
      </c>
      <c r="C13951" s="1" t="n">
        <v>45952</v>
      </c>
      <c r="D13951" t="inlineStr">
        <is>
          <t>VÄSTRA GÖTALANDS LÄN</t>
        </is>
      </c>
      <c r="E13951" t="inlineStr">
        <is>
          <t>HERRLJUNGA</t>
        </is>
      </c>
      <c r="G13951" t="n">
        <v>1.7</v>
      </c>
      <c r="H13951" t="n">
        <v>0</v>
      </c>
      <c r="I13951" t="n">
        <v>0</v>
      </c>
      <c r="J13951" t="n">
        <v>0</v>
      </c>
      <c r="K13951" t="n">
        <v>0</v>
      </c>
      <c r="L13951" t="n">
        <v>0</v>
      </c>
      <c r="M13951" t="n">
        <v>0</v>
      </c>
      <c r="N13951" t="n">
        <v>0</v>
      </c>
      <c r="O13951" t="n">
        <v>0</v>
      </c>
      <c r="P13951" t="n">
        <v>0</v>
      </c>
      <c r="Q13951" t="n">
        <v>0</v>
      </c>
      <c r="R13951" s="2" t="inlineStr"/>
    </row>
    <row r="13952" ht="15" customHeight="1">
      <c r="A13952" t="inlineStr">
        <is>
          <t>A 49270-2023</t>
        </is>
      </c>
      <c r="B13952" s="1" t="n">
        <v>45210.68569444444</v>
      </c>
      <c r="C13952" s="1" t="n">
        <v>45952</v>
      </c>
      <c r="D13952" t="inlineStr">
        <is>
          <t>VÄSTRA GÖTALANDS LÄN</t>
        </is>
      </c>
      <c r="E13952" t="inlineStr">
        <is>
          <t>TRANEMO</t>
        </is>
      </c>
      <c r="G13952" t="n">
        <v>2.5</v>
      </c>
      <c r="H13952" t="n">
        <v>0</v>
      </c>
      <c r="I13952" t="n">
        <v>0</v>
      </c>
      <c r="J13952" t="n">
        <v>0</v>
      </c>
      <c r="K13952" t="n">
        <v>0</v>
      </c>
      <c r="L13952" t="n">
        <v>0</v>
      </c>
      <c r="M13952" t="n">
        <v>0</v>
      </c>
      <c r="N13952" t="n">
        <v>0</v>
      </c>
      <c r="O13952" t="n">
        <v>0</v>
      </c>
      <c r="P13952" t="n">
        <v>0</v>
      </c>
      <c r="Q13952" t="n">
        <v>0</v>
      </c>
      <c r="R13952" s="2" t="inlineStr"/>
    </row>
    <row r="13953" ht="15" customHeight="1">
      <c r="A13953" t="inlineStr">
        <is>
          <t>A 46233-2025</t>
        </is>
      </c>
      <c r="B13953" s="1" t="n">
        <v>45925.29270833333</v>
      </c>
      <c r="C13953" s="1" t="n">
        <v>45952</v>
      </c>
      <c r="D13953" t="inlineStr">
        <is>
          <t>VÄSTRA GÖTALANDS LÄN</t>
        </is>
      </c>
      <c r="E13953" t="inlineStr">
        <is>
          <t>VÅRGÅRDA</t>
        </is>
      </c>
      <c r="G13953" t="n">
        <v>3.1</v>
      </c>
      <c r="H13953" t="n">
        <v>0</v>
      </c>
      <c r="I13953" t="n">
        <v>0</v>
      </c>
      <c r="J13953" t="n">
        <v>0</v>
      </c>
      <c r="K13953" t="n">
        <v>0</v>
      </c>
      <c r="L13953" t="n">
        <v>0</v>
      </c>
      <c r="M13953" t="n">
        <v>0</v>
      </c>
      <c r="N13953" t="n">
        <v>0</v>
      </c>
      <c r="O13953" t="n">
        <v>0</v>
      </c>
      <c r="P13953" t="n">
        <v>0</v>
      </c>
      <c r="Q13953" t="n">
        <v>0</v>
      </c>
      <c r="R13953" s="2" t="inlineStr"/>
    </row>
    <row r="13954" ht="15" customHeight="1">
      <c r="A13954" t="inlineStr">
        <is>
          <t>A 18529-2025</t>
        </is>
      </c>
      <c r="B13954" s="1" t="n">
        <v>45763.40197916667</v>
      </c>
      <c r="C13954" s="1" t="n">
        <v>45952</v>
      </c>
      <c r="D13954" t="inlineStr">
        <is>
          <t>VÄSTRA GÖTALANDS LÄN</t>
        </is>
      </c>
      <c r="E13954" t="inlineStr">
        <is>
          <t>DALS-ED</t>
        </is>
      </c>
      <c r="G13954" t="n">
        <v>3.9</v>
      </c>
      <c r="H13954" t="n">
        <v>0</v>
      </c>
      <c r="I13954" t="n">
        <v>0</v>
      </c>
      <c r="J13954" t="n">
        <v>0</v>
      </c>
      <c r="K13954" t="n">
        <v>0</v>
      </c>
      <c r="L13954" t="n">
        <v>0</v>
      </c>
      <c r="M13954" t="n">
        <v>0</v>
      </c>
      <c r="N13954" t="n">
        <v>0</v>
      </c>
      <c r="O13954" t="n">
        <v>0</v>
      </c>
      <c r="P13954" t="n">
        <v>0</v>
      </c>
      <c r="Q13954" t="n">
        <v>0</v>
      </c>
      <c r="R13954" s="2" t="inlineStr"/>
    </row>
    <row r="13955" ht="15" customHeight="1">
      <c r="A13955" t="inlineStr">
        <is>
          <t>A 18536-2025</t>
        </is>
      </c>
      <c r="B13955" s="1" t="n">
        <v>45763.40989583333</v>
      </c>
      <c r="C13955" s="1" t="n">
        <v>45952</v>
      </c>
      <c r="D13955" t="inlineStr">
        <is>
          <t>VÄSTRA GÖTALANDS LÄN</t>
        </is>
      </c>
      <c r="E13955" t="inlineStr">
        <is>
          <t>DALS-ED</t>
        </is>
      </c>
      <c r="G13955" t="n">
        <v>4.3</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46396-2025</t>
        </is>
      </c>
      <c r="B13956" s="1" t="n">
        <v>45925.54865740741</v>
      </c>
      <c r="C13956" s="1" t="n">
        <v>45952</v>
      </c>
      <c r="D13956" t="inlineStr">
        <is>
          <t>VÄSTRA GÖTALANDS LÄN</t>
        </is>
      </c>
      <c r="E13956" t="inlineStr">
        <is>
          <t>ULRICEHAMN</t>
        </is>
      </c>
      <c r="G13956" t="n">
        <v>2.4</v>
      </c>
      <c r="H13956" t="n">
        <v>0</v>
      </c>
      <c r="I13956" t="n">
        <v>0</v>
      </c>
      <c r="J13956" t="n">
        <v>0</v>
      </c>
      <c r="K13956" t="n">
        <v>0</v>
      </c>
      <c r="L13956" t="n">
        <v>0</v>
      </c>
      <c r="M13956" t="n">
        <v>0</v>
      </c>
      <c r="N13956" t="n">
        <v>0</v>
      </c>
      <c r="O13956" t="n">
        <v>0</v>
      </c>
      <c r="P13956" t="n">
        <v>0</v>
      </c>
      <c r="Q13956" t="n">
        <v>0</v>
      </c>
      <c r="R13956" s="2" t="inlineStr"/>
    </row>
    <row r="13957" ht="15" customHeight="1">
      <c r="A13957" t="inlineStr">
        <is>
          <t>A 49606-2023</t>
        </is>
      </c>
      <c r="B13957" s="1" t="n">
        <v>45211.72998842593</v>
      </c>
      <c r="C13957" s="1" t="n">
        <v>45952</v>
      </c>
      <c r="D13957" t="inlineStr">
        <is>
          <t>VÄSTRA GÖTALANDS LÄN</t>
        </is>
      </c>
      <c r="E13957" t="inlineStr">
        <is>
          <t>HERRLJUNGA</t>
        </is>
      </c>
      <c r="G13957" t="n">
        <v>0.9</v>
      </c>
      <c r="H13957" t="n">
        <v>0</v>
      </c>
      <c r="I13957" t="n">
        <v>0</v>
      </c>
      <c r="J13957" t="n">
        <v>0</v>
      </c>
      <c r="K13957" t="n">
        <v>0</v>
      </c>
      <c r="L13957" t="n">
        <v>0</v>
      </c>
      <c r="M13957" t="n">
        <v>0</v>
      </c>
      <c r="N13957" t="n">
        <v>0</v>
      </c>
      <c r="O13957" t="n">
        <v>0</v>
      </c>
      <c r="P13957" t="n">
        <v>0</v>
      </c>
      <c r="Q13957" t="n">
        <v>0</v>
      </c>
      <c r="R13957" s="2" t="inlineStr"/>
    </row>
    <row r="13958" ht="15" customHeight="1">
      <c r="A13958" t="inlineStr">
        <is>
          <t>A 46395-2025</t>
        </is>
      </c>
      <c r="B13958" s="1" t="n">
        <v>45925.54702546296</v>
      </c>
      <c r="C13958" s="1" t="n">
        <v>45952</v>
      </c>
      <c r="D13958" t="inlineStr">
        <is>
          <t>VÄSTRA GÖTALANDS LÄN</t>
        </is>
      </c>
      <c r="E13958" t="inlineStr">
        <is>
          <t>ULRICEHAMN</t>
        </is>
      </c>
      <c r="G13958" t="n">
        <v>0.8</v>
      </c>
      <c r="H13958" t="n">
        <v>0</v>
      </c>
      <c r="I13958" t="n">
        <v>0</v>
      </c>
      <c r="J13958" t="n">
        <v>0</v>
      </c>
      <c r="K13958" t="n">
        <v>0</v>
      </c>
      <c r="L13958" t="n">
        <v>0</v>
      </c>
      <c r="M13958" t="n">
        <v>0</v>
      </c>
      <c r="N13958" t="n">
        <v>0</v>
      </c>
      <c r="O13958" t="n">
        <v>0</v>
      </c>
      <c r="P13958" t="n">
        <v>0</v>
      </c>
      <c r="Q13958" t="n">
        <v>0</v>
      </c>
      <c r="R13958" s="2" t="inlineStr"/>
    </row>
    <row r="13959" ht="15" customHeight="1">
      <c r="A13959" t="inlineStr">
        <is>
          <t>A 25832-2024</t>
        </is>
      </c>
      <c r="B13959" s="1" t="n">
        <v>45467</v>
      </c>
      <c r="C13959" s="1" t="n">
        <v>45952</v>
      </c>
      <c r="D13959" t="inlineStr">
        <is>
          <t>VÄSTRA GÖTALANDS LÄN</t>
        </is>
      </c>
      <c r="E13959" t="inlineStr">
        <is>
          <t>ALINGSÅS</t>
        </is>
      </c>
      <c r="G13959" t="n">
        <v>3.8</v>
      </c>
      <c r="H13959" t="n">
        <v>0</v>
      </c>
      <c r="I13959" t="n">
        <v>0</v>
      </c>
      <c r="J13959" t="n">
        <v>0</v>
      </c>
      <c r="K13959" t="n">
        <v>0</v>
      </c>
      <c r="L13959" t="n">
        <v>0</v>
      </c>
      <c r="M13959" t="n">
        <v>0</v>
      </c>
      <c r="N13959" t="n">
        <v>0</v>
      </c>
      <c r="O13959" t="n">
        <v>0</v>
      </c>
      <c r="P13959" t="n">
        <v>0</v>
      </c>
      <c r="Q13959" t="n">
        <v>0</v>
      </c>
      <c r="R13959" s="2" t="inlineStr"/>
    </row>
    <row r="13960" ht="15" customHeight="1">
      <c r="A13960" t="inlineStr">
        <is>
          <t>A 26081-2025</t>
        </is>
      </c>
      <c r="B13960" s="1" t="n">
        <v>45805.34295138889</v>
      </c>
      <c r="C13960" s="1" t="n">
        <v>45952</v>
      </c>
      <c r="D13960" t="inlineStr">
        <is>
          <t>VÄSTRA GÖTALANDS LÄN</t>
        </is>
      </c>
      <c r="E13960" t="inlineStr">
        <is>
          <t>MUNKEDAL</t>
        </is>
      </c>
      <c r="G13960" t="n">
        <v>3.6</v>
      </c>
      <c r="H13960" t="n">
        <v>0</v>
      </c>
      <c r="I13960" t="n">
        <v>0</v>
      </c>
      <c r="J13960" t="n">
        <v>0</v>
      </c>
      <c r="K13960" t="n">
        <v>0</v>
      </c>
      <c r="L13960" t="n">
        <v>0</v>
      </c>
      <c r="M13960" t="n">
        <v>0</v>
      </c>
      <c r="N13960" t="n">
        <v>0</v>
      </c>
      <c r="O13960" t="n">
        <v>0</v>
      </c>
      <c r="P13960" t="n">
        <v>0</v>
      </c>
      <c r="Q13960" t="n">
        <v>0</v>
      </c>
      <c r="R13960" s="2" t="inlineStr"/>
    </row>
    <row r="13961" ht="15" customHeight="1">
      <c r="A13961" t="inlineStr">
        <is>
          <t>A 32918-2022</t>
        </is>
      </c>
      <c r="B13961" s="1" t="n">
        <v>44784.62546296296</v>
      </c>
      <c r="C13961" s="1" t="n">
        <v>45952</v>
      </c>
      <c r="D13961" t="inlineStr">
        <is>
          <t>VÄSTRA GÖTALANDS LÄN</t>
        </is>
      </c>
      <c r="E13961" t="inlineStr">
        <is>
          <t>TRANEMO</t>
        </is>
      </c>
      <c r="G13961" t="n">
        <v>1.3</v>
      </c>
      <c r="H13961" t="n">
        <v>0</v>
      </c>
      <c r="I13961" t="n">
        <v>0</v>
      </c>
      <c r="J13961" t="n">
        <v>0</v>
      </c>
      <c r="K13961" t="n">
        <v>0</v>
      </c>
      <c r="L13961" t="n">
        <v>0</v>
      </c>
      <c r="M13961" t="n">
        <v>0</v>
      </c>
      <c r="N13961" t="n">
        <v>0</v>
      </c>
      <c r="O13961" t="n">
        <v>0</v>
      </c>
      <c r="P13961" t="n">
        <v>0</v>
      </c>
      <c r="Q13961" t="n">
        <v>0</v>
      </c>
      <c r="R13961" s="2" t="inlineStr"/>
    </row>
    <row r="13962" ht="15" customHeight="1">
      <c r="A13962" t="inlineStr">
        <is>
          <t>A 4105-2023</t>
        </is>
      </c>
      <c r="B13962" s="1" t="n">
        <v>44952</v>
      </c>
      <c r="C13962" s="1" t="n">
        <v>45952</v>
      </c>
      <c r="D13962" t="inlineStr">
        <is>
          <t>VÄSTRA GÖTALANDS LÄN</t>
        </is>
      </c>
      <c r="E13962" t="inlineStr">
        <is>
          <t>DALS-ED</t>
        </is>
      </c>
      <c r="G13962" t="n">
        <v>3.9</v>
      </c>
      <c r="H13962" t="n">
        <v>0</v>
      </c>
      <c r="I13962" t="n">
        <v>0</v>
      </c>
      <c r="J13962" t="n">
        <v>0</v>
      </c>
      <c r="K13962" t="n">
        <v>0</v>
      </c>
      <c r="L13962" t="n">
        <v>0</v>
      </c>
      <c r="M13962" t="n">
        <v>0</v>
      </c>
      <c r="N13962" t="n">
        <v>0</v>
      </c>
      <c r="O13962" t="n">
        <v>0</v>
      </c>
      <c r="P13962" t="n">
        <v>0</v>
      </c>
      <c r="Q13962" t="n">
        <v>0</v>
      </c>
      <c r="R13962" s="2" t="inlineStr"/>
    </row>
    <row r="13963" ht="15" customHeight="1">
      <c r="A13963" t="inlineStr">
        <is>
          <t>A 4108-2023</t>
        </is>
      </c>
      <c r="B13963" s="1" t="n">
        <v>44952</v>
      </c>
      <c r="C13963" s="1" t="n">
        <v>45952</v>
      </c>
      <c r="D13963" t="inlineStr">
        <is>
          <t>VÄSTRA GÖTALANDS LÄN</t>
        </is>
      </c>
      <c r="E13963" t="inlineStr">
        <is>
          <t>DALS-ED</t>
        </is>
      </c>
      <c r="G13963" t="n">
        <v>4</v>
      </c>
      <c r="H13963" t="n">
        <v>0</v>
      </c>
      <c r="I13963" t="n">
        <v>0</v>
      </c>
      <c r="J13963" t="n">
        <v>0</v>
      </c>
      <c r="K13963" t="n">
        <v>0</v>
      </c>
      <c r="L13963" t="n">
        <v>0</v>
      </c>
      <c r="M13963" t="n">
        <v>0</v>
      </c>
      <c r="N13963" t="n">
        <v>0</v>
      </c>
      <c r="O13963" t="n">
        <v>0</v>
      </c>
      <c r="P13963" t="n">
        <v>0</v>
      </c>
      <c r="Q13963" t="n">
        <v>0</v>
      </c>
      <c r="R13963" s="2" t="inlineStr"/>
    </row>
    <row r="13964" ht="15" customHeight="1">
      <c r="A13964" t="inlineStr">
        <is>
          <t>A 46145-2025</t>
        </is>
      </c>
      <c r="B13964" s="1" t="n">
        <v>45924.60802083334</v>
      </c>
      <c r="C13964" s="1" t="n">
        <v>45952</v>
      </c>
      <c r="D13964" t="inlineStr">
        <is>
          <t>VÄSTRA GÖTALANDS LÄN</t>
        </is>
      </c>
      <c r="E13964" t="inlineStr">
        <is>
          <t>VÄNERSBORG</t>
        </is>
      </c>
      <c r="G13964" t="n">
        <v>6.9</v>
      </c>
      <c r="H13964" t="n">
        <v>0</v>
      </c>
      <c r="I13964" t="n">
        <v>0</v>
      </c>
      <c r="J13964" t="n">
        <v>0</v>
      </c>
      <c r="K13964" t="n">
        <v>0</v>
      </c>
      <c r="L13964" t="n">
        <v>0</v>
      </c>
      <c r="M13964" t="n">
        <v>0</v>
      </c>
      <c r="N13964" t="n">
        <v>0</v>
      </c>
      <c r="O13964" t="n">
        <v>0</v>
      </c>
      <c r="P13964" t="n">
        <v>0</v>
      </c>
      <c r="Q13964" t="n">
        <v>0</v>
      </c>
      <c r="R13964" s="2" t="inlineStr"/>
    </row>
    <row r="13965" ht="15" customHeight="1">
      <c r="A13965" t="inlineStr">
        <is>
          <t>A 45974-2025</t>
        </is>
      </c>
      <c r="B13965" s="1" t="n">
        <v>45924.36851851852</v>
      </c>
      <c r="C13965" s="1" t="n">
        <v>45952</v>
      </c>
      <c r="D13965" t="inlineStr">
        <is>
          <t>VÄSTRA GÖTALANDS LÄN</t>
        </is>
      </c>
      <c r="E13965" t="inlineStr">
        <is>
          <t>VARA</t>
        </is>
      </c>
      <c r="G13965" t="n">
        <v>1</v>
      </c>
      <c r="H13965" t="n">
        <v>0</v>
      </c>
      <c r="I13965" t="n">
        <v>0</v>
      </c>
      <c r="J13965" t="n">
        <v>0</v>
      </c>
      <c r="K13965" t="n">
        <v>0</v>
      </c>
      <c r="L13965" t="n">
        <v>0</v>
      </c>
      <c r="M13965" t="n">
        <v>0</v>
      </c>
      <c r="N13965" t="n">
        <v>0</v>
      </c>
      <c r="O13965" t="n">
        <v>0</v>
      </c>
      <c r="P13965" t="n">
        <v>0</v>
      </c>
      <c r="Q13965" t="n">
        <v>0</v>
      </c>
      <c r="R13965" s="2" t="inlineStr"/>
    </row>
    <row r="13966" ht="15" customHeight="1">
      <c r="A13966" t="inlineStr">
        <is>
          <t>A 20024-2022</t>
        </is>
      </c>
      <c r="B13966" s="1" t="n">
        <v>44697.66332175926</v>
      </c>
      <c r="C13966" s="1" t="n">
        <v>45952</v>
      </c>
      <c r="D13966" t="inlineStr">
        <is>
          <t>VÄSTRA GÖTALANDS LÄN</t>
        </is>
      </c>
      <c r="E13966" t="inlineStr">
        <is>
          <t>HJO</t>
        </is>
      </c>
      <c r="G13966" t="n">
        <v>1.4</v>
      </c>
      <c r="H13966" t="n">
        <v>0</v>
      </c>
      <c r="I13966" t="n">
        <v>0</v>
      </c>
      <c r="J13966" t="n">
        <v>0</v>
      </c>
      <c r="K13966" t="n">
        <v>0</v>
      </c>
      <c r="L13966" t="n">
        <v>0</v>
      </c>
      <c r="M13966" t="n">
        <v>0</v>
      </c>
      <c r="N13966" t="n">
        <v>0</v>
      </c>
      <c r="O13966" t="n">
        <v>0</v>
      </c>
      <c r="P13966" t="n">
        <v>0</v>
      </c>
      <c r="Q13966" t="n">
        <v>0</v>
      </c>
      <c r="R13966" s="2" t="inlineStr"/>
    </row>
    <row r="13967" ht="15" customHeight="1">
      <c r="A13967" t="inlineStr">
        <is>
          <t>A 51701-2021</t>
        </is>
      </c>
      <c r="B13967" s="1" t="n">
        <v>44462</v>
      </c>
      <c r="C13967" s="1" t="n">
        <v>45952</v>
      </c>
      <c r="D13967" t="inlineStr">
        <is>
          <t>VÄSTRA GÖTALANDS LÄN</t>
        </is>
      </c>
      <c r="E13967" t="inlineStr">
        <is>
          <t>DALS-ED</t>
        </is>
      </c>
      <c r="G13967" t="n">
        <v>3.5</v>
      </c>
      <c r="H13967" t="n">
        <v>0</v>
      </c>
      <c r="I13967" t="n">
        <v>0</v>
      </c>
      <c r="J13967" t="n">
        <v>0</v>
      </c>
      <c r="K13967" t="n">
        <v>0</v>
      </c>
      <c r="L13967" t="n">
        <v>0</v>
      </c>
      <c r="M13967" t="n">
        <v>0</v>
      </c>
      <c r="N13967" t="n">
        <v>0</v>
      </c>
      <c r="O13967" t="n">
        <v>0</v>
      </c>
      <c r="P13967" t="n">
        <v>0</v>
      </c>
      <c r="Q13967" t="n">
        <v>0</v>
      </c>
      <c r="R13967" s="2" t="inlineStr"/>
    </row>
    <row r="13968" ht="15" customHeight="1">
      <c r="A13968" t="inlineStr">
        <is>
          <t>A 45982-2025</t>
        </is>
      </c>
      <c r="B13968" s="1" t="n">
        <v>45924.37861111111</v>
      </c>
      <c r="C13968" s="1" t="n">
        <v>45952</v>
      </c>
      <c r="D13968" t="inlineStr">
        <is>
          <t>VÄSTRA GÖTALANDS LÄN</t>
        </is>
      </c>
      <c r="E13968" t="inlineStr">
        <is>
          <t>MARK</t>
        </is>
      </c>
      <c r="G13968" t="n">
        <v>2.4</v>
      </c>
      <c r="H13968" t="n">
        <v>0</v>
      </c>
      <c r="I13968" t="n">
        <v>0</v>
      </c>
      <c r="J13968" t="n">
        <v>0</v>
      </c>
      <c r="K13968" t="n">
        <v>0</v>
      </c>
      <c r="L13968" t="n">
        <v>0</v>
      </c>
      <c r="M13968" t="n">
        <v>0</v>
      </c>
      <c r="N13968" t="n">
        <v>0</v>
      </c>
      <c r="O13968" t="n">
        <v>0</v>
      </c>
      <c r="P13968" t="n">
        <v>0</v>
      </c>
      <c r="Q13968" t="n">
        <v>0</v>
      </c>
      <c r="R13968" s="2" t="inlineStr"/>
    </row>
    <row r="13969" ht="15" customHeight="1">
      <c r="A13969" t="inlineStr">
        <is>
          <t>A 45986-2025</t>
        </is>
      </c>
      <c r="B13969" s="1" t="n">
        <v>45924.38350694445</v>
      </c>
      <c r="C13969" s="1" t="n">
        <v>45952</v>
      </c>
      <c r="D13969" t="inlineStr">
        <is>
          <t>VÄSTRA GÖTALANDS LÄN</t>
        </is>
      </c>
      <c r="E13969" t="inlineStr">
        <is>
          <t>MARK</t>
        </is>
      </c>
      <c r="G13969" t="n">
        <v>0.1</v>
      </c>
      <c r="H13969" t="n">
        <v>0</v>
      </c>
      <c r="I13969" t="n">
        <v>0</v>
      </c>
      <c r="J13969" t="n">
        <v>0</v>
      </c>
      <c r="K13969" t="n">
        <v>0</v>
      </c>
      <c r="L13969" t="n">
        <v>0</v>
      </c>
      <c r="M13969" t="n">
        <v>0</v>
      </c>
      <c r="N13969" t="n">
        <v>0</v>
      </c>
      <c r="O13969" t="n">
        <v>0</v>
      </c>
      <c r="P13969" t="n">
        <v>0</v>
      </c>
      <c r="Q13969" t="n">
        <v>0</v>
      </c>
      <c r="R13969" s="2" t="inlineStr"/>
    </row>
    <row r="13970" ht="15" customHeight="1">
      <c r="A13970" t="inlineStr">
        <is>
          <t>A 46036-2025</t>
        </is>
      </c>
      <c r="B13970" s="1" t="n">
        <v>45924.44726851852</v>
      </c>
      <c r="C13970" s="1" t="n">
        <v>45952</v>
      </c>
      <c r="D13970" t="inlineStr">
        <is>
          <t>VÄSTRA GÖTALANDS LÄN</t>
        </is>
      </c>
      <c r="E13970" t="inlineStr">
        <is>
          <t>MARK</t>
        </is>
      </c>
      <c r="G13970" t="n">
        <v>0.8</v>
      </c>
      <c r="H13970" t="n">
        <v>0</v>
      </c>
      <c r="I13970" t="n">
        <v>0</v>
      </c>
      <c r="J13970" t="n">
        <v>0</v>
      </c>
      <c r="K13970" t="n">
        <v>0</v>
      </c>
      <c r="L13970" t="n">
        <v>0</v>
      </c>
      <c r="M13970" t="n">
        <v>0</v>
      </c>
      <c r="N13970" t="n">
        <v>0</v>
      </c>
      <c r="O13970" t="n">
        <v>0</v>
      </c>
      <c r="P13970" t="n">
        <v>0</v>
      </c>
      <c r="Q13970" t="n">
        <v>0</v>
      </c>
      <c r="R13970" s="2" t="inlineStr"/>
    </row>
    <row r="13971" ht="15" customHeight="1">
      <c r="A13971" t="inlineStr">
        <is>
          <t>A 46227-2025</t>
        </is>
      </c>
      <c r="B13971" s="1" t="n">
        <v>45924.90386574074</v>
      </c>
      <c r="C13971" s="1" t="n">
        <v>45952</v>
      </c>
      <c r="D13971" t="inlineStr">
        <is>
          <t>VÄSTRA GÖTALANDS LÄN</t>
        </is>
      </c>
      <c r="E13971" t="inlineStr">
        <is>
          <t>ALE</t>
        </is>
      </c>
      <c r="G13971" t="n">
        <v>0.3</v>
      </c>
      <c r="H13971" t="n">
        <v>0</v>
      </c>
      <c r="I13971" t="n">
        <v>0</v>
      </c>
      <c r="J13971" t="n">
        <v>0</v>
      </c>
      <c r="K13971" t="n">
        <v>0</v>
      </c>
      <c r="L13971" t="n">
        <v>0</v>
      </c>
      <c r="M13971" t="n">
        <v>0</v>
      </c>
      <c r="N13971" t="n">
        <v>0</v>
      </c>
      <c r="O13971" t="n">
        <v>0</v>
      </c>
      <c r="P13971" t="n">
        <v>0</v>
      </c>
      <c r="Q13971" t="n">
        <v>0</v>
      </c>
      <c r="R13971" s="2" t="inlineStr"/>
    </row>
    <row r="13972" ht="15" customHeight="1">
      <c r="A13972" t="inlineStr">
        <is>
          <t>A 18821-2025</t>
        </is>
      </c>
      <c r="B13972" s="1" t="n">
        <v>45764.37849537037</v>
      </c>
      <c r="C13972" s="1" t="n">
        <v>45952</v>
      </c>
      <c r="D13972" t="inlineStr">
        <is>
          <t>VÄSTRA GÖTALANDS LÄN</t>
        </is>
      </c>
      <c r="E13972" t="inlineStr">
        <is>
          <t>TROLLHÄTTAN</t>
        </is>
      </c>
      <c r="G13972" t="n">
        <v>6.9</v>
      </c>
      <c r="H13972" t="n">
        <v>0</v>
      </c>
      <c r="I13972" t="n">
        <v>0</v>
      </c>
      <c r="J13972" t="n">
        <v>0</v>
      </c>
      <c r="K13972" t="n">
        <v>0</v>
      </c>
      <c r="L13972" t="n">
        <v>0</v>
      </c>
      <c r="M13972" t="n">
        <v>0</v>
      </c>
      <c r="N13972" t="n">
        <v>0</v>
      </c>
      <c r="O13972" t="n">
        <v>0</v>
      </c>
      <c r="P13972" t="n">
        <v>0</v>
      </c>
      <c r="Q13972" t="n">
        <v>0</v>
      </c>
      <c r="R13972" s="2" t="inlineStr"/>
    </row>
    <row r="13973" ht="15" customHeight="1">
      <c r="A13973" t="inlineStr">
        <is>
          <t>A 34056-2024</t>
        </is>
      </c>
      <c r="B13973" s="1" t="n">
        <v>45523.6125</v>
      </c>
      <c r="C13973" s="1" t="n">
        <v>45952</v>
      </c>
      <c r="D13973" t="inlineStr">
        <is>
          <t>VÄSTRA GÖTALANDS LÄN</t>
        </is>
      </c>
      <c r="E13973" t="inlineStr">
        <is>
          <t>ORUST</t>
        </is>
      </c>
      <c r="G13973" t="n">
        <v>2.8</v>
      </c>
      <c r="H13973" t="n">
        <v>0</v>
      </c>
      <c r="I13973" t="n">
        <v>0</v>
      </c>
      <c r="J13973" t="n">
        <v>0</v>
      </c>
      <c r="K13973" t="n">
        <v>0</v>
      </c>
      <c r="L13973" t="n">
        <v>0</v>
      </c>
      <c r="M13973" t="n">
        <v>0</v>
      </c>
      <c r="N13973" t="n">
        <v>0</v>
      </c>
      <c r="O13973" t="n">
        <v>0</v>
      </c>
      <c r="P13973" t="n">
        <v>0</v>
      </c>
      <c r="Q13973" t="n">
        <v>0</v>
      </c>
      <c r="R13973" s="2" t="inlineStr"/>
    </row>
    <row r="13974" ht="15" customHeight="1">
      <c r="A13974" t="inlineStr">
        <is>
          <t>A 34061-2024</t>
        </is>
      </c>
      <c r="B13974" s="1" t="n">
        <v>45523.61668981481</v>
      </c>
      <c r="C13974" s="1" t="n">
        <v>45952</v>
      </c>
      <c r="D13974" t="inlineStr">
        <is>
          <t>VÄSTRA GÖTALANDS LÄN</t>
        </is>
      </c>
      <c r="E13974" t="inlineStr">
        <is>
          <t>TRANEMO</t>
        </is>
      </c>
      <c r="F13974" t="inlineStr">
        <is>
          <t>Sveaskog</t>
        </is>
      </c>
      <c r="G13974" t="n">
        <v>1.9</v>
      </c>
      <c r="H13974" t="n">
        <v>0</v>
      </c>
      <c r="I13974" t="n">
        <v>0</v>
      </c>
      <c r="J13974" t="n">
        <v>0</v>
      </c>
      <c r="K13974" t="n">
        <v>0</v>
      </c>
      <c r="L13974" t="n">
        <v>0</v>
      </c>
      <c r="M13974" t="n">
        <v>0</v>
      </c>
      <c r="N13974" t="n">
        <v>0</v>
      </c>
      <c r="O13974" t="n">
        <v>0</v>
      </c>
      <c r="P13974" t="n">
        <v>0</v>
      </c>
      <c r="Q13974" t="n">
        <v>0</v>
      </c>
      <c r="R13974" s="2" t="inlineStr"/>
    </row>
    <row r="13975" ht="15" customHeight="1">
      <c r="A13975" t="inlineStr">
        <is>
          <t>A 46183-2025</t>
        </is>
      </c>
      <c r="B13975" s="1" t="n">
        <v>45924.65844907407</v>
      </c>
      <c r="C13975" s="1" t="n">
        <v>45952</v>
      </c>
      <c r="D13975" t="inlineStr">
        <is>
          <t>VÄSTRA GÖTALANDS LÄN</t>
        </is>
      </c>
      <c r="E13975" t="inlineStr">
        <is>
          <t>SKARA</t>
        </is>
      </c>
      <c r="F13975" t="inlineStr">
        <is>
          <t>Kyrkan</t>
        </is>
      </c>
      <c r="G13975" t="n">
        <v>1.8</v>
      </c>
      <c r="H13975" t="n">
        <v>0</v>
      </c>
      <c r="I13975" t="n">
        <v>0</v>
      </c>
      <c r="J13975" t="n">
        <v>0</v>
      </c>
      <c r="K13975" t="n">
        <v>0</v>
      </c>
      <c r="L13975" t="n">
        <v>0</v>
      </c>
      <c r="M13975" t="n">
        <v>0</v>
      </c>
      <c r="N13975" t="n">
        <v>0</v>
      </c>
      <c r="O13975" t="n">
        <v>0</v>
      </c>
      <c r="P13975" t="n">
        <v>0</v>
      </c>
      <c r="Q13975" t="n">
        <v>0</v>
      </c>
      <c r="R13975" s="2" t="inlineStr"/>
    </row>
    <row r="13976" ht="15" customHeight="1">
      <c r="A13976" t="inlineStr">
        <is>
          <t>A 5388-2023</t>
        </is>
      </c>
      <c r="B13976" s="1" t="n">
        <v>44959</v>
      </c>
      <c r="C13976" s="1" t="n">
        <v>45952</v>
      </c>
      <c r="D13976" t="inlineStr">
        <is>
          <t>VÄSTRA GÖTALANDS LÄN</t>
        </is>
      </c>
      <c r="E13976" t="inlineStr">
        <is>
          <t>DALS-ED</t>
        </is>
      </c>
      <c r="G13976" t="n">
        <v>1.9</v>
      </c>
      <c r="H13976" t="n">
        <v>0</v>
      </c>
      <c r="I13976" t="n">
        <v>0</v>
      </c>
      <c r="J13976" t="n">
        <v>0</v>
      </c>
      <c r="K13976" t="n">
        <v>0</v>
      </c>
      <c r="L13976" t="n">
        <v>0</v>
      </c>
      <c r="M13976" t="n">
        <v>0</v>
      </c>
      <c r="N13976" t="n">
        <v>0</v>
      </c>
      <c r="O13976" t="n">
        <v>0</v>
      </c>
      <c r="P13976" t="n">
        <v>0</v>
      </c>
      <c r="Q13976" t="n">
        <v>0</v>
      </c>
      <c r="R13976" s="2" t="inlineStr"/>
    </row>
    <row r="13977" ht="15" customHeight="1">
      <c r="A13977" t="inlineStr">
        <is>
          <t>A 46440-2025</t>
        </is>
      </c>
      <c r="B13977" s="1" t="n">
        <v>45925.64233796296</v>
      </c>
      <c r="C13977" s="1" t="n">
        <v>45952</v>
      </c>
      <c r="D13977" t="inlineStr">
        <is>
          <t>VÄSTRA GÖTALANDS LÄN</t>
        </is>
      </c>
      <c r="E13977" t="inlineStr">
        <is>
          <t>GRÄSTORP</t>
        </is>
      </c>
      <c r="G13977" t="n">
        <v>3.3</v>
      </c>
      <c r="H13977" t="n">
        <v>0</v>
      </c>
      <c r="I13977" t="n">
        <v>0</v>
      </c>
      <c r="J13977" t="n">
        <v>0</v>
      </c>
      <c r="K13977" t="n">
        <v>0</v>
      </c>
      <c r="L13977" t="n">
        <v>0</v>
      </c>
      <c r="M13977" t="n">
        <v>0</v>
      </c>
      <c r="N13977" t="n">
        <v>0</v>
      </c>
      <c r="O13977" t="n">
        <v>0</v>
      </c>
      <c r="P13977" t="n">
        <v>0</v>
      </c>
      <c r="Q13977" t="n">
        <v>0</v>
      </c>
      <c r="R13977" s="2" t="inlineStr"/>
    </row>
    <row r="13978" ht="15" customHeight="1">
      <c r="A13978" t="inlineStr">
        <is>
          <t>A 46097-2025</t>
        </is>
      </c>
      <c r="B13978" s="1" t="n">
        <v>45924.54122685185</v>
      </c>
      <c r="C13978" s="1" t="n">
        <v>45952</v>
      </c>
      <c r="D13978" t="inlineStr">
        <is>
          <t>VÄSTRA GÖTALANDS LÄN</t>
        </is>
      </c>
      <c r="E13978" t="inlineStr">
        <is>
          <t>LIDKÖPING</t>
        </is>
      </c>
      <c r="G13978" t="n">
        <v>3.4</v>
      </c>
      <c r="H13978" t="n">
        <v>0</v>
      </c>
      <c r="I13978" t="n">
        <v>0</v>
      </c>
      <c r="J13978" t="n">
        <v>0</v>
      </c>
      <c r="K13978" t="n">
        <v>0</v>
      </c>
      <c r="L13978" t="n">
        <v>0</v>
      </c>
      <c r="M13978" t="n">
        <v>0</v>
      </c>
      <c r="N13978" t="n">
        <v>0</v>
      </c>
      <c r="O13978" t="n">
        <v>0</v>
      </c>
      <c r="P13978" t="n">
        <v>0</v>
      </c>
      <c r="Q13978" t="n">
        <v>0</v>
      </c>
      <c r="R13978" s="2" t="inlineStr"/>
    </row>
    <row r="13979" ht="15" customHeight="1">
      <c r="A13979" t="inlineStr">
        <is>
          <t>A 8127-2021</t>
        </is>
      </c>
      <c r="B13979" s="1" t="n">
        <v>44243</v>
      </c>
      <c r="C13979" s="1" t="n">
        <v>45952</v>
      </c>
      <c r="D13979" t="inlineStr">
        <is>
          <t>VÄSTRA GÖTALANDS LÄN</t>
        </is>
      </c>
      <c r="E13979" t="inlineStr">
        <is>
          <t>GÖTENE</t>
        </is>
      </c>
      <c r="G13979" t="n">
        <v>1.6</v>
      </c>
      <c r="H13979" t="n">
        <v>0</v>
      </c>
      <c r="I13979" t="n">
        <v>0</v>
      </c>
      <c r="J13979" t="n">
        <v>0</v>
      </c>
      <c r="K13979" t="n">
        <v>0</v>
      </c>
      <c r="L13979" t="n">
        <v>0</v>
      </c>
      <c r="M13979" t="n">
        <v>0</v>
      </c>
      <c r="N13979" t="n">
        <v>0</v>
      </c>
      <c r="O13979" t="n">
        <v>0</v>
      </c>
      <c r="P13979" t="n">
        <v>0</v>
      </c>
      <c r="Q13979" t="n">
        <v>0</v>
      </c>
      <c r="R13979" s="2" t="inlineStr"/>
    </row>
    <row r="13980" ht="15" customHeight="1">
      <c r="A13980" t="inlineStr">
        <is>
          <t>A 22186-2025</t>
        </is>
      </c>
      <c r="B13980" s="1" t="n">
        <v>45785.62194444444</v>
      </c>
      <c r="C13980" s="1" t="n">
        <v>45952</v>
      </c>
      <c r="D13980" t="inlineStr">
        <is>
          <t>VÄSTRA GÖTALANDS LÄN</t>
        </is>
      </c>
      <c r="E13980" t="inlineStr">
        <is>
          <t>ALINGSÅS</t>
        </is>
      </c>
      <c r="G13980" t="n">
        <v>2.2</v>
      </c>
      <c r="H13980" t="n">
        <v>0</v>
      </c>
      <c r="I13980" t="n">
        <v>0</v>
      </c>
      <c r="J13980" t="n">
        <v>0</v>
      </c>
      <c r="K13980" t="n">
        <v>0</v>
      </c>
      <c r="L13980" t="n">
        <v>0</v>
      </c>
      <c r="M13980" t="n">
        <v>0</v>
      </c>
      <c r="N13980" t="n">
        <v>0</v>
      </c>
      <c r="O13980" t="n">
        <v>0</v>
      </c>
      <c r="P13980" t="n">
        <v>0</v>
      </c>
      <c r="Q13980" t="n">
        <v>0</v>
      </c>
      <c r="R13980" s="2" t="inlineStr"/>
    </row>
    <row r="13981" ht="15" customHeight="1">
      <c r="A13981" t="inlineStr">
        <is>
          <t>A 38130-2025</t>
        </is>
      </c>
      <c r="B13981" s="1" t="n">
        <v>45882.56133101852</v>
      </c>
      <c r="C13981" s="1" t="n">
        <v>45952</v>
      </c>
      <c r="D13981" t="inlineStr">
        <is>
          <t>VÄSTRA GÖTALANDS LÄN</t>
        </is>
      </c>
      <c r="E13981" t="inlineStr">
        <is>
          <t>UDDEVALLA</t>
        </is>
      </c>
      <c r="G13981" t="n">
        <v>2.7</v>
      </c>
      <c r="H13981" t="n">
        <v>0</v>
      </c>
      <c r="I13981" t="n">
        <v>0</v>
      </c>
      <c r="J13981" t="n">
        <v>0</v>
      </c>
      <c r="K13981" t="n">
        <v>0</v>
      </c>
      <c r="L13981" t="n">
        <v>0</v>
      </c>
      <c r="M13981" t="n">
        <v>0</v>
      </c>
      <c r="N13981" t="n">
        <v>0</v>
      </c>
      <c r="O13981" t="n">
        <v>0</v>
      </c>
      <c r="P13981" t="n">
        <v>0</v>
      </c>
      <c r="Q13981" t="n">
        <v>0</v>
      </c>
      <c r="R13981" s="2" t="inlineStr"/>
    </row>
    <row r="13982" ht="15" customHeight="1">
      <c r="A13982" t="inlineStr">
        <is>
          <t>A 38040-2025</t>
        </is>
      </c>
      <c r="B13982" s="1" t="n">
        <v>45882.38126157408</v>
      </c>
      <c r="C13982" s="1" t="n">
        <v>45952</v>
      </c>
      <c r="D13982" t="inlineStr">
        <is>
          <t>VÄSTRA GÖTALANDS LÄN</t>
        </is>
      </c>
      <c r="E13982" t="inlineStr">
        <is>
          <t>MELLERUD</t>
        </is>
      </c>
      <c r="G13982" t="n">
        <v>2</v>
      </c>
      <c r="H13982" t="n">
        <v>0</v>
      </c>
      <c r="I13982" t="n">
        <v>0</v>
      </c>
      <c r="J13982" t="n">
        <v>0</v>
      </c>
      <c r="K13982" t="n">
        <v>0</v>
      </c>
      <c r="L13982" t="n">
        <v>0</v>
      </c>
      <c r="M13982" t="n">
        <v>0</v>
      </c>
      <c r="N13982" t="n">
        <v>0</v>
      </c>
      <c r="O13982" t="n">
        <v>0</v>
      </c>
      <c r="P13982" t="n">
        <v>0</v>
      </c>
      <c r="Q13982" t="n">
        <v>0</v>
      </c>
      <c r="R13982" s="2" t="inlineStr"/>
    </row>
    <row r="13983" ht="15" customHeight="1">
      <c r="A13983" t="inlineStr">
        <is>
          <t>A 46247-2025</t>
        </is>
      </c>
      <c r="B13983" s="1" t="n">
        <v>45925.33177083333</v>
      </c>
      <c r="C13983" s="1" t="n">
        <v>45952</v>
      </c>
      <c r="D13983" t="inlineStr">
        <is>
          <t>VÄSTRA GÖTALANDS LÄN</t>
        </is>
      </c>
      <c r="E13983" t="inlineStr">
        <is>
          <t>TIDAHOLM</t>
        </is>
      </c>
      <c r="G13983" t="n">
        <v>1.2</v>
      </c>
      <c r="H13983" t="n">
        <v>0</v>
      </c>
      <c r="I13983" t="n">
        <v>0</v>
      </c>
      <c r="J13983" t="n">
        <v>0</v>
      </c>
      <c r="K13983" t="n">
        <v>0</v>
      </c>
      <c r="L13983" t="n">
        <v>0</v>
      </c>
      <c r="M13983" t="n">
        <v>0</v>
      </c>
      <c r="N13983" t="n">
        <v>0</v>
      </c>
      <c r="O13983" t="n">
        <v>0</v>
      </c>
      <c r="P13983" t="n">
        <v>0</v>
      </c>
      <c r="Q13983" t="n">
        <v>0</v>
      </c>
      <c r="R13983" s="2" t="inlineStr"/>
    </row>
    <row r="13984" ht="15" customHeight="1">
      <c r="A13984" t="inlineStr">
        <is>
          <t>A 45942-2025</t>
        </is>
      </c>
      <c r="B13984" s="1" t="n">
        <v>45924.31892361111</v>
      </c>
      <c r="C13984" s="1" t="n">
        <v>45952</v>
      </c>
      <c r="D13984" t="inlineStr">
        <is>
          <t>VÄSTRA GÖTALANDS LÄN</t>
        </is>
      </c>
      <c r="E13984" t="inlineStr">
        <is>
          <t>BENGTSFORS</t>
        </is>
      </c>
      <c r="G13984" t="n">
        <v>4.6</v>
      </c>
      <c r="H13984" t="n">
        <v>0</v>
      </c>
      <c r="I13984" t="n">
        <v>0</v>
      </c>
      <c r="J13984" t="n">
        <v>0</v>
      </c>
      <c r="K13984" t="n">
        <v>0</v>
      </c>
      <c r="L13984" t="n">
        <v>0</v>
      </c>
      <c r="M13984" t="n">
        <v>0</v>
      </c>
      <c r="N13984" t="n">
        <v>0</v>
      </c>
      <c r="O13984" t="n">
        <v>0</v>
      </c>
      <c r="P13984" t="n">
        <v>0</v>
      </c>
      <c r="Q13984" t="n">
        <v>0</v>
      </c>
      <c r="R13984" s="2" t="inlineStr"/>
    </row>
    <row r="13985" ht="15" customHeight="1">
      <c r="A13985" t="inlineStr">
        <is>
          <t>A 58617-2023</t>
        </is>
      </c>
      <c r="B13985" s="1" t="n">
        <v>45251</v>
      </c>
      <c r="C13985" s="1" t="n">
        <v>45952</v>
      </c>
      <c r="D13985" t="inlineStr">
        <is>
          <t>VÄSTRA GÖTALANDS LÄN</t>
        </is>
      </c>
      <c r="E13985" t="inlineStr">
        <is>
          <t>MUNKEDAL</t>
        </is>
      </c>
      <c r="G13985" t="n">
        <v>0.6</v>
      </c>
      <c r="H13985" t="n">
        <v>0</v>
      </c>
      <c r="I13985" t="n">
        <v>0</v>
      </c>
      <c r="J13985" t="n">
        <v>0</v>
      </c>
      <c r="K13985" t="n">
        <v>0</v>
      </c>
      <c r="L13985" t="n">
        <v>0</v>
      </c>
      <c r="M13985" t="n">
        <v>0</v>
      </c>
      <c r="N13985" t="n">
        <v>0</v>
      </c>
      <c r="O13985" t="n">
        <v>0</v>
      </c>
      <c r="P13985" t="n">
        <v>0</v>
      </c>
      <c r="Q13985" t="n">
        <v>0</v>
      </c>
      <c r="R13985" s="2" t="inlineStr"/>
    </row>
    <row r="13986" ht="15" customHeight="1">
      <c r="A13986" t="inlineStr">
        <is>
          <t>A 46203-2025</t>
        </is>
      </c>
      <c r="B13986" s="1" t="n">
        <v>45924.70355324074</v>
      </c>
      <c r="C13986" s="1" t="n">
        <v>45952</v>
      </c>
      <c r="D13986" t="inlineStr">
        <is>
          <t>VÄSTRA GÖTALANDS LÄN</t>
        </is>
      </c>
      <c r="E13986" t="inlineStr">
        <is>
          <t>SKARA</t>
        </is>
      </c>
      <c r="F13986" t="inlineStr">
        <is>
          <t>Kyrkan</t>
        </is>
      </c>
      <c r="G13986" t="n">
        <v>2.8</v>
      </c>
      <c r="H13986" t="n">
        <v>0</v>
      </c>
      <c r="I13986" t="n">
        <v>0</v>
      </c>
      <c r="J13986" t="n">
        <v>0</v>
      </c>
      <c r="K13986" t="n">
        <v>0</v>
      </c>
      <c r="L13986" t="n">
        <v>0</v>
      </c>
      <c r="M13986" t="n">
        <v>0</v>
      </c>
      <c r="N13986" t="n">
        <v>0</v>
      </c>
      <c r="O13986" t="n">
        <v>0</v>
      </c>
      <c r="P13986" t="n">
        <v>0</v>
      </c>
      <c r="Q13986" t="n">
        <v>0</v>
      </c>
      <c r="R13986" s="2" t="inlineStr"/>
    </row>
    <row r="13987" ht="15" customHeight="1">
      <c r="A13987" t="inlineStr">
        <is>
          <t>A 46304-2025</t>
        </is>
      </c>
      <c r="B13987" s="1" t="n">
        <v>45925</v>
      </c>
      <c r="C13987" s="1" t="n">
        <v>45952</v>
      </c>
      <c r="D13987" t="inlineStr">
        <is>
          <t>VÄSTRA GÖTALANDS LÄN</t>
        </is>
      </c>
      <c r="E13987" t="inlineStr">
        <is>
          <t>UDDEVALLA</t>
        </is>
      </c>
      <c r="G13987" t="n">
        <v>1.1</v>
      </c>
      <c r="H13987" t="n">
        <v>0</v>
      </c>
      <c r="I13987" t="n">
        <v>0</v>
      </c>
      <c r="J13987" t="n">
        <v>0</v>
      </c>
      <c r="K13987" t="n">
        <v>0</v>
      </c>
      <c r="L13987" t="n">
        <v>0</v>
      </c>
      <c r="M13987" t="n">
        <v>0</v>
      </c>
      <c r="N13987" t="n">
        <v>0</v>
      </c>
      <c r="O13987" t="n">
        <v>0</v>
      </c>
      <c r="P13987" t="n">
        <v>0</v>
      </c>
      <c r="Q13987" t="n">
        <v>0</v>
      </c>
      <c r="R13987" s="2" t="inlineStr"/>
    </row>
    <row r="13988" ht="15" customHeight="1">
      <c r="A13988" t="inlineStr">
        <is>
          <t>A 46312-2025</t>
        </is>
      </c>
      <c r="B13988" s="1" t="n">
        <v>45925</v>
      </c>
      <c r="C13988" s="1" t="n">
        <v>45952</v>
      </c>
      <c r="D13988" t="inlineStr">
        <is>
          <t>VÄSTRA GÖTALANDS LÄN</t>
        </is>
      </c>
      <c r="E13988" t="inlineStr">
        <is>
          <t>ÅMÅL</t>
        </is>
      </c>
      <c r="F13988" t="inlineStr">
        <is>
          <t>Bergvik skog väst AB</t>
        </is>
      </c>
      <c r="G13988" t="n">
        <v>9.199999999999999</v>
      </c>
      <c r="H13988" t="n">
        <v>0</v>
      </c>
      <c r="I13988" t="n">
        <v>0</v>
      </c>
      <c r="J13988" t="n">
        <v>0</v>
      </c>
      <c r="K13988" t="n">
        <v>0</v>
      </c>
      <c r="L13988" t="n">
        <v>0</v>
      </c>
      <c r="M13988" t="n">
        <v>0</v>
      </c>
      <c r="N13988" t="n">
        <v>0</v>
      </c>
      <c r="O13988" t="n">
        <v>0</v>
      </c>
      <c r="P13988" t="n">
        <v>0</v>
      </c>
      <c r="Q13988" t="n">
        <v>0</v>
      </c>
      <c r="R13988" s="2" t="inlineStr"/>
    </row>
    <row r="13989" ht="15" customHeight="1">
      <c r="A13989" t="inlineStr">
        <is>
          <t>A 30796-2024</t>
        </is>
      </c>
      <c r="B13989" s="1" t="n">
        <v>45497.36230324074</v>
      </c>
      <c r="C13989" s="1" t="n">
        <v>45952</v>
      </c>
      <c r="D13989" t="inlineStr">
        <is>
          <t>VÄSTRA GÖTALANDS LÄN</t>
        </is>
      </c>
      <c r="E13989" t="inlineStr">
        <is>
          <t>TROLLHÄTTAN</t>
        </is>
      </c>
      <c r="G13989" t="n">
        <v>3.7</v>
      </c>
      <c r="H13989" t="n">
        <v>0</v>
      </c>
      <c r="I13989" t="n">
        <v>0</v>
      </c>
      <c r="J13989" t="n">
        <v>0</v>
      </c>
      <c r="K13989" t="n">
        <v>0</v>
      </c>
      <c r="L13989" t="n">
        <v>0</v>
      </c>
      <c r="M13989" t="n">
        <v>0</v>
      </c>
      <c r="N13989" t="n">
        <v>0</v>
      </c>
      <c r="O13989" t="n">
        <v>0</v>
      </c>
      <c r="P13989" t="n">
        <v>0</v>
      </c>
      <c r="Q13989" t="n">
        <v>0</v>
      </c>
      <c r="R13989" s="2" t="inlineStr"/>
    </row>
    <row r="13990" ht="15" customHeight="1">
      <c r="A13990" t="inlineStr">
        <is>
          <t>A 46237-2025</t>
        </is>
      </c>
      <c r="B13990" s="1" t="n">
        <v>45925.30956018518</v>
      </c>
      <c r="C13990" s="1" t="n">
        <v>45952</v>
      </c>
      <c r="D13990" t="inlineStr">
        <is>
          <t>VÄSTRA GÖTALANDS LÄN</t>
        </is>
      </c>
      <c r="E13990" t="inlineStr">
        <is>
          <t>VÅRGÅRDA</t>
        </is>
      </c>
      <c r="G13990" t="n">
        <v>14.2</v>
      </c>
      <c r="H13990" t="n">
        <v>0</v>
      </c>
      <c r="I13990" t="n">
        <v>0</v>
      </c>
      <c r="J13990" t="n">
        <v>0</v>
      </c>
      <c r="K13990" t="n">
        <v>0</v>
      </c>
      <c r="L13990" t="n">
        <v>0</v>
      </c>
      <c r="M13990" t="n">
        <v>0</v>
      </c>
      <c r="N13990" t="n">
        <v>0</v>
      </c>
      <c r="O13990" t="n">
        <v>0</v>
      </c>
      <c r="P13990" t="n">
        <v>0</v>
      </c>
      <c r="Q13990" t="n">
        <v>0</v>
      </c>
      <c r="R13990" s="2" t="inlineStr"/>
    </row>
    <row r="13991" ht="15" customHeight="1">
      <c r="A13991" t="inlineStr">
        <is>
          <t>A 46240-2025</t>
        </is>
      </c>
      <c r="B13991" s="1" t="n">
        <v>45925.3152662037</v>
      </c>
      <c r="C13991" s="1" t="n">
        <v>45952</v>
      </c>
      <c r="D13991" t="inlineStr">
        <is>
          <t>VÄSTRA GÖTALANDS LÄN</t>
        </is>
      </c>
      <c r="E13991" t="inlineStr">
        <is>
          <t>DALS-ED</t>
        </is>
      </c>
      <c r="G13991" t="n">
        <v>19.8</v>
      </c>
      <c r="H13991" t="n">
        <v>0</v>
      </c>
      <c r="I13991" t="n">
        <v>0</v>
      </c>
      <c r="J13991" t="n">
        <v>0</v>
      </c>
      <c r="K13991" t="n">
        <v>0</v>
      </c>
      <c r="L13991" t="n">
        <v>0</v>
      </c>
      <c r="M13991" t="n">
        <v>0</v>
      </c>
      <c r="N13991" t="n">
        <v>0</v>
      </c>
      <c r="O13991" t="n">
        <v>0</v>
      </c>
      <c r="P13991" t="n">
        <v>0</v>
      </c>
      <c r="Q13991" t="n">
        <v>0</v>
      </c>
      <c r="R13991" s="2" t="inlineStr"/>
    </row>
    <row r="13992" ht="15" customHeight="1">
      <c r="A13992" t="inlineStr">
        <is>
          <t>A 17922-2025</t>
        </is>
      </c>
      <c r="B13992" s="1" t="n">
        <v>45758.90710648148</v>
      </c>
      <c r="C13992" s="1" t="n">
        <v>45952</v>
      </c>
      <c r="D13992" t="inlineStr">
        <is>
          <t>VÄSTRA GÖTALANDS LÄN</t>
        </is>
      </c>
      <c r="E13992" t="inlineStr">
        <is>
          <t>KUNGÄLV</t>
        </is>
      </c>
      <c r="G13992" t="n">
        <v>0.8</v>
      </c>
      <c r="H13992" t="n">
        <v>0</v>
      </c>
      <c r="I13992" t="n">
        <v>0</v>
      </c>
      <c r="J13992" t="n">
        <v>0</v>
      </c>
      <c r="K13992" t="n">
        <v>0</v>
      </c>
      <c r="L13992" t="n">
        <v>0</v>
      </c>
      <c r="M13992" t="n">
        <v>0</v>
      </c>
      <c r="N13992" t="n">
        <v>0</v>
      </c>
      <c r="O13992" t="n">
        <v>0</v>
      </c>
      <c r="P13992" t="n">
        <v>0</v>
      </c>
      <c r="Q13992" t="n">
        <v>0</v>
      </c>
      <c r="R13992" s="2" t="inlineStr"/>
    </row>
    <row r="13993" ht="15" customHeight="1">
      <c r="A13993" t="inlineStr">
        <is>
          <t>A 46081-2023</t>
        </is>
      </c>
      <c r="B13993" s="1" t="n">
        <v>45196.4919212963</v>
      </c>
      <c r="C13993" s="1" t="n">
        <v>45952</v>
      </c>
      <c r="D13993" t="inlineStr">
        <is>
          <t>VÄSTRA GÖTALANDS LÄN</t>
        </is>
      </c>
      <c r="E13993" t="inlineStr">
        <is>
          <t>TRANEMO</t>
        </is>
      </c>
      <c r="G13993" t="n">
        <v>0.5</v>
      </c>
      <c r="H13993" t="n">
        <v>0</v>
      </c>
      <c r="I13993" t="n">
        <v>0</v>
      </c>
      <c r="J13993" t="n">
        <v>0</v>
      </c>
      <c r="K13993" t="n">
        <v>0</v>
      </c>
      <c r="L13993" t="n">
        <v>0</v>
      </c>
      <c r="M13993" t="n">
        <v>0</v>
      </c>
      <c r="N13993" t="n">
        <v>0</v>
      </c>
      <c r="O13993" t="n">
        <v>0</v>
      </c>
      <c r="P13993" t="n">
        <v>0</v>
      </c>
      <c r="Q13993" t="n">
        <v>0</v>
      </c>
      <c r="R13993" s="2" t="inlineStr"/>
    </row>
    <row r="13994" ht="15" customHeight="1">
      <c r="A13994" t="inlineStr">
        <is>
          <t>A 46234-2025</t>
        </is>
      </c>
      <c r="B13994" s="1" t="n">
        <v>45925.29591435185</v>
      </c>
      <c r="C13994" s="1" t="n">
        <v>45952</v>
      </c>
      <c r="D13994" t="inlineStr">
        <is>
          <t>VÄSTRA GÖTALANDS LÄN</t>
        </is>
      </c>
      <c r="E13994" t="inlineStr">
        <is>
          <t>VÅRGÅRDA</t>
        </is>
      </c>
      <c r="G13994" t="n">
        <v>2.2</v>
      </c>
      <c r="H13994" t="n">
        <v>0</v>
      </c>
      <c r="I13994" t="n">
        <v>0</v>
      </c>
      <c r="J13994" t="n">
        <v>0</v>
      </c>
      <c r="K13994" t="n">
        <v>0</v>
      </c>
      <c r="L13994" t="n">
        <v>0</v>
      </c>
      <c r="M13994" t="n">
        <v>0</v>
      </c>
      <c r="N13994" t="n">
        <v>0</v>
      </c>
      <c r="O13994" t="n">
        <v>0</v>
      </c>
      <c r="P13994" t="n">
        <v>0</v>
      </c>
      <c r="Q13994" t="n">
        <v>0</v>
      </c>
      <c r="R13994" s="2" t="inlineStr"/>
    </row>
    <row r="13995" ht="15" customHeight="1">
      <c r="A13995" t="inlineStr">
        <is>
          <t>A 46294-2025</t>
        </is>
      </c>
      <c r="B13995" s="1" t="n">
        <v>45925.39627314815</v>
      </c>
      <c r="C13995" s="1" t="n">
        <v>45952</v>
      </c>
      <c r="D13995" t="inlineStr">
        <is>
          <t>VÄSTRA GÖTALANDS LÄN</t>
        </is>
      </c>
      <c r="E13995" t="inlineStr">
        <is>
          <t>MARK</t>
        </is>
      </c>
      <c r="G13995" t="n">
        <v>4.7</v>
      </c>
      <c r="H13995" t="n">
        <v>0</v>
      </c>
      <c r="I13995" t="n">
        <v>0</v>
      </c>
      <c r="J13995" t="n">
        <v>0</v>
      </c>
      <c r="K13995" t="n">
        <v>0</v>
      </c>
      <c r="L13995" t="n">
        <v>0</v>
      </c>
      <c r="M13995" t="n">
        <v>0</v>
      </c>
      <c r="N13995" t="n">
        <v>0</v>
      </c>
      <c r="O13995" t="n">
        <v>0</v>
      </c>
      <c r="P13995" t="n">
        <v>0</v>
      </c>
      <c r="Q13995" t="n">
        <v>0</v>
      </c>
      <c r="R13995" s="2" t="inlineStr"/>
    </row>
    <row r="13996" ht="15" customHeight="1">
      <c r="A13996" t="inlineStr">
        <is>
          <t>A 26428-2022</t>
        </is>
      </c>
      <c r="B13996" s="1" t="n">
        <v>44736.31748842593</v>
      </c>
      <c r="C13996" s="1" t="n">
        <v>45952</v>
      </c>
      <c r="D13996" t="inlineStr">
        <is>
          <t>VÄSTRA GÖTALANDS LÄN</t>
        </is>
      </c>
      <c r="E13996" t="inlineStr">
        <is>
          <t>MELLERUD</t>
        </is>
      </c>
      <c r="G13996" t="n">
        <v>0.4</v>
      </c>
      <c r="H13996" t="n">
        <v>0</v>
      </c>
      <c r="I13996" t="n">
        <v>0</v>
      </c>
      <c r="J13996" t="n">
        <v>0</v>
      </c>
      <c r="K13996" t="n">
        <v>0</v>
      </c>
      <c r="L13996" t="n">
        <v>0</v>
      </c>
      <c r="M13996" t="n">
        <v>0</v>
      </c>
      <c r="N13996" t="n">
        <v>0</v>
      </c>
      <c r="O13996" t="n">
        <v>0</v>
      </c>
      <c r="P13996" t="n">
        <v>0</v>
      </c>
      <c r="Q13996" t="n">
        <v>0</v>
      </c>
      <c r="R13996" s="2" t="inlineStr"/>
    </row>
    <row r="13997" ht="15" customHeight="1">
      <c r="A13997" t="inlineStr">
        <is>
          <t>A 38108-2025</t>
        </is>
      </c>
      <c r="B13997" s="1" t="n">
        <v>45882.5039699074</v>
      </c>
      <c r="C13997" s="1" t="n">
        <v>45952</v>
      </c>
      <c r="D13997" t="inlineStr">
        <is>
          <t>VÄSTRA GÖTALANDS LÄN</t>
        </is>
      </c>
      <c r="E13997" t="inlineStr">
        <is>
          <t>BOLLEBYGD</t>
        </is>
      </c>
      <c r="G13997" t="n">
        <v>4.6</v>
      </c>
      <c r="H13997" t="n">
        <v>0</v>
      </c>
      <c r="I13997" t="n">
        <v>0</v>
      </c>
      <c r="J13997" t="n">
        <v>0</v>
      </c>
      <c r="K13997" t="n">
        <v>0</v>
      </c>
      <c r="L13997" t="n">
        <v>0</v>
      </c>
      <c r="M13997" t="n">
        <v>0</v>
      </c>
      <c r="N13997" t="n">
        <v>0</v>
      </c>
      <c r="O13997" t="n">
        <v>0</v>
      </c>
      <c r="P13997" t="n">
        <v>0</v>
      </c>
      <c r="Q13997" t="n">
        <v>0</v>
      </c>
      <c r="R13997" s="2" t="inlineStr"/>
    </row>
    <row r="13998" ht="15" customHeight="1">
      <c r="A13998" t="inlineStr">
        <is>
          <t>A 38207-2025</t>
        </is>
      </c>
      <c r="B13998" s="1" t="n">
        <v>45882.70383101852</v>
      </c>
      <c r="C13998" s="1" t="n">
        <v>45952</v>
      </c>
      <c r="D13998" t="inlineStr">
        <is>
          <t>VÄSTRA GÖTALANDS LÄN</t>
        </is>
      </c>
      <c r="E13998" t="inlineStr">
        <is>
          <t>TRANEMO</t>
        </is>
      </c>
      <c r="G13998" t="n">
        <v>5.4</v>
      </c>
      <c r="H13998" t="n">
        <v>0</v>
      </c>
      <c r="I13998" t="n">
        <v>0</v>
      </c>
      <c r="J13998" t="n">
        <v>0</v>
      </c>
      <c r="K13998" t="n">
        <v>0</v>
      </c>
      <c r="L13998" t="n">
        <v>0</v>
      </c>
      <c r="M13998" t="n">
        <v>0</v>
      </c>
      <c r="N13998" t="n">
        <v>0</v>
      </c>
      <c r="O13998" t="n">
        <v>0</v>
      </c>
      <c r="P13998" t="n">
        <v>0</v>
      </c>
      <c r="Q13998" t="n">
        <v>0</v>
      </c>
      <c r="R13998" s="2" t="inlineStr"/>
    </row>
    <row r="13999" ht="15" customHeight="1">
      <c r="A13999" t="inlineStr">
        <is>
          <t>A 22861-2024</t>
        </is>
      </c>
      <c r="B13999" s="1" t="n">
        <v>45448.62668981482</v>
      </c>
      <c r="C13999" s="1" t="n">
        <v>45952</v>
      </c>
      <c r="D13999" t="inlineStr">
        <is>
          <t>VÄSTRA GÖTALANDS LÄN</t>
        </is>
      </c>
      <c r="E13999" t="inlineStr">
        <is>
          <t>TÖREBODA</t>
        </is>
      </c>
      <c r="F13999" t="inlineStr">
        <is>
          <t>Övriga statliga verk och myndigheter</t>
        </is>
      </c>
      <c r="G13999" t="n">
        <v>3.9</v>
      </c>
      <c r="H13999" t="n">
        <v>0</v>
      </c>
      <c r="I13999" t="n">
        <v>0</v>
      </c>
      <c r="J13999" t="n">
        <v>0</v>
      </c>
      <c r="K13999" t="n">
        <v>0</v>
      </c>
      <c r="L13999" t="n">
        <v>0</v>
      </c>
      <c r="M13999" t="n">
        <v>0</v>
      </c>
      <c r="N13999" t="n">
        <v>0</v>
      </c>
      <c r="O13999" t="n">
        <v>0</v>
      </c>
      <c r="P13999" t="n">
        <v>0</v>
      </c>
      <c r="Q13999" t="n">
        <v>0</v>
      </c>
      <c r="R13999" s="2" t="inlineStr"/>
    </row>
    <row r="14000" ht="15" customHeight="1">
      <c r="A14000" t="inlineStr">
        <is>
          <t>A 640-2021</t>
        </is>
      </c>
      <c r="B14000" s="1" t="n">
        <v>44201</v>
      </c>
      <c r="C14000" s="1" t="n">
        <v>45952</v>
      </c>
      <c r="D14000" t="inlineStr">
        <is>
          <t>VÄSTRA GÖTALANDS LÄN</t>
        </is>
      </c>
      <c r="E14000" t="inlineStr">
        <is>
          <t>SKÖVDE</t>
        </is>
      </c>
      <c r="G14000" t="n">
        <v>0.6</v>
      </c>
      <c r="H14000" t="n">
        <v>0</v>
      </c>
      <c r="I14000" t="n">
        <v>0</v>
      </c>
      <c r="J14000" t="n">
        <v>0</v>
      </c>
      <c r="K14000" t="n">
        <v>0</v>
      </c>
      <c r="L14000" t="n">
        <v>0</v>
      </c>
      <c r="M14000" t="n">
        <v>0</v>
      </c>
      <c r="N14000" t="n">
        <v>0</v>
      </c>
      <c r="O14000" t="n">
        <v>0</v>
      </c>
      <c r="P14000" t="n">
        <v>0</v>
      </c>
      <c r="Q14000" t="n">
        <v>0</v>
      </c>
      <c r="R14000" s="2" t="inlineStr"/>
    </row>
    <row r="14001" ht="15" customHeight="1">
      <c r="A14001" t="inlineStr">
        <is>
          <t>A 663-2021</t>
        </is>
      </c>
      <c r="B14001" s="1" t="n">
        <v>44203</v>
      </c>
      <c r="C14001" s="1" t="n">
        <v>45952</v>
      </c>
      <c r="D14001" t="inlineStr">
        <is>
          <t>VÄSTRA GÖTALANDS LÄN</t>
        </is>
      </c>
      <c r="E14001" t="inlineStr">
        <is>
          <t>GRÄSTORP</t>
        </is>
      </c>
      <c r="G14001" t="n">
        <v>0.4</v>
      </c>
      <c r="H14001" t="n">
        <v>0</v>
      </c>
      <c r="I14001" t="n">
        <v>0</v>
      </c>
      <c r="J14001" t="n">
        <v>0</v>
      </c>
      <c r="K14001" t="n">
        <v>0</v>
      </c>
      <c r="L14001" t="n">
        <v>0</v>
      </c>
      <c r="M14001" t="n">
        <v>0</v>
      </c>
      <c r="N14001" t="n">
        <v>0</v>
      </c>
      <c r="O14001" t="n">
        <v>0</v>
      </c>
      <c r="P14001" t="n">
        <v>0</v>
      </c>
      <c r="Q14001" t="n">
        <v>0</v>
      </c>
      <c r="R14001" s="2" t="inlineStr"/>
    </row>
    <row r="14002" ht="15" customHeight="1">
      <c r="A14002" t="inlineStr">
        <is>
          <t>A 38119-2025</t>
        </is>
      </c>
      <c r="B14002" s="1" t="n">
        <v>45882</v>
      </c>
      <c r="C14002" s="1" t="n">
        <v>45952</v>
      </c>
      <c r="D14002" t="inlineStr">
        <is>
          <t>VÄSTRA GÖTALANDS LÄN</t>
        </is>
      </c>
      <c r="E14002" t="inlineStr">
        <is>
          <t>TIDAHOLM</t>
        </is>
      </c>
      <c r="F14002" t="inlineStr">
        <is>
          <t>Allmännings- och besparingsskogar</t>
        </is>
      </c>
      <c r="G14002" t="n">
        <v>5.3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36820-2022</t>
        </is>
      </c>
      <c r="B14003" s="1" t="n">
        <v>44805.55697916666</v>
      </c>
      <c r="C14003" s="1" t="n">
        <v>45952</v>
      </c>
      <c r="D14003" t="inlineStr">
        <is>
          <t>VÄSTRA GÖTALANDS LÄN</t>
        </is>
      </c>
      <c r="E14003" t="inlineStr">
        <is>
          <t>KARLSBORG</t>
        </is>
      </c>
      <c r="G14003" t="n">
        <v>1.5</v>
      </c>
      <c r="H14003" t="n">
        <v>0</v>
      </c>
      <c r="I14003" t="n">
        <v>0</v>
      </c>
      <c r="J14003" t="n">
        <v>0</v>
      </c>
      <c r="K14003" t="n">
        <v>0</v>
      </c>
      <c r="L14003" t="n">
        <v>0</v>
      </c>
      <c r="M14003" t="n">
        <v>0</v>
      </c>
      <c r="N14003" t="n">
        <v>0</v>
      </c>
      <c r="O14003" t="n">
        <v>0</v>
      </c>
      <c r="P14003" t="n">
        <v>0</v>
      </c>
      <c r="Q14003" t="n">
        <v>0</v>
      </c>
      <c r="R14003" s="2" t="inlineStr"/>
    </row>
    <row r="14004" ht="15" customHeight="1">
      <c r="A14004" t="inlineStr">
        <is>
          <t>A 60792-2022</t>
        </is>
      </c>
      <c r="B14004" s="1" t="n">
        <v>44914.42209490741</v>
      </c>
      <c r="C14004" s="1" t="n">
        <v>45952</v>
      </c>
      <c r="D14004" t="inlineStr">
        <is>
          <t>VÄSTRA GÖTALANDS LÄN</t>
        </is>
      </c>
      <c r="E14004" t="inlineStr">
        <is>
          <t>BOLLEBYGD</t>
        </is>
      </c>
      <c r="G14004" t="n">
        <v>1.3</v>
      </c>
      <c r="H14004" t="n">
        <v>0</v>
      </c>
      <c r="I14004" t="n">
        <v>0</v>
      </c>
      <c r="J14004" t="n">
        <v>0</v>
      </c>
      <c r="K14004" t="n">
        <v>0</v>
      </c>
      <c r="L14004" t="n">
        <v>0</v>
      </c>
      <c r="M14004" t="n">
        <v>0</v>
      </c>
      <c r="N14004" t="n">
        <v>0</v>
      </c>
      <c r="O14004" t="n">
        <v>0</v>
      </c>
      <c r="P14004" t="n">
        <v>0</v>
      </c>
      <c r="Q14004" t="n">
        <v>0</v>
      </c>
      <c r="R14004" s="2" t="inlineStr"/>
    </row>
    <row r="14005" ht="15" customHeight="1">
      <c r="A14005" t="inlineStr">
        <is>
          <t>A 46171-2025</t>
        </is>
      </c>
      <c r="B14005" s="1" t="n">
        <v>45924.64631944444</v>
      </c>
      <c r="C14005" s="1" t="n">
        <v>45952</v>
      </c>
      <c r="D14005" t="inlineStr">
        <is>
          <t>VÄSTRA GÖTALANDS LÄN</t>
        </is>
      </c>
      <c r="E14005" t="inlineStr">
        <is>
          <t>ULRICEHAMN</t>
        </is>
      </c>
      <c r="G14005" t="n">
        <v>0.7</v>
      </c>
      <c r="H14005" t="n">
        <v>0</v>
      </c>
      <c r="I14005" t="n">
        <v>0</v>
      </c>
      <c r="J14005" t="n">
        <v>0</v>
      </c>
      <c r="K14005" t="n">
        <v>0</v>
      </c>
      <c r="L14005" t="n">
        <v>0</v>
      </c>
      <c r="M14005" t="n">
        <v>0</v>
      </c>
      <c r="N14005" t="n">
        <v>0</v>
      </c>
      <c r="O14005" t="n">
        <v>0</v>
      </c>
      <c r="P14005" t="n">
        <v>0</v>
      </c>
      <c r="Q14005" t="n">
        <v>0</v>
      </c>
      <c r="R14005" s="2" t="inlineStr"/>
    </row>
    <row r="14006" ht="15" customHeight="1">
      <c r="A14006" t="inlineStr">
        <is>
          <t>A 1288-2025</t>
        </is>
      </c>
      <c r="B14006" s="1" t="n">
        <v>45667.50971064815</v>
      </c>
      <c r="C14006" s="1" t="n">
        <v>45952</v>
      </c>
      <c r="D14006" t="inlineStr">
        <is>
          <t>VÄSTRA GÖTALANDS LÄN</t>
        </is>
      </c>
      <c r="E14006" t="inlineStr">
        <is>
          <t>ORUST</t>
        </is>
      </c>
      <c r="G14006" t="n">
        <v>1.8</v>
      </c>
      <c r="H14006" t="n">
        <v>0</v>
      </c>
      <c r="I14006" t="n">
        <v>0</v>
      </c>
      <c r="J14006" t="n">
        <v>0</v>
      </c>
      <c r="K14006" t="n">
        <v>0</v>
      </c>
      <c r="L14006" t="n">
        <v>0</v>
      </c>
      <c r="M14006" t="n">
        <v>0</v>
      </c>
      <c r="N14006" t="n">
        <v>0</v>
      </c>
      <c r="O14006" t="n">
        <v>0</v>
      </c>
      <c r="P14006" t="n">
        <v>0</v>
      </c>
      <c r="Q14006" t="n">
        <v>0</v>
      </c>
      <c r="R14006" s="2" t="inlineStr"/>
    </row>
    <row r="14007" ht="15" customHeight="1">
      <c r="A14007" t="inlineStr">
        <is>
          <t>A 58650-2023</t>
        </is>
      </c>
      <c r="B14007" s="1" t="n">
        <v>45251.59912037037</v>
      </c>
      <c r="C14007" s="1" t="n">
        <v>45952</v>
      </c>
      <c r="D14007" t="inlineStr">
        <is>
          <t>VÄSTRA GÖTALANDS LÄN</t>
        </is>
      </c>
      <c r="E14007" t="inlineStr">
        <is>
          <t>GÖTENE</t>
        </is>
      </c>
      <c r="G14007" t="n">
        <v>1</v>
      </c>
      <c r="H14007" t="n">
        <v>0</v>
      </c>
      <c r="I14007" t="n">
        <v>0</v>
      </c>
      <c r="J14007" t="n">
        <v>0</v>
      </c>
      <c r="K14007" t="n">
        <v>0</v>
      </c>
      <c r="L14007" t="n">
        <v>0</v>
      </c>
      <c r="M14007" t="n">
        <v>0</v>
      </c>
      <c r="N14007" t="n">
        <v>0</v>
      </c>
      <c r="O14007" t="n">
        <v>0</v>
      </c>
      <c r="P14007" t="n">
        <v>0</v>
      </c>
      <c r="Q14007" t="n">
        <v>0</v>
      </c>
      <c r="R14007" s="2" t="inlineStr"/>
    </row>
    <row r="14008" ht="15" customHeight="1">
      <c r="A14008" t="inlineStr">
        <is>
          <t>A 46155-2025</t>
        </is>
      </c>
      <c r="B14008" s="1" t="n">
        <v>45924.61878472222</v>
      </c>
      <c r="C14008" s="1" t="n">
        <v>45952</v>
      </c>
      <c r="D14008" t="inlineStr">
        <is>
          <t>VÄSTRA GÖTALANDS LÄN</t>
        </is>
      </c>
      <c r="E14008" t="inlineStr">
        <is>
          <t>SKARA</t>
        </is>
      </c>
      <c r="F14008" t="inlineStr">
        <is>
          <t>Kyrkan</t>
        </is>
      </c>
      <c r="G14008" t="n">
        <v>0.5</v>
      </c>
      <c r="H14008" t="n">
        <v>0</v>
      </c>
      <c r="I14008" t="n">
        <v>0</v>
      </c>
      <c r="J14008" t="n">
        <v>0</v>
      </c>
      <c r="K14008" t="n">
        <v>0</v>
      </c>
      <c r="L14008" t="n">
        <v>0</v>
      </c>
      <c r="M14008" t="n">
        <v>0</v>
      </c>
      <c r="N14008" t="n">
        <v>0</v>
      </c>
      <c r="O14008" t="n">
        <v>0</v>
      </c>
      <c r="P14008" t="n">
        <v>0</v>
      </c>
      <c r="Q14008" t="n">
        <v>0</v>
      </c>
      <c r="R14008" s="2" t="inlineStr"/>
    </row>
    <row r="14009" ht="15" customHeight="1">
      <c r="A14009" t="inlineStr">
        <is>
          <t>A 12487-2022</t>
        </is>
      </c>
      <c r="B14009" s="1" t="n">
        <v>44638.47725694445</v>
      </c>
      <c r="C14009" s="1" t="n">
        <v>45952</v>
      </c>
      <c r="D14009" t="inlineStr">
        <is>
          <t>VÄSTRA GÖTALANDS LÄN</t>
        </is>
      </c>
      <c r="E14009" t="inlineStr">
        <is>
          <t>HERRLJUNGA</t>
        </is>
      </c>
      <c r="G14009" t="n">
        <v>1.2</v>
      </c>
      <c r="H14009" t="n">
        <v>0</v>
      </c>
      <c r="I14009" t="n">
        <v>0</v>
      </c>
      <c r="J14009" t="n">
        <v>0</v>
      </c>
      <c r="K14009" t="n">
        <v>0</v>
      </c>
      <c r="L14009" t="n">
        <v>0</v>
      </c>
      <c r="M14009" t="n">
        <v>0</v>
      </c>
      <c r="N14009" t="n">
        <v>0</v>
      </c>
      <c r="O14009" t="n">
        <v>0</v>
      </c>
      <c r="P14009" t="n">
        <v>0</v>
      </c>
      <c r="Q14009" t="n">
        <v>0</v>
      </c>
      <c r="R14009" s="2" t="inlineStr"/>
    </row>
    <row r="14010" ht="15" customHeight="1">
      <c r="A14010" t="inlineStr">
        <is>
          <t>A 46071-2025</t>
        </is>
      </c>
      <c r="B14010" s="1" t="n">
        <v>45924.49282407408</v>
      </c>
      <c r="C14010" s="1" t="n">
        <v>45952</v>
      </c>
      <c r="D14010" t="inlineStr">
        <is>
          <t>VÄSTRA GÖTALANDS LÄN</t>
        </is>
      </c>
      <c r="E14010" t="inlineStr">
        <is>
          <t>FALKÖPING</t>
        </is>
      </c>
      <c r="G14010" t="n">
        <v>2.3</v>
      </c>
      <c r="H14010" t="n">
        <v>0</v>
      </c>
      <c r="I14010" t="n">
        <v>0</v>
      </c>
      <c r="J14010" t="n">
        <v>0</v>
      </c>
      <c r="K14010" t="n">
        <v>0</v>
      </c>
      <c r="L14010" t="n">
        <v>0</v>
      </c>
      <c r="M14010" t="n">
        <v>0</v>
      </c>
      <c r="N14010" t="n">
        <v>0</v>
      </c>
      <c r="O14010" t="n">
        <v>0</v>
      </c>
      <c r="P14010" t="n">
        <v>0</v>
      </c>
      <c r="Q14010" t="n">
        <v>0</v>
      </c>
      <c r="R14010" s="2" t="inlineStr"/>
    </row>
    <row r="14011" ht="15" customHeight="1">
      <c r="A14011" t="inlineStr">
        <is>
          <t>A 32463-2022</t>
        </is>
      </c>
      <c r="B14011" s="1" t="n">
        <v>44782.57694444444</v>
      </c>
      <c r="C14011" s="1" t="n">
        <v>45952</v>
      </c>
      <c r="D14011" t="inlineStr">
        <is>
          <t>VÄSTRA GÖTALANDS LÄN</t>
        </is>
      </c>
      <c r="E14011" t="inlineStr">
        <is>
          <t>TÖREBODA</t>
        </is>
      </c>
      <c r="F14011" t="inlineStr">
        <is>
          <t>Övriga statliga verk och myndigheter</t>
        </is>
      </c>
      <c r="G14011" t="n">
        <v>1</v>
      </c>
      <c r="H14011" t="n">
        <v>0</v>
      </c>
      <c r="I14011" t="n">
        <v>0</v>
      </c>
      <c r="J14011" t="n">
        <v>0</v>
      </c>
      <c r="K14011" t="n">
        <v>0</v>
      </c>
      <c r="L14011" t="n">
        <v>0</v>
      </c>
      <c r="M14011" t="n">
        <v>0</v>
      </c>
      <c r="N14011" t="n">
        <v>0</v>
      </c>
      <c r="O14011" t="n">
        <v>0</v>
      </c>
      <c r="P14011" t="n">
        <v>0</v>
      </c>
      <c r="Q14011" t="n">
        <v>0</v>
      </c>
      <c r="R14011" s="2" t="inlineStr"/>
    </row>
    <row r="14012" ht="15" customHeight="1">
      <c r="A14012" t="inlineStr">
        <is>
          <t>A 44279-2024</t>
        </is>
      </c>
      <c r="B14012" s="1" t="n">
        <v>45573.49206018518</v>
      </c>
      <c r="C14012" s="1" t="n">
        <v>45952</v>
      </c>
      <c r="D14012" t="inlineStr">
        <is>
          <t>VÄSTRA GÖTALANDS LÄN</t>
        </is>
      </c>
      <c r="E14012" t="inlineStr">
        <is>
          <t>TRANEMO</t>
        </is>
      </c>
      <c r="F14012" t="inlineStr">
        <is>
          <t>Sveaskog</t>
        </is>
      </c>
      <c r="G14012" t="n">
        <v>0.6</v>
      </c>
      <c r="H14012" t="n">
        <v>0</v>
      </c>
      <c r="I14012" t="n">
        <v>0</v>
      </c>
      <c r="J14012" t="n">
        <v>0</v>
      </c>
      <c r="K14012" t="n">
        <v>0</v>
      </c>
      <c r="L14012" t="n">
        <v>0</v>
      </c>
      <c r="M14012" t="n">
        <v>0</v>
      </c>
      <c r="N14012" t="n">
        <v>0</v>
      </c>
      <c r="O14012" t="n">
        <v>0</v>
      </c>
      <c r="P14012" t="n">
        <v>0</v>
      </c>
      <c r="Q14012" t="n">
        <v>0</v>
      </c>
      <c r="R14012" s="2" t="inlineStr"/>
    </row>
    <row r="14013" ht="15" customHeight="1">
      <c r="A14013" t="inlineStr">
        <is>
          <t>A 44301-2024</t>
        </is>
      </c>
      <c r="B14013" s="1" t="n">
        <v>45573.55783564815</v>
      </c>
      <c r="C14013" s="1" t="n">
        <v>45952</v>
      </c>
      <c r="D14013" t="inlineStr">
        <is>
          <t>VÄSTRA GÖTALANDS LÄN</t>
        </is>
      </c>
      <c r="E14013" t="inlineStr">
        <is>
          <t>ULRICEHAMN</t>
        </is>
      </c>
      <c r="G14013" t="n">
        <v>3.7</v>
      </c>
      <c r="H14013" t="n">
        <v>0</v>
      </c>
      <c r="I14013" t="n">
        <v>0</v>
      </c>
      <c r="J14013" t="n">
        <v>0</v>
      </c>
      <c r="K14013" t="n">
        <v>0</v>
      </c>
      <c r="L14013" t="n">
        <v>0</v>
      </c>
      <c r="M14013" t="n">
        <v>0</v>
      </c>
      <c r="N14013" t="n">
        <v>0</v>
      </c>
      <c r="O14013" t="n">
        <v>0</v>
      </c>
      <c r="P14013" t="n">
        <v>0</v>
      </c>
      <c r="Q14013" t="n">
        <v>0</v>
      </c>
      <c r="R14013" s="2" t="inlineStr"/>
    </row>
    <row r="14014" ht="15" customHeight="1">
      <c r="A14014" t="inlineStr">
        <is>
          <t>A 9243-2025</t>
        </is>
      </c>
      <c r="B14014" s="1" t="n">
        <v>45714.56596064815</v>
      </c>
      <c r="C14014" s="1" t="n">
        <v>45952</v>
      </c>
      <c r="D14014" t="inlineStr">
        <is>
          <t>VÄSTRA GÖTALANDS LÄN</t>
        </is>
      </c>
      <c r="E14014" t="inlineStr">
        <is>
          <t>GULLSPÅNG</t>
        </is>
      </c>
      <c r="G14014" t="n">
        <v>1.2</v>
      </c>
      <c r="H14014" t="n">
        <v>0</v>
      </c>
      <c r="I14014" t="n">
        <v>0</v>
      </c>
      <c r="J14014" t="n">
        <v>0</v>
      </c>
      <c r="K14014" t="n">
        <v>0</v>
      </c>
      <c r="L14014" t="n">
        <v>0</v>
      </c>
      <c r="M14014" t="n">
        <v>0</v>
      </c>
      <c r="N14014" t="n">
        <v>0</v>
      </c>
      <c r="O14014" t="n">
        <v>0</v>
      </c>
      <c r="P14014" t="n">
        <v>0</v>
      </c>
      <c r="Q14014" t="n">
        <v>0</v>
      </c>
      <c r="R14014" s="2" t="inlineStr"/>
    </row>
    <row r="14015" ht="15" customHeight="1">
      <c r="A14015" t="inlineStr">
        <is>
          <t>A 9247-2025</t>
        </is>
      </c>
      <c r="B14015" s="1" t="n">
        <v>45714.57979166666</v>
      </c>
      <c r="C14015" s="1" t="n">
        <v>45952</v>
      </c>
      <c r="D14015" t="inlineStr">
        <is>
          <t>VÄSTRA GÖTALANDS LÄN</t>
        </is>
      </c>
      <c r="E14015" t="inlineStr">
        <is>
          <t>TIDAHOLM</t>
        </is>
      </c>
      <c r="G14015" t="n">
        <v>3.7</v>
      </c>
      <c r="H14015" t="n">
        <v>0</v>
      </c>
      <c r="I14015" t="n">
        <v>0</v>
      </c>
      <c r="J14015" t="n">
        <v>0</v>
      </c>
      <c r="K14015" t="n">
        <v>0</v>
      </c>
      <c r="L14015" t="n">
        <v>0</v>
      </c>
      <c r="M14015" t="n">
        <v>0</v>
      </c>
      <c r="N14015" t="n">
        <v>0</v>
      </c>
      <c r="O14015" t="n">
        <v>0</v>
      </c>
      <c r="P14015" t="n">
        <v>0</v>
      </c>
      <c r="Q14015" t="n">
        <v>0</v>
      </c>
      <c r="R14015" s="2" t="inlineStr"/>
    </row>
    <row r="14016" ht="15" customHeight="1">
      <c r="A14016" t="inlineStr">
        <is>
          <t>A 59936-2024</t>
        </is>
      </c>
      <c r="B14016" s="1" t="n">
        <v>45642.32462962963</v>
      </c>
      <c r="C14016" s="1" t="n">
        <v>45952</v>
      </c>
      <c r="D14016" t="inlineStr">
        <is>
          <t>VÄSTRA GÖTALANDS LÄN</t>
        </is>
      </c>
      <c r="E14016" t="inlineStr">
        <is>
          <t>FALKÖPING</t>
        </is>
      </c>
      <c r="G14016" t="n">
        <v>4</v>
      </c>
      <c r="H14016" t="n">
        <v>0</v>
      </c>
      <c r="I14016" t="n">
        <v>0</v>
      </c>
      <c r="J14016" t="n">
        <v>0</v>
      </c>
      <c r="K14016" t="n">
        <v>0</v>
      </c>
      <c r="L14016" t="n">
        <v>0</v>
      </c>
      <c r="M14016" t="n">
        <v>0</v>
      </c>
      <c r="N14016" t="n">
        <v>0</v>
      </c>
      <c r="O14016" t="n">
        <v>0</v>
      </c>
      <c r="P14016" t="n">
        <v>0</v>
      </c>
      <c r="Q14016" t="n">
        <v>0</v>
      </c>
      <c r="R14016" s="2" t="inlineStr"/>
    </row>
    <row r="14017" ht="15" customHeight="1">
      <c r="A14017" t="inlineStr">
        <is>
          <t>A 16922-2024</t>
        </is>
      </c>
      <c r="B14017" s="1" t="n">
        <v>45411.65899305556</v>
      </c>
      <c r="C14017" s="1" t="n">
        <v>45952</v>
      </c>
      <c r="D14017" t="inlineStr">
        <is>
          <t>VÄSTRA GÖTALANDS LÄN</t>
        </is>
      </c>
      <c r="E14017" t="inlineStr">
        <is>
          <t>VÄNERSBORG</t>
        </is>
      </c>
      <c r="G14017" t="n">
        <v>1.3</v>
      </c>
      <c r="H14017" t="n">
        <v>0</v>
      </c>
      <c r="I14017" t="n">
        <v>0</v>
      </c>
      <c r="J14017" t="n">
        <v>0</v>
      </c>
      <c r="K14017" t="n">
        <v>0</v>
      </c>
      <c r="L14017" t="n">
        <v>0</v>
      </c>
      <c r="M14017" t="n">
        <v>0</v>
      </c>
      <c r="N14017" t="n">
        <v>0</v>
      </c>
      <c r="O14017" t="n">
        <v>0</v>
      </c>
      <c r="P14017" t="n">
        <v>0</v>
      </c>
      <c r="Q14017" t="n">
        <v>0</v>
      </c>
      <c r="R14017" s="2" t="inlineStr"/>
    </row>
    <row r="14018" ht="15" customHeight="1">
      <c r="A14018" t="inlineStr">
        <is>
          <t>A 11256-2024</t>
        </is>
      </c>
      <c r="B14018" s="1" t="n">
        <v>45371.66233796296</v>
      </c>
      <c r="C14018" s="1" t="n">
        <v>45952</v>
      </c>
      <c r="D14018" t="inlineStr">
        <is>
          <t>VÄSTRA GÖTALANDS LÄN</t>
        </is>
      </c>
      <c r="E14018" t="inlineStr">
        <is>
          <t>MÖLNDAL</t>
        </is>
      </c>
      <c r="G14018" t="n">
        <v>0.6</v>
      </c>
      <c r="H14018" t="n">
        <v>0</v>
      </c>
      <c r="I14018" t="n">
        <v>0</v>
      </c>
      <c r="J14018" t="n">
        <v>0</v>
      </c>
      <c r="K14018" t="n">
        <v>0</v>
      </c>
      <c r="L14018" t="n">
        <v>0</v>
      </c>
      <c r="M14018" t="n">
        <v>0</v>
      </c>
      <c r="N14018" t="n">
        <v>0</v>
      </c>
      <c r="O14018" t="n">
        <v>0</v>
      </c>
      <c r="P14018" t="n">
        <v>0</v>
      </c>
      <c r="Q14018" t="n">
        <v>0</v>
      </c>
      <c r="R14018" s="2" t="inlineStr"/>
    </row>
    <row r="14019" ht="15" customHeight="1">
      <c r="A14019" t="inlineStr">
        <is>
          <t>A 56456-2022</t>
        </is>
      </c>
      <c r="B14019" s="1" t="n">
        <v>44893.31987268518</v>
      </c>
      <c r="C14019" s="1" t="n">
        <v>45952</v>
      </c>
      <c r="D14019" t="inlineStr">
        <is>
          <t>VÄSTRA GÖTALANDS LÄN</t>
        </is>
      </c>
      <c r="E14019" t="inlineStr">
        <is>
          <t>VARA</t>
        </is>
      </c>
      <c r="G14019" t="n">
        <v>1.5</v>
      </c>
      <c r="H14019" t="n">
        <v>0</v>
      </c>
      <c r="I14019" t="n">
        <v>0</v>
      </c>
      <c r="J14019" t="n">
        <v>0</v>
      </c>
      <c r="K14019" t="n">
        <v>0</v>
      </c>
      <c r="L14019" t="n">
        <v>0</v>
      </c>
      <c r="M14019" t="n">
        <v>0</v>
      </c>
      <c r="N14019" t="n">
        <v>0</v>
      </c>
      <c r="O14019" t="n">
        <v>0</v>
      </c>
      <c r="P14019" t="n">
        <v>0</v>
      </c>
      <c r="Q14019" t="n">
        <v>0</v>
      </c>
      <c r="R14019" s="2" t="inlineStr"/>
    </row>
    <row r="14020" ht="15" customHeight="1">
      <c r="A14020" t="inlineStr">
        <is>
          <t>A 36304-2023</t>
        </is>
      </c>
      <c r="B14020" s="1" t="n">
        <v>45152.37777777778</v>
      </c>
      <c r="C14020" s="1" t="n">
        <v>45952</v>
      </c>
      <c r="D14020" t="inlineStr">
        <is>
          <t>VÄSTRA GÖTALANDS LÄN</t>
        </is>
      </c>
      <c r="E14020" t="inlineStr">
        <is>
          <t>GÖTENE</t>
        </is>
      </c>
      <c r="G14020" t="n">
        <v>1</v>
      </c>
      <c r="H14020" t="n">
        <v>0</v>
      </c>
      <c r="I14020" t="n">
        <v>0</v>
      </c>
      <c r="J14020" t="n">
        <v>0</v>
      </c>
      <c r="K14020" t="n">
        <v>0</v>
      </c>
      <c r="L14020" t="n">
        <v>0</v>
      </c>
      <c r="M14020" t="n">
        <v>0</v>
      </c>
      <c r="N14020" t="n">
        <v>0</v>
      </c>
      <c r="O14020" t="n">
        <v>0</v>
      </c>
      <c r="P14020" t="n">
        <v>0</v>
      </c>
      <c r="Q14020" t="n">
        <v>0</v>
      </c>
      <c r="R14020" s="2" t="inlineStr"/>
    </row>
    <row r="14021" ht="15" customHeight="1">
      <c r="A14021" t="inlineStr">
        <is>
          <t>A 12333-2022</t>
        </is>
      </c>
      <c r="B14021" s="1" t="n">
        <v>44637.62513888889</v>
      </c>
      <c r="C14021" s="1" t="n">
        <v>45952</v>
      </c>
      <c r="D14021" t="inlineStr">
        <is>
          <t>VÄSTRA GÖTALANDS LÄN</t>
        </is>
      </c>
      <c r="E14021" t="inlineStr">
        <is>
          <t>VARA</t>
        </is>
      </c>
      <c r="G14021" t="n">
        <v>3.4</v>
      </c>
      <c r="H14021" t="n">
        <v>0</v>
      </c>
      <c r="I14021" t="n">
        <v>0</v>
      </c>
      <c r="J14021" t="n">
        <v>0</v>
      </c>
      <c r="K14021" t="n">
        <v>0</v>
      </c>
      <c r="L14021" t="n">
        <v>0</v>
      </c>
      <c r="M14021" t="n">
        <v>0</v>
      </c>
      <c r="N14021" t="n">
        <v>0</v>
      </c>
      <c r="O14021" t="n">
        <v>0</v>
      </c>
      <c r="P14021" t="n">
        <v>0</v>
      </c>
      <c r="Q14021" t="n">
        <v>0</v>
      </c>
      <c r="R14021" s="2" t="inlineStr"/>
    </row>
    <row r="14022" ht="15" customHeight="1">
      <c r="A14022" t="inlineStr">
        <is>
          <t>A 4143-2022</t>
        </is>
      </c>
      <c r="B14022" s="1" t="n">
        <v>44588.48253472222</v>
      </c>
      <c r="C14022" s="1" t="n">
        <v>45952</v>
      </c>
      <c r="D14022" t="inlineStr">
        <is>
          <t>VÄSTRA GÖTALANDS LÄN</t>
        </is>
      </c>
      <c r="E14022" t="inlineStr">
        <is>
          <t>MARK</t>
        </is>
      </c>
      <c r="G14022" t="n">
        <v>1.4</v>
      </c>
      <c r="H14022" t="n">
        <v>0</v>
      </c>
      <c r="I14022" t="n">
        <v>0</v>
      </c>
      <c r="J14022" t="n">
        <v>0</v>
      </c>
      <c r="K14022" t="n">
        <v>0</v>
      </c>
      <c r="L14022" t="n">
        <v>0</v>
      </c>
      <c r="M14022" t="n">
        <v>0</v>
      </c>
      <c r="N14022" t="n">
        <v>0</v>
      </c>
      <c r="O14022" t="n">
        <v>0</v>
      </c>
      <c r="P14022" t="n">
        <v>0</v>
      </c>
      <c r="Q14022" t="n">
        <v>0</v>
      </c>
      <c r="R14022" s="2" t="inlineStr"/>
    </row>
    <row r="14023" ht="15" customHeight="1">
      <c r="A14023" t="inlineStr">
        <is>
          <t>A 10345-2021</t>
        </is>
      </c>
      <c r="B14023" s="1" t="n">
        <v>44257</v>
      </c>
      <c r="C14023" s="1" t="n">
        <v>45952</v>
      </c>
      <c r="D14023" t="inlineStr">
        <is>
          <t>VÄSTRA GÖTALANDS LÄN</t>
        </is>
      </c>
      <c r="E14023" t="inlineStr">
        <is>
          <t>GÖTENE</t>
        </is>
      </c>
      <c r="G14023" t="n">
        <v>0.6</v>
      </c>
      <c r="H14023" t="n">
        <v>0</v>
      </c>
      <c r="I14023" t="n">
        <v>0</v>
      </c>
      <c r="J14023" t="n">
        <v>0</v>
      </c>
      <c r="K14023" t="n">
        <v>0</v>
      </c>
      <c r="L14023" t="n">
        <v>0</v>
      </c>
      <c r="M14023" t="n">
        <v>0</v>
      </c>
      <c r="N14023" t="n">
        <v>0</v>
      </c>
      <c r="O14023" t="n">
        <v>0</v>
      </c>
      <c r="P14023" t="n">
        <v>0</v>
      </c>
      <c r="Q14023" t="n">
        <v>0</v>
      </c>
      <c r="R14023" s="2" t="inlineStr"/>
    </row>
    <row r="14024" ht="15" customHeight="1">
      <c r="A14024" t="inlineStr">
        <is>
          <t>A 10910-2024</t>
        </is>
      </c>
      <c r="B14024" s="1" t="n">
        <v>45370.38751157407</v>
      </c>
      <c r="C14024" s="1" t="n">
        <v>45952</v>
      </c>
      <c r="D14024" t="inlineStr">
        <is>
          <t>VÄSTRA GÖTALANDS LÄN</t>
        </is>
      </c>
      <c r="E14024" t="inlineStr">
        <is>
          <t>MARK</t>
        </is>
      </c>
      <c r="G14024" t="n">
        <v>2</v>
      </c>
      <c r="H14024" t="n">
        <v>0</v>
      </c>
      <c r="I14024" t="n">
        <v>0</v>
      </c>
      <c r="J14024" t="n">
        <v>0</v>
      </c>
      <c r="K14024" t="n">
        <v>0</v>
      </c>
      <c r="L14024" t="n">
        <v>0</v>
      </c>
      <c r="M14024" t="n">
        <v>0</v>
      </c>
      <c r="N14024" t="n">
        <v>0</v>
      </c>
      <c r="O14024" t="n">
        <v>0</v>
      </c>
      <c r="P14024" t="n">
        <v>0</v>
      </c>
      <c r="Q14024" t="n">
        <v>0</v>
      </c>
      <c r="R14024" s="2" t="inlineStr"/>
    </row>
    <row r="14025" ht="15" customHeight="1">
      <c r="A14025" t="inlineStr">
        <is>
          <t>A 71326-2021</t>
        </is>
      </c>
      <c r="B14025" s="1" t="n">
        <v>44539.75721064815</v>
      </c>
      <c r="C14025" s="1" t="n">
        <v>45952</v>
      </c>
      <c r="D14025" t="inlineStr">
        <is>
          <t>VÄSTRA GÖTALANDS LÄN</t>
        </is>
      </c>
      <c r="E14025" t="inlineStr">
        <is>
          <t>VARA</t>
        </is>
      </c>
      <c r="G14025" t="n">
        <v>4</v>
      </c>
      <c r="H14025" t="n">
        <v>0</v>
      </c>
      <c r="I14025" t="n">
        <v>0</v>
      </c>
      <c r="J14025" t="n">
        <v>0</v>
      </c>
      <c r="K14025" t="n">
        <v>0</v>
      </c>
      <c r="L14025" t="n">
        <v>0</v>
      </c>
      <c r="M14025" t="n">
        <v>0</v>
      </c>
      <c r="N14025" t="n">
        <v>0</v>
      </c>
      <c r="O14025" t="n">
        <v>0</v>
      </c>
      <c r="P14025" t="n">
        <v>0</v>
      </c>
      <c r="Q14025" t="n">
        <v>0</v>
      </c>
      <c r="R14025" s="2" t="inlineStr"/>
    </row>
    <row r="14026" ht="15" customHeight="1">
      <c r="A14026" t="inlineStr">
        <is>
          <t>A 12112-2025</t>
        </is>
      </c>
      <c r="B14026" s="1" t="n">
        <v>45729.36171296296</v>
      </c>
      <c r="C14026" s="1" t="n">
        <v>45952</v>
      </c>
      <c r="D14026" t="inlineStr">
        <is>
          <t>VÄSTRA GÖTALANDS LÄN</t>
        </is>
      </c>
      <c r="E14026" t="inlineStr">
        <is>
          <t>GRÄSTORP</t>
        </is>
      </c>
      <c r="G14026" t="n">
        <v>5.9</v>
      </c>
      <c r="H14026" t="n">
        <v>0</v>
      </c>
      <c r="I14026" t="n">
        <v>0</v>
      </c>
      <c r="J14026" t="n">
        <v>0</v>
      </c>
      <c r="K14026" t="n">
        <v>0</v>
      </c>
      <c r="L14026" t="n">
        <v>0</v>
      </c>
      <c r="M14026" t="n">
        <v>0</v>
      </c>
      <c r="N14026" t="n">
        <v>0</v>
      </c>
      <c r="O14026" t="n">
        <v>0</v>
      </c>
      <c r="P14026" t="n">
        <v>0</v>
      </c>
      <c r="Q14026" t="n">
        <v>0</v>
      </c>
      <c r="R14026" s="2" t="inlineStr"/>
    </row>
    <row r="14027" ht="15" customHeight="1">
      <c r="A14027" t="inlineStr">
        <is>
          <t>A 49536-2021</t>
        </is>
      </c>
      <c r="B14027" s="1" t="n">
        <v>44455.33650462963</v>
      </c>
      <c r="C14027" s="1" t="n">
        <v>45952</v>
      </c>
      <c r="D14027" t="inlineStr">
        <is>
          <t>VÄSTRA GÖTALANDS LÄN</t>
        </is>
      </c>
      <c r="E14027" t="inlineStr">
        <is>
          <t>GÖTENE</t>
        </is>
      </c>
      <c r="F14027" t="inlineStr">
        <is>
          <t>Övriga Aktiebolag</t>
        </is>
      </c>
      <c r="G14027" t="n">
        <v>1.8</v>
      </c>
      <c r="H14027" t="n">
        <v>0</v>
      </c>
      <c r="I14027" t="n">
        <v>0</v>
      </c>
      <c r="J14027" t="n">
        <v>0</v>
      </c>
      <c r="K14027" t="n">
        <v>0</v>
      </c>
      <c r="L14027" t="n">
        <v>0</v>
      </c>
      <c r="M14027" t="n">
        <v>0</v>
      </c>
      <c r="N14027" t="n">
        <v>0</v>
      </c>
      <c r="O14027" t="n">
        <v>0</v>
      </c>
      <c r="P14027" t="n">
        <v>0</v>
      </c>
      <c r="Q14027" t="n">
        <v>0</v>
      </c>
      <c r="R14027" s="2" t="inlineStr"/>
    </row>
    <row r="14028" ht="15" customHeight="1">
      <c r="A14028" t="inlineStr">
        <is>
          <t>A 13437-2024</t>
        </is>
      </c>
      <c r="B14028" s="1" t="n">
        <v>45387.48722222223</v>
      </c>
      <c r="C14028" s="1" t="n">
        <v>45952</v>
      </c>
      <c r="D14028" t="inlineStr">
        <is>
          <t>VÄSTRA GÖTALANDS LÄN</t>
        </is>
      </c>
      <c r="E14028" t="inlineStr">
        <is>
          <t>TANUM</t>
        </is>
      </c>
      <c r="G14028" t="n">
        <v>0.5</v>
      </c>
      <c r="H14028" t="n">
        <v>0</v>
      </c>
      <c r="I14028" t="n">
        <v>0</v>
      </c>
      <c r="J14028" t="n">
        <v>0</v>
      </c>
      <c r="K14028" t="n">
        <v>0</v>
      </c>
      <c r="L14028" t="n">
        <v>0</v>
      </c>
      <c r="M14028" t="n">
        <v>0</v>
      </c>
      <c r="N14028" t="n">
        <v>0</v>
      </c>
      <c r="O14028" t="n">
        <v>0</v>
      </c>
      <c r="P14028" t="n">
        <v>0</v>
      </c>
      <c r="Q14028" t="n">
        <v>0</v>
      </c>
      <c r="R14028" s="2" t="inlineStr"/>
    </row>
    <row r="14029" ht="15" customHeight="1">
      <c r="A14029" t="inlineStr">
        <is>
          <t>A 7844-2022</t>
        </is>
      </c>
      <c r="B14029" s="1" t="n">
        <v>44608</v>
      </c>
      <c r="C14029" s="1" t="n">
        <v>45952</v>
      </c>
      <c r="D14029" t="inlineStr">
        <is>
          <t>VÄSTRA GÖTALANDS LÄN</t>
        </is>
      </c>
      <c r="E14029" t="inlineStr">
        <is>
          <t>MUNKEDAL</t>
        </is>
      </c>
      <c r="G14029" t="n">
        <v>15.4</v>
      </c>
      <c r="H14029" t="n">
        <v>0</v>
      </c>
      <c r="I14029" t="n">
        <v>0</v>
      </c>
      <c r="J14029" t="n">
        <v>0</v>
      </c>
      <c r="K14029" t="n">
        <v>0</v>
      </c>
      <c r="L14029" t="n">
        <v>0</v>
      </c>
      <c r="M14029" t="n">
        <v>0</v>
      </c>
      <c r="N14029" t="n">
        <v>0</v>
      </c>
      <c r="O14029" t="n">
        <v>0</v>
      </c>
      <c r="P14029" t="n">
        <v>0</v>
      </c>
      <c r="Q14029" t="n">
        <v>0</v>
      </c>
      <c r="R14029" s="2" t="inlineStr"/>
    </row>
    <row r="14030" ht="15" customHeight="1">
      <c r="A14030" t="inlineStr">
        <is>
          <t>A 8345-2024</t>
        </is>
      </c>
      <c r="B14030" s="1" t="n">
        <v>45352.54994212963</v>
      </c>
      <c r="C14030" s="1" t="n">
        <v>45952</v>
      </c>
      <c r="D14030" t="inlineStr">
        <is>
          <t>VÄSTRA GÖTALANDS LÄN</t>
        </is>
      </c>
      <c r="E14030" t="inlineStr">
        <is>
          <t>FALKÖPING</t>
        </is>
      </c>
      <c r="G14030" t="n">
        <v>1.4</v>
      </c>
      <c r="H14030" t="n">
        <v>0</v>
      </c>
      <c r="I14030" t="n">
        <v>0</v>
      </c>
      <c r="J14030" t="n">
        <v>0</v>
      </c>
      <c r="K14030" t="n">
        <v>0</v>
      </c>
      <c r="L14030" t="n">
        <v>0</v>
      </c>
      <c r="M14030" t="n">
        <v>0</v>
      </c>
      <c r="N14030" t="n">
        <v>0</v>
      </c>
      <c r="O14030" t="n">
        <v>0</v>
      </c>
      <c r="P14030" t="n">
        <v>0</v>
      </c>
      <c r="Q14030" t="n">
        <v>0</v>
      </c>
      <c r="R14030" s="2" t="inlineStr"/>
    </row>
    <row r="14031" ht="15" customHeight="1">
      <c r="A14031" t="inlineStr">
        <is>
          <t>A 14223-2024</t>
        </is>
      </c>
      <c r="B14031" s="1" t="n">
        <v>45393.46190972222</v>
      </c>
      <c r="C14031" s="1" t="n">
        <v>45952</v>
      </c>
      <c r="D14031" t="inlineStr">
        <is>
          <t>VÄSTRA GÖTALANDS LÄN</t>
        </is>
      </c>
      <c r="E14031" t="inlineStr">
        <is>
          <t>ESSUNGA</t>
        </is>
      </c>
      <c r="G14031" t="n">
        <v>1.1</v>
      </c>
      <c r="H14031" t="n">
        <v>0</v>
      </c>
      <c r="I14031" t="n">
        <v>0</v>
      </c>
      <c r="J14031" t="n">
        <v>0</v>
      </c>
      <c r="K14031" t="n">
        <v>0</v>
      </c>
      <c r="L14031" t="n">
        <v>0</v>
      </c>
      <c r="M14031" t="n">
        <v>0</v>
      </c>
      <c r="N14031" t="n">
        <v>0</v>
      </c>
      <c r="O14031" t="n">
        <v>0</v>
      </c>
      <c r="P14031" t="n">
        <v>0</v>
      </c>
      <c r="Q14031" t="n">
        <v>0</v>
      </c>
      <c r="R14031" s="2" t="inlineStr"/>
    </row>
    <row r="14032" ht="15" customHeight="1">
      <c r="A14032" t="inlineStr">
        <is>
          <t>A 18437-2025</t>
        </is>
      </c>
      <c r="B14032" s="1" t="n">
        <v>45762.65144675926</v>
      </c>
      <c r="C14032" s="1" t="n">
        <v>45952</v>
      </c>
      <c r="D14032" t="inlineStr">
        <is>
          <t>VÄSTRA GÖTALANDS LÄN</t>
        </is>
      </c>
      <c r="E14032" t="inlineStr">
        <is>
          <t>DALS-ED</t>
        </is>
      </c>
      <c r="G14032" t="n">
        <v>0.8</v>
      </c>
      <c r="H14032" t="n">
        <v>0</v>
      </c>
      <c r="I14032" t="n">
        <v>0</v>
      </c>
      <c r="J14032" t="n">
        <v>0</v>
      </c>
      <c r="K14032" t="n">
        <v>0</v>
      </c>
      <c r="L14032" t="n">
        <v>0</v>
      </c>
      <c r="M14032" t="n">
        <v>0</v>
      </c>
      <c r="N14032" t="n">
        <v>0</v>
      </c>
      <c r="O14032" t="n">
        <v>0</v>
      </c>
      <c r="P14032" t="n">
        <v>0</v>
      </c>
      <c r="Q14032" t="n">
        <v>0</v>
      </c>
      <c r="R14032" s="2" t="inlineStr"/>
    </row>
    <row r="14033" ht="15" customHeight="1">
      <c r="A14033" t="inlineStr">
        <is>
          <t>A 18448-2025</t>
        </is>
      </c>
      <c r="B14033" s="1" t="n">
        <v>45762.66334490741</v>
      </c>
      <c r="C14033" s="1" t="n">
        <v>45952</v>
      </c>
      <c r="D14033" t="inlineStr">
        <is>
          <t>VÄSTRA GÖTALANDS LÄN</t>
        </is>
      </c>
      <c r="E14033" t="inlineStr">
        <is>
          <t>TRANEMO</t>
        </is>
      </c>
      <c r="G14033" t="n">
        <v>1.5</v>
      </c>
      <c r="H14033" t="n">
        <v>0</v>
      </c>
      <c r="I14033" t="n">
        <v>0</v>
      </c>
      <c r="J14033" t="n">
        <v>0</v>
      </c>
      <c r="K14033" t="n">
        <v>0</v>
      </c>
      <c r="L14033" t="n">
        <v>0</v>
      </c>
      <c r="M14033" t="n">
        <v>0</v>
      </c>
      <c r="N14033" t="n">
        <v>0</v>
      </c>
      <c r="O14033" t="n">
        <v>0</v>
      </c>
      <c r="P14033" t="n">
        <v>0</v>
      </c>
      <c r="Q14033" t="n">
        <v>0</v>
      </c>
      <c r="R14033" s="2" t="inlineStr"/>
    </row>
    <row r="14034" ht="15" customHeight="1">
      <c r="A14034" t="inlineStr">
        <is>
          <t>A 8372-2024</t>
        </is>
      </c>
      <c r="B14034" s="1" t="n">
        <v>45352.62096064815</v>
      </c>
      <c r="C14034" s="1" t="n">
        <v>45952</v>
      </c>
      <c r="D14034" t="inlineStr">
        <is>
          <t>VÄSTRA GÖTALANDS LÄN</t>
        </is>
      </c>
      <c r="E14034" t="inlineStr">
        <is>
          <t>MARK</t>
        </is>
      </c>
      <c r="G14034" t="n">
        <v>3.4</v>
      </c>
      <c r="H14034" t="n">
        <v>0</v>
      </c>
      <c r="I14034" t="n">
        <v>0</v>
      </c>
      <c r="J14034" t="n">
        <v>0</v>
      </c>
      <c r="K14034" t="n">
        <v>0</v>
      </c>
      <c r="L14034" t="n">
        <v>0</v>
      </c>
      <c r="M14034" t="n">
        <v>0</v>
      </c>
      <c r="N14034" t="n">
        <v>0</v>
      </c>
      <c r="O14034" t="n">
        <v>0</v>
      </c>
      <c r="P14034" t="n">
        <v>0</v>
      </c>
      <c r="Q14034" t="n">
        <v>0</v>
      </c>
      <c r="R14034" s="2" t="inlineStr"/>
    </row>
    <row r="14035" ht="15" customHeight="1">
      <c r="A14035" t="inlineStr">
        <is>
          <t>A 16895-2023</t>
        </is>
      </c>
      <c r="B14035" s="1" t="n">
        <v>45033.56310185185</v>
      </c>
      <c r="C14035" s="1" t="n">
        <v>45952</v>
      </c>
      <c r="D14035" t="inlineStr">
        <is>
          <t>VÄSTRA GÖTALANDS LÄN</t>
        </is>
      </c>
      <c r="E14035" t="inlineStr">
        <is>
          <t>ULRICEHAMN</t>
        </is>
      </c>
      <c r="G14035" t="n">
        <v>0.7</v>
      </c>
      <c r="H14035" t="n">
        <v>0</v>
      </c>
      <c r="I14035" t="n">
        <v>0</v>
      </c>
      <c r="J14035" t="n">
        <v>0</v>
      </c>
      <c r="K14035" t="n">
        <v>0</v>
      </c>
      <c r="L14035" t="n">
        <v>0</v>
      </c>
      <c r="M14035" t="n">
        <v>0</v>
      </c>
      <c r="N14035" t="n">
        <v>0</v>
      </c>
      <c r="O14035" t="n">
        <v>0</v>
      </c>
      <c r="P14035" t="n">
        <v>0</v>
      </c>
      <c r="Q14035" t="n">
        <v>0</v>
      </c>
      <c r="R14035" s="2" t="inlineStr"/>
    </row>
    <row r="14036" ht="15" customHeight="1">
      <c r="A14036" t="inlineStr">
        <is>
          <t>A 6674-2021</t>
        </is>
      </c>
      <c r="B14036" s="1" t="n">
        <v>44236</v>
      </c>
      <c r="C14036" s="1" t="n">
        <v>45952</v>
      </c>
      <c r="D14036" t="inlineStr">
        <is>
          <t>VÄSTRA GÖTALANDS LÄN</t>
        </is>
      </c>
      <c r="E14036" t="inlineStr">
        <is>
          <t>DALS-ED</t>
        </is>
      </c>
      <c r="G14036" t="n">
        <v>1.1</v>
      </c>
      <c r="H14036" t="n">
        <v>0</v>
      </c>
      <c r="I14036" t="n">
        <v>0</v>
      </c>
      <c r="J14036" t="n">
        <v>0</v>
      </c>
      <c r="K14036" t="n">
        <v>0</v>
      </c>
      <c r="L14036" t="n">
        <v>0</v>
      </c>
      <c r="M14036" t="n">
        <v>0</v>
      </c>
      <c r="N14036" t="n">
        <v>0</v>
      </c>
      <c r="O14036" t="n">
        <v>0</v>
      </c>
      <c r="P14036" t="n">
        <v>0</v>
      </c>
      <c r="Q14036" t="n">
        <v>0</v>
      </c>
      <c r="R14036" s="2" t="inlineStr"/>
    </row>
    <row r="14037" ht="15" customHeight="1">
      <c r="A14037" t="inlineStr">
        <is>
          <t>A 6675-2021</t>
        </is>
      </c>
      <c r="B14037" s="1" t="n">
        <v>44236</v>
      </c>
      <c r="C14037" s="1" t="n">
        <v>45952</v>
      </c>
      <c r="D14037" t="inlineStr">
        <is>
          <t>VÄSTRA GÖTALANDS LÄN</t>
        </is>
      </c>
      <c r="E14037" t="inlineStr">
        <is>
          <t>HERRLJUNGA</t>
        </is>
      </c>
      <c r="G14037" t="n">
        <v>1.4</v>
      </c>
      <c r="H14037" t="n">
        <v>0</v>
      </c>
      <c r="I14037" t="n">
        <v>0</v>
      </c>
      <c r="J14037" t="n">
        <v>0</v>
      </c>
      <c r="K14037" t="n">
        <v>0</v>
      </c>
      <c r="L14037" t="n">
        <v>0</v>
      </c>
      <c r="M14037" t="n">
        <v>0</v>
      </c>
      <c r="N14037" t="n">
        <v>0</v>
      </c>
      <c r="O14037" t="n">
        <v>0</v>
      </c>
      <c r="P14037" t="n">
        <v>0</v>
      </c>
      <c r="Q14037" t="n">
        <v>0</v>
      </c>
      <c r="R14037" s="2" t="inlineStr"/>
    </row>
    <row r="14038" ht="15" customHeight="1">
      <c r="A14038" t="inlineStr">
        <is>
          <t>A 37859-2024</t>
        </is>
      </c>
      <c r="B14038" s="1" t="n">
        <v>45544.3884837963</v>
      </c>
      <c r="C14038" s="1" t="n">
        <v>45952</v>
      </c>
      <c r="D14038" t="inlineStr">
        <is>
          <t>VÄSTRA GÖTALANDS LÄN</t>
        </is>
      </c>
      <c r="E14038" t="inlineStr">
        <is>
          <t>SVENLJUNGA</t>
        </is>
      </c>
      <c r="G14038" t="n">
        <v>0.5</v>
      </c>
      <c r="H14038" t="n">
        <v>0</v>
      </c>
      <c r="I14038" t="n">
        <v>0</v>
      </c>
      <c r="J14038" t="n">
        <v>0</v>
      </c>
      <c r="K14038" t="n">
        <v>0</v>
      </c>
      <c r="L14038" t="n">
        <v>0</v>
      </c>
      <c r="M14038" t="n">
        <v>0</v>
      </c>
      <c r="N14038" t="n">
        <v>0</v>
      </c>
      <c r="O14038" t="n">
        <v>0</v>
      </c>
      <c r="P14038" t="n">
        <v>0</v>
      </c>
      <c r="Q14038" t="n">
        <v>0</v>
      </c>
      <c r="R14038" s="2" t="inlineStr"/>
    </row>
    <row r="14039" ht="15" customHeight="1">
      <c r="A14039" t="inlineStr">
        <is>
          <t>A 11493-2024</t>
        </is>
      </c>
      <c r="B14039" s="1" t="n">
        <v>45372.64321759259</v>
      </c>
      <c r="C14039" s="1" t="n">
        <v>45952</v>
      </c>
      <c r="D14039" t="inlineStr">
        <is>
          <t>VÄSTRA GÖTALANDS LÄN</t>
        </is>
      </c>
      <c r="E14039" t="inlineStr">
        <is>
          <t>MARK</t>
        </is>
      </c>
      <c r="F14039" t="inlineStr">
        <is>
          <t>Sveaskog</t>
        </is>
      </c>
      <c r="G14039" t="n">
        <v>3.7</v>
      </c>
      <c r="H14039" t="n">
        <v>0</v>
      </c>
      <c r="I14039" t="n">
        <v>0</v>
      </c>
      <c r="J14039" t="n">
        <v>0</v>
      </c>
      <c r="K14039" t="n">
        <v>0</v>
      </c>
      <c r="L14039" t="n">
        <v>0</v>
      </c>
      <c r="M14039" t="n">
        <v>0</v>
      </c>
      <c r="N14039" t="n">
        <v>0</v>
      </c>
      <c r="O14039" t="n">
        <v>0</v>
      </c>
      <c r="P14039" t="n">
        <v>0</v>
      </c>
      <c r="Q14039" t="n">
        <v>0</v>
      </c>
      <c r="R14039" s="2" t="inlineStr"/>
    </row>
    <row r="14040" ht="15" customHeight="1">
      <c r="A14040" t="inlineStr">
        <is>
          <t>A 57605-2022</t>
        </is>
      </c>
      <c r="B14040" s="1" t="n">
        <v>44897</v>
      </c>
      <c r="C14040" s="1" t="n">
        <v>45952</v>
      </c>
      <c r="D14040" t="inlineStr">
        <is>
          <t>VÄSTRA GÖTALANDS LÄN</t>
        </is>
      </c>
      <c r="E14040" t="inlineStr">
        <is>
          <t>MARK</t>
        </is>
      </c>
      <c r="G14040" t="n">
        <v>2.4</v>
      </c>
      <c r="H14040" t="n">
        <v>0</v>
      </c>
      <c r="I14040" t="n">
        <v>0</v>
      </c>
      <c r="J14040" t="n">
        <v>0</v>
      </c>
      <c r="K14040" t="n">
        <v>0</v>
      </c>
      <c r="L14040" t="n">
        <v>0</v>
      </c>
      <c r="M14040" t="n">
        <v>0</v>
      </c>
      <c r="N14040" t="n">
        <v>0</v>
      </c>
      <c r="O14040" t="n">
        <v>0</v>
      </c>
      <c r="P14040" t="n">
        <v>0</v>
      </c>
      <c r="Q14040" t="n">
        <v>0</v>
      </c>
      <c r="R14040" s="2" t="inlineStr"/>
    </row>
    <row r="14041" ht="15" customHeight="1">
      <c r="A14041" t="inlineStr">
        <is>
          <t>A 59205-2020</t>
        </is>
      </c>
      <c r="B14041" s="1" t="n">
        <v>44147</v>
      </c>
      <c r="C14041" s="1" t="n">
        <v>45952</v>
      </c>
      <c r="D14041" t="inlineStr">
        <is>
          <t>VÄSTRA GÖTALANDS LÄN</t>
        </is>
      </c>
      <c r="E14041" t="inlineStr">
        <is>
          <t>BENGTSFORS</t>
        </is>
      </c>
      <c r="G14041" t="n">
        <v>5.1</v>
      </c>
      <c r="H14041" t="n">
        <v>0</v>
      </c>
      <c r="I14041" t="n">
        <v>0</v>
      </c>
      <c r="J14041" t="n">
        <v>0</v>
      </c>
      <c r="K14041" t="n">
        <v>0</v>
      </c>
      <c r="L14041" t="n">
        <v>0</v>
      </c>
      <c r="M14041" t="n">
        <v>0</v>
      </c>
      <c r="N14041" t="n">
        <v>0</v>
      </c>
      <c r="O14041" t="n">
        <v>0</v>
      </c>
      <c r="P14041" t="n">
        <v>0</v>
      </c>
      <c r="Q14041" t="n">
        <v>0</v>
      </c>
      <c r="R14041" s="2" t="inlineStr"/>
    </row>
    <row r="14042" ht="15" customHeight="1">
      <c r="A14042" t="inlineStr">
        <is>
          <t>A 50002-2023</t>
        </is>
      </c>
      <c r="B14042" s="1" t="n">
        <v>45215</v>
      </c>
      <c r="C14042" s="1" t="n">
        <v>45952</v>
      </c>
      <c r="D14042" t="inlineStr">
        <is>
          <t>VÄSTRA GÖTALANDS LÄN</t>
        </is>
      </c>
      <c r="E14042" t="inlineStr">
        <is>
          <t>VÄNERSBORG</t>
        </is>
      </c>
      <c r="G14042" t="n">
        <v>4</v>
      </c>
      <c r="H14042" t="n">
        <v>0</v>
      </c>
      <c r="I14042" t="n">
        <v>0</v>
      </c>
      <c r="J14042" t="n">
        <v>0</v>
      </c>
      <c r="K14042" t="n">
        <v>0</v>
      </c>
      <c r="L14042" t="n">
        <v>0</v>
      </c>
      <c r="M14042" t="n">
        <v>0</v>
      </c>
      <c r="N14042" t="n">
        <v>0</v>
      </c>
      <c r="O14042" t="n">
        <v>0</v>
      </c>
      <c r="P14042" t="n">
        <v>0</v>
      </c>
      <c r="Q14042" t="n">
        <v>0</v>
      </c>
      <c r="R14042" s="2" t="inlineStr"/>
    </row>
    <row r="14043" ht="15" customHeight="1">
      <c r="A14043" t="inlineStr">
        <is>
          <t>A 50005-2023</t>
        </is>
      </c>
      <c r="B14043" s="1" t="n">
        <v>45215.44563657408</v>
      </c>
      <c r="C14043" s="1" t="n">
        <v>45952</v>
      </c>
      <c r="D14043" t="inlineStr">
        <is>
          <t>VÄSTRA GÖTALANDS LÄN</t>
        </is>
      </c>
      <c r="E14043" t="inlineStr">
        <is>
          <t>BENGTSFORS</t>
        </is>
      </c>
      <c r="G14043" t="n">
        <v>4.4</v>
      </c>
      <c r="H14043" t="n">
        <v>0</v>
      </c>
      <c r="I14043" t="n">
        <v>0</v>
      </c>
      <c r="J14043" t="n">
        <v>0</v>
      </c>
      <c r="K14043" t="n">
        <v>0</v>
      </c>
      <c r="L14043" t="n">
        <v>0</v>
      </c>
      <c r="M14043" t="n">
        <v>0</v>
      </c>
      <c r="N14043" t="n">
        <v>0</v>
      </c>
      <c r="O14043" t="n">
        <v>0</v>
      </c>
      <c r="P14043" t="n">
        <v>0</v>
      </c>
      <c r="Q14043" t="n">
        <v>0</v>
      </c>
      <c r="R14043" s="2" t="inlineStr"/>
    </row>
    <row r="14044" ht="15" customHeight="1">
      <c r="A14044" t="inlineStr">
        <is>
          <t>A 50023-2023</t>
        </is>
      </c>
      <c r="B14044" s="1" t="n">
        <v>45215</v>
      </c>
      <c r="C14044" s="1" t="n">
        <v>45952</v>
      </c>
      <c r="D14044" t="inlineStr">
        <is>
          <t>VÄSTRA GÖTALANDS LÄN</t>
        </is>
      </c>
      <c r="E14044" t="inlineStr">
        <is>
          <t>UDDEVALLA</t>
        </is>
      </c>
      <c r="G14044" t="n">
        <v>2.8</v>
      </c>
      <c r="H14044" t="n">
        <v>0</v>
      </c>
      <c r="I14044" t="n">
        <v>0</v>
      </c>
      <c r="J14044" t="n">
        <v>0</v>
      </c>
      <c r="K14044" t="n">
        <v>0</v>
      </c>
      <c r="L14044" t="n">
        <v>0</v>
      </c>
      <c r="M14044" t="n">
        <v>0</v>
      </c>
      <c r="N14044" t="n">
        <v>0</v>
      </c>
      <c r="O14044" t="n">
        <v>0</v>
      </c>
      <c r="P14044" t="n">
        <v>0</v>
      </c>
      <c r="Q14044" t="n">
        <v>0</v>
      </c>
      <c r="R14044" s="2" t="inlineStr"/>
    </row>
    <row r="14045" ht="15" customHeight="1">
      <c r="A14045" t="inlineStr">
        <is>
          <t>A 50034-2023</t>
        </is>
      </c>
      <c r="B14045" s="1" t="n">
        <v>45215</v>
      </c>
      <c r="C14045" s="1" t="n">
        <v>45952</v>
      </c>
      <c r="D14045" t="inlineStr">
        <is>
          <t>VÄSTRA GÖTALANDS LÄN</t>
        </is>
      </c>
      <c r="E14045" t="inlineStr">
        <is>
          <t>MUNKEDAL</t>
        </is>
      </c>
      <c r="G14045" t="n">
        <v>2.1</v>
      </c>
      <c r="H14045" t="n">
        <v>0</v>
      </c>
      <c r="I14045" t="n">
        <v>0</v>
      </c>
      <c r="J14045" t="n">
        <v>0</v>
      </c>
      <c r="K14045" t="n">
        <v>0</v>
      </c>
      <c r="L14045" t="n">
        <v>0</v>
      </c>
      <c r="M14045" t="n">
        <v>0</v>
      </c>
      <c r="N14045" t="n">
        <v>0</v>
      </c>
      <c r="O14045" t="n">
        <v>0</v>
      </c>
      <c r="P14045" t="n">
        <v>0</v>
      </c>
      <c r="Q14045" t="n">
        <v>0</v>
      </c>
      <c r="R14045" s="2" t="inlineStr"/>
    </row>
    <row r="14046" ht="15" customHeight="1">
      <c r="A14046" t="inlineStr">
        <is>
          <t>A 16400-2023</t>
        </is>
      </c>
      <c r="B14046" s="1" t="n">
        <v>45029</v>
      </c>
      <c r="C14046" s="1" t="n">
        <v>45952</v>
      </c>
      <c r="D14046" t="inlineStr">
        <is>
          <t>VÄSTRA GÖTALANDS LÄN</t>
        </is>
      </c>
      <c r="E14046" t="inlineStr">
        <is>
          <t>TANUM</t>
        </is>
      </c>
      <c r="G14046" t="n">
        <v>2.4</v>
      </c>
      <c r="H14046" t="n">
        <v>0</v>
      </c>
      <c r="I14046" t="n">
        <v>0</v>
      </c>
      <c r="J14046" t="n">
        <v>0</v>
      </c>
      <c r="K14046" t="n">
        <v>0</v>
      </c>
      <c r="L14046" t="n">
        <v>0</v>
      </c>
      <c r="M14046" t="n">
        <v>0</v>
      </c>
      <c r="N14046" t="n">
        <v>0</v>
      </c>
      <c r="O14046" t="n">
        <v>0</v>
      </c>
      <c r="P14046" t="n">
        <v>0</v>
      </c>
      <c r="Q14046" t="n">
        <v>0</v>
      </c>
      <c r="R14046" s="2" t="inlineStr"/>
    </row>
    <row r="14047" ht="15" customHeight="1">
      <c r="A14047" t="inlineStr">
        <is>
          <t>A 7922-2023</t>
        </is>
      </c>
      <c r="B14047" s="1" t="n">
        <v>44973</v>
      </c>
      <c r="C14047" s="1" t="n">
        <v>45952</v>
      </c>
      <c r="D14047" t="inlineStr">
        <is>
          <t>VÄSTRA GÖTALANDS LÄN</t>
        </is>
      </c>
      <c r="E14047" t="inlineStr">
        <is>
          <t>TIDAHOLM</t>
        </is>
      </c>
      <c r="G14047" t="n">
        <v>0.6</v>
      </c>
      <c r="H14047" t="n">
        <v>0</v>
      </c>
      <c r="I14047" t="n">
        <v>0</v>
      </c>
      <c r="J14047" t="n">
        <v>0</v>
      </c>
      <c r="K14047" t="n">
        <v>0</v>
      </c>
      <c r="L14047" t="n">
        <v>0</v>
      </c>
      <c r="M14047" t="n">
        <v>0</v>
      </c>
      <c r="N14047" t="n">
        <v>0</v>
      </c>
      <c r="O14047" t="n">
        <v>0</v>
      </c>
      <c r="P14047" t="n">
        <v>0</v>
      </c>
      <c r="Q14047" t="n">
        <v>0</v>
      </c>
      <c r="R14047" s="2" t="inlineStr"/>
    </row>
    <row r="14048" ht="15" customHeight="1">
      <c r="A14048" t="inlineStr">
        <is>
          <t>A 7931-2023</t>
        </is>
      </c>
      <c r="B14048" s="1" t="n">
        <v>44973</v>
      </c>
      <c r="C14048" s="1" t="n">
        <v>45952</v>
      </c>
      <c r="D14048" t="inlineStr">
        <is>
          <t>VÄSTRA GÖTALANDS LÄN</t>
        </is>
      </c>
      <c r="E14048" t="inlineStr">
        <is>
          <t>TIDAHOLM</t>
        </is>
      </c>
      <c r="G14048" t="n">
        <v>0.8</v>
      </c>
      <c r="H14048" t="n">
        <v>0</v>
      </c>
      <c r="I14048" t="n">
        <v>0</v>
      </c>
      <c r="J14048" t="n">
        <v>0</v>
      </c>
      <c r="K14048" t="n">
        <v>0</v>
      </c>
      <c r="L14048" t="n">
        <v>0</v>
      </c>
      <c r="M14048" t="n">
        <v>0</v>
      </c>
      <c r="N14048" t="n">
        <v>0</v>
      </c>
      <c r="O14048" t="n">
        <v>0</v>
      </c>
      <c r="P14048" t="n">
        <v>0</v>
      </c>
      <c r="Q14048" t="n">
        <v>0</v>
      </c>
      <c r="R14048" s="2" t="inlineStr"/>
    </row>
    <row r="14049" ht="15" customHeight="1">
      <c r="A14049" t="inlineStr">
        <is>
          <t>A 38182-2023</t>
        </is>
      </c>
      <c r="B14049" s="1" t="n">
        <v>45161.46265046296</v>
      </c>
      <c r="C14049" s="1" t="n">
        <v>45952</v>
      </c>
      <c r="D14049" t="inlineStr">
        <is>
          <t>VÄSTRA GÖTALANDS LÄN</t>
        </is>
      </c>
      <c r="E14049" t="inlineStr">
        <is>
          <t>ULRICEHAMN</t>
        </is>
      </c>
      <c r="G14049" t="n">
        <v>2.6</v>
      </c>
      <c r="H14049" t="n">
        <v>0</v>
      </c>
      <c r="I14049" t="n">
        <v>0</v>
      </c>
      <c r="J14049" t="n">
        <v>0</v>
      </c>
      <c r="K14049" t="n">
        <v>0</v>
      </c>
      <c r="L14049" t="n">
        <v>0</v>
      </c>
      <c r="M14049" t="n">
        <v>0</v>
      </c>
      <c r="N14049" t="n">
        <v>0</v>
      </c>
      <c r="O14049" t="n">
        <v>0</v>
      </c>
      <c r="P14049" t="n">
        <v>0</v>
      </c>
      <c r="Q14049" t="n">
        <v>0</v>
      </c>
      <c r="R14049" s="2" t="inlineStr"/>
    </row>
    <row r="14050" ht="15" customHeight="1">
      <c r="A14050" t="inlineStr">
        <is>
          <t>A 38186-2023</t>
        </is>
      </c>
      <c r="B14050" s="1" t="n">
        <v>45161</v>
      </c>
      <c r="C14050" s="1" t="n">
        <v>45952</v>
      </c>
      <c r="D14050" t="inlineStr">
        <is>
          <t>VÄSTRA GÖTALANDS LÄN</t>
        </is>
      </c>
      <c r="E14050" t="inlineStr">
        <is>
          <t>HJO</t>
        </is>
      </c>
      <c r="G14050" t="n">
        <v>4.9</v>
      </c>
      <c r="H14050" t="n">
        <v>0</v>
      </c>
      <c r="I14050" t="n">
        <v>0</v>
      </c>
      <c r="J14050" t="n">
        <v>0</v>
      </c>
      <c r="K14050" t="n">
        <v>0</v>
      </c>
      <c r="L14050" t="n">
        <v>0</v>
      </c>
      <c r="M14050" t="n">
        <v>0</v>
      </c>
      <c r="N14050" t="n">
        <v>0</v>
      </c>
      <c r="O14050" t="n">
        <v>0</v>
      </c>
      <c r="P14050" t="n">
        <v>0</v>
      </c>
      <c r="Q14050" t="n">
        <v>0</v>
      </c>
      <c r="R14050" s="2" t="inlineStr"/>
    </row>
    <row r="14051" ht="15" customHeight="1">
      <c r="A14051" t="inlineStr">
        <is>
          <t>A 29854-2023</t>
        </is>
      </c>
      <c r="B14051" s="1" t="n">
        <v>45099</v>
      </c>
      <c r="C14051" s="1" t="n">
        <v>45952</v>
      </c>
      <c r="D14051" t="inlineStr">
        <is>
          <t>VÄSTRA GÖTALANDS LÄN</t>
        </is>
      </c>
      <c r="E14051" t="inlineStr">
        <is>
          <t>BORÅS</t>
        </is>
      </c>
      <c r="F14051" t="inlineStr">
        <is>
          <t>Kommuner</t>
        </is>
      </c>
      <c r="G14051" t="n">
        <v>3.5</v>
      </c>
      <c r="H14051" t="n">
        <v>0</v>
      </c>
      <c r="I14051" t="n">
        <v>0</v>
      </c>
      <c r="J14051" t="n">
        <v>0</v>
      </c>
      <c r="K14051" t="n">
        <v>0</v>
      </c>
      <c r="L14051" t="n">
        <v>0</v>
      </c>
      <c r="M14051" t="n">
        <v>0</v>
      </c>
      <c r="N14051" t="n">
        <v>0</v>
      </c>
      <c r="O14051" t="n">
        <v>0</v>
      </c>
      <c r="P14051" t="n">
        <v>0</v>
      </c>
      <c r="Q14051" t="n">
        <v>0</v>
      </c>
      <c r="R14051" s="2" t="inlineStr"/>
    </row>
    <row r="14052" ht="15" customHeight="1">
      <c r="A14052" t="inlineStr">
        <is>
          <t>A 60139-2022</t>
        </is>
      </c>
      <c r="B14052" s="1" t="n">
        <v>44902</v>
      </c>
      <c r="C14052" s="1" t="n">
        <v>45952</v>
      </c>
      <c r="D14052" t="inlineStr">
        <is>
          <t>VÄSTRA GÖTALANDS LÄN</t>
        </is>
      </c>
      <c r="E14052" t="inlineStr">
        <is>
          <t>DALS-ED</t>
        </is>
      </c>
      <c r="G14052" t="n">
        <v>0.5</v>
      </c>
      <c r="H14052" t="n">
        <v>0</v>
      </c>
      <c r="I14052" t="n">
        <v>0</v>
      </c>
      <c r="J14052" t="n">
        <v>0</v>
      </c>
      <c r="K14052" t="n">
        <v>0</v>
      </c>
      <c r="L14052" t="n">
        <v>0</v>
      </c>
      <c r="M14052" t="n">
        <v>0</v>
      </c>
      <c r="N14052" t="n">
        <v>0</v>
      </c>
      <c r="O14052" t="n">
        <v>0</v>
      </c>
      <c r="P14052" t="n">
        <v>0</v>
      </c>
      <c r="Q14052" t="n">
        <v>0</v>
      </c>
      <c r="R14052" s="2" t="inlineStr"/>
    </row>
    <row r="14053" ht="15" customHeight="1">
      <c r="A14053" t="inlineStr">
        <is>
          <t>A 51257-2022</t>
        </is>
      </c>
      <c r="B14053" s="1" t="n">
        <v>44866</v>
      </c>
      <c r="C14053" s="1" t="n">
        <v>45952</v>
      </c>
      <c r="D14053" t="inlineStr">
        <is>
          <t>VÄSTRA GÖTALANDS LÄN</t>
        </is>
      </c>
      <c r="E14053" t="inlineStr">
        <is>
          <t>ÅMÅL</t>
        </is>
      </c>
      <c r="G14053" t="n">
        <v>1.2</v>
      </c>
      <c r="H14053" t="n">
        <v>0</v>
      </c>
      <c r="I14053" t="n">
        <v>0</v>
      </c>
      <c r="J14053" t="n">
        <v>0</v>
      </c>
      <c r="K14053" t="n">
        <v>0</v>
      </c>
      <c r="L14053" t="n">
        <v>0</v>
      </c>
      <c r="M14053" t="n">
        <v>0</v>
      </c>
      <c r="N14053" t="n">
        <v>0</v>
      </c>
      <c r="O14053" t="n">
        <v>0</v>
      </c>
      <c r="P14053" t="n">
        <v>0</v>
      </c>
      <c r="Q14053" t="n">
        <v>0</v>
      </c>
      <c r="R14053" s="2" t="inlineStr"/>
    </row>
    <row r="14054" ht="15" customHeight="1">
      <c r="A14054" t="inlineStr">
        <is>
          <t>A 22518-2023</t>
        </is>
      </c>
      <c r="B14054" s="1" t="n">
        <v>45071</v>
      </c>
      <c r="C14054" s="1" t="n">
        <v>45952</v>
      </c>
      <c r="D14054" t="inlineStr">
        <is>
          <t>VÄSTRA GÖTALANDS LÄN</t>
        </is>
      </c>
      <c r="E14054" t="inlineStr">
        <is>
          <t>MUNKEDAL</t>
        </is>
      </c>
      <c r="F14054" t="inlineStr">
        <is>
          <t>Naturvårdsverket</t>
        </is>
      </c>
      <c r="G14054" t="n">
        <v>15.8</v>
      </c>
      <c r="H14054" t="n">
        <v>0</v>
      </c>
      <c r="I14054" t="n">
        <v>0</v>
      </c>
      <c r="J14054" t="n">
        <v>0</v>
      </c>
      <c r="K14054" t="n">
        <v>0</v>
      </c>
      <c r="L14054" t="n">
        <v>0</v>
      </c>
      <c r="M14054" t="n">
        <v>0</v>
      </c>
      <c r="N14054" t="n">
        <v>0</v>
      </c>
      <c r="O14054" t="n">
        <v>0</v>
      </c>
      <c r="P14054" t="n">
        <v>0</v>
      </c>
      <c r="Q14054" t="n">
        <v>0</v>
      </c>
      <c r="R14054" s="2" t="inlineStr"/>
    </row>
    <row r="14055" ht="15" customHeight="1">
      <c r="A14055" t="inlineStr">
        <is>
          <t>A 22560-2023</t>
        </is>
      </c>
      <c r="B14055" s="1" t="n">
        <v>45071.44758101852</v>
      </c>
      <c r="C14055" s="1" t="n">
        <v>45952</v>
      </c>
      <c r="D14055" t="inlineStr">
        <is>
          <t>VÄSTRA GÖTALANDS LÄN</t>
        </is>
      </c>
      <c r="E14055" t="inlineStr">
        <is>
          <t>STRÖMSTAD</t>
        </is>
      </c>
      <c r="G14055" t="n">
        <v>1.5</v>
      </c>
      <c r="H14055" t="n">
        <v>0</v>
      </c>
      <c r="I14055" t="n">
        <v>0</v>
      </c>
      <c r="J14055" t="n">
        <v>0</v>
      </c>
      <c r="K14055" t="n">
        <v>0</v>
      </c>
      <c r="L14055" t="n">
        <v>0</v>
      </c>
      <c r="M14055" t="n">
        <v>0</v>
      </c>
      <c r="N14055" t="n">
        <v>0</v>
      </c>
      <c r="O14055" t="n">
        <v>0</v>
      </c>
      <c r="P14055" t="n">
        <v>0</v>
      </c>
      <c r="Q14055" t="n">
        <v>0</v>
      </c>
      <c r="R14055" s="2" t="inlineStr"/>
    </row>
    <row r="14056" ht="15" customHeight="1">
      <c r="A14056" t="inlineStr">
        <is>
          <t>A 6179-2024</t>
        </is>
      </c>
      <c r="B14056" s="1" t="n">
        <v>45337</v>
      </c>
      <c r="C14056" s="1" t="n">
        <v>45952</v>
      </c>
      <c r="D14056" t="inlineStr">
        <is>
          <t>VÄSTRA GÖTALANDS LÄN</t>
        </is>
      </c>
      <c r="E14056" t="inlineStr">
        <is>
          <t>VÄNERSBORG</t>
        </is>
      </c>
      <c r="G14056" t="n">
        <v>0.9</v>
      </c>
      <c r="H14056" t="n">
        <v>0</v>
      </c>
      <c r="I14056" t="n">
        <v>0</v>
      </c>
      <c r="J14056" t="n">
        <v>0</v>
      </c>
      <c r="K14056" t="n">
        <v>0</v>
      </c>
      <c r="L14056" t="n">
        <v>0</v>
      </c>
      <c r="M14056" t="n">
        <v>0</v>
      </c>
      <c r="N14056" t="n">
        <v>0</v>
      </c>
      <c r="O14056" t="n">
        <v>0</v>
      </c>
      <c r="P14056" t="n">
        <v>0</v>
      </c>
      <c r="Q14056" t="n">
        <v>0</v>
      </c>
      <c r="R14056" s="2" t="inlineStr"/>
    </row>
    <row r="14057" ht="15" customHeight="1">
      <c r="A14057" t="inlineStr">
        <is>
          <t>A 6203-2024</t>
        </is>
      </c>
      <c r="B14057" s="1" t="n">
        <v>45337</v>
      </c>
      <c r="C14057" s="1" t="n">
        <v>45952</v>
      </c>
      <c r="D14057" t="inlineStr">
        <is>
          <t>VÄSTRA GÖTALANDS LÄN</t>
        </is>
      </c>
      <c r="E14057" t="inlineStr">
        <is>
          <t>BORÅS</t>
        </is>
      </c>
      <c r="G14057" t="n">
        <v>2.1</v>
      </c>
      <c r="H14057" t="n">
        <v>0</v>
      </c>
      <c r="I14057" t="n">
        <v>0</v>
      </c>
      <c r="J14057" t="n">
        <v>0</v>
      </c>
      <c r="K14057" t="n">
        <v>0</v>
      </c>
      <c r="L14057" t="n">
        <v>0</v>
      </c>
      <c r="M14057" t="n">
        <v>0</v>
      </c>
      <c r="N14057" t="n">
        <v>0</v>
      </c>
      <c r="O14057" t="n">
        <v>0</v>
      </c>
      <c r="P14057" t="n">
        <v>0</v>
      </c>
      <c r="Q14057" t="n">
        <v>0</v>
      </c>
      <c r="R14057" s="2" t="inlineStr"/>
    </row>
    <row r="14058" ht="15" customHeight="1">
      <c r="A14058" t="inlineStr">
        <is>
          <t>A 45609-2024</t>
        </is>
      </c>
      <c r="B14058" s="1" t="n">
        <v>45579.44858796296</v>
      </c>
      <c r="C14058" s="1" t="n">
        <v>45952</v>
      </c>
      <c r="D14058" t="inlineStr">
        <is>
          <t>VÄSTRA GÖTALANDS LÄN</t>
        </is>
      </c>
      <c r="E14058" t="inlineStr">
        <is>
          <t>BORÅS</t>
        </is>
      </c>
      <c r="G14058" t="n">
        <v>2.2</v>
      </c>
      <c r="H14058" t="n">
        <v>0</v>
      </c>
      <c r="I14058" t="n">
        <v>0</v>
      </c>
      <c r="J14058" t="n">
        <v>0</v>
      </c>
      <c r="K14058" t="n">
        <v>0</v>
      </c>
      <c r="L14058" t="n">
        <v>0</v>
      </c>
      <c r="M14058" t="n">
        <v>0</v>
      </c>
      <c r="N14058" t="n">
        <v>0</v>
      </c>
      <c r="O14058" t="n">
        <v>0</v>
      </c>
      <c r="P14058" t="n">
        <v>0</v>
      </c>
      <c r="Q14058" t="n">
        <v>0</v>
      </c>
      <c r="R14058" s="2" t="inlineStr"/>
    </row>
    <row r="14059" ht="15" customHeight="1">
      <c r="A14059" t="inlineStr">
        <is>
          <t>A 35685-2024</t>
        </is>
      </c>
      <c r="B14059" s="1" t="n">
        <v>45532.41479166667</v>
      </c>
      <c r="C14059" s="1" t="n">
        <v>45952</v>
      </c>
      <c r="D14059" t="inlineStr">
        <is>
          <t>VÄSTRA GÖTALANDS LÄN</t>
        </is>
      </c>
      <c r="E14059" t="inlineStr">
        <is>
          <t>MUNKEDAL</t>
        </is>
      </c>
      <c r="G14059" t="n">
        <v>6.1</v>
      </c>
      <c r="H14059" t="n">
        <v>0</v>
      </c>
      <c r="I14059" t="n">
        <v>0</v>
      </c>
      <c r="J14059" t="n">
        <v>0</v>
      </c>
      <c r="K14059" t="n">
        <v>0</v>
      </c>
      <c r="L14059" t="n">
        <v>0</v>
      </c>
      <c r="M14059" t="n">
        <v>0</v>
      </c>
      <c r="N14059" t="n">
        <v>0</v>
      </c>
      <c r="O14059" t="n">
        <v>0</v>
      </c>
      <c r="P14059" t="n">
        <v>0</v>
      </c>
      <c r="Q14059" t="n">
        <v>0</v>
      </c>
      <c r="R14059" s="2" t="inlineStr"/>
    </row>
    <row r="14060" ht="15" customHeight="1">
      <c r="A14060" t="inlineStr">
        <is>
          <t>A 18152-2021</t>
        </is>
      </c>
      <c r="B14060" s="1" t="n">
        <v>44302</v>
      </c>
      <c r="C14060" s="1" t="n">
        <v>45952</v>
      </c>
      <c r="D14060" t="inlineStr">
        <is>
          <t>VÄSTRA GÖTALANDS LÄN</t>
        </is>
      </c>
      <c r="E14060" t="inlineStr">
        <is>
          <t>TIDAHOLM</t>
        </is>
      </c>
      <c r="G14060" t="n">
        <v>3.8</v>
      </c>
      <c r="H14060" t="n">
        <v>0</v>
      </c>
      <c r="I14060" t="n">
        <v>0</v>
      </c>
      <c r="J14060" t="n">
        <v>0</v>
      </c>
      <c r="K14060" t="n">
        <v>0</v>
      </c>
      <c r="L14060" t="n">
        <v>0</v>
      </c>
      <c r="M14060" t="n">
        <v>0</v>
      </c>
      <c r="N14060" t="n">
        <v>0</v>
      </c>
      <c r="O14060" t="n">
        <v>0</v>
      </c>
      <c r="P14060" t="n">
        <v>0</v>
      </c>
      <c r="Q14060" t="n">
        <v>0</v>
      </c>
      <c r="R14060" s="2" t="inlineStr"/>
    </row>
    <row r="14061" ht="15" customHeight="1">
      <c r="A14061" t="inlineStr">
        <is>
          <t>A 61208-2020</t>
        </is>
      </c>
      <c r="B14061" s="1" t="n">
        <v>44155.41715277778</v>
      </c>
      <c r="C14061" s="1" t="n">
        <v>45952</v>
      </c>
      <c r="D14061" t="inlineStr">
        <is>
          <t>VÄSTRA GÖTALANDS LÄN</t>
        </is>
      </c>
      <c r="E14061" t="inlineStr">
        <is>
          <t>LIDKÖPING</t>
        </is>
      </c>
      <c r="G14061" t="n">
        <v>4.9</v>
      </c>
      <c r="H14061" t="n">
        <v>0</v>
      </c>
      <c r="I14061" t="n">
        <v>0</v>
      </c>
      <c r="J14061" t="n">
        <v>0</v>
      </c>
      <c r="K14061" t="n">
        <v>0</v>
      </c>
      <c r="L14061" t="n">
        <v>0</v>
      </c>
      <c r="M14061" t="n">
        <v>0</v>
      </c>
      <c r="N14061" t="n">
        <v>0</v>
      </c>
      <c r="O14061" t="n">
        <v>0</v>
      </c>
      <c r="P14061" t="n">
        <v>0</v>
      </c>
      <c r="Q14061" t="n">
        <v>0</v>
      </c>
      <c r="R14061" s="2" t="inlineStr"/>
    </row>
    <row r="14062" ht="15" customHeight="1">
      <c r="A14062" t="inlineStr">
        <is>
          <t>A 15969-2025</t>
        </is>
      </c>
      <c r="B14062" s="1" t="n">
        <v>45749.54825231482</v>
      </c>
      <c r="C14062" s="1" t="n">
        <v>45952</v>
      </c>
      <c r="D14062" t="inlineStr">
        <is>
          <t>VÄSTRA GÖTALANDS LÄN</t>
        </is>
      </c>
      <c r="E14062" t="inlineStr">
        <is>
          <t>BOLLEBYGD</t>
        </is>
      </c>
      <c r="G14062" t="n">
        <v>0.7</v>
      </c>
      <c r="H14062" t="n">
        <v>0</v>
      </c>
      <c r="I14062" t="n">
        <v>0</v>
      </c>
      <c r="J14062" t="n">
        <v>0</v>
      </c>
      <c r="K14062" t="n">
        <v>0</v>
      </c>
      <c r="L14062" t="n">
        <v>0</v>
      </c>
      <c r="M14062" t="n">
        <v>0</v>
      </c>
      <c r="N14062" t="n">
        <v>0</v>
      </c>
      <c r="O14062" t="n">
        <v>0</v>
      </c>
      <c r="P14062" t="n">
        <v>0</v>
      </c>
      <c r="Q14062" t="n">
        <v>0</v>
      </c>
      <c r="R14062" s="2" t="inlineStr"/>
    </row>
    <row r="14063" ht="15" customHeight="1">
      <c r="A14063" t="inlineStr">
        <is>
          <t>A 15090-2025</t>
        </is>
      </c>
      <c r="B14063" s="1" t="n">
        <v>45744.32737268518</v>
      </c>
      <c r="C14063" s="1" t="n">
        <v>45952</v>
      </c>
      <c r="D14063" t="inlineStr">
        <is>
          <t>VÄSTRA GÖTALANDS LÄN</t>
        </is>
      </c>
      <c r="E14063" t="inlineStr">
        <is>
          <t>TIDAHOLM</t>
        </is>
      </c>
      <c r="G14063" t="n">
        <v>1</v>
      </c>
      <c r="H14063" t="n">
        <v>0</v>
      </c>
      <c r="I14063" t="n">
        <v>0</v>
      </c>
      <c r="J14063" t="n">
        <v>0</v>
      </c>
      <c r="K14063" t="n">
        <v>0</v>
      </c>
      <c r="L14063" t="n">
        <v>0</v>
      </c>
      <c r="M14063" t="n">
        <v>0</v>
      </c>
      <c r="N14063" t="n">
        <v>0</v>
      </c>
      <c r="O14063" t="n">
        <v>0</v>
      </c>
      <c r="P14063" t="n">
        <v>0</v>
      </c>
      <c r="Q14063" t="n">
        <v>0</v>
      </c>
      <c r="R14063" s="2" t="inlineStr"/>
    </row>
    <row r="14064" ht="15" customHeight="1">
      <c r="A14064" t="inlineStr">
        <is>
          <t>A 18723-2025</t>
        </is>
      </c>
      <c r="B14064" s="1" t="n">
        <v>45763.66309027778</v>
      </c>
      <c r="C14064" s="1" t="n">
        <v>45952</v>
      </c>
      <c r="D14064" t="inlineStr">
        <is>
          <t>VÄSTRA GÖTALANDS LÄN</t>
        </is>
      </c>
      <c r="E14064" t="inlineStr">
        <is>
          <t>HERRLJUNGA</t>
        </is>
      </c>
      <c r="G14064" t="n">
        <v>3.5</v>
      </c>
      <c r="H14064" t="n">
        <v>0</v>
      </c>
      <c r="I14064" t="n">
        <v>0</v>
      </c>
      <c r="J14064" t="n">
        <v>0</v>
      </c>
      <c r="K14064" t="n">
        <v>0</v>
      </c>
      <c r="L14064" t="n">
        <v>0</v>
      </c>
      <c r="M14064" t="n">
        <v>0</v>
      </c>
      <c r="N14064" t="n">
        <v>0</v>
      </c>
      <c r="O14064" t="n">
        <v>0</v>
      </c>
      <c r="P14064" t="n">
        <v>0</v>
      </c>
      <c r="Q14064" t="n">
        <v>0</v>
      </c>
      <c r="R14064" s="2" t="inlineStr"/>
    </row>
    <row r="14065" ht="15" customHeight="1">
      <c r="A14065" t="inlineStr">
        <is>
          <t>A 18736-2025</t>
        </is>
      </c>
      <c r="B14065" s="1" t="n">
        <v>45763.68108796296</v>
      </c>
      <c r="C14065" s="1" t="n">
        <v>45952</v>
      </c>
      <c r="D14065" t="inlineStr">
        <is>
          <t>VÄSTRA GÖTALANDS LÄN</t>
        </is>
      </c>
      <c r="E14065" t="inlineStr">
        <is>
          <t>HERRLJUNGA</t>
        </is>
      </c>
      <c r="G14065" t="n">
        <v>3.1</v>
      </c>
      <c r="H14065" t="n">
        <v>0</v>
      </c>
      <c r="I14065" t="n">
        <v>0</v>
      </c>
      <c r="J14065" t="n">
        <v>0</v>
      </c>
      <c r="K14065" t="n">
        <v>0</v>
      </c>
      <c r="L14065" t="n">
        <v>0</v>
      </c>
      <c r="M14065" t="n">
        <v>0</v>
      </c>
      <c r="N14065" t="n">
        <v>0</v>
      </c>
      <c r="O14065" t="n">
        <v>0</v>
      </c>
      <c r="P14065" t="n">
        <v>0</v>
      </c>
      <c r="Q14065" t="n">
        <v>0</v>
      </c>
      <c r="R14065" s="2" t="inlineStr"/>
    </row>
    <row r="14066" ht="15" customHeight="1">
      <c r="A14066" t="inlineStr">
        <is>
          <t>A 49566-2023</t>
        </is>
      </c>
      <c r="B14066" s="1" t="n">
        <v>45211.65027777778</v>
      </c>
      <c r="C14066" s="1" t="n">
        <v>45952</v>
      </c>
      <c r="D14066" t="inlineStr">
        <is>
          <t>VÄSTRA GÖTALANDS LÄN</t>
        </is>
      </c>
      <c r="E14066" t="inlineStr">
        <is>
          <t>MARIESTAD</t>
        </is>
      </c>
      <c r="G14066" t="n">
        <v>0.7</v>
      </c>
      <c r="H14066" t="n">
        <v>0</v>
      </c>
      <c r="I14066" t="n">
        <v>0</v>
      </c>
      <c r="J14066" t="n">
        <v>0</v>
      </c>
      <c r="K14066" t="n">
        <v>0</v>
      </c>
      <c r="L14066" t="n">
        <v>0</v>
      </c>
      <c r="M14066" t="n">
        <v>0</v>
      </c>
      <c r="N14066" t="n">
        <v>0</v>
      </c>
      <c r="O14066" t="n">
        <v>0</v>
      </c>
      <c r="P14066" t="n">
        <v>0</v>
      </c>
      <c r="Q14066" t="n">
        <v>0</v>
      </c>
      <c r="R14066" s="2" t="inlineStr"/>
    </row>
    <row r="14067" ht="15" customHeight="1">
      <c r="A14067" t="inlineStr">
        <is>
          <t>A 14168-2023</t>
        </is>
      </c>
      <c r="B14067" s="1" t="n">
        <v>45009.50658564815</v>
      </c>
      <c r="C14067" s="1" t="n">
        <v>45952</v>
      </c>
      <c r="D14067" t="inlineStr">
        <is>
          <t>VÄSTRA GÖTALANDS LÄN</t>
        </is>
      </c>
      <c r="E14067" t="inlineStr">
        <is>
          <t>HERRLJUNGA</t>
        </is>
      </c>
      <c r="G14067" t="n">
        <v>1.6</v>
      </c>
      <c r="H14067" t="n">
        <v>0</v>
      </c>
      <c r="I14067" t="n">
        <v>0</v>
      </c>
      <c r="J14067" t="n">
        <v>0</v>
      </c>
      <c r="K14067" t="n">
        <v>0</v>
      </c>
      <c r="L14067" t="n">
        <v>0</v>
      </c>
      <c r="M14067" t="n">
        <v>0</v>
      </c>
      <c r="N14067" t="n">
        <v>0</v>
      </c>
      <c r="O14067" t="n">
        <v>0</v>
      </c>
      <c r="P14067" t="n">
        <v>0</v>
      </c>
      <c r="Q14067" t="n">
        <v>0</v>
      </c>
      <c r="R14067" s="2" t="inlineStr"/>
    </row>
    <row r="14068" ht="15" customHeight="1">
      <c r="A14068" t="inlineStr">
        <is>
          <t>A 3027-2024</t>
        </is>
      </c>
      <c r="B14068" s="1" t="n">
        <v>45316.29578703704</v>
      </c>
      <c r="C14068" s="1" t="n">
        <v>45952</v>
      </c>
      <c r="D14068" t="inlineStr">
        <is>
          <t>VÄSTRA GÖTALANDS LÄN</t>
        </is>
      </c>
      <c r="E14068" t="inlineStr">
        <is>
          <t>SVENLJUNGA</t>
        </is>
      </c>
      <c r="G14068" t="n">
        <v>3.2</v>
      </c>
      <c r="H14068" t="n">
        <v>0</v>
      </c>
      <c r="I14068" t="n">
        <v>0</v>
      </c>
      <c r="J14068" t="n">
        <v>0</v>
      </c>
      <c r="K14068" t="n">
        <v>0</v>
      </c>
      <c r="L14068" t="n">
        <v>0</v>
      </c>
      <c r="M14068" t="n">
        <v>0</v>
      </c>
      <c r="N14068" t="n">
        <v>0</v>
      </c>
      <c r="O14068" t="n">
        <v>0</v>
      </c>
      <c r="P14068" t="n">
        <v>0</v>
      </c>
      <c r="Q14068" t="n">
        <v>0</v>
      </c>
      <c r="R14068" s="2" t="inlineStr"/>
    </row>
    <row r="14069" ht="15" customHeight="1">
      <c r="A14069" t="inlineStr">
        <is>
          <t>A 48336-2024</t>
        </is>
      </c>
      <c r="B14069" s="1" t="n">
        <v>45590.54072916666</v>
      </c>
      <c r="C14069" s="1" t="n">
        <v>45952</v>
      </c>
      <c r="D14069" t="inlineStr">
        <is>
          <t>VÄSTRA GÖTALANDS LÄN</t>
        </is>
      </c>
      <c r="E14069" t="inlineStr">
        <is>
          <t>SKÖVDE</t>
        </is>
      </c>
      <c r="G14069" t="n">
        <v>2</v>
      </c>
      <c r="H14069" t="n">
        <v>0</v>
      </c>
      <c r="I14069" t="n">
        <v>0</v>
      </c>
      <c r="J14069" t="n">
        <v>0</v>
      </c>
      <c r="K14069" t="n">
        <v>0</v>
      </c>
      <c r="L14069" t="n">
        <v>0</v>
      </c>
      <c r="M14069" t="n">
        <v>0</v>
      </c>
      <c r="N14069" t="n">
        <v>0</v>
      </c>
      <c r="O14069" t="n">
        <v>0</v>
      </c>
      <c r="P14069" t="n">
        <v>0</v>
      </c>
      <c r="Q14069" t="n">
        <v>0</v>
      </c>
      <c r="R14069" s="2" t="inlineStr"/>
    </row>
    <row r="14070" ht="15" customHeight="1">
      <c r="A14070" t="inlineStr">
        <is>
          <t>A 50711-2024</t>
        </is>
      </c>
      <c r="B14070" s="1" t="n">
        <v>45602.38179398148</v>
      </c>
      <c r="C14070" s="1" t="n">
        <v>45952</v>
      </c>
      <c r="D14070" t="inlineStr">
        <is>
          <t>VÄSTRA GÖTALANDS LÄN</t>
        </is>
      </c>
      <c r="E14070" t="inlineStr">
        <is>
          <t>HJO</t>
        </is>
      </c>
      <c r="G14070" t="n">
        <v>1</v>
      </c>
      <c r="H14070" t="n">
        <v>0</v>
      </c>
      <c r="I14070" t="n">
        <v>0</v>
      </c>
      <c r="J14070" t="n">
        <v>0</v>
      </c>
      <c r="K14070" t="n">
        <v>0</v>
      </c>
      <c r="L14070" t="n">
        <v>0</v>
      </c>
      <c r="M14070" t="n">
        <v>0</v>
      </c>
      <c r="N14070" t="n">
        <v>0</v>
      </c>
      <c r="O14070" t="n">
        <v>0</v>
      </c>
      <c r="P14070" t="n">
        <v>0</v>
      </c>
      <c r="Q14070" t="n">
        <v>0</v>
      </c>
      <c r="R14070" s="2" t="inlineStr"/>
    </row>
    <row r="14071" ht="15" customHeight="1">
      <c r="A14071" t="inlineStr">
        <is>
          <t>A 17798-2024</t>
        </is>
      </c>
      <c r="B14071" s="1" t="n">
        <v>45418</v>
      </c>
      <c r="C14071" s="1" t="n">
        <v>45952</v>
      </c>
      <c r="D14071" t="inlineStr">
        <is>
          <t>VÄSTRA GÖTALANDS LÄN</t>
        </is>
      </c>
      <c r="E14071" t="inlineStr">
        <is>
          <t>SKÖVDE</t>
        </is>
      </c>
      <c r="G14071" t="n">
        <v>2.8</v>
      </c>
      <c r="H14071" t="n">
        <v>0</v>
      </c>
      <c r="I14071" t="n">
        <v>0</v>
      </c>
      <c r="J14071" t="n">
        <v>0</v>
      </c>
      <c r="K14071" t="n">
        <v>0</v>
      </c>
      <c r="L14071" t="n">
        <v>0</v>
      </c>
      <c r="M14071" t="n">
        <v>0</v>
      </c>
      <c r="N14071" t="n">
        <v>0</v>
      </c>
      <c r="O14071" t="n">
        <v>0</v>
      </c>
      <c r="P14071" t="n">
        <v>0</v>
      </c>
      <c r="Q14071" t="n">
        <v>0</v>
      </c>
      <c r="R14071" s="2" t="inlineStr"/>
    </row>
    <row r="14072" ht="15" customHeight="1">
      <c r="A14072" t="inlineStr">
        <is>
          <t>A 50780-2024</t>
        </is>
      </c>
      <c r="B14072" s="1" t="n">
        <v>45602.46625</v>
      </c>
      <c r="C14072" s="1" t="n">
        <v>45952</v>
      </c>
      <c r="D14072" t="inlineStr">
        <is>
          <t>VÄSTRA GÖTALANDS LÄN</t>
        </is>
      </c>
      <c r="E14072" t="inlineStr">
        <is>
          <t>TRANEMO</t>
        </is>
      </c>
      <c r="G14072" t="n">
        <v>5</v>
      </c>
      <c r="H14072" t="n">
        <v>0</v>
      </c>
      <c r="I14072" t="n">
        <v>0</v>
      </c>
      <c r="J14072" t="n">
        <v>0</v>
      </c>
      <c r="K14072" t="n">
        <v>0</v>
      </c>
      <c r="L14072" t="n">
        <v>0</v>
      </c>
      <c r="M14072" t="n">
        <v>0</v>
      </c>
      <c r="N14072" t="n">
        <v>0</v>
      </c>
      <c r="O14072" t="n">
        <v>0</v>
      </c>
      <c r="P14072" t="n">
        <v>0</v>
      </c>
      <c r="Q14072" t="n">
        <v>0</v>
      </c>
      <c r="R14072" s="2" t="inlineStr"/>
    </row>
    <row r="14073" ht="15" customHeight="1">
      <c r="A14073" t="inlineStr">
        <is>
          <t>A 50782-2024</t>
        </is>
      </c>
      <c r="B14073" s="1" t="n">
        <v>45602.46885416667</v>
      </c>
      <c r="C14073" s="1" t="n">
        <v>45952</v>
      </c>
      <c r="D14073" t="inlineStr">
        <is>
          <t>VÄSTRA GÖTALANDS LÄN</t>
        </is>
      </c>
      <c r="E14073" t="inlineStr">
        <is>
          <t>TRANEMO</t>
        </is>
      </c>
      <c r="G14073" t="n">
        <v>0.8</v>
      </c>
      <c r="H14073" t="n">
        <v>0</v>
      </c>
      <c r="I14073" t="n">
        <v>0</v>
      </c>
      <c r="J14073" t="n">
        <v>0</v>
      </c>
      <c r="K14073" t="n">
        <v>0</v>
      </c>
      <c r="L14073" t="n">
        <v>0</v>
      </c>
      <c r="M14073" t="n">
        <v>0</v>
      </c>
      <c r="N14073" t="n">
        <v>0</v>
      </c>
      <c r="O14073" t="n">
        <v>0</v>
      </c>
      <c r="P14073" t="n">
        <v>0</v>
      </c>
      <c r="Q14073" t="n">
        <v>0</v>
      </c>
      <c r="R14073" s="2" t="inlineStr"/>
    </row>
    <row r="14074" ht="15" customHeight="1">
      <c r="A14074" t="inlineStr">
        <is>
          <t>A 47045-2023</t>
        </is>
      </c>
      <c r="B14074" s="1" t="n">
        <v>45201.55571759259</v>
      </c>
      <c r="C14074" s="1" t="n">
        <v>45952</v>
      </c>
      <c r="D14074" t="inlineStr">
        <is>
          <t>VÄSTRA GÖTALANDS LÄN</t>
        </is>
      </c>
      <c r="E14074" t="inlineStr">
        <is>
          <t>FÄRGELANDA</t>
        </is>
      </c>
      <c r="G14074" t="n">
        <v>2.2</v>
      </c>
      <c r="H14074" t="n">
        <v>0</v>
      </c>
      <c r="I14074" t="n">
        <v>0</v>
      </c>
      <c r="J14074" t="n">
        <v>0</v>
      </c>
      <c r="K14074" t="n">
        <v>0</v>
      </c>
      <c r="L14074" t="n">
        <v>0</v>
      </c>
      <c r="M14074" t="n">
        <v>0</v>
      </c>
      <c r="N14074" t="n">
        <v>0</v>
      </c>
      <c r="O14074" t="n">
        <v>0</v>
      </c>
      <c r="P14074" t="n">
        <v>0</v>
      </c>
      <c r="Q14074" t="n">
        <v>0</v>
      </c>
      <c r="R14074" s="2" t="inlineStr"/>
    </row>
    <row r="14075" ht="15" customHeight="1">
      <c r="A14075" t="inlineStr">
        <is>
          <t>A 62746-2020</t>
        </is>
      </c>
      <c r="B14075" s="1" t="n">
        <v>44161</v>
      </c>
      <c r="C14075" s="1" t="n">
        <v>45952</v>
      </c>
      <c r="D14075" t="inlineStr">
        <is>
          <t>VÄSTRA GÖTALANDS LÄN</t>
        </is>
      </c>
      <c r="E14075" t="inlineStr">
        <is>
          <t>ULRICEHAMN</t>
        </is>
      </c>
      <c r="F14075" t="inlineStr">
        <is>
          <t>Kommuner</t>
        </is>
      </c>
      <c r="G14075" t="n">
        <v>0.9</v>
      </c>
      <c r="H14075" t="n">
        <v>0</v>
      </c>
      <c r="I14075" t="n">
        <v>0</v>
      </c>
      <c r="J14075" t="n">
        <v>0</v>
      </c>
      <c r="K14075" t="n">
        <v>0</v>
      </c>
      <c r="L14075" t="n">
        <v>0</v>
      </c>
      <c r="M14075" t="n">
        <v>0</v>
      </c>
      <c r="N14075" t="n">
        <v>0</v>
      </c>
      <c r="O14075" t="n">
        <v>0</v>
      </c>
      <c r="P14075" t="n">
        <v>0</v>
      </c>
      <c r="Q14075" t="n">
        <v>0</v>
      </c>
      <c r="R14075" s="2" t="inlineStr"/>
    </row>
    <row r="14076" ht="15" customHeight="1">
      <c r="A14076" t="inlineStr">
        <is>
          <t>A 8321-2025</t>
        </is>
      </c>
      <c r="B14076" s="1" t="n">
        <v>45708.62912037037</v>
      </c>
      <c r="C14076" s="1" t="n">
        <v>45952</v>
      </c>
      <c r="D14076" t="inlineStr">
        <is>
          <t>VÄSTRA GÖTALANDS LÄN</t>
        </is>
      </c>
      <c r="E14076" t="inlineStr">
        <is>
          <t>MARIESTAD</t>
        </is>
      </c>
      <c r="G14076" t="n">
        <v>1.9</v>
      </c>
      <c r="H14076" t="n">
        <v>0</v>
      </c>
      <c r="I14076" t="n">
        <v>0</v>
      </c>
      <c r="J14076" t="n">
        <v>0</v>
      </c>
      <c r="K14076" t="n">
        <v>0</v>
      </c>
      <c r="L14076" t="n">
        <v>0</v>
      </c>
      <c r="M14076" t="n">
        <v>0</v>
      </c>
      <c r="N14076" t="n">
        <v>0</v>
      </c>
      <c r="O14076" t="n">
        <v>0</v>
      </c>
      <c r="P14076" t="n">
        <v>0</v>
      </c>
      <c r="Q14076" t="n">
        <v>0</v>
      </c>
      <c r="R14076" s="2" t="inlineStr"/>
    </row>
    <row r="14077" ht="15" customHeight="1">
      <c r="A14077" t="inlineStr">
        <is>
          <t>A 13945-2024</t>
        </is>
      </c>
      <c r="B14077" s="1" t="n">
        <v>45392.30935185185</v>
      </c>
      <c r="C14077" s="1" t="n">
        <v>45952</v>
      </c>
      <c r="D14077" t="inlineStr">
        <is>
          <t>VÄSTRA GÖTALANDS LÄN</t>
        </is>
      </c>
      <c r="E14077" t="inlineStr">
        <is>
          <t>TRANEMO</t>
        </is>
      </c>
      <c r="G14077" t="n">
        <v>3.7</v>
      </c>
      <c r="H14077" t="n">
        <v>0</v>
      </c>
      <c r="I14077" t="n">
        <v>0</v>
      </c>
      <c r="J14077" t="n">
        <v>0</v>
      </c>
      <c r="K14077" t="n">
        <v>0</v>
      </c>
      <c r="L14077" t="n">
        <v>0</v>
      </c>
      <c r="M14077" t="n">
        <v>0</v>
      </c>
      <c r="N14077" t="n">
        <v>0</v>
      </c>
      <c r="O14077" t="n">
        <v>0</v>
      </c>
      <c r="P14077" t="n">
        <v>0</v>
      </c>
      <c r="Q14077" t="n">
        <v>0</v>
      </c>
      <c r="R14077" s="2" t="inlineStr"/>
    </row>
    <row r="14078" ht="15" customHeight="1">
      <c r="A14078" t="inlineStr">
        <is>
          <t>A 13949-2024</t>
        </is>
      </c>
      <c r="B14078" s="1" t="n">
        <v>45392.31827546296</v>
      </c>
      <c r="C14078" s="1" t="n">
        <v>45952</v>
      </c>
      <c r="D14078" t="inlineStr">
        <is>
          <t>VÄSTRA GÖTALANDS LÄN</t>
        </is>
      </c>
      <c r="E14078" t="inlineStr">
        <is>
          <t>TRANEMO</t>
        </is>
      </c>
      <c r="G14078" t="n">
        <v>1.9</v>
      </c>
      <c r="H14078" t="n">
        <v>0</v>
      </c>
      <c r="I14078" t="n">
        <v>0</v>
      </c>
      <c r="J14078" t="n">
        <v>0</v>
      </c>
      <c r="K14078" t="n">
        <v>0</v>
      </c>
      <c r="L14078" t="n">
        <v>0</v>
      </c>
      <c r="M14078" t="n">
        <v>0</v>
      </c>
      <c r="N14078" t="n">
        <v>0</v>
      </c>
      <c r="O14078" t="n">
        <v>0</v>
      </c>
      <c r="P14078" t="n">
        <v>0</v>
      </c>
      <c r="Q14078" t="n">
        <v>0</v>
      </c>
      <c r="R14078" s="2" t="inlineStr"/>
    </row>
    <row r="14079" ht="15" customHeight="1">
      <c r="A14079" t="inlineStr">
        <is>
          <t>A 13956-2024</t>
        </is>
      </c>
      <c r="B14079" s="1" t="n">
        <v>45392.32475694444</v>
      </c>
      <c r="C14079" s="1" t="n">
        <v>45952</v>
      </c>
      <c r="D14079" t="inlineStr">
        <is>
          <t>VÄSTRA GÖTALANDS LÄN</t>
        </is>
      </c>
      <c r="E14079" t="inlineStr">
        <is>
          <t>BORÅS</t>
        </is>
      </c>
      <c r="G14079" t="n">
        <v>0.7</v>
      </c>
      <c r="H14079" t="n">
        <v>0</v>
      </c>
      <c r="I14079" t="n">
        <v>0</v>
      </c>
      <c r="J14079" t="n">
        <v>0</v>
      </c>
      <c r="K14079" t="n">
        <v>0</v>
      </c>
      <c r="L14079" t="n">
        <v>0</v>
      </c>
      <c r="M14079" t="n">
        <v>0</v>
      </c>
      <c r="N14079" t="n">
        <v>0</v>
      </c>
      <c r="O14079" t="n">
        <v>0</v>
      </c>
      <c r="P14079" t="n">
        <v>0</v>
      </c>
      <c r="Q14079" t="n">
        <v>0</v>
      </c>
      <c r="R14079" s="2" t="inlineStr"/>
    </row>
    <row r="14080" ht="15" customHeight="1">
      <c r="A14080" t="inlineStr">
        <is>
          <t>A 69341-2021</t>
        </is>
      </c>
      <c r="B14080" s="1" t="n">
        <v>44531</v>
      </c>
      <c r="C14080" s="1" t="n">
        <v>45952</v>
      </c>
      <c r="D14080" t="inlineStr">
        <is>
          <t>VÄSTRA GÖTALANDS LÄN</t>
        </is>
      </c>
      <c r="E14080" t="inlineStr">
        <is>
          <t>KARLSBORG</t>
        </is>
      </c>
      <c r="G14080" t="n">
        <v>1</v>
      </c>
      <c r="H14080" t="n">
        <v>0</v>
      </c>
      <c r="I14080" t="n">
        <v>0</v>
      </c>
      <c r="J14080" t="n">
        <v>0</v>
      </c>
      <c r="K14080" t="n">
        <v>0</v>
      </c>
      <c r="L14080" t="n">
        <v>0</v>
      </c>
      <c r="M14080" t="n">
        <v>0</v>
      </c>
      <c r="N14080" t="n">
        <v>0</v>
      </c>
      <c r="O14080" t="n">
        <v>0</v>
      </c>
      <c r="P14080" t="n">
        <v>0</v>
      </c>
      <c r="Q14080" t="n">
        <v>0</v>
      </c>
      <c r="R14080" s="2" t="inlineStr"/>
    </row>
    <row r="14081" ht="15" customHeight="1">
      <c r="A14081" t="inlineStr">
        <is>
          <t>A 47448-2023</t>
        </is>
      </c>
      <c r="B14081" s="1" t="n">
        <v>45202</v>
      </c>
      <c r="C14081" s="1" t="n">
        <v>45952</v>
      </c>
      <c r="D14081" t="inlineStr">
        <is>
          <t>VÄSTRA GÖTALANDS LÄN</t>
        </is>
      </c>
      <c r="E14081" t="inlineStr">
        <is>
          <t>MARK</t>
        </is>
      </c>
      <c r="G14081" t="n">
        <v>0.7</v>
      </c>
      <c r="H14081" t="n">
        <v>0</v>
      </c>
      <c r="I14081" t="n">
        <v>0</v>
      </c>
      <c r="J14081" t="n">
        <v>0</v>
      </c>
      <c r="K14081" t="n">
        <v>0</v>
      </c>
      <c r="L14081" t="n">
        <v>0</v>
      </c>
      <c r="M14081" t="n">
        <v>0</v>
      </c>
      <c r="N14081" t="n">
        <v>0</v>
      </c>
      <c r="O14081" t="n">
        <v>0</v>
      </c>
      <c r="P14081" t="n">
        <v>0</v>
      </c>
      <c r="Q14081" t="n">
        <v>0</v>
      </c>
      <c r="R14081" s="2" t="inlineStr"/>
    </row>
    <row r="14082" ht="15" customHeight="1">
      <c r="A14082" t="inlineStr">
        <is>
          <t>A 36095-2024</t>
        </is>
      </c>
      <c r="B14082" s="1" t="n">
        <v>45533</v>
      </c>
      <c r="C14082" s="1" t="n">
        <v>45952</v>
      </c>
      <c r="D14082" t="inlineStr">
        <is>
          <t>VÄSTRA GÖTALANDS LÄN</t>
        </is>
      </c>
      <c r="E14082" t="inlineStr">
        <is>
          <t>DALS-ED</t>
        </is>
      </c>
      <c r="G14082" t="n">
        <v>1.2</v>
      </c>
      <c r="H14082" t="n">
        <v>0</v>
      </c>
      <c r="I14082" t="n">
        <v>0</v>
      </c>
      <c r="J14082" t="n">
        <v>0</v>
      </c>
      <c r="K14082" t="n">
        <v>0</v>
      </c>
      <c r="L14082" t="n">
        <v>0</v>
      </c>
      <c r="M14082" t="n">
        <v>0</v>
      </c>
      <c r="N14082" t="n">
        <v>0</v>
      </c>
      <c r="O14082" t="n">
        <v>0</v>
      </c>
      <c r="P14082" t="n">
        <v>0</v>
      </c>
      <c r="Q14082" t="n">
        <v>0</v>
      </c>
      <c r="R14082" s="2" t="inlineStr"/>
    </row>
    <row r="14083" ht="15" customHeight="1">
      <c r="A14083" t="inlineStr">
        <is>
          <t>A 54225-2022</t>
        </is>
      </c>
      <c r="B14083" s="1" t="n">
        <v>44881</v>
      </c>
      <c r="C14083" s="1" t="n">
        <v>45952</v>
      </c>
      <c r="D14083" t="inlineStr">
        <is>
          <t>VÄSTRA GÖTALANDS LÄN</t>
        </is>
      </c>
      <c r="E14083" t="inlineStr">
        <is>
          <t>MARIESTAD</t>
        </is>
      </c>
      <c r="G14083" t="n">
        <v>4.3</v>
      </c>
      <c r="H14083" t="n">
        <v>0</v>
      </c>
      <c r="I14083" t="n">
        <v>0</v>
      </c>
      <c r="J14083" t="n">
        <v>0</v>
      </c>
      <c r="K14083" t="n">
        <v>0</v>
      </c>
      <c r="L14083" t="n">
        <v>0</v>
      </c>
      <c r="M14083" t="n">
        <v>0</v>
      </c>
      <c r="N14083" t="n">
        <v>0</v>
      </c>
      <c r="O14083" t="n">
        <v>0</v>
      </c>
      <c r="P14083" t="n">
        <v>0</v>
      </c>
      <c r="Q14083" t="n">
        <v>0</v>
      </c>
      <c r="R14083" s="2" t="inlineStr"/>
    </row>
    <row r="14084" ht="15" customHeight="1">
      <c r="A14084" t="inlineStr">
        <is>
          <t>A 54226-2022</t>
        </is>
      </c>
      <c r="B14084" s="1" t="n">
        <v>44881</v>
      </c>
      <c r="C14084" s="1" t="n">
        <v>45952</v>
      </c>
      <c r="D14084" t="inlineStr">
        <is>
          <t>VÄSTRA GÖTALANDS LÄN</t>
        </is>
      </c>
      <c r="E14084" t="inlineStr">
        <is>
          <t>MARK</t>
        </is>
      </c>
      <c r="G14084" t="n">
        <v>1.6</v>
      </c>
      <c r="H14084" t="n">
        <v>0</v>
      </c>
      <c r="I14084" t="n">
        <v>0</v>
      </c>
      <c r="J14084" t="n">
        <v>0</v>
      </c>
      <c r="K14084" t="n">
        <v>0</v>
      </c>
      <c r="L14084" t="n">
        <v>0</v>
      </c>
      <c r="M14084" t="n">
        <v>0</v>
      </c>
      <c r="N14084" t="n">
        <v>0</v>
      </c>
      <c r="O14084" t="n">
        <v>0</v>
      </c>
      <c r="P14084" t="n">
        <v>0</v>
      </c>
      <c r="Q14084" t="n">
        <v>0</v>
      </c>
      <c r="R14084" s="2" t="inlineStr"/>
    </row>
    <row r="14085" ht="15" customHeight="1">
      <c r="A14085" t="inlineStr">
        <is>
          <t>A 37419-2023</t>
        </is>
      </c>
      <c r="B14085" s="1" t="n">
        <v>45155</v>
      </c>
      <c r="C14085" s="1" t="n">
        <v>45952</v>
      </c>
      <c r="D14085" t="inlineStr">
        <is>
          <t>VÄSTRA GÖTALANDS LÄN</t>
        </is>
      </c>
      <c r="E14085" t="inlineStr">
        <is>
          <t>MUNKEDAL</t>
        </is>
      </c>
      <c r="F14085" t="inlineStr">
        <is>
          <t>Övriga Aktiebolag</t>
        </is>
      </c>
      <c r="G14085" t="n">
        <v>1.9</v>
      </c>
      <c r="H14085" t="n">
        <v>0</v>
      </c>
      <c r="I14085" t="n">
        <v>0</v>
      </c>
      <c r="J14085" t="n">
        <v>0</v>
      </c>
      <c r="K14085" t="n">
        <v>0</v>
      </c>
      <c r="L14085" t="n">
        <v>0</v>
      </c>
      <c r="M14085" t="n">
        <v>0</v>
      </c>
      <c r="N14085" t="n">
        <v>0</v>
      </c>
      <c r="O14085" t="n">
        <v>0</v>
      </c>
      <c r="P14085" t="n">
        <v>0</v>
      </c>
      <c r="Q14085" t="n">
        <v>0</v>
      </c>
      <c r="R14085" s="2" t="inlineStr"/>
    </row>
    <row r="14086" ht="15" customHeight="1">
      <c r="A14086" t="inlineStr">
        <is>
          <t>A 20357-2022</t>
        </is>
      </c>
      <c r="B14086" s="1" t="n">
        <v>44699</v>
      </c>
      <c r="C14086" s="1" t="n">
        <v>45952</v>
      </c>
      <c r="D14086" t="inlineStr">
        <is>
          <t>VÄSTRA GÖTALANDS LÄN</t>
        </is>
      </c>
      <c r="E14086" t="inlineStr">
        <is>
          <t>ULRICEHAMN</t>
        </is>
      </c>
      <c r="G14086" t="n">
        <v>6.7</v>
      </c>
      <c r="H14086" t="n">
        <v>0</v>
      </c>
      <c r="I14086" t="n">
        <v>0</v>
      </c>
      <c r="J14086" t="n">
        <v>0</v>
      </c>
      <c r="K14086" t="n">
        <v>0</v>
      </c>
      <c r="L14086" t="n">
        <v>0</v>
      </c>
      <c r="M14086" t="n">
        <v>0</v>
      </c>
      <c r="N14086" t="n">
        <v>0</v>
      </c>
      <c r="O14086" t="n">
        <v>0</v>
      </c>
      <c r="P14086" t="n">
        <v>0</v>
      </c>
      <c r="Q14086" t="n">
        <v>0</v>
      </c>
      <c r="R14086" s="2" t="inlineStr"/>
    </row>
    <row r="14087" ht="15" customHeight="1">
      <c r="A14087" t="inlineStr">
        <is>
          <t>A 65946-2021</t>
        </is>
      </c>
      <c r="B14087" s="1" t="n">
        <v>44517</v>
      </c>
      <c r="C14087" s="1" t="n">
        <v>45952</v>
      </c>
      <c r="D14087" t="inlineStr">
        <is>
          <t>VÄSTRA GÖTALANDS LÄN</t>
        </is>
      </c>
      <c r="E14087" t="inlineStr">
        <is>
          <t>VÅRGÅRDA</t>
        </is>
      </c>
      <c r="G14087" t="n">
        <v>0.7</v>
      </c>
      <c r="H14087" t="n">
        <v>0</v>
      </c>
      <c r="I14087" t="n">
        <v>0</v>
      </c>
      <c r="J14087" t="n">
        <v>0</v>
      </c>
      <c r="K14087" t="n">
        <v>0</v>
      </c>
      <c r="L14087" t="n">
        <v>0</v>
      </c>
      <c r="M14087" t="n">
        <v>0</v>
      </c>
      <c r="N14087" t="n">
        <v>0</v>
      </c>
      <c r="O14087" t="n">
        <v>0</v>
      </c>
      <c r="P14087" t="n">
        <v>0</v>
      </c>
      <c r="Q14087" t="n">
        <v>0</v>
      </c>
      <c r="R14087" s="2" t="inlineStr"/>
    </row>
    <row r="14088" ht="15" customHeight="1">
      <c r="A14088" t="inlineStr">
        <is>
          <t>A 37429-2023</t>
        </is>
      </c>
      <c r="B14088" s="1" t="n">
        <v>45156.63964120371</v>
      </c>
      <c r="C14088" s="1" t="n">
        <v>45952</v>
      </c>
      <c r="D14088" t="inlineStr">
        <is>
          <t>VÄSTRA GÖTALANDS LÄN</t>
        </is>
      </c>
      <c r="E14088" t="inlineStr">
        <is>
          <t>ALINGSÅS</t>
        </is>
      </c>
      <c r="F14088" t="inlineStr">
        <is>
          <t>Kyrkan</t>
        </is>
      </c>
      <c r="G14088" t="n">
        <v>9.199999999999999</v>
      </c>
      <c r="H14088" t="n">
        <v>0</v>
      </c>
      <c r="I14088" t="n">
        <v>0</v>
      </c>
      <c r="J14088" t="n">
        <v>0</v>
      </c>
      <c r="K14088" t="n">
        <v>0</v>
      </c>
      <c r="L14088" t="n">
        <v>0</v>
      </c>
      <c r="M14088" t="n">
        <v>0</v>
      </c>
      <c r="N14088" t="n">
        <v>0</v>
      </c>
      <c r="O14088" t="n">
        <v>0</v>
      </c>
      <c r="P14088" t="n">
        <v>0</v>
      </c>
      <c r="Q14088" t="n">
        <v>0</v>
      </c>
      <c r="R14088" s="2" t="inlineStr"/>
    </row>
    <row r="14089" ht="15" customHeight="1">
      <c r="A14089" t="inlineStr">
        <is>
          <t>A 37455-2023</t>
        </is>
      </c>
      <c r="B14089" s="1" t="n">
        <v>45156.7150462963</v>
      </c>
      <c r="C14089" s="1" t="n">
        <v>45952</v>
      </c>
      <c r="D14089" t="inlineStr">
        <is>
          <t>VÄSTRA GÖTALANDS LÄN</t>
        </is>
      </c>
      <c r="E14089" t="inlineStr">
        <is>
          <t>MARK</t>
        </is>
      </c>
      <c r="G14089" t="n">
        <v>3.7</v>
      </c>
      <c r="H14089" t="n">
        <v>0</v>
      </c>
      <c r="I14089" t="n">
        <v>0</v>
      </c>
      <c r="J14089" t="n">
        <v>0</v>
      </c>
      <c r="K14089" t="n">
        <v>0</v>
      </c>
      <c r="L14089" t="n">
        <v>0</v>
      </c>
      <c r="M14089" t="n">
        <v>0</v>
      </c>
      <c r="N14089" t="n">
        <v>0</v>
      </c>
      <c r="O14089" t="n">
        <v>0</v>
      </c>
      <c r="P14089" t="n">
        <v>0</v>
      </c>
      <c r="Q14089" t="n">
        <v>0</v>
      </c>
      <c r="R14089" s="2" t="inlineStr"/>
    </row>
    <row r="14090" ht="15" customHeight="1">
      <c r="A14090" t="inlineStr">
        <is>
          <t>A 48718-2023</t>
        </is>
      </c>
      <c r="B14090" s="1" t="n">
        <v>45208</v>
      </c>
      <c r="C14090" s="1" t="n">
        <v>45952</v>
      </c>
      <c r="D14090" t="inlineStr">
        <is>
          <t>VÄSTRA GÖTALANDS LÄN</t>
        </is>
      </c>
      <c r="E14090" t="inlineStr">
        <is>
          <t>VÅRGÅRDA</t>
        </is>
      </c>
      <c r="G14090" t="n">
        <v>0.9</v>
      </c>
      <c r="H14090" t="n">
        <v>0</v>
      </c>
      <c r="I14090" t="n">
        <v>0</v>
      </c>
      <c r="J14090" t="n">
        <v>0</v>
      </c>
      <c r="K14090" t="n">
        <v>0</v>
      </c>
      <c r="L14090" t="n">
        <v>0</v>
      </c>
      <c r="M14090" t="n">
        <v>0</v>
      </c>
      <c r="N14090" t="n">
        <v>0</v>
      </c>
      <c r="O14090" t="n">
        <v>0</v>
      </c>
      <c r="P14090" t="n">
        <v>0</v>
      </c>
      <c r="Q14090" t="n">
        <v>0</v>
      </c>
      <c r="R14090" s="2" t="inlineStr"/>
    </row>
    <row r="14091" ht="15" customHeight="1">
      <c r="A14091" t="inlineStr">
        <is>
          <t>A 2792-2024</t>
        </is>
      </c>
      <c r="B14091" s="1" t="n">
        <v>45314.66091435185</v>
      </c>
      <c r="C14091" s="1" t="n">
        <v>45952</v>
      </c>
      <c r="D14091" t="inlineStr">
        <is>
          <t>VÄSTRA GÖTALANDS LÄN</t>
        </is>
      </c>
      <c r="E14091" t="inlineStr">
        <is>
          <t>MUNKEDAL</t>
        </is>
      </c>
      <c r="G14091" t="n">
        <v>2.7</v>
      </c>
      <c r="H14091" t="n">
        <v>0</v>
      </c>
      <c r="I14091" t="n">
        <v>0</v>
      </c>
      <c r="J14091" t="n">
        <v>0</v>
      </c>
      <c r="K14091" t="n">
        <v>0</v>
      </c>
      <c r="L14091" t="n">
        <v>0</v>
      </c>
      <c r="M14091" t="n">
        <v>0</v>
      </c>
      <c r="N14091" t="n">
        <v>0</v>
      </c>
      <c r="O14091" t="n">
        <v>0</v>
      </c>
      <c r="P14091" t="n">
        <v>0</v>
      </c>
      <c r="Q14091" t="n">
        <v>0</v>
      </c>
      <c r="R14091" s="2" t="inlineStr"/>
    </row>
    <row r="14092" ht="15" customHeight="1">
      <c r="A14092" t="inlineStr">
        <is>
          <t>A 35190-2024</t>
        </is>
      </c>
      <c r="B14092" s="1" t="n">
        <v>45530</v>
      </c>
      <c r="C14092" s="1" t="n">
        <v>45952</v>
      </c>
      <c r="D14092" t="inlineStr">
        <is>
          <t>VÄSTRA GÖTALANDS LÄN</t>
        </is>
      </c>
      <c r="E14092" t="inlineStr">
        <is>
          <t>FALKÖPING</t>
        </is>
      </c>
      <c r="G14092" t="n">
        <v>3.3</v>
      </c>
      <c r="H14092" t="n">
        <v>0</v>
      </c>
      <c r="I14092" t="n">
        <v>0</v>
      </c>
      <c r="J14092" t="n">
        <v>0</v>
      </c>
      <c r="K14092" t="n">
        <v>0</v>
      </c>
      <c r="L14092" t="n">
        <v>0</v>
      </c>
      <c r="M14092" t="n">
        <v>0</v>
      </c>
      <c r="N14092" t="n">
        <v>0</v>
      </c>
      <c r="O14092" t="n">
        <v>0</v>
      </c>
      <c r="P14092" t="n">
        <v>0</v>
      </c>
      <c r="Q14092" t="n">
        <v>0</v>
      </c>
      <c r="R14092" s="2" t="inlineStr"/>
    </row>
    <row r="14093" ht="15" customHeight="1">
      <c r="A14093" t="inlineStr">
        <is>
          <t>A 47444-2024</t>
        </is>
      </c>
      <c r="B14093" s="1" t="n">
        <v>45587.53412037037</v>
      </c>
      <c r="C14093" s="1" t="n">
        <v>45952</v>
      </c>
      <c r="D14093" t="inlineStr">
        <is>
          <t>VÄSTRA GÖTALANDS LÄN</t>
        </is>
      </c>
      <c r="E14093" t="inlineStr">
        <is>
          <t>DALS-ED</t>
        </is>
      </c>
      <c r="G14093" t="n">
        <v>1.1</v>
      </c>
      <c r="H14093" t="n">
        <v>0</v>
      </c>
      <c r="I14093" t="n">
        <v>0</v>
      </c>
      <c r="J14093" t="n">
        <v>0</v>
      </c>
      <c r="K14093" t="n">
        <v>0</v>
      </c>
      <c r="L14093" t="n">
        <v>0</v>
      </c>
      <c r="M14093" t="n">
        <v>0</v>
      </c>
      <c r="N14093" t="n">
        <v>0</v>
      </c>
      <c r="O14093" t="n">
        <v>0</v>
      </c>
      <c r="P14093" t="n">
        <v>0</v>
      </c>
      <c r="Q14093" t="n">
        <v>0</v>
      </c>
      <c r="R14093" s="2" t="inlineStr"/>
    </row>
    <row r="14094" ht="15" customHeight="1">
      <c r="A14094" t="inlineStr">
        <is>
          <t>A 12169-2024</t>
        </is>
      </c>
      <c r="B14094" s="1" t="n">
        <v>45377.86966435185</v>
      </c>
      <c r="C14094" s="1" t="n">
        <v>45952</v>
      </c>
      <c r="D14094" t="inlineStr">
        <is>
          <t>VÄSTRA GÖTALANDS LÄN</t>
        </is>
      </c>
      <c r="E14094" t="inlineStr">
        <is>
          <t>ULRICEHAMN</t>
        </is>
      </c>
      <c r="G14094" t="n">
        <v>0.8</v>
      </c>
      <c r="H14094" t="n">
        <v>0</v>
      </c>
      <c r="I14094" t="n">
        <v>0</v>
      </c>
      <c r="J14094" t="n">
        <v>0</v>
      </c>
      <c r="K14094" t="n">
        <v>0</v>
      </c>
      <c r="L14094" t="n">
        <v>0</v>
      </c>
      <c r="M14094" t="n">
        <v>0</v>
      </c>
      <c r="N14094" t="n">
        <v>0</v>
      </c>
      <c r="O14094" t="n">
        <v>0</v>
      </c>
      <c r="P14094" t="n">
        <v>0</v>
      </c>
      <c r="Q14094" t="n">
        <v>0</v>
      </c>
      <c r="R14094" s="2" t="inlineStr"/>
    </row>
    <row r="14095" ht="15" customHeight="1">
      <c r="A14095" t="inlineStr">
        <is>
          <t>A 12170-2024</t>
        </is>
      </c>
      <c r="B14095" s="1" t="n">
        <v>45377.88483796296</v>
      </c>
      <c r="C14095" s="1" t="n">
        <v>45952</v>
      </c>
      <c r="D14095" t="inlineStr">
        <is>
          <t>VÄSTRA GÖTALANDS LÄN</t>
        </is>
      </c>
      <c r="E14095" t="inlineStr">
        <is>
          <t>ULRICEHAMN</t>
        </is>
      </c>
      <c r="G14095" t="n">
        <v>0.8</v>
      </c>
      <c r="H14095" t="n">
        <v>0</v>
      </c>
      <c r="I14095" t="n">
        <v>0</v>
      </c>
      <c r="J14095" t="n">
        <v>0</v>
      </c>
      <c r="K14095" t="n">
        <v>0</v>
      </c>
      <c r="L14095" t="n">
        <v>0</v>
      </c>
      <c r="M14095" t="n">
        <v>0</v>
      </c>
      <c r="N14095" t="n">
        <v>0</v>
      </c>
      <c r="O14095" t="n">
        <v>0</v>
      </c>
      <c r="P14095" t="n">
        <v>0</v>
      </c>
      <c r="Q14095" t="n">
        <v>0</v>
      </c>
      <c r="R14095" s="2" t="inlineStr"/>
    </row>
    <row r="14096" ht="15" customHeight="1">
      <c r="A14096" t="inlineStr">
        <is>
          <t>A 12173-2024</t>
        </is>
      </c>
      <c r="B14096" s="1" t="n">
        <v>45377.89707175926</v>
      </c>
      <c r="C14096" s="1" t="n">
        <v>45952</v>
      </c>
      <c r="D14096" t="inlineStr">
        <is>
          <t>VÄSTRA GÖTALANDS LÄN</t>
        </is>
      </c>
      <c r="E14096" t="inlineStr">
        <is>
          <t>ULRICEHAMN</t>
        </is>
      </c>
      <c r="G14096" t="n">
        <v>2.1</v>
      </c>
      <c r="H14096" t="n">
        <v>0</v>
      </c>
      <c r="I14096" t="n">
        <v>0</v>
      </c>
      <c r="J14096" t="n">
        <v>0</v>
      </c>
      <c r="K14096" t="n">
        <v>0</v>
      </c>
      <c r="L14096" t="n">
        <v>0</v>
      </c>
      <c r="M14096" t="n">
        <v>0</v>
      </c>
      <c r="N14096" t="n">
        <v>0</v>
      </c>
      <c r="O14096" t="n">
        <v>0</v>
      </c>
      <c r="P14096" t="n">
        <v>0</v>
      </c>
      <c r="Q14096" t="n">
        <v>0</v>
      </c>
      <c r="R14096" s="2" t="inlineStr"/>
    </row>
    <row r="14097" ht="15" customHeight="1">
      <c r="A14097" t="inlineStr">
        <is>
          <t>A 61026-2022</t>
        </is>
      </c>
      <c r="B14097" s="1" t="n">
        <v>44914.8635300926</v>
      </c>
      <c r="C14097" s="1" t="n">
        <v>45952</v>
      </c>
      <c r="D14097" t="inlineStr">
        <is>
          <t>VÄSTRA GÖTALANDS LÄN</t>
        </is>
      </c>
      <c r="E14097" t="inlineStr">
        <is>
          <t>BOLLEBYGD</t>
        </is>
      </c>
      <c r="G14097" t="n">
        <v>0.5</v>
      </c>
      <c r="H14097" t="n">
        <v>0</v>
      </c>
      <c r="I14097" t="n">
        <v>0</v>
      </c>
      <c r="J14097" t="n">
        <v>0</v>
      </c>
      <c r="K14097" t="n">
        <v>0</v>
      </c>
      <c r="L14097" t="n">
        <v>0</v>
      </c>
      <c r="M14097" t="n">
        <v>0</v>
      </c>
      <c r="N14097" t="n">
        <v>0</v>
      </c>
      <c r="O14097" t="n">
        <v>0</v>
      </c>
      <c r="P14097" t="n">
        <v>0</v>
      </c>
      <c r="Q14097" t="n">
        <v>0</v>
      </c>
      <c r="R14097" s="2" t="inlineStr"/>
    </row>
    <row r="14098" ht="15" customHeight="1">
      <c r="A14098" t="inlineStr">
        <is>
          <t>A 43028-2023</t>
        </is>
      </c>
      <c r="B14098" s="1" t="n">
        <v>45182</v>
      </c>
      <c r="C14098" s="1" t="n">
        <v>45952</v>
      </c>
      <c r="D14098" t="inlineStr">
        <is>
          <t>VÄSTRA GÖTALANDS LÄN</t>
        </is>
      </c>
      <c r="E14098" t="inlineStr">
        <is>
          <t>LYSEKIL</t>
        </is>
      </c>
      <c r="G14098" t="n">
        <v>0.6</v>
      </c>
      <c r="H14098" t="n">
        <v>0</v>
      </c>
      <c r="I14098" t="n">
        <v>0</v>
      </c>
      <c r="J14098" t="n">
        <v>0</v>
      </c>
      <c r="K14098" t="n">
        <v>0</v>
      </c>
      <c r="L14098" t="n">
        <v>0</v>
      </c>
      <c r="M14098" t="n">
        <v>0</v>
      </c>
      <c r="N14098" t="n">
        <v>0</v>
      </c>
      <c r="O14098" t="n">
        <v>0</v>
      </c>
      <c r="P14098" t="n">
        <v>0</v>
      </c>
      <c r="Q14098" t="n">
        <v>0</v>
      </c>
      <c r="R14098" s="2" t="inlineStr"/>
    </row>
    <row r="14099" ht="15" customHeight="1">
      <c r="A14099" t="inlineStr">
        <is>
          <t>A 54541-2024</t>
        </is>
      </c>
      <c r="B14099" s="1" t="n">
        <v>45617</v>
      </c>
      <c r="C14099" s="1" t="n">
        <v>45952</v>
      </c>
      <c r="D14099" t="inlineStr">
        <is>
          <t>VÄSTRA GÖTALANDS LÄN</t>
        </is>
      </c>
      <c r="E14099" t="inlineStr">
        <is>
          <t>BENGTSFORS</t>
        </is>
      </c>
      <c r="F14099" t="inlineStr">
        <is>
          <t>Kommuner</t>
        </is>
      </c>
      <c r="G14099" t="n">
        <v>1.8</v>
      </c>
      <c r="H14099" t="n">
        <v>0</v>
      </c>
      <c r="I14099" t="n">
        <v>0</v>
      </c>
      <c r="J14099" t="n">
        <v>0</v>
      </c>
      <c r="K14099" t="n">
        <v>0</v>
      </c>
      <c r="L14099" t="n">
        <v>0</v>
      </c>
      <c r="M14099" t="n">
        <v>0</v>
      </c>
      <c r="N14099" t="n">
        <v>0</v>
      </c>
      <c r="O14099" t="n">
        <v>0</v>
      </c>
      <c r="P14099" t="n">
        <v>0</v>
      </c>
      <c r="Q14099" t="n">
        <v>0</v>
      </c>
      <c r="R14099" s="2" t="inlineStr"/>
    </row>
    <row r="14100" ht="15" customHeight="1">
      <c r="A14100" t="inlineStr">
        <is>
          <t>A 38069-2023</t>
        </is>
      </c>
      <c r="B14100" s="1" t="n">
        <v>45160.75662037037</v>
      </c>
      <c r="C14100" s="1" t="n">
        <v>45952</v>
      </c>
      <c r="D14100" t="inlineStr">
        <is>
          <t>VÄSTRA GÖTALANDS LÄN</t>
        </is>
      </c>
      <c r="E14100" t="inlineStr">
        <is>
          <t>HERRLJUNGA</t>
        </is>
      </c>
      <c r="G14100" t="n">
        <v>0.6</v>
      </c>
      <c r="H14100" t="n">
        <v>0</v>
      </c>
      <c r="I14100" t="n">
        <v>0</v>
      </c>
      <c r="J14100" t="n">
        <v>0</v>
      </c>
      <c r="K14100" t="n">
        <v>0</v>
      </c>
      <c r="L14100" t="n">
        <v>0</v>
      </c>
      <c r="M14100" t="n">
        <v>0</v>
      </c>
      <c r="N14100" t="n">
        <v>0</v>
      </c>
      <c r="O14100" t="n">
        <v>0</v>
      </c>
      <c r="P14100" t="n">
        <v>0</v>
      </c>
      <c r="Q14100" t="n">
        <v>0</v>
      </c>
      <c r="R14100" s="2" t="inlineStr"/>
    </row>
    <row r="14101" ht="15" customHeight="1">
      <c r="A14101" t="inlineStr">
        <is>
          <t>A 7207-2025</t>
        </is>
      </c>
      <c r="B14101" s="1" t="n">
        <v>45702.47100694444</v>
      </c>
      <c r="C14101" s="1" t="n">
        <v>45952</v>
      </c>
      <c r="D14101" t="inlineStr">
        <is>
          <t>VÄSTRA GÖTALANDS LÄN</t>
        </is>
      </c>
      <c r="E14101" t="inlineStr">
        <is>
          <t>DALS-ED</t>
        </is>
      </c>
      <c r="G14101" t="n">
        <v>3.3</v>
      </c>
      <c r="H14101" t="n">
        <v>0</v>
      </c>
      <c r="I14101" t="n">
        <v>0</v>
      </c>
      <c r="J14101" t="n">
        <v>0</v>
      </c>
      <c r="K14101" t="n">
        <v>0</v>
      </c>
      <c r="L14101" t="n">
        <v>0</v>
      </c>
      <c r="M14101" t="n">
        <v>0</v>
      </c>
      <c r="N14101" t="n">
        <v>0</v>
      </c>
      <c r="O14101" t="n">
        <v>0</v>
      </c>
      <c r="P14101" t="n">
        <v>0</v>
      </c>
      <c r="Q14101" t="n">
        <v>0</v>
      </c>
      <c r="R14101" s="2" t="inlineStr"/>
    </row>
    <row r="14102" ht="15" customHeight="1">
      <c r="A14102" t="inlineStr">
        <is>
          <t>A 29946-2024</t>
        </is>
      </c>
      <c r="B14102" s="1" t="n">
        <v>45488.43512731481</v>
      </c>
      <c r="C14102" s="1" t="n">
        <v>45952</v>
      </c>
      <c r="D14102" t="inlineStr">
        <is>
          <t>VÄSTRA GÖTALANDS LÄN</t>
        </is>
      </c>
      <c r="E14102" t="inlineStr">
        <is>
          <t>MUNKEDAL</t>
        </is>
      </c>
      <c r="G14102" t="n">
        <v>0.9</v>
      </c>
      <c r="H14102" t="n">
        <v>0</v>
      </c>
      <c r="I14102" t="n">
        <v>0</v>
      </c>
      <c r="J14102" t="n">
        <v>0</v>
      </c>
      <c r="K14102" t="n">
        <v>0</v>
      </c>
      <c r="L14102" t="n">
        <v>0</v>
      </c>
      <c r="M14102" t="n">
        <v>0</v>
      </c>
      <c r="N14102" t="n">
        <v>0</v>
      </c>
      <c r="O14102" t="n">
        <v>0</v>
      </c>
      <c r="P14102" t="n">
        <v>0</v>
      </c>
      <c r="Q14102" t="n">
        <v>0</v>
      </c>
      <c r="R14102" s="2" t="inlineStr"/>
    </row>
    <row r="14103" ht="15" customHeight="1">
      <c r="A14103" t="inlineStr">
        <is>
          <t>A 27668-2022</t>
        </is>
      </c>
      <c r="B14103" s="1" t="n">
        <v>44743</v>
      </c>
      <c r="C14103" s="1" t="n">
        <v>45952</v>
      </c>
      <c r="D14103" t="inlineStr">
        <is>
          <t>VÄSTRA GÖTALANDS LÄN</t>
        </is>
      </c>
      <c r="E14103" t="inlineStr">
        <is>
          <t>SKARA</t>
        </is>
      </c>
      <c r="G14103" t="n">
        <v>3.7</v>
      </c>
      <c r="H14103" t="n">
        <v>0</v>
      </c>
      <c r="I14103" t="n">
        <v>0</v>
      </c>
      <c r="J14103" t="n">
        <v>0</v>
      </c>
      <c r="K14103" t="n">
        <v>0</v>
      </c>
      <c r="L14103" t="n">
        <v>0</v>
      </c>
      <c r="M14103" t="n">
        <v>0</v>
      </c>
      <c r="N14103" t="n">
        <v>0</v>
      </c>
      <c r="O14103" t="n">
        <v>0</v>
      </c>
      <c r="P14103" t="n">
        <v>0</v>
      </c>
      <c r="Q14103" t="n">
        <v>0</v>
      </c>
      <c r="R14103" s="2" t="inlineStr"/>
    </row>
    <row r="14104" ht="15" customHeight="1">
      <c r="A14104" t="inlineStr">
        <is>
          <t>A 17058-2025</t>
        </is>
      </c>
      <c r="B14104" s="1" t="n">
        <v>45754</v>
      </c>
      <c r="C14104" s="1" t="n">
        <v>45952</v>
      </c>
      <c r="D14104" t="inlineStr">
        <is>
          <t>VÄSTRA GÖTALANDS LÄN</t>
        </is>
      </c>
      <c r="E14104" t="inlineStr">
        <is>
          <t>UDDEVALLA</t>
        </is>
      </c>
      <c r="G14104" t="n">
        <v>2.2</v>
      </c>
      <c r="H14104" t="n">
        <v>0</v>
      </c>
      <c r="I14104" t="n">
        <v>0</v>
      </c>
      <c r="J14104" t="n">
        <v>0</v>
      </c>
      <c r="K14104" t="n">
        <v>0</v>
      </c>
      <c r="L14104" t="n">
        <v>0</v>
      </c>
      <c r="M14104" t="n">
        <v>0</v>
      </c>
      <c r="N14104" t="n">
        <v>0</v>
      </c>
      <c r="O14104" t="n">
        <v>0</v>
      </c>
      <c r="P14104" t="n">
        <v>0</v>
      </c>
      <c r="Q14104" t="n">
        <v>0</v>
      </c>
      <c r="R14104" s="2" t="inlineStr"/>
    </row>
    <row r="14105" ht="15" customHeight="1">
      <c r="A14105" t="inlineStr">
        <is>
          <t>A 6613-2021</t>
        </is>
      </c>
      <c r="B14105" s="1" t="n">
        <v>44236</v>
      </c>
      <c r="C14105" s="1" t="n">
        <v>45952</v>
      </c>
      <c r="D14105" t="inlineStr">
        <is>
          <t>VÄSTRA GÖTALANDS LÄN</t>
        </is>
      </c>
      <c r="E14105" t="inlineStr">
        <is>
          <t>ORUST</t>
        </is>
      </c>
      <c r="G14105" t="n">
        <v>8.800000000000001</v>
      </c>
      <c r="H14105" t="n">
        <v>0</v>
      </c>
      <c r="I14105" t="n">
        <v>0</v>
      </c>
      <c r="J14105" t="n">
        <v>0</v>
      </c>
      <c r="K14105" t="n">
        <v>0</v>
      </c>
      <c r="L14105" t="n">
        <v>0</v>
      </c>
      <c r="M14105" t="n">
        <v>0</v>
      </c>
      <c r="N14105" t="n">
        <v>0</v>
      </c>
      <c r="O14105" t="n">
        <v>0</v>
      </c>
      <c r="P14105" t="n">
        <v>0</v>
      </c>
      <c r="Q14105" t="n">
        <v>0</v>
      </c>
      <c r="R14105" s="2" t="inlineStr"/>
    </row>
    <row r="14106" ht="15" customHeight="1">
      <c r="A14106" t="inlineStr">
        <is>
          <t>A 10052-2021</t>
        </is>
      </c>
      <c r="B14106" s="1" t="n">
        <v>44256</v>
      </c>
      <c r="C14106" s="1" t="n">
        <v>45952</v>
      </c>
      <c r="D14106" t="inlineStr">
        <is>
          <t>VÄSTRA GÖTALANDS LÄN</t>
        </is>
      </c>
      <c r="E14106" t="inlineStr">
        <is>
          <t>LIDKÖPING</t>
        </is>
      </c>
      <c r="G14106" t="n">
        <v>2.1</v>
      </c>
      <c r="H14106" t="n">
        <v>0</v>
      </c>
      <c r="I14106" t="n">
        <v>0</v>
      </c>
      <c r="J14106" t="n">
        <v>0</v>
      </c>
      <c r="K14106" t="n">
        <v>0</v>
      </c>
      <c r="L14106" t="n">
        <v>0</v>
      </c>
      <c r="M14106" t="n">
        <v>0</v>
      </c>
      <c r="N14106" t="n">
        <v>0</v>
      </c>
      <c r="O14106" t="n">
        <v>0</v>
      </c>
      <c r="P14106" t="n">
        <v>0</v>
      </c>
      <c r="Q14106" t="n">
        <v>0</v>
      </c>
      <c r="R14106" s="2" t="inlineStr"/>
    </row>
    <row r="14107" ht="15" customHeight="1">
      <c r="A14107" t="inlineStr">
        <is>
          <t>A 47564-2024</t>
        </is>
      </c>
      <c r="B14107" s="1" t="n">
        <v>45587</v>
      </c>
      <c r="C14107" s="1" t="n">
        <v>45952</v>
      </c>
      <c r="D14107" t="inlineStr">
        <is>
          <t>VÄSTRA GÖTALANDS LÄN</t>
        </is>
      </c>
      <c r="E14107" t="inlineStr">
        <is>
          <t>TIDAHOLM</t>
        </is>
      </c>
      <c r="G14107" t="n">
        <v>4.1</v>
      </c>
      <c r="H14107" t="n">
        <v>0</v>
      </c>
      <c r="I14107" t="n">
        <v>0</v>
      </c>
      <c r="J14107" t="n">
        <v>0</v>
      </c>
      <c r="K14107" t="n">
        <v>0</v>
      </c>
      <c r="L14107" t="n">
        <v>0</v>
      </c>
      <c r="M14107" t="n">
        <v>0</v>
      </c>
      <c r="N14107" t="n">
        <v>0</v>
      </c>
      <c r="O14107" t="n">
        <v>0</v>
      </c>
      <c r="P14107" t="n">
        <v>0</v>
      </c>
      <c r="Q14107" t="n">
        <v>0</v>
      </c>
      <c r="R14107" s="2" t="inlineStr"/>
    </row>
    <row r="14108" ht="15" customHeight="1">
      <c r="A14108" t="inlineStr">
        <is>
          <t>A 9739-2023</t>
        </is>
      </c>
      <c r="B14108" s="1" t="n">
        <v>44984</v>
      </c>
      <c r="C14108" s="1" t="n">
        <v>45952</v>
      </c>
      <c r="D14108" t="inlineStr">
        <is>
          <t>VÄSTRA GÖTALANDS LÄN</t>
        </is>
      </c>
      <c r="E14108" t="inlineStr">
        <is>
          <t>MUNKEDAL</t>
        </is>
      </c>
      <c r="G14108" t="n">
        <v>1.2</v>
      </c>
      <c r="H14108" t="n">
        <v>0</v>
      </c>
      <c r="I14108" t="n">
        <v>0</v>
      </c>
      <c r="J14108" t="n">
        <v>0</v>
      </c>
      <c r="K14108" t="n">
        <v>0</v>
      </c>
      <c r="L14108" t="n">
        <v>0</v>
      </c>
      <c r="M14108" t="n">
        <v>0</v>
      </c>
      <c r="N14108" t="n">
        <v>0</v>
      </c>
      <c r="O14108" t="n">
        <v>0</v>
      </c>
      <c r="P14108" t="n">
        <v>0</v>
      </c>
      <c r="Q14108" t="n">
        <v>0</v>
      </c>
      <c r="R14108" s="2" t="inlineStr"/>
    </row>
    <row r="14109" ht="15" customHeight="1">
      <c r="A14109" t="inlineStr">
        <is>
          <t>A 5932-2021</t>
        </is>
      </c>
      <c r="B14109" s="1" t="n">
        <v>44229</v>
      </c>
      <c r="C14109" s="1" t="n">
        <v>45952</v>
      </c>
      <c r="D14109" t="inlineStr">
        <is>
          <t>VÄSTRA GÖTALANDS LÄN</t>
        </is>
      </c>
      <c r="E14109" t="inlineStr">
        <is>
          <t>VÄNERSBORG</t>
        </is>
      </c>
      <c r="G14109" t="n">
        <v>0.3</v>
      </c>
      <c r="H14109" t="n">
        <v>0</v>
      </c>
      <c r="I14109" t="n">
        <v>0</v>
      </c>
      <c r="J14109" t="n">
        <v>0</v>
      </c>
      <c r="K14109" t="n">
        <v>0</v>
      </c>
      <c r="L14109" t="n">
        <v>0</v>
      </c>
      <c r="M14109" t="n">
        <v>0</v>
      </c>
      <c r="N14109" t="n">
        <v>0</v>
      </c>
      <c r="O14109" t="n">
        <v>0</v>
      </c>
      <c r="P14109" t="n">
        <v>0</v>
      </c>
      <c r="Q14109" t="n">
        <v>0</v>
      </c>
      <c r="R14109" s="2" t="inlineStr"/>
    </row>
    <row r="14110" ht="15" customHeight="1">
      <c r="A14110" t="inlineStr">
        <is>
          <t>A 53885-2022</t>
        </is>
      </c>
      <c r="B14110" s="1" t="n">
        <v>44876</v>
      </c>
      <c r="C14110" s="1" t="n">
        <v>45952</v>
      </c>
      <c r="D14110" t="inlineStr">
        <is>
          <t>VÄSTRA GÖTALANDS LÄN</t>
        </is>
      </c>
      <c r="E14110" t="inlineStr">
        <is>
          <t>ÅMÅL</t>
        </is>
      </c>
      <c r="G14110" t="n">
        <v>4.2</v>
      </c>
      <c r="H14110" t="n">
        <v>0</v>
      </c>
      <c r="I14110" t="n">
        <v>0</v>
      </c>
      <c r="J14110" t="n">
        <v>0</v>
      </c>
      <c r="K14110" t="n">
        <v>0</v>
      </c>
      <c r="L14110" t="n">
        <v>0</v>
      </c>
      <c r="M14110" t="n">
        <v>0</v>
      </c>
      <c r="N14110" t="n">
        <v>0</v>
      </c>
      <c r="O14110" t="n">
        <v>0</v>
      </c>
      <c r="P14110" t="n">
        <v>0</v>
      </c>
      <c r="Q14110" t="n">
        <v>0</v>
      </c>
      <c r="R14110" s="2" t="inlineStr"/>
    </row>
    <row r="14111" ht="15" customHeight="1">
      <c r="A14111" t="inlineStr">
        <is>
          <t>A 59460-2022</t>
        </is>
      </c>
      <c r="B14111" s="1" t="n">
        <v>44907</v>
      </c>
      <c r="C14111" s="1" t="n">
        <v>45952</v>
      </c>
      <c r="D14111" t="inlineStr">
        <is>
          <t>VÄSTRA GÖTALANDS LÄN</t>
        </is>
      </c>
      <c r="E14111" t="inlineStr">
        <is>
          <t>TIDAHOLM</t>
        </is>
      </c>
      <c r="G14111" t="n">
        <v>7.4</v>
      </c>
      <c r="H14111" t="n">
        <v>0</v>
      </c>
      <c r="I14111" t="n">
        <v>0</v>
      </c>
      <c r="J14111" t="n">
        <v>0</v>
      </c>
      <c r="K14111" t="n">
        <v>0</v>
      </c>
      <c r="L14111" t="n">
        <v>0</v>
      </c>
      <c r="M14111" t="n">
        <v>0</v>
      </c>
      <c r="N14111" t="n">
        <v>0</v>
      </c>
      <c r="O14111" t="n">
        <v>0</v>
      </c>
      <c r="P14111" t="n">
        <v>0</v>
      </c>
      <c r="Q14111" t="n">
        <v>0</v>
      </c>
      <c r="R14111" s="2" t="inlineStr"/>
    </row>
    <row r="14112" ht="15" customHeight="1">
      <c r="A14112" t="inlineStr">
        <is>
          <t>A 70743-2021</t>
        </is>
      </c>
      <c r="B14112" s="1" t="n">
        <v>44537.63103009259</v>
      </c>
      <c r="C14112" s="1" t="n">
        <v>45952</v>
      </c>
      <c r="D14112" t="inlineStr">
        <is>
          <t>VÄSTRA GÖTALANDS LÄN</t>
        </is>
      </c>
      <c r="E14112" t="inlineStr">
        <is>
          <t>HJO</t>
        </is>
      </c>
      <c r="G14112" t="n">
        <v>2.7</v>
      </c>
      <c r="H14112" t="n">
        <v>0</v>
      </c>
      <c r="I14112" t="n">
        <v>0</v>
      </c>
      <c r="J14112" t="n">
        <v>0</v>
      </c>
      <c r="K14112" t="n">
        <v>0</v>
      </c>
      <c r="L14112" t="n">
        <v>0</v>
      </c>
      <c r="M14112" t="n">
        <v>0</v>
      </c>
      <c r="N14112" t="n">
        <v>0</v>
      </c>
      <c r="O14112" t="n">
        <v>0</v>
      </c>
      <c r="P14112" t="n">
        <v>0</v>
      </c>
      <c r="Q14112" t="n">
        <v>0</v>
      </c>
      <c r="R14112" s="2" t="inlineStr"/>
    </row>
    <row r="14113" ht="15" customHeight="1">
      <c r="A14113" t="inlineStr">
        <is>
          <t>A 46345-2024</t>
        </is>
      </c>
      <c r="B14113" s="1" t="n">
        <v>45582.31900462963</v>
      </c>
      <c r="C14113" s="1" t="n">
        <v>45952</v>
      </c>
      <c r="D14113" t="inlineStr">
        <is>
          <t>VÄSTRA GÖTALANDS LÄN</t>
        </is>
      </c>
      <c r="E14113" t="inlineStr">
        <is>
          <t>ULRICEHAMN</t>
        </is>
      </c>
      <c r="G14113" t="n">
        <v>3.7</v>
      </c>
      <c r="H14113" t="n">
        <v>0</v>
      </c>
      <c r="I14113" t="n">
        <v>0</v>
      </c>
      <c r="J14113" t="n">
        <v>0</v>
      </c>
      <c r="K14113" t="n">
        <v>0</v>
      </c>
      <c r="L14113" t="n">
        <v>0</v>
      </c>
      <c r="M14113" t="n">
        <v>0</v>
      </c>
      <c r="N14113" t="n">
        <v>0</v>
      </c>
      <c r="O14113" t="n">
        <v>0</v>
      </c>
      <c r="P14113" t="n">
        <v>0</v>
      </c>
      <c r="Q14113" t="n">
        <v>0</v>
      </c>
      <c r="R14113" s="2" t="inlineStr"/>
    </row>
    <row r="14114" ht="15" customHeight="1">
      <c r="A14114" t="inlineStr">
        <is>
          <t>A 48142-2024</t>
        </is>
      </c>
      <c r="B14114" s="1" t="n">
        <v>45589.66851851852</v>
      </c>
      <c r="C14114" s="1" t="n">
        <v>45952</v>
      </c>
      <c r="D14114" t="inlineStr">
        <is>
          <t>VÄSTRA GÖTALANDS LÄN</t>
        </is>
      </c>
      <c r="E14114" t="inlineStr">
        <is>
          <t>ÅMÅL</t>
        </is>
      </c>
      <c r="G14114" t="n">
        <v>1.7</v>
      </c>
      <c r="H14114" t="n">
        <v>0</v>
      </c>
      <c r="I14114" t="n">
        <v>0</v>
      </c>
      <c r="J14114" t="n">
        <v>0</v>
      </c>
      <c r="K14114" t="n">
        <v>0</v>
      </c>
      <c r="L14114" t="n">
        <v>0</v>
      </c>
      <c r="M14114" t="n">
        <v>0</v>
      </c>
      <c r="N14114" t="n">
        <v>0</v>
      </c>
      <c r="O14114" t="n">
        <v>0</v>
      </c>
      <c r="P14114" t="n">
        <v>0</v>
      </c>
      <c r="Q14114" t="n">
        <v>0</v>
      </c>
      <c r="R14114" s="2" t="inlineStr"/>
    </row>
    <row r="14115" ht="15" customHeight="1">
      <c r="A14115" t="inlineStr">
        <is>
          <t>A 48163-2024</t>
        </is>
      </c>
      <c r="B14115" s="1" t="n">
        <v>45589</v>
      </c>
      <c r="C14115" s="1" t="n">
        <v>45952</v>
      </c>
      <c r="D14115" t="inlineStr">
        <is>
          <t>VÄSTRA GÖTALANDS LÄN</t>
        </is>
      </c>
      <c r="E14115" t="inlineStr">
        <is>
          <t>VÄNERSBORG</t>
        </is>
      </c>
      <c r="G14115" t="n">
        <v>14.4</v>
      </c>
      <c r="H14115" t="n">
        <v>0</v>
      </c>
      <c r="I14115" t="n">
        <v>0</v>
      </c>
      <c r="J14115" t="n">
        <v>0</v>
      </c>
      <c r="K14115" t="n">
        <v>0</v>
      </c>
      <c r="L14115" t="n">
        <v>0</v>
      </c>
      <c r="M14115" t="n">
        <v>0</v>
      </c>
      <c r="N14115" t="n">
        <v>0</v>
      </c>
      <c r="O14115" t="n">
        <v>0</v>
      </c>
      <c r="P14115" t="n">
        <v>0</v>
      </c>
      <c r="Q14115" t="n">
        <v>0</v>
      </c>
      <c r="R14115" s="2" t="inlineStr"/>
    </row>
    <row r="14116" ht="15" customHeight="1">
      <c r="A14116" t="inlineStr">
        <is>
          <t>A 12889-2023</t>
        </is>
      </c>
      <c r="B14116" s="1" t="n">
        <v>45001</v>
      </c>
      <c r="C14116" s="1" t="n">
        <v>45952</v>
      </c>
      <c r="D14116" t="inlineStr">
        <is>
          <t>VÄSTRA GÖTALANDS LÄN</t>
        </is>
      </c>
      <c r="E14116" t="inlineStr">
        <is>
          <t>GULLSPÅNG</t>
        </is>
      </c>
      <c r="G14116" t="n">
        <v>8.800000000000001</v>
      </c>
      <c r="H14116" t="n">
        <v>0</v>
      </c>
      <c r="I14116" t="n">
        <v>0</v>
      </c>
      <c r="J14116" t="n">
        <v>0</v>
      </c>
      <c r="K14116" t="n">
        <v>0</v>
      </c>
      <c r="L14116" t="n">
        <v>0</v>
      </c>
      <c r="M14116" t="n">
        <v>0</v>
      </c>
      <c r="N14116" t="n">
        <v>0</v>
      </c>
      <c r="O14116" t="n">
        <v>0</v>
      </c>
      <c r="P14116" t="n">
        <v>0</v>
      </c>
      <c r="Q14116" t="n">
        <v>0</v>
      </c>
      <c r="R14116" s="2" t="inlineStr"/>
    </row>
    <row r="14117" ht="15" customHeight="1">
      <c r="A14117" t="inlineStr">
        <is>
          <t>A 58976-2023</t>
        </is>
      </c>
      <c r="B14117" s="1" t="n">
        <v>45252.61841435185</v>
      </c>
      <c r="C14117" s="1" t="n">
        <v>45952</v>
      </c>
      <c r="D14117" t="inlineStr">
        <is>
          <t>VÄSTRA GÖTALANDS LÄN</t>
        </is>
      </c>
      <c r="E14117" t="inlineStr">
        <is>
          <t>TRANEMO</t>
        </is>
      </c>
      <c r="G14117" t="n">
        <v>1.4</v>
      </c>
      <c r="H14117" t="n">
        <v>0</v>
      </c>
      <c r="I14117" t="n">
        <v>0</v>
      </c>
      <c r="J14117" t="n">
        <v>0</v>
      </c>
      <c r="K14117" t="n">
        <v>0</v>
      </c>
      <c r="L14117" t="n">
        <v>0</v>
      </c>
      <c r="M14117" t="n">
        <v>0</v>
      </c>
      <c r="N14117" t="n">
        <v>0</v>
      </c>
      <c r="O14117" t="n">
        <v>0</v>
      </c>
      <c r="P14117" t="n">
        <v>0</v>
      </c>
      <c r="Q14117" t="n">
        <v>0</v>
      </c>
      <c r="R14117" s="2" t="inlineStr"/>
    </row>
    <row r="14118" ht="15" customHeight="1">
      <c r="A14118" t="inlineStr">
        <is>
          <t>A 39948-2024</t>
        </is>
      </c>
      <c r="B14118" s="1" t="n">
        <v>45553</v>
      </c>
      <c r="C14118" s="1" t="n">
        <v>45952</v>
      </c>
      <c r="D14118" t="inlineStr">
        <is>
          <t>VÄSTRA GÖTALANDS LÄN</t>
        </is>
      </c>
      <c r="E14118" t="inlineStr">
        <is>
          <t>BENGTSFORS</t>
        </is>
      </c>
      <c r="G14118" t="n">
        <v>5.3</v>
      </c>
      <c r="H14118" t="n">
        <v>0</v>
      </c>
      <c r="I14118" t="n">
        <v>0</v>
      </c>
      <c r="J14118" t="n">
        <v>0</v>
      </c>
      <c r="K14118" t="n">
        <v>0</v>
      </c>
      <c r="L14118" t="n">
        <v>0</v>
      </c>
      <c r="M14118" t="n">
        <v>0</v>
      </c>
      <c r="N14118" t="n">
        <v>0</v>
      </c>
      <c r="O14118" t="n">
        <v>0</v>
      </c>
      <c r="P14118" t="n">
        <v>0</v>
      </c>
      <c r="Q14118" t="n">
        <v>0</v>
      </c>
      <c r="R14118" s="2" t="inlineStr"/>
    </row>
    <row r="14119" ht="15" customHeight="1">
      <c r="A14119" t="inlineStr">
        <is>
          <t>A 58625-2024</t>
        </is>
      </c>
      <c r="B14119" s="1" t="n">
        <v>45635</v>
      </c>
      <c r="C14119" s="1" t="n">
        <v>45952</v>
      </c>
      <c r="D14119" t="inlineStr">
        <is>
          <t>VÄSTRA GÖTALANDS LÄN</t>
        </is>
      </c>
      <c r="E14119" t="inlineStr">
        <is>
          <t>UDDEVALLA</t>
        </is>
      </c>
      <c r="G14119" t="n">
        <v>14.9</v>
      </c>
      <c r="H14119" t="n">
        <v>0</v>
      </c>
      <c r="I14119" t="n">
        <v>0</v>
      </c>
      <c r="J14119" t="n">
        <v>0</v>
      </c>
      <c r="K14119" t="n">
        <v>0</v>
      </c>
      <c r="L14119" t="n">
        <v>0</v>
      </c>
      <c r="M14119" t="n">
        <v>0</v>
      </c>
      <c r="N14119" t="n">
        <v>0</v>
      </c>
      <c r="O14119" t="n">
        <v>0</v>
      </c>
      <c r="P14119" t="n">
        <v>0</v>
      </c>
      <c r="Q14119" t="n">
        <v>0</v>
      </c>
      <c r="R14119" s="2" t="inlineStr"/>
    </row>
    <row r="14120" ht="15" customHeight="1">
      <c r="A14120" t="inlineStr">
        <is>
          <t>A 66123-2020</t>
        </is>
      </c>
      <c r="B14120" s="1" t="n">
        <v>44175</v>
      </c>
      <c r="C14120" s="1" t="n">
        <v>45952</v>
      </c>
      <c r="D14120" t="inlineStr">
        <is>
          <t>VÄSTRA GÖTALANDS LÄN</t>
        </is>
      </c>
      <c r="E14120" t="inlineStr">
        <is>
          <t>VÅRGÅRDA</t>
        </is>
      </c>
      <c r="G14120" t="n">
        <v>1.7</v>
      </c>
      <c r="H14120" t="n">
        <v>0</v>
      </c>
      <c r="I14120" t="n">
        <v>0</v>
      </c>
      <c r="J14120" t="n">
        <v>0</v>
      </c>
      <c r="K14120" t="n">
        <v>0</v>
      </c>
      <c r="L14120" t="n">
        <v>0</v>
      </c>
      <c r="M14120" t="n">
        <v>0</v>
      </c>
      <c r="N14120" t="n">
        <v>0</v>
      </c>
      <c r="O14120" t="n">
        <v>0</v>
      </c>
      <c r="P14120" t="n">
        <v>0</v>
      </c>
      <c r="Q14120" t="n">
        <v>0</v>
      </c>
      <c r="R14120" s="2" t="inlineStr"/>
    </row>
    <row r="14121" ht="15" customHeight="1">
      <c r="A14121" t="inlineStr">
        <is>
          <t>A 47264-2024</t>
        </is>
      </c>
      <c r="B14121" s="1" t="n">
        <v>45586.8034837963</v>
      </c>
      <c r="C14121" s="1" t="n">
        <v>45952</v>
      </c>
      <c r="D14121" t="inlineStr">
        <is>
          <t>VÄSTRA GÖTALANDS LÄN</t>
        </is>
      </c>
      <c r="E14121" t="inlineStr">
        <is>
          <t>BOLLEBYGD</t>
        </is>
      </c>
      <c r="G14121" t="n">
        <v>1.3</v>
      </c>
      <c r="H14121" t="n">
        <v>0</v>
      </c>
      <c r="I14121" t="n">
        <v>0</v>
      </c>
      <c r="J14121" t="n">
        <v>0</v>
      </c>
      <c r="K14121" t="n">
        <v>0</v>
      </c>
      <c r="L14121" t="n">
        <v>0</v>
      </c>
      <c r="M14121" t="n">
        <v>0</v>
      </c>
      <c r="N14121" t="n">
        <v>0</v>
      </c>
      <c r="O14121" t="n">
        <v>0</v>
      </c>
      <c r="P14121" t="n">
        <v>0</v>
      </c>
      <c r="Q14121" t="n">
        <v>0</v>
      </c>
      <c r="R14121" s="2" t="inlineStr"/>
    </row>
    <row r="14122" ht="15" customHeight="1">
      <c r="A14122" t="inlineStr">
        <is>
          <t>A 27440-2022</t>
        </is>
      </c>
      <c r="B14122" s="1" t="n">
        <v>44742.55943287037</v>
      </c>
      <c r="C14122" s="1" t="n">
        <v>45952</v>
      </c>
      <c r="D14122" t="inlineStr">
        <is>
          <t>VÄSTRA GÖTALANDS LÄN</t>
        </is>
      </c>
      <c r="E14122" t="inlineStr">
        <is>
          <t>BENGTSFORS</t>
        </is>
      </c>
      <c r="G14122" t="n">
        <v>5.1</v>
      </c>
      <c r="H14122" t="n">
        <v>0</v>
      </c>
      <c r="I14122" t="n">
        <v>0</v>
      </c>
      <c r="J14122" t="n">
        <v>0</v>
      </c>
      <c r="K14122" t="n">
        <v>0</v>
      </c>
      <c r="L14122" t="n">
        <v>0</v>
      </c>
      <c r="M14122" t="n">
        <v>0</v>
      </c>
      <c r="N14122" t="n">
        <v>0</v>
      </c>
      <c r="O14122" t="n">
        <v>0</v>
      </c>
      <c r="P14122" t="n">
        <v>0</v>
      </c>
      <c r="Q14122" t="n">
        <v>0</v>
      </c>
      <c r="R14122" s="2" t="inlineStr"/>
    </row>
    <row r="14123" ht="15" customHeight="1">
      <c r="A14123" t="inlineStr">
        <is>
          <t>A 3750-2022</t>
        </is>
      </c>
      <c r="B14123" s="1" t="n">
        <v>44586.71618055556</v>
      </c>
      <c r="C14123" s="1" t="n">
        <v>45952</v>
      </c>
      <c r="D14123" t="inlineStr">
        <is>
          <t>VÄSTRA GÖTALANDS LÄN</t>
        </is>
      </c>
      <c r="E14123" t="inlineStr">
        <is>
          <t>ORUST</t>
        </is>
      </c>
      <c r="G14123" t="n">
        <v>1.9</v>
      </c>
      <c r="H14123" t="n">
        <v>0</v>
      </c>
      <c r="I14123" t="n">
        <v>0</v>
      </c>
      <c r="J14123" t="n">
        <v>0</v>
      </c>
      <c r="K14123" t="n">
        <v>0</v>
      </c>
      <c r="L14123" t="n">
        <v>0</v>
      </c>
      <c r="M14123" t="n">
        <v>0</v>
      </c>
      <c r="N14123" t="n">
        <v>0</v>
      </c>
      <c r="O14123" t="n">
        <v>0</v>
      </c>
      <c r="P14123" t="n">
        <v>0</v>
      </c>
      <c r="Q14123" t="n">
        <v>0</v>
      </c>
      <c r="R14123" s="2" t="inlineStr"/>
    </row>
    <row r="14124" ht="15" customHeight="1">
      <c r="A14124" t="inlineStr">
        <is>
          <t>A 25747-2024</t>
        </is>
      </c>
      <c r="B14124" s="1" t="n">
        <v>45465.44271990741</v>
      </c>
      <c r="C14124" s="1" t="n">
        <v>45952</v>
      </c>
      <c r="D14124" t="inlineStr">
        <is>
          <t>VÄSTRA GÖTALANDS LÄN</t>
        </is>
      </c>
      <c r="E14124" t="inlineStr">
        <is>
          <t>ALINGSÅS</t>
        </is>
      </c>
      <c r="G14124" t="n">
        <v>0.5</v>
      </c>
      <c r="H14124" t="n">
        <v>0</v>
      </c>
      <c r="I14124" t="n">
        <v>0</v>
      </c>
      <c r="J14124" t="n">
        <v>0</v>
      </c>
      <c r="K14124" t="n">
        <v>0</v>
      </c>
      <c r="L14124" t="n">
        <v>0</v>
      </c>
      <c r="M14124" t="n">
        <v>0</v>
      </c>
      <c r="N14124" t="n">
        <v>0</v>
      </c>
      <c r="O14124" t="n">
        <v>0</v>
      </c>
      <c r="P14124" t="n">
        <v>0</v>
      </c>
      <c r="Q14124" t="n">
        <v>0</v>
      </c>
      <c r="R14124" s="2" t="inlineStr"/>
    </row>
    <row r="14125" ht="15" customHeight="1">
      <c r="A14125" t="inlineStr">
        <is>
          <t>A 1262-2021</t>
        </is>
      </c>
      <c r="B14125" s="1" t="n">
        <v>44208</v>
      </c>
      <c r="C14125" s="1" t="n">
        <v>45952</v>
      </c>
      <c r="D14125" t="inlineStr">
        <is>
          <t>VÄSTRA GÖTALANDS LÄN</t>
        </is>
      </c>
      <c r="E14125" t="inlineStr">
        <is>
          <t>LILLA EDET</t>
        </is>
      </c>
      <c r="G14125" t="n">
        <v>3.7</v>
      </c>
      <c r="H14125" t="n">
        <v>0</v>
      </c>
      <c r="I14125" t="n">
        <v>0</v>
      </c>
      <c r="J14125" t="n">
        <v>0</v>
      </c>
      <c r="K14125" t="n">
        <v>0</v>
      </c>
      <c r="L14125" t="n">
        <v>0</v>
      </c>
      <c r="M14125" t="n">
        <v>0</v>
      </c>
      <c r="N14125" t="n">
        <v>0</v>
      </c>
      <c r="O14125" t="n">
        <v>0</v>
      </c>
      <c r="P14125" t="n">
        <v>0</v>
      </c>
      <c r="Q14125" t="n">
        <v>0</v>
      </c>
      <c r="R14125" s="2" t="inlineStr"/>
    </row>
    <row r="14126" ht="15" customHeight="1">
      <c r="A14126" t="inlineStr">
        <is>
          <t>A 1498-2021</t>
        </is>
      </c>
      <c r="B14126" s="1" t="n">
        <v>44209</v>
      </c>
      <c r="C14126" s="1" t="n">
        <v>45952</v>
      </c>
      <c r="D14126" t="inlineStr">
        <is>
          <t>VÄSTRA GÖTALANDS LÄN</t>
        </is>
      </c>
      <c r="E14126" t="inlineStr">
        <is>
          <t>BENGTSFORS</t>
        </is>
      </c>
      <c r="G14126" t="n">
        <v>21.6</v>
      </c>
      <c r="H14126" t="n">
        <v>0</v>
      </c>
      <c r="I14126" t="n">
        <v>0</v>
      </c>
      <c r="J14126" t="n">
        <v>0</v>
      </c>
      <c r="K14126" t="n">
        <v>0</v>
      </c>
      <c r="L14126" t="n">
        <v>0</v>
      </c>
      <c r="M14126" t="n">
        <v>0</v>
      </c>
      <c r="N14126" t="n">
        <v>0</v>
      </c>
      <c r="O14126" t="n">
        <v>0</v>
      </c>
      <c r="P14126" t="n">
        <v>0</v>
      </c>
      <c r="Q14126" t="n">
        <v>0</v>
      </c>
      <c r="R14126" s="2" t="inlineStr"/>
    </row>
    <row r="14127" ht="15" customHeight="1">
      <c r="A14127" t="inlineStr">
        <is>
          <t>A 10669-2024</t>
        </is>
      </c>
      <c r="B14127" s="1" t="n">
        <v>45369.34547453704</v>
      </c>
      <c r="C14127" s="1" t="n">
        <v>45952</v>
      </c>
      <c r="D14127" t="inlineStr">
        <is>
          <t>VÄSTRA GÖTALANDS LÄN</t>
        </is>
      </c>
      <c r="E14127" t="inlineStr">
        <is>
          <t>MARK</t>
        </is>
      </c>
      <c r="G14127" t="n">
        <v>1.1</v>
      </c>
      <c r="H14127" t="n">
        <v>0</v>
      </c>
      <c r="I14127" t="n">
        <v>0</v>
      </c>
      <c r="J14127" t="n">
        <v>0</v>
      </c>
      <c r="K14127" t="n">
        <v>0</v>
      </c>
      <c r="L14127" t="n">
        <v>0</v>
      </c>
      <c r="M14127" t="n">
        <v>0</v>
      </c>
      <c r="N14127" t="n">
        <v>0</v>
      </c>
      <c r="O14127" t="n">
        <v>0</v>
      </c>
      <c r="P14127" t="n">
        <v>0</v>
      </c>
      <c r="Q14127" t="n">
        <v>0</v>
      </c>
      <c r="R14127" s="2" t="inlineStr"/>
    </row>
    <row r="14128" ht="15" customHeight="1">
      <c r="A14128" t="inlineStr">
        <is>
          <t>A 59074-2023</t>
        </is>
      </c>
      <c r="B14128" s="1" t="n">
        <v>45252.87451388889</v>
      </c>
      <c r="C14128" s="1" t="n">
        <v>45952</v>
      </c>
      <c r="D14128" t="inlineStr">
        <is>
          <t>VÄSTRA GÖTALANDS LÄN</t>
        </is>
      </c>
      <c r="E14128" t="inlineStr">
        <is>
          <t>GÖTENE</t>
        </is>
      </c>
      <c r="G14128" t="n">
        <v>0.3</v>
      </c>
      <c r="H14128" t="n">
        <v>0</v>
      </c>
      <c r="I14128" t="n">
        <v>0</v>
      </c>
      <c r="J14128" t="n">
        <v>0</v>
      </c>
      <c r="K14128" t="n">
        <v>0</v>
      </c>
      <c r="L14128" t="n">
        <v>0</v>
      </c>
      <c r="M14128" t="n">
        <v>0</v>
      </c>
      <c r="N14128" t="n">
        <v>0</v>
      </c>
      <c r="O14128" t="n">
        <v>0</v>
      </c>
      <c r="P14128" t="n">
        <v>0</v>
      </c>
      <c r="Q14128" t="n">
        <v>0</v>
      </c>
      <c r="R14128" s="2" t="inlineStr"/>
    </row>
    <row r="14129" ht="15" customHeight="1">
      <c r="A14129" t="inlineStr">
        <is>
          <t>A 50988-2024</t>
        </is>
      </c>
      <c r="B14129" s="1" t="n">
        <v>45603.36789351852</v>
      </c>
      <c r="C14129" s="1" t="n">
        <v>45952</v>
      </c>
      <c r="D14129" t="inlineStr">
        <is>
          <t>VÄSTRA GÖTALANDS LÄN</t>
        </is>
      </c>
      <c r="E14129" t="inlineStr">
        <is>
          <t>BENGTSFORS</t>
        </is>
      </c>
      <c r="G14129" t="n">
        <v>3.1</v>
      </c>
      <c r="H14129" t="n">
        <v>0</v>
      </c>
      <c r="I14129" t="n">
        <v>0</v>
      </c>
      <c r="J14129" t="n">
        <v>0</v>
      </c>
      <c r="K14129" t="n">
        <v>0</v>
      </c>
      <c r="L14129" t="n">
        <v>0</v>
      </c>
      <c r="M14129" t="n">
        <v>0</v>
      </c>
      <c r="N14129" t="n">
        <v>0</v>
      </c>
      <c r="O14129" t="n">
        <v>0</v>
      </c>
      <c r="P14129" t="n">
        <v>0</v>
      </c>
      <c r="Q14129" t="n">
        <v>0</v>
      </c>
      <c r="R14129" s="2" t="inlineStr"/>
    </row>
    <row r="14130" ht="15" customHeight="1">
      <c r="A14130" t="inlineStr">
        <is>
          <t>A 16710-2022</t>
        </is>
      </c>
      <c r="B14130" s="1" t="n">
        <v>44673.3947800926</v>
      </c>
      <c r="C14130" s="1" t="n">
        <v>45952</v>
      </c>
      <c r="D14130" t="inlineStr">
        <is>
          <t>VÄSTRA GÖTALANDS LÄN</t>
        </is>
      </c>
      <c r="E14130" t="inlineStr">
        <is>
          <t>MARK</t>
        </is>
      </c>
      <c r="G14130" t="n">
        <v>9.1</v>
      </c>
      <c r="H14130" t="n">
        <v>0</v>
      </c>
      <c r="I14130" t="n">
        <v>0</v>
      </c>
      <c r="J14130" t="n">
        <v>0</v>
      </c>
      <c r="K14130" t="n">
        <v>0</v>
      </c>
      <c r="L14130" t="n">
        <v>0</v>
      </c>
      <c r="M14130" t="n">
        <v>0</v>
      </c>
      <c r="N14130" t="n">
        <v>0</v>
      </c>
      <c r="O14130" t="n">
        <v>0</v>
      </c>
      <c r="P14130" t="n">
        <v>0</v>
      </c>
      <c r="Q14130" t="n">
        <v>0</v>
      </c>
      <c r="R14130" s="2" t="inlineStr"/>
    </row>
    <row r="14131" ht="15" customHeight="1">
      <c r="A14131" t="inlineStr">
        <is>
          <t>A 39542-2023</t>
        </is>
      </c>
      <c r="B14131" s="1" t="n">
        <v>45167</v>
      </c>
      <c r="C14131" s="1" t="n">
        <v>45952</v>
      </c>
      <c r="D14131" t="inlineStr">
        <is>
          <t>VÄSTRA GÖTALANDS LÄN</t>
        </is>
      </c>
      <c r="E14131" t="inlineStr">
        <is>
          <t>HJO</t>
        </is>
      </c>
      <c r="G14131" t="n">
        <v>0.6</v>
      </c>
      <c r="H14131" t="n">
        <v>0</v>
      </c>
      <c r="I14131" t="n">
        <v>0</v>
      </c>
      <c r="J14131" t="n">
        <v>0</v>
      </c>
      <c r="K14131" t="n">
        <v>0</v>
      </c>
      <c r="L14131" t="n">
        <v>0</v>
      </c>
      <c r="M14131" t="n">
        <v>0</v>
      </c>
      <c r="N14131" t="n">
        <v>0</v>
      </c>
      <c r="O14131" t="n">
        <v>0</v>
      </c>
      <c r="P14131" t="n">
        <v>0</v>
      </c>
      <c r="Q14131" t="n">
        <v>0</v>
      </c>
      <c r="R14131" s="2" t="inlineStr"/>
    </row>
    <row r="14132" ht="15" customHeight="1">
      <c r="A14132" t="inlineStr">
        <is>
          <t>A 62316-2022</t>
        </is>
      </c>
      <c r="B14132" s="1" t="n">
        <v>44916</v>
      </c>
      <c r="C14132" s="1" t="n">
        <v>45952</v>
      </c>
      <c r="D14132" t="inlineStr">
        <is>
          <t>VÄSTRA GÖTALANDS LÄN</t>
        </is>
      </c>
      <c r="E14132" t="inlineStr">
        <is>
          <t>BENGTSFORS</t>
        </is>
      </c>
      <c r="F14132" t="inlineStr">
        <is>
          <t>Bergvik skog väst AB</t>
        </is>
      </c>
      <c r="G14132" t="n">
        <v>1.8</v>
      </c>
      <c r="H14132" t="n">
        <v>0</v>
      </c>
      <c r="I14132" t="n">
        <v>0</v>
      </c>
      <c r="J14132" t="n">
        <v>0</v>
      </c>
      <c r="K14132" t="n">
        <v>0</v>
      </c>
      <c r="L14132" t="n">
        <v>0</v>
      </c>
      <c r="M14132" t="n">
        <v>0</v>
      </c>
      <c r="N14132" t="n">
        <v>0</v>
      </c>
      <c r="O14132" t="n">
        <v>0</v>
      </c>
      <c r="P14132" t="n">
        <v>0</v>
      </c>
      <c r="Q14132" t="n">
        <v>0</v>
      </c>
      <c r="R14132" s="2" t="inlineStr"/>
    </row>
    <row r="14133" ht="15" customHeight="1">
      <c r="A14133" t="inlineStr">
        <is>
          <t>A 30133-2024</t>
        </is>
      </c>
      <c r="B14133" s="1" t="n">
        <v>45489.55241898148</v>
      </c>
      <c r="C14133" s="1" t="n">
        <v>45952</v>
      </c>
      <c r="D14133" t="inlineStr">
        <is>
          <t>VÄSTRA GÖTALANDS LÄN</t>
        </is>
      </c>
      <c r="E14133" t="inlineStr">
        <is>
          <t>MUNKEDAL</t>
        </is>
      </c>
      <c r="G14133" t="n">
        <v>10.3</v>
      </c>
      <c r="H14133" t="n">
        <v>0</v>
      </c>
      <c r="I14133" t="n">
        <v>0</v>
      </c>
      <c r="J14133" t="n">
        <v>0</v>
      </c>
      <c r="K14133" t="n">
        <v>0</v>
      </c>
      <c r="L14133" t="n">
        <v>0</v>
      </c>
      <c r="M14133" t="n">
        <v>0</v>
      </c>
      <c r="N14133" t="n">
        <v>0</v>
      </c>
      <c r="O14133" t="n">
        <v>0</v>
      </c>
      <c r="P14133" t="n">
        <v>0</v>
      </c>
      <c r="Q14133" t="n">
        <v>0</v>
      </c>
      <c r="R14133" s="2" t="inlineStr"/>
    </row>
    <row r="14134" ht="15" customHeight="1">
      <c r="A14134" t="inlineStr">
        <is>
          <t>A 2284-2025</t>
        </is>
      </c>
      <c r="B14134" s="1" t="n">
        <v>45673.57069444445</v>
      </c>
      <c r="C14134" s="1" t="n">
        <v>45952</v>
      </c>
      <c r="D14134" t="inlineStr">
        <is>
          <t>VÄSTRA GÖTALANDS LÄN</t>
        </is>
      </c>
      <c r="E14134" t="inlineStr">
        <is>
          <t>BORÅS</t>
        </is>
      </c>
      <c r="G14134" t="n">
        <v>0.7</v>
      </c>
      <c r="H14134" t="n">
        <v>0</v>
      </c>
      <c r="I14134" t="n">
        <v>0</v>
      </c>
      <c r="J14134" t="n">
        <v>0</v>
      </c>
      <c r="K14134" t="n">
        <v>0</v>
      </c>
      <c r="L14134" t="n">
        <v>0</v>
      </c>
      <c r="M14134" t="n">
        <v>0</v>
      </c>
      <c r="N14134" t="n">
        <v>0</v>
      </c>
      <c r="O14134" t="n">
        <v>0</v>
      </c>
      <c r="P14134" t="n">
        <v>0</v>
      </c>
      <c r="Q14134" t="n">
        <v>0</v>
      </c>
      <c r="R14134" s="2" t="inlineStr"/>
    </row>
    <row r="14135" ht="15" customHeight="1">
      <c r="A14135" t="inlineStr">
        <is>
          <t>A 33299-2023</t>
        </is>
      </c>
      <c r="B14135" s="1" t="n">
        <v>45116</v>
      </c>
      <c r="C14135" s="1" t="n">
        <v>45952</v>
      </c>
      <c r="D14135" t="inlineStr">
        <is>
          <t>VÄSTRA GÖTALANDS LÄN</t>
        </is>
      </c>
      <c r="E14135" t="inlineStr">
        <is>
          <t>VARA</t>
        </is>
      </c>
      <c r="G14135" t="n">
        <v>2.7</v>
      </c>
      <c r="H14135" t="n">
        <v>0</v>
      </c>
      <c r="I14135" t="n">
        <v>0</v>
      </c>
      <c r="J14135" t="n">
        <v>0</v>
      </c>
      <c r="K14135" t="n">
        <v>0</v>
      </c>
      <c r="L14135" t="n">
        <v>0</v>
      </c>
      <c r="M14135" t="n">
        <v>0</v>
      </c>
      <c r="N14135" t="n">
        <v>0</v>
      </c>
      <c r="O14135" t="n">
        <v>0</v>
      </c>
      <c r="P14135" t="n">
        <v>0</v>
      </c>
      <c r="Q14135" t="n">
        <v>0</v>
      </c>
      <c r="R14135" s="2" t="inlineStr"/>
    </row>
    <row r="14136" ht="15" customHeight="1">
      <c r="A14136" t="inlineStr">
        <is>
          <t>A 50727-2022</t>
        </is>
      </c>
      <c r="B14136" s="1" t="n">
        <v>44867.368125</v>
      </c>
      <c r="C14136" s="1" t="n">
        <v>45952</v>
      </c>
      <c r="D14136" t="inlineStr">
        <is>
          <t>VÄSTRA GÖTALANDS LÄN</t>
        </is>
      </c>
      <c r="E14136" t="inlineStr">
        <is>
          <t>HERRLJUNGA</t>
        </is>
      </c>
      <c r="G14136" t="n">
        <v>2.6</v>
      </c>
      <c r="H14136" t="n">
        <v>0</v>
      </c>
      <c r="I14136" t="n">
        <v>0</v>
      </c>
      <c r="J14136" t="n">
        <v>0</v>
      </c>
      <c r="K14136" t="n">
        <v>0</v>
      </c>
      <c r="L14136" t="n">
        <v>0</v>
      </c>
      <c r="M14136" t="n">
        <v>0</v>
      </c>
      <c r="N14136" t="n">
        <v>0</v>
      </c>
      <c r="O14136" t="n">
        <v>0</v>
      </c>
      <c r="P14136" t="n">
        <v>0</v>
      </c>
      <c r="Q14136" t="n">
        <v>0</v>
      </c>
      <c r="R14136" s="2" t="inlineStr"/>
    </row>
    <row r="14137" ht="15" customHeight="1">
      <c r="A14137" t="inlineStr">
        <is>
          <t>A 34532-2023</t>
        </is>
      </c>
      <c r="B14137" s="1" t="n">
        <v>45140.43631944444</v>
      </c>
      <c r="C14137" s="1" t="n">
        <v>45952</v>
      </c>
      <c r="D14137" t="inlineStr">
        <is>
          <t>VÄSTRA GÖTALANDS LÄN</t>
        </is>
      </c>
      <c r="E14137" t="inlineStr">
        <is>
          <t>ÅMÅL</t>
        </is>
      </c>
      <c r="G14137" t="n">
        <v>3.9</v>
      </c>
      <c r="H14137" t="n">
        <v>0</v>
      </c>
      <c r="I14137" t="n">
        <v>0</v>
      </c>
      <c r="J14137" t="n">
        <v>0</v>
      </c>
      <c r="K14137" t="n">
        <v>0</v>
      </c>
      <c r="L14137" t="n">
        <v>0</v>
      </c>
      <c r="M14137" t="n">
        <v>0</v>
      </c>
      <c r="N14137" t="n">
        <v>0</v>
      </c>
      <c r="O14137" t="n">
        <v>0</v>
      </c>
      <c r="P14137" t="n">
        <v>0</v>
      </c>
      <c r="Q14137" t="n">
        <v>0</v>
      </c>
      <c r="R14137" s="2" t="inlineStr"/>
    </row>
    <row r="14138" ht="15" customHeight="1">
      <c r="A14138" t="inlineStr">
        <is>
          <t>A 34417-2024</t>
        </is>
      </c>
      <c r="B14138" s="1" t="n">
        <v>45525.49019675926</v>
      </c>
      <c r="C14138" s="1" t="n">
        <v>45952</v>
      </c>
      <c r="D14138" t="inlineStr">
        <is>
          <t>VÄSTRA GÖTALANDS LÄN</t>
        </is>
      </c>
      <c r="E14138" t="inlineStr">
        <is>
          <t>ÅMÅL</t>
        </is>
      </c>
      <c r="G14138" t="n">
        <v>5.8</v>
      </c>
      <c r="H14138" t="n">
        <v>0</v>
      </c>
      <c r="I14138" t="n">
        <v>0</v>
      </c>
      <c r="J14138" t="n">
        <v>0</v>
      </c>
      <c r="K14138" t="n">
        <v>0</v>
      </c>
      <c r="L14138" t="n">
        <v>0</v>
      </c>
      <c r="M14138" t="n">
        <v>0</v>
      </c>
      <c r="N14138" t="n">
        <v>0</v>
      </c>
      <c r="O14138" t="n">
        <v>0</v>
      </c>
      <c r="P14138" t="n">
        <v>0</v>
      </c>
      <c r="Q14138" t="n">
        <v>0</v>
      </c>
      <c r="R14138" s="2" t="inlineStr"/>
    </row>
    <row r="14139" ht="15" customHeight="1">
      <c r="A14139" t="inlineStr">
        <is>
          <t>A 25697-2023</t>
        </is>
      </c>
      <c r="B14139" s="1" t="n">
        <v>45089.98043981481</v>
      </c>
      <c r="C14139" s="1" t="n">
        <v>45952</v>
      </c>
      <c r="D14139" t="inlineStr">
        <is>
          <t>VÄSTRA GÖTALANDS LÄN</t>
        </is>
      </c>
      <c r="E14139" t="inlineStr">
        <is>
          <t>KARLSBORG</t>
        </is>
      </c>
      <c r="G14139" t="n">
        <v>0.6</v>
      </c>
      <c r="H14139" t="n">
        <v>0</v>
      </c>
      <c r="I14139" t="n">
        <v>0</v>
      </c>
      <c r="J14139" t="n">
        <v>0</v>
      </c>
      <c r="K14139" t="n">
        <v>0</v>
      </c>
      <c r="L14139" t="n">
        <v>0</v>
      </c>
      <c r="M14139" t="n">
        <v>0</v>
      </c>
      <c r="N14139" t="n">
        <v>0</v>
      </c>
      <c r="O14139" t="n">
        <v>0</v>
      </c>
      <c r="P14139" t="n">
        <v>0</v>
      </c>
      <c r="Q14139" t="n">
        <v>0</v>
      </c>
      <c r="R14139" s="2" t="inlineStr"/>
    </row>
    <row r="14140" ht="15" customHeight="1">
      <c r="A14140" t="inlineStr">
        <is>
          <t>A 54792-2023</t>
        </is>
      </c>
      <c r="B14140" s="1" t="n">
        <v>45236</v>
      </c>
      <c r="C14140" s="1" t="n">
        <v>45952</v>
      </c>
      <c r="D14140" t="inlineStr">
        <is>
          <t>VÄSTRA GÖTALANDS LÄN</t>
        </is>
      </c>
      <c r="E14140" t="inlineStr">
        <is>
          <t>STRÖMSTAD</t>
        </is>
      </c>
      <c r="G14140" t="n">
        <v>5.9</v>
      </c>
      <c r="H14140" t="n">
        <v>0</v>
      </c>
      <c r="I14140" t="n">
        <v>0</v>
      </c>
      <c r="J14140" t="n">
        <v>0</v>
      </c>
      <c r="K14140" t="n">
        <v>0</v>
      </c>
      <c r="L14140" t="n">
        <v>0</v>
      </c>
      <c r="M14140" t="n">
        <v>0</v>
      </c>
      <c r="N14140" t="n">
        <v>0</v>
      </c>
      <c r="O14140" t="n">
        <v>0</v>
      </c>
      <c r="P14140" t="n">
        <v>0</v>
      </c>
      <c r="Q14140" t="n">
        <v>0</v>
      </c>
      <c r="R14140" s="2" t="inlineStr"/>
    </row>
    <row r="14141" ht="15" customHeight="1">
      <c r="A14141" t="inlineStr">
        <is>
          <t>A 17824-2025</t>
        </is>
      </c>
      <c r="B14141" s="1" t="n">
        <v>45758.57325231482</v>
      </c>
      <c r="C14141" s="1" t="n">
        <v>45952</v>
      </c>
      <c r="D14141" t="inlineStr">
        <is>
          <t>VÄSTRA GÖTALANDS LÄN</t>
        </is>
      </c>
      <c r="E14141" t="inlineStr">
        <is>
          <t>UDDEVALLA</t>
        </is>
      </c>
      <c r="G14141" t="n">
        <v>0.7</v>
      </c>
      <c r="H14141" t="n">
        <v>0</v>
      </c>
      <c r="I14141" t="n">
        <v>0</v>
      </c>
      <c r="J14141" t="n">
        <v>0</v>
      </c>
      <c r="K14141" t="n">
        <v>0</v>
      </c>
      <c r="L14141" t="n">
        <v>0</v>
      </c>
      <c r="M14141" t="n">
        <v>0</v>
      </c>
      <c r="N14141" t="n">
        <v>0</v>
      </c>
      <c r="O14141" t="n">
        <v>0</v>
      </c>
      <c r="P14141" t="n">
        <v>0</v>
      </c>
      <c r="Q14141" t="n">
        <v>0</v>
      </c>
      <c r="R14141" s="2" t="inlineStr"/>
    </row>
    <row r="14142" ht="15" customHeight="1">
      <c r="A14142" t="inlineStr">
        <is>
          <t>A 17826-2025</t>
        </is>
      </c>
      <c r="B14142" s="1" t="n">
        <v>45758.57554398148</v>
      </c>
      <c r="C14142" s="1" t="n">
        <v>45952</v>
      </c>
      <c r="D14142" t="inlineStr">
        <is>
          <t>VÄSTRA GÖTALANDS LÄN</t>
        </is>
      </c>
      <c r="E14142" t="inlineStr">
        <is>
          <t>TIDAHOLM</t>
        </is>
      </c>
      <c r="G14142" t="n">
        <v>4.3</v>
      </c>
      <c r="H14142" t="n">
        <v>0</v>
      </c>
      <c r="I14142" t="n">
        <v>0</v>
      </c>
      <c r="J14142" t="n">
        <v>0</v>
      </c>
      <c r="K14142" t="n">
        <v>0</v>
      </c>
      <c r="L14142" t="n">
        <v>0</v>
      </c>
      <c r="M14142" t="n">
        <v>0</v>
      </c>
      <c r="N14142" t="n">
        <v>0</v>
      </c>
      <c r="O14142" t="n">
        <v>0</v>
      </c>
      <c r="P14142" t="n">
        <v>0</v>
      </c>
      <c r="Q14142" t="n">
        <v>0</v>
      </c>
      <c r="R14142" s="2" t="inlineStr"/>
    </row>
    <row r="14143" ht="15" customHeight="1">
      <c r="A14143" t="inlineStr">
        <is>
          <t>A 17830-2025</t>
        </is>
      </c>
      <c r="B14143" s="1" t="n">
        <v>45758.58219907407</v>
      </c>
      <c r="C14143" s="1" t="n">
        <v>45952</v>
      </c>
      <c r="D14143" t="inlineStr">
        <is>
          <t>VÄSTRA GÖTALANDS LÄN</t>
        </is>
      </c>
      <c r="E14143" t="inlineStr">
        <is>
          <t>MARK</t>
        </is>
      </c>
      <c r="G14143" t="n">
        <v>1.2</v>
      </c>
      <c r="H14143" t="n">
        <v>0</v>
      </c>
      <c r="I14143" t="n">
        <v>0</v>
      </c>
      <c r="J14143" t="n">
        <v>0</v>
      </c>
      <c r="K14143" t="n">
        <v>0</v>
      </c>
      <c r="L14143" t="n">
        <v>0</v>
      </c>
      <c r="M14143" t="n">
        <v>0</v>
      </c>
      <c r="N14143" t="n">
        <v>0</v>
      </c>
      <c r="O14143" t="n">
        <v>0</v>
      </c>
      <c r="P14143" t="n">
        <v>0</v>
      </c>
      <c r="Q14143" t="n">
        <v>0</v>
      </c>
      <c r="R14143" s="2" t="inlineStr"/>
    </row>
    <row r="14144" ht="15" customHeight="1">
      <c r="A14144" t="inlineStr">
        <is>
          <t>A 11104-2024</t>
        </is>
      </c>
      <c r="B14144" s="1" t="n">
        <v>45371.32724537037</v>
      </c>
      <c r="C14144" s="1" t="n">
        <v>45952</v>
      </c>
      <c r="D14144" t="inlineStr">
        <is>
          <t>VÄSTRA GÖTALANDS LÄN</t>
        </is>
      </c>
      <c r="E14144" t="inlineStr">
        <is>
          <t>LILLA EDET</t>
        </is>
      </c>
      <c r="G14144" t="n">
        <v>3.6</v>
      </c>
      <c r="H14144" t="n">
        <v>0</v>
      </c>
      <c r="I14144" t="n">
        <v>0</v>
      </c>
      <c r="J14144" t="n">
        <v>0</v>
      </c>
      <c r="K14144" t="n">
        <v>0</v>
      </c>
      <c r="L14144" t="n">
        <v>0</v>
      </c>
      <c r="M14144" t="n">
        <v>0</v>
      </c>
      <c r="N14144" t="n">
        <v>0</v>
      </c>
      <c r="O14144" t="n">
        <v>0</v>
      </c>
      <c r="P14144" t="n">
        <v>0</v>
      </c>
      <c r="Q14144" t="n">
        <v>0</v>
      </c>
      <c r="R14144" s="2" t="inlineStr"/>
    </row>
    <row r="14145" ht="15" customHeight="1">
      <c r="A14145" t="inlineStr">
        <is>
          <t>A 20412-2025</t>
        </is>
      </c>
      <c r="B14145" s="1" t="n">
        <v>45775.46091435185</v>
      </c>
      <c r="C14145" s="1" t="n">
        <v>45952</v>
      </c>
      <c r="D14145" t="inlineStr">
        <is>
          <t>VÄSTRA GÖTALANDS LÄN</t>
        </is>
      </c>
      <c r="E14145" t="inlineStr">
        <is>
          <t>BENGTSFORS</t>
        </is>
      </c>
      <c r="G14145" t="n">
        <v>0.7</v>
      </c>
      <c r="H14145" t="n">
        <v>0</v>
      </c>
      <c r="I14145" t="n">
        <v>0</v>
      </c>
      <c r="J14145" t="n">
        <v>0</v>
      </c>
      <c r="K14145" t="n">
        <v>0</v>
      </c>
      <c r="L14145" t="n">
        <v>0</v>
      </c>
      <c r="M14145" t="n">
        <v>0</v>
      </c>
      <c r="N14145" t="n">
        <v>0</v>
      </c>
      <c r="O14145" t="n">
        <v>0</v>
      </c>
      <c r="P14145" t="n">
        <v>0</v>
      </c>
      <c r="Q14145" t="n">
        <v>0</v>
      </c>
      <c r="R14145" s="2" t="inlineStr"/>
    </row>
    <row r="14146" ht="15" customHeight="1">
      <c r="A14146" t="inlineStr">
        <is>
          <t>A 20456-2025</t>
        </is>
      </c>
      <c r="B14146" s="1" t="n">
        <v>45775.51363425926</v>
      </c>
      <c r="C14146" s="1" t="n">
        <v>45952</v>
      </c>
      <c r="D14146" t="inlineStr">
        <is>
          <t>VÄSTRA GÖTALANDS LÄN</t>
        </is>
      </c>
      <c r="E14146" t="inlineStr">
        <is>
          <t>VÅRGÅRDA</t>
        </is>
      </c>
      <c r="G14146" t="n">
        <v>1.8</v>
      </c>
      <c r="H14146" t="n">
        <v>0</v>
      </c>
      <c r="I14146" t="n">
        <v>0</v>
      </c>
      <c r="J14146" t="n">
        <v>0</v>
      </c>
      <c r="K14146" t="n">
        <v>0</v>
      </c>
      <c r="L14146" t="n">
        <v>0</v>
      </c>
      <c r="M14146" t="n">
        <v>0</v>
      </c>
      <c r="N14146" t="n">
        <v>0</v>
      </c>
      <c r="O14146" t="n">
        <v>0</v>
      </c>
      <c r="P14146" t="n">
        <v>0</v>
      </c>
      <c r="Q14146" t="n">
        <v>0</v>
      </c>
      <c r="R14146" s="2" t="inlineStr"/>
    </row>
    <row r="14147" ht="15" customHeight="1">
      <c r="A14147" t="inlineStr">
        <is>
          <t>A 43747-2023</t>
        </is>
      </c>
      <c r="B14147" s="1" t="n">
        <v>45187.47217592593</v>
      </c>
      <c r="C14147" s="1" t="n">
        <v>45952</v>
      </c>
      <c r="D14147" t="inlineStr">
        <is>
          <t>VÄSTRA GÖTALANDS LÄN</t>
        </is>
      </c>
      <c r="E14147" t="inlineStr">
        <is>
          <t>DALS-ED</t>
        </is>
      </c>
      <c r="G14147" t="n">
        <v>1.6</v>
      </c>
      <c r="H14147" t="n">
        <v>0</v>
      </c>
      <c r="I14147" t="n">
        <v>0</v>
      </c>
      <c r="J14147" t="n">
        <v>0</v>
      </c>
      <c r="K14147" t="n">
        <v>0</v>
      </c>
      <c r="L14147" t="n">
        <v>0</v>
      </c>
      <c r="M14147" t="n">
        <v>0</v>
      </c>
      <c r="N14147" t="n">
        <v>0</v>
      </c>
      <c r="O14147" t="n">
        <v>0</v>
      </c>
      <c r="P14147" t="n">
        <v>0</v>
      </c>
      <c r="Q14147" t="n">
        <v>0</v>
      </c>
      <c r="R14147" s="2" t="inlineStr"/>
    </row>
    <row r="14148" ht="15" customHeight="1">
      <c r="A14148" t="inlineStr">
        <is>
          <t>A 43618-2022</t>
        </is>
      </c>
      <c r="B14148" s="1" t="n">
        <v>44837</v>
      </c>
      <c r="C14148" s="1" t="n">
        <v>45952</v>
      </c>
      <c r="D14148" t="inlineStr">
        <is>
          <t>VÄSTRA GÖTALANDS LÄN</t>
        </is>
      </c>
      <c r="E14148" t="inlineStr">
        <is>
          <t>SVENLJUNGA</t>
        </is>
      </c>
      <c r="G14148" t="n">
        <v>1.1</v>
      </c>
      <c r="H14148" t="n">
        <v>0</v>
      </c>
      <c r="I14148" t="n">
        <v>0</v>
      </c>
      <c r="J14148" t="n">
        <v>0</v>
      </c>
      <c r="K14148" t="n">
        <v>0</v>
      </c>
      <c r="L14148" t="n">
        <v>0</v>
      </c>
      <c r="M14148" t="n">
        <v>0</v>
      </c>
      <c r="N14148" t="n">
        <v>0</v>
      </c>
      <c r="O14148" t="n">
        <v>0</v>
      </c>
      <c r="P14148" t="n">
        <v>0</v>
      </c>
      <c r="Q14148" t="n">
        <v>0</v>
      </c>
      <c r="R14148" s="2" t="inlineStr"/>
    </row>
    <row r="14149" ht="15" customHeight="1">
      <c r="A14149" t="inlineStr">
        <is>
          <t>A 17955-2025</t>
        </is>
      </c>
      <c r="B14149" s="1" t="n">
        <v>45760.88792824074</v>
      </c>
      <c r="C14149" s="1" t="n">
        <v>45952</v>
      </c>
      <c r="D14149" t="inlineStr">
        <is>
          <t>VÄSTRA GÖTALANDS LÄN</t>
        </is>
      </c>
      <c r="E14149" t="inlineStr">
        <is>
          <t>HERRLJUNGA</t>
        </is>
      </c>
      <c r="G14149" t="n">
        <v>1.3</v>
      </c>
      <c r="H14149" t="n">
        <v>0</v>
      </c>
      <c r="I14149" t="n">
        <v>0</v>
      </c>
      <c r="J14149" t="n">
        <v>0</v>
      </c>
      <c r="K14149" t="n">
        <v>0</v>
      </c>
      <c r="L14149" t="n">
        <v>0</v>
      </c>
      <c r="M14149" t="n">
        <v>0</v>
      </c>
      <c r="N14149" t="n">
        <v>0</v>
      </c>
      <c r="O14149" t="n">
        <v>0</v>
      </c>
      <c r="P14149" t="n">
        <v>0</v>
      </c>
      <c r="Q14149" t="n">
        <v>0</v>
      </c>
      <c r="R14149" s="2" t="inlineStr"/>
    </row>
    <row r="14150" ht="15" customHeight="1">
      <c r="A14150" t="inlineStr">
        <is>
          <t>A 49118-2024</t>
        </is>
      </c>
      <c r="B14150" s="1" t="n">
        <v>45594.66445601852</v>
      </c>
      <c r="C14150" s="1" t="n">
        <v>45952</v>
      </c>
      <c r="D14150" t="inlineStr">
        <is>
          <t>VÄSTRA GÖTALANDS LÄN</t>
        </is>
      </c>
      <c r="E14150" t="inlineStr">
        <is>
          <t>GULLSPÅNG</t>
        </is>
      </c>
      <c r="G14150" t="n">
        <v>1.6</v>
      </c>
      <c r="H14150" t="n">
        <v>0</v>
      </c>
      <c r="I14150" t="n">
        <v>0</v>
      </c>
      <c r="J14150" t="n">
        <v>0</v>
      </c>
      <c r="K14150" t="n">
        <v>0</v>
      </c>
      <c r="L14150" t="n">
        <v>0</v>
      </c>
      <c r="M14150" t="n">
        <v>0</v>
      </c>
      <c r="N14150" t="n">
        <v>0</v>
      </c>
      <c r="O14150" t="n">
        <v>0</v>
      </c>
      <c r="P14150" t="n">
        <v>0</v>
      </c>
      <c r="Q14150" t="n">
        <v>0</v>
      </c>
      <c r="R14150" s="2" t="inlineStr"/>
    </row>
    <row r="14151" ht="15" customHeight="1">
      <c r="A14151" t="inlineStr">
        <is>
          <t>A 41163-2023</t>
        </is>
      </c>
      <c r="B14151" s="1" t="n">
        <v>45174</v>
      </c>
      <c r="C14151" s="1" t="n">
        <v>45952</v>
      </c>
      <c r="D14151" t="inlineStr">
        <is>
          <t>VÄSTRA GÖTALANDS LÄN</t>
        </is>
      </c>
      <c r="E14151" t="inlineStr">
        <is>
          <t>LIDKÖPING</t>
        </is>
      </c>
      <c r="G14151" t="n">
        <v>3.2</v>
      </c>
      <c r="H14151" t="n">
        <v>0</v>
      </c>
      <c r="I14151" t="n">
        <v>0</v>
      </c>
      <c r="J14151" t="n">
        <v>0</v>
      </c>
      <c r="K14151" t="n">
        <v>0</v>
      </c>
      <c r="L14151" t="n">
        <v>0</v>
      </c>
      <c r="M14151" t="n">
        <v>0</v>
      </c>
      <c r="N14151" t="n">
        <v>0</v>
      </c>
      <c r="O14151" t="n">
        <v>0</v>
      </c>
      <c r="P14151" t="n">
        <v>0</v>
      </c>
      <c r="Q14151" t="n">
        <v>0</v>
      </c>
      <c r="R14151" s="2" t="inlineStr"/>
    </row>
    <row r="14152" ht="15" customHeight="1">
      <c r="A14152" t="inlineStr">
        <is>
          <t>A 43384-2023</t>
        </is>
      </c>
      <c r="B14152" s="1" t="n">
        <v>45183.85680555556</v>
      </c>
      <c r="C14152" s="1" t="n">
        <v>45952</v>
      </c>
      <c r="D14152" t="inlineStr">
        <is>
          <t>VÄSTRA GÖTALANDS LÄN</t>
        </is>
      </c>
      <c r="E14152" t="inlineStr">
        <is>
          <t>VÅRGÅRDA</t>
        </is>
      </c>
      <c r="G14152" t="n">
        <v>2.2</v>
      </c>
      <c r="H14152" t="n">
        <v>0</v>
      </c>
      <c r="I14152" t="n">
        <v>0</v>
      </c>
      <c r="J14152" t="n">
        <v>0</v>
      </c>
      <c r="K14152" t="n">
        <v>0</v>
      </c>
      <c r="L14152" t="n">
        <v>0</v>
      </c>
      <c r="M14152" t="n">
        <v>0</v>
      </c>
      <c r="N14152" t="n">
        <v>0</v>
      </c>
      <c r="O14152" t="n">
        <v>0</v>
      </c>
      <c r="P14152" t="n">
        <v>0</v>
      </c>
      <c r="Q14152" t="n">
        <v>0</v>
      </c>
      <c r="R14152" s="2" t="inlineStr"/>
    </row>
    <row r="14153" ht="15" customHeight="1">
      <c r="A14153" t="inlineStr">
        <is>
          <t>A 27888-2023</t>
        </is>
      </c>
      <c r="B14153" s="1" t="n">
        <v>45098</v>
      </c>
      <c r="C14153" s="1" t="n">
        <v>45952</v>
      </c>
      <c r="D14153" t="inlineStr">
        <is>
          <t>VÄSTRA GÖTALANDS LÄN</t>
        </is>
      </c>
      <c r="E14153" t="inlineStr">
        <is>
          <t>SVENLJUNGA</t>
        </is>
      </c>
      <c r="G14153" t="n">
        <v>5.8</v>
      </c>
      <c r="H14153" t="n">
        <v>0</v>
      </c>
      <c r="I14153" t="n">
        <v>0</v>
      </c>
      <c r="J14153" t="n">
        <v>0</v>
      </c>
      <c r="K14153" t="n">
        <v>0</v>
      </c>
      <c r="L14153" t="n">
        <v>0</v>
      </c>
      <c r="M14153" t="n">
        <v>0</v>
      </c>
      <c r="N14153" t="n">
        <v>0</v>
      </c>
      <c r="O14153" t="n">
        <v>0</v>
      </c>
      <c r="P14153" t="n">
        <v>0</v>
      </c>
      <c r="Q14153" t="n">
        <v>0</v>
      </c>
      <c r="R14153" s="2" t="inlineStr"/>
    </row>
    <row r="14154" ht="15" customHeight="1">
      <c r="A14154" t="inlineStr">
        <is>
          <t>A 28073-2023</t>
        </is>
      </c>
      <c r="B14154" s="1" t="n">
        <v>45099</v>
      </c>
      <c r="C14154" s="1" t="n">
        <v>45952</v>
      </c>
      <c r="D14154" t="inlineStr">
        <is>
          <t>VÄSTRA GÖTALANDS LÄN</t>
        </is>
      </c>
      <c r="E14154" t="inlineStr">
        <is>
          <t>SKARA</t>
        </is>
      </c>
      <c r="G14154" t="n">
        <v>3.8</v>
      </c>
      <c r="H14154" t="n">
        <v>0</v>
      </c>
      <c r="I14154" t="n">
        <v>0</v>
      </c>
      <c r="J14154" t="n">
        <v>0</v>
      </c>
      <c r="K14154" t="n">
        <v>0</v>
      </c>
      <c r="L14154" t="n">
        <v>0</v>
      </c>
      <c r="M14154" t="n">
        <v>0</v>
      </c>
      <c r="N14154" t="n">
        <v>0</v>
      </c>
      <c r="O14154" t="n">
        <v>0</v>
      </c>
      <c r="P14154" t="n">
        <v>0</v>
      </c>
      <c r="Q14154" t="n">
        <v>0</v>
      </c>
      <c r="R14154" s="2" t="inlineStr"/>
    </row>
    <row r="14155" ht="15" customHeight="1">
      <c r="A14155" t="inlineStr">
        <is>
          <t>A 57367-2024</t>
        </is>
      </c>
      <c r="B14155" s="1" t="n">
        <v>45629.66594907407</v>
      </c>
      <c r="C14155" s="1" t="n">
        <v>45952</v>
      </c>
      <c r="D14155" t="inlineStr">
        <is>
          <t>VÄSTRA GÖTALANDS LÄN</t>
        </is>
      </c>
      <c r="E14155" t="inlineStr">
        <is>
          <t>TRANEMO</t>
        </is>
      </c>
      <c r="G14155" t="n">
        <v>0.5</v>
      </c>
      <c r="H14155" t="n">
        <v>0</v>
      </c>
      <c r="I14155" t="n">
        <v>0</v>
      </c>
      <c r="J14155" t="n">
        <v>0</v>
      </c>
      <c r="K14155" t="n">
        <v>0</v>
      </c>
      <c r="L14155" t="n">
        <v>0</v>
      </c>
      <c r="M14155" t="n">
        <v>0</v>
      </c>
      <c r="N14155" t="n">
        <v>0</v>
      </c>
      <c r="O14155" t="n">
        <v>0</v>
      </c>
      <c r="P14155" t="n">
        <v>0</v>
      </c>
      <c r="Q14155" t="n">
        <v>0</v>
      </c>
      <c r="R14155" s="2" t="inlineStr"/>
    </row>
    <row r="14156" ht="15" customHeight="1">
      <c r="A14156" t="inlineStr">
        <is>
          <t>A 57372-2024</t>
        </is>
      </c>
      <c r="B14156" s="1" t="n">
        <v>45629.67246527778</v>
      </c>
      <c r="C14156" s="1" t="n">
        <v>45952</v>
      </c>
      <c r="D14156" t="inlineStr">
        <is>
          <t>VÄSTRA GÖTALANDS LÄN</t>
        </is>
      </c>
      <c r="E14156" t="inlineStr">
        <is>
          <t>TRANEMO</t>
        </is>
      </c>
      <c r="G14156" t="n">
        <v>0.5</v>
      </c>
      <c r="H14156" t="n">
        <v>0</v>
      </c>
      <c r="I14156" t="n">
        <v>0</v>
      </c>
      <c r="J14156" t="n">
        <v>0</v>
      </c>
      <c r="K14156" t="n">
        <v>0</v>
      </c>
      <c r="L14156" t="n">
        <v>0</v>
      </c>
      <c r="M14156" t="n">
        <v>0</v>
      </c>
      <c r="N14156" t="n">
        <v>0</v>
      </c>
      <c r="O14156" t="n">
        <v>0</v>
      </c>
      <c r="P14156" t="n">
        <v>0</v>
      </c>
      <c r="Q14156" t="n">
        <v>0</v>
      </c>
      <c r="R14156" s="2" t="inlineStr"/>
    </row>
    <row r="14157" ht="15" customHeight="1">
      <c r="A14157" t="inlineStr">
        <is>
          <t>A 57411-2024</t>
        </is>
      </c>
      <c r="B14157" s="1" t="n">
        <v>45629.76388888889</v>
      </c>
      <c r="C14157" s="1" t="n">
        <v>45952</v>
      </c>
      <c r="D14157" t="inlineStr">
        <is>
          <t>VÄSTRA GÖTALANDS LÄN</t>
        </is>
      </c>
      <c r="E14157" t="inlineStr">
        <is>
          <t>MARK</t>
        </is>
      </c>
      <c r="G14157" t="n">
        <v>1.8</v>
      </c>
      <c r="H14157" t="n">
        <v>0</v>
      </c>
      <c r="I14157" t="n">
        <v>0</v>
      </c>
      <c r="J14157" t="n">
        <v>0</v>
      </c>
      <c r="K14157" t="n">
        <v>0</v>
      </c>
      <c r="L14157" t="n">
        <v>0</v>
      </c>
      <c r="M14157" t="n">
        <v>0</v>
      </c>
      <c r="N14157" t="n">
        <v>0</v>
      </c>
      <c r="O14157" t="n">
        <v>0</v>
      </c>
      <c r="P14157" t="n">
        <v>0</v>
      </c>
      <c r="Q14157" t="n">
        <v>0</v>
      </c>
      <c r="R14157" s="2" t="inlineStr"/>
    </row>
    <row r="14158" ht="15" customHeight="1">
      <c r="A14158" t="inlineStr">
        <is>
          <t>A 57450-2024</t>
        </is>
      </c>
      <c r="B14158" s="1" t="n">
        <v>45630.27112268518</v>
      </c>
      <c r="C14158" s="1" t="n">
        <v>45952</v>
      </c>
      <c r="D14158" t="inlineStr">
        <is>
          <t>VÄSTRA GÖTALANDS LÄN</t>
        </is>
      </c>
      <c r="E14158" t="inlineStr">
        <is>
          <t>ALINGSÅS</t>
        </is>
      </c>
      <c r="G14158" t="n">
        <v>3.4</v>
      </c>
      <c r="H14158" t="n">
        <v>0</v>
      </c>
      <c r="I14158" t="n">
        <v>0</v>
      </c>
      <c r="J14158" t="n">
        <v>0</v>
      </c>
      <c r="K14158" t="n">
        <v>0</v>
      </c>
      <c r="L14158" t="n">
        <v>0</v>
      </c>
      <c r="M14158" t="n">
        <v>0</v>
      </c>
      <c r="N14158" t="n">
        <v>0</v>
      </c>
      <c r="O14158" t="n">
        <v>0</v>
      </c>
      <c r="P14158" t="n">
        <v>0</v>
      </c>
      <c r="Q14158" t="n">
        <v>0</v>
      </c>
      <c r="R14158" s="2" t="inlineStr"/>
    </row>
    <row r="14159" ht="15" customHeight="1">
      <c r="A14159" t="inlineStr">
        <is>
          <t>A 16682-2025</t>
        </is>
      </c>
      <c r="B14159" s="1" t="n">
        <v>45754.44958333333</v>
      </c>
      <c r="C14159" s="1" t="n">
        <v>45952</v>
      </c>
      <c r="D14159" t="inlineStr">
        <is>
          <t>VÄSTRA GÖTALANDS LÄN</t>
        </is>
      </c>
      <c r="E14159" t="inlineStr">
        <is>
          <t>TÖREBODA</t>
        </is>
      </c>
      <c r="G14159" t="n">
        <v>7.4</v>
      </c>
      <c r="H14159" t="n">
        <v>0</v>
      </c>
      <c r="I14159" t="n">
        <v>0</v>
      </c>
      <c r="J14159" t="n">
        <v>0</v>
      </c>
      <c r="K14159" t="n">
        <v>0</v>
      </c>
      <c r="L14159" t="n">
        <v>0</v>
      </c>
      <c r="M14159" t="n">
        <v>0</v>
      </c>
      <c r="N14159" t="n">
        <v>0</v>
      </c>
      <c r="O14159" t="n">
        <v>0</v>
      </c>
      <c r="P14159" t="n">
        <v>0</v>
      </c>
      <c r="Q14159" t="n">
        <v>0</v>
      </c>
      <c r="R14159" s="2" t="inlineStr"/>
    </row>
    <row r="14160" ht="15" customHeight="1">
      <c r="A14160" t="inlineStr">
        <is>
          <t>A 16687-2025</t>
        </is>
      </c>
      <c r="B14160" s="1" t="n">
        <v>45754.45372685185</v>
      </c>
      <c r="C14160" s="1" t="n">
        <v>45952</v>
      </c>
      <c r="D14160" t="inlineStr">
        <is>
          <t>VÄSTRA GÖTALANDS LÄN</t>
        </is>
      </c>
      <c r="E14160" t="inlineStr">
        <is>
          <t>TIBRO</t>
        </is>
      </c>
      <c r="G14160" t="n">
        <v>1.9</v>
      </c>
      <c r="H14160" t="n">
        <v>0</v>
      </c>
      <c r="I14160" t="n">
        <v>0</v>
      </c>
      <c r="J14160" t="n">
        <v>0</v>
      </c>
      <c r="K14160" t="n">
        <v>0</v>
      </c>
      <c r="L14160" t="n">
        <v>0</v>
      </c>
      <c r="M14160" t="n">
        <v>0</v>
      </c>
      <c r="N14160" t="n">
        <v>0</v>
      </c>
      <c r="O14160" t="n">
        <v>0</v>
      </c>
      <c r="P14160" t="n">
        <v>0</v>
      </c>
      <c r="Q14160" t="n">
        <v>0</v>
      </c>
      <c r="R14160" s="2" t="inlineStr"/>
    </row>
    <row r="14161" ht="15" customHeight="1">
      <c r="A14161" t="inlineStr">
        <is>
          <t>A 24073-2024</t>
        </is>
      </c>
      <c r="B14161" s="1" t="n">
        <v>45456.56305555555</v>
      </c>
      <c r="C14161" s="1" t="n">
        <v>45952</v>
      </c>
      <c r="D14161" t="inlineStr">
        <is>
          <t>VÄSTRA GÖTALANDS LÄN</t>
        </is>
      </c>
      <c r="E14161" t="inlineStr">
        <is>
          <t>MUNKEDAL</t>
        </is>
      </c>
      <c r="G14161" t="n">
        <v>4.6</v>
      </c>
      <c r="H14161" t="n">
        <v>0</v>
      </c>
      <c r="I14161" t="n">
        <v>0</v>
      </c>
      <c r="J14161" t="n">
        <v>0</v>
      </c>
      <c r="K14161" t="n">
        <v>0</v>
      </c>
      <c r="L14161" t="n">
        <v>0</v>
      </c>
      <c r="M14161" t="n">
        <v>0</v>
      </c>
      <c r="N14161" t="n">
        <v>0</v>
      </c>
      <c r="O14161" t="n">
        <v>0</v>
      </c>
      <c r="P14161" t="n">
        <v>0</v>
      </c>
      <c r="Q14161" t="n">
        <v>0</v>
      </c>
      <c r="R14161" s="2" t="inlineStr"/>
    </row>
    <row r="14162" ht="15" customHeight="1">
      <c r="A14162" t="inlineStr">
        <is>
          <t>A 24765-2024</t>
        </is>
      </c>
      <c r="B14162" s="1" t="n">
        <v>45460.6934837963</v>
      </c>
      <c r="C14162" s="1" t="n">
        <v>45952</v>
      </c>
      <c r="D14162" t="inlineStr">
        <is>
          <t>VÄSTRA GÖTALANDS LÄN</t>
        </is>
      </c>
      <c r="E14162" t="inlineStr">
        <is>
          <t>MARIESTAD</t>
        </is>
      </c>
      <c r="G14162" t="n">
        <v>0.6</v>
      </c>
      <c r="H14162" t="n">
        <v>0</v>
      </c>
      <c r="I14162" t="n">
        <v>0</v>
      </c>
      <c r="J14162" t="n">
        <v>0</v>
      </c>
      <c r="K14162" t="n">
        <v>0</v>
      </c>
      <c r="L14162" t="n">
        <v>0</v>
      </c>
      <c r="M14162" t="n">
        <v>0</v>
      </c>
      <c r="N14162" t="n">
        <v>0</v>
      </c>
      <c r="O14162" t="n">
        <v>0</v>
      </c>
      <c r="P14162" t="n">
        <v>0</v>
      </c>
      <c r="Q14162" t="n">
        <v>0</v>
      </c>
      <c r="R14162" s="2" t="inlineStr"/>
    </row>
    <row r="14163" ht="15" customHeight="1">
      <c r="A14163" t="inlineStr">
        <is>
          <t>A 34105-2024</t>
        </is>
      </c>
      <c r="B14163" s="1" t="n">
        <v>45523.83888888889</v>
      </c>
      <c r="C14163" s="1" t="n">
        <v>45952</v>
      </c>
      <c r="D14163" t="inlineStr">
        <is>
          <t>VÄSTRA GÖTALANDS LÄN</t>
        </is>
      </c>
      <c r="E14163" t="inlineStr">
        <is>
          <t>STENUNGSUND</t>
        </is>
      </c>
      <c r="G14163" t="n">
        <v>2.3</v>
      </c>
      <c r="H14163" t="n">
        <v>0</v>
      </c>
      <c r="I14163" t="n">
        <v>0</v>
      </c>
      <c r="J14163" t="n">
        <v>0</v>
      </c>
      <c r="K14163" t="n">
        <v>0</v>
      </c>
      <c r="L14163" t="n">
        <v>0</v>
      </c>
      <c r="M14163" t="n">
        <v>0</v>
      </c>
      <c r="N14163" t="n">
        <v>0</v>
      </c>
      <c r="O14163" t="n">
        <v>0</v>
      </c>
      <c r="P14163" t="n">
        <v>0</v>
      </c>
      <c r="Q14163" t="n">
        <v>0</v>
      </c>
      <c r="R14163" s="2" t="inlineStr"/>
    </row>
    <row r="14164" ht="15" customHeight="1">
      <c r="A14164" t="inlineStr">
        <is>
          <t>A 34110-2024</t>
        </is>
      </c>
      <c r="B14164" s="1" t="n">
        <v>45524.28465277778</v>
      </c>
      <c r="C14164" s="1" t="n">
        <v>45952</v>
      </c>
      <c r="D14164" t="inlineStr">
        <is>
          <t>VÄSTRA GÖTALANDS LÄN</t>
        </is>
      </c>
      <c r="E14164" t="inlineStr">
        <is>
          <t>UDDEVALLA</t>
        </is>
      </c>
      <c r="G14164" t="n">
        <v>5.7</v>
      </c>
      <c r="H14164" t="n">
        <v>0</v>
      </c>
      <c r="I14164" t="n">
        <v>0</v>
      </c>
      <c r="J14164" t="n">
        <v>0</v>
      </c>
      <c r="K14164" t="n">
        <v>0</v>
      </c>
      <c r="L14164" t="n">
        <v>0</v>
      </c>
      <c r="M14164" t="n">
        <v>0</v>
      </c>
      <c r="N14164" t="n">
        <v>0</v>
      </c>
      <c r="O14164" t="n">
        <v>0</v>
      </c>
      <c r="P14164" t="n">
        <v>0</v>
      </c>
      <c r="Q14164" t="n">
        <v>0</v>
      </c>
      <c r="R14164" s="2" t="inlineStr"/>
    </row>
    <row r="14165" ht="15" customHeight="1">
      <c r="A14165" t="inlineStr">
        <is>
          <t>A 34125-2024</t>
        </is>
      </c>
      <c r="B14165" s="1" t="n">
        <v>45524.31809027777</v>
      </c>
      <c r="C14165" s="1" t="n">
        <v>45952</v>
      </c>
      <c r="D14165" t="inlineStr">
        <is>
          <t>VÄSTRA GÖTALANDS LÄN</t>
        </is>
      </c>
      <c r="E14165" t="inlineStr">
        <is>
          <t>KARLSBORG</t>
        </is>
      </c>
      <c r="F14165" t="inlineStr">
        <is>
          <t>Övriga Aktiebolag</t>
        </is>
      </c>
      <c r="G14165" t="n">
        <v>0.1</v>
      </c>
      <c r="H14165" t="n">
        <v>0</v>
      </c>
      <c r="I14165" t="n">
        <v>0</v>
      </c>
      <c r="J14165" t="n">
        <v>0</v>
      </c>
      <c r="K14165" t="n">
        <v>0</v>
      </c>
      <c r="L14165" t="n">
        <v>0</v>
      </c>
      <c r="M14165" t="n">
        <v>0</v>
      </c>
      <c r="N14165" t="n">
        <v>0</v>
      </c>
      <c r="O14165" t="n">
        <v>0</v>
      </c>
      <c r="P14165" t="n">
        <v>0</v>
      </c>
      <c r="Q14165" t="n">
        <v>0</v>
      </c>
      <c r="R14165" s="2" t="inlineStr"/>
    </row>
    <row r="14166" ht="15" customHeight="1">
      <c r="A14166" t="inlineStr">
        <is>
          <t>A 56829-2023</t>
        </is>
      </c>
      <c r="B14166" s="1" t="n">
        <v>45244.46680555555</v>
      </c>
      <c r="C14166" s="1" t="n">
        <v>45952</v>
      </c>
      <c r="D14166" t="inlineStr">
        <is>
          <t>VÄSTRA GÖTALANDS LÄN</t>
        </is>
      </c>
      <c r="E14166" t="inlineStr">
        <is>
          <t>VÄNERSBORG</t>
        </is>
      </c>
      <c r="G14166" t="n">
        <v>0.6</v>
      </c>
      <c r="H14166" t="n">
        <v>0</v>
      </c>
      <c r="I14166" t="n">
        <v>0</v>
      </c>
      <c r="J14166" t="n">
        <v>0</v>
      </c>
      <c r="K14166" t="n">
        <v>0</v>
      </c>
      <c r="L14166" t="n">
        <v>0</v>
      </c>
      <c r="M14166" t="n">
        <v>0</v>
      </c>
      <c r="N14166" t="n">
        <v>0</v>
      </c>
      <c r="O14166" t="n">
        <v>0</v>
      </c>
      <c r="P14166" t="n">
        <v>0</v>
      </c>
      <c r="Q14166" t="n">
        <v>0</v>
      </c>
      <c r="R14166" s="2" t="inlineStr"/>
    </row>
    <row r="14167" ht="15" customHeight="1">
      <c r="A14167" t="inlineStr">
        <is>
          <t>A 56832-2023</t>
        </is>
      </c>
      <c r="B14167" s="1" t="n">
        <v>45244</v>
      </c>
      <c r="C14167" s="1" t="n">
        <v>45952</v>
      </c>
      <c r="D14167" t="inlineStr">
        <is>
          <t>VÄSTRA GÖTALANDS LÄN</t>
        </is>
      </c>
      <c r="E14167" t="inlineStr">
        <is>
          <t>HÄRRYDA</t>
        </is>
      </c>
      <c r="G14167" t="n">
        <v>4.9</v>
      </c>
      <c r="H14167" t="n">
        <v>0</v>
      </c>
      <c r="I14167" t="n">
        <v>0</v>
      </c>
      <c r="J14167" t="n">
        <v>0</v>
      </c>
      <c r="K14167" t="n">
        <v>0</v>
      </c>
      <c r="L14167" t="n">
        <v>0</v>
      </c>
      <c r="M14167" t="n">
        <v>0</v>
      </c>
      <c r="N14167" t="n">
        <v>0</v>
      </c>
      <c r="O14167" t="n">
        <v>0</v>
      </c>
      <c r="P14167" t="n">
        <v>0</v>
      </c>
      <c r="Q14167" t="n">
        <v>0</v>
      </c>
      <c r="R14167" s="2" t="inlineStr"/>
    </row>
    <row r="14168" ht="15" customHeight="1">
      <c r="A14168" t="inlineStr">
        <is>
          <t>A 52151-2022</t>
        </is>
      </c>
      <c r="B14168" s="1" t="n">
        <v>44873</v>
      </c>
      <c r="C14168" s="1" t="n">
        <v>45952</v>
      </c>
      <c r="D14168" t="inlineStr">
        <is>
          <t>VÄSTRA GÖTALANDS LÄN</t>
        </is>
      </c>
      <c r="E14168" t="inlineStr">
        <is>
          <t>FÄRGELANDA</t>
        </is>
      </c>
      <c r="G14168" t="n">
        <v>7.1</v>
      </c>
      <c r="H14168" t="n">
        <v>0</v>
      </c>
      <c r="I14168" t="n">
        <v>0</v>
      </c>
      <c r="J14168" t="n">
        <v>0</v>
      </c>
      <c r="K14168" t="n">
        <v>0</v>
      </c>
      <c r="L14168" t="n">
        <v>0</v>
      </c>
      <c r="M14168" t="n">
        <v>0</v>
      </c>
      <c r="N14168" t="n">
        <v>0</v>
      </c>
      <c r="O14168" t="n">
        <v>0</v>
      </c>
      <c r="P14168" t="n">
        <v>0</v>
      </c>
      <c r="Q14168" t="n">
        <v>0</v>
      </c>
      <c r="R14168" s="2" t="inlineStr"/>
    </row>
    <row r="14169" ht="15" customHeight="1">
      <c r="A14169" t="inlineStr">
        <is>
          <t>A 64725-2023</t>
        </is>
      </c>
      <c r="B14169" s="1" t="n">
        <v>45281</v>
      </c>
      <c r="C14169" s="1" t="n">
        <v>45952</v>
      </c>
      <c r="D14169" t="inlineStr">
        <is>
          <t>VÄSTRA GÖTALANDS LÄN</t>
        </is>
      </c>
      <c r="E14169" t="inlineStr">
        <is>
          <t>GULLSPÅNG</t>
        </is>
      </c>
      <c r="G14169" t="n">
        <v>2.2</v>
      </c>
      <c r="H14169" t="n">
        <v>0</v>
      </c>
      <c r="I14169" t="n">
        <v>0</v>
      </c>
      <c r="J14169" t="n">
        <v>0</v>
      </c>
      <c r="K14169" t="n">
        <v>0</v>
      </c>
      <c r="L14169" t="n">
        <v>0</v>
      </c>
      <c r="M14169" t="n">
        <v>0</v>
      </c>
      <c r="N14169" t="n">
        <v>0</v>
      </c>
      <c r="O14169" t="n">
        <v>0</v>
      </c>
      <c r="P14169" t="n">
        <v>0</v>
      </c>
      <c r="Q14169" t="n">
        <v>0</v>
      </c>
      <c r="R14169" s="2" t="inlineStr"/>
    </row>
    <row r="14170" ht="15" customHeight="1">
      <c r="A14170" t="inlineStr">
        <is>
          <t>A 34253-2024</t>
        </is>
      </c>
      <c r="B14170" s="1" t="n">
        <v>45524.59075231481</v>
      </c>
      <c r="C14170" s="1" t="n">
        <v>45952</v>
      </c>
      <c r="D14170" t="inlineStr">
        <is>
          <t>VÄSTRA GÖTALANDS LÄN</t>
        </is>
      </c>
      <c r="E14170" t="inlineStr">
        <is>
          <t>MARIESTAD</t>
        </is>
      </c>
      <c r="G14170" t="n">
        <v>1.7</v>
      </c>
      <c r="H14170" t="n">
        <v>0</v>
      </c>
      <c r="I14170" t="n">
        <v>0</v>
      </c>
      <c r="J14170" t="n">
        <v>0</v>
      </c>
      <c r="K14170" t="n">
        <v>0</v>
      </c>
      <c r="L14170" t="n">
        <v>0</v>
      </c>
      <c r="M14170" t="n">
        <v>0</v>
      </c>
      <c r="N14170" t="n">
        <v>0</v>
      </c>
      <c r="O14170" t="n">
        <v>0</v>
      </c>
      <c r="P14170" t="n">
        <v>0</v>
      </c>
      <c r="Q14170" t="n">
        <v>0</v>
      </c>
      <c r="R14170" s="2" t="inlineStr"/>
    </row>
    <row r="14171" ht="15" customHeight="1">
      <c r="A14171" t="inlineStr">
        <is>
          <t>A 64740-2023</t>
        </is>
      </c>
      <c r="B14171" s="1" t="n">
        <v>45281</v>
      </c>
      <c r="C14171" s="1" t="n">
        <v>45952</v>
      </c>
      <c r="D14171" t="inlineStr">
        <is>
          <t>VÄSTRA GÖTALANDS LÄN</t>
        </is>
      </c>
      <c r="E14171" t="inlineStr">
        <is>
          <t>MARK</t>
        </is>
      </c>
      <c r="G14171" t="n">
        <v>1.9</v>
      </c>
      <c r="H14171" t="n">
        <v>0</v>
      </c>
      <c r="I14171" t="n">
        <v>0</v>
      </c>
      <c r="J14171" t="n">
        <v>0</v>
      </c>
      <c r="K14171" t="n">
        <v>0</v>
      </c>
      <c r="L14171" t="n">
        <v>0</v>
      </c>
      <c r="M14171" t="n">
        <v>0</v>
      </c>
      <c r="N14171" t="n">
        <v>0</v>
      </c>
      <c r="O14171" t="n">
        <v>0</v>
      </c>
      <c r="P14171" t="n">
        <v>0</v>
      </c>
      <c r="Q14171" t="n">
        <v>0</v>
      </c>
      <c r="R14171" s="2" t="inlineStr"/>
    </row>
    <row r="14172" ht="15" customHeight="1">
      <c r="A14172" t="inlineStr">
        <is>
          <t>A 64866-2023</t>
        </is>
      </c>
      <c r="B14172" s="1" t="n">
        <v>45282</v>
      </c>
      <c r="C14172" s="1" t="n">
        <v>45952</v>
      </c>
      <c r="D14172" t="inlineStr">
        <is>
          <t>VÄSTRA GÖTALANDS LÄN</t>
        </is>
      </c>
      <c r="E14172" t="inlineStr">
        <is>
          <t>LERUM</t>
        </is>
      </c>
      <c r="G14172" t="n">
        <v>3.3</v>
      </c>
      <c r="H14172" t="n">
        <v>0</v>
      </c>
      <c r="I14172" t="n">
        <v>0</v>
      </c>
      <c r="J14172" t="n">
        <v>0</v>
      </c>
      <c r="K14172" t="n">
        <v>0</v>
      </c>
      <c r="L14172" t="n">
        <v>0</v>
      </c>
      <c r="M14172" t="n">
        <v>0</v>
      </c>
      <c r="N14172" t="n">
        <v>0</v>
      </c>
      <c r="O14172" t="n">
        <v>0</v>
      </c>
      <c r="P14172" t="n">
        <v>0</v>
      </c>
      <c r="Q14172" t="n">
        <v>0</v>
      </c>
      <c r="R14172" s="2" t="inlineStr"/>
    </row>
    <row r="14173" ht="15" customHeight="1">
      <c r="A14173" t="inlineStr">
        <is>
          <t>A 64879-2023</t>
        </is>
      </c>
      <c r="B14173" s="1" t="n">
        <v>45282</v>
      </c>
      <c r="C14173" s="1" t="n">
        <v>45952</v>
      </c>
      <c r="D14173" t="inlineStr">
        <is>
          <t>VÄSTRA GÖTALANDS LÄN</t>
        </is>
      </c>
      <c r="E14173" t="inlineStr">
        <is>
          <t>MUNKEDAL</t>
        </is>
      </c>
      <c r="G14173" t="n">
        <v>2.5</v>
      </c>
      <c r="H14173" t="n">
        <v>0</v>
      </c>
      <c r="I14173" t="n">
        <v>0</v>
      </c>
      <c r="J14173" t="n">
        <v>0</v>
      </c>
      <c r="K14173" t="n">
        <v>0</v>
      </c>
      <c r="L14173" t="n">
        <v>0</v>
      </c>
      <c r="M14173" t="n">
        <v>0</v>
      </c>
      <c r="N14173" t="n">
        <v>0</v>
      </c>
      <c r="O14173" t="n">
        <v>0</v>
      </c>
      <c r="P14173" t="n">
        <v>0</v>
      </c>
      <c r="Q14173" t="n">
        <v>0</v>
      </c>
      <c r="R14173" s="2" t="inlineStr"/>
    </row>
    <row r="14174" ht="15" customHeight="1">
      <c r="A14174" t="inlineStr">
        <is>
          <t>A 217-2022</t>
        </is>
      </c>
      <c r="B14174" s="1" t="n">
        <v>44564.85040509259</v>
      </c>
      <c r="C14174" s="1" t="n">
        <v>45952</v>
      </c>
      <c r="D14174" t="inlineStr">
        <is>
          <t>VÄSTRA GÖTALANDS LÄN</t>
        </is>
      </c>
      <c r="E14174" t="inlineStr">
        <is>
          <t>BORÅS</t>
        </is>
      </c>
      <c r="G14174" t="n">
        <v>1.1</v>
      </c>
      <c r="H14174" t="n">
        <v>0</v>
      </c>
      <c r="I14174" t="n">
        <v>0</v>
      </c>
      <c r="J14174" t="n">
        <v>0</v>
      </c>
      <c r="K14174" t="n">
        <v>0</v>
      </c>
      <c r="L14174" t="n">
        <v>0</v>
      </c>
      <c r="M14174" t="n">
        <v>0</v>
      </c>
      <c r="N14174" t="n">
        <v>0</v>
      </c>
      <c r="O14174" t="n">
        <v>0</v>
      </c>
      <c r="P14174" t="n">
        <v>0</v>
      </c>
      <c r="Q14174" t="n">
        <v>0</v>
      </c>
      <c r="R14174" s="2" t="inlineStr"/>
    </row>
    <row r="14175" ht="15" customHeight="1">
      <c r="A14175" t="inlineStr">
        <is>
          <t>A 4489-2025</t>
        </is>
      </c>
      <c r="B14175" s="1" t="n">
        <v>45686.6608912037</v>
      </c>
      <c r="C14175" s="1" t="n">
        <v>45952</v>
      </c>
      <c r="D14175" t="inlineStr">
        <is>
          <t>VÄSTRA GÖTALANDS LÄN</t>
        </is>
      </c>
      <c r="E14175" t="inlineStr">
        <is>
          <t>DALS-ED</t>
        </is>
      </c>
      <c r="G14175" t="n">
        <v>0.8</v>
      </c>
      <c r="H14175" t="n">
        <v>0</v>
      </c>
      <c r="I14175" t="n">
        <v>0</v>
      </c>
      <c r="J14175" t="n">
        <v>0</v>
      </c>
      <c r="K14175" t="n">
        <v>0</v>
      </c>
      <c r="L14175" t="n">
        <v>0</v>
      </c>
      <c r="M14175" t="n">
        <v>0</v>
      </c>
      <c r="N14175" t="n">
        <v>0</v>
      </c>
      <c r="O14175" t="n">
        <v>0</v>
      </c>
      <c r="P14175" t="n">
        <v>0</v>
      </c>
      <c r="Q14175" t="n">
        <v>0</v>
      </c>
      <c r="R14175" s="2" t="inlineStr"/>
    </row>
    <row r="14176" ht="15" customHeight="1">
      <c r="A14176" t="inlineStr">
        <is>
          <t>A 21331-2023</t>
        </is>
      </c>
      <c r="B14176" s="1" t="n">
        <v>45062</v>
      </c>
      <c r="C14176" s="1" t="n">
        <v>45952</v>
      </c>
      <c r="D14176" t="inlineStr">
        <is>
          <t>VÄSTRA GÖTALANDS LÄN</t>
        </is>
      </c>
      <c r="E14176" t="inlineStr">
        <is>
          <t>BORÅS</t>
        </is>
      </c>
      <c r="G14176" t="n">
        <v>1.2</v>
      </c>
      <c r="H14176" t="n">
        <v>0</v>
      </c>
      <c r="I14176" t="n">
        <v>0</v>
      </c>
      <c r="J14176" t="n">
        <v>0</v>
      </c>
      <c r="K14176" t="n">
        <v>0</v>
      </c>
      <c r="L14176" t="n">
        <v>0</v>
      </c>
      <c r="M14176" t="n">
        <v>0</v>
      </c>
      <c r="N14176" t="n">
        <v>0</v>
      </c>
      <c r="O14176" t="n">
        <v>0</v>
      </c>
      <c r="P14176" t="n">
        <v>0</v>
      </c>
      <c r="Q14176" t="n">
        <v>0</v>
      </c>
      <c r="R14176" s="2" t="inlineStr"/>
    </row>
    <row r="14177" ht="15" customHeight="1">
      <c r="A14177" t="inlineStr">
        <is>
          <t>A 21333-2023</t>
        </is>
      </c>
      <c r="B14177" s="1" t="n">
        <v>45062</v>
      </c>
      <c r="C14177" s="1" t="n">
        <v>45952</v>
      </c>
      <c r="D14177" t="inlineStr">
        <is>
          <t>VÄSTRA GÖTALANDS LÄN</t>
        </is>
      </c>
      <c r="E14177" t="inlineStr">
        <is>
          <t>BORÅS</t>
        </is>
      </c>
      <c r="G14177" t="n">
        <v>0.7</v>
      </c>
      <c r="H14177" t="n">
        <v>0</v>
      </c>
      <c r="I14177" t="n">
        <v>0</v>
      </c>
      <c r="J14177" t="n">
        <v>0</v>
      </c>
      <c r="K14177" t="n">
        <v>0</v>
      </c>
      <c r="L14177" t="n">
        <v>0</v>
      </c>
      <c r="M14177" t="n">
        <v>0</v>
      </c>
      <c r="N14177" t="n">
        <v>0</v>
      </c>
      <c r="O14177" t="n">
        <v>0</v>
      </c>
      <c r="P14177" t="n">
        <v>0</v>
      </c>
      <c r="Q14177" t="n">
        <v>0</v>
      </c>
      <c r="R14177" s="2" t="inlineStr"/>
    </row>
    <row r="14178" ht="15" customHeight="1">
      <c r="A14178" t="inlineStr">
        <is>
          <t>A 60351-2023</t>
        </is>
      </c>
      <c r="B14178" s="1" t="n">
        <v>45259.35402777778</v>
      </c>
      <c r="C14178" s="1" t="n">
        <v>45952</v>
      </c>
      <c r="D14178" t="inlineStr">
        <is>
          <t>VÄSTRA GÖTALANDS LÄN</t>
        </is>
      </c>
      <c r="E14178" t="inlineStr">
        <is>
          <t>TANUM</t>
        </is>
      </c>
      <c r="G14178" t="n">
        <v>1.1</v>
      </c>
      <c r="H14178" t="n">
        <v>0</v>
      </c>
      <c r="I14178" t="n">
        <v>0</v>
      </c>
      <c r="J14178" t="n">
        <v>0</v>
      </c>
      <c r="K14178" t="n">
        <v>0</v>
      </c>
      <c r="L14178" t="n">
        <v>0</v>
      </c>
      <c r="M14178" t="n">
        <v>0</v>
      </c>
      <c r="N14178" t="n">
        <v>0</v>
      </c>
      <c r="O14178" t="n">
        <v>0</v>
      </c>
      <c r="P14178" t="n">
        <v>0</v>
      </c>
      <c r="Q14178" t="n">
        <v>0</v>
      </c>
      <c r="R14178" s="2" t="inlineStr"/>
    </row>
    <row r="14179" ht="15" customHeight="1">
      <c r="A14179" t="inlineStr">
        <is>
          <t>A 10095-2022</t>
        </is>
      </c>
      <c r="B14179" s="1" t="n">
        <v>44621.69106481481</v>
      </c>
      <c r="C14179" s="1" t="n">
        <v>45952</v>
      </c>
      <c r="D14179" t="inlineStr">
        <is>
          <t>VÄSTRA GÖTALANDS LÄN</t>
        </is>
      </c>
      <c r="E14179" t="inlineStr">
        <is>
          <t>DALS-ED</t>
        </is>
      </c>
      <c r="F14179" t="inlineStr">
        <is>
          <t>Övriga Aktiebolag</t>
        </is>
      </c>
      <c r="G14179" t="n">
        <v>1</v>
      </c>
      <c r="H14179" t="n">
        <v>0</v>
      </c>
      <c r="I14179" t="n">
        <v>0</v>
      </c>
      <c r="J14179" t="n">
        <v>0</v>
      </c>
      <c r="K14179" t="n">
        <v>0</v>
      </c>
      <c r="L14179" t="n">
        <v>0</v>
      </c>
      <c r="M14179" t="n">
        <v>0</v>
      </c>
      <c r="N14179" t="n">
        <v>0</v>
      </c>
      <c r="O14179" t="n">
        <v>0</v>
      </c>
      <c r="P14179" t="n">
        <v>0</v>
      </c>
      <c r="Q14179" t="n">
        <v>0</v>
      </c>
      <c r="R14179" s="2" t="inlineStr"/>
    </row>
    <row r="14180" ht="15" customHeight="1">
      <c r="A14180" t="inlineStr">
        <is>
          <t>A 50956-2023</t>
        </is>
      </c>
      <c r="B14180" s="1" t="n">
        <v>45218.48113425926</v>
      </c>
      <c r="C14180" s="1" t="n">
        <v>45952</v>
      </c>
      <c r="D14180" t="inlineStr">
        <is>
          <t>VÄSTRA GÖTALANDS LÄN</t>
        </is>
      </c>
      <c r="E14180" t="inlineStr">
        <is>
          <t>BENGTSFORS</t>
        </is>
      </c>
      <c r="G14180" t="n">
        <v>6.7</v>
      </c>
      <c r="H14180" t="n">
        <v>0</v>
      </c>
      <c r="I14180" t="n">
        <v>0</v>
      </c>
      <c r="J14180" t="n">
        <v>0</v>
      </c>
      <c r="K14180" t="n">
        <v>0</v>
      </c>
      <c r="L14180" t="n">
        <v>0</v>
      </c>
      <c r="M14180" t="n">
        <v>0</v>
      </c>
      <c r="N14180" t="n">
        <v>0</v>
      </c>
      <c r="O14180" t="n">
        <v>0</v>
      </c>
      <c r="P14180" t="n">
        <v>0</v>
      </c>
      <c r="Q14180" t="n">
        <v>0</v>
      </c>
      <c r="R14180" s="2" t="inlineStr"/>
    </row>
    <row r="14181" ht="15" customHeight="1">
      <c r="A14181" t="inlineStr">
        <is>
          <t>A 36231-2023</t>
        </is>
      </c>
      <c r="B14181" s="1" t="n">
        <v>45150.39050925926</v>
      </c>
      <c r="C14181" s="1" t="n">
        <v>45952</v>
      </c>
      <c r="D14181" t="inlineStr">
        <is>
          <t>VÄSTRA GÖTALANDS LÄN</t>
        </is>
      </c>
      <c r="E14181" t="inlineStr">
        <is>
          <t>DALS-ED</t>
        </is>
      </c>
      <c r="G14181" t="n">
        <v>0.4</v>
      </c>
      <c r="H14181" t="n">
        <v>0</v>
      </c>
      <c r="I14181" t="n">
        <v>0</v>
      </c>
      <c r="J14181" t="n">
        <v>0</v>
      </c>
      <c r="K14181" t="n">
        <v>0</v>
      </c>
      <c r="L14181" t="n">
        <v>0</v>
      </c>
      <c r="M14181" t="n">
        <v>0</v>
      </c>
      <c r="N14181" t="n">
        <v>0</v>
      </c>
      <c r="O14181" t="n">
        <v>0</v>
      </c>
      <c r="P14181" t="n">
        <v>0</v>
      </c>
      <c r="Q14181" t="n">
        <v>0</v>
      </c>
      <c r="R14181" s="2" t="inlineStr"/>
    </row>
    <row r="14182" ht="15" customHeight="1">
      <c r="A14182" t="inlineStr">
        <is>
          <t>A 21618-2024</t>
        </is>
      </c>
      <c r="B14182" s="1" t="n">
        <v>45442</v>
      </c>
      <c r="C14182" s="1" t="n">
        <v>45952</v>
      </c>
      <c r="D14182" t="inlineStr">
        <is>
          <t>VÄSTRA GÖTALANDS LÄN</t>
        </is>
      </c>
      <c r="E14182" t="inlineStr">
        <is>
          <t>MELLERUD</t>
        </is>
      </c>
      <c r="G14182" t="n">
        <v>1</v>
      </c>
      <c r="H14182" t="n">
        <v>0</v>
      </c>
      <c r="I14182" t="n">
        <v>0</v>
      </c>
      <c r="J14182" t="n">
        <v>0</v>
      </c>
      <c r="K14182" t="n">
        <v>0</v>
      </c>
      <c r="L14182" t="n">
        <v>0</v>
      </c>
      <c r="M14182" t="n">
        <v>0</v>
      </c>
      <c r="N14182" t="n">
        <v>0</v>
      </c>
      <c r="O14182" t="n">
        <v>0</v>
      </c>
      <c r="P14182" t="n">
        <v>0</v>
      </c>
      <c r="Q14182" t="n">
        <v>0</v>
      </c>
      <c r="R14182" s="2" t="inlineStr"/>
    </row>
    <row r="14183" ht="15" customHeight="1">
      <c r="A14183" t="inlineStr">
        <is>
          <t>A 21620-2024</t>
        </is>
      </c>
      <c r="B14183" s="1" t="n">
        <v>45442</v>
      </c>
      <c r="C14183" s="1" t="n">
        <v>45952</v>
      </c>
      <c r="D14183" t="inlineStr">
        <is>
          <t>VÄSTRA GÖTALANDS LÄN</t>
        </is>
      </c>
      <c r="E14183" t="inlineStr">
        <is>
          <t>MELLERUD</t>
        </is>
      </c>
      <c r="G14183" t="n">
        <v>1.1</v>
      </c>
      <c r="H14183" t="n">
        <v>0</v>
      </c>
      <c r="I14183" t="n">
        <v>0</v>
      </c>
      <c r="J14183" t="n">
        <v>0</v>
      </c>
      <c r="K14183" t="n">
        <v>0</v>
      </c>
      <c r="L14183" t="n">
        <v>0</v>
      </c>
      <c r="M14183" t="n">
        <v>0</v>
      </c>
      <c r="N14183" t="n">
        <v>0</v>
      </c>
      <c r="O14183" t="n">
        <v>0</v>
      </c>
      <c r="P14183" t="n">
        <v>0</v>
      </c>
      <c r="Q14183" t="n">
        <v>0</v>
      </c>
      <c r="R14183" s="2" t="inlineStr"/>
    </row>
    <row r="14184" ht="15" customHeight="1">
      <c r="A14184" t="inlineStr">
        <is>
          <t>A 7347-2023</t>
        </is>
      </c>
      <c r="B14184" s="1" t="n">
        <v>44971</v>
      </c>
      <c r="C14184" s="1" t="n">
        <v>45952</v>
      </c>
      <c r="D14184" t="inlineStr">
        <is>
          <t>VÄSTRA GÖTALANDS LÄN</t>
        </is>
      </c>
      <c r="E14184" t="inlineStr">
        <is>
          <t>ULRICEHAMN</t>
        </is>
      </c>
      <c r="G14184" t="n">
        <v>0.6</v>
      </c>
      <c r="H14184" t="n">
        <v>0</v>
      </c>
      <c r="I14184" t="n">
        <v>0</v>
      </c>
      <c r="J14184" t="n">
        <v>0</v>
      </c>
      <c r="K14184" t="n">
        <v>0</v>
      </c>
      <c r="L14184" t="n">
        <v>0</v>
      </c>
      <c r="M14184" t="n">
        <v>0</v>
      </c>
      <c r="N14184" t="n">
        <v>0</v>
      </c>
      <c r="O14184" t="n">
        <v>0</v>
      </c>
      <c r="P14184" t="n">
        <v>0</v>
      </c>
      <c r="Q14184" t="n">
        <v>0</v>
      </c>
      <c r="R14184" s="2" t="inlineStr"/>
    </row>
    <row r="14185" ht="15" customHeight="1">
      <c r="A14185" t="inlineStr">
        <is>
          <t>A 21149-2024</t>
        </is>
      </c>
      <c r="B14185" s="1" t="n">
        <v>45440.4031712963</v>
      </c>
      <c r="C14185" s="1" t="n">
        <v>45952</v>
      </c>
      <c r="D14185" t="inlineStr">
        <is>
          <t>VÄSTRA GÖTALANDS LÄN</t>
        </is>
      </c>
      <c r="E14185" t="inlineStr">
        <is>
          <t>BENGTSFORS</t>
        </is>
      </c>
      <c r="G14185" t="n">
        <v>1.9</v>
      </c>
      <c r="H14185" t="n">
        <v>0</v>
      </c>
      <c r="I14185" t="n">
        <v>0</v>
      </c>
      <c r="J14185" t="n">
        <v>0</v>
      </c>
      <c r="K14185" t="n">
        <v>0</v>
      </c>
      <c r="L14185" t="n">
        <v>0</v>
      </c>
      <c r="M14185" t="n">
        <v>0</v>
      </c>
      <c r="N14185" t="n">
        <v>0</v>
      </c>
      <c r="O14185" t="n">
        <v>0</v>
      </c>
      <c r="P14185" t="n">
        <v>0</v>
      </c>
      <c r="Q14185" t="n">
        <v>0</v>
      </c>
      <c r="R14185" s="2" t="inlineStr"/>
    </row>
    <row r="14186" ht="15" customHeight="1">
      <c r="A14186" t="inlineStr">
        <is>
          <t>A 9251-2024</t>
        </is>
      </c>
      <c r="B14186" s="1" t="n">
        <v>45358.59503472222</v>
      </c>
      <c r="C14186" s="1" t="n">
        <v>45952</v>
      </c>
      <c r="D14186" t="inlineStr">
        <is>
          <t>VÄSTRA GÖTALANDS LÄN</t>
        </is>
      </c>
      <c r="E14186" t="inlineStr">
        <is>
          <t>MARK</t>
        </is>
      </c>
      <c r="G14186" t="n">
        <v>0.4</v>
      </c>
      <c r="H14186" t="n">
        <v>0</v>
      </c>
      <c r="I14186" t="n">
        <v>0</v>
      </c>
      <c r="J14186" t="n">
        <v>0</v>
      </c>
      <c r="K14186" t="n">
        <v>0</v>
      </c>
      <c r="L14186" t="n">
        <v>0</v>
      </c>
      <c r="M14186" t="n">
        <v>0</v>
      </c>
      <c r="N14186" t="n">
        <v>0</v>
      </c>
      <c r="O14186" t="n">
        <v>0</v>
      </c>
      <c r="P14186" t="n">
        <v>0</v>
      </c>
      <c r="Q14186" t="n">
        <v>0</v>
      </c>
      <c r="R14186" s="2" t="inlineStr"/>
    </row>
    <row r="14187" ht="15" customHeight="1">
      <c r="A14187" t="inlineStr">
        <is>
          <t>A 13661-2025</t>
        </is>
      </c>
      <c r="B14187" s="1" t="n">
        <v>45736</v>
      </c>
      <c r="C14187" s="1" t="n">
        <v>45952</v>
      </c>
      <c r="D14187" t="inlineStr">
        <is>
          <t>VÄSTRA GÖTALANDS LÄN</t>
        </is>
      </c>
      <c r="E14187" t="inlineStr">
        <is>
          <t>MUNKEDAL</t>
        </is>
      </c>
      <c r="F14187" t="inlineStr">
        <is>
          <t>Övriga Aktiebolag</t>
        </is>
      </c>
      <c r="G14187" t="n">
        <v>2.7</v>
      </c>
      <c r="H14187" t="n">
        <v>0</v>
      </c>
      <c r="I14187" t="n">
        <v>0</v>
      </c>
      <c r="J14187" t="n">
        <v>0</v>
      </c>
      <c r="K14187" t="n">
        <v>0</v>
      </c>
      <c r="L14187" t="n">
        <v>0</v>
      </c>
      <c r="M14187" t="n">
        <v>0</v>
      </c>
      <c r="N14187" t="n">
        <v>0</v>
      </c>
      <c r="O14187" t="n">
        <v>0</v>
      </c>
      <c r="P14187" t="n">
        <v>0</v>
      </c>
      <c r="Q14187" t="n">
        <v>0</v>
      </c>
      <c r="R14187" s="2" t="inlineStr"/>
    </row>
    <row r="14188" ht="15" customHeight="1">
      <c r="A14188" t="inlineStr">
        <is>
          <t>A 13668-2025</t>
        </is>
      </c>
      <c r="B14188" s="1" t="n">
        <v>45736.85403935185</v>
      </c>
      <c r="C14188" s="1" t="n">
        <v>45952</v>
      </c>
      <c r="D14188" t="inlineStr">
        <is>
          <t>VÄSTRA GÖTALANDS LÄN</t>
        </is>
      </c>
      <c r="E14188" t="inlineStr">
        <is>
          <t>TRANEMO</t>
        </is>
      </c>
      <c r="G14188" t="n">
        <v>11.4</v>
      </c>
      <c r="H14188" t="n">
        <v>0</v>
      </c>
      <c r="I14188" t="n">
        <v>0</v>
      </c>
      <c r="J14188" t="n">
        <v>0</v>
      </c>
      <c r="K14188" t="n">
        <v>0</v>
      </c>
      <c r="L14188" t="n">
        <v>0</v>
      </c>
      <c r="M14188" t="n">
        <v>0</v>
      </c>
      <c r="N14188" t="n">
        <v>0</v>
      </c>
      <c r="O14188" t="n">
        <v>0</v>
      </c>
      <c r="P14188" t="n">
        <v>0</v>
      </c>
      <c r="Q14188" t="n">
        <v>0</v>
      </c>
      <c r="R14188" s="2" t="inlineStr"/>
    </row>
    <row r="14189" ht="15" customHeight="1">
      <c r="A14189" t="inlineStr">
        <is>
          <t>A 55794-2023</t>
        </is>
      </c>
      <c r="B14189" s="1" t="n">
        <v>45239.54755787037</v>
      </c>
      <c r="C14189" s="1" t="n">
        <v>45952</v>
      </c>
      <c r="D14189" t="inlineStr">
        <is>
          <t>VÄSTRA GÖTALANDS LÄN</t>
        </is>
      </c>
      <c r="E14189" t="inlineStr">
        <is>
          <t>VÄNERSBORG</t>
        </is>
      </c>
      <c r="G14189" t="n">
        <v>1.9</v>
      </c>
      <c r="H14189" t="n">
        <v>0</v>
      </c>
      <c r="I14189" t="n">
        <v>0</v>
      </c>
      <c r="J14189" t="n">
        <v>0</v>
      </c>
      <c r="K14189" t="n">
        <v>0</v>
      </c>
      <c r="L14189" t="n">
        <v>0</v>
      </c>
      <c r="M14189" t="n">
        <v>0</v>
      </c>
      <c r="N14189" t="n">
        <v>0</v>
      </c>
      <c r="O14189" t="n">
        <v>0</v>
      </c>
      <c r="P14189" t="n">
        <v>0</v>
      </c>
      <c r="Q14189" t="n">
        <v>0</v>
      </c>
      <c r="R14189" s="2" t="inlineStr"/>
    </row>
    <row r="14190" ht="15" customHeight="1">
      <c r="A14190" t="inlineStr">
        <is>
          <t>A 63834-2023</t>
        </is>
      </c>
      <c r="B14190" s="1" t="n">
        <v>45278</v>
      </c>
      <c r="C14190" s="1" t="n">
        <v>45952</v>
      </c>
      <c r="D14190" t="inlineStr">
        <is>
          <t>VÄSTRA GÖTALANDS LÄN</t>
        </is>
      </c>
      <c r="E14190" t="inlineStr">
        <is>
          <t>TANUM</t>
        </is>
      </c>
      <c r="G14190" t="n">
        <v>5.3</v>
      </c>
      <c r="H14190" t="n">
        <v>0</v>
      </c>
      <c r="I14190" t="n">
        <v>0</v>
      </c>
      <c r="J14190" t="n">
        <v>0</v>
      </c>
      <c r="K14190" t="n">
        <v>0</v>
      </c>
      <c r="L14190" t="n">
        <v>0</v>
      </c>
      <c r="M14190" t="n">
        <v>0</v>
      </c>
      <c r="N14190" t="n">
        <v>0</v>
      </c>
      <c r="O14190" t="n">
        <v>0</v>
      </c>
      <c r="P14190" t="n">
        <v>0</v>
      </c>
      <c r="Q14190" t="n">
        <v>0</v>
      </c>
      <c r="R14190" s="2" t="inlineStr"/>
    </row>
    <row r="14191" ht="15" customHeight="1">
      <c r="A14191" t="inlineStr">
        <is>
          <t>A 12091-2024</t>
        </is>
      </c>
      <c r="B14191" s="1" t="n">
        <v>45377.56653935185</v>
      </c>
      <c r="C14191" s="1" t="n">
        <v>45952</v>
      </c>
      <c r="D14191" t="inlineStr">
        <is>
          <t>VÄSTRA GÖTALANDS LÄN</t>
        </is>
      </c>
      <c r="E14191" t="inlineStr">
        <is>
          <t>HÄRRYDA</t>
        </is>
      </c>
      <c r="G14191" t="n">
        <v>1.5</v>
      </c>
      <c r="H14191" t="n">
        <v>0</v>
      </c>
      <c r="I14191" t="n">
        <v>0</v>
      </c>
      <c r="J14191" t="n">
        <v>0</v>
      </c>
      <c r="K14191" t="n">
        <v>0</v>
      </c>
      <c r="L14191" t="n">
        <v>0</v>
      </c>
      <c r="M14191" t="n">
        <v>0</v>
      </c>
      <c r="N14191" t="n">
        <v>0</v>
      </c>
      <c r="O14191" t="n">
        <v>0</v>
      </c>
      <c r="P14191" t="n">
        <v>0</v>
      </c>
      <c r="Q14191" t="n">
        <v>0</v>
      </c>
      <c r="R14191" s="2" t="inlineStr"/>
    </row>
    <row r="14192" ht="15" customHeight="1">
      <c r="A14192" t="inlineStr">
        <is>
          <t>A 33899-2023</t>
        </is>
      </c>
      <c r="B14192" s="1" t="n">
        <v>45134.37305555555</v>
      </c>
      <c r="C14192" s="1" t="n">
        <v>45952</v>
      </c>
      <c r="D14192" t="inlineStr">
        <is>
          <t>VÄSTRA GÖTALANDS LÄN</t>
        </is>
      </c>
      <c r="E14192" t="inlineStr">
        <is>
          <t>MARK</t>
        </is>
      </c>
      <c r="G14192" t="n">
        <v>1.2</v>
      </c>
      <c r="H14192" t="n">
        <v>0</v>
      </c>
      <c r="I14192" t="n">
        <v>0</v>
      </c>
      <c r="J14192" t="n">
        <v>0</v>
      </c>
      <c r="K14192" t="n">
        <v>0</v>
      </c>
      <c r="L14192" t="n">
        <v>0</v>
      </c>
      <c r="M14192" t="n">
        <v>0</v>
      </c>
      <c r="N14192" t="n">
        <v>0</v>
      </c>
      <c r="O14192" t="n">
        <v>0</v>
      </c>
      <c r="P14192" t="n">
        <v>0</v>
      </c>
      <c r="Q14192" t="n">
        <v>0</v>
      </c>
      <c r="R14192" s="2" t="inlineStr"/>
    </row>
    <row r="14193" ht="15" customHeight="1">
      <c r="A14193" t="inlineStr">
        <is>
          <t>A 48196-2022</t>
        </is>
      </c>
      <c r="B14193" s="1" t="n">
        <v>44858</v>
      </c>
      <c r="C14193" s="1" t="n">
        <v>45952</v>
      </c>
      <c r="D14193" t="inlineStr">
        <is>
          <t>VÄSTRA GÖTALANDS LÄN</t>
        </is>
      </c>
      <c r="E14193" t="inlineStr">
        <is>
          <t>ULRICEHAMN</t>
        </is>
      </c>
      <c r="G14193" t="n">
        <v>4.3</v>
      </c>
      <c r="H14193" t="n">
        <v>0</v>
      </c>
      <c r="I14193" t="n">
        <v>0</v>
      </c>
      <c r="J14193" t="n">
        <v>0</v>
      </c>
      <c r="K14193" t="n">
        <v>0</v>
      </c>
      <c r="L14193" t="n">
        <v>0</v>
      </c>
      <c r="M14193" t="n">
        <v>0</v>
      </c>
      <c r="N14193" t="n">
        <v>0</v>
      </c>
      <c r="O14193" t="n">
        <v>0</v>
      </c>
      <c r="P14193" t="n">
        <v>0</v>
      </c>
      <c r="Q14193" t="n">
        <v>0</v>
      </c>
      <c r="R14193" s="2" t="inlineStr"/>
    </row>
    <row r="14194" ht="15" customHeight="1">
      <c r="A14194" t="inlineStr">
        <is>
          <t>A 48281-2022</t>
        </is>
      </c>
      <c r="B14194" s="1" t="n">
        <v>44858.49765046296</v>
      </c>
      <c r="C14194" s="1" t="n">
        <v>45952</v>
      </c>
      <c r="D14194" t="inlineStr">
        <is>
          <t>VÄSTRA GÖTALANDS LÄN</t>
        </is>
      </c>
      <c r="E14194" t="inlineStr">
        <is>
          <t>DALS-ED</t>
        </is>
      </c>
      <c r="G14194" t="n">
        <v>0.7</v>
      </c>
      <c r="H14194" t="n">
        <v>0</v>
      </c>
      <c r="I14194" t="n">
        <v>0</v>
      </c>
      <c r="J14194" t="n">
        <v>0</v>
      </c>
      <c r="K14194" t="n">
        <v>0</v>
      </c>
      <c r="L14194" t="n">
        <v>0</v>
      </c>
      <c r="M14194" t="n">
        <v>0</v>
      </c>
      <c r="N14194" t="n">
        <v>0</v>
      </c>
      <c r="O14194" t="n">
        <v>0</v>
      </c>
      <c r="P14194" t="n">
        <v>0</v>
      </c>
      <c r="Q14194" t="n">
        <v>0</v>
      </c>
      <c r="R14194" s="2" t="inlineStr"/>
    </row>
    <row r="14195" ht="15" customHeight="1">
      <c r="A14195" t="inlineStr">
        <is>
          <t>A 42357-2023</t>
        </is>
      </c>
      <c r="B14195" s="1" t="n">
        <v>45180</v>
      </c>
      <c r="C14195" s="1" t="n">
        <v>45952</v>
      </c>
      <c r="D14195" t="inlineStr">
        <is>
          <t>VÄSTRA GÖTALANDS LÄN</t>
        </is>
      </c>
      <c r="E14195" t="inlineStr">
        <is>
          <t>SVENLJUNGA</t>
        </is>
      </c>
      <c r="G14195" t="n">
        <v>17.5</v>
      </c>
      <c r="H14195" t="n">
        <v>0</v>
      </c>
      <c r="I14195" t="n">
        <v>0</v>
      </c>
      <c r="J14195" t="n">
        <v>0</v>
      </c>
      <c r="K14195" t="n">
        <v>0</v>
      </c>
      <c r="L14195" t="n">
        <v>0</v>
      </c>
      <c r="M14195" t="n">
        <v>0</v>
      </c>
      <c r="N14195" t="n">
        <v>0</v>
      </c>
      <c r="O14195" t="n">
        <v>0</v>
      </c>
      <c r="P14195" t="n">
        <v>0</v>
      </c>
      <c r="Q14195" t="n">
        <v>0</v>
      </c>
      <c r="R14195" s="2" t="inlineStr"/>
    </row>
    <row r="14196" ht="15" customHeight="1">
      <c r="A14196" t="inlineStr">
        <is>
          <t>A 13441-2024</t>
        </is>
      </c>
      <c r="B14196" s="1" t="n">
        <v>45387</v>
      </c>
      <c r="C14196" s="1" t="n">
        <v>45952</v>
      </c>
      <c r="D14196" t="inlineStr">
        <is>
          <t>VÄSTRA GÖTALANDS LÄN</t>
        </is>
      </c>
      <c r="E14196" t="inlineStr">
        <is>
          <t>LIDKÖPING</t>
        </is>
      </c>
      <c r="F14196" t="inlineStr">
        <is>
          <t>Kyrkan</t>
        </is>
      </c>
      <c r="G14196" t="n">
        <v>1.4</v>
      </c>
      <c r="H14196" t="n">
        <v>0</v>
      </c>
      <c r="I14196" t="n">
        <v>0</v>
      </c>
      <c r="J14196" t="n">
        <v>0</v>
      </c>
      <c r="K14196" t="n">
        <v>0</v>
      </c>
      <c r="L14196" t="n">
        <v>0</v>
      </c>
      <c r="M14196" t="n">
        <v>0</v>
      </c>
      <c r="N14196" t="n">
        <v>0</v>
      </c>
      <c r="O14196" t="n">
        <v>0</v>
      </c>
      <c r="P14196" t="n">
        <v>0</v>
      </c>
      <c r="Q14196" t="n">
        <v>0</v>
      </c>
      <c r="R14196" s="2" t="inlineStr"/>
    </row>
    <row r="14197" ht="15" customHeight="1">
      <c r="A14197" t="inlineStr">
        <is>
          <t>A 4049-2025</t>
        </is>
      </c>
      <c r="B14197" s="1" t="n">
        <v>45684.60918981482</v>
      </c>
      <c r="C14197" s="1" t="n">
        <v>45952</v>
      </c>
      <c r="D14197" t="inlineStr">
        <is>
          <t>VÄSTRA GÖTALANDS LÄN</t>
        </is>
      </c>
      <c r="E14197" t="inlineStr">
        <is>
          <t>MUNKEDAL</t>
        </is>
      </c>
      <c r="F14197" t="inlineStr">
        <is>
          <t>Kommuner</t>
        </is>
      </c>
      <c r="G14197" t="n">
        <v>0.5</v>
      </c>
      <c r="H14197" t="n">
        <v>0</v>
      </c>
      <c r="I14197" t="n">
        <v>0</v>
      </c>
      <c r="J14197" t="n">
        <v>0</v>
      </c>
      <c r="K14197" t="n">
        <v>0</v>
      </c>
      <c r="L14197" t="n">
        <v>0</v>
      </c>
      <c r="M14197" t="n">
        <v>0</v>
      </c>
      <c r="N14197" t="n">
        <v>0</v>
      </c>
      <c r="O14197" t="n">
        <v>0</v>
      </c>
      <c r="P14197" t="n">
        <v>0</v>
      </c>
      <c r="Q14197" t="n">
        <v>0</v>
      </c>
      <c r="R14197" s="2" t="inlineStr"/>
    </row>
    <row r="14198" ht="15" customHeight="1">
      <c r="A14198" t="inlineStr">
        <is>
          <t>A 4052-2025</t>
        </is>
      </c>
      <c r="B14198" s="1" t="n">
        <v>45684.61820601852</v>
      </c>
      <c r="C14198" s="1" t="n">
        <v>45952</v>
      </c>
      <c r="D14198" t="inlineStr">
        <is>
          <t>VÄSTRA GÖTALANDS LÄN</t>
        </is>
      </c>
      <c r="E14198" t="inlineStr">
        <is>
          <t>TIDAHOLM</t>
        </is>
      </c>
      <c r="G14198" t="n">
        <v>1.4</v>
      </c>
      <c r="H14198" t="n">
        <v>0</v>
      </c>
      <c r="I14198" t="n">
        <v>0</v>
      </c>
      <c r="J14198" t="n">
        <v>0</v>
      </c>
      <c r="K14198" t="n">
        <v>0</v>
      </c>
      <c r="L14198" t="n">
        <v>0</v>
      </c>
      <c r="M14198" t="n">
        <v>0</v>
      </c>
      <c r="N14198" t="n">
        <v>0</v>
      </c>
      <c r="O14198" t="n">
        <v>0</v>
      </c>
      <c r="P14198" t="n">
        <v>0</v>
      </c>
      <c r="Q14198" t="n">
        <v>0</v>
      </c>
      <c r="R14198" s="2" t="inlineStr"/>
    </row>
    <row r="14199" ht="15" customHeight="1">
      <c r="A14199" t="inlineStr">
        <is>
          <t>A 3495-2023</t>
        </is>
      </c>
      <c r="B14199" s="1" t="n">
        <v>44949</v>
      </c>
      <c r="C14199" s="1" t="n">
        <v>45952</v>
      </c>
      <c r="D14199" t="inlineStr">
        <is>
          <t>VÄSTRA GÖTALANDS LÄN</t>
        </is>
      </c>
      <c r="E14199" t="inlineStr">
        <is>
          <t>ALINGSÅS</t>
        </is>
      </c>
      <c r="G14199" t="n">
        <v>3.8</v>
      </c>
      <c r="H14199" t="n">
        <v>0</v>
      </c>
      <c r="I14199" t="n">
        <v>0</v>
      </c>
      <c r="J14199" t="n">
        <v>0</v>
      </c>
      <c r="K14199" t="n">
        <v>0</v>
      </c>
      <c r="L14199" t="n">
        <v>0</v>
      </c>
      <c r="M14199" t="n">
        <v>0</v>
      </c>
      <c r="N14199" t="n">
        <v>0</v>
      </c>
      <c r="O14199" t="n">
        <v>0</v>
      </c>
      <c r="P14199" t="n">
        <v>0</v>
      </c>
      <c r="Q14199" t="n">
        <v>0</v>
      </c>
      <c r="R14199" s="2" t="inlineStr"/>
    </row>
    <row r="14200" ht="15" customHeight="1">
      <c r="A14200" t="inlineStr">
        <is>
          <t>A 28285-2023</t>
        </is>
      </c>
      <c r="B14200" s="1" t="n">
        <v>45099.63011574074</v>
      </c>
      <c r="C14200" s="1" t="n">
        <v>45952</v>
      </c>
      <c r="D14200" t="inlineStr">
        <is>
          <t>VÄSTRA GÖTALANDS LÄN</t>
        </is>
      </c>
      <c r="E14200" t="inlineStr">
        <is>
          <t>MARK</t>
        </is>
      </c>
      <c r="G14200" t="n">
        <v>4.2</v>
      </c>
      <c r="H14200" t="n">
        <v>0</v>
      </c>
      <c r="I14200" t="n">
        <v>0</v>
      </c>
      <c r="J14200" t="n">
        <v>0</v>
      </c>
      <c r="K14200" t="n">
        <v>0</v>
      </c>
      <c r="L14200" t="n">
        <v>0</v>
      </c>
      <c r="M14200" t="n">
        <v>0</v>
      </c>
      <c r="N14200" t="n">
        <v>0</v>
      </c>
      <c r="O14200" t="n">
        <v>0</v>
      </c>
      <c r="P14200" t="n">
        <v>0</v>
      </c>
      <c r="Q14200" t="n">
        <v>0</v>
      </c>
      <c r="R14200" s="2" t="inlineStr"/>
    </row>
    <row r="14201" ht="15" customHeight="1">
      <c r="A14201" t="inlineStr">
        <is>
          <t>A 11173-2021</t>
        </is>
      </c>
      <c r="B14201" s="1" t="n">
        <v>44262.82746527778</v>
      </c>
      <c r="C14201" s="1" t="n">
        <v>45952</v>
      </c>
      <c r="D14201" t="inlineStr">
        <is>
          <t>VÄSTRA GÖTALANDS LÄN</t>
        </is>
      </c>
      <c r="E14201" t="inlineStr">
        <is>
          <t>TIDAHOLM</t>
        </is>
      </c>
      <c r="G14201" t="n">
        <v>0.6</v>
      </c>
      <c r="H14201" t="n">
        <v>0</v>
      </c>
      <c r="I14201" t="n">
        <v>0</v>
      </c>
      <c r="J14201" t="n">
        <v>0</v>
      </c>
      <c r="K14201" t="n">
        <v>0</v>
      </c>
      <c r="L14201" t="n">
        <v>0</v>
      </c>
      <c r="M14201" t="n">
        <v>0</v>
      </c>
      <c r="N14201" t="n">
        <v>0</v>
      </c>
      <c r="O14201" t="n">
        <v>0</v>
      </c>
      <c r="P14201" t="n">
        <v>0</v>
      </c>
      <c r="Q14201" t="n">
        <v>0</v>
      </c>
      <c r="R14201" s="2" t="inlineStr"/>
    </row>
    <row r="14202" ht="15" customHeight="1">
      <c r="A14202" t="inlineStr">
        <is>
          <t>A 28175-2024</t>
        </is>
      </c>
      <c r="B14202" s="1" t="n">
        <v>45476.96253472222</v>
      </c>
      <c r="C14202" s="1" t="n">
        <v>45952</v>
      </c>
      <c r="D14202" t="inlineStr">
        <is>
          <t>VÄSTRA GÖTALANDS LÄN</t>
        </is>
      </c>
      <c r="E14202" t="inlineStr">
        <is>
          <t>BENGTSFORS</t>
        </is>
      </c>
      <c r="G14202" t="n">
        <v>0.6</v>
      </c>
      <c r="H14202" t="n">
        <v>0</v>
      </c>
      <c r="I14202" t="n">
        <v>0</v>
      </c>
      <c r="J14202" t="n">
        <v>0</v>
      </c>
      <c r="K14202" t="n">
        <v>0</v>
      </c>
      <c r="L14202" t="n">
        <v>0</v>
      </c>
      <c r="M14202" t="n">
        <v>0</v>
      </c>
      <c r="N14202" t="n">
        <v>0</v>
      </c>
      <c r="O14202" t="n">
        <v>0</v>
      </c>
      <c r="P14202" t="n">
        <v>0</v>
      </c>
      <c r="Q14202" t="n">
        <v>0</v>
      </c>
      <c r="R14202" s="2" t="inlineStr"/>
    </row>
    <row r="14203" ht="15" customHeight="1">
      <c r="A14203" t="inlineStr">
        <is>
          <t>A 9879-2024</t>
        </is>
      </c>
      <c r="B14203" s="1" t="n">
        <v>45363.45396990741</v>
      </c>
      <c r="C14203" s="1" t="n">
        <v>45952</v>
      </c>
      <c r="D14203" t="inlineStr">
        <is>
          <t>VÄSTRA GÖTALANDS LÄN</t>
        </is>
      </c>
      <c r="E14203" t="inlineStr">
        <is>
          <t>ULRICEHAMN</t>
        </is>
      </c>
      <c r="G14203" t="n">
        <v>1.1</v>
      </c>
      <c r="H14203" t="n">
        <v>0</v>
      </c>
      <c r="I14203" t="n">
        <v>0</v>
      </c>
      <c r="J14203" t="n">
        <v>0</v>
      </c>
      <c r="K14203" t="n">
        <v>0</v>
      </c>
      <c r="L14203" t="n">
        <v>0</v>
      </c>
      <c r="M14203" t="n">
        <v>0</v>
      </c>
      <c r="N14203" t="n">
        <v>0</v>
      </c>
      <c r="O14203" t="n">
        <v>0</v>
      </c>
      <c r="P14203" t="n">
        <v>0</v>
      </c>
      <c r="Q14203" t="n">
        <v>0</v>
      </c>
      <c r="R14203" s="2" t="inlineStr"/>
    </row>
    <row r="14204" ht="15" customHeight="1">
      <c r="A14204" t="inlineStr">
        <is>
          <t>A 37058-2024</t>
        </is>
      </c>
      <c r="B14204" s="1" t="n">
        <v>45539.44940972222</v>
      </c>
      <c r="C14204" s="1" t="n">
        <v>45952</v>
      </c>
      <c r="D14204" t="inlineStr">
        <is>
          <t>VÄSTRA GÖTALANDS LÄN</t>
        </is>
      </c>
      <c r="E14204" t="inlineStr">
        <is>
          <t>FALKÖPING</t>
        </is>
      </c>
      <c r="G14204" t="n">
        <v>1.1</v>
      </c>
      <c r="H14204" t="n">
        <v>0</v>
      </c>
      <c r="I14204" t="n">
        <v>0</v>
      </c>
      <c r="J14204" t="n">
        <v>0</v>
      </c>
      <c r="K14204" t="n">
        <v>0</v>
      </c>
      <c r="L14204" t="n">
        <v>0</v>
      </c>
      <c r="M14204" t="n">
        <v>0</v>
      </c>
      <c r="N14204" t="n">
        <v>0</v>
      </c>
      <c r="O14204" t="n">
        <v>0</v>
      </c>
      <c r="P14204" t="n">
        <v>0</v>
      </c>
      <c r="Q14204" t="n">
        <v>0</v>
      </c>
      <c r="R14204" s="2" t="inlineStr"/>
    </row>
    <row r="14205" ht="15" customHeight="1">
      <c r="A14205" t="inlineStr">
        <is>
          <t>A 38160-2022</t>
        </is>
      </c>
      <c r="B14205" s="1" t="n">
        <v>44812</v>
      </c>
      <c r="C14205" s="1" t="n">
        <v>45952</v>
      </c>
      <c r="D14205" t="inlineStr">
        <is>
          <t>VÄSTRA GÖTALANDS LÄN</t>
        </is>
      </c>
      <c r="E14205" t="inlineStr">
        <is>
          <t>VARA</t>
        </is>
      </c>
      <c r="G14205" t="n">
        <v>7.2</v>
      </c>
      <c r="H14205" t="n">
        <v>0</v>
      </c>
      <c r="I14205" t="n">
        <v>0</v>
      </c>
      <c r="J14205" t="n">
        <v>0</v>
      </c>
      <c r="K14205" t="n">
        <v>0</v>
      </c>
      <c r="L14205" t="n">
        <v>0</v>
      </c>
      <c r="M14205" t="n">
        <v>0</v>
      </c>
      <c r="N14205" t="n">
        <v>0</v>
      </c>
      <c r="O14205" t="n">
        <v>0</v>
      </c>
      <c r="P14205" t="n">
        <v>0</v>
      </c>
      <c r="Q14205" t="n">
        <v>0</v>
      </c>
      <c r="R14205" s="2" t="inlineStr"/>
    </row>
    <row r="14206" ht="15" customHeight="1">
      <c r="A14206" t="inlineStr">
        <is>
          <t>A 38205-2022</t>
        </is>
      </c>
      <c r="B14206" s="1" t="n">
        <v>44812</v>
      </c>
      <c r="C14206" s="1" t="n">
        <v>45952</v>
      </c>
      <c r="D14206" t="inlineStr">
        <is>
          <t>VÄSTRA GÖTALANDS LÄN</t>
        </is>
      </c>
      <c r="E14206" t="inlineStr">
        <is>
          <t>SKARA</t>
        </is>
      </c>
      <c r="G14206" t="n">
        <v>1.8</v>
      </c>
      <c r="H14206" t="n">
        <v>0</v>
      </c>
      <c r="I14206" t="n">
        <v>0</v>
      </c>
      <c r="J14206" t="n">
        <v>0</v>
      </c>
      <c r="K14206" t="n">
        <v>0</v>
      </c>
      <c r="L14206" t="n">
        <v>0</v>
      </c>
      <c r="M14206" t="n">
        <v>0</v>
      </c>
      <c r="N14206" t="n">
        <v>0</v>
      </c>
      <c r="O14206" t="n">
        <v>0</v>
      </c>
      <c r="P14206" t="n">
        <v>0</v>
      </c>
      <c r="Q14206" t="n">
        <v>0</v>
      </c>
      <c r="R14206" s="2" t="inlineStr"/>
    </row>
    <row r="14207" ht="15" customHeight="1">
      <c r="A14207" t="inlineStr">
        <is>
          <t>A 50456-2022</t>
        </is>
      </c>
      <c r="B14207" s="1" t="n">
        <v>44861</v>
      </c>
      <c r="C14207" s="1" t="n">
        <v>45952</v>
      </c>
      <c r="D14207" t="inlineStr">
        <is>
          <t>VÄSTRA GÖTALANDS LÄN</t>
        </is>
      </c>
      <c r="E14207" t="inlineStr">
        <is>
          <t>GULLSPÅNG</t>
        </is>
      </c>
      <c r="G14207" t="n">
        <v>1.6</v>
      </c>
      <c r="H14207" t="n">
        <v>0</v>
      </c>
      <c r="I14207" t="n">
        <v>0</v>
      </c>
      <c r="J14207" t="n">
        <v>0</v>
      </c>
      <c r="K14207" t="n">
        <v>0</v>
      </c>
      <c r="L14207" t="n">
        <v>0</v>
      </c>
      <c r="M14207" t="n">
        <v>0</v>
      </c>
      <c r="N14207" t="n">
        <v>0</v>
      </c>
      <c r="O14207" t="n">
        <v>0</v>
      </c>
      <c r="P14207" t="n">
        <v>0</v>
      </c>
      <c r="Q14207" t="n">
        <v>0</v>
      </c>
      <c r="R14207" s="2" t="inlineStr"/>
    </row>
    <row r="14208" ht="15" customHeight="1">
      <c r="A14208" t="inlineStr">
        <is>
          <t>A 50274-2024</t>
        </is>
      </c>
      <c r="B14208" s="1" t="n">
        <v>45600.600625</v>
      </c>
      <c r="C14208" s="1" t="n">
        <v>45952</v>
      </c>
      <c r="D14208" t="inlineStr">
        <is>
          <t>VÄSTRA GÖTALANDS LÄN</t>
        </is>
      </c>
      <c r="E14208" t="inlineStr">
        <is>
          <t>UDDEVALLA</t>
        </is>
      </c>
      <c r="G14208" t="n">
        <v>20.1</v>
      </c>
      <c r="H14208" t="n">
        <v>0</v>
      </c>
      <c r="I14208" t="n">
        <v>0</v>
      </c>
      <c r="J14208" t="n">
        <v>0</v>
      </c>
      <c r="K14208" t="n">
        <v>0</v>
      </c>
      <c r="L14208" t="n">
        <v>0</v>
      </c>
      <c r="M14208" t="n">
        <v>0</v>
      </c>
      <c r="N14208" t="n">
        <v>0</v>
      </c>
      <c r="O14208" t="n">
        <v>0</v>
      </c>
      <c r="P14208" t="n">
        <v>0</v>
      </c>
      <c r="Q14208" t="n">
        <v>0</v>
      </c>
      <c r="R14208" s="2" t="inlineStr"/>
    </row>
    <row r="14209" ht="15" customHeight="1">
      <c r="A14209" t="inlineStr">
        <is>
          <t>A 57029-2024</t>
        </is>
      </c>
      <c r="B14209" s="1" t="n">
        <v>45628.87296296296</v>
      </c>
      <c r="C14209" s="1" t="n">
        <v>45952</v>
      </c>
      <c r="D14209" t="inlineStr">
        <is>
          <t>VÄSTRA GÖTALANDS LÄN</t>
        </is>
      </c>
      <c r="E14209" t="inlineStr">
        <is>
          <t>TANUM</t>
        </is>
      </c>
      <c r="G14209" t="n">
        <v>0.5</v>
      </c>
      <c r="H14209" t="n">
        <v>0</v>
      </c>
      <c r="I14209" t="n">
        <v>0</v>
      </c>
      <c r="J14209" t="n">
        <v>0</v>
      </c>
      <c r="K14209" t="n">
        <v>0</v>
      </c>
      <c r="L14209" t="n">
        <v>0</v>
      </c>
      <c r="M14209" t="n">
        <v>0</v>
      </c>
      <c r="N14209" t="n">
        <v>0</v>
      </c>
      <c r="O14209" t="n">
        <v>0</v>
      </c>
      <c r="P14209" t="n">
        <v>0</v>
      </c>
      <c r="Q14209" t="n">
        <v>0</v>
      </c>
      <c r="R14209" s="2" t="inlineStr"/>
    </row>
    <row r="14210" ht="15" customHeight="1">
      <c r="A14210" t="inlineStr">
        <is>
          <t>A 57030-2024</t>
        </is>
      </c>
      <c r="B14210" s="1" t="n">
        <v>45628.87668981482</v>
      </c>
      <c r="C14210" s="1" t="n">
        <v>45952</v>
      </c>
      <c r="D14210" t="inlineStr">
        <is>
          <t>VÄSTRA GÖTALANDS LÄN</t>
        </is>
      </c>
      <c r="E14210" t="inlineStr">
        <is>
          <t>TANUM</t>
        </is>
      </c>
      <c r="G14210" t="n">
        <v>1.2</v>
      </c>
      <c r="H14210" t="n">
        <v>0</v>
      </c>
      <c r="I14210" t="n">
        <v>0</v>
      </c>
      <c r="J14210" t="n">
        <v>0</v>
      </c>
      <c r="K14210" t="n">
        <v>0</v>
      </c>
      <c r="L14210" t="n">
        <v>0</v>
      </c>
      <c r="M14210" t="n">
        <v>0</v>
      </c>
      <c r="N14210" t="n">
        <v>0</v>
      </c>
      <c r="O14210" t="n">
        <v>0</v>
      </c>
      <c r="P14210" t="n">
        <v>0</v>
      </c>
      <c r="Q14210" t="n">
        <v>0</v>
      </c>
      <c r="R14210" s="2" t="inlineStr"/>
    </row>
    <row r="14211" ht="15" customHeight="1">
      <c r="A14211" t="inlineStr">
        <is>
          <t>A 616-2025</t>
        </is>
      </c>
      <c r="B14211" s="1" t="n">
        <v>45664.60969907408</v>
      </c>
      <c r="C14211" s="1" t="n">
        <v>45952</v>
      </c>
      <c r="D14211" t="inlineStr">
        <is>
          <t>VÄSTRA GÖTALANDS LÄN</t>
        </is>
      </c>
      <c r="E14211" t="inlineStr">
        <is>
          <t>VÅRGÅRDA</t>
        </is>
      </c>
      <c r="G14211" t="n">
        <v>10</v>
      </c>
      <c r="H14211" t="n">
        <v>0</v>
      </c>
      <c r="I14211" t="n">
        <v>0</v>
      </c>
      <c r="J14211" t="n">
        <v>0</v>
      </c>
      <c r="K14211" t="n">
        <v>0</v>
      </c>
      <c r="L14211" t="n">
        <v>0</v>
      </c>
      <c r="M14211" t="n">
        <v>0</v>
      </c>
      <c r="N14211" t="n">
        <v>0</v>
      </c>
      <c r="O14211" t="n">
        <v>0</v>
      </c>
      <c r="P14211" t="n">
        <v>0</v>
      </c>
      <c r="Q14211" t="n">
        <v>0</v>
      </c>
      <c r="R14211" s="2" t="inlineStr"/>
    </row>
    <row r="14212" ht="15" customHeight="1">
      <c r="A14212" t="inlineStr">
        <is>
          <t>A 20274-2025</t>
        </is>
      </c>
      <c r="B14212" s="1" t="n">
        <v>45774.31408564815</v>
      </c>
      <c r="C14212" s="1" t="n">
        <v>45952</v>
      </c>
      <c r="D14212" t="inlineStr">
        <is>
          <t>VÄSTRA GÖTALANDS LÄN</t>
        </is>
      </c>
      <c r="E14212" t="inlineStr">
        <is>
          <t>MUNKEDAL</t>
        </is>
      </c>
      <c r="G14212" t="n">
        <v>5.7</v>
      </c>
      <c r="H14212" t="n">
        <v>0</v>
      </c>
      <c r="I14212" t="n">
        <v>0</v>
      </c>
      <c r="J14212" t="n">
        <v>0</v>
      </c>
      <c r="K14212" t="n">
        <v>0</v>
      </c>
      <c r="L14212" t="n">
        <v>0</v>
      </c>
      <c r="M14212" t="n">
        <v>0</v>
      </c>
      <c r="N14212" t="n">
        <v>0</v>
      </c>
      <c r="O14212" t="n">
        <v>0</v>
      </c>
      <c r="P14212" t="n">
        <v>0</v>
      </c>
      <c r="Q14212" t="n">
        <v>0</v>
      </c>
      <c r="R14212" s="2" t="inlineStr"/>
    </row>
    <row r="14213" ht="15" customHeight="1">
      <c r="A14213" t="inlineStr">
        <is>
          <t>A 5667-2024</t>
        </is>
      </c>
      <c r="B14213" s="1" t="n">
        <v>45334.65969907407</v>
      </c>
      <c r="C14213" s="1" t="n">
        <v>45952</v>
      </c>
      <c r="D14213" t="inlineStr">
        <is>
          <t>VÄSTRA GÖTALANDS LÄN</t>
        </is>
      </c>
      <c r="E14213" t="inlineStr">
        <is>
          <t>TRANEMO</t>
        </is>
      </c>
      <c r="G14213" t="n">
        <v>1.1</v>
      </c>
      <c r="H14213" t="n">
        <v>0</v>
      </c>
      <c r="I14213" t="n">
        <v>0</v>
      </c>
      <c r="J14213" t="n">
        <v>0</v>
      </c>
      <c r="K14213" t="n">
        <v>0</v>
      </c>
      <c r="L14213" t="n">
        <v>0</v>
      </c>
      <c r="M14213" t="n">
        <v>0</v>
      </c>
      <c r="N14213" t="n">
        <v>0</v>
      </c>
      <c r="O14213" t="n">
        <v>0</v>
      </c>
      <c r="P14213" t="n">
        <v>0</v>
      </c>
      <c r="Q14213" t="n">
        <v>0</v>
      </c>
      <c r="R14213" s="2" t="inlineStr"/>
    </row>
    <row r="14214" ht="15" customHeight="1">
      <c r="A14214" t="inlineStr">
        <is>
          <t>A 32082-2023</t>
        </is>
      </c>
      <c r="B14214" s="1" t="n">
        <v>45119.59131944444</v>
      </c>
      <c r="C14214" s="1" t="n">
        <v>45952</v>
      </c>
      <c r="D14214" t="inlineStr">
        <is>
          <t>VÄSTRA GÖTALANDS LÄN</t>
        </is>
      </c>
      <c r="E14214" t="inlineStr">
        <is>
          <t>DALS-ED</t>
        </is>
      </c>
      <c r="G14214" t="n">
        <v>0.6</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48276-2022</t>
        </is>
      </c>
      <c r="B14215" s="1" t="n">
        <v>44858</v>
      </c>
      <c r="C14215" s="1" t="n">
        <v>45952</v>
      </c>
      <c r="D14215" t="inlineStr">
        <is>
          <t>VÄSTRA GÖTALANDS LÄN</t>
        </is>
      </c>
      <c r="E14215" t="inlineStr">
        <is>
          <t>ÅMÅL</t>
        </is>
      </c>
      <c r="G14215" t="n">
        <v>1.8</v>
      </c>
      <c r="H14215" t="n">
        <v>0</v>
      </c>
      <c r="I14215" t="n">
        <v>0</v>
      </c>
      <c r="J14215" t="n">
        <v>0</v>
      </c>
      <c r="K14215" t="n">
        <v>0</v>
      </c>
      <c r="L14215" t="n">
        <v>0</v>
      </c>
      <c r="M14215" t="n">
        <v>0</v>
      </c>
      <c r="N14215" t="n">
        <v>0</v>
      </c>
      <c r="O14215" t="n">
        <v>0</v>
      </c>
      <c r="P14215" t="n">
        <v>0</v>
      </c>
      <c r="Q14215" t="n">
        <v>0</v>
      </c>
      <c r="R14215" s="2" t="inlineStr"/>
    </row>
    <row r="14216" ht="15" customHeight="1">
      <c r="A14216" t="inlineStr">
        <is>
          <t>A 17488-2022</t>
        </is>
      </c>
      <c r="B14216" s="1" t="n">
        <v>44679.46383101852</v>
      </c>
      <c r="C14216" s="1" t="n">
        <v>45952</v>
      </c>
      <c r="D14216" t="inlineStr">
        <is>
          <t>VÄSTRA GÖTALANDS LÄN</t>
        </is>
      </c>
      <c r="E14216" t="inlineStr">
        <is>
          <t>TRANEMO</t>
        </is>
      </c>
      <c r="G14216" t="n">
        <v>1.3</v>
      </c>
      <c r="H14216" t="n">
        <v>0</v>
      </c>
      <c r="I14216" t="n">
        <v>0</v>
      </c>
      <c r="J14216" t="n">
        <v>0</v>
      </c>
      <c r="K14216" t="n">
        <v>0</v>
      </c>
      <c r="L14216" t="n">
        <v>0</v>
      </c>
      <c r="M14216" t="n">
        <v>0</v>
      </c>
      <c r="N14216" t="n">
        <v>0</v>
      </c>
      <c r="O14216" t="n">
        <v>0</v>
      </c>
      <c r="P14216" t="n">
        <v>0</v>
      </c>
      <c r="Q14216" t="n">
        <v>0</v>
      </c>
      <c r="R14216" s="2" t="inlineStr"/>
    </row>
    <row r="14217" ht="15" customHeight="1">
      <c r="A14217" t="inlineStr">
        <is>
          <t>A 45503-2022</t>
        </is>
      </c>
      <c r="B14217" s="1" t="n">
        <v>44845.42538194444</v>
      </c>
      <c r="C14217" s="1" t="n">
        <v>45952</v>
      </c>
      <c r="D14217" t="inlineStr">
        <is>
          <t>VÄSTRA GÖTALANDS LÄN</t>
        </is>
      </c>
      <c r="E14217" t="inlineStr">
        <is>
          <t>BENGTSFORS</t>
        </is>
      </c>
      <c r="G14217" t="n">
        <v>1.1</v>
      </c>
      <c r="H14217" t="n">
        <v>0</v>
      </c>
      <c r="I14217" t="n">
        <v>0</v>
      </c>
      <c r="J14217" t="n">
        <v>0</v>
      </c>
      <c r="K14217" t="n">
        <v>0</v>
      </c>
      <c r="L14217" t="n">
        <v>0</v>
      </c>
      <c r="M14217" t="n">
        <v>0</v>
      </c>
      <c r="N14217" t="n">
        <v>0</v>
      </c>
      <c r="O14217" t="n">
        <v>0</v>
      </c>
      <c r="P14217" t="n">
        <v>0</v>
      </c>
      <c r="Q14217" t="n">
        <v>0</v>
      </c>
      <c r="R14217" s="2" t="inlineStr"/>
    </row>
    <row r="14218" ht="15" customHeight="1">
      <c r="A14218" t="inlineStr">
        <is>
          <t>A 53125-2024</t>
        </is>
      </c>
      <c r="B14218" s="1" t="n">
        <v>45611.5891550926</v>
      </c>
      <c r="C14218" s="1" t="n">
        <v>45952</v>
      </c>
      <c r="D14218" t="inlineStr">
        <is>
          <t>VÄSTRA GÖTALANDS LÄN</t>
        </is>
      </c>
      <c r="E14218" t="inlineStr">
        <is>
          <t>BORÅS</t>
        </is>
      </c>
      <c r="G14218" t="n">
        <v>3</v>
      </c>
      <c r="H14218" t="n">
        <v>0</v>
      </c>
      <c r="I14218" t="n">
        <v>0</v>
      </c>
      <c r="J14218" t="n">
        <v>0</v>
      </c>
      <c r="K14218" t="n">
        <v>0</v>
      </c>
      <c r="L14218" t="n">
        <v>0</v>
      </c>
      <c r="M14218" t="n">
        <v>0</v>
      </c>
      <c r="N14218" t="n">
        <v>0</v>
      </c>
      <c r="O14218" t="n">
        <v>0</v>
      </c>
      <c r="P14218" t="n">
        <v>0</v>
      </c>
      <c r="Q14218" t="n">
        <v>0</v>
      </c>
      <c r="R14218" s="2" t="inlineStr"/>
    </row>
    <row r="14219" ht="15" customHeight="1">
      <c r="A14219" t="inlineStr">
        <is>
          <t>A 22541-2023</t>
        </is>
      </c>
      <c r="B14219" s="1" t="n">
        <v>45071</v>
      </c>
      <c r="C14219" s="1" t="n">
        <v>45952</v>
      </c>
      <c r="D14219" t="inlineStr">
        <is>
          <t>VÄSTRA GÖTALANDS LÄN</t>
        </is>
      </c>
      <c r="E14219" t="inlineStr">
        <is>
          <t>BOLLEBYGD</t>
        </is>
      </c>
      <c r="G14219" t="n">
        <v>4</v>
      </c>
      <c r="H14219" t="n">
        <v>0</v>
      </c>
      <c r="I14219" t="n">
        <v>0</v>
      </c>
      <c r="J14219" t="n">
        <v>0</v>
      </c>
      <c r="K14219" t="n">
        <v>0</v>
      </c>
      <c r="L14219" t="n">
        <v>0</v>
      </c>
      <c r="M14219" t="n">
        <v>0</v>
      </c>
      <c r="N14219" t="n">
        <v>0</v>
      </c>
      <c r="O14219" t="n">
        <v>0</v>
      </c>
      <c r="P14219" t="n">
        <v>0</v>
      </c>
      <c r="Q14219" t="n">
        <v>0</v>
      </c>
      <c r="R14219" s="2" t="inlineStr"/>
    </row>
    <row r="14220" ht="15" customHeight="1">
      <c r="A14220" t="inlineStr">
        <is>
          <t>A 5585-2024</t>
        </is>
      </c>
      <c r="B14220" s="1" t="n">
        <v>45334.52237268518</v>
      </c>
      <c r="C14220" s="1" t="n">
        <v>45952</v>
      </c>
      <c r="D14220" t="inlineStr">
        <is>
          <t>VÄSTRA GÖTALANDS LÄN</t>
        </is>
      </c>
      <c r="E14220" t="inlineStr">
        <is>
          <t>TIDAHOLM</t>
        </is>
      </c>
      <c r="G14220" t="n">
        <v>0.9</v>
      </c>
      <c r="H14220" t="n">
        <v>0</v>
      </c>
      <c r="I14220" t="n">
        <v>0</v>
      </c>
      <c r="J14220" t="n">
        <v>0</v>
      </c>
      <c r="K14220" t="n">
        <v>0</v>
      </c>
      <c r="L14220" t="n">
        <v>0</v>
      </c>
      <c r="M14220" t="n">
        <v>0</v>
      </c>
      <c r="N14220" t="n">
        <v>0</v>
      </c>
      <c r="O14220" t="n">
        <v>0</v>
      </c>
      <c r="P14220" t="n">
        <v>0</v>
      </c>
      <c r="Q14220" t="n">
        <v>0</v>
      </c>
      <c r="R14220" s="2" t="inlineStr"/>
    </row>
    <row r="14221" ht="15" customHeight="1">
      <c r="A14221" t="inlineStr">
        <is>
          <t>A 15396-2024</t>
        </is>
      </c>
      <c r="B14221" s="1" t="n">
        <v>45401</v>
      </c>
      <c r="C14221" s="1" t="n">
        <v>45952</v>
      </c>
      <c r="D14221" t="inlineStr">
        <is>
          <t>VÄSTRA GÖTALANDS LÄN</t>
        </is>
      </c>
      <c r="E14221" t="inlineStr">
        <is>
          <t>KARLSBORG</t>
        </is>
      </c>
      <c r="G14221" t="n">
        <v>1</v>
      </c>
      <c r="H14221" t="n">
        <v>0</v>
      </c>
      <c r="I14221" t="n">
        <v>0</v>
      </c>
      <c r="J14221" t="n">
        <v>0</v>
      </c>
      <c r="K14221" t="n">
        <v>0</v>
      </c>
      <c r="L14221" t="n">
        <v>0</v>
      </c>
      <c r="M14221" t="n">
        <v>0</v>
      </c>
      <c r="N14221" t="n">
        <v>0</v>
      </c>
      <c r="O14221" t="n">
        <v>0</v>
      </c>
      <c r="P14221" t="n">
        <v>0</v>
      </c>
      <c r="Q14221" t="n">
        <v>0</v>
      </c>
      <c r="R14221" s="2" t="inlineStr"/>
    </row>
    <row r="14222" ht="15" customHeight="1">
      <c r="A14222" t="inlineStr">
        <is>
          <t>A 74081-2021</t>
        </is>
      </c>
      <c r="B14222" s="1" t="n">
        <v>44553</v>
      </c>
      <c r="C14222" s="1" t="n">
        <v>45952</v>
      </c>
      <c r="D14222" t="inlineStr">
        <is>
          <t>VÄSTRA GÖTALANDS LÄN</t>
        </is>
      </c>
      <c r="E14222" t="inlineStr">
        <is>
          <t>MARIESTAD</t>
        </is>
      </c>
      <c r="G14222" t="n">
        <v>2.3</v>
      </c>
      <c r="H14222" t="n">
        <v>0</v>
      </c>
      <c r="I14222" t="n">
        <v>0</v>
      </c>
      <c r="J14222" t="n">
        <v>0</v>
      </c>
      <c r="K14222" t="n">
        <v>0</v>
      </c>
      <c r="L14222" t="n">
        <v>0</v>
      </c>
      <c r="M14222" t="n">
        <v>0</v>
      </c>
      <c r="N14222" t="n">
        <v>0</v>
      </c>
      <c r="O14222" t="n">
        <v>0</v>
      </c>
      <c r="P14222" t="n">
        <v>0</v>
      </c>
      <c r="Q14222" t="n">
        <v>0</v>
      </c>
      <c r="R14222" s="2" t="inlineStr"/>
    </row>
    <row r="14223" ht="15" customHeight="1">
      <c r="A14223" t="inlineStr">
        <is>
          <t>A 50976-2024</t>
        </is>
      </c>
      <c r="B14223" s="1" t="n">
        <v>45603.35425925926</v>
      </c>
      <c r="C14223" s="1" t="n">
        <v>45952</v>
      </c>
      <c r="D14223" t="inlineStr">
        <is>
          <t>VÄSTRA GÖTALANDS LÄN</t>
        </is>
      </c>
      <c r="E14223" t="inlineStr">
        <is>
          <t>FALKÖPING</t>
        </is>
      </c>
      <c r="G14223" t="n">
        <v>2.4</v>
      </c>
      <c r="H14223" t="n">
        <v>0</v>
      </c>
      <c r="I14223" t="n">
        <v>0</v>
      </c>
      <c r="J14223" t="n">
        <v>0</v>
      </c>
      <c r="K14223" t="n">
        <v>0</v>
      </c>
      <c r="L14223" t="n">
        <v>0</v>
      </c>
      <c r="M14223" t="n">
        <v>0</v>
      </c>
      <c r="N14223" t="n">
        <v>0</v>
      </c>
      <c r="O14223" t="n">
        <v>0</v>
      </c>
      <c r="P14223" t="n">
        <v>0</v>
      </c>
      <c r="Q14223" t="n">
        <v>0</v>
      </c>
      <c r="R14223" s="2" t="inlineStr"/>
    </row>
    <row r="14224" ht="15" customHeight="1">
      <c r="A14224" t="inlineStr">
        <is>
          <t>A 27399-2024</t>
        </is>
      </c>
      <c r="B14224" s="1" t="n">
        <v>45474.34578703704</v>
      </c>
      <c r="C14224" s="1" t="n">
        <v>45952</v>
      </c>
      <c r="D14224" t="inlineStr">
        <is>
          <t>VÄSTRA GÖTALANDS LÄN</t>
        </is>
      </c>
      <c r="E14224" t="inlineStr">
        <is>
          <t>ULRICEHAMN</t>
        </is>
      </c>
      <c r="G14224" t="n">
        <v>7.1</v>
      </c>
      <c r="H14224" t="n">
        <v>0</v>
      </c>
      <c r="I14224" t="n">
        <v>0</v>
      </c>
      <c r="J14224" t="n">
        <v>0</v>
      </c>
      <c r="K14224" t="n">
        <v>0</v>
      </c>
      <c r="L14224" t="n">
        <v>0</v>
      </c>
      <c r="M14224" t="n">
        <v>0</v>
      </c>
      <c r="N14224" t="n">
        <v>0</v>
      </c>
      <c r="O14224" t="n">
        <v>0</v>
      </c>
      <c r="P14224" t="n">
        <v>0</v>
      </c>
      <c r="Q14224" t="n">
        <v>0</v>
      </c>
      <c r="R14224" s="2" t="inlineStr"/>
    </row>
    <row r="14225" ht="15" customHeight="1">
      <c r="A14225" t="inlineStr">
        <is>
          <t>A 27471-2024</t>
        </is>
      </c>
      <c r="B14225" s="1" t="n">
        <v>45474.46443287037</v>
      </c>
      <c r="C14225" s="1" t="n">
        <v>45952</v>
      </c>
      <c r="D14225" t="inlineStr">
        <is>
          <t>VÄSTRA GÖTALANDS LÄN</t>
        </is>
      </c>
      <c r="E14225" t="inlineStr">
        <is>
          <t>MARK</t>
        </is>
      </c>
      <c r="F14225" t="inlineStr">
        <is>
          <t>Kommuner</t>
        </is>
      </c>
      <c r="G14225" t="n">
        <v>0.3</v>
      </c>
      <c r="H14225" t="n">
        <v>0</v>
      </c>
      <c r="I14225" t="n">
        <v>0</v>
      </c>
      <c r="J14225" t="n">
        <v>0</v>
      </c>
      <c r="K14225" t="n">
        <v>0</v>
      </c>
      <c r="L14225" t="n">
        <v>0</v>
      </c>
      <c r="M14225" t="n">
        <v>0</v>
      </c>
      <c r="N14225" t="n">
        <v>0</v>
      </c>
      <c r="O14225" t="n">
        <v>0</v>
      </c>
      <c r="P14225" t="n">
        <v>0</v>
      </c>
      <c r="Q14225" t="n">
        <v>0</v>
      </c>
      <c r="R14225" s="2" t="inlineStr"/>
    </row>
    <row r="14226" ht="15" customHeight="1">
      <c r="A14226" t="inlineStr">
        <is>
          <t>A 1898-2021</t>
        </is>
      </c>
      <c r="B14226" s="1" t="n">
        <v>44210</v>
      </c>
      <c r="C14226" s="1" t="n">
        <v>45952</v>
      </c>
      <c r="D14226" t="inlineStr">
        <is>
          <t>VÄSTRA GÖTALANDS LÄN</t>
        </is>
      </c>
      <c r="E14226" t="inlineStr">
        <is>
          <t>STENUNGSUND</t>
        </is>
      </c>
      <c r="G14226" t="n">
        <v>1.3</v>
      </c>
      <c r="H14226" t="n">
        <v>0</v>
      </c>
      <c r="I14226" t="n">
        <v>0</v>
      </c>
      <c r="J14226" t="n">
        <v>0</v>
      </c>
      <c r="K14226" t="n">
        <v>0</v>
      </c>
      <c r="L14226" t="n">
        <v>0</v>
      </c>
      <c r="M14226" t="n">
        <v>0</v>
      </c>
      <c r="N14226" t="n">
        <v>0</v>
      </c>
      <c r="O14226" t="n">
        <v>0</v>
      </c>
      <c r="P14226" t="n">
        <v>0</v>
      </c>
      <c r="Q14226" t="n">
        <v>0</v>
      </c>
      <c r="R14226" s="2" t="inlineStr"/>
    </row>
    <row r="14227" ht="15" customHeight="1">
      <c r="A14227" t="inlineStr">
        <is>
          <t>A 1903-2021</t>
        </is>
      </c>
      <c r="B14227" s="1" t="n">
        <v>44210</v>
      </c>
      <c r="C14227" s="1" t="n">
        <v>45952</v>
      </c>
      <c r="D14227" t="inlineStr">
        <is>
          <t>VÄSTRA GÖTALANDS LÄN</t>
        </is>
      </c>
      <c r="E14227" t="inlineStr">
        <is>
          <t>SVENLJUNGA</t>
        </is>
      </c>
      <c r="F14227" t="inlineStr">
        <is>
          <t>Kyrkan</t>
        </is>
      </c>
      <c r="G14227" t="n">
        <v>3.2</v>
      </c>
      <c r="H14227" t="n">
        <v>0</v>
      </c>
      <c r="I14227" t="n">
        <v>0</v>
      </c>
      <c r="J14227" t="n">
        <v>0</v>
      </c>
      <c r="K14227" t="n">
        <v>0</v>
      </c>
      <c r="L14227" t="n">
        <v>0</v>
      </c>
      <c r="M14227" t="n">
        <v>0</v>
      </c>
      <c r="N14227" t="n">
        <v>0</v>
      </c>
      <c r="O14227" t="n">
        <v>0</v>
      </c>
      <c r="P14227" t="n">
        <v>0</v>
      </c>
      <c r="Q14227" t="n">
        <v>0</v>
      </c>
      <c r="R14227" s="2" t="inlineStr"/>
    </row>
    <row r="14228" ht="15" customHeight="1">
      <c r="A14228" t="inlineStr">
        <is>
          <t>A 17527-2025</t>
        </is>
      </c>
      <c r="B14228" s="1" t="n">
        <v>45757.58712962963</v>
      </c>
      <c r="C14228" s="1" t="n">
        <v>45952</v>
      </c>
      <c r="D14228" t="inlineStr">
        <is>
          <t>VÄSTRA GÖTALANDS LÄN</t>
        </is>
      </c>
      <c r="E14228" t="inlineStr">
        <is>
          <t>VÅRGÅRDA</t>
        </is>
      </c>
      <c r="G14228" t="n">
        <v>3.1</v>
      </c>
      <c r="H14228" t="n">
        <v>0</v>
      </c>
      <c r="I14228" t="n">
        <v>0</v>
      </c>
      <c r="J14228" t="n">
        <v>0</v>
      </c>
      <c r="K14228" t="n">
        <v>0</v>
      </c>
      <c r="L14228" t="n">
        <v>0</v>
      </c>
      <c r="M14228" t="n">
        <v>0</v>
      </c>
      <c r="N14228" t="n">
        <v>0</v>
      </c>
      <c r="O14228" t="n">
        <v>0</v>
      </c>
      <c r="P14228" t="n">
        <v>0</v>
      </c>
      <c r="Q14228" t="n">
        <v>0</v>
      </c>
      <c r="R14228" s="2" t="inlineStr"/>
    </row>
    <row r="14229" ht="15" customHeight="1">
      <c r="A14229" t="inlineStr">
        <is>
          <t>A 12332-2022</t>
        </is>
      </c>
      <c r="B14229" s="1" t="n">
        <v>44637.62238425926</v>
      </c>
      <c r="C14229" s="1" t="n">
        <v>45952</v>
      </c>
      <c r="D14229" t="inlineStr">
        <is>
          <t>VÄSTRA GÖTALANDS LÄN</t>
        </is>
      </c>
      <c r="E14229" t="inlineStr">
        <is>
          <t>TIDAHOLM</t>
        </is>
      </c>
      <c r="F14229" t="inlineStr">
        <is>
          <t>Kommuner</t>
        </is>
      </c>
      <c r="G14229" t="n">
        <v>1.6</v>
      </c>
      <c r="H14229" t="n">
        <v>0</v>
      </c>
      <c r="I14229" t="n">
        <v>0</v>
      </c>
      <c r="J14229" t="n">
        <v>0</v>
      </c>
      <c r="K14229" t="n">
        <v>0</v>
      </c>
      <c r="L14229" t="n">
        <v>0</v>
      </c>
      <c r="M14229" t="n">
        <v>0</v>
      </c>
      <c r="N14229" t="n">
        <v>0</v>
      </c>
      <c r="O14229" t="n">
        <v>0</v>
      </c>
      <c r="P14229" t="n">
        <v>0</v>
      </c>
      <c r="Q14229" t="n">
        <v>0</v>
      </c>
      <c r="R14229" s="2" t="inlineStr"/>
    </row>
    <row r="14230" ht="15" customHeight="1">
      <c r="A14230" t="inlineStr">
        <is>
          <t>A 43750-2024</t>
        </is>
      </c>
      <c r="B14230" s="1" t="n">
        <v>45569.67313657407</v>
      </c>
      <c r="C14230" s="1" t="n">
        <v>45952</v>
      </c>
      <c r="D14230" t="inlineStr">
        <is>
          <t>VÄSTRA GÖTALANDS LÄN</t>
        </is>
      </c>
      <c r="E14230" t="inlineStr">
        <is>
          <t>MARK</t>
        </is>
      </c>
      <c r="G14230" t="n">
        <v>1.2</v>
      </c>
      <c r="H14230" t="n">
        <v>0</v>
      </c>
      <c r="I14230" t="n">
        <v>0</v>
      </c>
      <c r="J14230" t="n">
        <v>0</v>
      </c>
      <c r="K14230" t="n">
        <v>0</v>
      </c>
      <c r="L14230" t="n">
        <v>0</v>
      </c>
      <c r="M14230" t="n">
        <v>0</v>
      </c>
      <c r="N14230" t="n">
        <v>0</v>
      </c>
      <c r="O14230" t="n">
        <v>0</v>
      </c>
      <c r="P14230" t="n">
        <v>0</v>
      </c>
      <c r="Q14230" t="n">
        <v>0</v>
      </c>
      <c r="R14230" s="2" t="inlineStr"/>
    </row>
    <row r="14231" ht="15" customHeight="1">
      <c r="A14231" t="inlineStr">
        <is>
          <t>A 23700-2023</t>
        </is>
      </c>
      <c r="B14231" s="1" t="n">
        <v>45077.62905092593</v>
      </c>
      <c r="C14231" s="1" t="n">
        <v>45952</v>
      </c>
      <c r="D14231" t="inlineStr">
        <is>
          <t>VÄSTRA GÖTALANDS LÄN</t>
        </is>
      </c>
      <c r="E14231" t="inlineStr">
        <is>
          <t>VÄNERSBORG</t>
        </is>
      </c>
      <c r="G14231" t="n">
        <v>1.1</v>
      </c>
      <c r="H14231" t="n">
        <v>0</v>
      </c>
      <c r="I14231" t="n">
        <v>0</v>
      </c>
      <c r="J14231" t="n">
        <v>0</v>
      </c>
      <c r="K14231" t="n">
        <v>0</v>
      </c>
      <c r="L14231" t="n">
        <v>0</v>
      </c>
      <c r="M14231" t="n">
        <v>0</v>
      </c>
      <c r="N14231" t="n">
        <v>0</v>
      </c>
      <c r="O14231" t="n">
        <v>0</v>
      </c>
      <c r="P14231" t="n">
        <v>0</v>
      </c>
      <c r="Q14231" t="n">
        <v>0</v>
      </c>
      <c r="R14231" s="2" t="inlineStr"/>
    </row>
    <row r="14232" ht="15" customHeight="1">
      <c r="A14232" t="inlineStr">
        <is>
          <t>A 56512-2024</t>
        </is>
      </c>
      <c r="B14232" s="1" t="n">
        <v>45625</v>
      </c>
      <c r="C14232" s="1" t="n">
        <v>45952</v>
      </c>
      <c r="D14232" t="inlineStr">
        <is>
          <t>VÄSTRA GÖTALANDS LÄN</t>
        </is>
      </c>
      <c r="E14232" t="inlineStr">
        <is>
          <t>GULLSPÅNG</t>
        </is>
      </c>
      <c r="G14232" t="n">
        <v>2.6</v>
      </c>
      <c r="H14232" t="n">
        <v>0</v>
      </c>
      <c r="I14232" t="n">
        <v>0</v>
      </c>
      <c r="J14232" t="n">
        <v>0</v>
      </c>
      <c r="K14232" t="n">
        <v>0</v>
      </c>
      <c r="L14232" t="n">
        <v>0</v>
      </c>
      <c r="M14232" t="n">
        <v>0</v>
      </c>
      <c r="N14232" t="n">
        <v>0</v>
      </c>
      <c r="O14232" t="n">
        <v>0</v>
      </c>
      <c r="P14232" t="n">
        <v>0</v>
      </c>
      <c r="Q14232" t="n">
        <v>0</v>
      </c>
      <c r="R14232" s="2" t="inlineStr"/>
    </row>
    <row r="14233" ht="15" customHeight="1">
      <c r="A14233" t="inlineStr">
        <is>
          <t>A 56561-2024</t>
        </is>
      </c>
      <c r="B14233" s="1" t="n">
        <v>45625</v>
      </c>
      <c r="C14233" s="1" t="n">
        <v>45952</v>
      </c>
      <c r="D14233" t="inlineStr">
        <is>
          <t>VÄSTRA GÖTALANDS LÄN</t>
        </is>
      </c>
      <c r="E14233" t="inlineStr">
        <is>
          <t>TÖREBODA</t>
        </is>
      </c>
      <c r="G14233" t="n">
        <v>0.8</v>
      </c>
      <c r="H14233" t="n">
        <v>0</v>
      </c>
      <c r="I14233" t="n">
        <v>0</v>
      </c>
      <c r="J14233" t="n">
        <v>0</v>
      </c>
      <c r="K14233" t="n">
        <v>0</v>
      </c>
      <c r="L14233" t="n">
        <v>0</v>
      </c>
      <c r="M14233" t="n">
        <v>0</v>
      </c>
      <c r="N14233" t="n">
        <v>0</v>
      </c>
      <c r="O14233" t="n">
        <v>0</v>
      </c>
      <c r="P14233" t="n">
        <v>0</v>
      </c>
      <c r="Q14233" t="n">
        <v>0</v>
      </c>
      <c r="R14233" s="2" t="inlineStr"/>
    </row>
    <row r="14234" ht="15" customHeight="1">
      <c r="A14234" t="inlineStr">
        <is>
          <t>A 6270-2023</t>
        </is>
      </c>
      <c r="B14234" s="1" t="n">
        <v>44965.39467592593</v>
      </c>
      <c r="C14234" s="1" t="n">
        <v>45952</v>
      </c>
      <c r="D14234" t="inlineStr">
        <is>
          <t>VÄSTRA GÖTALANDS LÄN</t>
        </is>
      </c>
      <c r="E14234" t="inlineStr">
        <is>
          <t>VÄNERSBORG</t>
        </is>
      </c>
      <c r="G14234" t="n">
        <v>1.2</v>
      </c>
      <c r="H14234" t="n">
        <v>0</v>
      </c>
      <c r="I14234" t="n">
        <v>0</v>
      </c>
      <c r="J14234" t="n">
        <v>0</v>
      </c>
      <c r="K14234" t="n">
        <v>0</v>
      </c>
      <c r="L14234" t="n">
        <v>0</v>
      </c>
      <c r="M14234" t="n">
        <v>0</v>
      </c>
      <c r="N14234" t="n">
        <v>0</v>
      </c>
      <c r="O14234" t="n">
        <v>0</v>
      </c>
      <c r="P14234" t="n">
        <v>0</v>
      </c>
      <c r="Q14234" t="n">
        <v>0</v>
      </c>
      <c r="R14234" s="2" t="inlineStr"/>
    </row>
    <row r="14235" ht="15" customHeight="1">
      <c r="A14235" t="inlineStr">
        <is>
          <t>A 46684-2022</t>
        </is>
      </c>
      <c r="B14235" s="1" t="n">
        <v>44851.36157407407</v>
      </c>
      <c r="C14235" s="1" t="n">
        <v>45952</v>
      </c>
      <c r="D14235" t="inlineStr">
        <is>
          <t>VÄSTRA GÖTALANDS LÄN</t>
        </is>
      </c>
      <c r="E14235" t="inlineStr">
        <is>
          <t>TRANEMO</t>
        </is>
      </c>
      <c r="G14235" t="n">
        <v>1.5</v>
      </c>
      <c r="H14235" t="n">
        <v>0</v>
      </c>
      <c r="I14235" t="n">
        <v>0</v>
      </c>
      <c r="J14235" t="n">
        <v>0</v>
      </c>
      <c r="K14235" t="n">
        <v>0</v>
      </c>
      <c r="L14235" t="n">
        <v>0</v>
      </c>
      <c r="M14235" t="n">
        <v>0</v>
      </c>
      <c r="N14235" t="n">
        <v>0</v>
      </c>
      <c r="O14235" t="n">
        <v>0</v>
      </c>
      <c r="P14235" t="n">
        <v>0</v>
      </c>
      <c r="Q14235" t="n">
        <v>0</v>
      </c>
      <c r="R14235" s="2" t="inlineStr"/>
    </row>
    <row r="14236" ht="15" customHeight="1">
      <c r="A14236" t="inlineStr">
        <is>
          <t>A 33237-2024</t>
        </is>
      </c>
      <c r="B14236" s="1" t="n">
        <v>45518.59173611111</v>
      </c>
      <c r="C14236" s="1" t="n">
        <v>45952</v>
      </c>
      <c r="D14236" t="inlineStr">
        <is>
          <t>VÄSTRA GÖTALANDS LÄN</t>
        </is>
      </c>
      <c r="E14236" t="inlineStr">
        <is>
          <t>ALE</t>
        </is>
      </c>
      <c r="G14236" t="n">
        <v>0.6</v>
      </c>
      <c r="H14236" t="n">
        <v>0</v>
      </c>
      <c r="I14236" t="n">
        <v>0</v>
      </c>
      <c r="J14236" t="n">
        <v>0</v>
      </c>
      <c r="K14236" t="n">
        <v>0</v>
      </c>
      <c r="L14236" t="n">
        <v>0</v>
      </c>
      <c r="M14236" t="n">
        <v>0</v>
      </c>
      <c r="N14236" t="n">
        <v>0</v>
      </c>
      <c r="O14236" t="n">
        <v>0</v>
      </c>
      <c r="P14236" t="n">
        <v>0</v>
      </c>
      <c r="Q14236" t="n">
        <v>0</v>
      </c>
      <c r="R14236" s="2" t="inlineStr"/>
    </row>
    <row r="14237" ht="15" customHeight="1">
      <c r="A14237" t="inlineStr">
        <is>
          <t>A 37522-2024</t>
        </is>
      </c>
      <c r="B14237" s="1" t="n">
        <v>45541</v>
      </c>
      <c r="C14237" s="1" t="n">
        <v>45952</v>
      </c>
      <c r="D14237" t="inlineStr">
        <is>
          <t>VÄSTRA GÖTALANDS LÄN</t>
        </is>
      </c>
      <c r="E14237" t="inlineStr">
        <is>
          <t>ORUST</t>
        </is>
      </c>
      <c r="G14237" t="n">
        <v>10.2</v>
      </c>
      <c r="H14237" t="n">
        <v>0</v>
      </c>
      <c r="I14237" t="n">
        <v>0</v>
      </c>
      <c r="J14237" t="n">
        <v>0</v>
      </c>
      <c r="K14237" t="n">
        <v>0</v>
      </c>
      <c r="L14237" t="n">
        <v>0</v>
      </c>
      <c r="M14237" t="n">
        <v>0</v>
      </c>
      <c r="N14237" t="n">
        <v>0</v>
      </c>
      <c r="O14237" t="n">
        <v>0</v>
      </c>
      <c r="P14237" t="n">
        <v>0</v>
      </c>
      <c r="Q14237" t="n">
        <v>0</v>
      </c>
      <c r="R14237" s="2" t="inlineStr"/>
    </row>
    <row r="14238" ht="15" customHeight="1">
      <c r="A14238" t="inlineStr">
        <is>
          <t>A 38920-2022</t>
        </is>
      </c>
      <c r="B14238" s="1" t="n">
        <v>44816</v>
      </c>
      <c r="C14238" s="1" t="n">
        <v>45952</v>
      </c>
      <c r="D14238" t="inlineStr">
        <is>
          <t>VÄSTRA GÖTALANDS LÄN</t>
        </is>
      </c>
      <c r="E14238" t="inlineStr">
        <is>
          <t>VARA</t>
        </is>
      </c>
      <c r="G14238" t="n">
        <v>1.3</v>
      </c>
      <c r="H14238" t="n">
        <v>0</v>
      </c>
      <c r="I14238" t="n">
        <v>0</v>
      </c>
      <c r="J14238" t="n">
        <v>0</v>
      </c>
      <c r="K14238" t="n">
        <v>0</v>
      </c>
      <c r="L14238" t="n">
        <v>0</v>
      </c>
      <c r="M14238" t="n">
        <v>0</v>
      </c>
      <c r="N14238" t="n">
        <v>0</v>
      </c>
      <c r="O14238" t="n">
        <v>0</v>
      </c>
      <c r="P14238" t="n">
        <v>0</v>
      </c>
      <c r="Q14238" t="n">
        <v>0</v>
      </c>
      <c r="R14238" s="2" t="inlineStr"/>
    </row>
    <row r="14239" ht="15" customHeight="1">
      <c r="A14239" t="inlineStr">
        <is>
          <t>A 12055-2022</t>
        </is>
      </c>
      <c r="B14239" s="1" t="n">
        <v>44636</v>
      </c>
      <c r="C14239" s="1" t="n">
        <v>45952</v>
      </c>
      <c r="D14239" t="inlineStr">
        <is>
          <t>VÄSTRA GÖTALANDS LÄN</t>
        </is>
      </c>
      <c r="E14239" t="inlineStr">
        <is>
          <t>ALE</t>
        </is>
      </c>
      <c r="G14239" t="n">
        <v>0.2</v>
      </c>
      <c r="H14239" t="n">
        <v>0</v>
      </c>
      <c r="I14239" t="n">
        <v>0</v>
      </c>
      <c r="J14239" t="n">
        <v>0</v>
      </c>
      <c r="K14239" t="n">
        <v>0</v>
      </c>
      <c r="L14239" t="n">
        <v>0</v>
      </c>
      <c r="M14239" t="n">
        <v>0</v>
      </c>
      <c r="N14239" t="n">
        <v>0</v>
      </c>
      <c r="O14239" t="n">
        <v>0</v>
      </c>
      <c r="P14239" t="n">
        <v>0</v>
      </c>
      <c r="Q14239" t="n">
        <v>0</v>
      </c>
      <c r="R14239" s="2" t="inlineStr"/>
    </row>
    <row r="14240" ht="15" customHeight="1">
      <c r="A14240" t="inlineStr">
        <is>
          <t>A 50160-2022</t>
        </is>
      </c>
      <c r="B14240" s="1" t="n">
        <v>44865.58923611111</v>
      </c>
      <c r="C14240" s="1" t="n">
        <v>45952</v>
      </c>
      <c r="D14240" t="inlineStr">
        <is>
          <t>VÄSTRA GÖTALANDS LÄN</t>
        </is>
      </c>
      <c r="E14240" t="inlineStr">
        <is>
          <t>VÅRGÅRDA</t>
        </is>
      </c>
      <c r="G14240" t="n">
        <v>0.9</v>
      </c>
      <c r="H14240" t="n">
        <v>0</v>
      </c>
      <c r="I14240" t="n">
        <v>0</v>
      </c>
      <c r="J14240" t="n">
        <v>0</v>
      </c>
      <c r="K14240" t="n">
        <v>0</v>
      </c>
      <c r="L14240" t="n">
        <v>0</v>
      </c>
      <c r="M14240" t="n">
        <v>0</v>
      </c>
      <c r="N14240" t="n">
        <v>0</v>
      </c>
      <c r="O14240" t="n">
        <v>0</v>
      </c>
      <c r="P14240" t="n">
        <v>0</v>
      </c>
      <c r="Q14240" t="n">
        <v>0</v>
      </c>
      <c r="R14240" s="2" t="inlineStr"/>
    </row>
    <row r="14241" ht="15" customHeight="1">
      <c r="A14241" t="inlineStr">
        <is>
          <t>A 23185-2024</t>
        </is>
      </c>
      <c r="B14241" s="1" t="n">
        <v>45450</v>
      </c>
      <c r="C14241" s="1" t="n">
        <v>45952</v>
      </c>
      <c r="D14241" t="inlineStr">
        <is>
          <t>VÄSTRA GÖTALANDS LÄN</t>
        </is>
      </c>
      <c r="E14241" t="inlineStr">
        <is>
          <t>ÅMÅL</t>
        </is>
      </c>
      <c r="G14241" t="n">
        <v>2.8</v>
      </c>
      <c r="H14241" t="n">
        <v>0</v>
      </c>
      <c r="I14241" t="n">
        <v>0</v>
      </c>
      <c r="J14241" t="n">
        <v>0</v>
      </c>
      <c r="K14241" t="n">
        <v>0</v>
      </c>
      <c r="L14241" t="n">
        <v>0</v>
      </c>
      <c r="M14241" t="n">
        <v>0</v>
      </c>
      <c r="N14241" t="n">
        <v>0</v>
      </c>
      <c r="O14241" t="n">
        <v>0</v>
      </c>
      <c r="P14241" t="n">
        <v>0</v>
      </c>
      <c r="Q14241" t="n">
        <v>0</v>
      </c>
      <c r="R14241" s="2" t="inlineStr"/>
    </row>
    <row r="14242" ht="15" customHeight="1">
      <c r="A14242" t="inlineStr">
        <is>
          <t>A 21751-2022</t>
        </is>
      </c>
      <c r="B14242" s="1" t="n">
        <v>44708.43361111111</v>
      </c>
      <c r="C14242" s="1" t="n">
        <v>45952</v>
      </c>
      <c r="D14242" t="inlineStr">
        <is>
          <t>VÄSTRA GÖTALANDS LÄN</t>
        </is>
      </c>
      <c r="E14242" t="inlineStr">
        <is>
          <t>BOLLEBYGD</t>
        </is>
      </c>
      <c r="G14242" t="n">
        <v>4.2</v>
      </c>
      <c r="H14242" t="n">
        <v>0</v>
      </c>
      <c r="I14242" t="n">
        <v>0</v>
      </c>
      <c r="J14242" t="n">
        <v>0</v>
      </c>
      <c r="K14242" t="n">
        <v>0</v>
      </c>
      <c r="L14242" t="n">
        <v>0</v>
      </c>
      <c r="M14242" t="n">
        <v>0</v>
      </c>
      <c r="N14242" t="n">
        <v>0</v>
      </c>
      <c r="O14242" t="n">
        <v>0</v>
      </c>
      <c r="P14242" t="n">
        <v>0</v>
      </c>
      <c r="Q14242" t="n">
        <v>0</v>
      </c>
      <c r="R14242" s="2" t="inlineStr"/>
    </row>
    <row r="14243" ht="15" customHeight="1">
      <c r="A14243" t="inlineStr">
        <is>
          <t>A 15466-2023</t>
        </is>
      </c>
      <c r="B14243" s="1" t="n">
        <v>45019</v>
      </c>
      <c r="C14243" s="1" t="n">
        <v>45952</v>
      </c>
      <c r="D14243" t="inlineStr">
        <is>
          <t>VÄSTRA GÖTALANDS LÄN</t>
        </is>
      </c>
      <c r="E14243" t="inlineStr">
        <is>
          <t>ÅMÅL</t>
        </is>
      </c>
      <c r="G14243" t="n">
        <v>2.6</v>
      </c>
      <c r="H14243" t="n">
        <v>0</v>
      </c>
      <c r="I14243" t="n">
        <v>0</v>
      </c>
      <c r="J14243" t="n">
        <v>0</v>
      </c>
      <c r="K14243" t="n">
        <v>0</v>
      </c>
      <c r="L14243" t="n">
        <v>0</v>
      </c>
      <c r="M14243" t="n">
        <v>0</v>
      </c>
      <c r="N14243" t="n">
        <v>0</v>
      </c>
      <c r="O14243" t="n">
        <v>0</v>
      </c>
      <c r="P14243" t="n">
        <v>0</v>
      </c>
      <c r="Q14243" t="n">
        <v>0</v>
      </c>
      <c r="R14243" s="2" t="inlineStr"/>
    </row>
    <row r="14244" ht="15" customHeight="1">
      <c r="A14244" t="inlineStr">
        <is>
          <t>A 26530-2023</t>
        </is>
      </c>
      <c r="B14244" s="1" t="n">
        <v>45092</v>
      </c>
      <c r="C14244" s="1" t="n">
        <v>45952</v>
      </c>
      <c r="D14244" t="inlineStr">
        <is>
          <t>VÄSTRA GÖTALANDS LÄN</t>
        </is>
      </c>
      <c r="E14244" t="inlineStr">
        <is>
          <t>MELLERUD</t>
        </is>
      </c>
      <c r="G14244" t="n">
        <v>2.5</v>
      </c>
      <c r="H14244" t="n">
        <v>0</v>
      </c>
      <c r="I14244" t="n">
        <v>0</v>
      </c>
      <c r="J14244" t="n">
        <v>0</v>
      </c>
      <c r="K14244" t="n">
        <v>0</v>
      </c>
      <c r="L14244" t="n">
        <v>0</v>
      </c>
      <c r="M14244" t="n">
        <v>0</v>
      </c>
      <c r="N14244" t="n">
        <v>0</v>
      </c>
      <c r="O14244" t="n">
        <v>0</v>
      </c>
      <c r="P14244" t="n">
        <v>0</v>
      </c>
      <c r="Q14244" t="n">
        <v>0</v>
      </c>
      <c r="R14244" s="2" t="inlineStr"/>
    </row>
    <row r="14245" ht="15" customHeight="1">
      <c r="A14245" t="inlineStr">
        <is>
          <t>A 45083-2024</t>
        </is>
      </c>
      <c r="B14245" s="1" t="n">
        <v>45575.57584490741</v>
      </c>
      <c r="C14245" s="1" t="n">
        <v>45952</v>
      </c>
      <c r="D14245" t="inlineStr">
        <is>
          <t>VÄSTRA GÖTALANDS LÄN</t>
        </is>
      </c>
      <c r="E14245" t="inlineStr">
        <is>
          <t>MUNKEDAL</t>
        </is>
      </c>
      <c r="G14245" t="n">
        <v>2.7</v>
      </c>
      <c r="H14245" t="n">
        <v>0</v>
      </c>
      <c r="I14245" t="n">
        <v>0</v>
      </c>
      <c r="J14245" t="n">
        <v>0</v>
      </c>
      <c r="K14245" t="n">
        <v>0</v>
      </c>
      <c r="L14245" t="n">
        <v>0</v>
      </c>
      <c r="M14245" t="n">
        <v>0</v>
      </c>
      <c r="N14245" t="n">
        <v>0</v>
      </c>
      <c r="O14245" t="n">
        <v>0</v>
      </c>
      <c r="P14245" t="n">
        <v>0</v>
      </c>
      <c r="Q14245" t="n">
        <v>0</v>
      </c>
      <c r="R14245" s="2" t="inlineStr"/>
    </row>
    <row r="14246" ht="15" customHeight="1">
      <c r="A14246" t="inlineStr">
        <is>
          <t>A 45086-2024</t>
        </is>
      </c>
      <c r="B14246" s="1" t="n">
        <v>45575.58041666666</v>
      </c>
      <c r="C14246" s="1" t="n">
        <v>45952</v>
      </c>
      <c r="D14246" t="inlineStr">
        <is>
          <t>VÄSTRA GÖTALANDS LÄN</t>
        </is>
      </c>
      <c r="E14246" t="inlineStr">
        <is>
          <t>ÅMÅL</t>
        </is>
      </c>
      <c r="G14246" t="n">
        <v>1.5</v>
      </c>
      <c r="H14246" t="n">
        <v>0</v>
      </c>
      <c r="I14246" t="n">
        <v>0</v>
      </c>
      <c r="J14246" t="n">
        <v>0</v>
      </c>
      <c r="K14246" t="n">
        <v>0</v>
      </c>
      <c r="L14246" t="n">
        <v>0</v>
      </c>
      <c r="M14246" t="n">
        <v>0</v>
      </c>
      <c r="N14246" t="n">
        <v>0</v>
      </c>
      <c r="O14246" t="n">
        <v>0</v>
      </c>
      <c r="P14246" t="n">
        <v>0</v>
      </c>
      <c r="Q14246" t="n">
        <v>0</v>
      </c>
      <c r="R14246" s="2" t="inlineStr"/>
    </row>
    <row r="14247" ht="15" customHeight="1">
      <c r="A14247" t="inlineStr">
        <is>
          <t>A 45578-2024</t>
        </is>
      </c>
      <c r="B14247" s="1" t="n">
        <v>45578</v>
      </c>
      <c r="C14247" s="1" t="n">
        <v>45952</v>
      </c>
      <c r="D14247" t="inlineStr">
        <is>
          <t>VÄSTRA GÖTALANDS LÄN</t>
        </is>
      </c>
      <c r="E14247" t="inlineStr">
        <is>
          <t>STRÖMSTAD</t>
        </is>
      </c>
      <c r="G14247" t="n">
        <v>1.1</v>
      </c>
      <c r="H14247" t="n">
        <v>0</v>
      </c>
      <c r="I14247" t="n">
        <v>0</v>
      </c>
      <c r="J14247" t="n">
        <v>0</v>
      </c>
      <c r="K14247" t="n">
        <v>0</v>
      </c>
      <c r="L14247" t="n">
        <v>0</v>
      </c>
      <c r="M14247" t="n">
        <v>0</v>
      </c>
      <c r="N14247" t="n">
        <v>0</v>
      </c>
      <c r="O14247" t="n">
        <v>0</v>
      </c>
      <c r="P14247" t="n">
        <v>0</v>
      </c>
      <c r="Q14247" t="n">
        <v>0</v>
      </c>
      <c r="R14247" s="2" t="inlineStr"/>
    </row>
    <row r="14248" ht="15" customHeight="1">
      <c r="A14248" t="inlineStr">
        <is>
          <t>A 38715-2022</t>
        </is>
      </c>
      <c r="B14248" s="1" t="n">
        <v>44815</v>
      </c>
      <c r="C14248" s="1" t="n">
        <v>45952</v>
      </c>
      <c r="D14248" t="inlineStr">
        <is>
          <t>VÄSTRA GÖTALANDS LÄN</t>
        </is>
      </c>
      <c r="E14248" t="inlineStr">
        <is>
          <t>ESSUNGA</t>
        </is>
      </c>
      <c r="G14248" t="n">
        <v>1</v>
      </c>
      <c r="H14248" t="n">
        <v>0</v>
      </c>
      <c r="I14248" t="n">
        <v>0</v>
      </c>
      <c r="J14248" t="n">
        <v>0</v>
      </c>
      <c r="K14248" t="n">
        <v>0</v>
      </c>
      <c r="L14248" t="n">
        <v>0</v>
      </c>
      <c r="M14248" t="n">
        <v>0</v>
      </c>
      <c r="N14248" t="n">
        <v>0</v>
      </c>
      <c r="O14248" t="n">
        <v>0</v>
      </c>
      <c r="P14248" t="n">
        <v>0</v>
      </c>
      <c r="Q14248" t="n">
        <v>0</v>
      </c>
      <c r="R14248" s="2" t="inlineStr"/>
    </row>
    <row r="14249" ht="15" customHeight="1">
      <c r="A14249" t="inlineStr">
        <is>
          <t>A 178-2025</t>
        </is>
      </c>
      <c r="B14249" s="1" t="n">
        <v>45659.69072916666</v>
      </c>
      <c r="C14249" s="1" t="n">
        <v>45952</v>
      </c>
      <c r="D14249" t="inlineStr">
        <is>
          <t>VÄSTRA GÖTALANDS LÄN</t>
        </is>
      </c>
      <c r="E14249" t="inlineStr">
        <is>
          <t>TANUM</t>
        </is>
      </c>
      <c r="G14249" t="n">
        <v>6</v>
      </c>
      <c r="H14249" t="n">
        <v>0</v>
      </c>
      <c r="I14249" t="n">
        <v>0</v>
      </c>
      <c r="J14249" t="n">
        <v>0</v>
      </c>
      <c r="K14249" t="n">
        <v>0</v>
      </c>
      <c r="L14249" t="n">
        <v>0</v>
      </c>
      <c r="M14249" t="n">
        <v>0</v>
      </c>
      <c r="N14249" t="n">
        <v>0</v>
      </c>
      <c r="O14249" t="n">
        <v>0</v>
      </c>
      <c r="P14249" t="n">
        <v>0</v>
      </c>
      <c r="Q14249" t="n">
        <v>0</v>
      </c>
      <c r="R14249" s="2" t="inlineStr"/>
    </row>
    <row r="14250" ht="15" customHeight="1">
      <c r="A14250" t="inlineStr">
        <is>
          <t>A 48242-2024</t>
        </is>
      </c>
      <c r="B14250" s="1" t="n">
        <v>45590.39149305555</v>
      </c>
      <c r="C14250" s="1" t="n">
        <v>45952</v>
      </c>
      <c r="D14250" t="inlineStr">
        <is>
          <t>VÄSTRA GÖTALANDS LÄN</t>
        </is>
      </c>
      <c r="E14250" t="inlineStr">
        <is>
          <t>ULRICEHAMN</t>
        </is>
      </c>
      <c r="G14250" t="n">
        <v>1.4</v>
      </c>
      <c r="H14250" t="n">
        <v>0</v>
      </c>
      <c r="I14250" t="n">
        <v>0</v>
      </c>
      <c r="J14250" t="n">
        <v>0</v>
      </c>
      <c r="K14250" t="n">
        <v>0</v>
      </c>
      <c r="L14250" t="n">
        <v>0</v>
      </c>
      <c r="M14250" t="n">
        <v>0</v>
      </c>
      <c r="N14250" t="n">
        <v>0</v>
      </c>
      <c r="O14250" t="n">
        <v>0</v>
      </c>
      <c r="P14250" t="n">
        <v>0</v>
      </c>
      <c r="Q14250" t="n">
        <v>0</v>
      </c>
      <c r="R14250" s="2" t="inlineStr"/>
    </row>
    <row r="14251" ht="15" customHeight="1">
      <c r="A14251" t="inlineStr">
        <is>
          <t>A 7288-2021</t>
        </is>
      </c>
      <c r="B14251" s="1" t="n">
        <v>44238</v>
      </c>
      <c r="C14251" s="1" t="n">
        <v>45952</v>
      </c>
      <c r="D14251" t="inlineStr">
        <is>
          <t>VÄSTRA GÖTALANDS LÄN</t>
        </is>
      </c>
      <c r="E14251" t="inlineStr">
        <is>
          <t>MARIESTAD</t>
        </is>
      </c>
      <c r="G14251" t="n">
        <v>1.8</v>
      </c>
      <c r="H14251" t="n">
        <v>0</v>
      </c>
      <c r="I14251" t="n">
        <v>0</v>
      </c>
      <c r="J14251" t="n">
        <v>0</v>
      </c>
      <c r="K14251" t="n">
        <v>0</v>
      </c>
      <c r="L14251" t="n">
        <v>0</v>
      </c>
      <c r="M14251" t="n">
        <v>0</v>
      </c>
      <c r="N14251" t="n">
        <v>0</v>
      </c>
      <c r="O14251" t="n">
        <v>0</v>
      </c>
      <c r="P14251" t="n">
        <v>0</v>
      </c>
      <c r="Q14251" t="n">
        <v>0</v>
      </c>
      <c r="R14251" s="2" t="inlineStr"/>
    </row>
    <row r="14252" ht="15" customHeight="1">
      <c r="A14252" t="inlineStr">
        <is>
          <t>A 48267-2024</t>
        </is>
      </c>
      <c r="B14252" s="1" t="n">
        <v>45590.42981481482</v>
      </c>
      <c r="C14252" s="1" t="n">
        <v>45952</v>
      </c>
      <c r="D14252" t="inlineStr">
        <is>
          <t>VÄSTRA GÖTALANDS LÄN</t>
        </is>
      </c>
      <c r="E14252" t="inlineStr">
        <is>
          <t>MARIESTAD</t>
        </is>
      </c>
      <c r="F14252" t="inlineStr">
        <is>
          <t>Kyrkan</t>
        </is>
      </c>
      <c r="G14252" t="n">
        <v>3</v>
      </c>
      <c r="H14252" t="n">
        <v>0</v>
      </c>
      <c r="I14252" t="n">
        <v>0</v>
      </c>
      <c r="J14252" t="n">
        <v>0</v>
      </c>
      <c r="K14252" t="n">
        <v>0</v>
      </c>
      <c r="L14252" t="n">
        <v>0</v>
      </c>
      <c r="M14252" t="n">
        <v>0</v>
      </c>
      <c r="N14252" t="n">
        <v>0</v>
      </c>
      <c r="O14252" t="n">
        <v>0</v>
      </c>
      <c r="P14252" t="n">
        <v>0</v>
      </c>
      <c r="Q14252" t="n">
        <v>0</v>
      </c>
      <c r="R14252" s="2" t="inlineStr"/>
    </row>
    <row r="14253" ht="15" customHeight="1">
      <c r="A14253" t="inlineStr">
        <is>
          <t>A 28910-2024</t>
        </is>
      </c>
      <c r="B14253" s="1" t="n">
        <v>45480.65789351852</v>
      </c>
      <c r="C14253" s="1" t="n">
        <v>45952</v>
      </c>
      <c r="D14253" t="inlineStr">
        <is>
          <t>VÄSTRA GÖTALANDS LÄN</t>
        </is>
      </c>
      <c r="E14253" t="inlineStr">
        <is>
          <t>LILLA EDET</t>
        </is>
      </c>
      <c r="G14253" t="n">
        <v>1.7</v>
      </c>
      <c r="H14253" t="n">
        <v>0</v>
      </c>
      <c r="I14253" t="n">
        <v>0</v>
      </c>
      <c r="J14253" t="n">
        <v>0</v>
      </c>
      <c r="K14253" t="n">
        <v>0</v>
      </c>
      <c r="L14253" t="n">
        <v>0</v>
      </c>
      <c r="M14253" t="n">
        <v>0</v>
      </c>
      <c r="N14253" t="n">
        <v>0</v>
      </c>
      <c r="O14253" t="n">
        <v>0</v>
      </c>
      <c r="P14253" t="n">
        <v>0</v>
      </c>
      <c r="Q14253" t="n">
        <v>0</v>
      </c>
      <c r="R14253" s="2" t="inlineStr"/>
    </row>
    <row r="14254" ht="15" customHeight="1">
      <c r="A14254" t="inlineStr">
        <is>
          <t>A 39184-2022</t>
        </is>
      </c>
      <c r="B14254" s="1" t="n">
        <v>44817</v>
      </c>
      <c r="C14254" s="1" t="n">
        <v>45952</v>
      </c>
      <c r="D14254" t="inlineStr">
        <is>
          <t>VÄSTRA GÖTALANDS LÄN</t>
        </is>
      </c>
      <c r="E14254" t="inlineStr">
        <is>
          <t>TANUM</t>
        </is>
      </c>
      <c r="G14254" t="n">
        <v>1.4</v>
      </c>
      <c r="H14254" t="n">
        <v>0</v>
      </c>
      <c r="I14254" t="n">
        <v>0</v>
      </c>
      <c r="J14254" t="n">
        <v>0</v>
      </c>
      <c r="K14254" t="n">
        <v>0</v>
      </c>
      <c r="L14254" t="n">
        <v>0</v>
      </c>
      <c r="M14254" t="n">
        <v>0</v>
      </c>
      <c r="N14254" t="n">
        <v>0</v>
      </c>
      <c r="O14254" t="n">
        <v>0</v>
      </c>
      <c r="P14254" t="n">
        <v>0</v>
      </c>
      <c r="Q14254" t="n">
        <v>0</v>
      </c>
      <c r="R14254" s="2" t="inlineStr"/>
    </row>
    <row r="14255" ht="15" customHeight="1">
      <c r="A14255" t="inlineStr">
        <is>
          <t>A 49278-2023</t>
        </is>
      </c>
      <c r="B14255" s="1" t="n">
        <v>45210.69572916667</v>
      </c>
      <c r="C14255" s="1" t="n">
        <v>45952</v>
      </c>
      <c r="D14255" t="inlineStr">
        <is>
          <t>VÄSTRA GÖTALANDS LÄN</t>
        </is>
      </c>
      <c r="E14255" t="inlineStr">
        <is>
          <t>FALKÖPING</t>
        </is>
      </c>
      <c r="G14255" t="n">
        <v>3.3</v>
      </c>
      <c r="H14255" t="n">
        <v>0</v>
      </c>
      <c r="I14255" t="n">
        <v>0</v>
      </c>
      <c r="J14255" t="n">
        <v>0</v>
      </c>
      <c r="K14255" t="n">
        <v>0</v>
      </c>
      <c r="L14255" t="n">
        <v>0</v>
      </c>
      <c r="M14255" t="n">
        <v>0</v>
      </c>
      <c r="N14255" t="n">
        <v>0</v>
      </c>
      <c r="O14255" t="n">
        <v>0</v>
      </c>
      <c r="P14255" t="n">
        <v>0</v>
      </c>
      <c r="Q14255" t="n">
        <v>0</v>
      </c>
      <c r="R14255" s="2" t="inlineStr"/>
    </row>
    <row r="14256" ht="15" customHeight="1">
      <c r="A14256" t="inlineStr">
        <is>
          <t>A 43315-2024</t>
        </is>
      </c>
      <c r="B14256" s="1" t="n">
        <v>45568.45821759259</v>
      </c>
      <c r="C14256" s="1" t="n">
        <v>45952</v>
      </c>
      <c r="D14256" t="inlineStr">
        <is>
          <t>VÄSTRA GÖTALANDS LÄN</t>
        </is>
      </c>
      <c r="E14256" t="inlineStr">
        <is>
          <t>TRANEMO</t>
        </is>
      </c>
      <c r="G14256" t="n">
        <v>4.1</v>
      </c>
      <c r="H14256" t="n">
        <v>0</v>
      </c>
      <c r="I14256" t="n">
        <v>0</v>
      </c>
      <c r="J14256" t="n">
        <v>0</v>
      </c>
      <c r="K14256" t="n">
        <v>0</v>
      </c>
      <c r="L14256" t="n">
        <v>0</v>
      </c>
      <c r="M14256" t="n">
        <v>0</v>
      </c>
      <c r="N14256" t="n">
        <v>0</v>
      </c>
      <c r="O14256" t="n">
        <v>0</v>
      </c>
      <c r="P14256" t="n">
        <v>0</v>
      </c>
      <c r="Q14256" t="n">
        <v>0</v>
      </c>
      <c r="R14256" s="2" t="inlineStr"/>
    </row>
    <row r="14257" ht="15" customHeight="1">
      <c r="A14257" t="inlineStr">
        <is>
          <t>A 57670-2023</t>
        </is>
      </c>
      <c r="B14257" s="1" t="n">
        <v>45246</v>
      </c>
      <c r="C14257" s="1" t="n">
        <v>45952</v>
      </c>
      <c r="D14257" t="inlineStr">
        <is>
          <t>VÄSTRA GÖTALANDS LÄN</t>
        </is>
      </c>
      <c r="E14257" t="inlineStr">
        <is>
          <t>TÖREBODA</t>
        </is>
      </c>
      <c r="G14257" t="n">
        <v>1.1</v>
      </c>
      <c r="H14257" t="n">
        <v>0</v>
      </c>
      <c r="I14257" t="n">
        <v>0</v>
      </c>
      <c r="J14257" t="n">
        <v>0</v>
      </c>
      <c r="K14257" t="n">
        <v>0</v>
      </c>
      <c r="L14257" t="n">
        <v>0</v>
      </c>
      <c r="M14257" t="n">
        <v>0</v>
      </c>
      <c r="N14257" t="n">
        <v>0</v>
      </c>
      <c r="O14257" t="n">
        <v>0</v>
      </c>
      <c r="P14257" t="n">
        <v>0</v>
      </c>
      <c r="Q14257" t="n">
        <v>0</v>
      </c>
      <c r="R14257" s="2" t="inlineStr"/>
    </row>
    <row r="14258" ht="15" customHeight="1">
      <c r="A14258" t="inlineStr">
        <is>
          <t>A 39088-2022</t>
        </is>
      </c>
      <c r="B14258" s="1" t="n">
        <v>44817.41553240741</v>
      </c>
      <c r="C14258" s="1" t="n">
        <v>45952</v>
      </c>
      <c r="D14258" t="inlineStr">
        <is>
          <t>VÄSTRA GÖTALANDS LÄN</t>
        </is>
      </c>
      <c r="E14258" t="inlineStr">
        <is>
          <t>UDDEVALLA</t>
        </is>
      </c>
      <c r="G14258" t="n">
        <v>1.4</v>
      </c>
      <c r="H14258" t="n">
        <v>0</v>
      </c>
      <c r="I14258" t="n">
        <v>0</v>
      </c>
      <c r="J14258" t="n">
        <v>0</v>
      </c>
      <c r="K14258" t="n">
        <v>0</v>
      </c>
      <c r="L14258" t="n">
        <v>0</v>
      </c>
      <c r="M14258" t="n">
        <v>0</v>
      </c>
      <c r="N14258" t="n">
        <v>0</v>
      </c>
      <c r="O14258" t="n">
        <v>0</v>
      </c>
      <c r="P14258" t="n">
        <v>0</v>
      </c>
      <c r="Q14258" t="n">
        <v>0</v>
      </c>
      <c r="R14258" s="2" t="inlineStr"/>
    </row>
    <row r="14259" ht="15" customHeight="1">
      <c r="A14259" t="inlineStr">
        <is>
          <t>A 1371-2024</t>
        </is>
      </c>
      <c r="B14259" s="1" t="n">
        <v>45303.53243055556</v>
      </c>
      <c r="C14259" s="1" t="n">
        <v>45952</v>
      </c>
      <c r="D14259" t="inlineStr">
        <is>
          <t>VÄSTRA GÖTALANDS LÄN</t>
        </is>
      </c>
      <c r="E14259" t="inlineStr">
        <is>
          <t>HERRLJUNGA</t>
        </is>
      </c>
      <c r="G14259" t="n">
        <v>2.3</v>
      </c>
      <c r="H14259" t="n">
        <v>0</v>
      </c>
      <c r="I14259" t="n">
        <v>0</v>
      </c>
      <c r="J14259" t="n">
        <v>0</v>
      </c>
      <c r="K14259" t="n">
        <v>0</v>
      </c>
      <c r="L14259" t="n">
        <v>0</v>
      </c>
      <c r="M14259" t="n">
        <v>0</v>
      </c>
      <c r="N14259" t="n">
        <v>0</v>
      </c>
      <c r="O14259" t="n">
        <v>0</v>
      </c>
      <c r="P14259" t="n">
        <v>0</v>
      </c>
      <c r="Q14259" t="n">
        <v>0</v>
      </c>
      <c r="R14259" s="2" t="inlineStr"/>
    </row>
    <row r="14260" ht="15" customHeight="1">
      <c r="A14260" t="inlineStr">
        <is>
          <t>A 1382-2024</t>
        </is>
      </c>
      <c r="B14260" s="1" t="n">
        <v>45303.56011574074</v>
      </c>
      <c r="C14260" s="1" t="n">
        <v>45952</v>
      </c>
      <c r="D14260" t="inlineStr">
        <is>
          <t>VÄSTRA GÖTALANDS LÄN</t>
        </is>
      </c>
      <c r="E14260" t="inlineStr">
        <is>
          <t>LILLA EDET</t>
        </is>
      </c>
      <c r="G14260" t="n">
        <v>1.4</v>
      </c>
      <c r="H14260" t="n">
        <v>0</v>
      </c>
      <c r="I14260" t="n">
        <v>0</v>
      </c>
      <c r="J14260" t="n">
        <v>0</v>
      </c>
      <c r="K14260" t="n">
        <v>0</v>
      </c>
      <c r="L14260" t="n">
        <v>0</v>
      </c>
      <c r="M14260" t="n">
        <v>0</v>
      </c>
      <c r="N14260" t="n">
        <v>0</v>
      </c>
      <c r="O14260" t="n">
        <v>0</v>
      </c>
      <c r="P14260" t="n">
        <v>0</v>
      </c>
      <c r="Q14260" t="n">
        <v>0</v>
      </c>
      <c r="R14260" s="2" t="inlineStr"/>
    </row>
    <row r="14261" ht="15" customHeight="1">
      <c r="A14261" t="inlineStr">
        <is>
          <t>A 1395-2024</t>
        </is>
      </c>
      <c r="B14261" s="1" t="n">
        <v>45303</v>
      </c>
      <c r="C14261" s="1" t="n">
        <v>45952</v>
      </c>
      <c r="D14261" t="inlineStr">
        <is>
          <t>VÄSTRA GÖTALANDS LÄN</t>
        </is>
      </c>
      <c r="E14261" t="inlineStr">
        <is>
          <t>BOLLEBYGD</t>
        </is>
      </c>
      <c r="G14261" t="n">
        <v>5.3</v>
      </c>
      <c r="H14261" t="n">
        <v>0</v>
      </c>
      <c r="I14261" t="n">
        <v>0</v>
      </c>
      <c r="J14261" t="n">
        <v>0</v>
      </c>
      <c r="K14261" t="n">
        <v>0</v>
      </c>
      <c r="L14261" t="n">
        <v>0</v>
      </c>
      <c r="M14261" t="n">
        <v>0</v>
      </c>
      <c r="N14261" t="n">
        <v>0</v>
      </c>
      <c r="O14261" t="n">
        <v>0</v>
      </c>
      <c r="P14261" t="n">
        <v>0</v>
      </c>
      <c r="Q14261" t="n">
        <v>0</v>
      </c>
      <c r="R14261" s="2" t="inlineStr"/>
    </row>
    <row r="14262" ht="15" customHeight="1">
      <c r="A14262" t="inlineStr">
        <is>
          <t>A 53832-2021</t>
        </is>
      </c>
      <c r="B14262" s="1" t="n">
        <v>44469</v>
      </c>
      <c r="C14262" s="1" t="n">
        <v>45952</v>
      </c>
      <c r="D14262" t="inlineStr">
        <is>
          <t>VÄSTRA GÖTALANDS LÄN</t>
        </is>
      </c>
      <c r="E14262" t="inlineStr">
        <is>
          <t>MARK</t>
        </is>
      </c>
      <c r="G14262" t="n">
        <v>2.9</v>
      </c>
      <c r="H14262" t="n">
        <v>0</v>
      </c>
      <c r="I14262" t="n">
        <v>0</v>
      </c>
      <c r="J14262" t="n">
        <v>0</v>
      </c>
      <c r="K14262" t="n">
        <v>0</v>
      </c>
      <c r="L14262" t="n">
        <v>0</v>
      </c>
      <c r="M14262" t="n">
        <v>0</v>
      </c>
      <c r="N14262" t="n">
        <v>0</v>
      </c>
      <c r="O14262" t="n">
        <v>0</v>
      </c>
      <c r="P14262" t="n">
        <v>0</v>
      </c>
      <c r="Q14262" t="n">
        <v>0</v>
      </c>
      <c r="R14262" s="2" t="inlineStr"/>
    </row>
    <row r="14263" ht="15" customHeight="1">
      <c r="A14263" t="inlineStr">
        <is>
          <t>A 21143-2024</t>
        </is>
      </c>
      <c r="B14263" s="1" t="n">
        <v>45440.3950462963</v>
      </c>
      <c r="C14263" s="1" t="n">
        <v>45952</v>
      </c>
      <c r="D14263" t="inlineStr">
        <is>
          <t>VÄSTRA GÖTALANDS LÄN</t>
        </is>
      </c>
      <c r="E14263" t="inlineStr">
        <is>
          <t>ALINGSÅS</t>
        </is>
      </c>
      <c r="G14263" t="n">
        <v>4.1</v>
      </c>
      <c r="H14263" t="n">
        <v>0</v>
      </c>
      <c r="I14263" t="n">
        <v>0</v>
      </c>
      <c r="J14263" t="n">
        <v>0</v>
      </c>
      <c r="K14263" t="n">
        <v>0</v>
      </c>
      <c r="L14263" t="n">
        <v>0</v>
      </c>
      <c r="M14263" t="n">
        <v>0</v>
      </c>
      <c r="N14263" t="n">
        <v>0</v>
      </c>
      <c r="O14263" t="n">
        <v>0</v>
      </c>
      <c r="P14263" t="n">
        <v>0</v>
      </c>
      <c r="Q14263" t="n">
        <v>0</v>
      </c>
      <c r="R14263" s="2" t="inlineStr"/>
    </row>
    <row r="14264" ht="15" customHeight="1">
      <c r="A14264" t="inlineStr">
        <is>
          <t>A 17499-2024</t>
        </is>
      </c>
      <c r="B14264" s="1" t="n">
        <v>45415.53640046297</v>
      </c>
      <c r="C14264" s="1" t="n">
        <v>45952</v>
      </c>
      <c r="D14264" t="inlineStr">
        <is>
          <t>VÄSTRA GÖTALANDS LÄN</t>
        </is>
      </c>
      <c r="E14264" t="inlineStr">
        <is>
          <t>MARK</t>
        </is>
      </c>
      <c r="G14264" t="n">
        <v>0.5</v>
      </c>
      <c r="H14264" t="n">
        <v>0</v>
      </c>
      <c r="I14264" t="n">
        <v>0</v>
      </c>
      <c r="J14264" t="n">
        <v>0</v>
      </c>
      <c r="K14264" t="n">
        <v>0</v>
      </c>
      <c r="L14264" t="n">
        <v>0</v>
      </c>
      <c r="M14264" t="n">
        <v>0</v>
      </c>
      <c r="N14264" t="n">
        <v>0</v>
      </c>
      <c r="O14264" t="n">
        <v>0</v>
      </c>
      <c r="P14264" t="n">
        <v>0</v>
      </c>
      <c r="Q14264" t="n">
        <v>0</v>
      </c>
      <c r="R14264" s="2" t="inlineStr"/>
    </row>
    <row r="14265" ht="15" customHeight="1">
      <c r="A14265" t="inlineStr">
        <is>
          <t>A 17501-2024</t>
        </is>
      </c>
      <c r="B14265" s="1" t="n">
        <v>45415.55299768518</v>
      </c>
      <c r="C14265" s="1" t="n">
        <v>45952</v>
      </c>
      <c r="D14265" t="inlineStr">
        <is>
          <t>VÄSTRA GÖTALANDS LÄN</t>
        </is>
      </c>
      <c r="E14265" t="inlineStr">
        <is>
          <t>TRANEMO</t>
        </is>
      </c>
      <c r="G14265" t="n">
        <v>2.4</v>
      </c>
      <c r="H14265" t="n">
        <v>0</v>
      </c>
      <c r="I14265" t="n">
        <v>0</v>
      </c>
      <c r="J14265" t="n">
        <v>0</v>
      </c>
      <c r="K14265" t="n">
        <v>0</v>
      </c>
      <c r="L14265" t="n">
        <v>0</v>
      </c>
      <c r="M14265" t="n">
        <v>0</v>
      </c>
      <c r="N14265" t="n">
        <v>0</v>
      </c>
      <c r="O14265" t="n">
        <v>0</v>
      </c>
      <c r="P14265" t="n">
        <v>0</v>
      </c>
      <c r="Q14265" t="n">
        <v>0</v>
      </c>
      <c r="R14265" s="2" t="inlineStr"/>
    </row>
    <row r="14266" ht="15" customHeight="1">
      <c r="A14266" t="inlineStr">
        <is>
          <t>A 17503-2024</t>
        </is>
      </c>
      <c r="B14266" s="1" t="n">
        <v>45415.5575925926</v>
      </c>
      <c r="C14266" s="1" t="n">
        <v>45952</v>
      </c>
      <c r="D14266" t="inlineStr">
        <is>
          <t>VÄSTRA GÖTALANDS LÄN</t>
        </is>
      </c>
      <c r="E14266" t="inlineStr">
        <is>
          <t>DALS-ED</t>
        </is>
      </c>
      <c r="G14266" t="n">
        <v>1.9</v>
      </c>
      <c r="H14266" t="n">
        <v>0</v>
      </c>
      <c r="I14266" t="n">
        <v>0</v>
      </c>
      <c r="J14266" t="n">
        <v>0</v>
      </c>
      <c r="K14266" t="n">
        <v>0</v>
      </c>
      <c r="L14266" t="n">
        <v>0</v>
      </c>
      <c r="M14266" t="n">
        <v>0</v>
      </c>
      <c r="N14266" t="n">
        <v>0</v>
      </c>
      <c r="O14266" t="n">
        <v>0</v>
      </c>
      <c r="P14266" t="n">
        <v>0</v>
      </c>
      <c r="Q14266" t="n">
        <v>0</v>
      </c>
      <c r="R14266" s="2" t="inlineStr"/>
    </row>
    <row r="14267" ht="15" customHeight="1">
      <c r="A14267" t="inlineStr">
        <is>
          <t>A 51254-2023</t>
        </is>
      </c>
      <c r="B14267" s="1" t="n">
        <v>45219.48835648148</v>
      </c>
      <c r="C14267" s="1" t="n">
        <v>45952</v>
      </c>
      <c r="D14267" t="inlineStr">
        <is>
          <t>VÄSTRA GÖTALANDS LÄN</t>
        </is>
      </c>
      <c r="E14267" t="inlineStr">
        <is>
          <t>HERRLJUNGA</t>
        </is>
      </c>
      <c r="G14267" t="n">
        <v>0.9</v>
      </c>
      <c r="H14267" t="n">
        <v>0</v>
      </c>
      <c r="I14267" t="n">
        <v>0</v>
      </c>
      <c r="J14267" t="n">
        <v>0</v>
      </c>
      <c r="K14267" t="n">
        <v>0</v>
      </c>
      <c r="L14267" t="n">
        <v>0</v>
      </c>
      <c r="M14267" t="n">
        <v>0</v>
      </c>
      <c r="N14267" t="n">
        <v>0</v>
      </c>
      <c r="O14267" t="n">
        <v>0</v>
      </c>
      <c r="P14267" t="n">
        <v>0</v>
      </c>
      <c r="Q14267" t="n">
        <v>0</v>
      </c>
      <c r="R14267" s="2" t="inlineStr"/>
    </row>
    <row r="14268" ht="15" customHeight="1">
      <c r="A14268" t="inlineStr">
        <is>
          <t>A 13074-2024</t>
        </is>
      </c>
      <c r="B14268" s="1" t="n">
        <v>45385.65472222222</v>
      </c>
      <c r="C14268" s="1" t="n">
        <v>45952</v>
      </c>
      <c r="D14268" t="inlineStr">
        <is>
          <t>VÄSTRA GÖTALANDS LÄN</t>
        </is>
      </c>
      <c r="E14268" t="inlineStr">
        <is>
          <t>BENGTSFORS</t>
        </is>
      </c>
      <c r="G14268" t="n">
        <v>2.2</v>
      </c>
      <c r="H14268" t="n">
        <v>0</v>
      </c>
      <c r="I14268" t="n">
        <v>0</v>
      </c>
      <c r="J14268" t="n">
        <v>0</v>
      </c>
      <c r="K14268" t="n">
        <v>0</v>
      </c>
      <c r="L14268" t="n">
        <v>0</v>
      </c>
      <c r="M14268" t="n">
        <v>0</v>
      </c>
      <c r="N14268" t="n">
        <v>0</v>
      </c>
      <c r="O14268" t="n">
        <v>0</v>
      </c>
      <c r="P14268" t="n">
        <v>0</v>
      </c>
      <c r="Q14268" t="n">
        <v>0</v>
      </c>
      <c r="R14268" s="2" t="inlineStr"/>
    </row>
    <row r="14269" ht="15" customHeight="1">
      <c r="A14269" t="inlineStr">
        <is>
          <t>A 1741-2022</t>
        </is>
      </c>
      <c r="B14269" s="1" t="n">
        <v>44574.50385416667</v>
      </c>
      <c r="C14269" s="1" t="n">
        <v>45952</v>
      </c>
      <c r="D14269" t="inlineStr">
        <is>
          <t>VÄSTRA GÖTALANDS LÄN</t>
        </is>
      </c>
      <c r="E14269" t="inlineStr">
        <is>
          <t>SVENLJUNGA</t>
        </is>
      </c>
      <c r="G14269" t="n">
        <v>0.6</v>
      </c>
      <c r="H14269" t="n">
        <v>0</v>
      </c>
      <c r="I14269" t="n">
        <v>0</v>
      </c>
      <c r="J14269" t="n">
        <v>0</v>
      </c>
      <c r="K14269" t="n">
        <v>0</v>
      </c>
      <c r="L14269" t="n">
        <v>0</v>
      </c>
      <c r="M14269" t="n">
        <v>0</v>
      </c>
      <c r="N14269" t="n">
        <v>0</v>
      </c>
      <c r="O14269" t="n">
        <v>0</v>
      </c>
      <c r="P14269" t="n">
        <v>0</v>
      </c>
      <c r="Q14269" t="n">
        <v>0</v>
      </c>
      <c r="R14269" s="2" t="inlineStr"/>
    </row>
    <row r="14270" ht="15" customHeight="1">
      <c r="A14270" t="inlineStr">
        <is>
          <t>A 2398-2024</t>
        </is>
      </c>
      <c r="B14270" s="1" t="n">
        <v>45310</v>
      </c>
      <c r="C14270" s="1" t="n">
        <v>45952</v>
      </c>
      <c r="D14270" t="inlineStr">
        <is>
          <t>VÄSTRA GÖTALANDS LÄN</t>
        </is>
      </c>
      <c r="E14270" t="inlineStr">
        <is>
          <t>BOLLEBYGD</t>
        </is>
      </c>
      <c r="G14270" t="n">
        <v>1.5</v>
      </c>
      <c r="H14270" t="n">
        <v>0</v>
      </c>
      <c r="I14270" t="n">
        <v>0</v>
      </c>
      <c r="J14270" t="n">
        <v>0</v>
      </c>
      <c r="K14270" t="n">
        <v>0</v>
      </c>
      <c r="L14270" t="n">
        <v>0</v>
      </c>
      <c r="M14270" t="n">
        <v>0</v>
      </c>
      <c r="N14270" t="n">
        <v>0</v>
      </c>
      <c r="O14270" t="n">
        <v>0</v>
      </c>
      <c r="P14270" t="n">
        <v>0</v>
      </c>
      <c r="Q14270" t="n">
        <v>0</v>
      </c>
      <c r="R14270" s="2" t="inlineStr"/>
    </row>
    <row r="14271" ht="15" customHeight="1">
      <c r="A14271" t="inlineStr">
        <is>
          <t>A 952-2024</t>
        </is>
      </c>
      <c r="B14271" s="1" t="n">
        <v>45301</v>
      </c>
      <c r="C14271" s="1" t="n">
        <v>45952</v>
      </c>
      <c r="D14271" t="inlineStr">
        <is>
          <t>VÄSTRA GÖTALANDS LÄN</t>
        </is>
      </c>
      <c r="E14271" t="inlineStr">
        <is>
          <t>SKÖVDE</t>
        </is>
      </c>
      <c r="G14271" t="n">
        <v>1.6</v>
      </c>
      <c r="H14271" t="n">
        <v>0</v>
      </c>
      <c r="I14271" t="n">
        <v>0</v>
      </c>
      <c r="J14271" t="n">
        <v>0</v>
      </c>
      <c r="K14271" t="n">
        <v>0</v>
      </c>
      <c r="L14271" t="n">
        <v>0</v>
      </c>
      <c r="M14271" t="n">
        <v>0</v>
      </c>
      <c r="N14271" t="n">
        <v>0</v>
      </c>
      <c r="O14271" t="n">
        <v>0</v>
      </c>
      <c r="P14271" t="n">
        <v>0</v>
      </c>
      <c r="Q14271" t="n">
        <v>0</v>
      </c>
      <c r="R14271" s="2" t="inlineStr"/>
    </row>
    <row r="14272" ht="15" customHeight="1">
      <c r="A14272" t="inlineStr">
        <is>
          <t>A 1749-2024</t>
        </is>
      </c>
      <c r="B14272" s="1" t="n">
        <v>45307.45815972222</v>
      </c>
      <c r="C14272" s="1" t="n">
        <v>45952</v>
      </c>
      <c r="D14272" t="inlineStr">
        <is>
          <t>VÄSTRA GÖTALANDS LÄN</t>
        </is>
      </c>
      <c r="E14272" t="inlineStr">
        <is>
          <t>VÄNERSBORG</t>
        </is>
      </c>
      <c r="G14272" t="n">
        <v>0.8</v>
      </c>
      <c r="H14272" t="n">
        <v>0</v>
      </c>
      <c r="I14272" t="n">
        <v>0</v>
      </c>
      <c r="J14272" t="n">
        <v>0</v>
      </c>
      <c r="K14272" t="n">
        <v>0</v>
      </c>
      <c r="L14272" t="n">
        <v>0</v>
      </c>
      <c r="M14272" t="n">
        <v>0</v>
      </c>
      <c r="N14272" t="n">
        <v>0</v>
      </c>
      <c r="O14272" t="n">
        <v>0</v>
      </c>
      <c r="P14272" t="n">
        <v>0</v>
      </c>
      <c r="Q14272" t="n">
        <v>0</v>
      </c>
      <c r="R14272" s="2" t="inlineStr"/>
    </row>
    <row r="14273" ht="15" customHeight="1">
      <c r="A14273" t="inlineStr">
        <is>
          <t>A 6243-2024</t>
        </is>
      </c>
      <c r="B14273" s="1" t="n">
        <v>45337.69141203703</v>
      </c>
      <c r="C14273" s="1" t="n">
        <v>45952</v>
      </c>
      <c r="D14273" t="inlineStr">
        <is>
          <t>VÄSTRA GÖTALANDS LÄN</t>
        </is>
      </c>
      <c r="E14273" t="inlineStr">
        <is>
          <t>MELLERUD</t>
        </is>
      </c>
      <c r="G14273" t="n">
        <v>1.2</v>
      </c>
      <c r="H14273" t="n">
        <v>0</v>
      </c>
      <c r="I14273" t="n">
        <v>0</v>
      </c>
      <c r="J14273" t="n">
        <v>0</v>
      </c>
      <c r="K14273" t="n">
        <v>0</v>
      </c>
      <c r="L14273" t="n">
        <v>0</v>
      </c>
      <c r="M14273" t="n">
        <v>0</v>
      </c>
      <c r="N14273" t="n">
        <v>0</v>
      </c>
      <c r="O14273" t="n">
        <v>0</v>
      </c>
      <c r="P14273" t="n">
        <v>0</v>
      </c>
      <c r="Q14273" t="n">
        <v>0</v>
      </c>
      <c r="R14273" s="2" t="inlineStr"/>
    </row>
    <row r="14274" ht="15" customHeight="1">
      <c r="A14274" t="inlineStr">
        <is>
          <t>A 53677-2023</t>
        </is>
      </c>
      <c r="B14274" s="1" t="n">
        <v>45230.6325462963</v>
      </c>
      <c r="C14274" s="1" t="n">
        <v>45952</v>
      </c>
      <c r="D14274" t="inlineStr">
        <is>
          <t>VÄSTRA GÖTALANDS LÄN</t>
        </is>
      </c>
      <c r="E14274" t="inlineStr">
        <is>
          <t>BENGTSFORS</t>
        </is>
      </c>
      <c r="G14274" t="n">
        <v>5</v>
      </c>
      <c r="H14274" t="n">
        <v>0</v>
      </c>
      <c r="I14274" t="n">
        <v>0</v>
      </c>
      <c r="J14274" t="n">
        <v>0</v>
      </c>
      <c r="K14274" t="n">
        <v>0</v>
      </c>
      <c r="L14274" t="n">
        <v>0</v>
      </c>
      <c r="M14274" t="n">
        <v>0</v>
      </c>
      <c r="N14274" t="n">
        <v>0</v>
      </c>
      <c r="O14274" t="n">
        <v>0</v>
      </c>
      <c r="P14274" t="n">
        <v>0</v>
      </c>
      <c r="Q14274" t="n">
        <v>0</v>
      </c>
      <c r="R14274" s="2" t="inlineStr"/>
    </row>
    <row r="14275" ht="15" customHeight="1">
      <c r="A14275" t="inlineStr">
        <is>
          <t>A 5988-2023</t>
        </is>
      </c>
      <c r="B14275" s="1" t="n">
        <v>44964.37417824074</v>
      </c>
      <c r="C14275" s="1" t="n">
        <v>45952</v>
      </c>
      <c r="D14275" t="inlineStr">
        <is>
          <t>VÄSTRA GÖTALANDS LÄN</t>
        </is>
      </c>
      <c r="E14275" t="inlineStr">
        <is>
          <t>SVENLJUNGA</t>
        </is>
      </c>
      <c r="G14275" t="n">
        <v>1.5</v>
      </c>
      <c r="H14275" t="n">
        <v>0</v>
      </c>
      <c r="I14275" t="n">
        <v>0</v>
      </c>
      <c r="J14275" t="n">
        <v>0</v>
      </c>
      <c r="K14275" t="n">
        <v>0</v>
      </c>
      <c r="L14275" t="n">
        <v>0</v>
      </c>
      <c r="M14275" t="n">
        <v>0</v>
      </c>
      <c r="N14275" t="n">
        <v>0</v>
      </c>
      <c r="O14275" t="n">
        <v>0</v>
      </c>
      <c r="P14275" t="n">
        <v>0</v>
      </c>
      <c r="Q14275" t="n">
        <v>0</v>
      </c>
      <c r="R14275" s="2" t="inlineStr"/>
    </row>
    <row r="14276" ht="15" customHeight="1">
      <c r="A14276" t="inlineStr">
        <is>
          <t>A 34676-2024</t>
        </is>
      </c>
      <c r="B14276" s="1" t="n">
        <v>45526.53488425926</v>
      </c>
      <c r="C14276" s="1" t="n">
        <v>45952</v>
      </c>
      <c r="D14276" t="inlineStr">
        <is>
          <t>VÄSTRA GÖTALANDS LÄN</t>
        </is>
      </c>
      <c r="E14276" t="inlineStr">
        <is>
          <t>HERRLJUNGA</t>
        </is>
      </c>
      <c r="G14276" t="n">
        <v>0.5</v>
      </c>
      <c r="H14276" t="n">
        <v>0</v>
      </c>
      <c r="I14276" t="n">
        <v>0</v>
      </c>
      <c r="J14276" t="n">
        <v>0</v>
      </c>
      <c r="K14276" t="n">
        <v>0</v>
      </c>
      <c r="L14276" t="n">
        <v>0</v>
      </c>
      <c r="M14276" t="n">
        <v>0</v>
      </c>
      <c r="N14276" t="n">
        <v>0</v>
      </c>
      <c r="O14276" t="n">
        <v>0</v>
      </c>
      <c r="P14276" t="n">
        <v>0</v>
      </c>
      <c r="Q14276" t="n">
        <v>0</v>
      </c>
      <c r="R14276" s="2" t="inlineStr"/>
    </row>
    <row r="14277" ht="15" customHeight="1">
      <c r="A14277" t="inlineStr">
        <is>
          <t>A 16152-2024</t>
        </is>
      </c>
      <c r="B14277" s="1" t="n">
        <v>45406.57743055555</v>
      </c>
      <c r="C14277" s="1" t="n">
        <v>45952</v>
      </c>
      <c r="D14277" t="inlineStr">
        <is>
          <t>VÄSTRA GÖTALANDS LÄN</t>
        </is>
      </c>
      <c r="E14277" t="inlineStr">
        <is>
          <t>TROLLHÄTTAN</t>
        </is>
      </c>
      <c r="G14277" t="n">
        <v>0.8</v>
      </c>
      <c r="H14277" t="n">
        <v>0</v>
      </c>
      <c r="I14277" t="n">
        <v>0</v>
      </c>
      <c r="J14277" t="n">
        <v>0</v>
      </c>
      <c r="K14277" t="n">
        <v>0</v>
      </c>
      <c r="L14277" t="n">
        <v>0</v>
      </c>
      <c r="M14277" t="n">
        <v>0</v>
      </c>
      <c r="N14277" t="n">
        <v>0</v>
      </c>
      <c r="O14277" t="n">
        <v>0</v>
      </c>
      <c r="P14277" t="n">
        <v>0</v>
      </c>
      <c r="Q14277" t="n">
        <v>0</v>
      </c>
      <c r="R14277" s="2" t="inlineStr"/>
    </row>
    <row r="14278" ht="15" customHeight="1">
      <c r="A14278" t="inlineStr">
        <is>
          <t>A 62643-2023</t>
        </is>
      </c>
      <c r="B14278" s="1" t="n">
        <v>45271.42447916666</v>
      </c>
      <c r="C14278" s="1" t="n">
        <v>45952</v>
      </c>
      <c r="D14278" t="inlineStr">
        <is>
          <t>VÄSTRA GÖTALANDS LÄN</t>
        </is>
      </c>
      <c r="E14278" t="inlineStr">
        <is>
          <t>FÄRGELANDA</t>
        </is>
      </c>
      <c r="G14278" t="n">
        <v>2</v>
      </c>
      <c r="H14278" t="n">
        <v>0</v>
      </c>
      <c r="I14278" t="n">
        <v>0</v>
      </c>
      <c r="J14278" t="n">
        <v>0</v>
      </c>
      <c r="K14278" t="n">
        <v>0</v>
      </c>
      <c r="L14278" t="n">
        <v>0</v>
      </c>
      <c r="M14278" t="n">
        <v>0</v>
      </c>
      <c r="N14278" t="n">
        <v>0</v>
      </c>
      <c r="O14278" t="n">
        <v>0</v>
      </c>
      <c r="P14278" t="n">
        <v>0</v>
      </c>
      <c r="Q14278" t="n">
        <v>0</v>
      </c>
      <c r="R14278" s="2" t="inlineStr"/>
    </row>
    <row r="14279" ht="15" customHeight="1">
      <c r="A14279" t="inlineStr">
        <is>
          <t>A 62671-2023</t>
        </is>
      </c>
      <c r="B14279" s="1" t="n">
        <v>45271.4643287037</v>
      </c>
      <c r="C14279" s="1" t="n">
        <v>45952</v>
      </c>
      <c r="D14279" t="inlineStr">
        <is>
          <t>VÄSTRA GÖTALANDS LÄN</t>
        </is>
      </c>
      <c r="E14279" t="inlineStr">
        <is>
          <t>ALINGSÅS</t>
        </is>
      </c>
      <c r="G14279" t="n">
        <v>1</v>
      </c>
      <c r="H14279" t="n">
        <v>0</v>
      </c>
      <c r="I14279" t="n">
        <v>0</v>
      </c>
      <c r="J14279" t="n">
        <v>0</v>
      </c>
      <c r="K14279" t="n">
        <v>0</v>
      </c>
      <c r="L14279" t="n">
        <v>0</v>
      </c>
      <c r="M14279" t="n">
        <v>0</v>
      </c>
      <c r="N14279" t="n">
        <v>0</v>
      </c>
      <c r="O14279" t="n">
        <v>0</v>
      </c>
      <c r="P14279" t="n">
        <v>0</v>
      </c>
      <c r="Q14279" t="n">
        <v>0</v>
      </c>
      <c r="R14279" s="2" t="inlineStr"/>
    </row>
    <row r="14280" ht="15" customHeight="1">
      <c r="A14280" t="inlineStr">
        <is>
          <t>A 62676-2023</t>
        </is>
      </c>
      <c r="B14280" s="1" t="n">
        <v>45271.4730787037</v>
      </c>
      <c r="C14280" s="1" t="n">
        <v>45952</v>
      </c>
      <c r="D14280" t="inlineStr">
        <is>
          <t>VÄSTRA GÖTALANDS LÄN</t>
        </is>
      </c>
      <c r="E14280" t="inlineStr">
        <is>
          <t>TANUM</t>
        </is>
      </c>
      <c r="G14280" t="n">
        <v>4.9</v>
      </c>
      <c r="H14280" t="n">
        <v>0</v>
      </c>
      <c r="I14280" t="n">
        <v>0</v>
      </c>
      <c r="J14280" t="n">
        <v>0</v>
      </c>
      <c r="K14280" t="n">
        <v>0</v>
      </c>
      <c r="L14280" t="n">
        <v>0</v>
      </c>
      <c r="M14280" t="n">
        <v>0</v>
      </c>
      <c r="N14280" t="n">
        <v>0</v>
      </c>
      <c r="O14280" t="n">
        <v>0</v>
      </c>
      <c r="P14280" t="n">
        <v>0</v>
      </c>
      <c r="Q14280" t="n">
        <v>0</v>
      </c>
      <c r="R14280" s="2" t="inlineStr"/>
    </row>
    <row r="14281" ht="15" customHeight="1">
      <c r="A14281" t="inlineStr">
        <is>
          <t>A 62683-2023</t>
        </is>
      </c>
      <c r="B14281" s="1" t="n">
        <v>45271.48655092593</v>
      </c>
      <c r="C14281" s="1" t="n">
        <v>45952</v>
      </c>
      <c r="D14281" t="inlineStr">
        <is>
          <t>VÄSTRA GÖTALANDS LÄN</t>
        </is>
      </c>
      <c r="E14281" t="inlineStr">
        <is>
          <t>TROLLHÄTTAN</t>
        </is>
      </c>
      <c r="G14281" t="n">
        <v>5.3</v>
      </c>
      <c r="H14281" t="n">
        <v>0</v>
      </c>
      <c r="I14281" t="n">
        <v>0</v>
      </c>
      <c r="J14281" t="n">
        <v>0</v>
      </c>
      <c r="K14281" t="n">
        <v>0</v>
      </c>
      <c r="L14281" t="n">
        <v>0</v>
      </c>
      <c r="M14281" t="n">
        <v>0</v>
      </c>
      <c r="N14281" t="n">
        <v>0</v>
      </c>
      <c r="O14281" t="n">
        <v>0</v>
      </c>
      <c r="P14281" t="n">
        <v>0</v>
      </c>
      <c r="Q14281" t="n">
        <v>0</v>
      </c>
      <c r="R14281" s="2" t="inlineStr"/>
    </row>
    <row r="14282" ht="15" customHeight="1">
      <c r="A14282" t="inlineStr">
        <is>
          <t>A 62710-2023</t>
        </is>
      </c>
      <c r="B14282" s="1" t="n">
        <v>45271</v>
      </c>
      <c r="C14282" s="1" t="n">
        <v>45952</v>
      </c>
      <c r="D14282" t="inlineStr">
        <is>
          <t>VÄSTRA GÖTALANDS LÄN</t>
        </is>
      </c>
      <c r="E14282" t="inlineStr">
        <is>
          <t>FALKÖPING</t>
        </is>
      </c>
      <c r="G14282" t="n">
        <v>2.9</v>
      </c>
      <c r="H14282" t="n">
        <v>0</v>
      </c>
      <c r="I14282" t="n">
        <v>0</v>
      </c>
      <c r="J14282" t="n">
        <v>0</v>
      </c>
      <c r="K14282" t="n">
        <v>0</v>
      </c>
      <c r="L14282" t="n">
        <v>0</v>
      </c>
      <c r="M14282" t="n">
        <v>0</v>
      </c>
      <c r="N14282" t="n">
        <v>0</v>
      </c>
      <c r="O14282" t="n">
        <v>0</v>
      </c>
      <c r="P14282" t="n">
        <v>0</v>
      </c>
      <c r="Q14282" t="n">
        <v>0</v>
      </c>
      <c r="R14282" s="2" t="inlineStr"/>
    </row>
    <row r="14283" ht="15" customHeight="1">
      <c r="A14283" t="inlineStr">
        <is>
          <t>A 4053-2025</t>
        </is>
      </c>
      <c r="B14283" s="1" t="n">
        <v>45684.61913194445</v>
      </c>
      <c r="C14283" s="1" t="n">
        <v>45952</v>
      </c>
      <c r="D14283" t="inlineStr">
        <is>
          <t>VÄSTRA GÖTALANDS LÄN</t>
        </is>
      </c>
      <c r="E14283" t="inlineStr">
        <is>
          <t>MUNKEDAL</t>
        </is>
      </c>
      <c r="F14283" t="inlineStr">
        <is>
          <t>Kommuner</t>
        </is>
      </c>
      <c r="G14283" t="n">
        <v>0.8</v>
      </c>
      <c r="H14283" t="n">
        <v>0</v>
      </c>
      <c r="I14283" t="n">
        <v>0</v>
      </c>
      <c r="J14283" t="n">
        <v>0</v>
      </c>
      <c r="K14283" t="n">
        <v>0</v>
      </c>
      <c r="L14283" t="n">
        <v>0</v>
      </c>
      <c r="M14283" t="n">
        <v>0</v>
      </c>
      <c r="N14283" t="n">
        <v>0</v>
      </c>
      <c r="O14283" t="n">
        <v>0</v>
      </c>
      <c r="P14283" t="n">
        <v>0</v>
      </c>
      <c r="Q14283" t="n">
        <v>0</v>
      </c>
      <c r="R14283" s="2" t="inlineStr"/>
    </row>
    <row r="14284" ht="15" customHeight="1">
      <c r="A14284" t="inlineStr">
        <is>
          <t>A 4057-2025</t>
        </is>
      </c>
      <c r="B14284" s="1" t="n">
        <v>45684.62246527777</v>
      </c>
      <c r="C14284" s="1" t="n">
        <v>45952</v>
      </c>
      <c r="D14284" t="inlineStr">
        <is>
          <t>VÄSTRA GÖTALANDS LÄN</t>
        </is>
      </c>
      <c r="E14284" t="inlineStr">
        <is>
          <t>TIDAHOLM</t>
        </is>
      </c>
      <c r="G14284" t="n">
        <v>3.6</v>
      </c>
      <c r="H14284" t="n">
        <v>0</v>
      </c>
      <c r="I14284" t="n">
        <v>0</v>
      </c>
      <c r="J14284" t="n">
        <v>0</v>
      </c>
      <c r="K14284" t="n">
        <v>0</v>
      </c>
      <c r="L14284" t="n">
        <v>0</v>
      </c>
      <c r="M14284" t="n">
        <v>0</v>
      </c>
      <c r="N14284" t="n">
        <v>0</v>
      </c>
      <c r="O14284" t="n">
        <v>0</v>
      </c>
      <c r="P14284" t="n">
        <v>0</v>
      </c>
      <c r="Q14284" t="n">
        <v>0</v>
      </c>
      <c r="R14284" s="2" t="inlineStr"/>
    </row>
    <row r="14285" ht="15" customHeight="1">
      <c r="A14285" t="inlineStr">
        <is>
          <t>A 4109-2025</t>
        </is>
      </c>
      <c r="B14285" s="1" t="n">
        <v>45684.69579861111</v>
      </c>
      <c r="C14285" s="1" t="n">
        <v>45952</v>
      </c>
      <c r="D14285" t="inlineStr">
        <is>
          <t>VÄSTRA GÖTALANDS LÄN</t>
        </is>
      </c>
      <c r="E14285" t="inlineStr">
        <is>
          <t>TÖREBODA</t>
        </is>
      </c>
      <c r="G14285" t="n">
        <v>2.6</v>
      </c>
      <c r="H14285" t="n">
        <v>0</v>
      </c>
      <c r="I14285" t="n">
        <v>0</v>
      </c>
      <c r="J14285" t="n">
        <v>0</v>
      </c>
      <c r="K14285" t="n">
        <v>0</v>
      </c>
      <c r="L14285" t="n">
        <v>0</v>
      </c>
      <c r="M14285" t="n">
        <v>0</v>
      </c>
      <c r="N14285" t="n">
        <v>0</v>
      </c>
      <c r="O14285" t="n">
        <v>0</v>
      </c>
      <c r="P14285" t="n">
        <v>0</v>
      </c>
      <c r="Q14285" t="n">
        <v>0</v>
      </c>
      <c r="R14285" s="2" t="inlineStr"/>
    </row>
    <row r="14286" ht="15" customHeight="1">
      <c r="A14286" t="inlineStr">
        <is>
          <t>A 15018-2023</t>
        </is>
      </c>
      <c r="B14286" s="1" t="n">
        <v>45015</v>
      </c>
      <c r="C14286" s="1" t="n">
        <v>45952</v>
      </c>
      <c r="D14286" t="inlineStr">
        <is>
          <t>VÄSTRA GÖTALANDS LÄN</t>
        </is>
      </c>
      <c r="E14286" t="inlineStr">
        <is>
          <t>ALINGSÅS</t>
        </is>
      </c>
      <c r="G14286" t="n">
        <v>4.1</v>
      </c>
      <c r="H14286" t="n">
        <v>0</v>
      </c>
      <c r="I14286" t="n">
        <v>0</v>
      </c>
      <c r="J14286" t="n">
        <v>0</v>
      </c>
      <c r="K14286" t="n">
        <v>0</v>
      </c>
      <c r="L14286" t="n">
        <v>0</v>
      </c>
      <c r="M14286" t="n">
        <v>0</v>
      </c>
      <c r="N14286" t="n">
        <v>0</v>
      </c>
      <c r="O14286" t="n">
        <v>0</v>
      </c>
      <c r="P14286" t="n">
        <v>0</v>
      </c>
      <c r="Q14286" t="n">
        <v>0</v>
      </c>
      <c r="R14286" s="2" t="inlineStr"/>
    </row>
    <row r="14287" ht="15" customHeight="1">
      <c r="A14287" t="inlineStr">
        <is>
          <t>A 54877-2023</t>
        </is>
      </c>
      <c r="B14287" s="1" t="n">
        <v>45229</v>
      </c>
      <c r="C14287" s="1" t="n">
        <v>45952</v>
      </c>
      <c r="D14287" t="inlineStr">
        <is>
          <t>VÄSTRA GÖTALANDS LÄN</t>
        </is>
      </c>
      <c r="E14287" t="inlineStr">
        <is>
          <t>ÅMÅL</t>
        </is>
      </c>
      <c r="G14287" t="n">
        <v>9</v>
      </c>
      <c r="H14287" t="n">
        <v>0</v>
      </c>
      <c r="I14287" t="n">
        <v>0</v>
      </c>
      <c r="J14287" t="n">
        <v>0</v>
      </c>
      <c r="K14287" t="n">
        <v>0</v>
      </c>
      <c r="L14287" t="n">
        <v>0</v>
      </c>
      <c r="M14287" t="n">
        <v>0</v>
      </c>
      <c r="N14287" t="n">
        <v>0</v>
      </c>
      <c r="O14287" t="n">
        <v>0</v>
      </c>
      <c r="P14287" t="n">
        <v>0</v>
      </c>
      <c r="Q14287" t="n">
        <v>0</v>
      </c>
      <c r="R14287" s="2" t="inlineStr"/>
    </row>
    <row r="14288" ht="15" customHeight="1">
      <c r="A14288" t="inlineStr">
        <is>
          <t>A 60239-2024</t>
        </is>
      </c>
      <c r="B14288" s="1" t="n">
        <v>45642.78518518519</v>
      </c>
      <c r="C14288" s="1" t="n">
        <v>45952</v>
      </c>
      <c r="D14288" t="inlineStr">
        <is>
          <t>VÄSTRA GÖTALANDS LÄN</t>
        </is>
      </c>
      <c r="E14288" t="inlineStr">
        <is>
          <t>FALKÖPING</t>
        </is>
      </c>
      <c r="G14288" t="n">
        <v>0.3</v>
      </c>
      <c r="H14288" t="n">
        <v>0</v>
      </c>
      <c r="I14288" t="n">
        <v>0</v>
      </c>
      <c r="J14288" t="n">
        <v>0</v>
      </c>
      <c r="K14288" t="n">
        <v>0</v>
      </c>
      <c r="L14288" t="n">
        <v>0</v>
      </c>
      <c r="M14288" t="n">
        <v>0</v>
      </c>
      <c r="N14288" t="n">
        <v>0</v>
      </c>
      <c r="O14288" t="n">
        <v>0</v>
      </c>
      <c r="P14288" t="n">
        <v>0</v>
      </c>
      <c r="Q14288" t="n">
        <v>0</v>
      </c>
      <c r="R14288" s="2" t="inlineStr"/>
    </row>
    <row r="14289" ht="15" customHeight="1">
      <c r="A14289" t="inlineStr">
        <is>
          <t>A 60240-2024</t>
        </is>
      </c>
      <c r="B14289" s="1" t="n">
        <v>45642.79180555556</v>
      </c>
      <c r="C14289" s="1" t="n">
        <v>45952</v>
      </c>
      <c r="D14289" t="inlineStr">
        <is>
          <t>VÄSTRA GÖTALANDS LÄN</t>
        </is>
      </c>
      <c r="E14289" t="inlineStr">
        <is>
          <t>FALKÖPING</t>
        </is>
      </c>
      <c r="G14289" t="n">
        <v>3</v>
      </c>
      <c r="H14289" t="n">
        <v>0</v>
      </c>
      <c r="I14289" t="n">
        <v>0</v>
      </c>
      <c r="J14289" t="n">
        <v>0</v>
      </c>
      <c r="K14289" t="n">
        <v>0</v>
      </c>
      <c r="L14289" t="n">
        <v>0</v>
      </c>
      <c r="M14289" t="n">
        <v>0</v>
      </c>
      <c r="N14289" t="n">
        <v>0</v>
      </c>
      <c r="O14289" t="n">
        <v>0</v>
      </c>
      <c r="P14289" t="n">
        <v>0</v>
      </c>
      <c r="Q14289" t="n">
        <v>0</v>
      </c>
      <c r="R14289" s="2" t="inlineStr"/>
    </row>
    <row r="14290" ht="15" customHeight="1">
      <c r="A14290" t="inlineStr">
        <is>
          <t>A 60258-2024</t>
        </is>
      </c>
      <c r="B14290" s="1" t="n">
        <v>45642</v>
      </c>
      <c r="C14290" s="1" t="n">
        <v>45952</v>
      </c>
      <c r="D14290" t="inlineStr">
        <is>
          <t>VÄSTRA GÖTALANDS LÄN</t>
        </is>
      </c>
      <c r="E14290" t="inlineStr">
        <is>
          <t>TIBRO</t>
        </is>
      </c>
      <c r="G14290" t="n">
        <v>1.3</v>
      </c>
      <c r="H14290" t="n">
        <v>0</v>
      </c>
      <c r="I14290" t="n">
        <v>0</v>
      </c>
      <c r="J14290" t="n">
        <v>0</v>
      </c>
      <c r="K14290" t="n">
        <v>0</v>
      </c>
      <c r="L14290" t="n">
        <v>0</v>
      </c>
      <c r="M14290" t="n">
        <v>0</v>
      </c>
      <c r="N14290" t="n">
        <v>0</v>
      </c>
      <c r="O14290" t="n">
        <v>0</v>
      </c>
      <c r="P14290" t="n">
        <v>0</v>
      </c>
      <c r="Q14290" t="n">
        <v>0</v>
      </c>
      <c r="R14290" s="2" t="inlineStr"/>
    </row>
    <row r="14291" ht="15" customHeight="1">
      <c r="A14291" t="inlineStr">
        <is>
          <t>A 60259-2024</t>
        </is>
      </c>
      <c r="B14291" s="1" t="n">
        <v>45642</v>
      </c>
      <c r="C14291" s="1" t="n">
        <v>45952</v>
      </c>
      <c r="D14291" t="inlineStr">
        <is>
          <t>VÄSTRA GÖTALANDS LÄN</t>
        </is>
      </c>
      <c r="E14291" t="inlineStr">
        <is>
          <t>TIBRO</t>
        </is>
      </c>
      <c r="G14291" t="n">
        <v>0.9</v>
      </c>
      <c r="H14291" t="n">
        <v>0</v>
      </c>
      <c r="I14291" t="n">
        <v>0</v>
      </c>
      <c r="J14291" t="n">
        <v>0</v>
      </c>
      <c r="K14291" t="n">
        <v>0</v>
      </c>
      <c r="L14291" t="n">
        <v>0</v>
      </c>
      <c r="M14291" t="n">
        <v>0</v>
      </c>
      <c r="N14291" t="n">
        <v>0</v>
      </c>
      <c r="O14291" t="n">
        <v>0</v>
      </c>
      <c r="P14291" t="n">
        <v>0</v>
      </c>
      <c r="Q14291" t="n">
        <v>0</v>
      </c>
      <c r="R14291" s="2" t="inlineStr"/>
    </row>
    <row r="14292" ht="15" customHeight="1">
      <c r="A14292" t="inlineStr">
        <is>
          <t>A 20118-2025</t>
        </is>
      </c>
      <c r="B14292" s="1" t="n">
        <v>45772.48673611111</v>
      </c>
      <c r="C14292" s="1" t="n">
        <v>45952</v>
      </c>
      <c r="D14292" t="inlineStr">
        <is>
          <t>VÄSTRA GÖTALANDS LÄN</t>
        </is>
      </c>
      <c r="E14292" t="inlineStr">
        <is>
          <t>BENGTSFORS</t>
        </is>
      </c>
      <c r="G14292" t="n">
        <v>4.4</v>
      </c>
      <c r="H14292" t="n">
        <v>0</v>
      </c>
      <c r="I14292" t="n">
        <v>0</v>
      </c>
      <c r="J14292" t="n">
        <v>0</v>
      </c>
      <c r="K14292" t="n">
        <v>0</v>
      </c>
      <c r="L14292" t="n">
        <v>0</v>
      </c>
      <c r="M14292" t="n">
        <v>0</v>
      </c>
      <c r="N14292" t="n">
        <v>0</v>
      </c>
      <c r="O14292" t="n">
        <v>0</v>
      </c>
      <c r="P14292" t="n">
        <v>0</v>
      </c>
      <c r="Q14292" t="n">
        <v>0</v>
      </c>
      <c r="R14292" s="2" t="inlineStr"/>
    </row>
    <row r="14293" ht="15" customHeight="1">
      <c r="A14293" t="inlineStr">
        <is>
          <t>A 20167-2025</t>
        </is>
      </c>
      <c r="B14293" s="1" t="n">
        <v>45772.57635416667</v>
      </c>
      <c r="C14293" s="1" t="n">
        <v>45952</v>
      </c>
      <c r="D14293" t="inlineStr">
        <is>
          <t>VÄSTRA GÖTALANDS LÄN</t>
        </is>
      </c>
      <c r="E14293" t="inlineStr">
        <is>
          <t>BENGTSFORS</t>
        </is>
      </c>
      <c r="G14293" t="n">
        <v>1.3</v>
      </c>
      <c r="H14293" t="n">
        <v>0</v>
      </c>
      <c r="I14293" t="n">
        <v>0</v>
      </c>
      <c r="J14293" t="n">
        <v>0</v>
      </c>
      <c r="K14293" t="n">
        <v>0</v>
      </c>
      <c r="L14293" t="n">
        <v>0</v>
      </c>
      <c r="M14293" t="n">
        <v>0</v>
      </c>
      <c r="N14293" t="n">
        <v>0</v>
      </c>
      <c r="O14293" t="n">
        <v>0</v>
      </c>
      <c r="P14293" t="n">
        <v>0</v>
      </c>
      <c r="Q14293" t="n">
        <v>0</v>
      </c>
      <c r="R14293" s="2" t="inlineStr"/>
    </row>
    <row r="14294" ht="15" customHeight="1">
      <c r="A14294" t="inlineStr">
        <is>
          <t>A 23046-2024</t>
        </is>
      </c>
      <c r="B14294" s="1" t="n">
        <v>45450.4240625</v>
      </c>
      <c r="C14294" s="1" t="n">
        <v>45952</v>
      </c>
      <c r="D14294" t="inlineStr">
        <is>
          <t>VÄSTRA GÖTALANDS LÄN</t>
        </is>
      </c>
      <c r="E14294" t="inlineStr">
        <is>
          <t>ORUST</t>
        </is>
      </c>
      <c r="G14294" t="n">
        <v>4.2</v>
      </c>
      <c r="H14294" t="n">
        <v>0</v>
      </c>
      <c r="I14294" t="n">
        <v>0</v>
      </c>
      <c r="J14294" t="n">
        <v>0</v>
      </c>
      <c r="K14294" t="n">
        <v>0</v>
      </c>
      <c r="L14294" t="n">
        <v>0</v>
      </c>
      <c r="M14294" t="n">
        <v>0</v>
      </c>
      <c r="N14294" t="n">
        <v>0</v>
      </c>
      <c r="O14294" t="n">
        <v>0</v>
      </c>
      <c r="P14294" t="n">
        <v>0</v>
      </c>
      <c r="Q14294" t="n">
        <v>0</v>
      </c>
      <c r="R14294" s="2" t="inlineStr"/>
    </row>
    <row r="14295" ht="15" customHeight="1">
      <c r="A14295" t="inlineStr">
        <is>
          <t>A 9826-2025</t>
        </is>
      </c>
      <c r="B14295" s="1" t="n">
        <v>45716.57733796296</v>
      </c>
      <c r="C14295" s="1" t="n">
        <v>45952</v>
      </c>
      <c r="D14295" t="inlineStr">
        <is>
          <t>VÄSTRA GÖTALANDS LÄN</t>
        </is>
      </c>
      <c r="E14295" t="inlineStr">
        <is>
          <t>TRANEMO</t>
        </is>
      </c>
      <c r="F14295" t="inlineStr">
        <is>
          <t>Kyrkan</t>
        </is>
      </c>
      <c r="G14295" t="n">
        <v>1.1</v>
      </c>
      <c r="H14295" t="n">
        <v>0</v>
      </c>
      <c r="I14295" t="n">
        <v>0</v>
      </c>
      <c r="J14295" t="n">
        <v>0</v>
      </c>
      <c r="K14295" t="n">
        <v>0</v>
      </c>
      <c r="L14295" t="n">
        <v>0</v>
      </c>
      <c r="M14295" t="n">
        <v>0</v>
      </c>
      <c r="N14295" t="n">
        <v>0</v>
      </c>
      <c r="O14295" t="n">
        <v>0</v>
      </c>
      <c r="P14295" t="n">
        <v>0</v>
      </c>
      <c r="Q14295" t="n">
        <v>0</v>
      </c>
      <c r="R14295" s="2" t="inlineStr"/>
    </row>
    <row r="14296" ht="15" customHeight="1">
      <c r="A14296" t="inlineStr">
        <is>
          <t>A 61443-2022</t>
        </is>
      </c>
      <c r="B14296" s="1" t="n">
        <v>44909</v>
      </c>
      <c r="C14296" s="1" t="n">
        <v>45952</v>
      </c>
      <c r="D14296" t="inlineStr">
        <is>
          <t>VÄSTRA GÖTALANDS LÄN</t>
        </is>
      </c>
      <c r="E14296" t="inlineStr">
        <is>
          <t>TROLLHÄTTAN</t>
        </is>
      </c>
      <c r="G14296" t="n">
        <v>3.2</v>
      </c>
      <c r="H14296" t="n">
        <v>0</v>
      </c>
      <c r="I14296" t="n">
        <v>0</v>
      </c>
      <c r="J14296" t="n">
        <v>0</v>
      </c>
      <c r="K14296" t="n">
        <v>0</v>
      </c>
      <c r="L14296" t="n">
        <v>0</v>
      </c>
      <c r="M14296" t="n">
        <v>0</v>
      </c>
      <c r="N14296" t="n">
        <v>0</v>
      </c>
      <c r="O14296" t="n">
        <v>0</v>
      </c>
      <c r="P14296" t="n">
        <v>0</v>
      </c>
      <c r="Q14296" t="n">
        <v>0</v>
      </c>
      <c r="R14296" s="2" t="inlineStr"/>
    </row>
    <row r="14297" ht="15" customHeight="1">
      <c r="A14297" t="inlineStr">
        <is>
          <t>A 19370-2023</t>
        </is>
      </c>
      <c r="B14297" s="1" t="n">
        <v>45049</v>
      </c>
      <c r="C14297" s="1" t="n">
        <v>45952</v>
      </c>
      <c r="D14297" t="inlineStr">
        <is>
          <t>VÄSTRA GÖTALANDS LÄN</t>
        </is>
      </c>
      <c r="E14297" t="inlineStr">
        <is>
          <t>DALS-ED</t>
        </is>
      </c>
      <c r="G14297" t="n">
        <v>1.9</v>
      </c>
      <c r="H14297" t="n">
        <v>0</v>
      </c>
      <c r="I14297" t="n">
        <v>0</v>
      </c>
      <c r="J14297" t="n">
        <v>0</v>
      </c>
      <c r="K14297" t="n">
        <v>0</v>
      </c>
      <c r="L14297" t="n">
        <v>0</v>
      </c>
      <c r="M14297" t="n">
        <v>0</v>
      </c>
      <c r="N14297" t="n">
        <v>0</v>
      </c>
      <c r="O14297" t="n">
        <v>0</v>
      </c>
      <c r="P14297" t="n">
        <v>0</v>
      </c>
      <c r="Q14297" t="n">
        <v>0</v>
      </c>
      <c r="R14297" s="2" t="inlineStr"/>
    </row>
    <row r="14298" ht="15" customHeight="1">
      <c r="A14298" t="inlineStr">
        <is>
          <t>A 19373-2023</t>
        </is>
      </c>
      <c r="B14298" s="1" t="n">
        <v>45049.6524537037</v>
      </c>
      <c r="C14298" s="1" t="n">
        <v>45952</v>
      </c>
      <c r="D14298" t="inlineStr">
        <is>
          <t>VÄSTRA GÖTALANDS LÄN</t>
        </is>
      </c>
      <c r="E14298" t="inlineStr">
        <is>
          <t>DALS-ED</t>
        </is>
      </c>
      <c r="G14298" t="n">
        <v>3.5</v>
      </c>
      <c r="H14298" t="n">
        <v>0</v>
      </c>
      <c r="I14298" t="n">
        <v>0</v>
      </c>
      <c r="J14298" t="n">
        <v>0</v>
      </c>
      <c r="K14298" t="n">
        <v>0</v>
      </c>
      <c r="L14298" t="n">
        <v>0</v>
      </c>
      <c r="M14298" t="n">
        <v>0</v>
      </c>
      <c r="N14298" t="n">
        <v>0</v>
      </c>
      <c r="O14298" t="n">
        <v>0</v>
      </c>
      <c r="P14298" t="n">
        <v>0</v>
      </c>
      <c r="Q14298" t="n">
        <v>0</v>
      </c>
      <c r="R14298" s="2" t="inlineStr"/>
    </row>
    <row r="14299" ht="15" customHeight="1">
      <c r="A14299" t="inlineStr">
        <is>
          <t>A 62270-2023</t>
        </is>
      </c>
      <c r="B14299" s="1" t="n">
        <v>45266</v>
      </c>
      <c r="C14299" s="1" t="n">
        <v>45952</v>
      </c>
      <c r="D14299" t="inlineStr">
        <is>
          <t>VÄSTRA GÖTALANDS LÄN</t>
        </is>
      </c>
      <c r="E14299" t="inlineStr">
        <is>
          <t>HERRLJUNGA</t>
        </is>
      </c>
      <c r="G14299" t="n">
        <v>2.5</v>
      </c>
      <c r="H14299" t="n">
        <v>0</v>
      </c>
      <c r="I14299" t="n">
        <v>0</v>
      </c>
      <c r="J14299" t="n">
        <v>0</v>
      </c>
      <c r="K14299" t="n">
        <v>0</v>
      </c>
      <c r="L14299" t="n">
        <v>0</v>
      </c>
      <c r="M14299" t="n">
        <v>0</v>
      </c>
      <c r="N14299" t="n">
        <v>0</v>
      </c>
      <c r="O14299" t="n">
        <v>0</v>
      </c>
      <c r="P14299" t="n">
        <v>0</v>
      </c>
      <c r="Q14299" t="n">
        <v>0</v>
      </c>
      <c r="R14299" s="2" t="inlineStr"/>
    </row>
    <row r="14300" ht="15" customHeight="1">
      <c r="A14300" t="inlineStr">
        <is>
          <t>A 18296-2021</t>
        </is>
      </c>
      <c r="B14300" s="1" t="n">
        <v>44305.44487268518</v>
      </c>
      <c r="C14300" s="1" t="n">
        <v>45952</v>
      </c>
      <c r="D14300" t="inlineStr">
        <is>
          <t>VÄSTRA GÖTALANDS LÄN</t>
        </is>
      </c>
      <c r="E14300" t="inlineStr">
        <is>
          <t>UDDEVALLA</t>
        </is>
      </c>
      <c r="G14300" t="n">
        <v>2.2</v>
      </c>
      <c r="H14300" t="n">
        <v>0</v>
      </c>
      <c r="I14300" t="n">
        <v>0</v>
      </c>
      <c r="J14300" t="n">
        <v>0</v>
      </c>
      <c r="K14300" t="n">
        <v>0</v>
      </c>
      <c r="L14300" t="n">
        <v>0</v>
      </c>
      <c r="M14300" t="n">
        <v>0</v>
      </c>
      <c r="N14300" t="n">
        <v>0</v>
      </c>
      <c r="O14300" t="n">
        <v>0</v>
      </c>
      <c r="P14300" t="n">
        <v>0</v>
      </c>
      <c r="Q14300" t="n">
        <v>0</v>
      </c>
      <c r="R14300" s="2" t="inlineStr"/>
    </row>
    <row r="14301" ht="15" customHeight="1">
      <c r="A14301" t="inlineStr">
        <is>
          <t>A 39621-2023</t>
        </is>
      </c>
      <c r="B14301" s="1" t="n">
        <v>45167</v>
      </c>
      <c r="C14301" s="1" t="n">
        <v>45952</v>
      </c>
      <c r="D14301" t="inlineStr">
        <is>
          <t>VÄSTRA GÖTALANDS LÄN</t>
        </is>
      </c>
      <c r="E14301" t="inlineStr">
        <is>
          <t>UDDEVALLA</t>
        </is>
      </c>
      <c r="G14301" t="n">
        <v>1.5</v>
      </c>
      <c r="H14301" t="n">
        <v>0</v>
      </c>
      <c r="I14301" t="n">
        <v>0</v>
      </c>
      <c r="J14301" t="n">
        <v>0</v>
      </c>
      <c r="K14301" t="n">
        <v>0</v>
      </c>
      <c r="L14301" t="n">
        <v>0</v>
      </c>
      <c r="M14301" t="n">
        <v>0</v>
      </c>
      <c r="N14301" t="n">
        <v>0</v>
      </c>
      <c r="O14301" t="n">
        <v>0</v>
      </c>
      <c r="P14301" t="n">
        <v>0</v>
      </c>
      <c r="Q14301" t="n">
        <v>0</v>
      </c>
      <c r="R14301" s="2" t="inlineStr"/>
    </row>
    <row r="14302" ht="15" customHeight="1">
      <c r="A14302" t="inlineStr">
        <is>
          <t>A 8620-2023</t>
        </is>
      </c>
      <c r="B14302" s="1" t="n">
        <v>44977.82046296296</v>
      </c>
      <c r="C14302" s="1" t="n">
        <v>45952</v>
      </c>
      <c r="D14302" t="inlineStr">
        <is>
          <t>VÄSTRA GÖTALANDS LÄN</t>
        </is>
      </c>
      <c r="E14302" t="inlineStr">
        <is>
          <t>ALINGSÅS</t>
        </is>
      </c>
      <c r="G14302" t="n">
        <v>1.4</v>
      </c>
      <c r="H14302" t="n">
        <v>0</v>
      </c>
      <c r="I14302" t="n">
        <v>0</v>
      </c>
      <c r="J14302" t="n">
        <v>0</v>
      </c>
      <c r="K14302" t="n">
        <v>0</v>
      </c>
      <c r="L14302" t="n">
        <v>0</v>
      </c>
      <c r="M14302" t="n">
        <v>0</v>
      </c>
      <c r="N14302" t="n">
        <v>0</v>
      </c>
      <c r="O14302" t="n">
        <v>0</v>
      </c>
      <c r="P14302" t="n">
        <v>0</v>
      </c>
      <c r="Q14302" t="n">
        <v>0</v>
      </c>
      <c r="R14302" s="2" t="inlineStr"/>
    </row>
    <row r="14303" ht="15" customHeight="1">
      <c r="A14303" t="inlineStr">
        <is>
          <t>A 51012-2023</t>
        </is>
      </c>
      <c r="B14303" s="1" t="n">
        <v>45218.57846064815</v>
      </c>
      <c r="C14303" s="1" t="n">
        <v>45952</v>
      </c>
      <c r="D14303" t="inlineStr">
        <is>
          <t>VÄSTRA GÖTALANDS LÄN</t>
        </is>
      </c>
      <c r="E14303" t="inlineStr">
        <is>
          <t>HÄRRYDA</t>
        </is>
      </c>
      <c r="F14303" t="inlineStr">
        <is>
          <t>Sveaskog</t>
        </is>
      </c>
      <c r="G14303" t="n">
        <v>1.1</v>
      </c>
      <c r="H14303" t="n">
        <v>0</v>
      </c>
      <c r="I14303" t="n">
        <v>0</v>
      </c>
      <c r="J14303" t="n">
        <v>0</v>
      </c>
      <c r="K14303" t="n">
        <v>0</v>
      </c>
      <c r="L14303" t="n">
        <v>0</v>
      </c>
      <c r="M14303" t="n">
        <v>0</v>
      </c>
      <c r="N14303" t="n">
        <v>0</v>
      </c>
      <c r="O14303" t="n">
        <v>0</v>
      </c>
      <c r="P14303" t="n">
        <v>0</v>
      </c>
      <c r="Q14303" t="n">
        <v>0</v>
      </c>
      <c r="R14303" s="2" t="inlineStr"/>
    </row>
    <row r="14304" ht="15" customHeight="1">
      <c r="A14304" t="inlineStr">
        <is>
          <t>A 27328-2024</t>
        </is>
      </c>
      <c r="B14304" s="1" t="n">
        <v>45472.47465277778</v>
      </c>
      <c r="C14304" s="1" t="n">
        <v>45952</v>
      </c>
      <c r="D14304" t="inlineStr">
        <is>
          <t>VÄSTRA GÖTALANDS LÄN</t>
        </is>
      </c>
      <c r="E14304" t="inlineStr">
        <is>
          <t>TRANEMO</t>
        </is>
      </c>
      <c r="G14304" t="n">
        <v>0.9</v>
      </c>
      <c r="H14304" t="n">
        <v>0</v>
      </c>
      <c r="I14304" t="n">
        <v>0</v>
      </c>
      <c r="J14304" t="n">
        <v>0</v>
      </c>
      <c r="K14304" t="n">
        <v>0</v>
      </c>
      <c r="L14304" t="n">
        <v>0</v>
      </c>
      <c r="M14304" t="n">
        <v>0</v>
      </c>
      <c r="N14304" t="n">
        <v>0</v>
      </c>
      <c r="O14304" t="n">
        <v>0</v>
      </c>
      <c r="P14304" t="n">
        <v>0</v>
      </c>
      <c r="Q14304" t="n">
        <v>0</v>
      </c>
      <c r="R14304" s="2" t="inlineStr"/>
    </row>
    <row r="14305" ht="15" customHeight="1">
      <c r="A14305" t="inlineStr">
        <is>
          <t>A 39707-2023</t>
        </is>
      </c>
      <c r="B14305" s="1" t="n">
        <v>45167.60839120371</v>
      </c>
      <c r="C14305" s="1" t="n">
        <v>45952</v>
      </c>
      <c r="D14305" t="inlineStr">
        <is>
          <t>VÄSTRA GÖTALANDS LÄN</t>
        </is>
      </c>
      <c r="E14305" t="inlineStr">
        <is>
          <t>SVENLJUNGA</t>
        </is>
      </c>
      <c r="G14305" t="n">
        <v>3.4</v>
      </c>
      <c r="H14305" t="n">
        <v>0</v>
      </c>
      <c r="I14305" t="n">
        <v>0</v>
      </c>
      <c r="J14305" t="n">
        <v>0</v>
      </c>
      <c r="K14305" t="n">
        <v>0</v>
      </c>
      <c r="L14305" t="n">
        <v>0</v>
      </c>
      <c r="M14305" t="n">
        <v>0</v>
      </c>
      <c r="N14305" t="n">
        <v>0</v>
      </c>
      <c r="O14305" t="n">
        <v>0</v>
      </c>
      <c r="P14305" t="n">
        <v>0</v>
      </c>
      <c r="Q14305" t="n">
        <v>0</v>
      </c>
      <c r="R14305" s="2" t="inlineStr"/>
    </row>
    <row r="14306" ht="15" customHeight="1">
      <c r="A14306" t="inlineStr">
        <is>
          <t>A 4480-2023</t>
        </is>
      </c>
      <c r="B14306" s="1" t="n">
        <v>44956.51046296296</v>
      </c>
      <c r="C14306" s="1" t="n">
        <v>45952</v>
      </c>
      <c r="D14306" t="inlineStr">
        <is>
          <t>VÄSTRA GÖTALANDS LÄN</t>
        </is>
      </c>
      <c r="E14306" t="inlineStr">
        <is>
          <t>BENGTSFORS</t>
        </is>
      </c>
      <c r="G14306" t="n">
        <v>2.3</v>
      </c>
      <c r="H14306" t="n">
        <v>0</v>
      </c>
      <c r="I14306" t="n">
        <v>0</v>
      </c>
      <c r="J14306" t="n">
        <v>0</v>
      </c>
      <c r="K14306" t="n">
        <v>0</v>
      </c>
      <c r="L14306" t="n">
        <v>0</v>
      </c>
      <c r="M14306" t="n">
        <v>0</v>
      </c>
      <c r="N14306" t="n">
        <v>0</v>
      </c>
      <c r="O14306" t="n">
        <v>0</v>
      </c>
      <c r="P14306" t="n">
        <v>0</v>
      </c>
      <c r="Q14306" t="n">
        <v>0</v>
      </c>
      <c r="R14306" s="2" t="inlineStr"/>
    </row>
    <row r="14307" ht="15" customHeight="1">
      <c r="A14307" t="inlineStr">
        <is>
          <t>A 16422-2023</t>
        </is>
      </c>
      <c r="B14307" s="1" t="n">
        <v>45029.43778935185</v>
      </c>
      <c r="C14307" s="1" t="n">
        <v>45952</v>
      </c>
      <c r="D14307" t="inlineStr">
        <is>
          <t>VÄSTRA GÖTALANDS LÄN</t>
        </is>
      </c>
      <c r="E14307" t="inlineStr">
        <is>
          <t>BENGTSFORS</t>
        </is>
      </c>
      <c r="G14307" t="n">
        <v>11.6</v>
      </c>
      <c r="H14307" t="n">
        <v>0</v>
      </c>
      <c r="I14307" t="n">
        <v>0</v>
      </c>
      <c r="J14307" t="n">
        <v>0</v>
      </c>
      <c r="K14307" t="n">
        <v>0</v>
      </c>
      <c r="L14307" t="n">
        <v>0</v>
      </c>
      <c r="M14307" t="n">
        <v>0</v>
      </c>
      <c r="N14307" t="n">
        <v>0</v>
      </c>
      <c r="O14307" t="n">
        <v>0</v>
      </c>
      <c r="P14307" t="n">
        <v>0</v>
      </c>
      <c r="Q14307" t="n">
        <v>0</v>
      </c>
      <c r="R14307" s="2" t="inlineStr"/>
    </row>
    <row r="14308" ht="15" customHeight="1">
      <c r="A14308" t="inlineStr">
        <is>
          <t>A 25711-2021</t>
        </is>
      </c>
      <c r="B14308" s="1" t="n">
        <v>44343.60782407408</v>
      </c>
      <c r="C14308" s="1" t="n">
        <v>45952</v>
      </c>
      <c r="D14308" t="inlineStr">
        <is>
          <t>VÄSTRA GÖTALANDS LÄN</t>
        </is>
      </c>
      <c r="E14308" t="inlineStr">
        <is>
          <t>SVENLJUNGA</t>
        </is>
      </c>
      <c r="G14308" t="n">
        <v>0.3</v>
      </c>
      <c r="H14308" t="n">
        <v>0</v>
      </c>
      <c r="I14308" t="n">
        <v>0</v>
      </c>
      <c r="J14308" t="n">
        <v>0</v>
      </c>
      <c r="K14308" t="n">
        <v>0</v>
      </c>
      <c r="L14308" t="n">
        <v>0</v>
      </c>
      <c r="M14308" t="n">
        <v>0</v>
      </c>
      <c r="N14308" t="n">
        <v>0</v>
      </c>
      <c r="O14308" t="n">
        <v>0</v>
      </c>
      <c r="P14308" t="n">
        <v>0</v>
      </c>
      <c r="Q14308" t="n">
        <v>0</v>
      </c>
      <c r="R14308" s="2" t="inlineStr"/>
    </row>
    <row r="14309" ht="15" customHeight="1">
      <c r="A14309" t="inlineStr">
        <is>
          <t>A 24522-2024</t>
        </is>
      </c>
      <c r="B14309" s="1" t="n">
        <v>45458</v>
      </c>
      <c r="C14309" s="1" t="n">
        <v>45952</v>
      </c>
      <c r="D14309" t="inlineStr">
        <is>
          <t>VÄSTRA GÖTALANDS LÄN</t>
        </is>
      </c>
      <c r="E14309" t="inlineStr">
        <is>
          <t>MUNKEDAL</t>
        </is>
      </c>
      <c r="G14309" t="n">
        <v>1.8</v>
      </c>
      <c r="H14309" t="n">
        <v>0</v>
      </c>
      <c r="I14309" t="n">
        <v>0</v>
      </c>
      <c r="J14309" t="n">
        <v>0</v>
      </c>
      <c r="K14309" t="n">
        <v>0</v>
      </c>
      <c r="L14309" t="n">
        <v>0</v>
      </c>
      <c r="M14309" t="n">
        <v>0</v>
      </c>
      <c r="N14309" t="n">
        <v>0</v>
      </c>
      <c r="O14309" t="n">
        <v>0</v>
      </c>
      <c r="P14309" t="n">
        <v>0</v>
      </c>
      <c r="Q14309" t="n">
        <v>0</v>
      </c>
      <c r="R14309" s="2" t="inlineStr"/>
    </row>
    <row r="14310" ht="15" customHeight="1">
      <c r="A14310" t="inlineStr">
        <is>
          <t>A 55202-2024</t>
        </is>
      </c>
      <c r="B14310" s="1" t="n">
        <v>45621.559375</v>
      </c>
      <c r="C14310" s="1" t="n">
        <v>45952</v>
      </c>
      <c r="D14310" t="inlineStr">
        <is>
          <t>VÄSTRA GÖTALANDS LÄN</t>
        </is>
      </c>
      <c r="E14310" t="inlineStr">
        <is>
          <t>SKARA</t>
        </is>
      </c>
      <c r="G14310" t="n">
        <v>4.4</v>
      </c>
      <c r="H14310" t="n">
        <v>0</v>
      </c>
      <c r="I14310" t="n">
        <v>0</v>
      </c>
      <c r="J14310" t="n">
        <v>0</v>
      </c>
      <c r="K14310" t="n">
        <v>0</v>
      </c>
      <c r="L14310" t="n">
        <v>0</v>
      </c>
      <c r="M14310" t="n">
        <v>0</v>
      </c>
      <c r="N14310" t="n">
        <v>0</v>
      </c>
      <c r="O14310" t="n">
        <v>0</v>
      </c>
      <c r="P14310" t="n">
        <v>0</v>
      </c>
      <c r="Q14310" t="n">
        <v>0</v>
      </c>
      <c r="R14310" s="2" t="inlineStr"/>
    </row>
    <row r="14311" ht="15" customHeight="1">
      <c r="A14311" t="inlineStr">
        <is>
          <t>A 55206-2024</t>
        </is>
      </c>
      <c r="B14311" s="1" t="n">
        <v>45621.56325231482</v>
      </c>
      <c r="C14311" s="1" t="n">
        <v>45952</v>
      </c>
      <c r="D14311" t="inlineStr">
        <is>
          <t>VÄSTRA GÖTALANDS LÄN</t>
        </is>
      </c>
      <c r="E14311" t="inlineStr">
        <is>
          <t>SVENLJUNGA</t>
        </is>
      </c>
      <c r="G14311" t="n">
        <v>1.6</v>
      </c>
      <c r="H14311" t="n">
        <v>0</v>
      </c>
      <c r="I14311" t="n">
        <v>0</v>
      </c>
      <c r="J14311" t="n">
        <v>0</v>
      </c>
      <c r="K14311" t="n">
        <v>0</v>
      </c>
      <c r="L14311" t="n">
        <v>0</v>
      </c>
      <c r="M14311" t="n">
        <v>0</v>
      </c>
      <c r="N14311" t="n">
        <v>0</v>
      </c>
      <c r="O14311" t="n">
        <v>0</v>
      </c>
      <c r="P14311" t="n">
        <v>0</v>
      </c>
      <c r="Q14311" t="n">
        <v>0</v>
      </c>
      <c r="R14311" s="2" t="inlineStr"/>
    </row>
    <row r="14312" ht="15" customHeight="1">
      <c r="A14312" t="inlineStr">
        <is>
          <t>A 13800-2024</t>
        </is>
      </c>
      <c r="B14312" s="1" t="n">
        <v>45391</v>
      </c>
      <c r="C14312" s="1" t="n">
        <v>45952</v>
      </c>
      <c r="D14312" t="inlineStr">
        <is>
          <t>VÄSTRA GÖTALANDS LÄN</t>
        </is>
      </c>
      <c r="E14312" t="inlineStr">
        <is>
          <t>SKÖVDE</t>
        </is>
      </c>
      <c r="G14312" t="n">
        <v>1.7</v>
      </c>
      <c r="H14312" t="n">
        <v>0</v>
      </c>
      <c r="I14312" t="n">
        <v>0</v>
      </c>
      <c r="J14312" t="n">
        <v>0</v>
      </c>
      <c r="K14312" t="n">
        <v>0</v>
      </c>
      <c r="L14312" t="n">
        <v>0</v>
      </c>
      <c r="M14312" t="n">
        <v>0</v>
      </c>
      <c r="N14312" t="n">
        <v>0</v>
      </c>
      <c r="O14312" t="n">
        <v>0</v>
      </c>
      <c r="P14312" t="n">
        <v>0</v>
      </c>
      <c r="Q14312" t="n">
        <v>0</v>
      </c>
      <c r="R14312" s="2" t="inlineStr"/>
    </row>
    <row r="14313" ht="15" customHeight="1">
      <c r="A14313" t="inlineStr">
        <is>
          <t>A 13239-2024</t>
        </is>
      </c>
      <c r="B14313" s="1" t="n">
        <v>45386.5583449074</v>
      </c>
      <c r="C14313" s="1" t="n">
        <v>45952</v>
      </c>
      <c r="D14313" t="inlineStr">
        <is>
          <t>VÄSTRA GÖTALANDS LÄN</t>
        </is>
      </c>
      <c r="E14313" t="inlineStr">
        <is>
          <t>LYSEKIL</t>
        </is>
      </c>
      <c r="G14313" t="n">
        <v>4</v>
      </c>
      <c r="H14313" t="n">
        <v>0</v>
      </c>
      <c r="I14313" t="n">
        <v>0</v>
      </c>
      <c r="J14313" t="n">
        <v>0</v>
      </c>
      <c r="K14313" t="n">
        <v>0</v>
      </c>
      <c r="L14313" t="n">
        <v>0</v>
      </c>
      <c r="M14313" t="n">
        <v>0</v>
      </c>
      <c r="N14313" t="n">
        <v>0</v>
      </c>
      <c r="O14313" t="n">
        <v>0</v>
      </c>
      <c r="P14313" t="n">
        <v>0</v>
      </c>
      <c r="Q14313" t="n">
        <v>0</v>
      </c>
      <c r="R14313" s="2" t="inlineStr"/>
    </row>
    <row r="14314" ht="15" customHeight="1">
      <c r="A14314" t="inlineStr">
        <is>
          <t>A 56355-2022</t>
        </is>
      </c>
      <c r="B14314" s="1" t="n">
        <v>44890.66738425926</v>
      </c>
      <c r="C14314" s="1" t="n">
        <v>45952</v>
      </c>
      <c r="D14314" t="inlineStr">
        <is>
          <t>VÄSTRA GÖTALANDS LÄN</t>
        </is>
      </c>
      <c r="E14314" t="inlineStr">
        <is>
          <t>HERRLJUNGA</t>
        </is>
      </c>
      <c r="G14314" t="n">
        <v>7.8</v>
      </c>
      <c r="H14314" t="n">
        <v>0</v>
      </c>
      <c r="I14314" t="n">
        <v>0</v>
      </c>
      <c r="J14314" t="n">
        <v>0</v>
      </c>
      <c r="K14314" t="n">
        <v>0</v>
      </c>
      <c r="L14314" t="n">
        <v>0</v>
      </c>
      <c r="M14314" t="n">
        <v>0</v>
      </c>
      <c r="N14314" t="n">
        <v>0</v>
      </c>
      <c r="O14314" t="n">
        <v>0</v>
      </c>
      <c r="P14314" t="n">
        <v>0</v>
      </c>
      <c r="Q14314" t="n">
        <v>0</v>
      </c>
      <c r="R14314" s="2" t="inlineStr"/>
    </row>
    <row r="14315" ht="15" customHeight="1">
      <c r="A14315" t="inlineStr">
        <is>
          <t>A 56379-2022</t>
        </is>
      </c>
      <c r="B14315" s="1" t="n">
        <v>44890</v>
      </c>
      <c r="C14315" s="1" t="n">
        <v>45952</v>
      </c>
      <c r="D14315" t="inlineStr">
        <is>
          <t>VÄSTRA GÖTALANDS LÄN</t>
        </is>
      </c>
      <c r="E14315" t="inlineStr">
        <is>
          <t>TANUM</t>
        </is>
      </c>
      <c r="G14315" t="n">
        <v>4.4</v>
      </c>
      <c r="H14315" t="n">
        <v>0</v>
      </c>
      <c r="I14315" t="n">
        <v>0</v>
      </c>
      <c r="J14315" t="n">
        <v>0</v>
      </c>
      <c r="K14315" t="n">
        <v>0</v>
      </c>
      <c r="L14315" t="n">
        <v>0</v>
      </c>
      <c r="M14315" t="n">
        <v>0</v>
      </c>
      <c r="N14315" t="n">
        <v>0</v>
      </c>
      <c r="O14315" t="n">
        <v>0</v>
      </c>
      <c r="P14315" t="n">
        <v>0</v>
      </c>
      <c r="Q14315" t="n">
        <v>0</v>
      </c>
      <c r="R14315" s="2" t="inlineStr"/>
    </row>
    <row r="14316" ht="15" customHeight="1">
      <c r="A14316" t="inlineStr">
        <is>
          <t>A 1510-2025</t>
        </is>
      </c>
      <c r="B14316" s="1" t="n">
        <v>45670.44511574074</v>
      </c>
      <c r="C14316" s="1" t="n">
        <v>45952</v>
      </c>
      <c r="D14316" t="inlineStr">
        <is>
          <t>VÄSTRA GÖTALANDS LÄN</t>
        </is>
      </c>
      <c r="E14316" t="inlineStr">
        <is>
          <t>BORÅS</t>
        </is>
      </c>
      <c r="G14316" t="n">
        <v>2.4</v>
      </c>
      <c r="H14316" t="n">
        <v>0</v>
      </c>
      <c r="I14316" t="n">
        <v>0</v>
      </c>
      <c r="J14316" t="n">
        <v>0</v>
      </c>
      <c r="K14316" t="n">
        <v>0</v>
      </c>
      <c r="L14316" t="n">
        <v>0</v>
      </c>
      <c r="M14316" t="n">
        <v>0</v>
      </c>
      <c r="N14316" t="n">
        <v>0</v>
      </c>
      <c r="O14316" t="n">
        <v>0</v>
      </c>
      <c r="P14316" t="n">
        <v>0</v>
      </c>
      <c r="Q14316" t="n">
        <v>0</v>
      </c>
      <c r="R14316" s="2" t="inlineStr"/>
    </row>
    <row r="14317" ht="15" customHeight="1">
      <c r="A14317" t="inlineStr">
        <is>
          <t>A 14269-2022</t>
        </is>
      </c>
      <c r="B14317" s="1" t="n">
        <v>44651.87236111111</v>
      </c>
      <c r="C14317" s="1" t="n">
        <v>45952</v>
      </c>
      <c r="D14317" t="inlineStr">
        <is>
          <t>VÄSTRA GÖTALANDS LÄN</t>
        </is>
      </c>
      <c r="E14317" t="inlineStr">
        <is>
          <t>TANUM</t>
        </is>
      </c>
      <c r="G14317" t="n">
        <v>1.8</v>
      </c>
      <c r="H14317" t="n">
        <v>0</v>
      </c>
      <c r="I14317" t="n">
        <v>0</v>
      </c>
      <c r="J14317" t="n">
        <v>0</v>
      </c>
      <c r="K14317" t="n">
        <v>0</v>
      </c>
      <c r="L14317" t="n">
        <v>0</v>
      </c>
      <c r="M14317" t="n">
        <v>0</v>
      </c>
      <c r="N14317" t="n">
        <v>0</v>
      </c>
      <c r="O14317" t="n">
        <v>0</v>
      </c>
      <c r="P14317" t="n">
        <v>0</v>
      </c>
      <c r="Q14317" t="n">
        <v>0</v>
      </c>
      <c r="R14317" s="2" t="inlineStr"/>
    </row>
    <row r="14318" ht="15" customHeight="1">
      <c r="A14318" t="inlineStr">
        <is>
          <t>A 17680-2023</t>
        </is>
      </c>
      <c r="B14318" s="1" t="n">
        <v>45035</v>
      </c>
      <c r="C14318" s="1" t="n">
        <v>45952</v>
      </c>
      <c r="D14318" t="inlineStr">
        <is>
          <t>VÄSTRA GÖTALANDS LÄN</t>
        </is>
      </c>
      <c r="E14318" t="inlineStr">
        <is>
          <t>TANUM</t>
        </is>
      </c>
      <c r="F14318" t="inlineStr">
        <is>
          <t>Kyrkan</t>
        </is>
      </c>
      <c r="G14318" t="n">
        <v>6.2</v>
      </c>
      <c r="H14318" t="n">
        <v>0</v>
      </c>
      <c r="I14318" t="n">
        <v>0</v>
      </c>
      <c r="J14318" t="n">
        <v>0</v>
      </c>
      <c r="K14318" t="n">
        <v>0</v>
      </c>
      <c r="L14318" t="n">
        <v>0</v>
      </c>
      <c r="M14318" t="n">
        <v>0</v>
      </c>
      <c r="N14318" t="n">
        <v>0</v>
      </c>
      <c r="O14318" t="n">
        <v>0</v>
      </c>
      <c r="P14318" t="n">
        <v>0</v>
      </c>
      <c r="Q14318" t="n">
        <v>0</v>
      </c>
      <c r="R14318" s="2" t="inlineStr"/>
    </row>
    <row r="14319" ht="15" customHeight="1">
      <c r="A14319" t="inlineStr">
        <is>
          <t>A 30793-2023</t>
        </is>
      </c>
      <c r="B14319" s="1" t="n">
        <v>45112.74090277778</v>
      </c>
      <c r="C14319" s="1" t="n">
        <v>45952</v>
      </c>
      <c r="D14319" t="inlineStr">
        <is>
          <t>VÄSTRA GÖTALANDS LÄN</t>
        </is>
      </c>
      <c r="E14319" t="inlineStr">
        <is>
          <t>BOLLEBYGD</t>
        </is>
      </c>
      <c r="G14319" t="n">
        <v>1.4</v>
      </c>
      <c r="H14319" t="n">
        <v>0</v>
      </c>
      <c r="I14319" t="n">
        <v>0</v>
      </c>
      <c r="J14319" t="n">
        <v>0</v>
      </c>
      <c r="K14319" t="n">
        <v>0</v>
      </c>
      <c r="L14319" t="n">
        <v>0</v>
      </c>
      <c r="M14319" t="n">
        <v>0</v>
      </c>
      <c r="N14319" t="n">
        <v>0</v>
      </c>
      <c r="O14319" t="n">
        <v>0</v>
      </c>
      <c r="P14319" t="n">
        <v>0</v>
      </c>
      <c r="Q14319" t="n">
        <v>0</v>
      </c>
      <c r="R14319" s="2" t="inlineStr"/>
    </row>
    <row r="14320" ht="15" customHeight="1">
      <c r="A14320" t="inlineStr">
        <is>
          <t>A 30795-2023</t>
        </is>
      </c>
      <c r="B14320" s="1" t="n">
        <v>45112.75636574074</v>
      </c>
      <c r="C14320" s="1" t="n">
        <v>45952</v>
      </c>
      <c r="D14320" t="inlineStr">
        <is>
          <t>VÄSTRA GÖTALANDS LÄN</t>
        </is>
      </c>
      <c r="E14320" t="inlineStr">
        <is>
          <t>BOLLEBYGD</t>
        </is>
      </c>
      <c r="G14320" t="n">
        <v>1.3</v>
      </c>
      <c r="H14320" t="n">
        <v>0</v>
      </c>
      <c r="I14320" t="n">
        <v>0</v>
      </c>
      <c r="J14320" t="n">
        <v>0</v>
      </c>
      <c r="K14320" t="n">
        <v>0</v>
      </c>
      <c r="L14320" t="n">
        <v>0</v>
      </c>
      <c r="M14320" t="n">
        <v>0</v>
      </c>
      <c r="N14320" t="n">
        <v>0</v>
      </c>
      <c r="O14320" t="n">
        <v>0</v>
      </c>
      <c r="P14320" t="n">
        <v>0</v>
      </c>
      <c r="Q14320" t="n">
        <v>0</v>
      </c>
      <c r="R14320" s="2" t="inlineStr"/>
    </row>
    <row r="14321" ht="15" customHeight="1">
      <c r="A14321" t="inlineStr">
        <is>
          <t>A 30800-2023</t>
        </is>
      </c>
      <c r="B14321" s="1" t="n">
        <v>45112.77375</v>
      </c>
      <c r="C14321" s="1" t="n">
        <v>45952</v>
      </c>
      <c r="D14321" t="inlineStr">
        <is>
          <t>VÄSTRA GÖTALANDS LÄN</t>
        </is>
      </c>
      <c r="E14321" t="inlineStr">
        <is>
          <t>BOLLEBYGD</t>
        </is>
      </c>
      <c r="G14321" t="n">
        <v>0.9</v>
      </c>
      <c r="H14321" t="n">
        <v>0</v>
      </c>
      <c r="I14321" t="n">
        <v>0</v>
      </c>
      <c r="J14321" t="n">
        <v>0</v>
      </c>
      <c r="K14321" t="n">
        <v>0</v>
      </c>
      <c r="L14321" t="n">
        <v>0</v>
      </c>
      <c r="M14321" t="n">
        <v>0</v>
      </c>
      <c r="N14321" t="n">
        <v>0</v>
      </c>
      <c r="O14321" t="n">
        <v>0</v>
      </c>
      <c r="P14321" t="n">
        <v>0</v>
      </c>
      <c r="Q14321" t="n">
        <v>0</v>
      </c>
      <c r="R14321" s="2" t="inlineStr"/>
    </row>
    <row r="14322" ht="15" customHeight="1">
      <c r="A14322" t="inlineStr">
        <is>
          <t>A 44402-2024</t>
        </is>
      </c>
      <c r="B14322" s="1" t="n">
        <v>45573.7084837963</v>
      </c>
      <c r="C14322" s="1" t="n">
        <v>45952</v>
      </c>
      <c r="D14322" t="inlineStr">
        <is>
          <t>VÄSTRA GÖTALANDS LÄN</t>
        </is>
      </c>
      <c r="E14322" t="inlineStr">
        <is>
          <t>ULRICEHAMN</t>
        </is>
      </c>
      <c r="G14322" t="n">
        <v>0.8</v>
      </c>
      <c r="H14322" t="n">
        <v>0</v>
      </c>
      <c r="I14322" t="n">
        <v>0</v>
      </c>
      <c r="J14322" t="n">
        <v>0</v>
      </c>
      <c r="K14322" t="n">
        <v>0</v>
      </c>
      <c r="L14322" t="n">
        <v>0</v>
      </c>
      <c r="M14322" t="n">
        <v>0</v>
      </c>
      <c r="N14322" t="n">
        <v>0</v>
      </c>
      <c r="O14322" t="n">
        <v>0</v>
      </c>
      <c r="P14322" t="n">
        <v>0</v>
      </c>
      <c r="Q14322" t="n">
        <v>0</v>
      </c>
      <c r="R14322" s="2" t="inlineStr"/>
    </row>
    <row r="14323" ht="15" customHeight="1">
      <c r="A14323" t="inlineStr">
        <is>
          <t>A 40257-2023</t>
        </is>
      </c>
      <c r="B14323" s="1" t="n">
        <v>45169.50835648148</v>
      </c>
      <c r="C14323" s="1" t="n">
        <v>45952</v>
      </c>
      <c r="D14323" t="inlineStr">
        <is>
          <t>VÄSTRA GÖTALANDS LÄN</t>
        </is>
      </c>
      <c r="E14323" t="inlineStr">
        <is>
          <t>LIDKÖPING</t>
        </is>
      </c>
      <c r="G14323" t="n">
        <v>0.6</v>
      </c>
      <c r="H14323" t="n">
        <v>0</v>
      </c>
      <c r="I14323" t="n">
        <v>0</v>
      </c>
      <c r="J14323" t="n">
        <v>0</v>
      </c>
      <c r="K14323" t="n">
        <v>0</v>
      </c>
      <c r="L14323" t="n">
        <v>0</v>
      </c>
      <c r="M14323" t="n">
        <v>0</v>
      </c>
      <c r="N14323" t="n">
        <v>0</v>
      </c>
      <c r="O14323" t="n">
        <v>0</v>
      </c>
      <c r="P14323" t="n">
        <v>0</v>
      </c>
      <c r="Q14323" t="n">
        <v>0</v>
      </c>
      <c r="R14323" s="2" t="inlineStr"/>
    </row>
    <row r="14324" ht="15" customHeight="1">
      <c r="A14324" t="inlineStr">
        <is>
          <t>A 53084-2023</t>
        </is>
      </c>
      <c r="B14324" s="1" t="n">
        <v>45227</v>
      </c>
      <c r="C14324" s="1" t="n">
        <v>45952</v>
      </c>
      <c r="D14324" t="inlineStr">
        <is>
          <t>VÄSTRA GÖTALANDS LÄN</t>
        </is>
      </c>
      <c r="E14324" t="inlineStr">
        <is>
          <t>TRANEMO</t>
        </is>
      </c>
      <c r="G14324" t="n">
        <v>1.3</v>
      </c>
      <c r="H14324" t="n">
        <v>0</v>
      </c>
      <c r="I14324" t="n">
        <v>0</v>
      </c>
      <c r="J14324" t="n">
        <v>0</v>
      </c>
      <c r="K14324" t="n">
        <v>0</v>
      </c>
      <c r="L14324" t="n">
        <v>0</v>
      </c>
      <c r="M14324" t="n">
        <v>0</v>
      </c>
      <c r="N14324" t="n">
        <v>0</v>
      </c>
      <c r="O14324" t="n">
        <v>0</v>
      </c>
      <c r="P14324" t="n">
        <v>0</v>
      </c>
      <c r="Q14324" t="n">
        <v>0</v>
      </c>
      <c r="R14324" s="2" t="inlineStr"/>
    </row>
    <row r="14325" ht="15" customHeight="1">
      <c r="A14325" t="inlineStr">
        <is>
          <t>A 53088-2023</t>
        </is>
      </c>
      <c r="B14325" s="1" t="n">
        <v>45227.69599537037</v>
      </c>
      <c r="C14325" s="1" t="n">
        <v>45952</v>
      </c>
      <c r="D14325" t="inlineStr">
        <is>
          <t>VÄSTRA GÖTALANDS LÄN</t>
        </is>
      </c>
      <c r="E14325" t="inlineStr">
        <is>
          <t>ULRICEHAMN</t>
        </is>
      </c>
      <c r="G14325" t="n">
        <v>1</v>
      </c>
      <c r="H14325" t="n">
        <v>0</v>
      </c>
      <c r="I14325" t="n">
        <v>0</v>
      </c>
      <c r="J14325" t="n">
        <v>0</v>
      </c>
      <c r="K14325" t="n">
        <v>0</v>
      </c>
      <c r="L14325" t="n">
        <v>0</v>
      </c>
      <c r="M14325" t="n">
        <v>0</v>
      </c>
      <c r="N14325" t="n">
        <v>0</v>
      </c>
      <c r="O14325" t="n">
        <v>0</v>
      </c>
      <c r="P14325" t="n">
        <v>0</v>
      </c>
      <c r="Q14325" t="n">
        <v>0</v>
      </c>
      <c r="R14325" s="2" t="inlineStr"/>
    </row>
    <row r="14326" ht="15" customHeight="1">
      <c r="A14326" t="inlineStr">
        <is>
          <t>A 50444-2024</t>
        </is>
      </c>
      <c r="B14326" s="1" t="n">
        <v>45601.42782407408</v>
      </c>
      <c r="C14326" s="1" t="n">
        <v>45952</v>
      </c>
      <c r="D14326" t="inlineStr">
        <is>
          <t>VÄSTRA GÖTALANDS LÄN</t>
        </is>
      </c>
      <c r="E14326" t="inlineStr">
        <is>
          <t>TRANEMO</t>
        </is>
      </c>
      <c r="G14326" t="n">
        <v>0.6</v>
      </c>
      <c r="H14326" t="n">
        <v>0</v>
      </c>
      <c r="I14326" t="n">
        <v>0</v>
      </c>
      <c r="J14326" t="n">
        <v>0</v>
      </c>
      <c r="K14326" t="n">
        <v>0</v>
      </c>
      <c r="L14326" t="n">
        <v>0</v>
      </c>
      <c r="M14326" t="n">
        <v>0</v>
      </c>
      <c r="N14326" t="n">
        <v>0</v>
      </c>
      <c r="O14326" t="n">
        <v>0</v>
      </c>
      <c r="P14326" t="n">
        <v>0</v>
      </c>
      <c r="Q14326" t="n">
        <v>0</v>
      </c>
      <c r="R14326" s="2" t="inlineStr"/>
    </row>
    <row r="14327" ht="15" customHeight="1">
      <c r="A14327" t="inlineStr">
        <is>
          <t>A 20220-2023</t>
        </is>
      </c>
      <c r="B14327" s="1" t="n">
        <v>45055</v>
      </c>
      <c r="C14327" s="1" t="n">
        <v>45952</v>
      </c>
      <c r="D14327" t="inlineStr">
        <is>
          <t>VÄSTRA GÖTALANDS LÄN</t>
        </is>
      </c>
      <c r="E14327" t="inlineStr">
        <is>
          <t>MUNKEDAL</t>
        </is>
      </c>
      <c r="G14327" t="n">
        <v>3</v>
      </c>
      <c r="H14327" t="n">
        <v>0</v>
      </c>
      <c r="I14327" t="n">
        <v>0</v>
      </c>
      <c r="J14327" t="n">
        <v>0</v>
      </c>
      <c r="K14327" t="n">
        <v>0</v>
      </c>
      <c r="L14327" t="n">
        <v>0</v>
      </c>
      <c r="M14327" t="n">
        <v>0</v>
      </c>
      <c r="N14327" t="n">
        <v>0</v>
      </c>
      <c r="O14327" t="n">
        <v>0</v>
      </c>
      <c r="P14327" t="n">
        <v>0</v>
      </c>
      <c r="Q14327" t="n">
        <v>0</v>
      </c>
      <c r="R14327" s="2" t="inlineStr"/>
    </row>
    <row r="14328" ht="15" customHeight="1">
      <c r="A14328" t="inlineStr">
        <is>
          <t>A 16347-2023</t>
        </is>
      </c>
      <c r="B14328" s="1" t="n">
        <v>45028.67302083333</v>
      </c>
      <c r="C14328" s="1" t="n">
        <v>45952</v>
      </c>
      <c r="D14328" t="inlineStr">
        <is>
          <t>VÄSTRA GÖTALANDS LÄN</t>
        </is>
      </c>
      <c r="E14328" t="inlineStr">
        <is>
          <t>FALKÖPING</t>
        </is>
      </c>
      <c r="G14328" t="n">
        <v>2.2</v>
      </c>
      <c r="H14328" t="n">
        <v>0</v>
      </c>
      <c r="I14328" t="n">
        <v>0</v>
      </c>
      <c r="J14328" t="n">
        <v>0</v>
      </c>
      <c r="K14328" t="n">
        <v>0</v>
      </c>
      <c r="L14328" t="n">
        <v>0</v>
      </c>
      <c r="M14328" t="n">
        <v>0</v>
      </c>
      <c r="N14328" t="n">
        <v>0</v>
      </c>
      <c r="O14328" t="n">
        <v>0</v>
      </c>
      <c r="P14328" t="n">
        <v>0</v>
      </c>
      <c r="Q14328" t="n">
        <v>0</v>
      </c>
      <c r="R14328" s="2" t="inlineStr"/>
    </row>
    <row r="14329" ht="15" customHeight="1">
      <c r="A14329" t="inlineStr">
        <is>
          <t>A 16352-2023</t>
        </is>
      </c>
      <c r="B14329" s="1" t="n">
        <v>45028.69456018518</v>
      </c>
      <c r="C14329" s="1" t="n">
        <v>45952</v>
      </c>
      <c r="D14329" t="inlineStr">
        <is>
          <t>VÄSTRA GÖTALANDS LÄN</t>
        </is>
      </c>
      <c r="E14329" t="inlineStr">
        <is>
          <t>HJO</t>
        </is>
      </c>
      <c r="G14329" t="n">
        <v>3.1</v>
      </c>
      <c r="H14329" t="n">
        <v>0</v>
      </c>
      <c r="I14329" t="n">
        <v>0</v>
      </c>
      <c r="J14329" t="n">
        <v>0</v>
      </c>
      <c r="K14329" t="n">
        <v>0</v>
      </c>
      <c r="L14329" t="n">
        <v>0</v>
      </c>
      <c r="M14329" t="n">
        <v>0</v>
      </c>
      <c r="N14329" t="n">
        <v>0</v>
      </c>
      <c r="O14329" t="n">
        <v>0</v>
      </c>
      <c r="P14329" t="n">
        <v>0</v>
      </c>
      <c r="Q14329" t="n">
        <v>0</v>
      </c>
      <c r="R14329" s="2" t="inlineStr"/>
    </row>
    <row r="14330" ht="15" customHeight="1">
      <c r="A14330" t="inlineStr">
        <is>
          <t>A 16382-2023</t>
        </is>
      </c>
      <c r="B14330" s="1" t="n">
        <v>45029</v>
      </c>
      <c r="C14330" s="1" t="n">
        <v>45952</v>
      </c>
      <c r="D14330" t="inlineStr">
        <is>
          <t>VÄSTRA GÖTALANDS LÄN</t>
        </is>
      </c>
      <c r="E14330" t="inlineStr">
        <is>
          <t>TIDAHOLM</t>
        </is>
      </c>
      <c r="G14330" t="n">
        <v>3</v>
      </c>
      <c r="H14330" t="n">
        <v>0</v>
      </c>
      <c r="I14330" t="n">
        <v>0</v>
      </c>
      <c r="J14330" t="n">
        <v>0</v>
      </c>
      <c r="K14330" t="n">
        <v>0</v>
      </c>
      <c r="L14330" t="n">
        <v>0</v>
      </c>
      <c r="M14330" t="n">
        <v>0</v>
      </c>
      <c r="N14330" t="n">
        <v>0</v>
      </c>
      <c r="O14330" t="n">
        <v>0</v>
      </c>
      <c r="P14330" t="n">
        <v>0</v>
      </c>
      <c r="Q14330" t="n">
        <v>0</v>
      </c>
      <c r="R14330" s="2" t="inlineStr"/>
    </row>
    <row r="14331" ht="15" customHeight="1">
      <c r="A14331" t="inlineStr">
        <is>
          <t>A 16383-2023</t>
        </is>
      </c>
      <c r="B14331" s="1" t="n">
        <v>45029.31045138889</v>
      </c>
      <c r="C14331" s="1" t="n">
        <v>45952</v>
      </c>
      <c r="D14331" t="inlineStr">
        <is>
          <t>VÄSTRA GÖTALANDS LÄN</t>
        </is>
      </c>
      <c r="E14331" t="inlineStr">
        <is>
          <t>SVENLJUNGA</t>
        </is>
      </c>
      <c r="G14331" t="n">
        <v>1</v>
      </c>
      <c r="H14331" t="n">
        <v>0</v>
      </c>
      <c r="I14331" t="n">
        <v>0</v>
      </c>
      <c r="J14331" t="n">
        <v>0</v>
      </c>
      <c r="K14331" t="n">
        <v>0</v>
      </c>
      <c r="L14331" t="n">
        <v>0</v>
      </c>
      <c r="M14331" t="n">
        <v>0</v>
      </c>
      <c r="N14331" t="n">
        <v>0</v>
      </c>
      <c r="O14331" t="n">
        <v>0</v>
      </c>
      <c r="P14331" t="n">
        <v>0</v>
      </c>
      <c r="Q14331" t="n">
        <v>0</v>
      </c>
      <c r="R14331" s="2" t="inlineStr"/>
    </row>
    <row r="14332" ht="15" customHeight="1">
      <c r="A14332" t="inlineStr">
        <is>
          <t>A 55296-2023</t>
        </is>
      </c>
      <c r="B14332" s="1" t="n">
        <v>45237.81827546296</v>
      </c>
      <c r="C14332" s="1" t="n">
        <v>45952</v>
      </c>
      <c r="D14332" t="inlineStr">
        <is>
          <t>VÄSTRA GÖTALANDS LÄN</t>
        </is>
      </c>
      <c r="E14332" t="inlineStr">
        <is>
          <t>VARA</t>
        </is>
      </c>
      <c r="G14332" t="n">
        <v>0.6</v>
      </c>
      <c r="H14332" t="n">
        <v>0</v>
      </c>
      <c r="I14332" t="n">
        <v>0</v>
      </c>
      <c r="J14332" t="n">
        <v>0</v>
      </c>
      <c r="K14332" t="n">
        <v>0</v>
      </c>
      <c r="L14332" t="n">
        <v>0</v>
      </c>
      <c r="M14332" t="n">
        <v>0</v>
      </c>
      <c r="N14332" t="n">
        <v>0</v>
      </c>
      <c r="O14332" t="n">
        <v>0</v>
      </c>
      <c r="P14332" t="n">
        <v>0</v>
      </c>
      <c r="Q14332" t="n">
        <v>0</v>
      </c>
      <c r="R14332" s="2" t="inlineStr"/>
    </row>
    <row r="14333" ht="15" customHeight="1">
      <c r="A14333" t="inlineStr">
        <is>
          <t>A 39538-2023</t>
        </is>
      </c>
      <c r="B14333" s="1" t="n">
        <v>45167</v>
      </c>
      <c r="C14333" s="1" t="n">
        <v>45952</v>
      </c>
      <c r="D14333" t="inlineStr">
        <is>
          <t>VÄSTRA GÖTALANDS LÄN</t>
        </is>
      </c>
      <c r="E14333" t="inlineStr">
        <is>
          <t>HJO</t>
        </is>
      </c>
      <c r="G14333" t="n">
        <v>5.3</v>
      </c>
      <c r="H14333" t="n">
        <v>0</v>
      </c>
      <c r="I14333" t="n">
        <v>0</v>
      </c>
      <c r="J14333" t="n">
        <v>0</v>
      </c>
      <c r="K14333" t="n">
        <v>0</v>
      </c>
      <c r="L14333" t="n">
        <v>0</v>
      </c>
      <c r="M14333" t="n">
        <v>0</v>
      </c>
      <c r="N14333" t="n">
        <v>0</v>
      </c>
      <c r="O14333" t="n">
        <v>0</v>
      </c>
      <c r="P14333" t="n">
        <v>0</v>
      </c>
      <c r="Q14333" t="n">
        <v>0</v>
      </c>
      <c r="R14333" s="2" t="inlineStr"/>
    </row>
    <row r="14334" ht="15" customHeight="1">
      <c r="A14334" t="inlineStr">
        <is>
          <t>A 9460-2023</t>
        </is>
      </c>
      <c r="B14334" s="1" t="n">
        <v>44981.56767361111</v>
      </c>
      <c r="C14334" s="1" t="n">
        <v>45952</v>
      </c>
      <c r="D14334" t="inlineStr">
        <is>
          <t>VÄSTRA GÖTALANDS LÄN</t>
        </is>
      </c>
      <c r="E14334" t="inlineStr">
        <is>
          <t>SVENLJUNGA</t>
        </is>
      </c>
      <c r="G14334" t="n">
        <v>12.7</v>
      </c>
      <c r="H14334" t="n">
        <v>0</v>
      </c>
      <c r="I14334" t="n">
        <v>0</v>
      </c>
      <c r="J14334" t="n">
        <v>0</v>
      </c>
      <c r="K14334" t="n">
        <v>0</v>
      </c>
      <c r="L14334" t="n">
        <v>0</v>
      </c>
      <c r="M14334" t="n">
        <v>0</v>
      </c>
      <c r="N14334" t="n">
        <v>0</v>
      </c>
      <c r="O14334" t="n">
        <v>0</v>
      </c>
      <c r="P14334" t="n">
        <v>0</v>
      </c>
      <c r="Q14334" t="n">
        <v>0</v>
      </c>
      <c r="R14334" s="2" t="inlineStr"/>
    </row>
    <row r="14335" ht="15" customHeight="1">
      <c r="A14335" t="inlineStr">
        <is>
          <t>A 9481-2023</t>
        </is>
      </c>
      <c r="B14335" s="1" t="n">
        <v>44977</v>
      </c>
      <c r="C14335" s="1" t="n">
        <v>45952</v>
      </c>
      <c r="D14335" t="inlineStr">
        <is>
          <t>VÄSTRA GÖTALANDS LÄN</t>
        </is>
      </c>
      <c r="E14335" t="inlineStr">
        <is>
          <t>GULLSPÅNG</t>
        </is>
      </c>
      <c r="G14335" t="n">
        <v>5.6</v>
      </c>
      <c r="H14335" t="n">
        <v>0</v>
      </c>
      <c r="I14335" t="n">
        <v>0</v>
      </c>
      <c r="J14335" t="n">
        <v>0</v>
      </c>
      <c r="K14335" t="n">
        <v>0</v>
      </c>
      <c r="L14335" t="n">
        <v>0</v>
      </c>
      <c r="M14335" t="n">
        <v>0</v>
      </c>
      <c r="N14335" t="n">
        <v>0</v>
      </c>
      <c r="O14335" t="n">
        <v>0</v>
      </c>
      <c r="P14335" t="n">
        <v>0</v>
      </c>
      <c r="Q14335" t="n">
        <v>0</v>
      </c>
      <c r="R14335" s="2" t="inlineStr"/>
    </row>
    <row r="14336" ht="15" customHeight="1">
      <c r="A14336" t="inlineStr">
        <is>
          <t>A 9483-2023</t>
        </is>
      </c>
      <c r="B14336" s="1" t="n">
        <v>44977</v>
      </c>
      <c r="C14336" s="1" t="n">
        <v>45952</v>
      </c>
      <c r="D14336" t="inlineStr">
        <is>
          <t>VÄSTRA GÖTALANDS LÄN</t>
        </is>
      </c>
      <c r="E14336" t="inlineStr">
        <is>
          <t>GULLSPÅNG</t>
        </is>
      </c>
      <c r="G14336" t="n">
        <v>3.3</v>
      </c>
      <c r="H14336" t="n">
        <v>0</v>
      </c>
      <c r="I14336" t="n">
        <v>0</v>
      </c>
      <c r="J14336" t="n">
        <v>0</v>
      </c>
      <c r="K14336" t="n">
        <v>0</v>
      </c>
      <c r="L14336" t="n">
        <v>0</v>
      </c>
      <c r="M14336" t="n">
        <v>0</v>
      </c>
      <c r="N14336" t="n">
        <v>0</v>
      </c>
      <c r="O14336" t="n">
        <v>0</v>
      </c>
      <c r="P14336" t="n">
        <v>0</v>
      </c>
      <c r="Q14336" t="n">
        <v>0</v>
      </c>
      <c r="R14336" s="2" t="inlineStr"/>
    </row>
    <row r="14337" ht="15" customHeight="1">
      <c r="A14337" t="inlineStr">
        <is>
          <t>A 36622-2023</t>
        </is>
      </c>
      <c r="B14337" s="1" t="n">
        <v>45153.50684027778</v>
      </c>
      <c r="C14337" s="1" t="n">
        <v>45952</v>
      </c>
      <c r="D14337" t="inlineStr">
        <is>
          <t>VÄSTRA GÖTALANDS LÄN</t>
        </is>
      </c>
      <c r="E14337" t="inlineStr">
        <is>
          <t>LIDKÖPING</t>
        </is>
      </c>
      <c r="G14337" t="n">
        <v>0.4</v>
      </c>
      <c r="H14337" t="n">
        <v>0</v>
      </c>
      <c r="I14337" t="n">
        <v>0</v>
      </c>
      <c r="J14337" t="n">
        <v>0</v>
      </c>
      <c r="K14337" t="n">
        <v>0</v>
      </c>
      <c r="L14337" t="n">
        <v>0</v>
      </c>
      <c r="M14337" t="n">
        <v>0</v>
      </c>
      <c r="N14337" t="n">
        <v>0</v>
      </c>
      <c r="O14337" t="n">
        <v>0</v>
      </c>
      <c r="P14337" t="n">
        <v>0</v>
      </c>
      <c r="Q14337" t="n">
        <v>0</v>
      </c>
      <c r="R14337" s="2" t="inlineStr"/>
    </row>
    <row r="14338" ht="15" customHeight="1">
      <c r="A14338" t="inlineStr">
        <is>
          <t>A 46538-2021</t>
        </is>
      </c>
      <c r="B14338" s="1" t="n">
        <v>44445.46506944444</v>
      </c>
      <c r="C14338" s="1" t="n">
        <v>45952</v>
      </c>
      <c r="D14338" t="inlineStr">
        <is>
          <t>VÄSTRA GÖTALANDS LÄN</t>
        </is>
      </c>
      <c r="E14338" t="inlineStr">
        <is>
          <t>BORÅS</t>
        </is>
      </c>
      <c r="G14338" t="n">
        <v>1.8</v>
      </c>
      <c r="H14338" t="n">
        <v>0</v>
      </c>
      <c r="I14338" t="n">
        <v>0</v>
      </c>
      <c r="J14338" t="n">
        <v>0</v>
      </c>
      <c r="K14338" t="n">
        <v>0</v>
      </c>
      <c r="L14338" t="n">
        <v>0</v>
      </c>
      <c r="M14338" t="n">
        <v>0</v>
      </c>
      <c r="N14338" t="n">
        <v>0</v>
      </c>
      <c r="O14338" t="n">
        <v>0</v>
      </c>
      <c r="P14338" t="n">
        <v>0</v>
      </c>
      <c r="Q14338" t="n">
        <v>0</v>
      </c>
      <c r="R14338" s="2" t="inlineStr"/>
    </row>
    <row r="14339" ht="15" customHeight="1">
      <c r="A14339" t="inlineStr">
        <is>
          <t>A 64169-2020</t>
        </is>
      </c>
      <c r="B14339" s="1" t="n">
        <v>44167</v>
      </c>
      <c r="C14339" s="1" t="n">
        <v>45952</v>
      </c>
      <c r="D14339" t="inlineStr">
        <is>
          <t>VÄSTRA GÖTALANDS LÄN</t>
        </is>
      </c>
      <c r="E14339" t="inlineStr">
        <is>
          <t>VARA</t>
        </is>
      </c>
      <c r="G14339" t="n">
        <v>1</v>
      </c>
      <c r="H14339" t="n">
        <v>0</v>
      </c>
      <c r="I14339" t="n">
        <v>0</v>
      </c>
      <c r="J14339" t="n">
        <v>0</v>
      </c>
      <c r="K14339" t="n">
        <v>0</v>
      </c>
      <c r="L14339" t="n">
        <v>0</v>
      </c>
      <c r="M14339" t="n">
        <v>0</v>
      </c>
      <c r="N14339" t="n">
        <v>0</v>
      </c>
      <c r="O14339" t="n">
        <v>0</v>
      </c>
      <c r="P14339" t="n">
        <v>0</v>
      </c>
      <c r="Q14339" t="n">
        <v>0</v>
      </c>
      <c r="R14339" s="2" t="inlineStr"/>
    </row>
    <row r="14340" ht="15" customHeight="1">
      <c r="A14340" t="inlineStr">
        <is>
          <t>A 49933-2024</t>
        </is>
      </c>
      <c r="B14340" s="1" t="n">
        <v>45597.58248842593</v>
      </c>
      <c r="C14340" s="1" t="n">
        <v>45952</v>
      </c>
      <c r="D14340" t="inlineStr">
        <is>
          <t>VÄSTRA GÖTALANDS LÄN</t>
        </is>
      </c>
      <c r="E14340" t="inlineStr">
        <is>
          <t>MARIESTAD</t>
        </is>
      </c>
      <c r="G14340" t="n">
        <v>1.6</v>
      </c>
      <c r="H14340" t="n">
        <v>0</v>
      </c>
      <c r="I14340" t="n">
        <v>0</v>
      </c>
      <c r="J14340" t="n">
        <v>0</v>
      </c>
      <c r="K14340" t="n">
        <v>0</v>
      </c>
      <c r="L14340" t="n">
        <v>0</v>
      </c>
      <c r="M14340" t="n">
        <v>0</v>
      </c>
      <c r="N14340" t="n">
        <v>0</v>
      </c>
      <c r="O14340" t="n">
        <v>0</v>
      </c>
      <c r="P14340" t="n">
        <v>0</v>
      </c>
      <c r="Q14340" t="n">
        <v>0</v>
      </c>
      <c r="R14340" s="2" t="inlineStr"/>
    </row>
    <row r="14341" ht="15" customHeight="1">
      <c r="A14341" t="inlineStr">
        <is>
          <t>A 51056-2022</t>
        </is>
      </c>
      <c r="B14341" s="1" t="n">
        <v>44868</v>
      </c>
      <c r="C14341" s="1" t="n">
        <v>45952</v>
      </c>
      <c r="D14341" t="inlineStr">
        <is>
          <t>VÄSTRA GÖTALANDS LÄN</t>
        </is>
      </c>
      <c r="E14341" t="inlineStr">
        <is>
          <t>ÅMÅL</t>
        </is>
      </c>
      <c r="G14341" t="n">
        <v>0.1</v>
      </c>
      <c r="H14341" t="n">
        <v>0</v>
      </c>
      <c r="I14341" t="n">
        <v>0</v>
      </c>
      <c r="J14341" t="n">
        <v>0</v>
      </c>
      <c r="K14341" t="n">
        <v>0</v>
      </c>
      <c r="L14341" t="n">
        <v>0</v>
      </c>
      <c r="M14341" t="n">
        <v>0</v>
      </c>
      <c r="N14341" t="n">
        <v>0</v>
      </c>
      <c r="O14341" t="n">
        <v>0</v>
      </c>
      <c r="P14341" t="n">
        <v>0</v>
      </c>
      <c r="Q14341" t="n">
        <v>0</v>
      </c>
      <c r="R14341" s="2" t="inlineStr"/>
    </row>
    <row r="14342" ht="15" customHeight="1">
      <c r="A14342" t="inlineStr">
        <is>
          <t>A 64711-2020</t>
        </is>
      </c>
      <c r="B14342" s="1" t="n">
        <v>44167</v>
      </c>
      <c r="C14342" s="1" t="n">
        <v>45952</v>
      </c>
      <c r="D14342" t="inlineStr">
        <is>
          <t>VÄSTRA GÖTALANDS LÄN</t>
        </is>
      </c>
      <c r="E14342" t="inlineStr">
        <is>
          <t>STENUNGSUND</t>
        </is>
      </c>
      <c r="G14342" t="n">
        <v>6.2</v>
      </c>
      <c r="H14342" t="n">
        <v>0</v>
      </c>
      <c r="I14342" t="n">
        <v>0</v>
      </c>
      <c r="J14342" t="n">
        <v>0</v>
      </c>
      <c r="K14342" t="n">
        <v>0</v>
      </c>
      <c r="L14342" t="n">
        <v>0</v>
      </c>
      <c r="M14342" t="n">
        <v>0</v>
      </c>
      <c r="N14342" t="n">
        <v>0</v>
      </c>
      <c r="O14342" t="n">
        <v>0</v>
      </c>
      <c r="P14342" t="n">
        <v>0</v>
      </c>
      <c r="Q14342" t="n">
        <v>0</v>
      </c>
      <c r="R14342" s="2" t="inlineStr"/>
    </row>
    <row r="14343" ht="15" customHeight="1">
      <c r="A14343" t="inlineStr">
        <is>
          <t>A 26529-2024</t>
        </is>
      </c>
      <c r="B14343" s="1" t="n">
        <v>45469</v>
      </c>
      <c r="C14343" s="1" t="n">
        <v>45952</v>
      </c>
      <c r="D14343" t="inlineStr">
        <is>
          <t>VÄSTRA GÖTALANDS LÄN</t>
        </is>
      </c>
      <c r="E14343" t="inlineStr">
        <is>
          <t>TIDAHOLM</t>
        </is>
      </c>
      <c r="F14343" t="inlineStr">
        <is>
          <t>Sveaskog</t>
        </is>
      </c>
      <c r="G14343" t="n">
        <v>1.3</v>
      </c>
      <c r="H14343" t="n">
        <v>0</v>
      </c>
      <c r="I14343" t="n">
        <v>0</v>
      </c>
      <c r="J14343" t="n">
        <v>0</v>
      </c>
      <c r="K14343" t="n">
        <v>0</v>
      </c>
      <c r="L14343" t="n">
        <v>0</v>
      </c>
      <c r="M14343" t="n">
        <v>0</v>
      </c>
      <c r="N14343" t="n">
        <v>0</v>
      </c>
      <c r="O14343" t="n">
        <v>0</v>
      </c>
      <c r="P14343" t="n">
        <v>0</v>
      </c>
      <c r="Q14343" t="n">
        <v>0</v>
      </c>
      <c r="R14343" s="2" t="inlineStr"/>
    </row>
    <row r="14344" ht="15" customHeight="1">
      <c r="A14344" t="inlineStr">
        <is>
          <t>A 26542-2024</t>
        </is>
      </c>
      <c r="B14344" s="1" t="n">
        <v>45469</v>
      </c>
      <c r="C14344" s="1" t="n">
        <v>45952</v>
      </c>
      <c r="D14344" t="inlineStr">
        <is>
          <t>VÄSTRA GÖTALANDS LÄN</t>
        </is>
      </c>
      <c r="E14344" t="inlineStr">
        <is>
          <t>TIDAHOLM</t>
        </is>
      </c>
      <c r="F14344" t="inlineStr">
        <is>
          <t>Sveaskog</t>
        </is>
      </c>
      <c r="G14344" t="n">
        <v>2.1</v>
      </c>
      <c r="H14344" t="n">
        <v>0</v>
      </c>
      <c r="I14344" t="n">
        <v>0</v>
      </c>
      <c r="J14344" t="n">
        <v>0</v>
      </c>
      <c r="K14344" t="n">
        <v>0</v>
      </c>
      <c r="L14344" t="n">
        <v>0</v>
      </c>
      <c r="M14344" t="n">
        <v>0</v>
      </c>
      <c r="N14344" t="n">
        <v>0</v>
      </c>
      <c r="O14344" t="n">
        <v>0</v>
      </c>
      <c r="P14344" t="n">
        <v>0</v>
      </c>
      <c r="Q14344" t="n">
        <v>0</v>
      </c>
      <c r="R14344" s="2" t="inlineStr"/>
    </row>
    <row r="14345" ht="15" customHeight="1">
      <c r="A14345" t="inlineStr">
        <is>
          <t>A 43943-2023</t>
        </is>
      </c>
      <c r="B14345" s="1" t="n">
        <v>45187</v>
      </c>
      <c r="C14345" s="1" t="n">
        <v>45952</v>
      </c>
      <c r="D14345" t="inlineStr">
        <is>
          <t>VÄSTRA GÖTALANDS LÄN</t>
        </is>
      </c>
      <c r="E14345" t="inlineStr">
        <is>
          <t>ULRICEHAMN</t>
        </is>
      </c>
      <c r="G14345" t="n">
        <v>0.6</v>
      </c>
      <c r="H14345" t="n">
        <v>0</v>
      </c>
      <c r="I14345" t="n">
        <v>0</v>
      </c>
      <c r="J14345" t="n">
        <v>0</v>
      </c>
      <c r="K14345" t="n">
        <v>0</v>
      </c>
      <c r="L14345" t="n">
        <v>0</v>
      </c>
      <c r="M14345" t="n">
        <v>0</v>
      </c>
      <c r="N14345" t="n">
        <v>0</v>
      </c>
      <c r="O14345" t="n">
        <v>0</v>
      </c>
      <c r="P14345" t="n">
        <v>0</v>
      </c>
      <c r="Q14345" t="n">
        <v>0</v>
      </c>
      <c r="R14345" s="2" t="inlineStr"/>
    </row>
    <row r="14346" ht="15" customHeight="1">
      <c r="A14346" t="inlineStr">
        <is>
          <t>A 61925-2023</t>
        </is>
      </c>
      <c r="B14346" s="1" t="n">
        <v>45266.51587962963</v>
      </c>
      <c r="C14346" s="1" t="n">
        <v>45952</v>
      </c>
      <c r="D14346" t="inlineStr">
        <is>
          <t>VÄSTRA GÖTALANDS LÄN</t>
        </is>
      </c>
      <c r="E14346" t="inlineStr">
        <is>
          <t>HJO</t>
        </is>
      </c>
      <c r="G14346" t="n">
        <v>2.2</v>
      </c>
      <c r="H14346" t="n">
        <v>0</v>
      </c>
      <c r="I14346" t="n">
        <v>0</v>
      </c>
      <c r="J14346" t="n">
        <v>0</v>
      </c>
      <c r="K14346" t="n">
        <v>0</v>
      </c>
      <c r="L14346" t="n">
        <v>0</v>
      </c>
      <c r="M14346" t="n">
        <v>0</v>
      </c>
      <c r="N14346" t="n">
        <v>0</v>
      </c>
      <c r="O14346" t="n">
        <v>0</v>
      </c>
      <c r="P14346" t="n">
        <v>0</v>
      </c>
      <c r="Q14346" t="n">
        <v>0</v>
      </c>
      <c r="R14346" s="2" t="inlineStr"/>
    </row>
    <row r="14347" ht="15" customHeight="1">
      <c r="A14347" t="inlineStr">
        <is>
          <t>A 62022-2024</t>
        </is>
      </c>
      <c r="B14347" s="1" t="n">
        <v>45655.93005787037</v>
      </c>
      <c r="C14347" s="1" t="n">
        <v>45952</v>
      </c>
      <c r="D14347" t="inlineStr">
        <is>
          <t>VÄSTRA GÖTALANDS LÄN</t>
        </is>
      </c>
      <c r="E14347" t="inlineStr">
        <is>
          <t>BENGTSFORS</t>
        </is>
      </c>
      <c r="G14347" t="n">
        <v>0.8</v>
      </c>
      <c r="H14347" t="n">
        <v>0</v>
      </c>
      <c r="I14347" t="n">
        <v>0</v>
      </c>
      <c r="J14347" t="n">
        <v>0</v>
      </c>
      <c r="K14347" t="n">
        <v>0</v>
      </c>
      <c r="L14347" t="n">
        <v>0</v>
      </c>
      <c r="M14347" t="n">
        <v>0</v>
      </c>
      <c r="N14347" t="n">
        <v>0</v>
      </c>
      <c r="O14347" t="n">
        <v>0</v>
      </c>
      <c r="P14347" t="n">
        <v>0</v>
      </c>
      <c r="Q14347" t="n">
        <v>0</v>
      </c>
      <c r="R14347" s="2" t="inlineStr"/>
    </row>
    <row r="14348" ht="15" customHeight="1">
      <c r="A14348" t="inlineStr">
        <is>
          <t>A 4954-2024</t>
        </is>
      </c>
      <c r="B14348" s="1" t="n">
        <v>45329</v>
      </c>
      <c r="C14348" s="1" t="n">
        <v>45952</v>
      </c>
      <c r="D14348" t="inlineStr">
        <is>
          <t>VÄSTRA GÖTALANDS LÄN</t>
        </is>
      </c>
      <c r="E14348" t="inlineStr">
        <is>
          <t>ESSUNGA</t>
        </is>
      </c>
      <c r="G14348" t="n">
        <v>0.7</v>
      </c>
      <c r="H14348" t="n">
        <v>0</v>
      </c>
      <c r="I14348" t="n">
        <v>0</v>
      </c>
      <c r="J14348" t="n">
        <v>0</v>
      </c>
      <c r="K14348" t="n">
        <v>0</v>
      </c>
      <c r="L14348" t="n">
        <v>0</v>
      </c>
      <c r="M14348" t="n">
        <v>0</v>
      </c>
      <c r="N14348" t="n">
        <v>0</v>
      </c>
      <c r="O14348" t="n">
        <v>0</v>
      </c>
      <c r="P14348" t="n">
        <v>0</v>
      </c>
      <c r="Q14348" t="n">
        <v>0</v>
      </c>
      <c r="R14348" s="2" t="inlineStr"/>
    </row>
    <row r="14349" ht="15" customHeight="1">
      <c r="A14349" t="inlineStr">
        <is>
          <t>A 13867-2024</t>
        </is>
      </c>
      <c r="B14349" s="1" t="n">
        <v>45391.56081018518</v>
      </c>
      <c r="C14349" s="1" t="n">
        <v>45952</v>
      </c>
      <c r="D14349" t="inlineStr">
        <is>
          <t>VÄSTRA GÖTALANDS LÄN</t>
        </is>
      </c>
      <c r="E14349" t="inlineStr">
        <is>
          <t>TRANEMO</t>
        </is>
      </c>
      <c r="G14349" t="n">
        <v>1.9</v>
      </c>
      <c r="H14349" t="n">
        <v>0</v>
      </c>
      <c r="I14349" t="n">
        <v>0</v>
      </c>
      <c r="J14349" t="n">
        <v>0</v>
      </c>
      <c r="K14349" t="n">
        <v>0</v>
      </c>
      <c r="L14349" t="n">
        <v>0</v>
      </c>
      <c r="M14349" t="n">
        <v>0</v>
      </c>
      <c r="N14349" t="n">
        <v>0</v>
      </c>
      <c r="O14349" t="n">
        <v>0</v>
      </c>
      <c r="P14349" t="n">
        <v>0</v>
      </c>
      <c r="Q14349" t="n">
        <v>0</v>
      </c>
      <c r="R14349" s="2" t="inlineStr"/>
    </row>
    <row r="14350" ht="15" customHeight="1">
      <c r="A14350" t="inlineStr">
        <is>
          <t>A 13871-2024</t>
        </is>
      </c>
      <c r="B14350" s="1" t="n">
        <v>45391.57079861111</v>
      </c>
      <c r="C14350" s="1" t="n">
        <v>45952</v>
      </c>
      <c r="D14350" t="inlineStr">
        <is>
          <t>VÄSTRA GÖTALANDS LÄN</t>
        </is>
      </c>
      <c r="E14350" t="inlineStr">
        <is>
          <t>TRANEMO</t>
        </is>
      </c>
      <c r="G14350" t="n">
        <v>2.6</v>
      </c>
      <c r="H14350" t="n">
        <v>0</v>
      </c>
      <c r="I14350" t="n">
        <v>0</v>
      </c>
      <c r="J14350" t="n">
        <v>0</v>
      </c>
      <c r="K14350" t="n">
        <v>0</v>
      </c>
      <c r="L14350" t="n">
        <v>0</v>
      </c>
      <c r="M14350" t="n">
        <v>0</v>
      </c>
      <c r="N14350" t="n">
        <v>0</v>
      </c>
      <c r="O14350" t="n">
        <v>0</v>
      </c>
      <c r="P14350" t="n">
        <v>0</v>
      </c>
      <c r="Q14350" t="n">
        <v>0</v>
      </c>
      <c r="R14350" s="2" t="inlineStr"/>
    </row>
    <row r="14351" ht="15" customHeight="1">
      <c r="A14351" t="inlineStr">
        <is>
          <t>A 4711-2025</t>
        </is>
      </c>
      <c r="B14351" s="1" t="n">
        <v>45688</v>
      </c>
      <c r="C14351" s="1" t="n">
        <v>45952</v>
      </c>
      <c r="D14351" t="inlineStr">
        <is>
          <t>VÄSTRA GÖTALANDS LÄN</t>
        </is>
      </c>
      <c r="E14351" t="inlineStr">
        <is>
          <t>FALKÖPING</t>
        </is>
      </c>
      <c r="G14351" t="n">
        <v>3.3</v>
      </c>
      <c r="H14351" t="n">
        <v>0</v>
      </c>
      <c r="I14351" t="n">
        <v>0</v>
      </c>
      <c r="J14351" t="n">
        <v>0</v>
      </c>
      <c r="K14351" t="n">
        <v>0</v>
      </c>
      <c r="L14351" t="n">
        <v>0</v>
      </c>
      <c r="M14351" t="n">
        <v>0</v>
      </c>
      <c r="N14351" t="n">
        <v>0</v>
      </c>
      <c r="O14351" t="n">
        <v>0</v>
      </c>
      <c r="P14351" t="n">
        <v>0</v>
      </c>
      <c r="Q14351" t="n">
        <v>0</v>
      </c>
      <c r="R14351" s="2" t="inlineStr"/>
    </row>
    <row r="14352" ht="15" customHeight="1">
      <c r="A14352" t="inlineStr">
        <is>
          <t>A 4771-2025</t>
        </is>
      </c>
      <c r="B14352" s="1" t="n">
        <v>45688.49644675926</v>
      </c>
      <c r="C14352" s="1" t="n">
        <v>45952</v>
      </c>
      <c r="D14352" t="inlineStr">
        <is>
          <t>VÄSTRA GÖTALANDS LÄN</t>
        </is>
      </c>
      <c r="E14352" t="inlineStr">
        <is>
          <t>UDDEVALLA</t>
        </is>
      </c>
      <c r="G14352" t="n">
        <v>1.1</v>
      </c>
      <c r="H14352" t="n">
        <v>0</v>
      </c>
      <c r="I14352" t="n">
        <v>0</v>
      </c>
      <c r="J14352" t="n">
        <v>0</v>
      </c>
      <c r="K14352" t="n">
        <v>0</v>
      </c>
      <c r="L14352" t="n">
        <v>0</v>
      </c>
      <c r="M14352" t="n">
        <v>0</v>
      </c>
      <c r="N14352" t="n">
        <v>0</v>
      </c>
      <c r="O14352" t="n">
        <v>0</v>
      </c>
      <c r="P14352" t="n">
        <v>0</v>
      </c>
      <c r="Q14352" t="n">
        <v>0</v>
      </c>
      <c r="R14352" s="2" t="inlineStr"/>
    </row>
    <row r="14353" ht="15" customHeight="1">
      <c r="A14353" t="inlineStr">
        <is>
          <t>A 47755-2022</t>
        </is>
      </c>
      <c r="B14353" s="1" t="n">
        <v>44854.67653935185</v>
      </c>
      <c r="C14353" s="1" t="n">
        <v>45952</v>
      </c>
      <c r="D14353" t="inlineStr">
        <is>
          <t>VÄSTRA GÖTALANDS LÄN</t>
        </is>
      </c>
      <c r="E14353" t="inlineStr">
        <is>
          <t>TROLLHÄTTAN</t>
        </is>
      </c>
      <c r="G14353" t="n">
        <v>2</v>
      </c>
      <c r="H14353" t="n">
        <v>0</v>
      </c>
      <c r="I14353" t="n">
        <v>0</v>
      </c>
      <c r="J14353" t="n">
        <v>0</v>
      </c>
      <c r="K14353" t="n">
        <v>0</v>
      </c>
      <c r="L14353" t="n">
        <v>0</v>
      </c>
      <c r="M14353" t="n">
        <v>0</v>
      </c>
      <c r="N14353" t="n">
        <v>0</v>
      </c>
      <c r="O14353" t="n">
        <v>0</v>
      </c>
      <c r="P14353" t="n">
        <v>0</v>
      </c>
      <c r="Q14353" t="n">
        <v>0</v>
      </c>
      <c r="R14353" s="2" t="inlineStr"/>
    </row>
    <row r="14354" ht="15" customHeight="1">
      <c r="A14354" t="inlineStr">
        <is>
          <t>A 4795-2025</t>
        </is>
      </c>
      <c r="B14354" s="1" t="n">
        <v>45688.57997685186</v>
      </c>
      <c r="C14354" s="1" t="n">
        <v>45952</v>
      </c>
      <c r="D14354" t="inlineStr">
        <is>
          <t>VÄSTRA GÖTALANDS LÄN</t>
        </is>
      </c>
      <c r="E14354" t="inlineStr">
        <is>
          <t>BENGTSFORS</t>
        </is>
      </c>
      <c r="G14354" t="n">
        <v>4.1</v>
      </c>
      <c r="H14354" t="n">
        <v>0</v>
      </c>
      <c r="I14354" t="n">
        <v>0</v>
      </c>
      <c r="J14354" t="n">
        <v>0</v>
      </c>
      <c r="K14354" t="n">
        <v>0</v>
      </c>
      <c r="L14354" t="n">
        <v>0</v>
      </c>
      <c r="M14354" t="n">
        <v>0</v>
      </c>
      <c r="N14354" t="n">
        <v>0</v>
      </c>
      <c r="O14354" t="n">
        <v>0</v>
      </c>
      <c r="P14354" t="n">
        <v>0</v>
      </c>
      <c r="Q14354" t="n">
        <v>0</v>
      </c>
      <c r="R14354" s="2" t="inlineStr"/>
    </row>
    <row r="14355" ht="15" customHeight="1">
      <c r="A14355" t="inlineStr">
        <is>
          <t>A 50523-2022</t>
        </is>
      </c>
      <c r="B14355" s="1" t="n">
        <v>44866</v>
      </c>
      <c r="C14355" s="1" t="n">
        <v>45952</v>
      </c>
      <c r="D14355" t="inlineStr">
        <is>
          <t>VÄSTRA GÖTALANDS LÄN</t>
        </is>
      </c>
      <c r="E14355" t="inlineStr">
        <is>
          <t>TRANEMO</t>
        </is>
      </c>
      <c r="F14355" t="inlineStr">
        <is>
          <t>Sveaskog</t>
        </is>
      </c>
      <c r="G14355" t="n">
        <v>1.3</v>
      </c>
      <c r="H14355" t="n">
        <v>0</v>
      </c>
      <c r="I14355" t="n">
        <v>0</v>
      </c>
      <c r="J14355" t="n">
        <v>0</v>
      </c>
      <c r="K14355" t="n">
        <v>0</v>
      </c>
      <c r="L14355" t="n">
        <v>0</v>
      </c>
      <c r="M14355" t="n">
        <v>0</v>
      </c>
      <c r="N14355" t="n">
        <v>0</v>
      </c>
      <c r="O14355" t="n">
        <v>0</v>
      </c>
      <c r="P14355" t="n">
        <v>0</v>
      </c>
      <c r="Q14355" t="n">
        <v>0</v>
      </c>
      <c r="R14355" s="2" t="inlineStr"/>
    </row>
    <row r="14356" ht="15" customHeight="1">
      <c r="A14356" t="inlineStr">
        <is>
          <t>A 59980-2023</t>
        </is>
      </c>
      <c r="B14356" s="1" t="n">
        <v>45257.78938657408</v>
      </c>
      <c r="C14356" s="1" t="n">
        <v>45952</v>
      </c>
      <c r="D14356" t="inlineStr">
        <is>
          <t>VÄSTRA GÖTALANDS LÄN</t>
        </is>
      </c>
      <c r="E14356" t="inlineStr">
        <is>
          <t>BENGTSFORS</t>
        </is>
      </c>
      <c r="G14356" t="n">
        <v>0.5</v>
      </c>
      <c r="H14356" t="n">
        <v>0</v>
      </c>
      <c r="I14356" t="n">
        <v>0</v>
      </c>
      <c r="J14356" t="n">
        <v>0</v>
      </c>
      <c r="K14356" t="n">
        <v>0</v>
      </c>
      <c r="L14356" t="n">
        <v>0</v>
      </c>
      <c r="M14356" t="n">
        <v>0</v>
      </c>
      <c r="N14356" t="n">
        <v>0</v>
      </c>
      <c r="O14356" t="n">
        <v>0</v>
      </c>
      <c r="P14356" t="n">
        <v>0</v>
      </c>
      <c r="Q14356" t="n">
        <v>0</v>
      </c>
      <c r="R14356" s="2" t="inlineStr"/>
    </row>
    <row r="14357" ht="15" customHeight="1">
      <c r="A14357" t="inlineStr">
        <is>
          <t>A 59990-2023</t>
        </is>
      </c>
      <c r="B14357" s="1" t="n">
        <v>45257.83363425926</v>
      </c>
      <c r="C14357" s="1" t="n">
        <v>45952</v>
      </c>
      <c r="D14357" t="inlineStr">
        <is>
          <t>VÄSTRA GÖTALANDS LÄN</t>
        </is>
      </c>
      <c r="E14357" t="inlineStr">
        <is>
          <t>ULRICEHAMN</t>
        </is>
      </c>
      <c r="G14357" t="n">
        <v>2.1</v>
      </c>
      <c r="H14357" t="n">
        <v>0</v>
      </c>
      <c r="I14357" t="n">
        <v>0</v>
      </c>
      <c r="J14357" t="n">
        <v>0</v>
      </c>
      <c r="K14357" t="n">
        <v>0</v>
      </c>
      <c r="L14357" t="n">
        <v>0</v>
      </c>
      <c r="M14357" t="n">
        <v>0</v>
      </c>
      <c r="N14357" t="n">
        <v>0</v>
      </c>
      <c r="O14357" t="n">
        <v>0</v>
      </c>
      <c r="P14357" t="n">
        <v>0</v>
      </c>
      <c r="Q14357" t="n">
        <v>0</v>
      </c>
      <c r="R14357" s="2" t="inlineStr"/>
    </row>
    <row r="14358" ht="15" customHeight="1">
      <c r="A14358" t="inlineStr">
        <is>
          <t>A 60027-2023</t>
        </is>
      </c>
      <c r="B14358" s="1" t="n">
        <v>45258.31546296296</v>
      </c>
      <c r="C14358" s="1" t="n">
        <v>45952</v>
      </c>
      <c r="D14358" t="inlineStr">
        <is>
          <t>VÄSTRA GÖTALANDS LÄN</t>
        </is>
      </c>
      <c r="E14358" t="inlineStr">
        <is>
          <t>ALINGSÅS</t>
        </is>
      </c>
      <c r="G14358" t="n">
        <v>0.6</v>
      </c>
      <c r="H14358" t="n">
        <v>0</v>
      </c>
      <c r="I14358" t="n">
        <v>0</v>
      </c>
      <c r="J14358" t="n">
        <v>0</v>
      </c>
      <c r="K14358" t="n">
        <v>0</v>
      </c>
      <c r="L14358" t="n">
        <v>0</v>
      </c>
      <c r="M14358" t="n">
        <v>0</v>
      </c>
      <c r="N14358" t="n">
        <v>0</v>
      </c>
      <c r="O14358" t="n">
        <v>0</v>
      </c>
      <c r="P14358" t="n">
        <v>0</v>
      </c>
      <c r="Q14358" t="n">
        <v>0</v>
      </c>
      <c r="R14358" s="2" t="inlineStr"/>
    </row>
    <row r="14359" ht="15" customHeight="1">
      <c r="A14359" t="inlineStr">
        <is>
          <t>A 60033-2023</t>
        </is>
      </c>
      <c r="B14359" s="1" t="n">
        <v>45258</v>
      </c>
      <c r="C14359" s="1" t="n">
        <v>45952</v>
      </c>
      <c r="D14359" t="inlineStr">
        <is>
          <t>VÄSTRA GÖTALANDS LÄN</t>
        </is>
      </c>
      <c r="E14359" t="inlineStr">
        <is>
          <t>TRANEMO</t>
        </is>
      </c>
      <c r="G14359" t="n">
        <v>9.5</v>
      </c>
      <c r="H14359" t="n">
        <v>0</v>
      </c>
      <c r="I14359" t="n">
        <v>0</v>
      </c>
      <c r="J14359" t="n">
        <v>0</v>
      </c>
      <c r="K14359" t="n">
        <v>0</v>
      </c>
      <c r="L14359" t="n">
        <v>0</v>
      </c>
      <c r="M14359" t="n">
        <v>0</v>
      </c>
      <c r="N14359" t="n">
        <v>0</v>
      </c>
      <c r="O14359" t="n">
        <v>0</v>
      </c>
      <c r="P14359" t="n">
        <v>0</v>
      </c>
      <c r="Q14359" t="n">
        <v>0</v>
      </c>
      <c r="R14359" s="2" t="inlineStr"/>
    </row>
    <row r="14360" ht="15" customHeight="1">
      <c r="A14360" t="inlineStr">
        <is>
          <t>A 16648-2023</t>
        </is>
      </c>
      <c r="B14360" s="1" t="n">
        <v>45028</v>
      </c>
      <c r="C14360" s="1" t="n">
        <v>45952</v>
      </c>
      <c r="D14360" t="inlineStr">
        <is>
          <t>VÄSTRA GÖTALANDS LÄN</t>
        </is>
      </c>
      <c r="E14360" t="inlineStr">
        <is>
          <t>LERUM</t>
        </is>
      </c>
      <c r="F14360" t="inlineStr">
        <is>
          <t>Kyrkan</t>
        </is>
      </c>
      <c r="G14360" t="n">
        <v>4.5</v>
      </c>
      <c r="H14360" t="n">
        <v>0</v>
      </c>
      <c r="I14360" t="n">
        <v>0</v>
      </c>
      <c r="J14360" t="n">
        <v>0</v>
      </c>
      <c r="K14360" t="n">
        <v>0</v>
      </c>
      <c r="L14360" t="n">
        <v>0</v>
      </c>
      <c r="M14360" t="n">
        <v>0</v>
      </c>
      <c r="N14360" t="n">
        <v>0</v>
      </c>
      <c r="O14360" t="n">
        <v>0</v>
      </c>
      <c r="P14360" t="n">
        <v>0</v>
      </c>
      <c r="Q14360" t="n">
        <v>0</v>
      </c>
      <c r="R14360" s="2" t="inlineStr"/>
    </row>
    <row r="14361" ht="15" customHeight="1">
      <c r="A14361" t="inlineStr">
        <is>
          <t>A 51620-2023</t>
        </is>
      </c>
      <c r="B14361" s="1" t="n">
        <v>45222</v>
      </c>
      <c r="C14361" s="1" t="n">
        <v>45952</v>
      </c>
      <c r="D14361" t="inlineStr">
        <is>
          <t>VÄSTRA GÖTALANDS LÄN</t>
        </is>
      </c>
      <c r="E14361" t="inlineStr">
        <is>
          <t>HERRLJUNGA</t>
        </is>
      </c>
      <c r="G14361" t="n">
        <v>3.3</v>
      </c>
      <c r="H14361" t="n">
        <v>0</v>
      </c>
      <c r="I14361" t="n">
        <v>0</v>
      </c>
      <c r="J14361" t="n">
        <v>0</v>
      </c>
      <c r="K14361" t="n">
        <v>0</v>
      </c>
      <c r="L14361" t="n">
        <v>0</v>
      </c>
      <c r="M14361" t="n">
        <v>0</v>
      </c>
      <c r="N14361" t="n">
        <v>0</v>
      </c>
      <c r="O14361" t="n">
        <v>0</v>
      </c>
      <c r="P14361" t="n">
        <v>0</v>
      </c>
      <c r="Q14361" t="n">
        <v>0</v>
      </c>
      <c r="R14361" s="2" t="inlineStr"/>
    </row>
    <row r="14362" ht="15" customHeight="1">
      <c r="A14362" t="inlineStr">
        <is>
          <t>A 51626-2023</t>
        </is>
      </c>
      <c r="B14362" s="1" t="n">
        <v>45215</v>
      </c>
      <c r="C14362" s="1" t="n">
        <v>45952</v>
      </c>
      <c r="D14362" t="inlineStr">
        <is>
          <t>VÄSTRA GÖTALANDS LÄN</t>
        </is>
      </c>
      <c r="E14362" t="inlineStr">
        <is>
          <t>TÖREBODA</t>
        </is>
      </c>
      <c r="G14362" t="n">
        <v>1.2</v>
      </c>
      <c r="H14362" t="n">
        <v>0</v>
      </c>
      <c r="I14362" t="n">
        <v>0</v>
      </c>
      <c r="J14362" t="n">
        <v>0</v>
      </c>
      <c r="K14362" t="n">
        <v>0</v>
      </c>
      <c r="L14362" t="n">
        <v>0</v>
      </c>
      <c r="M14362" t="n">
        <v>0</v>
      </c>
      <c r="N14362" t="n">
        <v>0</v>
      </c>
      <c r="O14362" t="n">
        <v>0</v>
      </c>
      <c r="P14362" t="n">
        <v>0</v>
      </c>
      <c r="Q14362" t="n">
        <v>0</v>
      </c>
      <c r="R14362" s="2" t="inlineStr"/>
    </row>
    <row r="14363" ht="15" customHeight="1">
      <c r="A14363" t="inlineStr">
        <is>
          <t>A 15428-2025</t>
        </is>
      </c>
      <c r="B14363" s="1" t="n">
        <v>45747.46989583333</v>
      </c>
      <c r="C14363" s="1" t="n">
        <v>45952</v>
      </c>
      <c r="D14363" t="inlineStr">
        <is>
          <t>VÄSTRA GÖTALANDS LÄN</t>
        </is>
      </c>
      <c r="E14363" t="inlineStr">
        <is>
          <t>GÖTENE</t>
        </is>
      </c>
      <c r="G14363" t="n">
        <v>0.1</v>
      </c>
      <c r="H14363" t="n">
        <v>0</v>
      </c>
      <c r="I14363" t="n">
        <v>0</v>
      </c>
      <c r="J14363" t="n">
        <v>0</v>
      </c>
      <c r="K14363" t="n">
        <v>0</v>
      </c>
      <c r="L14363" t="n">
        <v>0</v>
      </c>
      <c r="M14363" t="n">
        <v>0</v>
      </c>
      <c r="N14363" t="n">
        <v>0</v>
      </c>
      <c r="O14363" t="n">
        <v>0</v>
      </c>
      <c r="P14363" t="n">
        <v>0</v>
      </c>
      <c r="Q14363" t="n">
        <v>0</v>
      </c>
      <c r="R14363" s="2" t="inlineStr"/>
    </row>
    <row r="14364" ht="15" customHeight="1">
      <c r="A14364" t="inlineStr">
        <is>
          <t>A 15434-2025</t>
        </is>
      </c>
      <c r="B14364" s="1" t="n">
        <v>45747.47193287037</v>
      </c>
      <c r="C14364" s="1" t="n">
        <v>45952</v>
      </c>
      <c r="D14364" t="inlineStr">
        <is>
          <t>VÄSTRA GÖTALANDS LÄN</t>
        </is>
      </c>
      <c r="E14364" t="inlineStr">
        <is>
          <t>GÖTENE</t>
        </is>
      </c>
      <c r="G14364" t="n">
        <v>0.1</v>
      </c>
      <c r="H14364" t="n">
        <v>0</v>
      </c>
      <c r="I14364" t="n">
        <v>0</v>
      </c>
      <c r="J14364" t="n">
        <v>0</v>
      </c>
      <c r="K14364" t="n">
        <v>0</v>
      </c>
      <c r="L14364" t="n">
        <v>0</v>
      </c>
      <c r="M14364" t="n">
        <v>0</v>
      </c>
      <c r="N14364" t="n">
        <v>0</v>
      </c>
      <c r="O14364" t="n">
        <v>0</v>
      </c>
      <c r="P14364" t="n">
        <v>0</v>
      </c>
      <c r="Q14364" t="n">
        <v>0</v>
      </c>
      <c r="R14364" s="2" t="inlineStr"/>
    </row>
    <row r="14365" ht="15" customHeight="1">
      <c r="A14365" t="inlineStr">
        <is>
          <t>A 35844-2024</t>
        </is>
      </c>
      <c r="B14365" s="1" t="n">
        <v>45532.77702546296</v>
      </c>
      <c r="C14365" s="1" t="n">
        <v>45952</v>
      </c>
      <c r="D14365" t="inlineStr">
        <is>
          <t>VÄSTRA GÖTALANDS LÄN</t>
        </is>
      </c>
      <c r="E14365" t="inlineStr">
        <is>
          <t>FÄRGELANDA</t>
        </is>
      </c>
      <c r="G14365" t="n">
        <v>2.1</v>
      </c>
      <c r="H14365" t="n">
        <v>0</v>
      </c>
      <c r="I14365" t="n">
        <v>0</v>
      </c>
      <c r="J14365" t="n">
        <v>0</v>
      </c>
      <c r="K14365" t="n">
        <v>0</v>
      </c>
      <c r="L14365" t="n">
        <v>0</v>
      </c>
      <c r="M14365" t="n">
        <v>0</v>
      </c>
      <c r="N14365" t="n">
        <v>0</v>
      </c>
      <c r="O14365" t="n">
        <v>0</v>
      </c>
      <c r="P14365" t="n">
        <v>0</v>
      </c>
      <c r="Q14365" t="n">
        <v>0</v>
      </c>
      <c r="R14365" s="2" t="inlineStr"/>
    </row>
    <row r="14366" ht="15" customHeight="1">
      <c r="A14366" t="inlineStr">
        <is>
          <t>A 26268-2023</t>
        </is>
      </c>
      <c r="B14366" s="1" t="n">
        <v>45091.61202546296</v>
      </c>
      <c r="C14366" s="1" t="n">
        <v>45952</v>
      </c>
      <c r="D14366" t="inlineStr">
        <is>
          <t>VÄSTRA GÖTALANDS LÄN</t>
        </is>
      </c>
      <c r="E14366" t="inlineStr">
        <is>
          <t>SKARA</t>
        </is>
      </c>
      <c r="G14366" t="n">
        <v>21.6</v>
      </c>
      <c r="H14366" t="n">
        <v>0</v>
      </c>
      <c r="I14366" t="n">
        <v>0</v>
      </c>
      <c r="J14366" t="n">
        <v>0</v>
      </c>
      <c r="K14366" t="n">
        <v>0</v>
      </c>
      <c r="L14366" t="n">
        <v>0</v>
      </c>
      <c r="M14366" t="n">
        <v>0</v>
      </c>
      <c r="N14366" t="n">
        <v>0</v>
      </c>
      <c r="O14366" t="n">
        <v>0</v>
      </c>
      <c r="P14366" t="n">
        <v>0</v>
      </c>
      <c r="Q14366" t="n">
        <v>0</v>
      </c>
      <c r="R14366" s="2" t="inlineStr"/>
    </row>
    <row r="14367" ht="15" customHeight="1">
      <c r="A14367" t="inlineStr">
        <is>
          <t>A 23846-2022</t>
        </is>
      </c>
      <c r="B14367" s="1" t="n">
        <v>44722</v>
      </c>
      <c r="C14367" s="1" t="n">
        <v>45952</v>
      </c>
      <c r="D14367" t="inlineStr">
        <is>
          <t>VÄSTRA GÖTALANDS LÄN</t>
        </is>
      </c>
      <c r="E14367" t="inlineStr">
        <is>
          <t>FALKÖPING</t>
        </is>
      </c>
      <c r="G14367" t="n">
        <v>9.1</v>
      </c>
      <c r="H14367" t="n">
        <v>0</v>
      </c>
      <c r="I14367" t="n">
        <v>0</v>
      </c>
      <c r="J14367" t="n">
        <v>0</v>
      </c>
      <c r="K14367" t="n">
        <v>0</v>
      </c>
      <c r="L14367" t="n">
        <v>0</v>
      </c>
      <c r="M14367" t="n">
        <v>0</v>
      </c>
      <c r="N14367" t="n">
        <v>0</v>
      </c>
      <c r="O14367" t="n">
        <v>0</v>
      </c>
      <c r="P14367" t="n">
        <v>0</v>
      </c>
      <c r="Q14367" t="n">
        <v>0</v>
      </c>
      <c r="R14367" s="2" t="inlineStr"/>
    </row>
    <row r="14368" ht="15" customHeight="1">
      <c r="A14368" t="inlineStr">
        <is>
          <t>A 40508-2023</t>
        </is>
      </c>
      <c r="B14368" s="1" t="n">
        <v>45170.40796296296</v>
      </c>
      <c r="C14368" s="1" t="n">
        <v>45952</v>
      </c>
      <c r="D14368" t="inlineStr">
        <is>
          <t>VÄSTRA GÖTALANDS LÄN</t>
        </is>
      </c>
      <c r="E14368" t="inlineStr">
        <is>
          <t>GULLSPÅNG</t>
        </is>
      </c>
      <c r="G14368" t="n">
        <v>0.5</v>
      </c>
      <c r="H14368" t="n">
        <v>0</v>
      </c>
      <c r="I14368" t="n">
        <v>0</v>
      </c>
      <c r="J14368" t="n">
        <v>0</v>
      </c>
      <c r="K14368" t="n">
        <v>0</v>
      </c>
      <c r="L14368" t="n">
        <v>0</v>
      </c>
      <c r="M14368" t="n">
        <v>0</v>
      </c>
      <c r="N14368" t="n">
        <v>0</v>
      </c>
      <c r="O14368" t="n">
        <v>0</v>
      </c>
      <c r="P14368" t="n">
        <v>0</v>
      </c>
      <c r="Q14368" t="n">
        <v>0</v>
      </c>
      <c r="R14368" s="2" t="inlineStr"/>
    </row>
    <row r="14369" ht="15" customHeight="1">
      <c r="A14369" t="inlineStr">
        <is>
          <t>A 59144-2023</t>
        </is>
      </c>
      <c r="B14369" s="1" t="n">
        <v>45251</v>
      </c>
      <c r="C14369" s="1" t="n">
        <v>45952</v>
      </c>
      <c r="D14369" t="inlineStr">
        <is>
          <t>VÄSTRA GÖTALANDS LÄN</t>
        </is>
      </c>
      <c r="E14369" t="inlineStr">
        <is>
          <t>UDDEVALLA</t>
        </is>
      </c>
      <c r="F14369" t="inlineStr">
        <is>
          <t>Kyrkan</t>
        </is>
      </c>
      <c r="G14369" t="n">
        <v>1.8</v>
      </c>
      <c r="H14369" t="n">
        <v>0</v>
      </c>
      <c r="I14369" t="n">
        <v>0</v>
      </c>
      <c r="J14369" t="n">
        <v>0</v>
      </c>
      <c r="K14369" t="n">
        <v>0</v>
      </c>
      <c r="L14369" t="n">
        <v>0</v>
      </c>
      <c r="M14369" t="n">
        <v>0</v>
      </c>
      <c r="N14369" t="n">
        <v>0</v>
      </c>
      <c r="O14369" t="n">
        <v>0</v>
      </c>
      <c r="P14369" t="n">
        <v>0</v>
      </c>
      <c r="Q14369" t="n">
        <v>0</v>
      </c>
      <c r="R14369" s="2" t="inlineStr"/>
    </row>
    <row r="14370" ht="15" customHeight="1">
      <c r="A14370" t="inlineStr">
        <is>
          <t>A 61417-2023</t>
        </is>
      </c>
      <c r="B14370" s="1" t="n">
        <v>45264.67543981481</v>
      </c>
      <c r="C14370" s="1" t="n">
        <v>45952</v>
      </c>
      <c r="D14370" t="inlineStr">
        <is>
          <t>VÄSTRA GÖTALANDS LÄN</t>
        </is>
      </c>
      <c r="E14370" t="inlineStr">
        <is>
          <t>MARK</t>
        </is>
      </c>
      <c r="G14370" t="n">
        <v>1.4</v>
      </c>
      <c r="H14370" t="n">
        <v>0</v>
      </c>
      <c r="I14370" t="n">
        <v>0</v>
      </c>
      <c r="J14370" t="n">
        <v>0</v>
      </c>
      <c r="K14370" t="n">
        <v>0</v>
      </c>
      <c r="L14370" t="n">
        <v>0</v>
      </c>
      <c r="M14370" t="n">
        <v>0</v>
      </c>
      <c r="N14370" t="n">
        <v>0</v>
      </c>
      <c r="O14370" t="n">
        <v>0</v>
      </c>
      <c r="P14370" t="n">
        <v>0</v>
      </c>
      <c r="Q14370" t="n">
        <v>0</v>
      </c>
      <c r="R14370" s="2" t="inlineStr"/>
    </row>
    <row r="14371" ht="15" customHeight="1">
      <c r="A14371" t="inlineStr">
        <is>
          <t>A 47573-2024</t>
        </is>
      </c>
      <c r="B14371" s="1" t="n">
        <v>45587.71979166667</v>
      </c>
      <c r="C14371" s="1" t="n">
        <v>45952</v>
      </c>
      <c r="D14371" t="inlineStr">
        <is>
          <t>VÄSTRA GÖTALANDS LÄN</t>
        </is>
      </c>
      <c r="E14371" t="inlineStr">
        <is>
          <t>GRÄSTORP</t>
        </is>
      </c>
      <c r="G14371" t="n">
        <v>5.9</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41391-2024</t>
        </is>
      </c>
      <c r="B14372" s="1" t="n">
        <v>45560.31561342593</v>
      </c>
      <c r="C14372" s="1" t="n">
        <v>45952</v>
      </c>
      <c r="D14372" t="inlineStr">
        <is>
          <t>VÄSTRA GÖTALANDS LÄN</t>
        </is>
      </c>
      <c r="E14372" t="inlineStr">
        <is>
          <t>MARIESTAD</t>
        </is>
      </c>
      <c r="F14372" t="inlineStr">
        <is>
          <t>Sveaskog</t>
        </is>
      </c>
      <c r="G14372" t="n">
        <v>2.2</v>
      </c>
      <c r="H14372" t="n">
        <v>0</v>
      </c>
      <c r="I14372" t="n">
        <v>0</v>
      </c>
      <c r="J14372" t="n">
        <v>0</v>
      </c>
      <c r="K14372" t="n">
        <v>0</v>
      </c>
      <c r="L14372" t="n">
        <v>0</v>
      </c>
      <c r="M14372" t="n">
        <v>0</v>
      </c>
      <c r="N14372" t="n">
        <v>0</v>
      </c>
      <c r="O14372" t="n">
        <v>0</v>
      </c>
      <c r="P14372" t="n">
        <v>0</v>
      </c>
      <c r="Q14372" t="n">
        <v>0</v>
      </c>
      <c r="R14372" s="2" t="inlineStr"/>
    </row>
    <row r="14373" ht="15" customHeight="1">
      <c r="A14373" t="inlineStr">
        <is>
          <t>A 44233-2023</t>
        </is>
      </c>
      <c r="B14373" s="1" t="n">
        <v>45183</v>
      </c>
      <c r="C14373" s="1" t="n">
        <v>45952</v>
      </c>
      <c r="D14373" t="inlineStr">
        <is>
          <t>VÄSTRA GÖTALANDS LÄN</t>
        </is>
      </c>
      <c r="E14373" t="inlineStr">
        <is>
          <t>ORUST</t>
        </is>
      </c>
      <c r="G14373" t="n">
        <v>3.1</v>
      </c>
      <c r="H14373" t="n">
        <v>0</v>
      </c>
      <c r="I14373" t="n">
        <v>0</v>
      </c>
      <c r="J14373" t="n">
        <v>0</v>
      </c>
      <c r="K14373" t="n">
        <v>0</v>
      </c>
      <c r="L14373" t="n">
        <v>0</v>
      </c>
      <c r="M14373" t="n">
        <v>0</v>
      </c>
      <c r="N14373" t="n">
        <v>0</v>
      </c>
      <c r="O14373" t="n">
        <v>0</v>
      </c>
      <c r="P14373" t="n">
        <v>0</v>
      </c>
      <c r="Q14373" t="n">
        <v>0</v>
      </c>
      <c r="R14373" s="2" t="inlineStr"/>
      <c r="U14373">
        <f>HYPERLINK("https://klasma.github.io/Logging_1421/knärot/A 44233-2023 karta knärot.png", "A 44233-2023")</f>
        <v/>
      </c>
      <c r="V14373">
        <f>HYPERLINK("https://klasma.github.io/Logging_1421/klagomål/A 44233-2023 FSC-klagomål.docx", "A 44233-2023")</f>
        <v/>
      </c>
      <c r="W14373">
        <f>HYPERLINK("https://klasma.github.io/Logging_1421/klagomålsmail/A 44233-2023 FSC-klagomål mail.docx", "A 44233-2023")</f>
        <v/>
      </c>
      <c r="X14373">
        <f>HYPERLINK("https://klasma.github.io/Logging_1421/tillsyn/A 44233-2023 tillsynsbegäran.docx", "A 44233-2023")</f>
        <v/>
      </c>
      <c r="Y14373">
        <f>HYPERLINK("https://klasma.github.io/Logging_1421/tillsynsmail/A 44233-2023 tillsynsbegäran mail.docx", "A 44233-2023")</f>
        <v/>
      </c>
    </row>
    <row r="14374" ht="15" customHeight="1">
      <c r="A14374" t="inlineStr">
        <is>
          <t>A 44249-2023</t>
        </is>
      </c>
      <c r="B14374" s="1" t="n">
        <v>45188</v>
      </c>
      <c r="C14374" s="1" t="n">
        <v>45952</v>
      </c>
      <c r="D14374" t="inlineStr">
        <is>
          <t>VÄSTRA GÖTALANDS LÄN</t>
        </is>
      </c>
      <c r="E14374" t="inlineStr">
        <is>
          <t>MARK</t>
        </is>
      </c>
      <c r="G14374" t="n">
        <v>0.8</v>
      </c>
      <c r="H14374" t="n">
        <v>0</v>
      </c>
      <c r="I14374" t="n">
        <v>0</v>
      </c>
      <c r="J14374" t="n">
        <v>0</v>
      </c>
      <c r="K14374" t="n">
        <v>0</v>
      </c>
      <c r="L14374" t="n">
        <v>0</v>
      </c>
      <c r="M14374" t="n">
        <v>0</v>
      </c>
      <c r="N14374" t="n">
        <v>0</v>
      </c>
      <c r="O14374" t="n">
        <v>0</v>
      </c>
      <c r="P14374" t="n">
        <v>0</v>
      </c>
      <c r="Q14374" t="n">
        <v>0</v>
      </c>
      <c r="R14374" s="2" t="inlineStr"/>
    </row>
    <row r="14375" ht="15" customHeight="1">
      <c r="A14375" t="inlineStr">
        <is>
          <t>A 52041-2023</t>
        </is>
      </c>
      <c r="B14375" s="1" t="n">
        <v>45223</v>
      </c>
      <c r="C14375" s="1" t="n">
        <v>45952</v>
      </c>
      <c r="D14375" t="inlineStr">
        <is>
          <t>VÄSTRA GÖTALANDS LÄN</t>
        </is>
      </c>
      <c r="E14375" t="inlineStr">
        <is>
          <t>SKARA</t>
        </is>
      </c>
      <c r="G14375" t="n">
        <v>5.9</v>
      </c>
      <c r="H14375" t="n">
        <v>0</v>
      </c>
      <c r="I14375" t="n">
        <v>0</v>
      </c>
      <c r="J14375" t="n">
        <v>0</v>
      </c>
      <c r="K14375" t="n">
        <v>0</v>
      </c>
      <c r="L14375" t="n">
        <v>0</v>
      </c>
      <c r="M14375" t="n">
        <v>0</v>
      </c>
      <c r="N14375" t="n">
        <v>0</v>
      </c>
      <c r="O14375" t="n">
        <v>0</v>
      </c>
      <c r="P14375" t="n">
        <v>0</v>
      </c>
      <c r="Q14375" t="n">
        <v>0</v>
      </c>
      <c r="R14375" s="2" t="inlineStr"/>
    </row>
    <row r="14376" ht="15" customHeight="1">
      <c r="A14376" t="inlineStr">
        <is>
          <t>A 52100-2023</t>
        </is>
      </c>
      <c r="B14376" s="1" t="n">
        <v>45223</v>
      </c>
      <c r="C14376" s="1" t="n">
        <v>45952</v>
      </c>
      <c r="D14376" t="inlineStr">
        <is>
          <t>VÄSTRA GÖTALANDS LÄN</t>
        </is>
      </c>
      <c r="E14376" t="inlineStr">
        <is>
          <t>BOLLEBYGD</t>
        </is>
      </c>
      <c r="G14376" t="n">
        <v>0.7</v>
      </c>
      <c r="H14376" t="n">
        <v>0</v>
      </c>
      <c r="I14376" t="n">
        <v>0</v>
      </c>
      <c r="J14376" t="n">
        <v>0</v>
      </c>
      <c r="K14376" t="n">
        <v>0</v>
      </c>
      <c r="L14376" t="n">
        <v>0</v>
      </c>
      <c r="M14376" t="n">
        <v>0</v>
      </c>
      <c r="N14376" t="n">
        <v>0</v>
      </c>
      <c r="O14376" t="n">
        <v>0</v>
      </c>
      <c r="P14376" t="n">
        <v>0</v>
      </c>
      <c r="Q14376" t="n">
        <v>0</v>
      </c>
      <c r="R14376" s="2" t="inlineStr"/>
    </row>
    <row r="14377" ht="15" customHeight="1">
      <c r="A14377" t="inlineStr">
        <is>
          <t>A 55349-2022</t>
        </is>
      </c>
      <c r="B14377" s="1" t="n">
        <v>44887</v>
      </c>
      <c r="C14377" s="1" t="n">
        <v>45952</v>
      </c>
      <c r="D14377" t="inlineStr">
        <is>
          <t>VÄSTRA GÖTALANDS LÄN</t>
        </is>
      </c>
      <c r="E14377" t="inlineStr">
        <is>
          <t>TRANEMO</t>
        </is>
      </c>
      <c r="G14377" t="n">
        <v>3.1</v>
      </c>
      <c r="H14377" t="n">
        <v>0</v>
      </c>
      <c r="I14377" t="n">
        <v>0</v>
      </c>
      <c r="J14377" t="n">
        <v>0</v>
      </c>
      <c r="K14377" t="n">
        <v>0</v>
      </c>
      <c r="L14377" t="n">
        <v>0</v>
      </c>
      <c r="M14377" t="n">
        <v>0</v>
      </c>
      <c r="N14377" t="n">
        <v>0</v>
      </c>
      <c r="O14377" t="n">
        <v>0</v>
      </c>
      <c r="P14377" t="n">
        <v>0</v>
      </c>
      <c r="Q14377" t="n">
        <v>0</v>
      </c>
      <c r="R14377" s="2" t="inlineStr"/>
    </row>
    <row r="14378" ht="15" customHeight="1">
      <c r="A14378" t="inlineStr">
        <is>
          <t>A 52778-2022</t>
        </is>
      </c>
      <c r="B14378" s="1" t="n">
        <v>44875</v>
      </c>
      <c r="C14378" s="1" t="n">
        <v>45952</v>
      </c>
      <c r="D14378" t="inlineStr">
        <is>
          <t>VÄSTRA GÖTALANDS LÄN</t>
        </is>
      </c>
      <c r="E14378" t="inlineStr">
        <is>
          <t>VARA</t>
        </is>
      </c>
      <c r="G14378" t="n">
        <v>8.4</v>
      </c>
      <c r="H14378" t="n">
        <v>0</v>
      </c>
      <c r="I14378" t="n">
        <v>0</v>
      </c>
      <c r="J14378" t="n">
        <v>0</v>
      </c>
      <c r="K14378" t="n">
        <v>0</v>
      </c>
      <c r="L14378" t="n">
        <v>0</v>
      </c>
      <c r="M14378" t="n">
        <v>0</v>
      </c>
      <c r="N14378" t="n">
        <v>0</v>
      </c>
      <c r="O14378" t="n">
        <v>0</v>
      </c>
      <c r="P14378" t="n">
        <v>0</v>
      </c>
      <c r="Q14378" t="n">
        <v>0</v>
      </c>
      <c r="R14378" s="2" t="inlineStr"/>
    </row>
    <row r="14379" ht="15" customHeight="1">
      <c r="A14379" t="inlineStr">
        <is>
          <t>A 61249-2024</t>
        </is>
      </c>
      <c r="B14379" s="1" t="n">
        <v>45645.69321759259</v>
      </c>
      <c r="C14379" s="1" t="n">
        <v>45952</v>
      </c>
      <c r="D14379" t="inlineStr">
        <is>
          <t>VÄSTRA GÖTALANDS LÄN</t>
        </is>
      </c>
      <c r="E14379" t="inlineStr">
        <is>
          <t>STRÖMSTAD</t>
        </is>
      </c>
      <c r="G14379" t="n">
        <v>4.8</v>
      </c>
      <c r="H14379" t="n">
        <v>0</v>
      </c>
      <c r="I14379" t="n">
        <v>0</v>
      </c>
      <c r="J14379" t="n">
        <v>0</v>
      </c>
      <c r="K14379" t="n">
        <v>0</v>
      </c>
      <c r="L14379" t="n">
        <v>0</v>
      </c>
      <c r="M14379" t="n">
        <v>0</v>
      </c>
      <c r="N14379" t="n">
        <v>0</v>
      </c>
      <c r="O14379" t="n">
        <v>0</v>
      </c>
      <c r="P14379" t="n">
        <v>0</v>
      </c>
      <c r="Q14379" t="n">
        <v>0</v>
      </c>
      <c r="R14379" s="2" t="inlineStr"/>
    </row>
    <row r="14380" ht="15" customHeight="1">
      <c r="A14380" t="inlineStr">
        <is>
          <t>A 39471-2023</t>
        </is>
      </c>
      <c r="B14380" s="1" t="n">
        <v>45166.87197916667</v>
      </c>
      <c r="C14380" s="1" t="n">
        <v>45952</v>
      </c>
      <c r="D14380" t="inlineStr">
        <is>
          <t>VÄSTRA GÖTALANDS LÄN</t>
        </is>
      </c>
      <c r="E14380" t="inlineStr">
        <is>
          <t>ALINGSÅS</t>
        </is>
      </c>
      <c r="G14380" t="n">
        <v>3.2</v>
      </c>
      <c r="H14380" t="n">
        <v>0</v>
      </c>
      <c r="I14380" t="n">
        <v>0</v>
      </c>
      <c r="J14380" t="n">
        <v>0</v>
      </c>
      <c r="K14380" t="n">
        <v>0</v>
      </c>
      <c r="L14380" t="n">
        <v>0</v>
      </c>
      <c r="M14380" t="n">
        <v>0</v>
      </c>
      <c r="N14380" t="n">
        <v>0</v>
      </c>
      <c r="O14380" t="n">
        <v>0</v>
      </c>
      <c r="P14380" t="n">
        <v>0</v>
      </c>
      <c r="Q14380" t="n">
        <v>0</v>
      </c>
      <c r="R14380" s="2" t="inlineStr"/>
    </row>
    <row r="14381" ht="15" customHeight="1">
      <c r="A14381" t="inlineStr">
        <is>
          <t>A 39475-2023</t>
        </is>
      </c>
      <c r="B14381" s="1" t="n">
        <v>45166</v>
      </c>
      <c r="C14381" s="1" t="n">
        <v>45952</v>
      </c>
      <c r="D14381" t="inlineStr">
        <is>
          <t>VÄSTRA GÖTALANDS LÄN</t>
        </is>
      </c>
      <c r="E14381" t="inlineStr">
        <is>
          <t>VÅRGÅRDA</t>
        </is>
      </c>
      <c r="G14381" t="n">
        <v>5.1</v>
      </c>
      <c r="H14381" t="n">
        <v>0</v>
      </c>
      <c r="I14381" t="n">
        <v>0</v>
      </c>
      <c r="J14381" t="n">
        <v>0</v>
      </c>
      <c r="K14381" t="n">
        <v>0</v>
      </c>
      <c r="L14381" t="n">
        <v>0</v>
      </c>
      <c r="M14381" t="n">
        <v>0</v>
      </c>
      <c r="N14381" t="n">
        <v>0</v>
      </c>
      <c r="O14381" t="n">
        <v>0</v>
      </c>
      <c r="P14381" t="n">
        <v>0</v>
      </c>
      <c r="Q14381" t="n">
        <v>0</v>
      </c>
      <c r="R14381" s="2" t="inlineStr"/>
    </row>
    <row r="14382" ht="15" customHeight="1">
      <c r="A14382" t="inlineStr">
        <is>
          <t>A 6718-2025</t>
        </is>
      </c>
      <c r="B14382" s="1" t="n">
        <v>45700.57475694444</v>
      </c>
      <c r="C14382" s="1" t="n">
        <v>45952</v>
      </c>
      <c r="D14382" t="inlineStr">
        <is>
          <t>VÄSTRA GÖTALANDS LÄN</t>
        </is>
      </c>
      <c r="E14382" t="inlineStr">
        <is>
          <t>FALKÖPING</t>
        </is>
      </c>
      <c r="G14382" t="n">
        <v>1</v>
      </c>
      <c r="H14382" t="n">
        <v>0</v>
      </c>
      <c r="I14382" t="n">
        <v>0</v>
      </c>
      <c r="J14382" t="n">
        <v>0</v>
      </c>
      <c r="K14382" t="n">
        <v>0</v>
      </c>
      <c r="L14382" t="n">
        <v>0</v>
      </c>
      <c r="M14382" t="n">
        <v>0</v>
      </c>
      <c r="N14382" t="n">
        <v>0</v>
      </c>
      <c r="O14382" t="n">
        <v>0</v>
      </c>
      <c r="P14382" t="n">
        <v>0</v>
      </c>
      <c r="Q14382" t="n">
        <v>0</v>
      </c>
      <c r="R14382" s="2" t="inlineStr"/>
    </row>
    <row r="14383" ht="15" customHeight="1">
      <c r="A14383" t="inlineStr">
        <is>
          <t>A 6720-2025</t>
        </is>
      </c>
      <c r="B14383" s="1" t="n">
        <v>45700.57809027778</v>
      </c>
      <c r="C14383" s="1" t="n">
        <v>45952</v>
      </c>
      <c r="D14383" t="inlineStr">
        <is>
          <t>VÄSTRA GÖTALANDS LÄN</t>
        </is>
      </c>
      <c r="E14383" t="inlineStr">
        <is>
          <t>FALKÖPING</t>
        </is>
      </c>
      <c r="G14383" t="n">
        <v>0.6</v>
      </c>
      <c r="H14383" t="n">
        <v>0</v>
      </c>
      <c r="I14383" t="n">
        <v>0</v>
      </c>
      <c r="J14383" t="n">
        <v>0</v>
      </c>
      <c r="K14383" t="n">
        <v>0</v>
      </c>
      <c r="L14383" t="n">
        <v>0</v>
      </c>
      <c r="M14383" t="n">
        <v>0</v>
      </c>
      <c r="N14383" t="n">
        <v>0</v>
      </c>
      <c r="O14383" t="n">
        <v>0</v>
      </c>
      <c r="P14383" t="n">
        <v>0</v>
      </c>
      <c r="Q14383" t="n">
        <v>0</v>
      </c>
      <c r="R14383" s="2" t="inlineStr"/>
    </row>
    <row r="14384" ht="15" customHeight="1">
      <c r="A14384" t="inlineStr">
        <is>
          <t>A 26945-2023</t>
        </is>
      </c>
      <c r="B14384" s="1" t="n">
        <v>45093</v>
      </c>
      <c r="C14384" s="1" t="n">
        <v>45952</v>
      </c>
      <c r="D14384" t="inlineStr">
        <is>
          <t>VÄSTRA GÖTALANDS LÄN</t>
        </is>
      </c>
      <c r="E14384" t="inlineStr">
        <is>
          <t>MARK</t>
        </is>
      </c>
      <c r="G14384" t="n">
        <v>0.7</v>
      </c>
      <c r="H14384" t="n">
        <v>0</v>
      </c>
      <c r="I14384" t="n">
        <v>0</v>
      </c>
      <c r="J14384" t="n">
        <v>0</v>
      </c>
      <c r="K14384" t="n">
        <v>0</v>
      </c>
      <c r="L14384" t="n">
        <v>0</v>
      </c>
      <c r="M14384" t="n">
        <v>0</v>
      </c>
      <c r="N14384" t="n">
        <v>0</v>
      </c>
      <c r="O14384" t="n">
        <v>0</v>
      </c>
      <c r="P14384" t="n">
        <v>0</v>
      </c>
      <c r="Q14384" t="n">
        <v>0</v>
      </c>
      <c r="R14384" s="2" t="inlineStr"/>
    </row>
    <row r="14385" ht="15" customHeight="1">
      <c r="A14385" t="inlineStr">
        <is>
          <t>A 10768-2024</t>
        </is>
      </c>
      <c r="B14385" s="1" t="n">
        <v>45369.57269675926</v>
      </c>
      <c r="C14385" s="1" t="n">
        <v>45952</v>
      </c>
      <c r="D14385" t="inlineStr">
        <is>
          <t>VÄSTRA GÖTALANDS LÄN</t>
        </is>
      </c>
      <c r="E14385" t="inlineStr">
        <is>
          <t>TROLLHÄTTAN</t>
        </is>
      </c>
      <c r="G14385" t="n">
        <v>2.7</v>
      </c>
      <c r="H14385" t="n">
        <v>0</v>
      </c>
      <c r="I14385" t="n">
        <v>0</v>
      </c>
      <c r="J14385" t="n">
        <v>0</v>
      </c>
      <c r="K14385" t="n">
        <v>0</v>
      </c>
      <c r="L14385" t="n">
        <v>0</v>
      </c>
      <c r="M14385" t="n">
        <v>0</v>
      </c>
      <c r="N14385" t="n">
        <v>0</v>
      </c>
      <c r="O14385" t="n">
        <v>0</v>
      </c>
      <c r="P14385" t="n">
        <v>0</v>
      </c>
      <c r="Q14385" t="n">
        <v>0</v>
      </c>
      <c r="R14385" s="2" t="inlineStr"/>
    </row>
    <row r="14386" ht="15" customHeight="1">
      <c r="A14386" t="inlineStr">
        <is>
          <t>A 5464-2025</t>
        </is>
      </c>
      <c r="B14386" s="1" t="n">
        <v>45693.32357638889</v>
      </c>
      <c r="C14386" s="1" t="n">
        <v>45952</v>
      </c>
      <c r="D14386" t="inlineStr">
        <is>
          <t>VÄSTRA GÖTALANDS LÄN</t>
        </is>
      </c>
      <c r="E14386" t="inlineStr">
        <is>
          <t>SKÖVDE</t>
        </is>
      </c>
      <c r="G14386" t="n">
        <v>0.7</v>
      </c>
      <c r="H14386" t="n">
        <v>0</v>
      </c>
      <c r="I14386" t="n">
        <v>0</v>
      </c>
      <c r="J14386" t="n">
        <v>0</v>
      </c>
      <c r="K14386" t="n">
        <v>0</v>
      </c>
      <c r="L14386" t="n">
        <v>0</v>
      </c>
      <c r="M14386" t="n">
        <v>0</v>
      </c>
      <c r="N14386" t="n">
        <v>0</v>
      </c>
      <c r="O14386" t="n">
        <v>0</v>
      </c>
      <c r="P14386" t="n">
        <v>0</v>
      </c>
      <c r="Q14386" t="n">
        <v>0</v>
      </c>
      <c r="R14386" s="2" t="inlineStr"/>
    </row>
    <row r="14387" ht="15" customHeight="1">
      <c r="A14387" t="inlineStr">
        <is>
          <t>A 5469-2025</t>
        </is>
      </c>
      <c r="B14387" s="1" t="n">
        <v>45693.32758101852</v>
      </c>
      <c r="C14387" s="1" t="n">
        <v>45952</v>
      </c>
      <c r="D14387" t="inlineStr">
        <is>
          <t>VÄSTRA GÖTALANDS LÄN</t>
        </is>
      </c>
      <c r="E14387" t="inlineStr">
        <is>
          <t>SKÖVDE</t>
        </is>
      </c>
      <c r="G14387" t="n">
        <v>0.8</v>
      </c>
      <c r="H14387" t="n">
        <v>0</v>
      </c>
      <c r="I14387" t="n">
        <v>0</v>
      </c>
      <c r="J14387" t="n">
        <v>0</v>
      </c>
      <c r="K14387" t="n">
        <v>0</v>
      </c>
      <c r="L14387" t="n">
        <v>0</v>
      </c>
      <c r="M14387" t="n">
        <v>0</v>
      </c>
      <c r="N14387" t="n">
        <v>0</v>
      </c>
      <c r="O14387" t="n">
        <v>0</v>
      </c>
      <c r="P14387" t="n">
        <v>0</v>
      </c>
      <c r="Q14387" t="n">
        <v>0</v>
      </c>
      <c r="R14387" s="2" t="inlineStr"/>
    </row>
    <row r="14388" ht="15" customHeight="1">
      <c r="A14388" t="inlineStr">
        <is>
          <t>A 5473-2025</t>
        </is>
      </c>
      <c r="B14388" s="1" t="n">
        <v>45693.33016203704</v>
      </c>
      <c r="C14388" s="1" t="n">
        <v>45952</v>
      </c>
      <c r="D14388" t="inlineStr">
        <is>
          <t>VÄSTRA GÖTALANDS LÄN</t>
        </is>
      </c>
      <c r="E14388" t="inlineStr">
        <is>
          <t>SKÖVDE</t>
        </is>
      </c>
      <c r="G14388" t="n">
        <v>2.9</v>
      </c>
      <c r="H14388" t="n">
        <v>0</v>
      </c>
      <c r="I14388" t="n">
        <v>0</v>
      </c>
      <c r="J14388" t="n">
        <v>0</v>
      </c>
      <c r="K14388" t="n">
        <v>0</v>
      </c>
      <c r="L14388" t="n">
        <v>0</v>
      </c>
      <c r="M14388" t="n">
        <v>0</v>
      </c>
      <c r="N14388" t="n">
        <v>0</v>
      </c>
      <c r="O14388" t="n">
        <v>0</v>
      </c>
      <c r="P14388" t="n">
        <v>0</v>
      </c>
      <c r="Q14388" t="n">
        <v>0</v>
      </c>
      <c r="R14388" s="2" t="inlineStr"/>
    </row>
    <row r="14389" ht="15" customHeight="1">
      <c r="A14389" t="inlineStr">
        <is>
          <t>A 5477-2025</t>
        </is>
      </c>
      <c r="B14389" s="1" t="n">
        <v>45693.33332175926</v>
      </c>
      <c r="C14389" s="1" t="n">
        <v>45952</v>
      </c>
      <c r="D14389" t="inlineStr">
        <is>
          <t>VÄSTRA GÖTALANDS LÄN</t>
        </is>
      </c>
      <c r="E14389" t="inlineStr">
        <is>
          <t>SKÖVDE</t>
        </is>
      </c>
      <c r="G14389" t="n">
        <v>0.4</v>
      </c>
      <c r="H14389" t="n">
        <v>0</v>
      </c>
      <c r="I14389" t="n">
        <v>0</v>
      </c>
      <c r="J14389" t="n">
        <v>0</v>
      </c>
      <c r="K14389" t="n">
        <v>0</v>
      </c>
      <c r="L14389" t="n">
        <v>0</v>
      </c>
      <c r="M14389" t="n">
        <v>0</v>
      </c>
      <c r="N14389" t="n">
        <v>0</v>
      </c>
      <c r="O14389" t="n">
        <v>0</v>
      </c>
      <c r="P14389" t="n">
        <v>0</v>
      </c>
      <c r="Q14389" t="n">
        <v>0</v>
      </c>
      <c r="R14389" s="2" t="inlineStr"/>
    </row>
    <row r="14390" ht="15" customHeight="1">
      <c r="A14390" t="inlineStr">
        <is>
          <t>A 4036-2024</t>
        </is>
      </c>
      <c r="B14390" s="1" t="n">
        <v>45323.41983796296</v>
      </c>
      <c r="C14390" s="1" t="n">
        <v>45952</v>
      </c>
      <c r="D14390" t="inlineStr">
        <is>
          <t>VÄSTRA GÖTALANDS LÄN</t>
        </is>
      </c>
      <c r="E14390" t="inlineStr">
        <is>
          <t>VARA</t>
        </is>
      </c>
      <c r="G14390" t="n">
        <v>2.4</v>
      </c>
      <c r="H14390" t="n">
        <v>0</v>
      </c>
      <c r="I14390" t="n">
        <v>0</v>
      </c>
      <c r="J14390" t="n">
        <v>0</v>
      </c>
      <c r="K14390" t="n">
        <v>0</v>
      </c>
      <c r="L14390" t="n">
        <v>0</v>
      </c>
      <c r="M14390" t="n">
        <v>0</v>
      </c>
      <c r="N14390" t="n">
        <v>0</v>
      </c>
      <c r="O14390" t="n">
        <v>0</v>
      </c>
      <c r="P14390" t="n">
        <v>0</v>
      </c>
      <c r="Q14390" t="n">
        <v>0</v>
      </c>
      <c r="R14390" s="2" t="inlineStr"/>
    </row>
    <row r="14391" ht="15" customHeight="1">
      <c r="A14391" t="inlineStr">
        <is>
          <t>A 4194-2024</t>
        </is>
      </c>
      <c r="B14391" s="1" t="n">
        <v>45324</v>
      </c>
      <c r="C14391" s="1" t="n">
        <v>45952</v>
      </c>
      <c r="D14391" t="inlineStr">
        <is>
          <t>VÄSTRA GÖTALANDS LÄN</t>
        </is>
      </c>
      <c r="E14391" t="inlineStr">
        <is>
          <t>TÖREBODA</t>
        </is>
      </c>
      <c r="G14391" t="n">
        <v>28.9</v>
      </c>
      <c r="H14391" t="n">
        <v>0</v>
      </c>
      <c r="I14391" t="n">
        <v>0</v>
      </c>
      <c r="J14391" t="n">
        <v>0</v>
      </c>
      <c r="K14391" t="n">
        <v>0</v>
      </c>
      <c r="L14391" t="n">
        <v>0</v>
      </c>
      <c r="M14391" t="n">
        <v>0</v>
      </c>
      <c r="N14391" t="n">
        <v>0</v>
      </c>
      <c r="O14391" t="n">
        <v>0</v>
      </c>
      <c r="P14391" t="n">
        <v>0</v>
      </c>
      <c r="Q14391" t="n">
        <v>0</v>
      </c>
      <c r="R14391" s="2" t="inlineStr"/>
    </row>
    <row r="14392" ht="15" customHeight="1">
      <c r="A14392" t="inlineStr">
        <is>
          <t>A 4206-2024</t>
        </is>
      </c>
      <c r="B14392" s="1" t="n">
        <v>45324</v>
      </c>
      <c r="C14392" s="1" t="n">
        <v>45952</v>
      </c>
      <c r="D14392" t="inlineStr">
        <is>
          <t>VÄSTRA GÖTALANDS LÄN</t>
        </is>
      </c>
      <c r="E14392" t="inlineStr">
        <is>
          <t>FÄRGELANDA</t>
        </is>
      </c>
      <c r="G14392" t="n">
        <v>0.8</v>
      </c>
      <c r="H14392" t="n">
        <v>0</v>
      </c>
      <c r="I14392" t="n">
        <v>0</v>
      </c>
      <c r="J14392" t="n">
        <v>0</v>
      </c>
      <c r="K14392" t="n">
        <v>0</v>
      </c>
      <c r="L14392" t="n">
        <v>0</v>
      </c>
      <c r="M14392" t="n">
        <v>0</v>
      </c>
      <c r="N14392" t="n">
        <v>0</v>
      </c>
      <c r="O14392" t="n">
        <v>0</v>
      </c>
      <c r="P14392" t="n">
        <v>0</v>
      </c>
      <c r="Q14392" t="n">
        <v>0</v>
      </c>
      <c r="R14392" s="2" t="inlineStr"/>
    </row>
    <row r="14393" ht="15" customHeight="1">
      <c r="A14393" t="inlineStr">
        <is>
          <t>A 11948-2021</t>
        </is>
      </c>
      <c r="B14393" s="1" t="n">
        <v>44266.38083333334</v>
      </c>
      <c r="C14393" s="1" t="n">
        <v>45952</v>
      </c>
      <c r="D14393" t="inlineStr">
        <is>
          <t>VÄSTRA GÖTALANDS LÄN</t>
        </is>
      </c>
      <c r="E14393" t="inlineStr">
        <is>
          <t>BORÅS</t>
        </is>
      </c>
      <c r="G14393" t="n">
        <v>2.4</v>
      </c>
      <c r="H14393" t="n">
        <v>0</v>
      </c>
      <c r="I14393" t="n">
        <v>0</v>
      </c>
      <c r="J14393" t="n">
        <v>0</v>
      </c>
      <c r="K14393" t="n">
        <v>0</v>
      </c>
      <c r="L14393" t="n">
        <v>0</v>
      </c>
      <c r="M14393" t="n">
        <v>0</v>
      </c>
      <c r="N14393" t="n">
        <v>0</v>
      </c>
      <c r="O14393" t="n">
        <v>0</v>
      </c>
      <c r="P14393" t="n">
        <v>0</v>
      </c>
      <c r="Q14393" t="n">
        <v>0</v>
      </c>
      <c r="R14393" s="2" t="inlineStr"/>
    </row>
    <row r="14394" ht="15" customHeight="1">
      <c r="A14394" t="inlineStr">
        <is>
          <t>A 11955-2021</t>
        </is>
      </c>
      <c r="B14394" s="1" t="n">
        <v>44266.3884837963</v>
      </c>
      <c r="C14394" s="1" t="n">
        <v>45952</v>
      </c>
      <c r="D14394" t="inlineStr">
        <is>
          <t>VÄSTRA GÖTALANDS LÄN</t>
        </is>
      </c>
      <c r="E14394" t="inlineStr">
        <is>
          <t>BORÅS</t>
        </is>
      </c>
      <c r="G14394" t="n">
        <v>4.1</v>
      </c>
      <c r="H14394" t="n">
        <v>0</v>
      </c>
      <c r="I14394" t="n">
        <v>0</v>
      </c>
      <c r="J14394" t="n">
        <v>0</v>
      </c>
      <c r="K14394" t="n">
        <v>0</v>
      </c>
      <c r="L14394" t="n">
        <v>0</v>
      </c>
      <c r="M14394" t="n">
        <v>0</v>
      </c>
      <c r="N14394" t="n">
        <v>0</v>
      </c>
      <c r="O14394" t="n">
        <v>0</v>
      </c>
      <c r="P14394" t="n">
        <v>0</v>
      </c>
      <c r="Q14394" t="n">
        <v>0</v>
      </c>
      <c r="R14394" s="2" t="inlineStr"/>
    </row>
    <row r="14395" ht="15" customHeight="1">
      <c r="A14395" t="inlineStr">
        <is>
          <t>A 13785-2022</t>
        </is>
      </c>
      <c r="B14395" s="1" t="n">
        <v>44649.54094907407</v>
      </c>
      <c r="C14395" s="1" t="n">
        <v>45952</v>
      </c>
      <c r="D14395" t="inlineStr">
        <is>
          <t>VÄSTRA GÖTALANDS LÄN</t>
        </is>
      </c>
      <c r="E14395" t="inlineStr">
        <is>
          <t>TRANEMO</t>
        </is>
      </c>
      <c r="G14395" t="n">
        <v>8.1</v>
      </c>
      <c r="H14395" t="n">
        <v>0</v>
      </c>
      <c r="I14395" t="n">
        <v>0</v>
      </c>
      <c r="J14395" t="n">
        <v>0</v>
      </c>
      <c r="K14395" t="n">
        <v>0</v>
      </c>
      <c r="L14395" t="n">
        <v>0</v>
      </c>
      <c r="M14395" t="n">
        <v>0</v>
      </c>
      <c r="N14395" t="n">
        <v>0</v>
      </c>
      <c r="O14395" t="n">
        <v>0</v>
      </c>
      <c r="P14395" t="n">
        <v>0</v>
      </c>
      <c r="Q14395" t="n">
        <v>0</v>
      </c>
      <c r="R14395" s="2" t="inlineStr"/>
    </row>
    <row r="14396" ht="15" customHeight="1">
      <c r="A14396" t="inlineStr">
        <is>
          <t>A 13798-2022</t>
        </is>
      </c>
      <c r="B14396" s="1" t="n">
        <v>44649.55983796297</v>
      </c>
      <c r="C14396" s="1" t="n">
        <v>45952</v>
      </c>
      <c r="D14396" t="inlineStr">
        <is>
          <t>VÄSTRA GÖTALANDS LÄN</t>
        </is>
      </c>
      <c r="E14396" t="inlineStr">
        <is>
          <t>MARIESTAD</t>
        </is>
      </c>
      <c r="G14396" t="n">
        <v>3.4</v>
      </c>
      <c r="H14396" t="n">
        <v>0</v>
      </c>
      <c r="I14396" t="n">
        <v>0</v>
      </c>
      <c r="J14396" t="n">
        <v>0</v>
      </c>
      <c r="K14396" t="n">
        <v>0</v>
      </c>
      <c r="L14396" t="n">
        <v>0</v>
      </c>
      <c r="M14396" t="n">
        <v>0</v>
      </c>
      <c r="N14396" t="n">
        <v>0</v>
      </c>
      <c r="O14396" t="n">
        <v>0</v>
      </c>
      <c r="P14396" t="n">
        <v>0</v>
      </c>
      <c r="Q14396" t="n">
        <v>0</v>
      </c>
      <c r="R14396" s="2" t="inlineStr"/>
    </row>
    <row r="14397" ht="15" customHeight="1">
      <c r="A14397" t="inlineStr">
        <is>
          <t>A 14547-2022</t>
        </is>
      </c>
      <c r="B14397" s="1" t="n">
        <v>44655</v>
      </c>
      <c r="C14397" s="1" t="n">
        <v>45952</v>
      </c>
      <c r="D14397" t="inlineStr">
        <is>
          <t>VÄSTRA GÖTALANDS LÄN</t>
        </is>
      </c>
      <c r="E14397" t="inlineStr">
        <is>
          <t>ORUST</t>
        </is>
      </c>
      <c r="G14397" t="n">
        <v>3.8</v>
      </c>
      <c r="H14397" t="n">
        <v>0</v>
      </c>
      <c r="I14397" t="n">
        <v>0</v>
      </c>
      <c r="J14397" t="n">
        <v>0</v>
      </c>
      <c r="K14397" t="n">
        <v>0</v>
      </c>
      <c r="L14397" t="n">
        <v>0</v>
      </c>
      <c r="M14397" t="n">
        <v>0</v>
      </c>
      <c r="N14397" t="n">
        <v>0</v>
      </c>
      <c r="O14397" t="n">
        <v>0</v>
      </c>
      <c r="P14397" t="n">
        <v>0</v>
      </c>
      <c r="Q14397" t="n">
        <v>0</v>
      </c>
      <c r="R14397" s="2" t="inlineStr"/>
    </row>
    <row r="14398" ht="15" customHeight="1">
      <c r="A14398" t="inlineStr">
        <is>
          <t>A 21062-2024</t>
        </is>
      </c>
      <c r="B14398" s="1" t="n">
        <v>45439.77535879629</v>
      </c>
      <c r="C14398" s="1" t="n">
        <v>45952</v>
      </c>
      <c r="D14398" t="inlineStr">
        <is>
          <t>VÄSTRA GÖTALANDS LÄN</t>
        </is>
      </c>
      <c r="E14398" t="inlineStr">
        <is>
          <t>GRÄSTORP</t>
        </is>
      </c>
      <c r="G14398" t="n">
        <v>1.6</v>
      </c>
      <c r="H14398" t="n">
        <v>0</v>
      </c>
      <c r="I14398" t="n">
        <v>0</v>
      </c>
      <c r="J14398" t="n">
        <v>0</v>
      </c>
      <c r="K14398" t="n">
        <v>0</v>
      </c>
      <c r="L14398" t="n">
        <v>0</v>
      </c>
      <c r="M14398" t="n">
        <v>0</v>
      </c>
      <c r="N14398" t="n">
        <v>0</v>
      </c>
      <c r="O14398" t="n">
        <v>0</v>
      </c>
      <c r="P14398" t="n">
        <v>0</v>
      </c>
      <c r="Q14398" t="n">
        <v>0</v>
      </c>
      <c r="R14398" s="2" t="inlineStr"/>
    </row>
    <row r="14399" ht="15" customHeight="1">
      <c r="A14399" t="inlineStr">
        <is>
          <t>A 56849-2022</t>
        </is>
      </c>
      <c r="B14399" s="1" t="n">
        <v>44894.49025462963</v>
      </c>
      <c r="C14399" s="1" t="n">
        <v>45952</v>
      </c>
      <c r="D14399" t="inlineStr">
        <is>
          <t>VÄSTRA GÖTALANDS LÄN</t>
        </is>
      </c>
      <c r="E14399" t="inlineStr">
        <is>
          <t>SKARA</t>
        </is>
      </c>
      <c r="G14399" t="n">
        <v>1.5</v>
      </c>
      <c r="H14399" t="n">
        <v>0</v>
      </c>
      <c r="I14399" t="n">
        <v>0</v>
      </c>
      <c r="J14399" t="n">
        <v>0</v>
      </c>
      <c r="K14399" t="n">
        <v>0</v>
      </c>
      <c r="L14399" t="n">
        <v>0</v>
      </c>
      <c r="M14399" t="n">
        <v>0</v>
      </c>
      <c r="N14399" t="n">
        <v>0</v>
      </c>
      <c r="O14399" t="n">
        <v>0</v>
      </c>
      <c r="P14399" t="n">
        <v>0</v>
      </c>
      <c r="Q14399" t="n">
        <v>0</v>
      </c>
      <c r="R14399" s="2" t="inlineStr"/>
    </row>
    <row r="14400" ht="15" customHeight="1">
      <c r="A14400" t="inlineStr">
        <is>
          <t>A 40630-2023</t>
        </is>
      </c>
      <c r="B14400" s="1" t="n">
        <v>45170.54494212963</v>
      </c>
      <c r="C14400" s="1" t="n">
        <v>45952</v>
      </c>
      <c r="D14400" t="inlineStr">
        <is>
          <t>VÄSTRA GÖTALANDS LÄN</t>
        </is>
      </c>
      <c r="E14400" t="inlineStr">
        <is>
          <t>FÄRGELANDA</t>
        </is>
      </c>
      <c r="G14400" t="n">
        <v>1.1</v>
      </c>
      <c r="H14400" t="n">
        <v>0</v>
      </c>
      <c r="I14400" t="n">
        <v>0</v>
      </c>
      <c r="J14400" t="n">
        <v>0</v>
      </c>
      <c r="K14400" t="n">
        <v>0</v>
      </c>
      <c r="L14400" t="n">
        <v>0</v>
      </c>
      <c r="M14400" t="n">
        <v>0</v>
      </c>
      <c r="N14400" t="n">
        <v>0</v>
      </c>
      <c r="O14400" t="n">
        <v>0</v>
      </c>
      <c r="P14400" t="n">
        <v>0</v>
      </c>
      <c r="Q14400" t="n">
        <v>0</v>
      </c>
      <c r="R14400" s="2" t="inlineStr"/>
    </row>
    <row r="14401" ht="15" customHeight="1">
      <c r="A14401" t="inlineStr">
        <is>
          <t>A 5159-2025</t>
        </is>
      </c>
      <c r="B14401" s="1" t="n">
        <v>45691.60857638889</v>
      </c>
      <c r="C14401" s="1" t="n">
        <v>45952</v>
      </c>
      <c r="D14401" t="inlineStr">
        <is>
          <t>VÄSTRA GÖTALANDS LÄN</t>
        </is>
      </c>
      <c r="E14401" t="inlineStr">
        <is>
          <t>ULRICEHAMN</t>
        </is>
      </c>
      <c r="G14401" t="n">
        <v>0.4</v>
      </c>
      <c r="H14401" t="n">
        <v>0</v>
      </c>
      <c r="I14401" t="n">
        <v>0</v>
      </c>
      <c r="J14401" t="n">
        <v>0</v>
      </c>
      <c r="K14401" t="n">
        <v>0</v>
      </c>
      <c r="L14401" t="n">
        <v>0</v>
      </c>
      <c r="M14401" t="n">
        <v>0</v>
      </c>
      <c r="N14401" t="n">
        <v>0</v>
      </c>
      <c r="O14401" t="n">
        <v>0</v>
      </c>
      <c r="P14401" t="n">
        <v>0</v>
      </c>
      <c r="Q14401" t="n">
        <v>0</v>
      </c>
      <c r="R14401" s="2" t="inlineStr"/>
    </row>
    <row r="14402" ht="15" customHeight="1">
      <c r="A14402" t="inlineStr">
        <is>
          <t>A 4263-2024</t>
        </is>
      </c>
      <c r="B14402" s="1" t="n">
        <v>45324.51049768519</v>
      </c>
      <c r="C14402" s="1" t="n">
        <v>45952</v>
      </c>
      <c r="D14402" t="inlineStr">
        <is>
          <t>VÄSTRA GÖTALANDS LÄN</t>
        </is>
      </c>
      <c r="E14402" t="inlineStr">
        <is>
          <t>KUNGÄLV</t>
        </is>
      </c>
      <c r="G14402" t="n">
        <v>2.6</v>
      </c>
      <c r="H14402" t="n">
        <v>0</v>
      </c>
      <c r="I14402" t="n">
        <v>0</v>
      </c>
      <c r="J14402" t="n">
        <v>0</v>
      </c>
      <c r="K14402" t="n">
        <v>0</v>
      </c>
      <c r="L14402" t="n">
        <v>0</v>
      </c>
      <c r="M14402" t="n">
        <v>0</v>
      </c>
      <c r="N14402" t="n">
        <v>0</v>
      </c>
      <c r="O14402" t="n">
        <v>0</v>
      </c>
      <c r="P14402" t="n">
        <v>0</v>
      </c>
      <c r="Q14402" t="n">
        <v>0</v>
      </c>
      <c r="R14402" s="2" t="inlineStr"/>
    </row>
    <row r="14403" ht="15" customHeight="1">
      <c r="A14403" t="inlineStr">
        <is>
          <t>A 42471-2022</t>
        </is>
      </c>
      <c r="B14403" s="1" t="n">
        <v>44831</v>
      </c>
      <c r="C14403" s="1" t="n">
        <v>45952</v>
      </c>
      <c r="D14403" t="inlineStr">
        <is>
          <t>VÄSTRA GÖTALANDS LÄN</t>
        </is>
      </c>
      <c r="E14403" t="inlineStr">
        <is>
          <t>BENGTSFORS</t>
        </is>
      </c>
      <c r="G14403" t="n">
        <v>0.8</v>
      </c>
      <c r="H14403" t="n">
        <v>0</v>
      </c>
      <c r="I14403" t="n">
        <v>0</v>
      </c>
      <c r="J14403" t="n">
        <v>0</v>
      </c>
      <c r="K14403" t="n">
        <v>0</v>
      </c>
      <c r="L14403" t="n">
        <v>0</v>
      </c>
      <c r="M14403" t="n">
        <v>0</v>
      </c>
      <c r="N14403" t="n">
        <v>0</v>
      </c>
      <c r="O14403" t="n">
        <v>0</v>
      </c>
      <c r="P14403" t="n">
        <v>0</v>
      </c>
      <c r="Q14403" t="n">
        <v>0</v>
      </c>
      <c r="R14403" s="2" t="inlineStr"/>
    </row>
    <row r="14404" ht="15" customHeight="1">
      <c r="A14404" t="inlineStr">
        <is>
          <t>A 49725-2024</t>
        </is>
      </c>
      <c r="B14404" s="1" t="n">
        <v>45596.74619212963</v>
      </c>
      <c r="C14404" s="1" t="n">
        <v>45952</v>
      </c>
      <c r="D14404" t="inlineStr">
        <is>
          <t>VÄSTRA GÖTALANDS LÄN</t>
        </is>
      </c>
      <c r="E14404" t="inlineStr">
        <is>
          <t>MARK</t>
        </is>
      </c>
      <c r="G14404" t="n">
        <v>0.7</v>
      </c>
      <c r="H14404" t="n">
        <v>0</v>
      </c>
      <c r="I14404" t="n">
        <v>0</v>
      </c>
      <c r="J14404" t="n">
        <v>0</v>
      </c>
      <c r="K14404" t="n">
        <v>0</v>
      </c>
      <c r="L14404" t="n">
        <v>0</v>
      </c>
      <c r="M14404" t="n">
        <v>0</v>
      </c>
      <c r="N14404" t="n">
        <v>0</v>
      </c>
      <c r="O14404" t="n">
        <v>0</v>
      </c>
      <c r="P14404" t="n">
        <v>0</v>
      </c>
      <c r="Q14404" t="n">
        <v>0</v>
      </c>
      <c r="R14404" s="2" t="inlineStr"/>
    </row>
    <row r="14405" ht="15" customHeight="1">
      <c r="A14405" t="inlineStr">
        <is>
          <t>A 49687-2024</t>
        </is>
      </c>
      <c r="B14405" s="1" t="n">
        <v>45596.67886574074</v>
      </c>
      <c r="C14405" s="1" t="n">
        <v>45952</v>
      </c>
      <c r="D14405" t="inlineStr">
        <is>
          <t>VÄSTRA GÖTALANDS LÄN</t>
        </is>
      </c>
      <c r="E14405" t="inlineStr">
        <is>
          <t>TANUM</t>
        </is>
      </c>
      <c r="G14405" t="n">
        <v>2.2</v>
      </c>
      <c r="H14405" t="n">
        <v>0</v>
      </c>
      <c r="I14405" t="n">
        <v>0</v>
      </c>
      <c r="J14405" t="n">
        <v>0</v>
      </c>
      <c r="K14405" t="n">
        <v>0</v>
      </c>
      <c r="L14405" t="n">
        <v>0</v>
      </c>
      <c r="M14405" t="n">
        <v>0</v>
      </c>
      <c r="N14405" t="n">
        <v>0</v>
      </c>
      <c r="O14405" t="n">
        <v>0</v>
      </c>
      <c r="P14405" t="n">
        <v>0</v>
      </c>
      <c r="Q14405" t="n">
        <v>0</v>
      </c>
      <c r="R14405" s="2" t="inlineStr"/>
    </row>
    <row r="14406" ht="15" customHeight="1">
      <c r="A14406" t="inlineStr">
        <is>
          <t>A 4360-2022</t>
        </is>
      </c>
      <c r="B14406" s="1" t="n">
        <v>44589</v>
      </c>
      <c r="C14406" s="1" t="n">
        <v>45952</v>
      </c>
      <c r="D14406" t="inlineStr">
        <is>
          <t>VÄSTRA GÖTALANDS LÄN</t>
        </is>
      </c>
      <c r="E14406" t="inlineStr">
        <is>
          <t>MARK</t>
        </is>
      </c>
      <c r="G14406" t="n">
        <v>4.3</v>
      </c>
      <c r="H14406" t="n">
        <v>0</v>
      </c>
      <c r="I14406" t="n">
        <v>0</v>
      </c>
      <c r="J14406" t="n">
        <v>0</v>
      </c>
      <c r="K14406" t="n">
        <v>0</v>
      </c>
      <c r="L14406" t="n">
        <v>0</v>
      </c>
      <c r="M14406" t="n">
        <v>0</v>
      </c>
      <c r="N14406" t="n">
        <v>0</v>
      </c>
      <c r="O14406" t="n">
        <v>0</v>
      </c>
      <c r="P14406" t="n">
        <v>0</v>
      </c>
      <c r="Q14406" t="n">
        <v>0</v>
      </c>
      <c r="R14406" s="2" t="inlineStr"/>
    </row>
    <row r="14407" ht="15" customHeight="1">
      <c r="A14407" t="inlineStr">
        <is>
          <t>A 18791-2023</t>
        </is>
      </c>
      <c r="B14407" s="1" t="n">
        <v>45044</v>
      </c>
      <c r="C14407" s="1" t="n">
        <v>45952</v>
      </c>
      <c r="D14407" t="inlineStr">
        <is>
          <t>VÄSTRA GÖTALANDS LÄN</t>
        </is>
      </c>
      <c r="E14407" t="inlineStr">
        <is>
          <t>ORUST</t>
        </is>
      </c>
      <c r="G14407" t="n">
        <v>2</v>
      </c>
      <c r="H14407" t="n">
        <v>0</v>
      </c>
      <c r="I14407" t="n">
        <v>0</v>
      </c>
      <c r="J14407" t="n">
        <v>0</v>
      </c>
      <c r="K14407" t="n">
        <v>0</v>
      </c>
      <c r="L14407" t="n">
        <v>0</v>
      </c>
      <c r="M14407" t="n">
        <v>0</v>
      </c>
      <c r="N14407" t="n">
        <v>0</v>
      </c>
      <c r="O14407" t="n">
        <v>0</v>
      </c>
      <c r="P14407" t="n">
        <v>0</v>
      </c>
      <c r="Q14407" t="n">
        <v>0</v>
      </c>
      <c r="R14407" s="2" t="inlineStr"/>
    </row>
    <row r="14408" ht="15" customHeight="1">
      <c r="A14408" t="inlineStr">
        <is>
          <t>A 18854-2023</t>
        </is>
      </c>
      <c r="B14408" s="1" t="n">
        <v>45042</v>
      </c>
      <c r="C14408" s="1" t="n">
        <v>45952</v>
      </c>
      <c r="D14408" t="inlineStr">
        <is>
          <t>VÄSTRA GÖTALANDS LÄN</t>
        </is>
      </c>
      <c r="E14408" t="inlineStr">
        <is>
          <t>MELLERUD</t>
        </is>
      </c>
      <c r="G14408" t="n">
        <v>3.3</v>
      </c>
      <c r="H14408" t="n">
        <v>0</v>
      </c>
      <c r="I14408" t="n">
        <v>0</v>
      </c>
      <c r="J14408" t="n">
        <v>0</v>
      </c>
      <c r="K14408" t="n">
        <v>0</v>
      </c>
      <c r="L14408" t="n">
        <v>0</v>
      </c>
      <c r="M14408" t="n">
        <v>0</v>
      </c>
      <c r="N14408" t="n">
        <v>0</v>
      </c>
      <c r="O14408" t="n">
        <v>0</v>
      </c>
      <c r="P14408" t="n">
        <v>0</v>
      </c>
      <c r="Q14408" t="n">
        <v>0</v>
      </c>
      <c r="R14408" s="2" t="inlineStr"/>
    </row>
    <row r="14409" ht="15" customHeight="1">
      <c r="A14409" t="inlineStr">
        <is>
          <t>A 62299-2022</t>
        </is>
      </c>
      <c r="B14409" s="1" t="n">
        <v>44923.44671296296</v>
      </c>
      <c r="C14409" s="1" t="n">
        <v>45952</v>
      </c>
      <c r="D14409" t="inlineStr">
        <is>
          <t>VÄSTRA GÖTALANDS LÄN</t>
        </is>
      </c>
      <c r="E14409" t="inlineStr">
        <is>
          <t>TROLLHÄTTAN</t>
        </is>
      </c>
      <c r="G14409" t="n">
        <v>0.5</v>
      </c>
      <c r="H14409" t="n">
        <v>0</v>
      </c>
      <c r="I14409" t="n">
        <v>0</v>
      </c>
      <c r="J14409" t="n">
        <v>0</v>
      </c>
      <c r="K14409" t="n">
        <v>0</v>
      </c>
      <c r="L14409" t="n">
        <v>0</v>
      </c>
      <c r="M14409" t="n">
        <v>0</v>
      </c>
      <c r="N14409" t="n">
        <v>0</v>
      </c>
      <c r="O14409" t="n">
        <v>0</v>
      </c>
      <c r="P14409" t="n">
        <v>0</v>
      </c>
      <c r="Q14409" t="n">
        <v>0</v>
      </c>
      <c r="R14409" s="2" t="inlineStr"/>
    </row>
    <row r="14410" ht="15" customHeight="1">
      <c r="A14410" t="inlineStr">
        <is>
          <t>A 64291-2023</t>
        </is>
      </c>
      <c r="B14410" s="1" t="n">
        <v>45280</v>
      </c>
      <c r="C14410" s="1" t="n">
        <v>45952</v>
      </c>
      <c r="D14410" t="inlineStr">
        <is>
          <t>VÄSTRA GÖTALANDS LÄN</t>
        </is>
      </c>
      <c r="E14410" t="inlineStr">
        <is>
          <t>HÄRRYDA</t>
        </is>
      </c>
      <c r="G14410" t="n">
        <v>1.4</v>
      </c>
      <c r="H14410" t="n">
        <v>0</v>
      </c>
      <c r="I14410" t="n">
        <v>0</v>
      </c>
      <c r="J14410" t="n">
        <v>0</v>
      </c>
      <c r="K14410" t="n">
        <v>0</v>
      </c>
      <c r="L14410" t="n">
        <v>0</v>
      </c>
      <c r="M14410" t="n">
        <v>0</v>
      </c>
      <c r="N14410" t="n">
        <v>0</v>
      </c>
      <c r="O14410" t="n">
        <v>0</v>
      </c>
      <c r="P14410" t="n">
        <v>0</v>
      </c>
      <c r="Q14410" t="n">
        <v>0</v>
      </c>
      <c r="R14410" s="2" t="inlineStr"/>
    </row>
    <row r="14411" ht="15" customHeight="1">
      <c r="A14411" t="inlineStr">
        <is>
          <t>A 46835-2022</t>
        </is>
      </c>
      <c r="B14411" s="1" t="n">
        <v>44851</v>
      </c>
      <c r="C14411" s="1" t="n">
        <v>45952</v>
      </c>
      <c r="D14411" t="inlineStr">
        <is>
          <t>VÄSTRA GÖTALANDS LÄN</t>
        </is>
      </c>
      <c r="E14411" t="inlineStr">
        <is>
          <t>TRANEMO</t>
        </is>
      </c>
      <c r="G14411" t="n">
        <v>1.7</v>
      </c>
      <c r="H14411" t="n">
        <v>0</v>
      </c>
      <c r="I14411" t="n">
        <v>0</v>
      </c>
      <c r="J14411" t="n">
        <v>0</v>
      </c>
      <c r="K14411" t="n">
        <v>0</v>
      </c>
      <c r="L14411" t="n">
        <v>0</v>
      </c>
      <c r="M14411" t="n">
        <v>0</v>
      </c>
      <c r="N14411" t="n">
        <v>0</v>
      </c>
      <c r="O14411" t="n">
        <v>0</v>
      </c>
      <c r="P14411" t="n">
        <v>0</v>
      </c>
      <c r="Q14411" t="n">
        <v>0</v>
      </c>
      <c r="R14411" s="2" t="inlineStr"/>
    </row>
    <row r="14412" ht="15" customHeight="1">
      <c r="A14412" t="inlineStr">
        <is>
          <t>A 26224-2024</t>
        </is>
      </c>
      <c r="B14412" s="1" t="n">
        <v>45468.60724537037</v>
      </c>
      <c r="C14412" s="1" t="n">
        <v>45952</v>
      </c>
      <c r="D14412" t="inlineStr">
        <is>
          <t>VÄSTRA GÖTALANDS LÄN</t>
        </is>
      </c>
      <c r="E14412" t="inlineStr">
        <is>
          <t>HERRLJUNGA</t>
        </is>
      </c>
      <c r="G14412" t="n">
        <v>0.5</v>
      </c>
      <c r="H14412" t="n">
        <v>0</v>
      </c>
      <c r="I14412" t="n">
        <v>0</v>
      </c>
      <c r="J14412" t="n">
        <v>0</v>
      </c>
      <c r="K14412" t="n">
        <v>0</v>
      </c>
      <c r="L14412" t="n">
        <v>0</v>
      </c>
      <c r="M14412" t="n">
        <v>0</v>
      </c>
      <c r="N14412" t="n">
        <v>0</v>
      </c>
      <c r="O14412" t="n">
        <v>0</v>
      </c>
      <c r="P14412" t="n">
        <v>0</v>
      </c>
      <c r="Q14412" t="n">
        <v>0</v>
      </c>
      <c r="R14412" s="2" t="inlineStr"/>
    </row>
    <row r="14413" ht="15" customHeight="1">
      <c r="A14413" t="inlineStr">
        <is>
          <t>A 16716-2023</t>
        </is>
      </c>
      <c r="B14413" s="1" t="n">
        <v>45030</v>
      </c>
      <c r="C14413" s="1" t="n">
        <v>45952</v>
      </c>
      <c r="D14413" t="inlineStr">
        <is>
          <t>VÄSTRA GÖTALANDS LÄN</t>
        </is>
      </c>
      <c r="E14413" t="inlineStr">
        <is>
          <t>MARK</t>
        </is>
      </c>
      <c r="G14413" t="n">
        <v>3.1</v>
      </c>
      <c r="H14413" t="n">
        <v>0</v>
      </c>
      <c r="I14413" t="n">
        <v>0</v>
      </c>
      <c r="J14413" t="n">
        <v>0</v>
      </c>
      <c r="K14413" t="n">
        <v>0</v>
      </c>
      <c r="L14413" t="n">
        <v>0</v>
      </c>
      <c r="M14413" t="n">
        <v>0</v>
      </c>
      <c r="N14413" t="n">
        <v>0</v>
      </c>
      <c r="O14413" t="n">
        <v>0</v>
      </c>
      <c r="P14413" t="n">
        <v>0</v>
      </c>
      <c r="Q14413" t="n">
        <v>0</v>
      </c>
      <c r="R14413" s="2" t="inlineStr"/>
    </row>
    <row r="14414" ht="15" customHeight="1">
      <c r="A14414" t="inlineStr">
        <is>
          <t>A 10147-2024</t>
        </is>
      </c>
      <c r="B14414" s="1" t="n">
        <v>45364.62685185186</v>
      </c>
      <c r="C14414" s="1" t="n">
        <v>45952</v>
      </c>
      <c r="D14414" t="inlineStr">
        <is>
          <t>VÄSTRA GÖTALANDS LÄN</t>
        </is>
      </c>
      <c r="E14414" t="inlineStr">
        <is>
          <t>BORÅS</t>
        </is>
      </c>
      <c r="G14414" t="n">
        <v>2.4</v>
      </c>
      <c r="H14414" t="n">
        <v>0</v>
      </c>
      <c r="I14414" t="n">
        <v>0</v>
      </c>
      <c r="J14414" t="n">
        <v>0</v>
      </c>
      <c r="K14414" t="n">
        <v>0</v>
      </c>
      <c r="L14414" t="n">
        <v>0</v>
      </c>
      <c r="M14414" t="n">
        <v>0</v>
      </c>
      <c r="N14414" t="n">
        <v>0</v>
      </c>
      <c r="O14414" t="n">
        <v>0</v>
      </c>
      <c r="P14414" t="n">
        <v>0</v>
      </c>
      <c r="Q14414" t="n">
        <v>0</v>
      </c>
      <c r="R14414" s="2" t="inlineStr"/>
    </row>
    <row r="14415" ht="15" customHeight="1">
      <c r="A14415" t="inlineStr">
        <is>
          <t>A 13090-2025</t>
        </is>
      </c>
      <c r="B14415" s="1" t="n">
        <v>45734.65050925926</v>
      </c>
      <c r="C14415" s="1" t="n">
        <v>45952</v>
      </c>
      <c r="D14415" t="inlineStr">
        <is>
          <t>VÄSTRA GÖTALANDS LÄN</t>
        </is>
      </c>
      <c r="E14415" t="inlineStr">
        <is>
          <t>BENGTSFORS</t>
        </is>
      </c>
      <c r="G14415" t="n">
        <v>2.1</v>
      </c>
      <c r="H14415" t="n">
        <v>0</v>
      </c>
      <c r="I14415" t="n">
        <v>0</v>
      </c>
      <c r="J14415" t="n">
        <v>0</v>
      </c>
      <c r="K14415" t="n">
        <v>0</v>
      </c>
      <c r="L14415" t="n">
        <v>0</v>
      </c>
      <c r="M14415" t="n">
        <v>0</v>
      </c>
      <c r="N14415" t="n">
        <v>0</v>
      </c>
      <c r="O14415" t="n">
        <v>0</v>
      </c>
      <c r="P14415" t="n">
        <v>0</v>
      </c>
      <c r="Q14415" t="n">
        <v>0</v>
      </c>
      <c r="R14415" s="2" t="inlineStr"/>
    </row>
    <row r="14416" ht="15" customHeight="1">
      <c r="A14416" t="inlineStr">
        <is>
          <t>A 1795-2021</t>
        </is>
      </c>
      <c r="B14416" s="1" t="n">
        <v>44210</v>
      </c>
      <c r="C14416" s="1" t="n">
        <v>45952</v>
      </c>
      <c r="D14416" t="inlineStr">
        <is>
          <t>VÄSTRA GÖTALANDS LÄN</t>
        </is>
      </c>
      <c r="E14416" t="inlineStr">
        <is>
          <t>MARIESTAD</t>
        </is>
      </c>
      <c r="F14416" t="inlineStr">
        <is>
          <t>Sveaskog</t>
        </is>
      </c>
      <c r="G14416" t="n">
        <v>1.6</v>
      </c>
      <c r="H14416" t="n">
        <v>0</v>
      </c>
      <c r="I14416" t="n">
        <v>0</v>
      </c>
      <c r="J14416" t="n">
        <v>0</v>
      </c>
      <c r="K14416" t="n">
        <v>0</v>
      </c>
      <c r="L14416" t="n">
        <v>0</v>
      </c>
      <c r="M14416" t="n">
        <v>0</v>
      </c>
      <c r="N14416" t="n">
        <v>0</v>
      </c>
      <c r="O14416" t="n">
        <v>0</v>
      </c>
      <c r="P14416" t="n">
        <v>0</v>
      </c>
      <c r="Q14416" t="n">
        <v>0</v>
      </c>
      <c r="R14416" s="2" t="inlineStr"/>
    </row>
    <row r="14417" ht="15" customHeight="1">
      <c r="A14417" t="inlineStr">
        <is>
          <t>A 36763-2022</t>
        </is>
      </c>
      <c r="B14417" s="1" t="n">
        <v>44805</v>
      </c>
      <c r="C14417" s="1" t="n">
        <v>45952</v>
      </c>
      <c r="D14417" t="inlineStr">
        <is>
          <t>VÄSTRA GÖTALANDS LÄN</t>
        </is>
      </c>
      <c r="E14417" t="inlineStr">
        <is>
          <t>ALE</t>
        </is>
      </c>
      <c r="G14417" t="n">
        <v>6.1</v>
      </c>
      <c r="H14417" t="n">
        <v>0</v>
      </c>
      <c r="I14417" t="n">
        <v>0</v>
      </c>
      <c r="J14417" t="n">
        <v>0</v>
      </c>
      <c r="K14417" t="n">
        <v>0</v>
      </c>
      <c r="L14417" t="n">
        <v>0</v>
      </c>
      <c r="M14417" t="n">
        <v>0</v>
      </c>
      <c r="N14417" t="n">
        <v>0</v>
      </c>
      <c r="O14417" t="n">
        <v>0</v>
      </c>
      <c r="P14417" t="n">
        <v>0</v>
      </c>
      <c r="Q14417" t="n">
        <v>0</v>
      </c>
      <c r="R14417" s="2" t="inlineStr"/>
    </row>
    <row r="14418" ht="15" customHeight="1">
      <c r="A14418" t="inlineStr">
        <is>
          <t>A 59877-2021</t>
        </is>
      </c>
      <c r="B14418" s="1" t="n">
        <v>44494</v>
      </c>
      <c r="C14418" s="1" t="n">
        <v>45952</v>
      </c>
      <c r="D14418" t="inlineStr">
        <is>
          <t>VÄSTRA GÖTALANDS LÄN</t>
        </is>
      </c>
      <c r="E14418" t="inlineStr">
        <is>
          <t>KARLSBORG</t>
        </is>
      </c>
      <c r="F14418" t="inlineStr">
        <is>
          <t>Övriga statliga verk och myndigheter</t>
        </is>
      </c>
      <c r="G14418" t="n">
        <v>3.6</v>
      </c>
      <c r="H14418" t="n">
        <v>0</v>
      </c>
      <c r="I14418" t="n">
        <v>0</v>
      </c>
      <c r="J14418" t="n">
        <v>0</v>
      </c>
      <c r="K14418" t="n">
        <v>0</v>
      </c>
      <c r="L14418" t="n">
        <v>0</v>
      </c>
      <c r="M14418" t="n">
        <v>0</v>
      </c>
      <c r="N14418" t="n">
        <v>0</v>
      </c>
      <c r="O14418" t="n">
        <v>0</v>
      </c>
      <c r="P14418" t="n">
        <v>0</v>
      </c>
      <c r="Q14418" t="n">
        <v>0</v>
      </c>
      <c r="R14418" s="2" t="inlineStr"/>
    </row>
    <row r="14419" ht="15" customHeight="1">
      <c r="A14419" t="inlineStr">
        <is>
          <t>A 14568-2022</t>
        </is>
      </c>
      <c r="B14419" s="1" t="n">
        <v>44655</v>
      </c>
      <c r="C14419" s="1" t="n">
        <v>45952</v>
      </c>
      <c r="D14419" t="inlineStr">
        <is>
          <t>VÄSTRA GÖTALANDS LÄN</t>
        </is>
      </c>
      <c r="E14419" t="inlineStr">
        <is>
          <t>MELLERUD</t>
        </is>
      </c>
      <c r="G14419" t="n">
        <v>1.5</v>
      </c>
      <c r="H14419" t="n">
        <v>0</v>
      </c>
      <c r="I14419" t="n">
        <v>0</v>
      </c>
      <c r="J14419" t="n">
        <v>0</v>
      </c>
      <c r="K14419" t="n">
        <v>0</v>
      </c>
      <c r="L14419" t="n">
        <v>0</v>
      </c>
      <c r="M14419" t="n">
        <v>0</v>
      </c>
      <c r="N14419" t="n">
        <v>0</v>
      </c>
      <c r="O14419" t="n">
        <v>0</v>
      </c>
      <c r="P14419" t="n">
        <v>0</v>
      </c>
      <c r="Q14419" t="n">
        <v>0</v>
      </c>
      <c r="R14419" s="2" t="inlineStr"/>
    </row>
    <row r="14420" ht="15" customHeight="1">
      <c r="A14420" t="inlineStr">
        <is>
          <t>A 14604-2022</t>
        </is>
      </c>
      <c r="B14420" s="1" t="n">
        <v>44655.59598379629</v>
      </c>
      <c r="C14420" s="1" t="n">
        <v>45952</v>
      </c>
      <c r="D14420" t="inlineStr">
        <is>
          <t>VÄSTRA GÖTALANDS LÄN</t>
        </is>
      </c>
      <c r="E14420" t="inlineStr">
        <is>
          <t>UDDEVALLA</t>
        </is>
      </c>
      <c r="G14420" t="n">
        <v>1.6</v>
      </c>
      <c r="H14420" t="n">
        <v>0</v>
      </c>
      <c r="I14420" t="n">
        <v>0</v>
      </c>
      <c r="J14420" t="n">
        <v>0</v>
      </c>
      <c r="K14420" t="n">
        <v>0</v>
      </c>
      <c r="L14420" t="n">
        <v>0</v>
      </c>
      <c r="M14420" t="n">
        <v>0</v>
      </c>
      <c r="N14420" t="n">
        <v>0</v>
      </c>
      <c r="O14420" t="n">
        <v>0</v>
      </c>
      <c r="P14420" t="n">
        <v>0</v>
      </c>
      <c r="Q14420" t="n">
        <v>0</v>
      </c>
      <c r="R14420" s="2" t="inlineStr"/>
    </row>
    <row r="14421" ht="15" customHeight="1">
      <c r="A14421" t="inlineStr">
        <is>
          <t>A 14655-2022</t>
        </is>
      </c>
      <c r="B14421" s="1" t="n">
        <v>44655</v>
      </c>
      <c r="C14421" s="1" t="n">
        <v>45952</v>
      </c>
      <c r="D14421" t="inlineStr">
        <is>
          <t>VÄSTRA GÖTALANDS LÄN</t>
        </is>
      </c>
      <c r="E14421" t="inlineStr">
        <is>
          <t>VÅRGÅRDA</t>
        </is>
      </c>
      <c r="G14421" t="n">
        <v>2.7</v>
      </c>
      <c r="H14421" t="n">
        <v>0</v>
      </c>
      <c r="I14421" t="n">
        <v>0</v>
      </c>
      <c r="J14421" t="n">
        <v>0</v>
      </c>
      <c r="K14421" t="n">
        <v>0</v>
      </c>
      <c r="L14421" t="n">
        <v>0</v>
      </c>
      <c r="M14421" t="n">
        <v>0</v>
      </c>
      <c r="N14421" t="n">
        <v>0</v>
      </c>
      <c r="O14421" t="n">
        <v>0</v>
      </c>
      <c r="P14421" t="n">
        <v>0</v>
      </c>
      <c r="Q14421" t="n">
        <v>0</v>
      </c>
      <c r="R14421" s="2" t="inlineStr"/>
    </row>
    <row r="14422" ht="15" customHeight="1">
      <c r="A14422" t="inlineStr">
        <is>
          <t>A 5578-2025</t>
        </is>
      </c>
      <c r="B14422" s="1" t="n">
        <v>45693.54440972222</v>
      </c>
      <c r="C14422" s="1" t="n">
        <v>45952</v>
      </c>
      <c r="D14422" t="inlineStr">
        <is>
          <t>VÄSTRA GÖTALANDS LÄN</t>
        </is>
      </c>
      <c r="E14422" t="inlineStr">
        <is>
          <t>BORÅS</t>
        </is>
      </c>
      <c r="G14422" t="n">
        <v>1.4</v>
      </c>
      <c r="H14422" t="n">
        <v>0</v>
      </c>
      <c r="I14422" t="n">
        <v>0</v>
      </c>
      <c r="J14422" t="n">
        <v>0</v>
      </c>
      <c r="K14422" t="n">
        <v>0</v>
      </c>
      <c r="L14422" t="n">
        <v>0</v>
      </c>
      <c r="M14422" t="n">
        <v>0</v>
      </c>
      <c r="N14422" t="n">
        <v>0</v>
      </c>
      <c r="O14422" t="n">
        <v>0</v>
      </c>
      <c r="P14422" t="n">
        <v>0</v>
      </c>
      <c r="Q14422" t="n">
        <v>0</v>
      </c>
      <c r="R14422" s="2" t="inlineStr"/>
    </row>
    <row r="14423" ht="15" customHeight="1">
      <c r="A14423" t="inlineStr">
        <is>
          <t>A 54587-2023</t>
        </is>
      </c>
      <c r="B14423" s="1" t="n">
        <v>45233</v>
      </c>
      <c r="C14423" s="1" t="n">
        <v>45952</v>
      </c>
      <c r="D14423" t="inlineStr">
        <is>
          <t>VÄSTRA GÖTALANDS LÄN</t>
        </is>
      </c>
      <c r="E14423" t="inlineStr">
        <is>
          <t>VÅRGÅRDA</t>
        </is>
      </c>
      <c r="G14423" t="n">
        <v>0.5</v>
      </c>
      <c r="H14423" t="n">
        <v>0</v>
      </c>
      <c r="I14423" t="n">
        <v>0</v>
      </c>
      <c r="J14423" t="n">
        <v>0</v>
      </c>
      <c r="K14423" t="n">
        <v>0</v>
      </c>
      <c r="L14423" t="n">
        <v>0</v>
      </c>
      <c r="M14423" t="n">
        <v>0</v>
      </c>
      <c r="N14423" t="n">
        <v>0</v>
      </c>
      <c r="O14423" t="n">
        <v>0</v>
      </c>
      <c r="P14423" t="n">
        <v>0</v>
      </c>
      <c r="Q14423" t="n">
        <v>0</v>
      </c>
      <c r="R14423" s="2" t="inlineStr"/>
    </row>
    <row r="14424" ht="15" customHeight="1">
      <c r="A14424" t="inlineStr">
        <is>
          <t>A 16284-2025</t>
        </is>
      </c>
      <c r="B14424" s="1" t="n">
        <v>45751.29762731482</v>
      </c>
      <c r="C14424" s="1" t="n">
        <v>45952</v>
      </c>
      <c r="D14424" t="inlineStr">
        <is>
          <t>VÄSTRA GÖTALANDS LÄN</t>
        </is>
      </c>
      <c r="E14424" t="inlineStr">
        <is>
          <t>VÅRGÅRDA</t>
        </is>
      </c>
      <c r="G14424" t="n">
        <v>0.8</v>
      </c>
      <c r="H14424" t="n">
        <v>0</v>
      </c>
      <c r="I14424" t="n">
        <v>0</v>
      </c>
      <c r="J14424" t="n">
        <v>0</v>
      </c>
      <c r="K14424" t="n">
        <v>0</v>
      </c>
      <c r="L14424" t="n">
        <v>0</v>
      </c>
      <c r="M14424" t="n">
        <v>0</v>
      </c>
      <c r="N14424" t="n">
        <v>0</v>
      </c>
      <c r="O14424" t="n">
        <v>0</v>
      </c>
      <c r="P14424" t="n">
        <v>0</v>
      </c>
      <c r="Q14424" t="n">
        <v>0</v>
      </c>
      <c r="R14424" s="2" t="inlineStr"/>
    </row>
    <row r="14425" ht="15" customHeight="1">
      <c r="A14425" t="inlineStr">
        <is>
          <t>A 55416-2023</t>
        </is>
      </c>
      <c r="B14425" s="1" t="n">
        <v>45238</v>
      </c>
      <c r="C14425" s="1" t="n">
        <v>45952</v>
      </c>
      <c r="D14425" t="inlineStr">
        <is>
          <t>VÄSTRA GÖTALANDS LÄN</t>
        </is>
      </c>
      <c r="E14425" t="inlineStr">
        <is>
          <t>UDDEVALLA</t>
        </is>
      </c>
      <c r="G14425" t="n">
        <v>2</v>
      </c>
      <c r="H14425" t="n">
        <v>0</v>
      </c>
      <c r="I14425" t="n">
        <v>0</v>
      </c>
      <c r="J14425" t="n">
        <v>0</v>
      </c>
      <c r="K14425" t="n">
        <v>0</v>
      </c>
      <c r="L14425" t="n">
        <v>0</v>
      </c>
      <c r="M14425" t="n">
        <v>0</v>
      </c>
      <c r="N14425" t="n">
        <v>0</v>
      </c>
      <c r="O14425" t="n">
        <v>0</v>
      </c>
      <c r="P14425" t="n">
        <v>0</v>
      </c>
      <c r="Q14425" t="n">
        <v>0</v>
      </c>
      <c r="R14425" s="2" t="inlineStr"/>
    </row>
    <row r="14426" ht="15" customHeight="1">
      <c r="A14426" t="inlineStr">
        <is>
          <t>A 50722-2023</t>
        </is>
      </c>
      <c r="B14426" s="1" t="n">
        <v>45217.57265046296</v>
      </c>
      <c r="C14426" s="1" t="n">
        <v>45952</v>
      </c>
      <c r="D14426" t="inlineStr">
        <is>
          <t>VÄSTRA GÖTALANDS LÄN</t>
        </is>
      </c>
      <c r="E14426" t="inlineStr">
        <is>
          <t>FALKÖPING</t>
        </is>
      </c>
      <c r="G14426" t="n">
        <v>0.3</v>
      </c>
      <c r="H14426" t="n">
        <v>0</v>
      </c>
      <c r="I14426" t="n">
        <v>0</v>
      </c>
      <c r="J14426" t="n">
        <v>0</v>
      </c>
      <c r="K14426" t="n">
        <v>0</v>
      </c>
      <c r="L14426" t="n">
        <v>0</v>
      </c>
      <c r="M14426" t="n">
        <v>0</v>
      </c>
      <c r="N14426" t="n">
        <v>0</v>
      </c>
      <c r="O14426" t="n">
        <v>0</v>
      </c>
      <c r="P14426" t="n">
        <v>0</v>
      </c>
      <c r="Q14426" t="n">
        <v>0</v>
      </c>
      <c r="R14426" s="2" t="inlineStr"/>
    </row>
    <row r="14427" ht="15" customHeight="1">
      <c r="A14427" t="inlineStr">
        <is>
          <t>A 19982-2025</t>
        </is>
      </c>
      <c r="B14427" s="1" t="n">
        <v>45771.71873842592</v>
      </c>
      <c r="C14427" s="1" t="n">
        <v>45952</v>
      </c>
      <c r="D14427" t="inlineStr">
        <is>
          <t>VÄSTRA GÖTALANDS LÄN</t>
        </is>
      </c>
      <c r="E14427" t="inlineStr">
        <is>
          <t>UDDEVALLA</t>
        </is>
      </c>
      <c r="G14427" t="n">
        <v>1</v>
      </c>
      <c r="H14427" t="n">
        <v>0</v>
      </c>
      <c r="I14427" t="n">
        <v>0</v>
      </c>
      <c r="J14427" t="n">
        <v>0</v>
      </c>
      <c r="K14427" t="n">
        <v>0</v>
      </c>
      <c r="L14427" t="n">
        <v>0</v>
      </c>
      <c r="M14427" t="n">
        <v>0</v>
      </c>
      <c r="N14427" t="n">
        <v>0</v>
      </c>
      <c r="O14427" t="n">
        <v>0</v>
      </c>
      <c r="P14427" t="n">
        <v>0</v>
      </c>
      <c r="Q14427" t="n">
        <v>0</v>
      </c>
      <c r="R14427" s="2" t="inlineStr"/>
    </row>
    <row r="14428" ht="15" customHeight="1">
      <c r="A14428" t="inlineStr">
        <is>
          <t>A 19996-2025</t>
        </is>
      </c>
      <c r="B14428" s="1" t="n">
        <v>45771.77300925926</v>
      </c>
      <c r="C14428" s="1" t="n">
        <v>45952</v>
      </c>
      <c r="D14428" t="inlineStr">
        <is>
          <t>VÄSTRA GÖTALANDS LÄN</t>
        </is>
      </c>
      <c r="E14428" t="inlineStr">
        <is>
          <t>MARK</t>
        </is>
      </c>
      <c r="G14428" t="n">
        <v>7</v>
      </c>
      <c r="H14428" t="n">
        <v>0</v>
      </c>
      <c r="I14428" t="n">
        <v>0</v>
      </c>
      <c r="J14428" t="n">
        <v>0</v>
      </c>
      <c r="K14428" t="n">
        <v>0</v>
      </c>
      <c r="L14428" t="n">
        <v>0</v>
      </c>
      <c r="M14428" t="n">
        <v>0</v>
      </c>
      <c r="N14428" t="n">
        <v>0</v>
      </c>
      <c r="O14428" t="n">
        <v>0</v>
      </c>
      <c r="P14428" t="n">
        <v>0</v>
      </c>
      <c r="Q14428" t="n">
        <v>0</v>
      </c>
      <c r="R14428" s="2" t="inlineStr"/>
    </row>
    <row r="14429" ht="15" customHeight="1">
      <c r="A14429" t="inlineStr">
        <is>
          <t>A 10191-2022</t>
        </is>
      </c>
      <c r="B14429" s="1" t="n">
        <v>44622.4339699074</v>
      </c>
      <c r="C14429" s="1" t="n">
        <v>45952</v>
      </c>
      <c r="D14429" t="inlineStr">
        <is>
          <t>VÄSTRA GÖTALANDS LÄN</t>
        </is>
      </c>
      <c r="E14429" t="inlineStr">
        <is>
          <t>TRANEMO</t>
        </is>
      </c>
      <c r="G14429" t="n">
        <v>5.5</v>
      </c>
      <c r="H14429" t="n">
        <v>0</v>
      </c>
      <c r="I14429" t="n">
        <v>0</v>
      </c>
      <c r="J14429" t="n">
        <v>0</v>
      </c>
      <c r="K14429" t="n">
        <v>0</v>
      </c>
      <c r="L14429" t="n">
        <v>0</v>
      </c>
      <c r="M14429" t="n">
        <v>0</v>
      </c>
      <c r="N14429" t="n">
        <v>0</v>
      </c>
      <c r="O14429" t="n">
        <v>0</v>
      </c>
      <c r="P14429" t="n">
        <v>0</v>
      </c>
      <c r="Q14429" t="n">
        <v>0</v>
      </c>
      <c r="R14429" s="2" t="inlineStr"/>
    </row>
    <row r="14430" ht="15" customHeight="1">
      <c r="A14430" t="inlineStr">
        <is>
          <t>A 10193-2022</t>
        </is>
      </c>
      <c r="B14430" s="1" t="n">
        <v>44622</v>
      </c>
      <c r="C14430" s="1" t="n">
        <v>45952</v>
      </c>
      <c r="D14430" t="inlineStr">
        <is>
          <t>VÄSTRA GÖTALANDS LÄN</t>
        </is>
      </c>
      <c r="E14430" t="inlineStr">
        <is>
          <t>TRANEMO</t>
        </is>
      </c>
      <c r="G14430" t="n">
        <v>1.7</v>
      </c>
      <c r="H14430" t="n">
        <v>0</v>
      </c>
      <c r="I14430" t="n">
        <v>0</v>
      </c>
      <c r="J14430" t="n">
        <v>0</v>
      </c>
      <c r="K14430" t="n">
        <v>0</v>
      </c>
      <c r="L14430" t="n">
        <v>0</v>
      </c>
      <c r="M14430" t="n">
        <v>0</v>
      </c>
      <c r="N14430" t="n">
        <v>0</v>
      </c>
      <c r="O14430" t="n">
        <v>0</v>
      </c>
      <c r="P14430" t="n">
        <v>0</v>
      </c>
      <c r="Q14430" t="n">
        <v>0</v>
      </c>
      <c r="R14430" s="2" t="inlineStr"/>
    </row>
    <row r="14431" ht="15" customHeight="1">
      <c r="A14431" t="inlineStr">
        <is>
          <t>A 58654-2024</t>
        </is>
      </c>
      <c r="B14431" s="1" t="n">
        <v>45635.59962962963</v>
      </c>
      <c r="C14431" s="1" t="n">
        <v>45952</v>
      </c>
      <c r="D14431" t="inlineStr">
        <is>
          <t>VÄSTRA GÖTALANDS LÄN</t>
        </is>
      </c>
      <c r="E14431" t="inlineStr">
        <is>
          <t>TANUM</t>
        </is>
      </c>
      <c r="G14431" t="n">
        <v>1.5</v>
      </c>
      <c r="H14431" t="n">
        <v>0</v>
      </c>
      <c r="I14431" t="n">
        <v>0</v>
      </c>
      <c r="J14431" t="n">
        <v>0</v>
      </c>
      <c r="K14431" t="n">
        <v>0</v>
      </c>
      <c r="L14431" t="n">
        <v>0</v>
      </c>
      <c r="M14431" t="n">
        <v>0</v>
      </c>
      <c r="N14431" t="n">
        <v>0</v>
      </c>
      <c r="O14431" t="n">
        <v>0</v>
      </c>
      <c r="P14431" t="n">
        <v>0</v>
      </c>
      <c r="Q14431" t="n">
        <v>0</v>
      </c>
      <c r="R14431" s="2" t="inlineStr"/>
    </row>
    <row r="14432" ht="15" customHeight="1">
      <c r="A14432" t="inlineStr">
        <is>
          <t>A 12422-2024</t>
        </is>
      </c>
      <c r="B14432" s="1" t="n">
        <v>45379.43107638889</v>
      </c>
      <c r="C14432" s="1" t="n">
        <v>45952</v>
      </c>
      <c r="D14432" t="inlineStr">
        <is>
          <t>VÄSTRA GÖTALANDS LÄN</t>
        </is>
      </c>
      <c r="E14432" t="inlineStr">
        <is>
          <t>MARK</t>
        </is>
      </c>
      <c r="G14432" t="n">
        <v>0.8</v>
      </c>
      <c r="H14432" t="n">
        <v>0</v>
      </c>
      <c r="I14432" t="n">
        <v>0</v>
      </c>
      <c r="J14432" t="n">
        <v>0</v>
      </c>
      <c r="K14432" t="n">
        <v>0</v>
      </c>
      <c r="L14432" t="n">
        <v>0</v>
      </c>
      <c r="M14432" t="n">
        <v>0</v>
      </c>
      <c r="N14432" t="n">
        <v>0</v>
      </c>
      <c r="O14432" t="n">
        <v>0</v>
      </c>
      <c r="P14432" t="n">
        <v>0</v>
      </c>
      <c r="Q14432" t="n">
        <v>0</v>
      </c>
      <c r="R14432" s="2" t="inlineStr"/>
    </row>
    <row r="14433" ht="15" customHeight="1">
      <c r="A14433" t="inlineStr">
        <is>
          <t>A 12448-2024</t>
        </is>
      </c>
      <c r="B14433" s="1" t="n">
        <v>45378</v>
      </c>
      <c r="C14433" s="1" t="n">
        <v>45952</v>
      </c>
      <c r="D14433" t="inlineStr">
        <is>
          <t>VÄSTRA GÖTALANDS LÄN</t>
        </is>
      </c>
      <c r="E14433" t="inlineStr">
        <is>
          <t>TÖREBODA</t>
        </is>
      </c>
      <c r="G14433" t="n">
        <v>2.1</v>
      </c>
      <c r="H14433" t="n">
        <v>0</v>
      </c>
      <c r="I14433" t="n">
        <v>0</v>
      </c>
      <c r="J14433" t="n">
        <v>0</v>
      </c>
      <c r="K14433" t="n">
        <v>0</v>
      </c>
      <c r="L14433" t="n">
        <v>0</v>
      </c>
      <c r="M14433" t="n">
        <v>0</v>
      </c>
      <c r="N14433" t="n">
        <v>0</v>
      </c>
      <c r="O14433" t="n">
        <v>0</v>
      </c>
      <c r="P14433" t="n">
        <v>0</v>
      </c>
      <c r="Q14433" t="n">
        <v>0</v>
      </c>
      <c r="R14433" s="2" t="inlineStr"/>
    </row>
    <row r="14434" ht="15" customHeight="1">
      <c r="A14434" t="inlineStr">
        <is>
          <t>A 9610-2022</t>
        </is>
      </c>
      <c r="B14434" s="1" t="n">
        <v>44617</v>
      </c>
      <c r="C14434" s="1" t="n">
        <v>45952</v>
      </c>
      <c r="D14434" t="inlineStr">
        <is>
          <t>VÄSTRA GÖTALANDS LÄN</t>
        </is>
      </c>
      <c r="E14434" t="inlineStr">
        <is>
          <t>MARIESTAD</t>
        </is>
      </c>
      <c r="F14434" t="inlineStr">
        <is>
          <t>Kyrkan</t>
        </is>
      </c>
      <c r="G14434" t="n">
        <v>2.7</v>
      </c>
      <c r="H14434" t="n">
        <v>0</v>
      </c>
      <c r="I14434" t="n">
        <v>0</v>
      </c>
      <c r="J14434" t="n">
        <v>0</v>
      </c>
      <c r="K14434" t="n">
        <v>0</v>
      </c>
      <c r="L14434" t="n">
        <v>0</v>
      </c>
      <c r="M14434" t="n">
        <v>0</v>
      </c>
      <c r="N14434" t="n">
        <v>0</v>
      </c>
      <c r="O14434" t="n">
        <v>0</v>
      </c>
      <c r="P14434" t="n">
        <v>0</v>
      </c>
      <c r="Q14434" t="n">
        <v>0</v>
      </c>
      <c r="R14434" s="2" t="inlineStr"/>
    </row>
    <row r="14435" ht="15" customHeight="1">
      <c r="A14435" t="inlineStr">
        <is>
          <t>A 30616-2024</t>
        </is>
      </c>
      <c r="B14435" s="1" t="n">
        <v>45495.38644675926</v>
      </c>
      <c r="C14435" s="1" t="n">
        <v>45952</v>
      </c>
      <c r="D14435" t="inlineStr">
        <is>
          <t>VÄSTRA GÖTALANDS LÄN</t>
        </is>
      </c>
      <c r="E14435" t="inlineStr">
        <is>
          <t>ÅMÅL</t>
        </is>
      </c>
      <c r="G14435" t="n">
        <v>0.7</v>
      </c>
      <c r="H14435" t="n">
        <v>0</v>
      </c>
      <c r="I14435" t="n">
        <v>0</v>
      </c>
      <c r="J14435" t="n">
        <v>0</v>
      </c>
      <c r="K14435" t="n">
        <v>0</v>
      </c>
      <c r="L14435" t="n">
        <v>0</v>
      </c>
      <c r="M14435" t="n">
        <v>0</v>
      </c>
      <c r="N14435" t="n">
        <v>0</v>
      </c>
      <c r="O14435" t="n">
        <v>0</v>
      </c>
      <c r="P14435" t="n">
        <v>0</v>
      </c>
      <c r="Q14435" t="n">
        <v>0</v>
      </c>
      <c r="R14435" s="2" t="inlineStr"/>
    </row>
    <row r="14436" ht="15" customHeight="1">
      <c r="A14436" t="inlineStr">
        <is>
          <t>A 8968-2025</t>
        </is>
      </c>
      <c r="B14436" s="1" t="n">
        <v>45713.4958912037</v>
      </c>
      <c r="C14436" s="1" t="n">
        <v>45952</v>
      </c>
      <c r="D14436" t="inlineStr">
        <is>
          <t>VÄSTRA GÖTALANDS LÄN</t>
        </is>
      </c>
      <c r="E14436" t="inlineStr">
        <is>
          <t>HERRLJUNGA</t>
        </is>
      </c>
      <c r="G14436" t="n">
        <v>8.699999999999999</v>
      </c>
      <c r="H14436" t="n">
        <v>0</v>
      </c>
      <c r="I14436" t="n">
        <v>0</v>
      </c>
      <c r="J14436" t="n">
        <v>0</v>
      </c>
      <c r="K14436" t="n">
        <v>0</v>
      </c>
      <c r="L14436" t="n">
        <v>0</v>
      </c>
      <c r="M14436" t="n">
        <v>0</v>
      </c>
      <c r="N14436" t="n">
        <v>0</v>
      </c>
      <c r="O14436" t="n">
        <v>0</v>
      </c>
      <c r="P14436" t="n">
        <v>0</v>
      </c>
      <c r="Q14436" t="n">
        <v>0</v>
      </c>
      <c r="R14436" s="2" t="inlineStr"/>
    </row>
    <row r="14437" ht="15" customHeight="1">
      <c r="A14437" t="inlineStr">
        <is>
          <t>A 8990-2025</t>
        </is>
      </c>
      <c r="B14437" s="1" t="n">
        <v>45713.54516203704</v>
      </c>
      <c r="C14437" s="1" t="n">
        <v>45952</v>
      </c>
      <c r="D14437" t="inlineStr">
        <is>
          <t>VÄSTRA GÖTALANDS LÄN</t>
        </is>
      </c>
      <c r="E14437" t="inlineStr">
        <is>
          <t>KARLSBORG</t>
        </is>
      </c>
      <c r="F14437" t="inlineStr">
        <is>
          <t>Övriga Aktiebolag</t>
        </is>
      </c>
      <c r="G14437" t="n">
        <v>3.4</v>
      </c>
      <c r="H14437" t="n">
        <v>0</v>
      </c>
      <c r="I14437" t="n">
        <v>0</v>
      </c>
      <c r="J14437" t="n">
        <v>0</v>
      </c>
      <c r="K14437" t="n">
        <v>0</v>
      </c>
      <c r="L14437" t="n">
        <v>0</v>
      </c>
      <c r="M14437" t="n">
        <v>0</v>
      </c>
      <c r="N14437" t="n">
        <v>0</v>
      </c>
      <c r="O14437" t="n">
        <v>0</v>
      </c>
      <c r="P14437" t="n">
        <v>0</v>
      </c>
      <c r="Q14437" t="n">
        <v>0</v>
      </c>
      <c r="R14437" s="2" t="inlineStr"/>
    </row>
    <row r="14438" ht="15" customHeight="1">
      <c r="A14438" t="inlineStr">
        <is>
          <t>A 60559-2024</t>
        </is>
      </c>
      <c r="B14438" s="1" t="n">
        <v>45643.99405092592</v>
      </c>
      <c r="C14438" s="1" t="n">
        <v>45952</v>
      </c>
      <c r="D14438" t="inlineStr">
        <is>
          <t>VÄSTRA GÖTALANDS LÄN</t>
        </is>
      </c>
      <c r="E14438" t="inlineStr">
        <is>
          <t>FALKÖPING</t>
        </is>
      </c>
      <c r="G14438" t="n">
        <v>3</v>
      </c>
      <c r="H14438" t="n">
        <v>0</v>
      </c>
      <c r="I14438" t="n">
        <v>0</v>
      </c>
      <c r="J14438" t="n">
        <v>0</v>
      </c>
      <c r="K14438" t="n">
        <v>0</v>
      </c>
      <c r="L14438" t="n">
        <v>0</v>
      </c>
      <c r="M14438" t="n">
        <v>0</v>
      </c>
      <c r="N14438" t="n">
        <v>0</v>
      </c>
      <c r="O14438" t="n">
        <v>0</v>
      </c>
      <c r="P14438" t="n">
        <v>0</v>
      </c>
      <c r="Q14438" t="n">
        <v>0</v>
      </c>
      <c r="R14438" s="2" t="inlineStr"/>
    </row>
    <row r="14439" ht="15" customHeight="1">
      <c r="A14439" t="inlineStr">
        <is>
          <t>A 13913-2023</t>
        </is>
      </c>
      <c r="B14439" s="1" t="n">
        <v>45007</v>
      </c>
      <c r="C14439" s="1" t="n">
        <v>45952</v>
      </c>
      <c r="D14439" t="inlineStr">
        <is>
          <t>VÄSTRA GÖTALANDS LÄN</t>
        </is>
      </c>
      <c r="E14439" t="inlineStr">
        <is>
          <t>BORÅS</t>
        </is>
      </c>
      <c r="G14439" t="n">
        <v>1.2</v>
      </c>
      <c r="H14439" t="n">
        <v>0</v>
      </c>
      <c r="I14439" t="n">
        <v>0</v>
      </c>
      <c r="J14439" t="n">
        <v>0</v>
      </c>
      <c r="K14439" t="n">
        <v>0</v>
      </c>
      <c r="L14439" t="n">
        <v>0</v>
      </c>
      <c r="M14439" t="n">
        <v>0</v>
      </c>
      <c r="N14439" t="n">
        <v>0</v>
      </c>
      <c r="O14439" t="n">
        <v>0</v>
      </c>
      <c r="P14439" t="n">
        <v>0</v>
      </c>
      <c r="Q14439" t="n">
        <v>0</v>
      </c>
      <c r="R14439" s="2" t="inlineStr"/>
    </row>
    <row r="14440" ht="15" customHeight="1">
      <c r="A14440" t="inlineStr">
        <is>
          <t>A 60227-2024</t>
        </is>
      </c>
      <c r="B14440" s="1" t="n">
        <v>45640</v>
      </c>
      <c r="C14440" s="1" t="n">
        <v>45952</v>
      </c>
      <c r="D14440" t="inlineStr">
        <is>
          <t>VÄSTRA GÖTALANDS LÄN</t>
        </is>
      </c>
      <c r="E14440" t="inlineStr">
        <is>
          <t>MUNKEDAL</t>
        </is>
      </c>
      <c r="G14440" t="n">
        <v>0.9</v>
      </c>
      <c r="H14440" t="n">
        <v>0</v>
      </c>
      <c r="I14440" t="n">
        <v>0</v>
      </c>
      <c r="J14440" t="n">
        <v>0</v>
      </c>
      <c r="K14440" t="n">
        <v>0</v>
      </c>
      <c r="L14440" t="n">
        <v>0</v>
      </c>
      <c r="M14440" t="n">
        <v>0</v>
      </c>
      <c r="N14440" t="n">
        <v>0</v>
      </c>
      <c r="O14440" t="n">
        <v>0</v>
      </c>
      <c r="P14440" t="n">
        <v>0</v>
      </c>
      <c r="Q14440" t="n">
        <v>0</v>
      </c>
      <c r="R14440" s="2" t="inlineStr"/>
    </row>
    <row r="14441" ht="15" customHeight="1">
      <c r="A14441" t="inlineStr">
        <is>
          <t>A 37852-2022</t>
        </is>
      </c>
      <c r="B14441" s="1" t="n">
        <v>44811.30616898148</v>
      </c>
      <c r="C14441" s="1" t="n">
        <v>45952</v>
      </c>
      <c r="D14441" t="inlineStr">
        <is>
          <t>VÄSTRA GÖTALANDS LÄN</t>
        </is>
      </c>
      <c r="E14441" t="inlineStr">
        <is>
          <t>SVENLJUNGA</t>
        </is>
      </c>
      <c r="G14441" t="n">
        <v>1.9</v>
      </c>
      <c r="H14441" t="n">
        <v>0</v>
      </c>
      <c r="I14441" t="n">
        <v>0</v>
      </c>
      <c r="J14441" t="n">
        <v>0</v>
      </c>
      <c r="K14441" t="n">
        <v>0</v>
      </c>
      <c r="L14441" t="n">
        <v>0</v>
      </c>
      <c r="M14441" t="n">
        <v>0</v>
      </c>
      <c r="N14441" t="n">
        <v>0</v>
      </c>
      <c r="O14441" t="n">
        <v>0</v>
      </c>
      <c r="P14441" t="n">
        <v>0</v>
      </c>
      <c r="Q14441" t="n">
        <v>0</v>
      </c>
      <c r="R14441" s="2" t="inlineStr"/>
    </row>
    <row r="14442" ht="15" customHeight="1">
      <c r="A14442" t="inlineStr">
        <is>
          <t>A 59946-2022</t>
        </is>
      </c>
      <c r="B14442" s="1" t="n">
        <v>44909.38717592593</v>
      </c>
      <c r="C14442" s="1" t="n">
        <v>45952</v>
      </c>
      <c r="D14442" t="inlineStr">
        <is>
          <t>VÄSTRA GÖTALANDS LÄN</t>
        </is>
      </c>
      <c r="E14442" t="inlineStr">
        <is>
          <t>VARA</t>
        </is>
      </c>
      <c r="G14442" t="n">
        <v>2.2</v>
      </c>
      <c r="H14442" t="n">
        <v>0</v>
      </c>
      <c r="I14442" t="n">
        <v>0</v>
      </c>
      <c r="J14442" t="n">
        <v>0</v>
      </c>
      <c r="K14442" t="n">
        <v>0</v>
      </c>
      <c r="L14442" t="n">
        <v>0</v>
      </c>
      <c r="M14442" t="n">
        <v>0</v>
      </c>
      <c r="N14442" t="n">
        <v>0</v>
      </c>
      <c r="O14442" t="n">
        <v>0</v>
      </c>
      <c r="P14442" t="n">
        <v>0</v>
      </c>
      <c r="Q14442" t="n">
        <v>0</v>
      </c>
      <c r="R14442" s="2" t="inlineStr"/>
    </row>
    <row r="14443" ht="15" customHeight="1">
      <c r="A14443" t="inlineStr">
        <is>
          <t>A 59996-2022</t>
        </is>
      </c>
      <c r="B14443" s="1" t="n">
        <v>44909</v>
      </c>
      <c r="C14443" s="1" t="n">
        <v>45952</v>
      </c>
      <c r="D14443" t="inlineStr">
        <is>
          <t>VÄSTRA GÖTALANDS LÄN</t>
        </is>
      </c>
      <c r="E14443" t="inlineStr">
        <is>
          <t>SKARA</t>
        </is>
      </c>
      <c r="G14443" t="n">
        <v>0.6</v>
      </c>
      <c r="H14443" t="n">
        <v>0</v>
      </c>
      <c r="I14443" t="n">
        <v>0</v>
      </c>
      <c r="J14443" t="n">
        <v>0</v>
      </c>
      <c r="K14443" t="n">
        <v>0</v>
      </c>
      <c r="L14443" t="n">
        <v>0</v>
      </c>
      <c r="M14443" t="n">
        <v>0</v>
      </c>
      <c r="N14443" t="n">
        <v>0</v>
      </c>
      <c r="O14443" t="n">
        <v>0</v>
      </c>
      <c r="P14443" t="n">
        <v>0</v>
      </c>
      <c r="Q14443" t="n">
        <v>0</v>
      </c>
      <c r="R14443" s="2" t="inlineStr"/>
    </row>
    <row r="14444" ht="15" customHeight="1">
      <c r="A14444" t="inlineStr">
        <is>
          <t>A 27691-2024</t>
        </is>
      </c>
      <c r="B14444" s="1" t="n">
        <v>45475.34384259259</v>
      </c>
      <c r="C14444" s="1" t="n">
        <v>45952</v>
      </c>
      <c r="D14444" t="inlineStr">
        <is>
          <t>VÄSTRA GÖTALANDS LÄN</t>
        </is>
      </c>
      <c r="E14444" t="inlineStr">
        <is>
          <t>MARK</t>
        </is>
      </c>
      <c r="G14444" t="n">
        <v>3.7</v>
      </c>
      <c r="H14444" t="n">
        <v>0</v>
      </c>
      <c r="I14444" t="n">
        <v>0</v>
      </c>
      <c r="J14444" t="n">
        <v>0</v>
      </c>
      <c r="K14444" t="n">
        <v>0</v>
      </c>
      <c r="L14444" t="n">
        <v>0</v>
      </c>
      <c r="M14444" t="n">
        <v>0</v>
      </c>
      <c r="N14444" t="n">
        <v>0</v>
      </c>
      <c r="O14444" t="n">
        <v>0</v>
      </c>
      <c r="P14444" t="n">
        <v>0</v>
      </c>
      <c r="Q14444" t="n">
        <v>0</v>
      </c>
      <c r="R14444" s="2" t="inlineStr"/>
    </row>
    <row r="14445" ht="15" customHeight="1">
      <c r="A14445" t="inlineStr">
        <is>
          <t>A 60040-2022</t>
        </is>
      </c>
      <c r="B14445" s="1" t="n">
        <v>44902</v>
      </c>
      <c r="C14445" s="1" t="n">
        <v>45952</v>
      </c>
      <c r="D14445" t="inlineStr">
        <is>
          <t>VÄSTRA GÖTALANDS LÄN</t>
        </is>
      </c>
      <c r="E14445" t="inlineStr">
        <is>
          <t>TIDAHOLM</t>
        </is>
      </c>
      <c r="G14445" t="n">
        <v>2.7</v>
      </c>
      <c r="H14445" t="n">
        <v>0</v>
      </c>
      <c r="I14445" t="n">
        <v>0</v>
      </c>
      <c r="J14445" t="n">
        <v>0</v>
      </c>
      <c r="K14445" t="n">
        <v>0</v>
      </c>
      <c r="L14445" t="n">
        <v>0</v>
      </c>
      <c r="M14445" t="n">
        <v>0</v>
      </c>
      <c r="N14445" t="n">
        <v>0</v>
      </c>
      <c r="O14445" t="n">
        <v>0</v>
      </c>
      <c r="P14445" t="n">
        <v>0</v>
      </c>
      <c r="Q14445" t="n">
        <v>0</v>
      </c>
      <c r="R14445" s="2" t="inlineStr"/>
    </row>
    <row r="14446" ht="15" customHeight="1">
      <c r="A14446" t="inlineStr">
        <is>
          <t>A 61754-2023</t>
        </is>
      </c>
      <c r="B14446" s="1" t="n">
        <v>45265.8140625</v>
      </c>
      <c r="C14446" s="1" t="n">
        <v>45952</v>
      </c>
      <c r="D14446" t="inlineStr">
        <is>
          <t>VÄSTRA GÖTALANDS LÄN</t>
        </is>
      </c>
      <c r="E14446" t="inlineStr">
        <is>
          <t>TIDAHOLM</t>
        </is>
      </c>
      <c r="G14446" t="n">
        <v>3.2</v>
      </c>
      <c r="H14446" t="n">
        <v>0</v>
      </c>
      <c r="I14446" t="n">
        <v>0</v>
      </c>
      <c r="J14446" t="n">
        <v>0</v>
      </c>
      <c r="K14446" t="n">
        <v>0</v>
      </c>
      <c r="L14446" t="n">
        <v>0</v>
      </c>
      <c r="M14446" t="n">
        <v>0</v>
      </c>
      <c r="N14446" t="n">
        <v>0</v>
      </c>
      <c r="O14446" t="n">
        <v>0</v>
      </c>
      <c r="P14446" t="n">
        <v>0</v>
      </c>
      <c r="Q14446" t="n">
        <v>0</v>
      </c>
      <c r="R14446" s="2" t="inlineStr"/>
    </row>
    <row r="14447" ht="15" customHeight="1">
      <c r="A14447" t="inlineStr">
        <is>
          <t>A 61811-2023</t>
        </is>
      </c>
      <c r="B14447" s="1" t="n">
        <v>45264</v>
      </c>
      <c r="C14447" s="1" t="n">
        <v>45952</v>
      </c>
      <c r="D14447" t="inlineStr">
        <is>
          <t>VÄSTRA GÖTALANDS LÄN</t>
        </is>
      </c>
      <c r="E14447" t="inlineStr">
        <is>
          <t>MELLERUD</t>
        </is>
      </c>
      <c r="F14447" t="inlineStr">
        <is>
          <t>Övriga Aktiebolag</t>
        </is>
      </c>
      <c r="G14447" t="n">
        <v>7.9</v>
      </c>
      <c r="H14447" t="n">
        <v>0</v>
      </c>
      <c r="I14447" t="n">
        <v>0</v>
      </c>
      <c r="J14447" t="n">
        <v>0</v>
      </c>
      <c r="K14447" t="n">
        <v>0</v>
      </c>
      <c r="L14447" t="n">
        <v>0</v>
      </c>
      <c r="M14447" t="n">
        <v>0</v>
      </c>
      <c r="N14447" t="n">
        <v>0</v>
      </c>
      <c r="O14447" t="n">
        <v>0</v>
      </c>
      <c r="P14447" t="n">
        <v>0</v>
      </c>
      <c r="Q14447" t="n">
        <v>0</v>
      </c>
      <c r="R14447" s="2" t="inlineStr"/>
    </row>
    <row r="14448" ht="15" customHeight="1">
      <c r="A14448" t="inlineStr">
        <is>
          <t>A 35394-2023</t>
        </is>
      </c>
      <c r="B14448" s="1" t="n">
        <v>45146</v>
      </c>
      <c r="C14448" s="1" t="n">
        <v>45952</v>
      </c>
      <c r="D14448" t="inlineStr">
        <is>
          <t>VÄSTRA GÖTALANDS LÄN</t>
        </is>
      </c>
      <c r="E14448" t="inlineStr">
        <is>
          <t>GRÄSTORP</t>
        </is>
      </c>
      <c r="G14448" t="n">
        <v>2.5</v>
      </c>
      <c r="H14448" t="n">
        <v>0</v>
      </c>
      <c r="I14448" t="n">
        <v>0</v>
      </c>
      <c r="J14448" t="n">
        <v>0</v>
      </c>
      <c r="K14448" t="n">
        <v>0</v>
      </c>
      <c r="L14448" t="n">
        <v>0</v>
      </c>
      <c r="M14448" t="n">
        <v>0</v>
      </c>
      <c r="N14448" t="n">
        <v>0</v>
      </c>
      <c r="O14448" t="n">
        <v>0</v>
      </c>
      <c r="P14448" t="n">
        <v>0</v>
      </c>
      <c r="Q14448" t="n">
        <v>0</v>
      </c>
      <c r="R14448" s="2" t="inlineStr"/>
    </row>
    <row r="14449" ht="15" customHeight="1">
      <c r="A14449" t="inlineStr">
        <is>
          <t>A 30652-2023</t>
        </is>
      </c>
      <c r="B14449" s="1" t="n">
        <v>45112</v>
      </c>
      <c r="C14449" s="1" t="n">
        <v>45952</v>
      </c>
      <c r="D14449" t="inlineStr">
        <is>
          <t>VÄSTRA GÖTALANDS LÄN</t>
        </is>
      </c>
      <c r="E14449" t="inlineStr">
        <is>
          <t>MARIESTAD</t>
        </is>
      </c>
      <c r="F14449" t="inlineStr">
        <is>
          <t>Kommuner</t>
        </is>
      </c>
      <c r="G14449" t="n">
        <v>2.6</v>
      </c>
      <c r="H14449" t="n">
        <v>0</v>
      </c>
      <c r="I14449" t="n">
        <v>0</v>
      </c>
      <c r="J14449" t="n">
        <v>0</v>
      </c>
      <c r="K14449" t="n">
        <v>0</v>
      </c>
      <c r="L14449" t="n">
        <v>0</v>
      </c>
      <c r="M14449" t="n">
        <v>0</v>
      </c>
      <c r="N14449" t="n">
        <v>0</v>
      </c>
      <c r="O14449" t="n">
        <v>0</v>
      </c>
      <c r="P14449" t="n">
        <v>0</v>
      </c>
      <c r="Q14449" t="n">
        <v>0</v>
      </c>
      <c r="R14449" s="2" t="inlineStr"/>
    </row>
    <row r="14450" ht="15" customHeight="1">
      <c r="A14450" t="inlineStr">
        <is>
          <t>A 30655-2023</t>
        </is>
      </c>
      <c r="B14450" s="1" t="n">
        <v>45112.49369212963</v>
      </c>
      <c r="C14450" s="1" t="n">
        <v>45952</v>
      </c>
      <c r="D14450" t="inlineStr">
        <is>
          <t>VÄSTRA GÖTALANDS LÄN</t>
        </is>
      </c>
      <c r="E14450" t="inlineStr">
        <is>
          <t>BOLLEBYGD</t>
        </is>
      </c>
      <c r="G14450" t="n">
        <v>2.9</v>
      </c>
      <c r="H14450" t="n">
        <v>0</v>
      </c>
      <c r="I14450" t="n">
        <v>0</v>
      </c>
      <c r="J14450" t="n">
        <v>0</v>
      </c>
      <c r="K14450" t="n">
        <v>0</v>
      </c>
      <c r="L14450" t="n">
        <v>0</v>
      </c>
      <c r="M14450" t="n">
        <v>0</v>
      </c>
      <c r="N14450" t="n">
        <v>0</v>
      </c>
      <c r="O14450" t="n">
        <v>0</v>
      </c>
      <c r="P14450" t="n">
        <v>0</v>
      </c>
      <c r="Q14450" t="n">
        <v>0</v>
      </c>
      <c r="R14450" s="2" t="inlineStr"/>
    </row>
    <row r="14451" ht="15" customHeight="1">
      <c r="A14451" t="inlineStr">
        <is>
          <t>A 57225-2021</t>
        </is>
      </c>
      <c r="B14451" s="1" t="n">
        <v>44483.29784722222</v>
      </c>
      <c r="C14451" s="1" t="n">
        <v>45952</v>
      </c>
      <c r="D14451" t="inlineStr">
        <is>
          <t>VÄSTRA GÖTALANDS LÄN</t>
        </is>
      </c>
      <c r="E14451" t="inlineStr">
        <is>
          <t>TÖREBODA</t>
        </is>
      </c>
      <c r="F14451" t="inlineStr">
        <is>
          <t>Sveaskog</t>
        </is>
      </c>
      <c r="G14451" t="n">
        <v>2.1</v>
      </c>
      <c r="H14451" t="n">
        <v>0</v>
      </c>
      <c r="I14451" t="n">
        <v>0</v>
      </c>
      <c r="J14451" t="n">
        <v>0</v>
      </c>
      <c r="K14451" t="n">
        <v>0</v>
      </c>
      <c r="L14451" t="n">
        <v>0</v>
      </c>
      <c r="M14451" t="n">
        <v>0</v>
      </c>
      <c r="N14451" t="n">
        <v>0</v>
      </c>
      <c r="O14451" t="n">
        <v>0</v>
      </c>
      <c r="P14451" t="n">
        <v>0</v>
      </c>
      <c r="Q14451" t="n">
        <v>0</v>
      </c>
      <c r="R14451" s="2" t="inlineStr"/>
    </row>
    <row r="14452" ht="15" customHeight="1">
      <c r="A14452" t="inlineStr">
        <is>
          <t>A 14426-2022</t>
        </is>
      </c>
      <c r="B14452" s="1" t="n">
        <v>44652</v>
      </c>
      <c r="C14452" s="1" t="n">
        <v>45952</v>
      </c>
      <c r="D14452" t="inlineStr">
        <is>
          <t>VÄSTRA GÖTALANDS LÄN</t>
        </is>
      </c>
      <c r="E14452" t="inlineStr">
        <is>
          <t>MARK</t>
        </is>
      </c>
      <c r="G14452" t="n">
        <v>0.9</v>
      </c>
      <c r="H14452" t="n">
        <v>0</v>
      </c>
      <c r="I14452" t="n">
        <v>0</v>
      </c>
      <c r="J14452" t="n">
        <v>0</v>
      </c>
      <c r="K14452" t="n">
        <v>0</v>
      </c>
      <c r="L14452" t="n">
        <v>0</v>
      </c>
      <c r="M14452" t="n">
        <v>0</v>
      </c>
      <c r="N14452" t="n">
        <v>0</v>
      </c>
      <c r="O14452" t="n">
        <v>0</v>
      </c>
      <c r="P14452" t="n">
        <v>0</v>
      </c>
      <c r="Q14452" t="n">
        <v>0</v>
      </c>
      <c r="R14452" s="2" t="inlineStr"/>
    </row>
    <row r="14453" ht="15" customHeight="1">
      <c r="A14453" t="inlineStr">
        <is>
          <t>A 34715-2023</t>
        </is>
      </c>
      <c r="B14453" s="1" t="n">
        <v>45141</v>
      </c>
      <c r="C14453" s="1" t="n">
        <v>45952</v>
      </c>
      <c r="D14453" t="inlineStr">
        <is>
          <t>VÄSTRA GÖTALANDS LÄN</t>
        </is>
      </c>
      <c r="E14453" t="inlineStr">
        <is>
          <t>FÄRGELANDA</t>
        </is>
      </c>
      <c r="G14453" t="n">
        <v>7.2</v>
      </c>
      <c r="H14453" t="n">
        <v>0</v>
      </c>
      <c r="I14453" t="n">
        <v>0</v>
      </c>
      <c r="J14453" t="n">
        <v>0</v>
      </c>
      <c r="K14453" t="n">
        <v>0</v>
      </c>
      <c r="L14453" t="n">
        <v>0</v>
      </c>
      <c r="M14453" t="n">
        <v>0</v>
      </c>
      <c r="N14453" t="n">
        <v>0</v>
      </c>
      <c r="O14453" t="n">
        <v>0</v>
      </c>
      <c r="P14453" t="n">
        <v>0</v>
      </c>
      <c r="Q14453" t="n">
        <v>0</v>
      </c>
      <c r="R14453" s="2" t="inlineStr"/>
    </row>
    <row r="14454" ht="15" customHeight="1">
      <c r="A14454" t="inlineStr">
        <is>
          <t>A 3407-2023</t>
        </is>
      </c>
      <c r="B14454" s="1" t="n">
        <v>44949.54909722223</v>
      </c>
      <c r="C14454" s="1" t="n">
        <v>45952</v>
      </c>
      <c r="D14454" t="inlineStr">
        <is>
          <t>VÄSTRA GÖTALANDS LÄN</t>
        </is>
      </c>
      <c r="E14454" t="inlineStr">
        <is>
          <t>ALE</t>
        </is>
      </c>
      <c r="G14454" t="n">
        <v>1.2</v>
      </c>
      <c r="H14454" t="n">
        <v>0</v>
      </c>
      <c r="I14454" t="n">
        <v>0</v>
      </c>
      <c r="J14454" t="n">
        <v>0</v>
      </c>
      <c r="K14454" t="n">
        <v>0</v>
      </c>
      <c r="L14454" t="n">
        <v>0</v>
      </c>
      <c r="M14454" t="n">
        <v>0</v>
      </c>
      <c r="N14454" t="n">
        <v>0</v>
      </c>
      <c r="O14454" t="n">
        <v>0</v>
      </c>
      <c r="P14454" t="n">
        <v>0</v>
      </c>
      <c r="Q14454" t="n">
        <v>0</v>
      </c>
      <c r="R14454" s="2" t="inlineStr"/>
    </row>
    <row r="14455" ht="15" customHeight="1">
      <c r="A14455" t="inlineStr">
        <is>
          <t>A 3469-2023</t>
        </is>
      </c>
      <c r="B14455" s="1" t="n">
        <v>44949</v>
      </c>
      <c r="C14455" s="1" t="n">
        <v>45952</v>
      </c>
      <c r="D14455" t="inlineStr">
        <is>
          <t>VÄSTRA GÖTALANDS LÄN</t>
        </is>
      </c>
      <c r="E14455" t="inlineStr">
        <is>
          <t>BORÅS</t>
        </is>
      </c>
      <c r="G14455" t="n">
        <v>1.4</v>
      </c>
      <c r="H14455" t="n">
        <v>0</v>
      </c>
      <c r="I14455" t="n">
        <v>0</v>
      </c>
      <c r="J14455" t="n">
        <v>0</v>
      </c>
      <c r="K14455" t="n">
        <v>0</v>
      </c>
      <c r="L14455" t="n">
        <v>0</v>
      </c>
      <c r="M14455" t="n">
        <v>0</v>
      </c>
      <c r="N14455" t="n">
        <v>0</v>
      </c>
      <c r="O14455" t="n">
        <v>0</v>
      </c>
      <c r="P14455" t="n">
        <v>0</v>
      </c>
      <c r="Q14455" t="n">
        <v>0</v>
      </c>
      <c r="R14455" s="2" t="inlineStr"/>
    </row>
    <row r="14456" ht="15" customHeight="1">
      <c r="A14456" t="inlineStr">
        <is>
          <t>A 23395-2023</t>
        </is>
      </c>
      <c r="B14456" s="1" t="n">
        <v>45076</v>
      </c>
      <c r="C14456" s="1" t="n">
        <v>45952</v>
      </c>
      <c r="D14456" t="inlineStr">
        <is>
          <t>VÄSTRA GÖTALANDS LÄN</t>
        </is>
      </c>
      <c r="E14456" t="inlineStr">
        <is>
          <t>UDDEVALLA</t>
        </is>
      </c>
      <c r="G14456" t="n">
        <v>12.2</v>
      </c>
      <c r="H14456" t="n">
        <v>0</v>
      </c>
      <c r="I14456" t="n">
        <v>0</v>
      </c>
      <c r="J14456" t="n">
        <v>0</v>
      </c>
      <c r="K14456" t="n">
        <v>0</v>
      </c>
      <c r="L14456" t="n">
        <v>0</v>
      </c>
      <c r="M14456" t="n">
        <v>0</v>
      </c>
      <c r="N14456" t="n">
        <v>0</v>
      </c>
      <c r="O14456" t="n">
        <v>0</v>
      </c>
      <c r="P14456" t="n">
        <v>0</v>
      </c>
      <c r="Q14456" t="n">
        <v>0</v>
      </c>
      <c r="R14456" s="2" t="inlineStr"/>
    </row>
    <row r="14457" ht="15" customHeight="1">
      <c r="A14457" t="inlineStr">
        <is>
          <t>A 9797-2023</t>
        </is>
      </c>
      <c r="B14457" s="1" t="n">
        <v>44984</v>
      </c>
      <c r="C14457" s="1" t="n">
        <v>45952</v>
      </c>
      <c r="D14457" t="inlineStr">
        <is>
          <t>VÄSTRA GÖTALANDS LÄN</t>
        </is>
      </c>
      <c r="E14457" t="inlineStr">
        <is>
          <t>UDDEVALLA</t>
        </is>
      </c>
      <c r="G14457" t="n">
        <v>2.5</v>
      </c>
      <c r="H14457" t="n">
        <v>0</v>
      </c>
      <c r="I14457" t="n">
        <v>0</v>
      </c>
      <c r="J14457" t="n">
        <v>0</v>
      </c>
      <c r="K14457" t="n">
        <v>0</v>
      </c>
      <c r="L14457" t="n">
        <v>0</v>
      </c>
      <c r="M14457" t="n">
        <v>0</v>
      </c>
      <c r="N14457" t="n">
        <v>0</v>
      </c>
      <c r="O14457" t="n">
        <v>0</v>
      </c>
      <c r="P14457" t="n">
        <v>0</v>
      </c>
      <c r="Q14457" t="n">
        <v>0</v>
      </c>
      <c r="R14457" s="2" t="inlineStr"/>
    </row>
    <row r="14458" ht="15" customHeight="1">
      <c r="A14458" t="inlineStr">
        <is>
          <t>A 63365-2023</t>
        </is>
      </c>
      <c r="B14458" s="1" t="n">
        <v>45274</v>
      </c>
      <c r="C14458" s="1" t="n">
        <v>45952</v>
      </c>
      <c r="D14458" t="inlineStr">
        <is>
          <t>VÄSTRA GÖTALANDS LÄN</t>
        </is>
      </c>
      <c r="E14458" t="inlineStr">
        <is>
          <t>MARK</t>
        </is>
      </c>
      <c r="G14458" t="n">
        <v>0.8</v>
      </c>
      <c r="H14458" t="n">
        <v>0</v>
      </c>
      <c r="I14458" t="n">
        <v>0</v>
      </c>
      <c r="J14458" t="n">
        <v>0</v>
      </c>
      <c r="K14458" t="n">
        <v>0</v>
      </c>
      <c r="L14458" t="n">
        <v>0</v>
      </c>
      <c r="M14458" t="n">
        <v>0</v>
      </c>
      <c r="N14458" t="n">
        <v>0</v>
      </c>
      <c r="O14458" t="n">
        <v>0</v>
      </c>
      <c r="P14458" t="n">
        <v>0</v>
      </c>
      <c r="Q14458" t="n">
        <v>0</v>
      </c>
      <c r="R14458" s="2" t="inlineStr"/>
    </row>
    <row r="14459" ht="15" customHeight="1">
      <c r="A14459" t="inlineStr">
        <is>
          <t>A 64182-2023</t>
        </is>
      </c>
      <c r="B14459" s="1" t="n">
        <v>45279.65201388889</v>
      </c>
      <c r="C14459" s="1" t="n">
        <v>45952</v>
      </c>
      <c r="D14459" t="inlineStr">
        <is>
          <t>VÄSTRA GÖTALANDS LÄN</t>
        </is>
      </c>
      <c r="E14459" t="inlineStr">
        <is>
          <t>ALINGSÅS</t>
        </is>
      </c>
      <c r="F14459" t="inlineStr">
        <is>
          <t>Kommuner</t>
        </is>
      </c>
      <c r="G14459" t="n">
        <v>0.9</v>
      </c>
      <c r="H14459" t="n">
        <v>0</v>
      </c>
      <c r="I14459" t="n">
        <v>0</v>
      </c>
      <c r="J14459" t="n">
        <v>0</v>
      </c>
      <c r="K14459" t="n">
        <v>0</v>
      </c>
      <c r="L14459" t="n">
        <v>0</v>
      </c>
      <c r="M14459" t="n">
        <v>0</v>
      </c>
      <c r="N14459" t="n">
        <v>0</v>
      </c>
      <c r="O14459" t="n">
        <v>0</v>
      </c>
      <c r="P14459" t="n">
        <v>0</v>
      </c>
      <c r="Q14459" t="n">
        <v>0</v>
      </c>
      <c r="R14459" s="2" t="inlineStr"/>
    </row>
    <row r="14460" ht="15" customHeight="1">
      <c r="A14460" t="inlineStr">
        <is>
          <t>A 23457-2024</t>
        </is>
      </c>
      <c r="B14460" s="1" t="n">
        <v>45453.65128472223</v>
      </c>
      <c r="C14460" s="1" t="n">
        <v>45952</v>
      </c>
      <c r="D14460" t="inlineStr">
        <is>
          <t>VÄSTRA GÖTALANDS LÄN</t>
        </is>
      </c>
      <c r="E14460" t="inlineStr">
        <is>
          <t>KUNGÄLV</t>
        </is>
      </c>
      <c r="G14460" t="n">
        <v>5.1</v>
      </c>
      <c r="H14460" t="n">
        <v>0</v>
      </c>
      <c r="I14460" t="n">
        <v>0</v>
      </c>
      <c r="J14460" t="n">
        <v>0</v>
      </c>
      <c r="K14460" t="n">
        <v>0</v>
      </c>
      <c r="L14460" t="n">
        <v>0</v>
      </c>
      <c r="M14460" t="n">
        <v>0</v>
      </c>
      <c r="N14460" t="n">
        <v>0</v>
      </c>
      <c r="O14460" t="n">
        <v>0</v>
      </c>
      <c r="P14460" t="n">
        <v>0</v>
      </c>
      <c r="Q14460" t="n">
        <v>0</v>
      </c>
      <c r="R14460" s="2" t="inlineStr"/>
    </row>
    <row r="14461" ht="15" customHeight="1">
      <c r="A14461" t="inlineStr">
        <is>
          <t>A 24595-2021</t>
        </is>
      </c>
      <c r="B14461" s="1" t="n">
        <v>44340</v>
      </c>
      <c r="C14461" s="1" t="n">
        <v>45952</v>
      </c>
      <c r="D14461" t="inlineStr">
        <is>
          <t>VÄSTRA GÖTALANDS LÄN</t>
        </is>
      </c>
      <c r="E14461" t="inlineStr">
        <is>
          <t>BENGTSFORS</t>
        </is>
      </c>
      <c r="G14461" t="n">
        <v>5.8</v>
      </c>
      <c r="H14461" t="n">
        <v>0</v>
      </c>
      <c r="I14461" t="n">
        <v>0</v>
      </c>
      <c r="J14461" t="n">
        <v>0</v>
      </c>
      <c r="K14461" t="n">
        <v>0</v>
      </c>
      <c r="L14461" t="n">
        <v>0</v>
      </c>
      <c r="M14461" t="n">
        <v>0</v>
      </c>
      <c r="N14461" t="n">
        <v>0</v>
      </c>
      <c r="O14461" t="n">
        <v>0</v>
      </c>
      <c r="P14461" t="n">
        <v>0</v>
      </c>
      <c r="Q14461" t="n">
        <v>0</v>
      </c>
      <c r="R14461" s="2" t="inlineStr"/>
    </row>
    <row r="14462" ht="15" customHeight="1">
      <c r="A14462" t="inlineStr">
        <is>
          <t>A 55880-2021</t>
        </is>
      </c>
      <c r="B14462" s="1" t="n">
        <v>44476</v>
      </c>
      <c r="C14462" s="1" t="n">
        <v>45952</v>
      </c>
      <c r="D14462" t="inlineStr">
        <is>
          <t>VÄSTRA GÖTALANDS LÄN</t>
        </is>
      </c>
      <c r="E14462" t="inlineStr">
        <is>
          <t>BENGTSFORS</t>
        </is>
      </c>
      <c r="G14462" t="n">
        <v>3.6</v>
      </c>
      <c r="H14462" t="n">
        <v>0</v>
      </c>
      <c r="I14462" t="n">
        <v>0</v>
      </c>
      <c r="J14462" t="n">
        <v>0</v>
      </c>
      <c r="K14462" t="n">
        <v>0</v>
      </c>
      <c r="L14462" t="n">
        <v>0</v>
      </c>
      <c r="M14462" t="n">
        <v>0</v>
      </c>
      <c r="N14462" t="n">
        <v>0</v>
      </c>
      <c r="O14462" t="n">
        <v>0</v>
      </c>
      <c r="P14462" t="n">
        <v>0</v>
      </c>
      <c r="Q14462" t="n">
        <v>0</v>
      </c>
      <c r="R14462" s="2" t="inlineStr"/>
    </row>
    <row r="14463" ht="15" customHeight="1">
      <c r="A14463" t="inlineStr">
        <is>
          <t>A 28040-2024</t>
        </is>
      </c>
      <c r="B14463" s="1" t="n">
        <v>45476.50533564815</v>
      </c>
      <c r="C14463" s="1" t="n">
        <v>45952</v>
      </c>
      <c r="D14463" t="inlineStr">
        <is>
          <t>VÄSTRA GÖTALANDS LÄN</t>
        </is>
      </c>
      <c r="E14463" t="inlineStr">
        <is>
          <t>BOLLEBYGD</t>
        </is>
      </c>
      <c r="G14463" t="n">
        <v>2</v>
      </c>
      <c r="H14463" t="n">
        <v>0</v>
      </c>
      <c r="I14463" t="n">
        <v>0</v>
      </c>
      <c r="J14463" t="n">
        <v>0</v>
      </c>
      <c r="K14463" t="n">
        <v>0</v>
      </c>
      <c r="L14463" t="n">
        <v>0</v>
      </c>
      <c r="M14463" t="n">
        <v>0</v>
      </c>
      <c r="N14463" t="n">
        <v>0</v>
      </c>
      <c r="O14463" t="n">
        <v>0</v>
      </c>
      <c r="P14463" t="n">
        <v>0</v>
      </c>
      <c r="Q14463" t="n">
        <v>0</v>
      </c>
      <c r="R14463" s="2" t="inlineStr"/>
    </row>
    <row r="14464" ht="15" customHeight="1">
      <c r="A14464" t="inlineStr">
        <is>
          <t>A 28109-2024</t>
        </is>
      </c>
      <c r="B14464" s="1" t="n">
        <v>45476.63284722222</v>
      </c>
      <c r="C14464" s="1" t="n">
        <v>45952</v>
      </c>
      <c r="D14464" t="inlineStr">
        <is>
          <t>VÄSTRA GÖTALANDS LÄN</t>
        </is>
      </c>
      <c r="E14464" t="inlineStr">
        <is>
          <t>ORUST</t>
        </is>
      </c>
      <c r="G14464" t="n">
        <v>0.5</v>
      </c>
      <c r="H14464" t="n">
        <v>0</v>
      </c>
      <c r="I14464" t="n">
        <v>0</v>
      </c>
      <c r="J14464" t="n">
        <v>0</v>
      </c>
      <c r="K14464" t="n">
        <v>0</v>
      </c>
      <c r="L14464" t="n">
        <v>0</v>
      </c>
      <c r="M14464" t="n">
        <v>0</v>
      </c>
      <c r="N14464" t="n">
        <v>0</v>
      </c>
      <c r="O14464" t="n">
        <v>0</v>
      </c>
      <c r="P14464" t="n">
        <v>0</v>
      </c>
      <c r="Q14464" t="n">
        <v>0</v>
      </c>
      <c r="R14464" s="2" t="inlineStr"/>
    </row>
    <row r="14465" ht="15" customHeight="1">
      <c r="A14465" t="inlineStr">
        <is>
          <t>A 16680-2024</t>
        </is>
      </c>
      <c r="B14465" s="1" t="n">
        <v>45408.68671296296</v>
      </c>
      <c r="C14465" s="1" t="n">
        <v>45952</v>
      </c>
      <c r="D14465" t="inlineStr">
        <is>
          <t>VÄSTRA GÖTALANDS LÄN</t>
        </is>
      </c>
      <c r="E14465" t="inlineStr">
        <is>
          <t>ULRICEHAMN</t>
        </is>
      </c>
      <c r="G14465" t="n">
        <v>2.1</v>
      </c>
      <c r="H14465" t="n">
        <v>0</v>
      </c>
      <c r="I14465" t="n">
        <v>0</v>
      </c>
      <c r="J14465" t="n">
        <v>0</v>
      </c>
      <c r="K14465" t="n">
        <v>0</v>
      </c>
      <c r="L14465" t="n">
        <v>0</v>
      </c>
      <c r="M14465" t="n">
        <v>0</v>
      </c>
      <c r="N14465" t="n">
        <v>0</v>
      </c>
      <c r="O14465" t="n">
        <v>0</v>
      </c>
      <c r="P14465" t="n">
        <v>0</v>
      </c>
      <c r="Q14465" t="n">
        <v>0</v>
      </c>
      <c r="R14465" s="2" t="inlineStr"/>
    </row>
    <row r="14466" ht="15" customHeight="1">
      <c r="A14466" t="inlineStr">
        <is>
          <t>A 16917-2025</t>
        </is>
      </c>
      <c r="B14466" s="1" t="n">
        <v>45755.36796296296</v>
      </c>
      <c r="C14466" s="1" t="n">
        <v>45952</v>
      </c>
      <c r="D14466" t="inlineStr">
        <is>
          <t>VÄSTRA GÖTALANDS LÄN</t>
        </is>
      </c>
      <c r="E14466" t="inlineStr">
        <is>
          <t>FÄRGELANDA</t>
        </is>
      </c>
      <c r="G14466" t="n">
        <v>1.2</v>
      </c>
      <c r="H14466" t="n">
        <v>0</v>
      </c>
      <c r="I14466" t="n">
        <v>0</v>
      </c>
      <c r="J14466" t="n">
        <v>0</v>
      </c>
      <c r="K14466" t="n">
        <v>0</v>
      </c>
      <c r="L14466" t="n">
        <v>0</v>
      </c>
      <c r="M14466" t="n">
        <v>0</v>
      </c>
      <c r="N14466" t="n">
        <v>0</v>
      </c>
      <c r="O14466" t="n">
        <v>0</v>
      </c>
      <c r="P14466" t="n">
        <v>0</v>
      </c>
      <c r="Q14466" t="n">
        <v>0</v>
      </c>
      <c r="R14466" s="2" t="inlineStr"/>
    </row>
    <row r="14467" ht="15" customHeight="1">
      <c r="A14467" t="inlineStr">
        <is>
          <t>A 11917-2024</t>
        </is>
      </c>
      <c r="B14467" s="1" t="n">
        <v>45376.60135416667</v>
      </c>
      <c r="C14467" s="1" t="n">
        <v>45952</v>
      </c>
      <c r="D14467" t="inlineStr">
        <is>
          <t>VÄSTRA GÖTALANDS LÄN</t>
        </is>
      </c>
      <c r="E14467" t="inlineStr">
        <is>
          <t>SKÖVDE</t>
        </is>
      </c>
      <c r="G14467" t="n">
        <v>2.2</v>
      </c>
      <c r="H14467" t="n">
        <v>0</v>
      </c>
      <c r="I14467" t="n">
        <v>0</v>
      </c>
      <c r="J14467" t="n">
        <v>0</v>
      </c>
      <c r="K14467" t="n">
        <v>0</v>
      </c>
      <c r="L14467" t="n">
        <v>0</v>
      </c>
      <c r="M14467" t="n">
        <v>0</v>
      </c>
      <c r="N14467" t="n">
        <v>0</v>
      </c>
      <c r="O14467" t="n">
        <v>0</v>
      </c>
      <c r="P14467" t="n">
        <v>0</v>
      </c>
      <c r="Q14467" t="n">
        <v>0</v>
      </c>
      <c r="R14467" s="2" t="inlineStr"/>
    </row>
    <row r="14468" ht="15" customHeight="1">
      <c r="A14468" t="inlineStr">
        <is>
          <t>A 11598-2023</t>
        </is>
      </c>
      <c r="B14468" s="1" t="n">
        <v>44994.38266203704</v>
      </c>
      <c r="C14468" s="1" t="n">
        <v>45952</v>
      </c>
      <c r="D14468" t="inlineStr">
        <is>
          <t>VÄSTRA GÖTALANDS LÄN</t>
        </is>
      </c>
      <c r="E14468" t="inlineStr">
        <is>
          <t>TIDAHOLM</t>
        </is>
      </c>
      <c r="G14468" t="n">
        <v>1.4</v>
      </c>
      <c r="H14468" t="n">
        <v>0</v>
      </c>
      <c r="I14468" t="n">
        <v>0</v>
      </c>
      <c r="J14468" t="n">
        <v>0</v>
      </c>
      <c r="K14468" t="n">
        <v>0</v>
      </c>
      <c r="L14468" t="n">
        <v>0</v>
      </c>
      <c r="M14468" t="n">
        <v>0</v>
      </c>
      <c r="N14468" t="n">
        <v>0</v>
      </c>
      <c r="O14468" t="n">
        <v>0</v>
      </c>
      <c r="P14468" t="n">
        <v>0</v>
      </c>
      <c r="Q14468" t="n">
        <v>0</v>
      </c>
      <c r="R14468" s="2" t="inlineStr"/>
    </row>
    <row r="14469" ht="15" customHeight="1">
      <c r="A14469" t="inlineStr">
        <is>
          <t>A 47650-2023</t>
        </is>
      </c>
      <c r="B14469" s="1" t="n">
        <v>45203</v>
      </c>
      <c r="C14469" s="1" t="n">
        <v>45952</v>
      </c>
      <c r="D14469" t="inlineStr">
        <is>
          <t>VÄSTRA GÖTALANDS LÄN</t>
        </is>
      </c>
      <c r="E14469" t="inlineStr">
        <is>
          <t>TIBRO</t>
        </is>
      </c>
      <c r="G14469" t="n">
        <v>0.3</v>
      </c>
      <c r="H14469" t="n">
        <v>0</v>
      </c>
      <c r="I14469" t="n">
        <v>0</v>
      </c>
      <c r="J14469" t="n">
        <v>0</v>
      </c>
      <c r="K14469" t="n">
        <v>0</v>
      </c>
      <c r="L14469" t="n">
        <v>0</v>
      </c>
      <c r="M14469" t="n">
        <v>0</v>
      </c>
      <c r="N14469" t="n">
        <v>0</v>
      </c>
      <c r="O14469" t="n">
        <v>0</v>
      </c>
      <c r="P14469" t="n">
        <v>0</v>
      </c>
      <c r="Q14469" t="n">
        <v>0</v>
      </c>
      <c r="R14469" s="2" t="inlineStr"/>
    </row>
    <row r="14470" ht="15" customHeight="1">
      <c r="A14470" t="inlineStr">
        <is>
          <t>A 11932-2024</t>
        </is>
      </c>
      <c r="B14470" s="1" t="n">
        <v>45376</v>
      </c>
      <c r="C14470" s="1" t="n">
        <v>45952</v>
      </c>
      <c r="D14470" t="inlineStr">
        <is>
          <t>VÄSTRA GÖTALANDS LÄN</t>
        </is>
      </c>
      <c r="E14470" t="inlineStr">
        <is>
          <t>TRANEMO</t>
        </is>
      </c>
      <c r="G14470" t="n">
        <v>4</v>
      </c>
      <c r="H14470" t="n">
        <v>0</v>
      </c>
      <c r="I14470" t="n">
        <v>0</v>
      </c>
      <c r="J14470" t="n">
        <v>0</v>
      </c>
      <c r="K14470" t="n">
        <v>0</v>
      </c>
      <c r="L14470" t="n">
        <v>0</v>
      </c>
      <c r="M14470" t="n">
        <v>0</v>
      </c>
      <c r="N14470" t="n">
        <v>0</v>
      </c>
      <c r="O14470" t="n">
        <v>0</v>
      </c>
      <c r="P14470" t="n">
        <v>0</v>
      </c>
      <c r="Q14470" t="n">
        <v>0</v>
      </c>
      <c r="R14470" s="2" t="inlineStr"/>
    </row>
    <row r="14471">
      <c r="A14471" t="inlineStr">
        <is>
          <t>A 25441-2024</t>
        </is>
      </c>
      <c r="B14471" s="1" t="n">
        <v>45463</v>
      </c>
      <c r="C14471" s="1" t="n">
        <v>45952</v>
      </c>
      <c r="D14471" t="inlineStr">
        <is>
          <t>VÄSTRA GÖTALANDS LÄN</t>
        </is>
      </c>
      <c r="E14471" t="inlineStr">
        <is>
          <t>TANUM</t>
        </is>
      </c>
      <c r="G14471" t="n">
        <v>1</v>
      </c>
      <c r="H14471" t="n">
        <v>0</v>
      </c>
      <c r="I14471" t="n">
        <v>0</v>
      </c>
      <c r="J14471" t="n">
        <v>0</v>
      </c>
      <c r="K14471" t="n">
        <v>0</v>
      </c>
      <c r="L14471" t="n">
        <v>0</v>
      </c>
      <c r="M14471" t="n">
        <v>0</v>
      </c>
      <c r="N14471" t="n">
        <v>0</v>
      </c>
      <c r="O14471" t="n">
        <v>0</v>
      </c>
      <c r="P14471" t="n">
        <v>0</v>
      </c>
      <c r="Q14471" t="n">
        <v>0</v>
      </c>
      <c r="R14471"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2025-10-22T11:34:58Z</dcterms:created>
  <dcterms:modified xmlns:dcterms="http://purl.org/dc/terms/" xmlns:xsi="http://www.w3.org/2001/XMLSchema-instance" xsi:type="dcterms:W3CDTF">2025-10-22T11:35:10Z</dcterms:modified>
</cp:coreProperties>
</file>